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sei\Desktop\RESEARCH\ME Small Grains &amp; Pulses BUDGETS\"/>
    </mc:Choice>
  </mc:AlternateContent>
  <bookViews>
    <workbookView xWindow="120" yWindow="70" windowWidth="9720" windowHeight="7320" tabRatio="892"/>
  </bookViews>
  <sheets>
    <sheet name="ReadMe" sheetId="93" r:id="rId1"/>
    <sheet name="FARM" sheetId="72" r:id="rId2"/>
    <sheet name="INPUT" sheetId="73" r:id="rId3"/>
    <sheet name="OS" sheetId="94" r:id="rId4"/>
    <sheet name="Budget Summary" sheetId="95" r:id="rId5"/>
    <sheet name="Bar" sheetId="76" r:id="rId6"/>
    <sheet name="Oat" sheetId="77" r:id="rId7"/>
    <sheet name="Rye" sheetId="78" r:id="rId8"/>
    <sheet name="sWht" sheetId="79" r:id="rId9"/>
    <sheet name="wWht" sheetId="86" r:id="rId10"/>
    <sheet name="Trt" sheetId="81" r:id="rId11"/>
    <sheet name="Spt" sheetId="82" r:id="rId12"/>
    <sheet name="Bwt" sheetId="90" r:id="rId13"/>
    <sheet name="Pea" sheetId="83" r:id="rId14"/>
    <sheet name="Soy" sheetId="84" r:id="rId15"/>
    <sheet name="Straw" sheetId="96" r:id="rId16"/>
    <sheet name="OSI" sheetId="74" r:id="rId17"/>
    <sheet name="CP" sheetId="75" r:id="rId18"/>
    <sheet name="Data" sheetId="1" state="hidden" r:id="rId19"/>
    <sheet name="Syb" sheetId="25" state="hidden" r:id="rId20"/>
    <sheet name="Pb" sheetId="54" state="hidden" r:id="rId21"/>
    <sheet name="BWb" sheetId="89" state="hidden" r:id="rId22"/>
    <sheet name="Sb" sheetId="59" state="hidden" r:id="rId23"/>
    <sheet name="Tb" sheetId="62" state="hidden" r:id="rId24"/>
    <sheet name="wWb" sheetId="85" state="hidden" r:id="rId25"/>
    <sheet name="Wb" sheetId="40" state="hidden" r:id="rId26"/>
    <sheet name="Rb" sheetId="33" state="hidden" r:id="rId27"/>
    <sheet name="Ob" sheetId="22" state="hidden" r:id="rId28"/>
    <sheet name="Bb" sheetId="19" state="hidden" r:id="rId29"/>
    <sheet name="WFB" sheetId="29" state="hidden" r:id="rId30"/>
    <sheet name="Bv" sheetId="18" state="hidden" r:id="rId31"/>
    <sheet name="Bf" sheetId="17" state="hidden" r:id="rId32"/>
    <sheet name="Ov" sheetId="21" state="hidden" r:id="rId33"/>
    <sheet name="Of" sheetId="20" state="hidden" r:id="rId34"/>
    <sheet name="Rv" sheetId="31" state="hidden" r:id="rId35"/>
    <sheet name="Rf" sheetId="30" state="hidden" r:id="rId36"/>
    <sheet name="Wv" sheetId="42" state="hidden" r:id="rId37"/>
    <sheet name="Wf" sheetId="41" state="hidden" r:id="rId38"/>
    <sheet name="wWv" sheetId="88" state="hidden" r:id="rId39"/>
    <sheet name="wWf" sheetId="87" state="hidden" r:id="rId40"/>
    <sheet name="Tv" sheetId="60" state="hidden" r:id="rId41"/>
    <sheet name="Tf" sheetId="61" state="hidden" r:id="rId42"/>
    <sheet name="Sv" sheetId="57" state="hidden" r:id="rId43"/>
    <sheet name="Sf" sheetId="58" state="hidden" r:id="rId44"/>
    <sheet name="BWv" sheetId="92" state="hidden" r:id="rId45"/>
    <sheet name="BWf" sheetId="91" state="hidden" r:id="rId46"/>
    <sheet name="Pv" sheetId="55" state="hidden" r:id="rId47"/>
    <sheet name="Pf" sheetId="56" state="hidden" r:id="rId48"/>
    <sheet name="Syv" sheetId="24" state="hidden" r:id="rId49"/>
    <sheet name="Syf" sheetId="23" state="hidden" r:id="rId50"/>
    <sheet name="PotOprC" sheetId="3" state="hidden" r:id="rId51"/>
    <sheet name="PotOwnC" sheetId="2" state="hidden" r:id="rId52"/>
    <sheet name="PotBud" sheetId="4" state="hidden" r:id="rId53"/>
    <sheet name="AlfOprC" sheetId="6" state="hidden" r:id="rId54"/>
    <sheet name="AlfOwnC" sheetId="5" state="hidden" r:id="rId55"/>
    <sheet name="AlfBud" sheetId="7" state="hidden" r:id="rId56"/>
    <sheet name="CnSOprC" sheetId="9" state="hidden" r:id="rId57"/>
    <sheet name="CnSOwnC" sheetId="8" state="hidden" r:id="rId58"/>
    <sheet name="CnSBud" sheetId="10" state="hidden" r:id="rId59"/>
    <sheet name="HlgOprC" sheetId="12" state="hidden" r:id="rId60"/>
    <sheet name="HlgOwnC" sheetId="11" state="hidden" r:id="rId61"/>
    <sheet name="HlgBud" sheetId="13" state="hidden" r:id="rId62"/>
    <sheet name="HayOprC" sheetId="51" state="hidden" r:id="rId63"/>
    <sheet name="HayOwnC" sheetId="50" state="hidden" r:id="rId64"/>
    <sheet name="HayBud" sheetId="49" state="hidden" r:id="rId65"/>
    <sheet name="CvrOprC" sheetId="48" state="hidden" r:id="rId66"/>
    <sheet name="CvrOwnC" sheetId="47" state="hidden" r:id="rId67"/>
    <sheet name="CvrBud" sheetId="46" state="hidden" r:id="rId68"/>
    <sheet name="GrzOprC" sheetId="34" state="hidden" r:id="rId69"/>
    <sheet name="GrzOwnC" sheetId="35" state="hidden" r:id="rId70"/>
    <sheet name="GrzBud" sheetId="36" state="hidden" r:id="rId71"/>
    <sheet name="CnGOprC" sheetId="15" state="hidden" r:id="rId72"/>
    <sheet name="CnGOwnC" sheetId="14" state="hidden" r:id="rId73"/>
    <sheet name="CnGBud" sheetId="16" state="hidden" r:id="rId74"/>
    <sheet name="SudOprC" sheetId="27" state="hidden" r:id="rId75"/>
    <sheet name="SudOwnC" sheetId="26" state="hidden" r:id="rId76"/>
    <sheet name="SudBud" sheetId="28" state="hidden" r:id="rId77"/>
    <sheet name="CanOprC" sheetId="45" state="hidden" r:id="rId78"/>
    <sheet name="CanOwnC" sheetId="44" state="hidden" r:id="rId79"/>
    <sheet name="CanBud" sheetId="43" state="hidden" r:id="rId80"/>
    <sheet name="BrcOprC" sheetId="39" state="hidden" r:id="rId81"/>
    <sheet name="BrcOwnC" sheetId="38" state="hidden" r:id="rId82"/>
    <sheet name="BrcBud" sheetId="37" state="hidden" r:id="rId83"/>
  </sheets>
  <externalReferences>
    <externalReference r:id="rId84"/>
    <externalReference r:id="rId85"/>
    <externalReference r:id="rId86"/>
    <externalReference r:id="rId87"/>
    <externalReference r:id="rId88"/>
  </externalReferences>
  <definedNames>
    <definedName name="_acreage_">Data!#REF!</definedName>
    <definedName name="_int_inv_">Data!$B$44</definedName>
    <definedName name="_int_inv_l">Data!$B$46</definedName>
    <definedName name="_int_inv_m">Data!$B$45</definedName>
    <definedName name="_int_oper_">Data!$B$47</definedName>
    <definedName name="_leased_land_">Data!$B$53</definedName>
    <definedName name="_tax_ins_">Data!$B$43</definedName>
    <definedName name="_wage_">Data!$B$123</definedName>
    <definedName name="_wage_crop">'[1]Key assumptions'!$B$36</definedName>
    <definedName name="_yield_">Data!#REF!</definedName>
    <definedName name="alfalfa">Data!$B$5</definedName>
    <definedName name="balehay">Data!$B$8</definedName>
    <definedName name="barley">Data!$B$12</definedName>
    <definedName name="broccoli">Data!$B$24</definedName>
    <definedName name="buckwheat">Data!$B$19</definedName>
    <definedName name="canola">Data!$B$23</definedName>
    <definedName name="clover">Data!$B$9</definedName>
    <definedName name="corn">[2]Calculations!$A$1</definedName>
    <definedName name="cropins">Data!$D$72</definedName>
    <definedName name="crops">Data!$B$25</definedName>
    <definedName name="diesel_fuel">Data!$B$122</definedName>
    <definedName name="gcorn">Data!$B$11</definedName>
    <definedName name="graze">Data!$B$10</definedName>
    <definedName name="hay">Data!$B$7</definedName>
    <definedName name="haylage">Data!$B$7</definedName>
    <definedName name="leasedbarley">PotOprC!#REF!</definedName>
    <definedName name="leasedpotato">PotOprC!#REF!</definedName>
    <definedName name="lime">Data!$E$85</definedName>
    <definedName name="limeapp">Data!$E$91</definedName>
    <definedName name="lube">Data!$D$65</definedName>
    <definedName name="model">Data!$B$1</definedName>
    <definedName name="oats">Data!$B$13</definedName>
    <definedName name="other">'[3]Crop production'!$B$15</definedName>
    <definedName name="othexp">Data!$D$75</definedName>
    <definedName name="peas">Data!$B$20</definedName>
    <definedName name="potato">Data!$B$4</definedName>
    <definedName name="_xlnm.Print_Area" localSheetId="4">'Budget Summary'!$A$1:$S$30</definedName>
    <definedName name="_xlnm.Print_Area" localSheetId="17">CP!$A$1:$N$83</definedName>
    <definedName name="_xlnm.Print_Area" localSheetId="1">FARM!$A$1:$P$28</definedName>
    <definedName name="_xlnm.Print_Area" localSheetId="2">INPUT!$A$1:$N$52</definedName>
    <definedName name="_xlnm.Print_Area" localSheetId="3">OS!$A$1:$AG$23</definedName>
    <definedName name="_xlnm.Print_Area" localSheetId="16">OSI!$A$1:$N$118</definedName>
    <definedName name="RiskAutoStopPercChange">1.5</definedName>
    <definedName name="RiskCollectDistributionSamples">2</definedName>
    <definedName name="RiskExcelReportsGoInNewWorkbook">TRUE</definedName>
    <definedName name="RiskExcelReportsToGenerate">39</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2000</definedName>
    <definedName name="RiskNumSimulations">3</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StatFunctionsUpdateFreq">1</definedName>
    <definedName name="RiskTemplateSheetName">"myTemplate"</definedName>
    <definedName name="RiskUpdateDisplay">FALSE</definedName>
    <definedName name="RiskUpdateStatFunctions">TRUE</definedName>
    <definedName name="RiskUseDifferentSeedForEachSim">FALSE</definedName>
    <definedName name="RiskUseFixedSeed">TRUE</definedName>
    <definedName name="RiskUseMultipleCPUs">FALSE</definedName>
    <definedName name="rotation">Data!$E$52</definedName>
    <definedName name="rye">Data!$B$14</definedName>
    <definedName name="scorn">Data!$B$6</definedName>
    <definedName name="senstrachrs">Data!$D$8</definedName>
    <definedName name="senstractot">Data!$D$9</definedName>
    <definedName name="soy">Data!$B$21</definedName>
    <definedName name="spelt">Data!$B$18</definedName>
    <definedName name="storeware">Data!#REF!</definedName>
    <definedName name="sudan">Data!$B$22</definedName>
    <definedName name="supplies">Data!$D$69</definedName>
    <definedName name="trac1desc">[4]Calculate!$G$37</definedName>
    <definedName name="tritcale">Data!$B$43</definedName>
    <definedName name="triticale">Data!$B$17</definedName>
    <definedName name="urea">Data!$F$80</definedName>
    <definedName name="wheat">Data!$B$15</definedName>
    <definedName name="wwheat">Data!$B$16</definedName>
  </definedNames>
  <calcPr calcId="152511"/>
</workbook>
</file>

<file path=xl/calcChain.xml><?xml version="1.0" encoding="utf-8"?>
<calcChain xmlns="http://schemas.openxmlformats.org/spreadsheetml/2006/main">
  <c r="E18" i="72" l="1"/>
  <c r="K2" i="95"/>
  <c r="E12" i="96"/>
  <c r="E9" i="96"/>
  <c r="G11" i="96"/>
  <c r="E14" i="96"/>
  <c r="N10" i="96"/>
  <c r="D90" i="56" l="1"/>
  <c r="D47" i="56"/>
  <c r="D69" i="91"/>
  <c r="D97" i="61"/>
  <c r="D97" i="87"/>
  <c r="D97" i="41"/>
  <c r="D97" i="30"/>
  <c r="D100" i="20"/>
  <c r="D97" i="20"/>
  <c r="E15" i="72"/>
  <c r="E24" i="72"/>
  <c r="E23" i="72"/>
  <c r="E22" i="72"/>
  <c r="E21" i="72"/>
  <c r="E20" i="72"/>
  <c r="E19" i="72"/>
  <c r="E17" i="72"/>
  <c r="E16" i="72"/>
  <c r="I9" i="74"/>
  <c r="I2" i="75"/>
  <c r="K10" i="96" l="1"/>
  <c r="K11" i="96"/>
  <c r="K12" i="96"/>
  <c r="K13" i="96"/>
  <c r="K14" i="96"/>
  <c r="K15" i="96"/>
  <c r="K9" i="96"/>
  <c r="B16" i="84"/>
  <c r="B16" i="83"/>
  <c r="B15" i="90"/>
  <c r="B16" i="82"/>
  <c r="B16" i="81"/>
  <c r="B16" i="86"/>
  <c r="B16" i="79"/>
  <c r="B16" i="78"/>
  <c r="B16" i="77"/>
  <c r="C7" i="82"/>
  <c r="C6" i="82"/>
  <c r="C7" i="81"/>
  <c r="C6" i="81"/>
  <c r="C7" i="86"/>
  <c r="C6" i="86"/>
  <c r="C7" i="79"/>
  <c r="C6" i="79"/>
  <c r="C7" i="78"/>
  <c r="C6" i="78"/>
  <c r="C7" i="77"/>
  <c r="C6" i="77"/>
  <c r="B16" i="76"/>
  <c r="C6" i="76"/>
  <c r="B5" i="76"/>
  <c r="B30" i="1"/>
  <c r="B31" i="1"/>
  <c r="B32" i="1"/>
  <c r="B33" i="1"/>
  <c r="B34" i="1"/>
  <c r="B35" i="1"/>
  <c r="B29" i="1"/>
  <c r="R10" i="96"/>
  <c r="R11" i="96"/>
  <c r="R12" i="96"/>
  <c r="R13" i="96"/>
  <c r="R14" i="96"/>
  <c r="R15" i="96"/>
  <c r="R9" i="96"/>
  <c r="S9" i="96"/>
  <c r="G29" i="1" s="1"/>
  <c r="D29" i="1" s="1"/>
  <c r="S10" i="96"/>
  <c r="G30" i="1" s="1"/>
  <c r="D30" i="1" s="1"/>
  <c r="S11" i="96"/>
  <c r="G31" i="1" s="1"/>
  <c r="D31" i="1" s="1"/>
  <c r="S12" i="96"/>
  <c r="G32" i="1" s="1"/>
  <c r="D32" i="1" s="1"/>
  <c r="S13" i="96"/>
  <c r="G33" i="1" s="1"/>
  <c r="D33" i="1" s="1"/>
  <c r="S14" i="96"/>
  <c r="G34" i="1" s="1"/>
  <c r="D34" i="1" s="1"/>
  <c r="S15" i="96"/>
  <c r="G35" i="1" s="1"/>
  <c r="D35" i="1" s="1"/>
  <c r="Q10" i="96"/>
  <c r="F30" i="1" s="1"/>
  <c r="C30" i="1" s="1"/>
  <c r="Q11" i="96"/>
  <c r="F31" i="1" s="1"/>
  <c r="C31" i="1" s="1"/>
  <c r="Q12" i="96"/>
  <c r="F32" i="1" s="1"/>
  <c r="C32" i="1" s="1"/>
  <c r="Q13" i="96"/>
  <c r="F33" i="1" s="1"/>
  <c r="C33" i="1" s="1"/>
  <c r="Q14" i="96"/>
  <c r="F34" i="1" s="1"/>
  <c r="C34" i="1" s="1"/>
  <c r="Q15" i="96"/>
  <c r="F35" i="1" s="1"/>
  <c r="C35" i="1" s="1"/>
  <c r="Q9" i="96"/>
  <c r="F29" i="1" s="1"/>
  <c r="C29" i="1" s="1"/>
  <c r="G15" i="96"/>
  <c r="G14" i="96"/>
  <c r="G13" i="96"/>
  <c r="G12" i="96"/>
  <c r="G10" i="96"/>
  <c r="G9" i="96"/>
  <c r="E15" i="96"/>
  <c r="E13" i="96"/>
  <c r="E11" i="96"/>
  <c r="E10" i="96"/>
  <c r="K67" i="1"/>
  <c r="K66" i="1"/>
  <c r="K65" i="1"/>
  <c r="K64" i="1"/>
  <c r="G19" i="72"/>
  <c r="B180" i="1"/>
  <c r="B188" i="1"/>
  <c r="N15" i="96"/>
  <c r="P15" i="96" s="1"/>
  <c r="B7" i="82" s="1"/>
  <c r="N14" i="96"/>
  <c r="O14" i="96" s="1"/>
  <c r="N13" i="96"/>
  <c r="O13" i="96" s="1"/>
  <c r="N12" i="96"/>
  <c r="P12" i="96" s="1"/>
  <c r="N11" i="96"/>
  <c r="O11" i="96" s="1"/>
  <c r="P10" i="96"/>
  <c r="N9" i="96"/>
  <c r="P9" i="96" s="1"/>
  <c r="B6" i="81" l="1"/>
  <c r="E6" i="81" s="1"/>
  <c r="B6" i="78"/>
  <c r="B7" i="79"/>
  <c r="E7" i="79" s="1"/>
  <c r="B6" i="86"/>
  <c r="E6" i="86" s="1"/>
  <c r="E7" i="82"/>
  <c r="E6" i="78"/>
  <c r="B7" i="77"/>
  <c r="E7" i="77" s="1"/>
  <c r="B7" i="76"/>
  <c r="M379" i="1"/>
  <c r="M380" i="1"/>
  <c r="O9" i="96"/>
  <c r="B6" i="76" s="1"/>
  <c r="E6" i="76" s="1"/>
  <c r="O15" i="96"/>
  <c r="B6" i="82" s="1"/>
  <c r="E6" i="82" s="1"/>
  <c r="O10" i="96"/>
  <c r="B6" i="77" s="1"/>
  <c r="E6" i="77" s="1"/>
  <c r="O12" i="96"/>
  <c r="B6" i="79" s="1"/>
  <c r="E6" i="79" s="1"/>
  <c r="P11" i="96"/>
  <c r="B7" i="78" s="1"/>
  <c r="E7" i="78" s="1"/>
  <c r="P14" i="96"/>
  <c r="B7" i="81" s="1"/>
  <c r="E7" i="81" s="1"/>
  <c r="P13" i="96"/>
  <c r="B7" i="86" s="1"/>
  <c r="E7" i="86" s="1"/>
  <c r="E8" i="72"/>
  <c r="B43" i="24"/>
  <c r="B40" i="24"/>
  <c r="B37" i="24"/>
  <c r="B35" i="24"/>
  <c r="B34" i="24"/>
  <c r="B32" i="24"/>
  <c r="B31" i="24"/>
  <c r="B27" i="24"/>
  <c r="B26" i="24"/>
  <c r="B25" i="24"/>
  <c r="B24" i="24"/>
  <c r="B23" i="24"/>
  <c r="B22" i="24"/>
  <c r="B21" i="24"/>
  <c r="B43" i="55"/>
  <c r="B40" i="55"/>
  <c r="B37" i="55"/>
  <c r="B35" i="55"/>
  <c r="B34" i="55"/>
  <c r="B32" i="55"/>
  <c r="B31" i="55"/>
  <c r="B27" i="55"/>
  <c r="B26" i="55"/>
  <c r="B25" i="55"/>
  <c r="B24" i="55"/>
  <c r="B23" i="55"/>
  <c r="B22" i="55"/>
  <c r="B21" i="55"/>
  <c r="B43" i="92"/>
  <c r="B40" i="92"/>
  <c r="B37" i="92"/>
  <c r="B35" i="92"/>
  <c r="B34" i="92"/>
  <c r="B33" i="92"/>
  <c r="B31" i="92"/>
  <c r="B30" i="92"/>
  <c r="B26" i="92"/>
  <c r="B25" i="92"/>
  <c r="B24" i="92"/>
  <c r="B23" i="92"/>
  <c r="B22" i="92"/>
  <c r="B21" i="92"/>
  <c r="B20" i="92"/>
  <c r="B59" i="57"/>
  <c r="B56" i="57"/>
  <c r="B42" i="57"/>
  <c r="B40" i="57"/>
  <c r="B39" i="57"/>
  <c r="B37" i="57"/>
  <c r="B36" i="57"/>
  <c r="B35" i="57"/>
  <c r="B34" i="57"/>
  <c r="B33" i="57"/>
  <c r="B29" i="57"/>
  <c r="B28" i="57"/>
  <c r="B27" i="57"/>
  <c r="B26" i="57"/>
  <c r="B59" i="60"/>
  <c r="B56" i="60"/>
  <c r="B42" i="60"/>
  <c r="B40" i="60"/>
  <c r="B39" i="60"/>
  <c r="B37" i="60"/>
  <c r="B36" i="60"/>
  <c r="B35" i="60"/>
  <c r="B34" i="60"/>
  <c r="B33" i="60"/>
  <c r="B29" i="60"/>
  <c r="B28" i="60"/>
  <c r="B27" i="60"/>
  <c r="B26" i="60"/>
  <c r="B59" i="88"/>
  <c r="B56" i="88"/>
  <c r="B42" i="88"/>
  <c r="B40" i="88"/>
  <c r="B39" i="88"/>
  <c r="B37" i="88"/>
  <c r="B36" i="88"/>
  <c r="B35" i="88"/>
  <c r="B34" i="88"/>
  <c r="B33" i="88"/>
  <c r="B29" i="88"/>
  <c r="B28" i="88"/>
  <c r="B27" i="88"/>
  <c r="B26" i="88"/>
  <c r="B59" i="42"/>
  <c r="B56" i="42"/>
  <c r="B42" i="42"/>
  <c r="B40" i="42"/>
  <c r="B39" i="42"/>
  <c r="B37" i="42"/>
  <c r="B36" i="42"/>
  <c r="B35" i="42"/>
  <c r="B34" i="42"/>
  <c r="B33" i="42"/>
  <c r="B29" i="42"/>
  <c r="B28" i="42"/>
  <c r="B27" i="42"/>
  <c r="B26" i="42"/>
  <c r="B59" i="31"/>
  <c r="B56" i="31"/>
  <c r="B42" i="31"/>
  <c r="B40" i="31"/>
  <c r="B39" i="31"/>
  <c r="B37" i="31"/>
  <c r="B36" i="31"/>
  <c r="B35" i="31"/>
  <c r="B34" i="31"/>
  <c r="B33" i="31"/>
  <c r="B29" i="31"/>
  <c r="B28" i="31"/>
  <c r="B27" i="31"/>
  <c r="B26" i="31"/>
  <c r="B59" i="21"/>
  <c r="B56" i="21"/>
  <c r="B42" i="21"/>
  <c r="B40" i="21"/>
  <c r="B39" i="21"/>
  <c r="B37" i="21"/>
  <c r="B36" i="21"/>
  <c r="B35" i="21"/>
  <c r="B34" i="21"/>
  <c r="B33" i="21"/>
  <c r="B29" i="21"/>
  <c r="B28" i="21"/>
  <c r="B27" i="21"/>
  <c r="B26" i="21"/>
  <c r="B59" i="18"/>
  <c r="B56" i="18"/>
  <c r="B42" i="18"/>
  <c r="B40" i="18"/>
  <c r="B39" i="18"/>
  <c r="B36" i="18"/>
  <c r="B35" i="18"/>
  <c r="B34" i="18"/>
  <c r="B33" i="18"/>
  <c r="B29" i="18"/>
  <c r="B28" i="18"/>
  <c r="B27" i="18"/>
  <c r="B26" i="18"/>
  <c r="L31" i="24"/>
  <c r="L27" i="24"/>
  <c r="L31" i="55"/>
  <c r="L27" i="55"/>
  <c r="L30" i="92"/>
  <c r="L26" i="92"/>
  <c r="L36" i="57"/>
  <c r="L35" i="57"/>
  <c r="L36" i="60"/>
  <c r="L35" i="60"/>
  <c r="L36" i="88"/>
  <c r="L35" i="88"/>
  <c r="L36" i="42"/>
  <c r="L35" i="42"/>
  <c r="L36" i="31"/>
  <c r="L35" i="31"/>
  <c r="L36" i="21"/>
  <c r="L35" i="21"/>
  <c r="L36" i="18"/>
  <c r="L35" i="18"/>
  <c r="C5" i="84"/>
  <c r="C5" i="83"/>
  <c r="C5" i="90"/>
  <c r="C5" i="82"/>
  <c r="C5" i="81"/>
  <c r="C5" i="86"/>
  <c r="C5" i="79"/>
  <c r="C5" i="78"/>
  <c r="C5" i="77"/>
  <c r="B9" i="76"/>
  <c r="C7" i="76"/>
  <c r="AA2" i="94"/>
  <c r="K63" i="1"/>
  <c r="K62" i="1"/>
  <c r="K61" i="1"/>
  <c r="K60" i="1"/>
  <c r="K59" i="1"/>
  <c r="K58" i="1"/>
  <c r="E7" i="76" l="1"/>
  <c r="C5" i="76"/>
  <c r="E85" i="25"/>
  <c r="E85" i="54"/>
  <c r="E85" i="89"/>
  <c r="E100" i="59"/>
  <c r="E98" i="59"/>
  <c r="C100" i="59"/>
  <c r="E100" i="62"/>
  <c r="E98" i="62"/>
  <c r="C100" i="62"/>
  <c r="E100" i="85"/>
  <c r="E98" i="85"/>
  <c r="C100" i="85"/>
  <c r="E100" i="40"/>
  <c r="E98" i="40"/>
  <c r="C100" i="40"/>
  <c r="E100" i="33"/>
  <c r="E98" i="33"/>
  <c r="C100" i="33"/>
  <c r="E100" i="22"/>
  <c r="E98" i="22"/>
  <c r="C100" i="22"/>
  <c r="B47" i="1" l="1"/>
  <c r="I105" i="23" l="1"/>
  <c r="I104" i="23"/>
  <c r="I103" i="23"/>
  <c r="I95" i="23"/>
  <c r="I94" i="23"/>
  <c r="I93" i="23"/>
  <c r="I92" i="23"/>
  <c r="I91" i="23"/>
  <c r="I90" i="23"/>
  <c r="I89" i="23"/>
  <c r="I88" i="23"/>
  <c r="I87" i="23"/>
  <c r="I84" i="23"/>
  <c r="I83" i="23"/>
  <c r="I82" i="23"/>
  <c r="I79" i="23"/>
  <c r="I78" i="23"/>
  <c r="I77" i="23"/>
  <c r="I76" i="23"/>
  <c r="I75" i="23"/>
  <c r="I74" i="23"/>
  <c r="I71" i="23"/>
  <c r="I70" i="23"/>
  <c r="I69" i="23"/>
  <c r="I68" i="23"/>
  <c r="I67" i="23"/>
  <c r="I66" i="23"/>
  <c r="I63" i="23"/>
  <c r="I62" i="23"/>
  <c r="I61" i="23"/>
  <c r="I58" i="23"/>
  <c r="I57" i="23"/>
  <c r="I56" i="23"/>
  <c r="I55" i="23"/>
  <c r="I52" i="23"/>
  <c r="I51" i="23"/>
  <c r="I50" i="23"/>
  <c r="I49" i="23"/>
  <c r="I48" i="23"/>
  <c r="I47" i="23"/>
  <c r="I46" i="23"/>
  <c r="I45" i="23"/>
  <c r="I44" i="23"/>
  <c r="I43" i="23"/>
  <c r="I42" i="23"/>
  <c r="I41" i="23"/>
  <c r="I40" i="23"/>
  <c r="I39" i="23"/>
  <c r="I38" i="23"/>
  <c r="I37" i="23"/>
  <c r="I36" i="23"/>
  <c r="I35" i="23"/>
  <c r="I32" i="23"/>
  <c r="I31" i="23"/>
  <c r="I30" i="23"/>
  <c r="I29" i="23"/>
  <c r="I28" i="23"/>
  <c r="I27" i="23"/>
  <c r="I26" i="23"/>
  <c r="I23" i="23"/>
  <c r="I22" i="23"/>
  <c r="I21" i="23"/>
  <c r="I20" i="23"/>
  <c r="I19" i="23"/>
  <c r="I18" i="23"/>
  <c r="I17" i="23"/>
  <c r="I16" i="23"/>
  <c r="I15" i="23"/>
  <c r="I14" i="23"/>
  <c r="I13" i="23"/>
  <c r="I12" i="23"/>
  <c r="I11" i="23"/>
  <c r="I10" i="23"/>
  <c r="I9" i="23"/>
  <c r="I105" i="56"/>
  <c r="I104" i="56"/>
  <c r="I103" i="56"/>
  <c r="I95" i="56"/>
  <c r="I94" i="56"/>
  <c r="I93" i="56"/>
  <c r="I92" i="56"/>
  <c r="I91" i="56"/>
  <c r="I90" i="56"/>
  <c r="I89" i="56"/>
  <c r="I88" i="56"/>
  <c r="I87" i="56"/>
  <c r="I84" i="56"/>
  <c r="I83" i="56"/>
  <c r="I82" i="56"/>
  <c r="I79" i="56"/>
  <c r="I78" i="56"/>
  <c r="I77" i="56"/>
  <c r="I76" i="56"/>
  <c r="I75" i="56"/>
  <c r="I74" i="56"/>
  <c r="I71" i="56"/>
  <c r="I70" i="56"/>
  <c r="I69" i="56"/>
  <c r="I68" i="56"/>
  <c r="I67" i="56"/>
  <c r="I66" i="56"/>
  <c r="I63" i="56"/>
  <c r="I62" i="56"/>
  <c r="I61" i="56"/>
  <c r="I58" i="56"/>
  <c r="I57" i="56"/>
  <c r="I56" i="56"/>
  <c r="I55" i="56"/>
  <c r="I52" i="56"/>
  <c r="I51" i="56"/>
  <c r="I50" i="56"/>
  <c r="I49" i="56"/>
  <c r="I48" i="56"/>
  <c r="I47" i="56"/>
  <c r="I46" i="56"/>
  <c r="I45" i="56"/>
  <c r="I44" i="56"/>
  <c r="I43" i="56"/>
  <c r="I42" i="56"/>
  <c r="I41" i="56"/>
  <c r="I40" i="56"/>
  <c r="I39" i="56"/>
  <c r="I38" i="56"/>
  <c r="I37" i="56"/>
  <c r="I36" i="56"/>
  <c r="I35" i="56"/>
  <c r="I32" i="56"/>
  <c r="I31" i="56"/>
  <c r="I30" i="56"/>
  <c r="I29" i="56"/>
  <c r="I28" i="56"/>
  <c r="I27" i="56"/>
  <c r="I26" i="56"/>
  <c r="I23" i="56"/>
  <c r="I22" i="56"/>
  <c r="I21" i="56"/>
  <c r="I20" i="56"/>
  <c r="I19" i="56"/>
  <c r="I18" i="56"/>
  <c r="I17" i="56"/>
  <c r="I16" i="56"/>
  <c r="I15" i="56"/>
  <c r="I14" i="56"/>
  <c r="I13" i="56"/>
  <c r="I12" i="56"/>
  <c r="I11" i="56"/>
  <c r="I10" i="56"/>
  <c r="I9" i="56"/>
  <c r="I115" i="91"/>
  <c r="I114" i="91"/>
  <c r="I113" i="91"/>
  <c r="I105" i="91"/>
  <c r="I104" i="91"/>
  <c r="I103" i="91"/>
  <c r="I102" i="91"/>
  <c r="I101" i="91"/>
  <c r="I100" i="91"/>
  <c r="I99" i="91"/>
  <c r="I98" i="91"/>
  <c r="I97" i="91"/>
  <c r="I96" i="91"/>
  <c r="I93" i="91"/>
  <c r="I92" i="91"/>
  <c r="I91" i="91"/>
  <c r="I88" i="91"/>
  <c r="I87" i="91"/>
  <c r="I86" i="91"/>
  <c r="I85" i="91"/>
  <c r="I84" i="91"/>
  <c r="I83" i="91"/>
  <c r="I80" i="91"/>
  <c r="I79" i="91"/>
  <c r="I78" i="91"/>
  <c r="I77" i="91"/>
  <c r="I76" i="91"/>
  <c r="I75" i="91"/>
  <c r="I74" i="91"/>
  <c r="I73" i="91"/>
  <c r="I72" i="91"/>
  <c r="I71" i="91"/>
  <c r="I70" i="91"/>
  <c r="I69" i="91"/>
  <c r="I66" i="91"/>
  <c r="I65" i="91"/>
  <c r="I64" i="91"/>
  <c r="I61" i="91"/>
  <c r="I60" i="91"/>
  <c r="I59" i="91"/>
  <c r="I58" i="91"/>
  <c r="I57" i="91"/>
  <c r="I56" i="91"/>
  <c r="I55" i="91"/>
  <c r="I54" i="91"/>
  <c r="I53" i="91"/>
  <c r="I52" i="91"/>
  <c r="I49" i="91"/>
  <c r="I48" i="91"/>
  <c r="I47" i="91"/>
  <c r="I46" i="91"/>
  <c r="I45" i="91"/>
  <c r="I44" i="91"/>
  <c r="I43" i="91"/>
  <c r="I42" i="91"/>
  <c r="I41" i="91"/>
  <c r="I40" i="91"/>
  <c r="I39" i="91"/>
  <c r="I38" i="91"/>
  <c r="I37" i="91"/>
  <c r="I36" i="91"/>
  <c r="I35" i="91"/>
  <c r="I32" i="91"/>
  <c r="I31" i="91"/>
  <c r="I30" i="91"/>
  <c r="I29" i="91"/>
  <c r="I28" i="91"/>
  <c r="I27" i="91"/>
  <c r="I26" i="91"/>
  <c r="I23" i="91"/>
  <c r="I22" i="91"/>
  <c r="I21" i="91"/>
  <c r="I20" i="91"/>
  <c r="I19" i="91"/>
  <c r="I18" i="91"/>
  <c r="I17" i="91"/>
  <c r="I16" i="91"/>
  <c r="I15" i="91"/>
  <c r="I14" i="91"/>
  <c r="I13" i="91"/>
  <c r="I12" i="91"/>
  <c r="I11" i="91"/>
  <c r="I10" i="91"/>
  <c r="I9" i="91"/>
  <c r="I112" i="58"/>
  <c r="I111" i="58"/>
  <c r="I110" i="58"/>
  <c r="I102" i="58"/>
  <c r="I101" i="58"/>
  <c r="I100" i="58"/>
  <c r="I99" i="58"/>
  <c r="I98" i="58"/>
  <c r="I97" i="58"/>
  <c r="I96" i="58"/>
  <c r="I95" i="58"/>
  <c r="I94" i="58"/>
  <c r="I93" i="58"/>
  <c r="I90" i="58"/>
  <c r="I89" i="58"/>
  <c r="I88" i="58"/>
  <c r="I85" i="58"/>
  <c r="I84" i="58"/>
  <c r="I83" i="58"/>
  <c r="I82" i="58"/>
  <c r="I81" i="58"/>
  <c r="I80" i="58"/>
  <c r="I77" i="58"/>
  <c r="I76" i="58"/>
  <c r="I75" i="58"/>
  <c r="I74" i="58"/>
  <c r="I73" i="58"/>
  <c r="I72" i="58"/>
  <c r="I71" i="58"/>
  <c r="I70" i="58"/>
  <c r="I69" i="58"/>
  <c r="I66" i="58"/>
  <c r="I65" i="58"/>
  <c r="I64" i="58"/>
  <c r="I61" i="58"/>
  <c r="I60" i="58"/>
  <c r="I59" i="58"/>
  <c r="I58" i="58"/>
  <c r="I57" i="58"/>
  <c r="I56" i="58"/>
  <c r="I55" i="58"/>
  <c r="I54" i="58"/>
  <c r="I53" i="58"/>
  <c r="I52" i="58"/>
  <c r="I49" i="58"/>
  <c r="I48" i="58"/>
  <c r="I47" i="58"/>
  <c r="I46" i="58"/>
  <c r="I45" i="58"/>
  <c r="I44" i="58"/>
  <c r="I43" i="58"/>
  <c r="I42" i="58"/>
  <c r="I41" i="58"/>
  <c r="I40" i="58"/>
  <c r="I39" i="58"/>
  <c r="I38" i="58"/>
  <c r="I37" i="58"/>
  <c r="I36" i="58"/>
  <c r="I35" i="58"/>
  <c r="I32" i="58"/>
  <c r="I31" i="58"/>
  <c r="I30" i="58"/>
  <c r="I29" i="58"/>
  <c r="I28" i="58"/>
  <c r="I27" i="58"/>
  <c r="I26" i="58"/>
  <c r="I23" i="58"/>
  <c r="I22" i="58"/>
  <c r="I21" i="58"/>
  <c r="I20" i="58"/>
  <c r="I19" i="58"/>
  <c r="I18" i="58"/>
  <c r="I17" i="58"/>
  <c r="I16" i="58"/>
  <c r="I15" i="58"/>
  <c r="I14" i="58"/>
  <c r="I13" i="58"/>
  <c r="I12" i="58"/>
  <c r="I11" i="58"/>
  <c r="I10" i="58"/>
  <c r="I9" i="58"/>
  <c r="I112" i="61"/>
  <c r="I111" i="61"/>
  <c r="I110" i="61"/>
  <c r="I102" i="61"/>
  <c r="I101" i="61"/>
  <c r="I100" i="61"/>
  <c r="I99" i="61"/>
  <c r="I98" i="61"/>
  <c r="I97" i="61"/>
  <c r="I96" i="61"/>
  <c r="I95" i="61"/>
  <c r="I94" i="61"/>
  <c r="I93" i="61"/>
  <c r="I90" i="61"/>
  <c r="I89" i="61"/>
  <c r="I88" i="61"/>
  <c r="I85" i="61"/>
  <c r="I84" i="61"/>
  <c r="I83" i="61"/>
  <c r="I82" i="61"/>
  <c r="I81" i="61"/>
  <c r="I80" i="61"/>
  <c r="I77" i="61"/>
  <c r="I76" i="61"/>
  <c r="I75" i="61"/>
  <c r="I74" i="61"/>
  <c r="I73" i="61"/>
  <c r="I72" i="61"/>
  <c r="I71" i="61"/>
  <c r="I70" i="61"/>
  <c r="I69" i="61"/>
  <c r="I66" i="61"/>
  <c r="I65" i="61"/>
  <c r="I64" i="61"/>
  <c r="I61" i="61"/>
  <c r="I60" i="61"/>
  <c r="I59" i="61"/>
  <c r="I58" i="61"/>
  <c r="I57" i="61"/>
  <c r="I56" i="61"/>
  <c r="I55" i="61"/>
  <c r="I54" i="61"/>
  <c r="I53" i="61"/>
  <c r="I52" i="61"/>
  <c r="I49" i="61"/>
  <c r="I48" i="61"/>
  <c r="I47" i="61"/>
  <c r="I46" i="61"/>
  <c r="I45" i="61"/>
  <c r="I44" i="61"/>
  <c r="I43" i="61"/>
  <c r="I42" i="61"/>
  <c r="I41" i="61"/>
  <c r="I40" i="61"/>
  <c r="I39" i="61"/>
  <c r="I38" i="61"/>
  <c r="I37" i="61"/>
  <c r="I36" i="61"/>
  <c r="I35" i="61"/>
  <c r="I32" i="61"/>
  <c r="I31" i="61"/>
  <c r="I30" i="61"/>
  <c r="I29" i="61"/>
  <c r="I28" i="61"/>
  <c r="I27" i="61"/>
  <c r="I26" i="61"/>
  <c r="I23" i="61"/>
  <c r="I22" i="61"/>
  <c r="I21" i="61"/>
  <c r="I20" i="61"/>
  <c r="I19" i="61"/>
  <c r="I18" i="61"/>
  <c r="I17" i="61"/>
  <c r="I16" i="61"/>
  <c r="I15" i="61"/>
  <c r="I14" i="61"/>
  <c r="I13" i="61"/>
  <c r="I12" i="61"/>
  <c r="I11" i="61"/>
  <c r="I10" i="61"/>
  <c r="I9" i="61"/>
  <c r="I112" i="87"/>
  <c r="I111" i="87"/>
  <c r="I110" i="87"/>
  <c r="I102" i="87"/>
  <c r="I101" i="87"/>
  <c r="I100" i="87"/>
  <c r="I99" i="87"/>
  <c r="I98" i="87"/>
  <c r="I97" i="87"/>
  <c r="I96" i="87"/>
  <c r="I95" i="87"/>
  <c r="I94" i="87"/>
  <c r="I93" i="87"/>
  <c r="I90" i="87"/>
  <c r="I89" i="87"/>
  <c r="I88" i="87"/>
  <c r="I85" i="87"/>
  <c r="I84" i="87"/>
  <c r="I83" i="87"/>
  <c r="I82" i="87"/>
  <c r="I81" i="87"/>
  <c r="I80" i="87"/>
  <c r="I77" i="87"/>
  <c r="I76" i="87"/>
  <c r="I75" i="87"/>
  <c r="I74" i="87"/>
  <c r="I73" i="87"/>
  <c r="I72" i="87"/>
  <c r="I71" i="87"/>
  <c r="I70" i="87"/>
  <c r="I69" i="87"/>
  <c r="I66" i="87"/>
  <c r="I65" i="87"/>
  <c r="I64" i="87"/>
  <c r="I61" i="87"/>
  <c r="I60" i="87"/>
  <c r="I59" i="87"/>
  <c r="I58" i="87"/>
  <c r="I57" i="87"/>
  <c r="I56" i="87"/>
  <c r="I55" i="87"/>
  <c r="I54" i="87"/>
  <c r="I53" i="87"/>
  <c r="I52" i="87"/>
  <c r="I49" i="87"/>
  <c r="I48" i="87"/>
  <c r="I47" i="87"/>
  <c r="I46" i="87"/>
  <c r="I45" i="87"/>
  <c r="I44" i="87"/>
  <c r="I43" i="87"/>
  <c r="I42" i="87"/>
  <c r="I41" i="87"/>
  <c r="I40" i="87"/>
  <c r="I39" i="87"/>
  <c r="I38" i="87"/>
  <c r="I37" i="87"/>
  <c r="I36" i="87"/>
  <c r="I35" i="87"/>
  <c r="I32" i="87"/>
  <c r="I31" i="87"/>
  <c r="I30" i="87"/>
  <c r="I29" i="87"/>
  <c r="I28" i="87"/>
  <c r="I27" i="87"/>
  <c r="I26" i="87"/>
  <c r="I23" i="87"/>
  <c r="I22" i="87"/>
  <c r="I21" i="87"/>
  <c r="I20" i="87"/>
  <c r="I19" i="87"/>
  <c r="I18" i="87"/>
  <c r="I17" i="87"/>
  <c r="I16" i="87"/>
  <c r="I15" i="87"/>
  <c r="I14" i="87"/>
  <c r="I13" i="87"/>
  <c r="I12" i="87"/>
  <c r="I11" i="87"/>
  <c r="I10" i="87"/>
  <c r="I9" i="87"/>
  <c r="I112" i="41"/>
  <c r="I111" i="41"/>
  <c r="I110" i="41"/>
  <c r="I102" i="41"/>
  <c r="I101" i="41"/>
  <c r="I100" i="41"/>
  <c r="I99" i="41"/>
  <c r="I98" i="41"/>
  <c r="I97" i="41"/>
  <c r="I96" i="41"/>
  <c r="I95" i="41"/>
  <c r="I94" i="41"/>
  <c r="I93" i="41"/>
  <c r="I90" i="41"/>
  <c r="I89" i="41"/>
  <c r="I88" i="41"/>
  <c r="I85" i="41"/>
  <c r="I84" i="41"/>
  <c r="I83" i="41"/>
  <c r="I82" i="41"/>
  <c r="I81" i="41"/>
  <c r="I80" i="41"/>
  <c r="I77" i="41"/>
  <c r="I76" i="41"/>
  <c r="I75" i="41"/>
  <c r="I74" i="41"/>
  <c r="I73" i="41"/>
  <c r="I72" i="41"/>
  <c r="I71" i="41"/>
  <c r="I70" i="41"/>
  <c r="I69" i="41"/>
  <c r="I66" i="41"/>
  <c r="I65" i="41"/>
  <c r="I64" i="41"/>
  <c r="I61" i="41"/>
  <c r="I60" i="41"/>
  <c r="I59" i="41"/>
  <c r="I58" i="41"/>
  <c r="I57" i="41"/>
  <c r="I56" i="41"/>
  <c r="I55" i="41"/>
  <c r="I54" i="41"/>
  <c r="I53" i="41"/>
  <c r="I52" i="41"/>
  <c r="I49" i="41"/>
  <c r="I48" i="41"/>
  <c r="I47" i="41"/>
  <c r="I46" i="41"/>
  <c r="I45" i="41"/>
  <c r="I44" i="41"/>
  <c r="I43" i="41"/>
  <c r="I42" i="41"/>
  <c r="I41" i="41"/>
  <c r="I40" i="41"/>
  <c r="I39" i="41"/>
  <c r="I38" i="41"/>
  <c r="I37" i="41"/>
  <c r="I36" i="41"/>
  <c r="I35" i="41"/>
  <c r="I32" i="41"/>
  <c r="I31" i="41"/>
  <c r="I30" i="41"/>
  <c r="I29" i="41"/>
  <c r="I28" i="41"/>
  <c r="I27" i="41"/>
  <c r="I26" i="41"/>
  <c r="I23" i="41"/>
  <c r="I22" i="41"/>
  <c r="I21" i="41"/>
  <c r="I20" i="41"/>
  <c r="I19" i="41"/>
  <c r="I18" i="41"/>
  <c r="I17" i="41"/>
  <c r="I16" i="41"/>
  <c r="I15" i="41"/>
  <c r="I14" i="41"/>
  <c r="I13" i="41"/>
  <c r="I12" i="41"/>
  <c r="I11" i="41"/>
  <c r="I10" i="41"/>
  <c r="I9" i="41"/>
  <c r="I112" i="30"/>
  <c r="I111" i="30"/>
  <c r="I110" i="30"/>
  <c r="I102" i="30"/>
  <c r="I101" i="30"/>
  <c r="I100" i="30"/>
  <c r="I99" i="30"/>
  <c r="I98" i="30"/>
  <c r="I97" i="30"/>
  <c r="I96" i="30"/>
  <c r="I95" i="30"/>
  <c r="I94" i="30"/>
  <c r="I93" i="30"/>
  <c r="I90" i="30"/>
  <c r="I89" i="30"/>
  <c r="I88" i="30"/>
  <c r="I85" i="30"/>
  <c r="I84" i="30"/>
  <c r="I83" i="30"/>
  <c r="I82" i="30"/>
  <c r="I81" i="30"/>
  <c r="I80" i="30"/>
  <c r="I77" i="30"/>
  <c r="I76" i="30"/>
  <c r="I75" i="30"/>
  <c r="I74" i="30"/>
  <c r="I73" i="30"/>
  <c r="I72" i="30"/>
  <c r="I71" i="30"/>
  <c r="I70" i="30"/>
  <c r="I69" i="30"/>
  <c r="I66" i="30"/>
  <c r="I65" i="30"/>
  <c r="I64" i="30"/>
  <c r="I61" i="30"/>
  <c r="I60" i="30"/>
  <c r="I59" i="30"/>
  <c r="I58" i="30"/>
  <c r="I57" i="30"/>
  <c r="I56" i="30"/>
  <c r="I55" i="30"/>
  <c r="I54" i="30"/>
  <c r="I53" i="30"/>
  <c r="I52" i="30"/>
  <c r="I49" i="30"/>
  <c r="I48" i="30"/>
  <c r="I47" i="30"/>
  <c r="I46" i="30"/>
  <c r="I45" i="30"/>
  <c r="I44" i="30"/>
  <c r="I43" i="30"/>
  <c r="I42" i="30"/>
  <c r="I41" i="30"/>
  <c r="I40" i="30"/>
  <c r="I39" i="30"/>
  <c r="I38" i="30"/>
  <c r="I37" i="30"/>
  <c r="I36" i="30"/>
  <c r="I35" i="30"/>
  <c r="I32" i="30"/>
  <c r="I31" i="30"/>
  <c r="I30" i="30"/>
  <c r="I29" i="30"/>
  <c r="I28" i="30"/>
  <c r="I27" i="30"/>
  <c r="I26" i="30"/>
  <c r="I23" i="30"/>
  <c r="I22" i="30"/>
  <c r="I21" i="30"/>
  <c r="I20" i="30"/>
  <c r="I19" i="30"/>
  <c r="I18" i="30"/>
  <c r="I17" i="30"/>
  <c r="I16" i="30"/>
  <c r="I15" i="30"/>
  <c r="I14" i="30"/>
  <c r="I13" i="30"/>
  <c r="I12" i="30"/>
  <c r="I11" i="30"/>
  <c r="I10" i="30"/>
  <c r="I9" i="30"/>
  <c r="I112" i="20"/>
  <c r="I111" i="20"/>
  <c r="I110" i="20"/>
  <c r="I102" i="20"/>
  <c r="I101" i="20"/>
  <c r="I100" i="20"/>
  <c r="I99" i="20"/>
  <c r="I98" i="20"/>
  <c r="I97" i="20"/>
  <c r="I96" i="20"/>
  <c r="I95" i="20"/>
  <c r="I94" i="20"/>
  <c r="I93" i="20"/>
  <c r="I90" i="20"/>
  <c r="I89" i="20"/>
  <c r="I88" i="20"/>
  <c r="I85" i="20"/>
  <c r="I84" i="20"/>
  <c r="I83" i="20"/>
  <c r="I82" i="20"/>
  <c r="I81" i="20"/>
  <c r="I80" i="20"/>
  <c r="I77" i="20"/>
  <c r="I76" i="20"/>
  <c r="I75" i="20"/>
  <c r="I74" i="20"/>
  <c r="I73" i="20"/>
  <c r="I72" i="20"/>
  <c r="I71" i="20"/>
  <c r="I70" i="20"/>
  <c r="I69" i="20"/>
  <c r="I66" i="20"/>
  <c r="I65" i="20"/>
  <c r="I64" i="20"/>
  <c r="I61" i="20"/>
  <c r="I60" i="20"/>
  <c r="I59" i="20"/>
  <c r="I58" i="20"/>
  <c r="I57" i="20"/>
  <c r="I56" i="20"/>
  <c r="I55" i="20"/>
  <c r="I54" i="20"/>
  <c r="I53" i="20"/>
  <c r="I52" i="20"/>
  <c r="I49" i="20"/>
  <c r="I48" i="20"/>
  <c r="I47" i="20"/>
  <c r="I46" i="20"/>
  <c r="I45" i="20"/>
  <c r="I44" i="20"/>
  <c r="I43" i="20"/>
  <c r="I42" i="20"/>
  <c r="I41" i="20"/>
  <c r="I40" i="20"/>
  <c r="I39" i="20"/>
  <c r="I38" i="20"/>
  <c r="I37" i="20"/>
  <c r="I36" i="20"/>
  <c r="I35" i="20"/>
  <c r="I32" i="20"/>
  <c r="I31" i="20"/>
  <c r="I30" i="20"/>
  <c r="I29" i="20"/>
  <c r="I28" i="20"/>
  <c r="I27" i="20"/>
  <c r="I26" i="20"/>
  <c r="I23" i="20"/>
  <c r="I22" i="20"/>
  <c r="I21" i="20"/>
  <c r="I20" i="20"/>
  <c r="I19" i="20"/>
  <c r="I18" i="20"/>
  <c r="I17" i="20"/>
  <c r="I16" i="20"/>
  <c r="I15" i="20"/>
  <c r="I14" i="20"/>
  <c r="I13" i="20"/>
  <c r="I12" i="20"/>
  <c r="I11" i="20"/>
  <c r="I10" i="20"/>
  <c r="I9" i="20"/>
  <c r="I112" i="17"/>
  <c r="I111" i="17"/>
  <c r="I110" i="17"/>
  <c r="I102" i="17"/>
  <c r="I101" i="17"/>
  <c r="I100" i="17"/>
  <c r="I99" i="17"/>
  <c r="I98" i="17"/>
  <c r="I97" i="17"/>
  <c r="I96" i="17"/>
  <c r="I95" i="17"/>
  <c r="I94" i="17"/>
  <c r="I93" i="17"/>
  <c r="I90" i="17"/>
  <c r="I89" i="17"/>
  <c r="I88" i="17"/>
  <c r="I85" i="17"/>
  <c r="I84" i="17"/>
  <c r="I83" i="17"/>
  <c r="I82" i="17"/>
  <c r="I81" i="17"/>
  <c r="I80" i="17"/>
  <c r="I77" i="17"/>
  <c r="I76" i="17"/>
  <c r="I75" i="17"/>
  <c r="I74" i="17"/>
  <c r="I73" i="17"/>
  <c r="I72" i="17"/>
  <c r="I71" i="17"/>
  <c r="I70" i="17"/>
  <c r="I69" i="17"/>
  <c r="I66" i="17"/>
  <c r="I65" i="17"/>
  <c r="I64" i="17"/>
  <c r="I61" i="17"/>
  <c r="I60" i="17"/>
  <c r="I59" i="17"/>
  <c r="I58" i="17"/>
  <c r="I57" i="17"/>
  <c r="I56" i="17"/>
  <c r="I55" i="17"/>
  <c r="I54" i="17"/>
  <c r="I53" i="17"/>
  <c r="I52" i="17"/>
  <c r="I49" i="17"/>
  <c r="I48" i="17"/>
  <c r="I47" i="17"/>
  <c r="I46" i="17"/>
  <c r="I45" i="17"/>
  <c r="I44" i="17"/>
  <c r="I43" i="17"/>
  <c r="I42" i="17"/>
  <c r="I41" i="17"/>
  <c r="I40" i="17"/>
  <c r="I39" i="17"/>
  <c r="I38" i="17"/>
  <c r="I37" i="17"/>
  <c r="I36" i="17"/>
  <c r="I35" i="17"/>
  <c r="I32" i="17"/>
  <c r="I31" i="17"/>
  <c r="I30" i="17"/>
  <c r="I29" i="17"/>
  <c r="I28" i="17"/>
  <c r="I27" i="17"/>
  <c r="I26" i="17"/>
  <c r="I23" i="17"/>
  <c r="I22" i="17"/>
  <c r="I21" i="17"/>
  <c r="I20" i="17"/>
  <c r="I19" i="17"/>
  <c r="I18" i="17"/>
  <c r="I17" i="17"/>
  <c r="I16" i="17"/>
  <c r="I15" i="17"/>
  <c r="I14" i="17"/>
  <c r="I13" i="17"/>
  <c r="I12" i="17"/>
  <c r="I11" i="17"/>
  <c r="I10" i="17"/>
  <c r="I9" i="17"/>
  <c r="D75" i="1" l="1"/>
  <c r="G169" i="88" s="1"/>
  <c r="G120" i="24"/>
  <c r="F65" i="1"/>
  <c r="B102" i="24" s="1"/>
  <c r="B169" i="57" l="1"/>
  <c r="B119" i="55"/>
  <c r="G169" i="21"/>
  <c r="B169" i="60"/>
  <c r="G169" i="60"/>
  <c r="B169" i="31"/>
  <c r="G169" i="31"/>
  <c r="B169" i="18"/>
  <c r="B169" i="21"/>
  <c r="G169" i="57"/>
  <c r="G119" i="55"/>
  <c r="G102" i="55"/>
  <c r="G145" i="21"/>
  <c r="G102" i="24"/>
  <c r="G145" i="42"/>
  <c r="G145" i="88"/>
  <c r="G120" i="92"/>
  <c r="G145" i="31"/>
  <c r="G145" i="60"/>
  <c r="G145" i="57"/>
  <c r="B120" i="92"/>
  <c r="G103" i="92"/>
  <c r="B119" i="24"/>
  <c r="B169" i="42"/>
  <c r="G169" i="42"/>
  <c r="G119" i="24"/>
  <c r="B169" i="88"/>
  <c r="B145" i="42"/>
  <c r="B145" i="57"/>
  <c r="B145" i="18"/>
  <c r="B103" i="92"/>
  <c r="B145" i="31"/>
  <c r="B145" i="60"/>
  <c r="G145" i="18"/>
  <c r="B102" i="55"/>
  <c r="B145" i="88"/>
  <c r="B145" i="21"/>
  <c r="G105" i="91"/>
  <c r="G104" i="91"/>
  <c r="G103" i="91"/>
  <c r="G102" i="91"/>
  <c r="G101" i="91"/>
  <c r="G100" i="91"/>
  <c r="C101" i="91"/>
  <c r="C102" i="91"/>
  <c r="C103" i="91"/>
  <c r="C104" i="91"/>
  <c r="C105" i="91"/>
  <c r="C100" i="91"/>
  <c r="A103" i="91"/>
  <c r="A104" i="91"/>
  <c r="A105" i="91"/>
  <c r="A101" i="91"/>
  <c r="A102" i="91"/>
  <c r="A100" i="91"/>
  <c r="N475" i="1"/>
  <c r="N474" i="1"/>
  <c r="N473" i="1"/>
  <c r="F478" i="1"/>
  <c r="F477" i="1"/>
  <c r="F476" i="1"/>
  <c r="F475" i="1"/>
  <c r="F474" i="1"/>
  <c r="F473" i="1"/>
  <c r="D478" i="1"/>
  <c r="D477" i="1"/>
  <c r="D476" i="1"/>
  <c r="D475" i="1"/>
  <c r="D474" i="1"/>
  <c r="D473" i="1"/>
  <c r="I478" i="1"/>
  <c r="H478" i="1"/>
  <c r="G478" i="1"/>
  <c r="E478" i="1"/>
  <c r="I477" i="1"/>
  <c r="H477" i="1"/>
  <c r="G477" i="1"/>
  <c r="E477" i="1"/>
  <c r="I476" i="1"/>
  <c r="H476" i="1"/>
  <c r="G476" i="1"/>
  <c r="E476" i="1"/>
  <c r="I475" i="1"/>
  <c r="H475" i="1"/>
  <c r="G475" i="1"/>
  <c r="E475" i="1"/>
  <c r="I474" i="1"/>
  <c r="H474" i="1"/>
  <c r="G474" i="1"/>
  <c r="E474" i="1"/>
  <c r="I473" i="1"/>
  <c r="H473" i="1"/>
  <c r="G473" i="1"/>
  <c r="E473" i="1"/>
  <c r="Q441" i="1"/>
  <c r="Q431" i="1"/>
  <c r="Q432" i="1"/>
  <c r="A44" i="29"/>
  <c r="H20" i="29"/>
  <c r="C15" i="90"/>
  <c r="A92" i="89" l="1"/>
  <c r="H9" i="89"/>
  <c r="E5" i="89"/>
  <c r="A12" i="89"/>
  <c r="C16" i="84"/>
  <c r="C16" i="83"/>
  <c r="C16" i="81"/>
  <c r="C16" i="86"/>
  <c r="C16" i="79"/>
  <c r="C16" i="78"/>
  <c r="C16" i="77"/>
  <c r="C16" i="76"/>
  <c r="C16" i="82"/>
  <c r="E15" i="90"/>
  <c r="B14" i="90"/>
  <c r="C14" i="90"/>
  <c r="C13" i="90"/>
  <c r="B13" i="90"/>
  <c r="B11" i="90"/>
  <c r="B5" i="90"/>
  <c r="E5" i="90" s="1"/>
  <c r="E7" i="90" s="1"/>
  <c r="C71" i="91"/>
  <c r="K71" i="91"/>
  <c r="A71" i="91"/>
  <c r="K70" i="91"/>
  <c r="C70" i="91"/>
  <c r="A70" i="91"/>
  <c r="K69" i="91"/>
  <c r="C69" i="91"/>
  <c r="A69" i="91"/>
  <c r="D78" i="91"/>
  <c r="AX19" i="1"/>
  <c r="AW19" i="1"/>
  <c r="AV19" i="1"/>
  <c r="AU19" i="1"/>
  <c r="AT19" i="1"/>
  <c r="AS19" i="1"/>
  <c r="AP19" i="1"/>
  <c r="AO19" i="1"/>
  <c r="AL19" i="1"/>
  <c r="AK19" i="1"/>
  <c r="AF19" i="1"/>
  <c r="AE19" i="1"/>
  <c r="AD19" i="1"/>
  <c r="AC19" i="1"/>
  <c r="AB19" i="1"/>
  <c r="AA19" i="1"/>
  <c r="Z19" i="1"/>
  <c r="Y19" i="1"/>
  <c r="X19" i="1"/>
  <c r="W19" i="1"/>
  <c r="V19" i="1"/>
  <c r="U19" i="1"/>
  <c r="S19" i="1"/>
  <c r="L19" i="1"/>
  <c r="K19" i="1"/>
  <c r="F108" i="92"/>
  <c r="F109" i="92"/>
  <c r="C109" i="92"/>
  <c r="B109" i="92"/>
  <c r="B108" i="92"/>
  <c r="B105" i="92"/>
  <c r="B169" i="89"/>
  <c r="B164" i="89"/>
  <c r="H89" i="89"/>
  <c r="B58" i="89"/>
  <c r="B53" i="89"/>
  <c r="K122" i="91"/>
  <c r="L122" i="91" s="1"/>
  <c r="J122" i="91"/>
  <c r="K115" i="91"/>
  <c r="G115" i="91"/>
  <c r="C115" i="91"/>
  <c r="A115" i="91"/>
  <c r="K114" i="91"/>
  <c r="G114" i="91"/>
  <c r="C114" i="91"/>
  <c r="A114" i="91"/>
  <c r="K113" i="91"/>
  <c r="G113" i="91"/>
  <c r="C113" i="91"/>
  <c r="A113" i="91"/>
  <c r="K110" i="91"/>
  <c r="C110" i="91"/>
  <c r="A110" i="91"/>
  <c r="K109" i="91"/>
  <c r="C109" i="91"/>
  <c r="A109" i="91"/>
  <c r="K108" i="91"/>
  <c r="C108" i="91"/>
  <c r="A108" i="91"/>
  <c r="K105" i="91"/>
  <c r="K104" i="91"/>
  <c r="K103" i="91"/>
  <c r="K102" i="91"/>
  <c r="K101" i="91"/>
  <c r="K100" i="91"/>
  <c r="K99" i="91"/>
  <c r="G99" i="91"/>
  <c r="C99" i="91"/>
  <c r="B99" i="91"/>
  <c r="A99" i="91"/>
  <c r="K98" i="91"/>
  <c r="G98" i="91"/>
  <c r="C98" i="91"/>
  <c r="A98" i="91"/>
  <c r="K97" i="91"/>
  <c r="G97" i="91"/>
  <c r="C97" i="91"/>
  <c r="A97" i="91"/>
  <c r="K96" i="91"/>
  <c r="G96" i="91"/>
  <c r="C96" i="91"/>
  <c r="A96" i="91"/>
  <c r="K93" i="91"/>
  <c r="G93" i="91"/>
  <c r="C93" i="91"/>
  <c r="A93" i="91"/>
  <c r="K92" i="91"/>
  <c r="G92" i="91"/>
  <c r="C92" i="91"/>
  <c r="A92" i="91"/>
  <c r="K91" i="91"/>
  <c r="G91" i="91"/>
  <c r="C91" i="91"/>
  <c r="A91" i="91"/>
  <c r="K88" i="91"/>
  <c r="G88" i="91"/>
  <c r="C88" i="91"/>
  <c r="A88" i="91"/>
  <c r="K87" i="91"/>
  <c r="G87" i="91"/>
  <c r="C87" i="91"/>
  <c r="A87" i="91"/>
  <c r="K86" i="91"/>
  <c r="G86" i="91"/>
  <c r="C86" i="91"/>
  <c r="A86" i="91"/>
  <c r="K85" i="91"/>
  <c r="G85" i="91"/>
  <c r="C85" i="91"/>
  <c r="A85" i="91"/>
  <c r="K84" i="91"/>
  <c r="G84" i="91"/>
  <c r="C84" i="91"/>
  <c r="A84" i="91"/>
  <c r="K83" i="91"/>
  <c r="G83" i="91"/>
  <c r="C83" i="91"/>
  <c r="A83" i="91"/>
  <c r="K80" i="91"/>
  <c r="C80" i="91"/>
  <c r="A80" i="91"/>
  <c r="K79" i="91"/>
  <c r="C79" i="91"/>
  <c r="A79" i="91"/>
  <c r="K78" i="91"/>
  <c r="C78" i="91"/>
  <c r="A78" i="91"/>
  <c r="K77" i="91"/>
  <c r="G77" i="91"/>
  <c r="C77" i="91"/>
  <c r="A77" i="91"/>
  <c r="K76" i="91"/>
  <c r="G76" i="91"/>
  <c r="C76" i="91"/>
  <c r="A76" i="91"/>
  <c r="K75" i="91"/>
  <c r="G75" i="91"/>
  <c r="C75" i="91"/>
  <c r="A75" i="91"/>
  <c r="K74" i="91"/>
  <c r="G74" i="91"/>
  <c r="C74" i="91"/>
  <c r="A74" i="91"/>
  <c r="K73" i="91"/>
  <c r="G73" i="91"/>
  <c r="C73" i="91"/>
  <c r="A73" i="91"/>
  <c r="K72" i="91"/>
  <c r="G72" i="91"/>
  <c r="C72" i="91"/>
  <c r="A72" i="91"/>
  <c r="K66" i="91"/>
  <c r="G66" i="91"/>
  <c r="C66" i="91"/>
  <c r="A66" i="91"/>
  <c r="K65" i="91"/>
  <c r="G65" i="91"/>
  <c r="C65" i="91"/>
  <c r="A65" i="91"/>
  <c r="K64" i="91"/>
  <c r="G64" i="91"/>
  <c r="C64" i="91"/>
  <c r="A64" i="91"/>
  <c r="K61" i="91"/>
  <c r="G61" i="91"/>
  <c r="C61" i="91"/>
  <c r="A61" i="91"/>
  <c r="K60" i="91"/>
  <c r="G60" i="91"/>
  <c r="C60" i="91"/>
  <c r="A60" i="91"/>
  <c r="K59" i="91"/>
  <c r="G59" i="91"/>
  <c r="C59" i="91"/>
  <c r="A59" i="91"/>
  <c r="K58" i="91"/>
  <c r="G58" i="91"/>
  <c r="C58" i="91"/>
  <c r="A58" i="91"/>
  <c r="K57" i="91"/>
  <c r="G57" i="91"/>
  <c r="C57" i="91"/>
  <c r="A57" i="91"/>
  <c r="K56" i="91"/>
  <c r="G56" i="91"/>
  <c r="C56" i="91"/>
  <c r="A56" i="91"/>
  <c r="K55" i="91"/>
  <c r="G55" i="91"/>
  <c r="C55" i="91"/>
  <c r="A55" i="91"/>
  <c r="K54" i="91"/>
  <c r="G54" i="91"/>
  <c r="C54" i="91"/>
  <c r="A54" i="91"/>
  <c r="K53" i="91"/>
  <c r="G53" i="91"/>
  <c r="C53" i="91"/>
  <c r="A53" i="91"/>
  <c r="K52" i="91"/>
  <c r="G52" i="91"/>
  <c r="C52" i="91"/>
  <c r="B52" i="91"/>
  <c r="A52" i="91"/>
  <c r="K49" i="91"/>
  <c r="G49" i="91"/>
  <c r="C49" i="91"/>
  <c r="A49" i="91"/>
  <c r="K48" i="91"/>
  <c r="G48" i="91"/>
  <c r="C48" i="91"/>
  <c r="A48" i="91"/>
  <c r="K47" i="91"/>
  <c r="G47" i="91"/>
  <c r="C47" i="91"/>
  <c r="A47" i="91"/>
  <c r="K46" i="91"/>
  <c r="G46" i="91"/>
  <c r="C46" i="91"/>
  <c r="A46" i="91"/>
  <c r="K45" i="91"/>
  <c r="G45" i="91"/>
  <c r="C45" i="91"/>
  <c r="A45" i="91"/>
  <c r="K44" i="91"/>
  <c r="G44" i="91"/>
  <c r="C44" i="91"/>
  <c r="A44" i="91"/>
  <c r="K43" i="91"/>
  <c r="G43" i="91"/>
  <c r="C43" i="91"/>
  <c r="A43" i="91"/>
  <c r="K42" i="91"/>
  <c r="G42" i="91"/>
  <c r="C42" i="91"/>
  <c r="A42" i="91"/>
  <c r="K41" i="91"/>
  <c r="G41" i="91"/>
  <c r="C41" i="91"/>
  <c r="A41" i="91"/>
  <c r="K40" i="91"/>
  <c r="G40" i="91"/>
  <c r="C40" i="91"/>
  <c r="A40" i="91"/>
  <c r="K39" i="91"/>
  <c r="G39" i="91"/>
  <c r="C39" i="91"/>
  <c r="A39" i="91"/>
  <c r="K38" i="91"/>
  <c r="G38" i="91"/>
  <c r="C38" i="91"/>
  <c r="A38" i="91"/>
  <c r="K37" i="91"/>
  <c r="G37" i="91"/>
  <c r="C37" i="91"/>
  <c r="A37" i="91"/>
  <c r="K36" i="91"/>
  <c r="G36" i="91"/>
  <c r="C36" i="91"/>
  <c r="A36" i="91"/>
  <c r="K35" i="91"/>
  <c r="G35" i="91"/>
  <c r="C35" i="91"/>
  <c r="A35" i="91"/>
  <c r="K32" i="91"/>
  <c r="G32" i="91"/>
  <c r="C32" i="91"/>
  <c r="A32" i="91"/>
  <c r="K31" i="91"/>
  <c r="G31" i="91"/>
  <c r="C31" i="91"/>
  <c r="A31" i="91"/>
  <c r="K30" i="91"/>
  <c r="G30" i="91"/>
  <c r="C30" i="91"/>
  <c r="A30" i="91"/>
  <c r="K29" i="91"/>
  <c r="G29" i="91"/>
  <c r="C29" i="91"/>
  <c r="A29" i="91"/>
  <c r="K28" i="91"/>
  <c r="G28" i="91"/>
  <c r="C28" i="91"/>
  <c r="A28" i="91"/>
  <c r="K27" i="91"/>
  <c r="G27" i="91"/>
  <c r="C27" i="91"/>
  <c r="A27" i="91"/>
  <c r="K26" i="91"/>
  <c r="G26" i="91"/>
  <c r="C26" i="91"/>
  <c r="A26" i="91"/>
  <c r="K23" i="91"/>
  <c r="G23" i="91"/>
  <c r="C23" i="91"/>
  <c r="A23" i="91"/>
  <c r="K22" i="91"/>
  <c r="G22" i="91"/>
  <c r="C22" i="91"/>
  <c r="A22" i="91"/>
  <c r="K21" i="91"/>
  <c r="G21" i="91"/>
  <c r="C21" i="91"/>
  <c r="A21" i="91"/>
  <c r="K20" i="91"/>
  <c r="G20" i="91"/>
  <c r="C20" i="91"/>
  <c r="A20" i="91"/>
  <c r="K19" i="91"/>
  <c r="G19" i="91"/>
  <c r="C19" i="91"/>
  <c r="A19" i="91"/>
  <c r="K18" i="91"/>
  <c r="G18" i="91"/>
  <c r="C18" i="91"/>
  <c r="A18" i="91"/>
  <c r="K17" i="91"/>
  <c r="G17" i="91"/>
  <c r="C17" i="91"/>
  <c r="A17" i="91"/>
  <c r="K16" i="91"/>
  <c r="G16" i="91"/>
  <c r="C16" i="91"/>
  <c r="A16" i="91"/>
  <c r="K15" i="91"/>
  <c r="G15" i="91"/>
  <c r="C15" i="91"/>
  <c r="A15" i="91"/>
  <c r="K14" i="91"/>
  <c r="G14" i="91"/>
  <c r="C14" i="91"/>
  <c r="A14" i="91"/>
  <c r="K13" i="91"/>
  <c r="G13" i="91"/>
  <c r="C13" i="91"/>
  <c r="A13" i="91"/>
  <c r="K12" i="91"/>
  <c r="G12" i="91"/>
  <c r="C12" i="91"/>
  <c r="A12" i="91"/>
  <c r="K11" i="91"/>
  <c r="G11" i="91"/>
  <c r="C11" i="91"/>
  <c r="A11" i="91"/>
  <c r="K10" i="91"/>
  <c r="G10" i="91"/>
  <c r="C10" i="91"/>
  <c r="A10" i="91"/>
  <c r="K9" i="91"/>
  <c r="G9" i="91"/>
  <c r="C9" i="91"/>
  <c r="A9" i="91"/>
  <c r="C72" i="92"/>
  <c r="C71" i="92"/>
  <c r="C68" i="92"/>
  <c r="C65" i="92"/>
  <c r="C60" i="92"/>
  <c r="C59" i="92"/>
  <c r="C58" i="92"/>
  <c r="C57" i="92"/>
  <c r="C56" i="92"/>
  <c r="C55" i="92"/>
  <c r="C54" i="92"/>
  <c r="B85" i="92"/>
  <c r="B84" i="92"/>
  <c r="B82" i="92"/>
  <c r="Q87" i="92"/>
  <c r="P87" i="92"/>
  <c r="B81" i="92" s="1"/>
  <c r="E14" i="90" l="1"/>
  <c r="C48" i="90"/>
  <c r="C47" i="90"/>
  <c r="E13" i="90"/>
  <c r="Q53" i="92"/>
  <c r="P53" i="92"/>
  <c r="J22" i="74" l="1"/>
  <c r="C43" i="92"/>
  <c r="C44" i="92" s="1"/>
  <c r="J21" i="74"/>
  <c r="C40" i="92" s="1"/>
  <c r="K30" i="92"/>
  <c r="K26" i="92"/>
  <c r="P611" i="1"/>
  <c r="N611" i="1"/>
  <c r="L611" i="1"/>
  <c r="P638" i="1"/>
  <c r="N638" i="1"/>
  <c r="L638" i="1"/>
  <c r="R639" i="1"/>
  <c r="P639" i="1" s="1"/>
  <c r="R638" i="1"/>
  <c r="F638" i="1"/>
  <c r="D638" i="1"/>
  <c r="H639" i="1"/>
  <c r="C38" i="92" s="1"/>
  <c r="B638" i="1"/>
  <c r="H638" i="1"/>
  <c r="B68" i="92" l="1"/>
  <c r="B639" i="1"/>
  <c r="L639" i="1"/>
  <c r="D639" i="1"/>
  <c r="N639" i="1"/>
  <c r="F639" i="1"/>
  <c r="G17" i="92"/>
  <c r="F15" i="92"/>
  <c r="D15" i="92"/>
  <c r="C15" i="92"/>
  <c r="B15" i="92"/>
  <c r="F13" i="92"/>
  <c r="F12" i="92"/>
  <c r="F11" i="92"/>
  <c r="D13" i="92"/>
  <c r="D12" i="92"/>
  <c r="D11" i="92"/>
  <c r="C13" i="92" l="1"/>
  <c r="C12" i="92"/>
  <c r="C11" i="92"/>
  <c r="B13" i="92"/>
  <c r="B12" i="92"/>
  <c r="B11" i="92"/>
  <c r="C9" i="92"/>
  <c r="B9" i="92"/>
  <c r="B51" i="92"/>
  <c r="B48" i="92"/>
  <c r="B50" i="92"/>
  <c r="F380" i="1"/>
  <c r="G80" i="91" s="1"/>
  <c r="F379" i="1"/>
  <c r="G79" i="91" s="1"/>
  <c r="F378" i="1"/>
  <c r="G78" i="91" s="1"/>
  <c r="G380" i="1"/>
  <c r="H47" i="75" s="1"/>
  <c r="G379" i="1"/>
  <c r="G378" i="1"/>
  <c r="H45" i="75" s="1"/>
  <c r="H46" i="75"/>
  <c r="L47" i="75"/>
  <c r="J47" i="75"/>
  <c r="L46" i="75"/>
  <c r="J46" i="75"/>
  <c r="L45" i="75"/>
  <c r="J45" i="75"/>
  <c r="L44" i="75"/>
  <c r="L43" i="75"/>
  <c r="L42" i="75"/>
  <c r="J44" i="75"/>
  <c r="J43" i="75"/>
  <c r="J42" i="75"/>
  <c r="H377" i="1"/>
  <c r="H376" i="1"/>
  <c r="H375" i="1"/>
  <c r="G377" i="1"/>
  <c r="H44" i="75" s="1"/>
  <c r="G376" i="1"/>
  <c r="H43" i="75" s="1"/>
  <c r="G375" i="1"/>
  <c r="H42" i="75" s="1"/>
  <c r="F377" i="1"/>
  <c r="G71" i="91" s="1"/>
  <c r="F376" i="1"/>
  <c r="G70" i="91" s="1"/>
  <c r="F375" i="1"/>
  <c r="G69" i="91" s="1"/>
  <c r="D377" i="1"/>
  <c r="D71" i="91" s="1"/>
  <c r="D376" i="1"/>
  <c r="D70" i="91" s="1"/>
  <c r="D375" i="1"/>
  <c r="J20" i="74"/>
  <c r="C37" i="92" s="1"/>
  <c r="J18" i="74"/>
  <c r="F611" i="1" l="1"/>
  <c r="B611" i="1"/>
  <c r="D611" i="1"/>
  <c r="C34" i="92"/>
  <c r="J39" i="74"/>
  <c r="J37" i="74"/>
  <c r="J35" i="74"/>
  <c r="J17" i="74"/>
  <c r="J16" i="74"/>
  <c r="C31" i="92" s="1"/>
  <c r="J15" i="74"/>
  <c r="J14" i="74"/>
  <c r="C26" i="92" s="1"/>
  <c r="J13" i="74"/>
  <c r="J12" i="74"/>
  <c r="C24" i="92" s="1"/>
  <c r="J11" i="74"/>
  <c r="J10" i="74"/>
  <c r="J9" i="74"/>
  <c r="C21" i="92" s="1"/>
  <c r="J8" i="74"/>
  <c r="G22" i="72"/>
  <c r="B237" i="1"/>
  <c r="B236" i="1"/>
  <c r="B231" i="1"/>
  <c r="C85" i="89" s="1"/>
  <c r="L236" i="1"/>
  <c r="B234" i="1"/>
  <c r="B232" i="1"/>
  <c r="L65" i="1"/>
  <c r="J18" i="73"/>
  <c r="C11" i="90" l="1"/>
  <c r="E11" i="90" s="1"/>
  <c r="E16" i="90" s="1"/>
  <c r="F9" i="92"/>
  <c r="G9" i="92" s="1"/>
  <c r="C84" i="89"/>
  <c r="E84" i="89" s="1"/>
  <c r="F92" i="89"/>
  <c r="H92" i="89" s="1"/>
  <c r="C5" i="89"/>
  <c r="D20" i="29"/>
  <c r="D44" i="29" s="1"/>
  <c r="C4" i="89"/>
  <c r="E4" i="89" s="1"/>
  <c r="B674" i="1"/>
  <c r="D673" i="1"/>
  <c r="B673" i="1"/>
  <c r="D674" i="1"/>
  <c r="B19" i="1"/>
  <c r="C83" i="89" s="1"/>
  <c r="B20" i="1"/>
  <c r="C83" i="54" s="1"/>
  <c r="D126" i="92"/>
  <c r="C126" i="92"/>
  <c r="G122" i="92"/>
  <c r="G121" i="92"/>
  <c r="E108" i="92"/>
  <c r="B100" i="92"/>
  <c r="F99" i="92"/>
  <c r="C99" i="92"/>
  <c r="B99" i="92"/>
  <c r="F98" i="92"/>
  <c r="C98" i="92"/>
  <c r="B98" i="92"/>
  <c r="F96" i="92"/>
  <c r="C96" i="92"/>
  <c r="B96" i="92"/>
  <c r="F95" i="92"/>
  <c r="C95" i="92"/>
  <c r="B95" i="92"/>
  <c r="G91" i="92"/>
  <c r="B90" i="92"/>
  <c r="B89" i="92"/>
  <c r="G88" i="92"/>
  <c r="B86" i="92"/>
  <c r="Q84" i="92"/>
  <c r="P84" i="92"/>
  <c r="K84" i="92"/>
  <c r="Q81" i="92"/>
  <c r="P81" i="92"/>
  <c r="K81" i="92"/>
  <c r="N77" i="92"/>
  <c r="S77" i="92" s="1"/>
  <c r="N76" i="92"/>
  <c r="S76" i="92" s="1"/>
  <c r="B70" i="92"/>
  <c r="C66" i="92"/>
  <c r="B66" i="92"/>
  <c r="C63" i="92"/>
  <c r="B63" i="92"/>
  <c r="C62" i="92"/>
  <c r="B62" i="92"/>
  <c r="C61" i="92"/>
  <c r="B61" i="92"/>
  <c r="B47" i="92"/>
  <c r="S50" i="92"/>
  <c r="Q50" i="92"/>
  <c r="P50" i="92"/>
  <c r="K50" i="92"/>
  <c r="S47" i="92"/>
  <c r="Q47" i="92"/>
  <c r="P47" i="92"/>
  <c r="N43" i="92"/>
  <c r="S43" i="92" s="1"/>
  <c r="B77" i="92"/>
  <c r="N42" i="92"/>
  <c r="B38" i="92"/>
  <c r="B69" i="92"/>
  <c r="B67" i="92"/>
  <c r="C32" i="92"/>
  <c r="C29" i="92"/>
  <c r="C28" i="92"/>
  <c r="C27" i="92"/>
  <c r="B59" i="92"/>
  <c r="B58" i="92"/>
  <c r="B57" i="92"/>
  <c r="B56" i="92"/>
  <c r="B55" i="92"/>
  <c r="B54" i="92"/>
  <c r="G16" i="92"/>
  <c r="A12" i="92"/>
  <c r="A11" i="92"/>
  <c r="F2" i="92"/>
  <c r="E97" i="1"/>
  <c r="F100" i="92" s="1"/>
  <c r="E62" i="92" l="1"/>
  <c r="S42" i="92"/>
  <c r="H120" i="92"/>
  <c r="H88" i="92"/>
  <c r="E63" i="92"/>
  <c r="H16" i="92"/>
  <c r="B102" i="89" s="1"/>
  <c r="E28" i="92"/>
  <c r="B20" i="29"/>
  <c r="B44" i="29" s="1"/>
  <c r="G89" i="92"/>
  <c r="H89" i="92" s="1"/>
  <c r="B138" i="89" s="1"/>
  <c r="C3" i="89"/>
  <c r="C5" i="91"/>
  <c r="G90" i="92"/>
  <c r="H103" i="92"/>
  <c r="H122" i="92"/>
  <c r="H121" i="92"/>
  <c r="E56" i="92"/>
  <c r="D164" i="89"/>
  <c r="D169" i="89"/>
  <c r="E54" i="92"/>
  <c r="E57" i="92"/>
  <c r="D58" i="89"/>
  <c r="D53" i="89"/>
  <c r="E59" i="92"/>
  <c r="E58" i="92"/>
  <c r="E68" i="92"/>
  <c r="E55" i="92"/>
  <c r="E71" i="92"/>
  <c r="E65" i="92"/>
  <c r="E60" i="92"/>
  <c r="E72" i="92"/>
  <c r="E29" i="92"/>
  <c r="B14" i="89"/>
  <c r="F53" i="89"/>
  <c r="D10" i="89"/>
  <c r="F58" i="89"/>
  <c r="B94" i="89"/>
  <c r="D90" i="89"/>
  <c r="F164" i="89"/>
  <c r="F169" i="89"/>
  <c r="E66" i="92"/>
  <c r="H91" i="92"/>
  <c r="H44" i="29"/>
  <c r="F12" i="89"/>
  <c r="H12" i="89" s="1"/>
  <c r="E61" i="92"/>
  <c r="E37" i="92"/>
  <c r="E40" i="92"/>
  <c r="E38" i="92"/>
  <c r="E27" i="92"/>
  <c r="E44" i="92"/>
  <c r="E43" i="92"/>
  <c r="E32" i="92"/>
  <c r="E21" i="92"/>
  <c r="E31" i="92"/>
  <c r="E26" i="92"/>
  <c r="E24" i="92"/>
  <c r="E34" i="92"/>
  <c r="E17" i="92"/>
  <c r="E16" i="92"/>
  <c r="H17" i="92"/>
  <c r="E15" i="92"/>
  <c r="E12" i="92"/>
  <c r="E13" i="92"/>
  <c r="E9" i="92"/>
  <c r="E11" i="92"/>
  <c r="C4" i="92"/>
  <c r="B100" i="1"/>
  <c r="H9" i="92"/>
  <c r="R50" i="92"/>
  <c r="T50" i="92" s="1"/>
  <c r="C50" i="92" s="1"/>
  <c r="C51" i="92" s="1"/>
  <c r="R87" i="92"/>
  <c r="R47" i="92"/>
  <c r="T47" i="92" s="1"/>
  <c r="C47" i="92" s="1"/>
  <c r="C48" i="92" s="1"/>
  <c r="D19" i="1"/>
  <c r="E96" i="92"/>
  <c r="G13" i="92"/>
  <c r="H13" i="92" s="1"/>
  <c r="R53" i="92"/>
  <c r="E99" i="92"/>
  <c r="G15" i="92"/>
  <c r="H15" i="92" s="1"/>
  <c r="B71" i="92"/>
  <c r="E98" i="92"/>
  <c r="B44" i="92"/>
  <c r="G12" i="92"/>
  <c r="H12" i="92" s="1"/>
  <c r="E109" i="92"/>
  <c r="G11" i="92"/>
  <c r="H11" i="92" s="1"/>
  <c r="B41" i="92"/>
  <c r="B75" i="92" s="1"/>
  <c r="G100" i="92"/>
  <c r="H100" i="92" s="1"/>
  <c r="B72" i="92"/>
  <c r="K47" i="92"/>
  <c r="E95" i="92"/>
  <c r="B65" i="92"/>
  <c r="B106" i="92"/>
  <c r="B74" i="92"/>
  <c r="K151" i="57"/>
  <c r="K150" i="57"/>
  <c r="F154" i="57"/>
  <c r="F152" i="57"/>
  <c r="F150" i="57"/>
  <c r="K151" i="60"/>
  <c r="K150" i="60"/>
  <c r="F154" i="60"/>
  <c r="F152" i="60"/>
  <c r="F150" i="60"/>
  <c r="K151" i="88"/>
  <c r="K150" i="88"/>
  <c r="F154" i="88"/>
  <c r="F152" i="88"/>
  <c r="F150" i="88"/>
  <c r="K151" i="42"/>
  <c r="K150" i="42"/>
  <c r="F154" i="42"/>
  <c r="F152" i="42"/>
  <c r="F150" i="42"/>
  <c r="K151" i="31"/>
  <c r="K150" i="31"/>
  <c r="F154" i="31"/>
  <c r="F152" i="31"/>
  <c r="F150" i="31"/>
  <c r="K151" i="21"/>
  <c r="K150" i="21"/>
  <c r="F154" i="21"/>
  <c r="F152" i="21"/>
  <c r="F150" i="21"/>
  <c r="K151" i="18"/>
  <c r="K150" i="18"/>
  <c r="F154" i="18"/>
  <c r="F152" i="18"/>
  <c r="F150" i="18"/>
  <c r="D100" i="91" l="1"/>
  <c r="D103" i="91"/>
  <c r="B22" i="89"/>
  <c r="F22" i="89" s="1"/>
  <c r="D102" i="91"/>
  <c r="D104" i="91"/>
  <c r="D101" i="91"/>
  <c r="D105" i="91"/>
  <c r="B42" i="89"/>
  <c r="D42" i="89" s="1"/>
  <c r="D14" i="89"/>
  <c r="F14" i="89"/>
  <c r="H14" i="89"/>
  <c r="B90" i="89"/>
  <c r="B88" i="89"/>
  <c r="B91" i="89"/>
  <c r="B153" i="89"/>
  <c r="H169" i="89"/>
  <c r="H164" i="89"/>
  <c r="D91" i="89"/>
  <c r="B8" i="89"/>
  <c r="B10" i="89"/>
  <c r="B11" i="89"/>
  <c r="H94" i="89"/>
  <c r="F94" i="89"/>
  <c r="D94" i="89"/>
  <c r="H90" i="92"/>
  <c r="F90" i="92"/>
  <c r="F20" i="29"/>
  <c r="D11" i="89"/>
  <c r="H58" i="89"/>
  <c r="H53" i="89"/>
  <c r="D138" i="89"/>
  <c r="F138" i="89"/>
  <c r="H138" i="89"/>
  <c r="B144" i="89"/>
  <c r="B33" i="89"/>
  <c r="B101" i="89"/>
  <c r="B21" i="89"/>
  <c r="N377" i="1"/>
  <c r="N375" i="1"/>
  <c r="N376" i="1"/>
  <c r="B98" i="89"/>
  <c r="B18" i="89"/>
  <c r="D102" i="89"/>
  <c r="F102" i="89"/>
  <c r="H102" i="89"/>
  <c r="B99" i="89"/>
  <c r="B19" i="89"/>
  <c r="B97" i="89"/>
  <c r="B17" i="89"/>
  <c r="B103" i="89"/>
  <c r="B23" i="89"/>
  <c r="B78" i="92"/>
  <c r="B64" i="92"/>
  <c r="B60" i="92"/>
  <c r="F8" i="72"/>
  <c r="L9" i="72"/>
  <c r="M8" i="72" s="1"/>
  <c r="S50" i="24"/>
  <c r="Q50" i="24"/>
  <c r="S47" i="24"/>
  <c r="Q47" i="24"/>
  <c r="G300" i="1"/>
  <c r="B51" i="24"/>
  <c r="B50" i="24"/>
  <c r="K50" i="24" s="1"/>
  <c r="B48" i="24"/>
  <c r="N43" i="24"/>
  <c r="S43" i="24" s="1"/>
  <c r="N42" i="24"/>
  <c r="S42" i="24" s="1"/>
  <c r="Q53" i="24"/>
  <c r="P53" i="24"/>
  <c r="B47" i="24" s="1"/>
  <c r="P50" i="24"/>
  <c r="P47" i="24"/>
  <c r="B84" i="24"/>
  <c r="B83" i="24"/>
  <c r="K83" i="24" s="1"/>
  <c r="B81" i="24"/>
  <c r="R50" i="24" l="1"/>
  <c r="T50" i="24" s="1"/>
  <c r="D22" i="89"/>
  <c r="H22" i="89"/>
  <c r="F42" i="89"/>
  <c r="H42" i="89"/>
  <c r="B28" i="89"/>
  <c r="B139" i="89"/>
  <c r="D153" i="89"/>
  <c r="F153" i="89"/>
  <c r="H153" i="89"/>
  <c r="D19" i="89"/>
  <c r="F19" i="89"/>
  <c r="H19" i="89"/>
  <c r="D99" i="89"/>
  <c r="F99" i="89"/>
  <c r="H99" i="89"/>
  <c r="D97" i="89"/>
  <c r="F97" i="89"/>
  <c r="H97" i="89"/>
  <c r="D23" i="89"/>
  <c r="F23" i="89"/>
  <c r="H23" i="89"/>
  <c r="D21" i="89"/>
  <c r="F21" i="89"/>
  <c r="H21" i="89"/>
  <c r="D103" i="89"/>
  <c r="F103" i="89"/>
  <c r="H103" i="89"/>
  <c r="D18" i="89"/>
  <c r="F18" i="89"/>
  <c r="H18" i="89"/>
  <c r="D101" i="89"/>
  <c r="F101" i="89"/>
  <c r="H101" i="89"/>
  <c r="D17" i="89"/>
  <c r="F17" i="89"/>
  <c r="H17" i="89"/>
  <c r="D98" i="89"/>
  <c r="H98" i="89"/>
  <c r="F98" i="89"/>
  <c r="D33" i="89"/>
  <c r="E29" i="90" s="1"/>
  <c r="F33" i="89"/>
  <c r="H33" i="89"/>
  <c r="D144" i="89"/>
  <c r="F144" i="89"/>
  <c r="H144" i="89"/>
  <c r="R47" i="24"/>
  <c r="T47" i="24" s="1"/>
  <c r="R53" i="24"/>
  <c r="M7" i="72"/>
  <c r="K47" i="24"/>
  <c r="B84" i="55"/>
  <c r="B81" i="55"/>
  <c r="B83" i="55"/>
  <c r="K83" i="55" s="1"/>
  <c r="Q53" i="55"/>
  <c r="B51" i="55"/>
  <c r="B48" i="55"/>
  <c r="B50" i="55"/>
  <c r="K50" i="55" s="1"/>
  <c r="P53" i="55"/>
  <c r="S50" i="55"/>
  <c r="Q50" i="55"/>
  <c r="S47" i="55"/>
  <c r="Q47" i="55"/>
  <c r="N43" i="55"/>
  <c r="S43" i="55" s="1"/>
  <c r="N42" i="55"/>
  <c r="S42" i="55" s="1"/>
  <c r="P50" i="55"/>
  <c r="P47" i="55"/>
  <c r="K72" i="1"/>
  <c r="F108" i="24"/>
  <c r="F107" i="24"/>
  <c r="C108" i="24"/>
  <c r="B108" i="24"/>
  <c r="B107" i="24"/>
  <c r="F108" i="55"/>
  <c r="F107" i="55"/>
  <c r="C108" i="55"/>
  <c r="B108" i="55"/>
  <c r="B107" i="55"/>
  <c r="E107" i="55" s="1"/>
  <c r="C158" i="57"/>
  <c r="B158" i="57"/>
  <c r="B157" i="57"/>
  <c r="E157" i="57" s="1"/>
  <c r="F158" i="57"/>
  <c r="F157" i="57"/>
  <c r="C158" i="60"/>
  <c r="B158" i="60"/>
  <c r="B157" i="60"/>
  <c r="E157" i="60" s="1"/>
  <c r="F158" i="60"/>
  <c r="F157" i="60"/>
  <c r="C158" i="88"/>
  <c r="B158" i="88"/>
  <c r="B157" i="88"/>
  <c r="E157" i="88" s="1"/>
  <c r="F158" i="88"/>
  <c r="F157" i="88"/>
  <c r="C158" i="42"/>
  <c r="B158" i="42"/>
  <c r="B157" i="42"/>
  <c r="E157" i="42" s="1"/>
  <c r="F158" i="42"/>
  <c r="F157" i="42"/>
  <c r="C158" i="31"/>
  <c r="B158" i="31"/>
  <c r="B157" i="31"/>
  <c r="E157" i="31" s="1"/>
  <c r="F158" i="31"/>
  <c r="F157" i="31"/>
  <c r="F158" i="21"/>
  <c r="F157" i="21"/>
  <c r="C158" i="21"/>
  <c r="B158" i="21"/>
  <c r="B157" i="21"/>
  <c r="E157" i="21" s="1"/>
  <c r="C158" i="18"/>
  <c r="F158" i="18"/>
  <c r="B158" i="18"/>
  <c r="F157" i="18"/>
  <c r="B157" i="18"/>
  <c r="B126" i="57"/>
  <c r="K122" i="57" s="1"/>
  <c r="B124" i="57"/>
  <c r="K121" i="57" s="1"/>
  <c r="B122" i="57"/>
  <c r="K120" i="57" s="1"/>
  <c r="B74" i="57"/>
  <c r="K70" i="57" s="1"/>
  <c r="B72" i="57"/>
  <c r="K69" i="57" s="1"/>
  <c r="B70" i="57"/>
  <c r="K68" i="57" s="1"/>
  <c r="B126" i="60"/>
  <c r="B124" i="60"/>
  <c r="K121" i="60" s="1"/>
  <c r="B122" i="60"/>
  <c r="K120" i="60" s="1"/>
  <c r="B74" i="60"/>
  <c r="K70" i="60" s="1"/>
  <c r="B72" i="60"/>
  <c r="K69" i="60" s="1"/>
  <c r="B70" i="60"/>
  <c r="K68" i="60" s="1"/>
  <c r="B126" i="88"/>
  <c r="B124" i="88"/>
  <c r="K121" i="88" s="1"/>
  <c r="B122" i="88"/>
  <c r="K120" i="88" s="1"/>
  <c r="B74" i="88"/>
  <c r="K70" i="88" s="1"/>
  <c r="B72" i="88"/>
  <c r="K69" i="88" s="1"/>
  <c r="B70" i="88"/>
  <c r="K68" i="88" s="1"/>
  <c r="B126" i="42"/>
  <c r="K122" i="42" s="1"/>
  <c r="B124" i="42"/>
  <c r="K121" i="42" s="1"/>
  <c r="B122" i="42"/>
  <c r="B74" i="42"/>
  <c r="K70" i="42" s="1"/>
  <c r="B72" i="42"/>
  <c r="K69" i="42" s="1"/>
  <c r="B70" i="42"/>
  <c r="K68" i="42" s="1"/>
  <c r="B126" i="31"/>
  <c r="B124" i="31"/>
  <c r="K121" i="31" s="1"/>
  <c r="B122" i="31"/>
  <c r="K120" i="31" s="1"/>
  <c r="B74" i="31"/>
  <c r="B72" i="31"/>
  <c r="K69" i="31" s="1"/>
  <c r="B70" i="31"/>
  <c r="K68" i="31" s="1"/>
  <c r="B70" i="21"/>
  <c r="K68" i="21" s="1"/>
  <c r="B122" i="21"/>
  <c r="K120" i="21" s="1"/>
  <c r="B126" i="21"/>
  <c r="K122" i="21" s="1"/>
  <c r="B124" i="21"/>
  <c r="K121" i="21" s="1"/>
  <c r="B75" i="57"/>
  <c r="B73" i="57"/>
  <c r="B71" i="57"/>
  <c r="B68" i="57"/>
  <c r="B66" i="57"/>
  <c r="B64" i="57"/>
  <c r="B127" i="57"/>
  <c r="B125" i="57"/>
  <c r="B123" i="57"/>
  <c r="B120" i="57"/>
  <c r="B118" i="57"/>
  <c r="B116" i="57"/>
  <c r="B75" i="60"/>
  <c r="B73" i="60"/>
  <c r="B71" i="60"/>
  <c r="B68" i="60"/>
  <c r="B66" i="60"/>
  <c r="B64" i="60"/>
  <c r="B127" i="60"/>
  <c r="B125" i="60"/>
  <c r="B123" i="60"/>
  <c r="B120" i="60"/>
  <c r="B118" i="60"/>
  <c r="B116" i="60"/>
  <c r="B75" i="88"/>
  <c r="B73" i="88"/>
  <c r="B71" i="88"/>
  <c r="B68" i="88"/>
  <c r="B66" i="88"/>
  <c r="B64" i="88"/>
  <c r="B127" i="88"/>
  <c r="B125" i="88"/>
  <c r="B123" i="88"/>
  <c r="B120" i="88"/>
  <c r="B118" i="88"/>
  <c r="B116" i="88"/>
  <c r="B127" i="42"/>
  <c r="B125" i="42"/>
  <c r="B123" i="42"/>
  <c r="B120" i="42"/>
  <c r="B118" i="42"/>
  <c r="B116" i="42"/>
  <c r="B75" i="42"/>
  <c r="B73" i="42"/>
  <c r="B71" i="42"/>
  <c r="B68" i="42"/>
  <c r="B66" i="42"/>
  <c r="B64" i="42"/>
  <c r="B127" i="31"/>
  <c r="B125" i="31"/>
  <c r="B123" i="31"/>
  <c r="B120" i="31"/>
  <c r="B118" i="31"/>
  <c r="B116" i="31"/>
  <c r="B75" i="31"/>
  <c r="B73" i="31"/>
  <c r="B71" i="31"/>
  <c r="B68" i="31"/>
  <c r="B66" i="31"/>
  <c r="B64" i="31"/>
  <c r="B72" i="21"/>
  <c r="K69" i="21" s="1"/>
  <c r="B74" i="21"/>
  <c r="K70" i="21" s="1"/>
  <c r="B68" i="21"/>
  <c r="B66" i="21"/>
  <c r="B64" i="21"/>
  <c r="N59" i="57"/>
  <c r="S59" i="57" s="1"/>
  <c r="N58" i="57"/>
  <c r="S58" i="57" s="1"/>
  <c r="N111" i="57"/>
  <c r="S111" i="57" s="1"/>
  <c r="N110" i="57"/>
  <c r="S110" i="57" s="1"/>
  <c r="N59" i="60"/>
  <c r="S59" i="60" s="1"/>
  <c r="N58" i="60"/>
  <c r="S58" i="60" s="1"/>
  <c r="N111" i="60"/>
  <c r="S111" i="60" s="1"/>
  <c r="N110" i="60"/>
  <c r="S110" i="60" s="1"/>
  <c r="N111" i="88"/>
  <c r="N110" i="88"/>
  <c r="N59" i="88"/>
  <c r="S59" i="88" s="1"/>
  <c r="N58" i="88"/>
  <c r="S58" i="88" s="1"/>
  <c r="N59" i="42"/>
  <c r="S59" i="42" s="1"/>
  <c r="N58" i="42"/>
  <c r="S58" i="42" s="1"/>
  <c r="N111" i="42"/>
  <c r="N110" i="42"/>
  <c r="N59" i="31"/>
  <c r="S59" i="31" s="1"/>
  <c r="N58" i="31"/>
  <c r="S58" i="31" s="1"/>
  <c r="N111" i="31"/>
  <c r="N110" i="31"/>
  <c r="N59" i="21"/>
  <c r="S59" i="21" s="1"/>
  <c r="N58" i="21"/>
  <c r="S58" i="21" s="1"/>
  <c r="N111" i="21"/>
  <c r="N110" i="21"/>
  <c r="B127" i="21"/>
  <c r="B125" i="21"/>
  <c r="B120" i="21"/>
  <c r="B118" i="21"/>
  <c r="B123" i="21"/>
  <c r="B116" i="21"/>
  <c r="Q127" i="57"/>
  <c r="P127" i="57"/>
  <c r="Q126" i="57"/>
  <c r="P126" i="57"/>
  <c r="Q125" i="57"/>
  <c r="P125" i="57"/>
  <c r="Q122" i="57"/>
  <c r="P122" i="57"/>
  <c r="S121" i="57"/>
  <c r="Q121" i="57"/>
  <c r="P121" i="57"/>
  <c r="Q120" i="57"/>
  <c r="P120" i="57"/>
  <c r="Q117" i="57"/>
  <c r="P117" i="57"/>
  <c r="S116" i="57"/>
  <c r="Q116" i="57"/>
  <c r="P116" i="57"/>
  <c r="Q115" i="57"/>
  <c r="P115" i="57"/>
  <c r="Q127" i="60"/>
  <c r="P127" i="60"/>
  <c r="Q126" i="60"/>
  <c r="P126" i="60"/>
  <c r="Q125" i="60"/>
  <c r="P125" i="60"/>
  <c r="Q122" i="60"/>
  <c r="P122" i="60"/>
  <c r="S121" i="60"/>
  <c r="Q121" i="60"/>
  <c r="P121" i="60"/>
  <c r="Q120" i="60"/>
  <c r="P120" i="60"/>
  <c r="Q117" i="60"/>
  <c r="P117" i="60"/>
  <c r="S116" i="60"/>
  <c r="Q116" i="60"/>
  <c r="P116" i="60"/>
  <c r="Q115" i="60"/>
  <c r="P115" i="60"/>
  <c r="Q127" i="88"/>
  <c r="P127" i="88"/>
  <c r="Q126" i="88"/>
  <c r="P126" i="88"/>
  <c r="Q125" i="88"/>
  <c r="P125" i="88"/>
  <c r="B115" i="88" s="1"/>
  <c r="Q122" i="88"/>
  <c r="P122" i="88"/>
  <c r="S121" i="88"/>
  <c r="Q121" i="88"/>
  <c r="P121" i="88"/>
  <c r="Q120" i="88"/>
  <c r="P120" i="88"/>
  <c r="Q117" i="88"/>
  <c r="P117" i="88"/>
  <c r="S116" i="88"/>
  <c r="Q116" i="88"/>
  <c r="P116" i="88"/>
  <c r="Q115" i="88"/>
  <c r="P115" i="88"/>
  <c r="Q127" i="42"/>
  <c r="P127" i="42"/>
  <c r="Q126" i="42"/>
  <c r="P126" i="42"/>
  <c r="Q125" i="42"/>
  <c r="P125" i="42"/>
  <c r="Q122" i="42"/>
  <c r="P122" i="42"/>
  <c r="S121" i="42"/>
  <c r="Q121" i="42"/>
  <c r="P121" i="42"/>
  <c r="Q120" i="42"/>
  <c r="P120" i="42"/>
  <c r="Q117" i="42"/>
  <c r="P117" i="42"/>
  <c r="S116" i="42"/>
  <c r="Q116" i="42"/>
  <c r="P116" i="42"/>
  <c r="Q115" i="42"/>
  <c r="P115" i="42"/>
  <c r="Q127" i="31"/>
  <c r="P127" i="31"/>
  <c r="Q126" i="31"/>
  <c r="P126" i="31"/>
  <c r="Q125" i="31"/>
  <c r="P125" i="31"/>
  <c r="B115" i="31" s="1"/>
  <c r="Q122" i="31"/>
  <c r="P122" i="31"/>
  <c r="S121" i="31"/>
  <c r="Q121" i="31"/>
  <c r="P121" i="31"/>
  <c r="Q120" i="31"/>
  <c r="P120" i="31"/>
  <c r="Q117" i="31"/>
  <c r="P117" i="31"/>
  <c r="S116" i="31"/>
  <c r="Q116" i="31"/>
  <c r="P116" i="31"/>
  <c r="Q115" i="31"/>
  <c r="P115" i="31"/>
  <c r="Q127" i="21"/>
  <c r="P127" i="21"/>
  <c r="Q126" i="21"/>
  <c r="P126" i="21"/>
  <c r="Q125" i="21"/>
  <c r="P125" i="21"/>
  <c r="B115" i="21" s="1"/>
  <c r="Q122" i="21"/>
  <c r="P122" i="21"/>
  <c r="S121" i="21"/>
  <c r="Q121" i="21"/>
  <c r="P121" i="21"/>
  <c r="Q120" i="21"/>
  <c r="P120" i="21"/>
  <c r="Q117" i="21"/>
  <c r="P117" i="21"/>
  <c r="S116" i="21"/>
  <c r="Q116" i="21"/>
  <c r="P116" i="21"/>
  <c r="Q115" i="21"/>
  <c r="P115" i="21"/>
  <c r="Q75" i="57"/>
  <c r="P75" i="57"/>
  <c r="Q74" i="57"/>
  <c r="P74" i="57"/>
  <c r="Q73" i="57"/>
  <c r="P73" i="57"/>
  <c r="B63" i="57" s="1"/>
  <c r="K63" i="57" s="1"/>
  <c r="S70" i="57"/>
  <c r="Q70" i="57"/>
  <c r="P70" i="57"/>
  <c r="U69" i="57"/>
  <c r="S69" i="57"/>
  <c r="Q69" i="57"/>
  <c r="P69" i="57"/>
  <c r="S68" i="57"/>
  <c r="Q68" i="57"/>
  <c r="P68" i="57"/>
  <c r="S65" i="57"/>
  <c r="Q65" i="57"/>
  <c r="P65" i="57"/>
  <c r="U64" i="57"/>
  <c r="S64" i="57"/>
  <c r="Q64" i="57"/>
  <c r="P64" i="57"/>
  <c r="S63" i="57"/>
  <c r="Q63" i="57"/>
  <c r="P63" i="57"/>
  <c r="Q75" i="60"/>
  <c r="P75" i="60"/>
  <c r="Q74" i="60"/>
  <c r="P74" i="60"/>
  <c r="Q73" i="60"/>
  <c r="P73" i="60"/>
  <c r="B63" i="60" s="1"/>
  <c r="S70" i="60"/>
  <c r="Q70" i="60"/>
  <c r="P70" i="60"/>
  <c r="U69" i="60"/>
  <c r="S69" i="60"/>
  <c r="Q69" i="60"/>
  <c r="P69" i="60"/>
  <c r="S68" i="60"/>
  <c r="Q68" i="60"/>
  <c r="P68" i="60"/>
  <c r="S65" i="60"/>
  <c r="Q65" i="60"/>
  <c r="P65" i="60"/>
  <c r="U64" i="60"/>
  <c r="S64" i="60"/>
  <c r="Q64" i="60"/>
  <c r="P64" i="60"/>
  <c r="S63" i="60"/>
  <c r="Q63" i="60"/>
  <c r="P63" i="60"/>
  <c r="Q75" i="88"/>
  <c r="P75" i="88"/>
  <c r="Q74" i="88"/>
  <c r="P74" i="88"/>
  <c r="Q73" i="88"/>
  <c r="P73" i="88"/>
  <c r="B63" i="88" s="1"/>
  <c r="K63" i="88" s="1"/>
  <c r="S70" i="88"/>
  <c r="Q70" i="88"/>
  <c r="P70" i="88"/>
  <c r="U69" i="88"/>
  <c r="S69" i="88"/>
  <c r="Q69" i="88"/>
  <c r="P69" i="88"/>
  <c r="S68" i="88"/>
  <c r="Q68" i="88"/>
  <c r="P68" i="88"/>
  <c r="S65" i="88"/>
  <c r="Q65" i="88"/>
  <c r="P65" i="88"/>
  <c r="U64" i="88"/>
  <c r="S64" i="88"/>
  <c r="Q64" i="88"/>
  <c r="P64" i="88"/>
  <c r="S63" i="88"/>
  <c r="Q63" i="88"/>
  <c r="P63" i="88"/>
  <c r="Q75" i="42"/>
  <c r="P75" i="42"/>
  <c r="Q74" i="42"/>
  <c r="P74" i="42"/>
  <c r="Q73" i="42"/>
  <c r="P73" i="42"/>
  <c r="B63" i="42" s="1"/>
  <c r="K63" i="42" s="1"/>
  <c r="S70" i="42"/>
  <c r="Q70" i="42"/>
  <c r="P70" i="42"/>
  <c r="U69" i="42"/>
  <c r="S69" i="42"/>
  <c r="Q69" i="42"/>
  <c r="P69" i="42"/>
  <c r="S68" i="42"/>
  <c r="Q68" i="42"/>
  <c r="P68" i="42"/>
  <c r="S65" i="42"/>
  <c r="Q65" i="42"/>
  <c r="P65" i="42"/>
  <c r="U64" i="42"/>
  <c r="S64" i="42"/>
  <c r="Q64" i="42"/>
  <c r="P64" i="42"/>
  <c r="S63" i="42"/>
  <c r="Q63" i="42"/>
  <c r="P63" i="42"/>
  <c r="Q75" i="31"/>
  <c r="P75" i="31"/>
  <c r="Q74" i="31"/>
  <c r="P74" i="31"/>
  <c r="Q73" i="31"/>
  <c r="P73" i="31"/>
  <c r="B63" i="31" s="1"/>
  <c r="K63" i="31" s="1"/>
  <c r="S70" i="31"/>
  <c r="Q70" i="31"/>
  <c r="P70" i="31"/>
  <c r="U69" i="31"/>
  <c r="S69" i="31"/>
  <c r="Q69" i="31"/>
  <c r="P69" i="31"/>
  <c r="S68" i="31"/>
  <c r="Q68" i="31"/>
  <c r="P68" i="31"/>
  <c r="S65" i="31"/>
  <c r="Q65" i="31"/>
  <c r="P65" i="31"/>
  <c r="U64" i="31"/>
  <c r="S64" i="31"/>
  <c r="Q64" i="31"/>
  <c r="P64" i="31"/>
  <c r="S63" i="31"/>
  <c r="Q63" i="31"/>
  <c r="P63" i="31"/>
  <c r="Q75" i="21"/>
  <c r="P75" i="21"/>
  <c r="B75" i="21"/>
  <c r="Q74" i="21"/>
  <c r="P74" i="21"/>
  <c r="Q73" i="21"/>
  <c r="P73" i="21"/>
  <c r="B63" i="21" s="1"/>
  <c r="B73" i="21"/>
  <c r="B71" i="21"/>
  <c r="S70" i="21"/>
  <c r="Q70" i="21"/>
  <c r="P70" i="21"/>
  <c r="U69" i="21"/>
  <c r="S69" i="21"/>
  <c r="Q69" i="21"/>
  <c r="P69" i="21"/>
  <c r="S68" i="21"/>
  <c r="Q68" i="21"/>
  <c r="P68" i="21"/>
  <c r="S65" i="21"/>
  <c r="Q65" i="21"/>
  <c r="P65" i="21"/>
  <c r="U64" i="21"/>
  <c r="S64" i="21"/>
  <c r="Q64" i="21"/>
  <c r="P64" i="21"/>
  <c r="S63" i="21"/>
  <c r="Q63" i="21"/>
  <c r="P63" i="21"/>
  <c r="E158" i="57" l="1"/>
  <c r="F139" i="89"/>
  <c r="H139" i="89"/>
  <c r="D139" i="89"/>
  <c r="F28" i="89"/>
  <c r="D28" i="89"/>
  <c r="E22" i="90" s="1"/>
  <c r="H28" i="89"/>
  <c r="R50" i="55"/>
  <c r="T50" i="55" s="1"/>
  <c r="R53" i="55"/>
  <c r="R47" i="55"/>
  <c r="T47" i="55" s="1"/>
  <c r="E158" i="42"/>
  <c r="B47" i="55"/>
  <c r="K47" i="55" s="1"/>
  <c r="E158" i="60"/>
  <c r="E158" i="31"/>
  <c r="E107" i="24"/>
  <c r="E108" i="24"/>
  <c r="E108" i="55"/>
  <c r="E158" i="88"/>
  <c r="E158" i="21"/>
  <c r="R74" i="31"/>
  <c r="R65" i="88"/>
  <c r="T65" i="88" s="1"/>
  <c r="R69" i="88"/>
  <c r="T69" i="88" s="1"/>
  <c r="R75" i="60"/>
  <c r="R125" i="60"/>
  <c r="R74" i="42"/>
  <c r="R69" i="57"/>
  <c r="T69" i="57" s="1"/>
  <c r="R127" i="57"/>
  <c r="R68" i="31"/>
  <c r="T68" i="31" s="1"/>
  <c r="R70" i="57"/>
  <c r="T70" i="57" s="1"/>
  <c r="R69" i="60"/>
  <c r="T69" i="60" s="1"/>
  <c r="R73" i="60"/>
  <c r="R63" i="57"/>
  <c r="T63" i="57" s="1"/>
  <c r="R74" i="57"/>
  <c r="R125" i="57"/>
  <c r="R64" i="88"/>
  <c r="T64" i="88" s="1"/>
  <c r="R65" i="60"/>
  <c r="T65" i="60" s="1"/>
  <c r="B115" i="57"/>
  <c r="K115" i="57" s="1"/>
  <c r="B115" i="42"/>
  <c r="K115" i="42" s="1"/>
  <c r="B115" i="60"/>
  <c r="K115" i="60" s="1"/>
  <c r="K120" i="42"/>
  <c r="K63" i="21"/>
  <c r="K70" i="31"/>
  <c r="K115" i="31"/>
  <c r="K63" i="60"/>
  <c r="R125" i="88"/>
  <c r="R126" i="57"/>
  <c r="R127" i="60"/>
  <c r="R127" i="42"/>
  <c r="R126" i="21"/>
  <c r="K115" i="88"/>
  <c r="R125" i="31"/>
  <c r="R126" i="60"/>
  <c r="R126" i="31"/>
  <c r="R127" i="31"/>
  <c r="R125" i="42"/>
  <c r="R126" i="88"/>
  <c r="R126" i="42"/>
  <c r="R127" i="88"/>
  <c r="K122" i="60"/>
  <c r="K122" i="88"/>
  <c r="K122" i="31"/>
  <c r="R68" i="57"/>
  <c r="T68" i="57" s="1"/>
  <c r="R73" i="57"/>
  <c r="R75" i="57"/>
  <c r="R64" i="57"/>
  <c r="R65" i="57"/>
  <c r="T65" i="57" s="1"/>
  <c r="R63" i="60"/>
  <c r="T63" i="60" s="1"/>
  <c r="R70" i="60"/>
  <c r="T70" i="60" s="1"/>
  <c r="R64" i="60"/>
  <c r="T64" i="60" s="1"/>
  <c r="R68" i="60"/>
  <c r="T68" i="60" s="1"/>
  <c r="R74" i="60"/>
  <c r="R75" i="88"/>
  <c r="R63" i="88"/>
  <c r="T63" i="88" s="1"/>
  <c r="R68" i="88"/>
  <c r="T68" i="88" s="1"/>
  <c r="R74" i="88"/>
  <c r="R70" i="88"/>
  <c r="T70" i="88" s="1"/>
  <c r="R73" i="88"/>
  <c r="R70" i="42"/>
  <c r="T70" i="42" s="1"/>
  <c r="R69" i="42"/>
  <c r="T69" i="42" s="1"/>
  <c r="R73" i="42"/>
  <c r="R75" i="42"/>
  <c r="R63" i="42"/>
  <c r="T63" i="42" s="1"/>
  <c r="R64" i="42"/>
  <c r="T64" i="42" s="1"/>
  <c r="R65" i="42"/>
  <c r="T65" i="42" s="1"/>
  <c r="R68" i="42"/>
  <c r="T68" i="42" s="1"/>
  <c r="R73" i="31"/>
  <c r="R75" i="31"/>
  <c r="R64" i="31"/>
  <c r="T64" i="31" s="1"/>
  <c r="R65" i="31"/>
  <c r="T65" i="31" s="1"/>
  <c r="R63" i="31"/>
  <c r="T63" i="31" s="1"/>
  <c r="R69" i="31"/>
  <c r="T69" i="31" s="1"/>
  <c r="R70" i="31"/>
  <c r="T70" i="31" s="1"/>
  <c r="R70" i="21"/>
  <c r="T70" i="21" s="1"/>
  <c r="R127" i="21"/>
  <c r="R73" i="21"/>
  <c r="R75" i="21"/>
  <c r="K115" i="21"/>
  <c r="R125" i="21"/>
  <c r="R64" i="21"/>
  <c r="T64" i="21" s="1"/>
  <c r="R65" i="21"/>
  <c r="T65" i="21" s="1"/>
  <c r="R68" i="21"/>
  <c r="T68" i="21" s="1"/>
  <c r="R63" i="21"/>
  <c r="T63" i="21" s="1"/>
  <c r="R74" i="21"/>
  <c r="R69" i="21"/>
  <c r="T69" i="21" s="1"/>
  <c r="S70" i="18"/>
  <c r="S69" i="18"/>
  <c r="S68" i="18"/>
  <c r="S65" i="18"/>
  <c r="S64" i="18"/>
  <c r="S63" i="18"/>
  <c r="N59" i="18"/>
  <c r="S59" i="18" s="1"/>
  <c r="N58" i="18"/>
  <c r="S58" i="18" s="1"/>
  <c r="B71" i="18"/>
  <c r="Q70" i="18"/>
  <c r="Q69" i="18"/>
  <c r="Q68" i="18"/>
  <c r="Q65" i="18"/>
  <c r="Q64" i="18"/>
  <c r="Q63" i="18"/>
  <c r="Q75" i="18"/>
  <c r="B75" i="18" s="1"/>
  <c r="P75" i="18"/>
  <c r="B68" i="18" s="1"/>
  <c r="Q74" i="18"/>
  <c r="B73" i="18" s="1"/>
  <c r="P74" i="18"/>
  <c r="B66" i="18" s="1"/>
  <c r="Q73" i="18"/>
  <c r="B70" i="18" s="1"/>
  <c r="P73" i="18"/>
  <c r="B63" i="18" s="1"/>
  <c r="P70" i="18"/>
  <c r="U69" i="18"/>
  <c r="P69" i="18"/>
  <c r="P68" i="18"/>
  <c r="P65" i="18"/>
  <c r="U64" i="18"/>
  <c r="P64" i="18"/>
  <c r="P63" i="18"/>
  <c r="S121" i="18"/>
  <c r="S116" i="18"/>
  <c r="Q127" i="18"/>
  <c r="P127" i="18"/>
  <c r="Q126" i="18"/>
  <c r="P126" i="18"/>
  <c r="Q125" i="18"/>
  <c r="Q83" i="24"/>
  <c r="P83" i="24"/>
  <c r="Q83" i="55"/>
  <c r="P83" i="55"/>
  <c r="Q80" i="24"/>
  <c r="P80" i="24"/>
  <c r="Q80" i="55"/>
  <c r="P80" i="55"/>
  <c r="Q122" i="18"/>
  <c r="Q121" i="18"/>
  <c r="Q117" i="18"/>
  <c r="Q116" i="18"/>
  <c r="P117" i="18"/>
  <c r="P116" i="18"/>
  <c r="P122" i="18"/>
  <c r="P121" i="18"/>
  <c r="Q120" i="18"/>
  <c r="P120" i="18"/>
  <c r="Q115" i="18"/>
  <c r="P115" i="18"/>
  <c r="K32" i="23"/>
  <c r="G32" i="23"/>
  <c r="C32" i="23"/>
  <c r="A32" i="23"/>
  <c r="K31" i="23"/>
  <c r="G31" i="23"/>
  <c r="C31" i="23"/>
  <c r="A31" i="23"/>
  <c r="K30" i="23"/>
  <c r="G30" i="23"/>
  <c r="C30" i="23"/>
  <c r="A30" i="23"/>
  <c r="K29" i="23"/>
  <c r="G29" i="23"/>
  <c r="C29" i="23"/>
  <c r="A29" i="23"/>
  <c r="K32" i="56"/>
  <c r="G32" i="56"/>
  <c r="C32" i="56"/>
  <c r="A32" i="56"/>
  <c r="K31" i="56"/>
  <c r="G31" i="56"/>
  <c r="C31" i="56"/>
  <c r="A31" i="56"/>
  <c r="K30" i="56"/>
  <c r="G30" i="56"/>
  <c r="C30" i="56"/>
  <c r="A30" i="56"/>
  <c r="K29" i="56"/>
  <c r="G29" i="56"/>
  <c r="C29" i="56"/>
  <c r="A29" i="56"/>
  <c r="K32" i="58"/>
  <c r="G32" i="58"/>
  <c r="C32" i="58"/>
  <c r="A32" i="58"/>
  <c r="K31" i="58"/>
  <c r="G31" i="58"/>
  <c r="C31" i="58"/>
  <c r="A31" i="58"/>
  <c r="K30" i="58"/>
  <c r="G30" i="58"/>
  <c r="C30" i="58"/>
  <c r="A30" i="58"/>
  <c r="K29" i="58"/>
  <c r="G29" i="58"/>
  <c r="C29" i="58"/>
  <c r="A29" i="58"/>
  <c r="K32" i="61"/>
  <c r="G32" i="61"/>
  <c r="C32" i="61"/>
  <c r="A32" i="61"/>
  <c r="K31" i="61"/>
  <c r="G31" i="61"/>
  <c r="C31" i="61"/>
  <c r="A31" i="61"/>
  <c r="K30" i="61"/>
  <c r="G30" i="61"/>
  <c r="C30" i="61"/>
  <c r="A30" i="61"/>
  <c r="K29" i="61"/>
  <c r="G29" i="61"/>
  <c r="C29" i="61"/>
  <c r="A29" i="61"/>
  <c r="K32" i="87"/>
  <c r="G32" i="87"/>
  <c r="C32" i="87"/>
  <c r="A32" i="87"/>
  <c r="K31" i="87"/>
  <c r="G31" i="87"/>
  <c r="C31" i="87"/>
  <c r="A31" i="87"/>
  <c r="K30" i="87"/>
  <c r="G30" i="87"/>
  <c r="C30" i="87"/>
  <c r="A30" i="87"/>
  <c r="K29" i="87"/>
  <c r="G29" i="87"/>
  <c r="C29" i="87"/>
  <c r="A29" i="87"/>
  <c r="K32" i="41"/>
  <c r="G32" i="41"/>
  <c r="C32" i="41"/>
  <c r="A32" i="41"/>
  <c r="K31" i="41"/>
  <c r="G31" i="41"/>
  <c r="C31" i="41"/>
  <c r="A31" i="41"/>
  <c r="K30" i="41"/>
  <c r="G30" i="41"/>
  <c r="C30" i="41"/>
  <c r="A30" i="41"/>
  <c r="K29" i="41"/>
  <c r="G29" i="41"/>
  <c r="C29" i="41"/>
  <c r="A29" i="41"/>
  <c r="K32" i="30"/>
  <c r="G32" i="30"/>
  <c r="C32" i="30"/>
  <c r="A32" i="30"/>
  <c r="K31" i="30"/>
  <c r="G31" i="30"/>
  <c r="C31" i="30"/>
  <c r="A31" i="30"/>
  <c r="K30" i="30"/>
  <c r="G30" i="30"/>
  <c r="C30" i="30"/>
  <c r="A30" i="30"/>
  <c r="K29" i="30"/>
  <c r="G29" i="30"/>
  <c r="C29" i="30"/>
  <c r="A29" i="30"/>
  <c r="K32" i="20"/>
  <c r="G32" i="20"/>
  <c r="C32" i="20"/>
  <c r="A32" i="20"/>
  <c r="K31" i="20"/>
  <c r="G31" i="20"/>
  <c r="C31" i="20"/>
  <c r="A31" i="20"/>
  <c r="K30" i="20"/>
  <c r="G30" i="20"/>
  <c r="C30" i="20"/>
  <c r="A30" i="20"/>
  <c r="K29" i="20"/>
  <c r="G29" i="20"/>
  <c r="C29" i="20"/>
  <c r="A29" i="20"/>
  <c r="R64" i="18" l="1"/>
  <c r="T64" i="18" s="1"/>
  <c r="R68" i="18"/>
  <c r="T68" i="18" s="1"/>
  <c r="R70" i="18"/>
  <c r="T70" i="18" s="1"/>
  <c r="R63" i="18"/>
  <c r="T63" i="18" s="1"/>
  <c r="R65" i="18"/>
  <c r="T65" i="18" s="1"/>
  <c r="R69" i="18"/>
  <c r="T69" i="18" s="1"/>
  <c r="T64" i="57"/>
  <c r="B64" i="18"/>
  <c r="R75" i="18"/>
  <c r="R73" i="18"/>
  <c r="R74" i="18"/>
  <c r="B122" i="18"/>
  <c r="B123" i="18"/>
  <c r="K68" i="18"/>
  <c r="B120" i="18"/>
  <c r="G32" i="17"/>
  <c r="G30" i="17"/>
  <c r="G31" i="17"/>
  <c r="G29" i="17"/>
  <c r="K32" i="17"/>
  <c r="C32" i="17"/>
  <c r="A32" i="17"/>
  <c r="K31" i="17"/>
  <c r="C31" i="17"/>
  <c r="A31" i="17"/>
  <c r="K30" i="17"/>
  <c r="C30" i="17"/>
  <c r="A30" i="17"/>
  <c r="K29" i="17"/>
  <c r="C29" i="17"/>
  <c r="A29" i="17"/>
  <c r="B127" i="18"/>
  <c r="B125" i="18"/>
  <c r="B118" i="18"/>
  <c r="B60" i="18"/>
  <c r="B112" i="18" s="1"/>
  <c r="B57" i="18"/>
  <c r="E158" i="18"/>
  <c r="E157" i="18"/>
  <c r="D303" i="1" l="1"/>
  <c r="G303" i="1"/>
  <c r="F303" i="1" s="1"/>
  <c r="G272" i="1"/>
  <c r="F300" i="1"/>
  <c r="D302" i="1"/>
  <c r="D301" i="1"/>
  <c r="D300" i="1"/>
  <c r="G302" i="1"/>
  <c r="F302" i="1" s="1"/>
  <c r="G301" i="1"/>
  <c r="F301" i="1" s="1"/>
  <c r="F18" i="75"/>
  <c r="L18" i="75" s="1"/>
  <c r="J18" i="75" l="1"/>
  <c r="F17" i="75"/>
  <c r="L17" i="75" s="1"/>
  <c r="H226" i="1"/>
  <c r="H218" i="1"/>
  <c r="H210" i="1"/>
  <c r="H202" i="1"/>
  <c r="H194" i="1"/>
  <c r="H186" i="1"/>
  <c r="E226" i="1"/>
  <c r="E218" i="1"/>
  <c r="E210" i="1"/>
  <c r="E202" i="1"/>
  <c r="E194" i="1"/>
  <c r="E186" i="1"/>
  <c r="H178" i="1"/>
  <c r="E174" i="1" s="1"/>
  <c r="E178" i="1"/>
  <c r="E9" i="59"/>
  <c r="C9" i="59"/>
  <c r="E9" i="62"/>
  <c r="C9" i="62"/>
  <c r="E9" i="85"/>
  <c r="C9" i="85"/>
  <c r="E9" i="40"/>
  <c r="E9" i="33"/>
  <c r="C9" i="40"/>
  <c r="C9" i="33"/>
  <c r="E9" i="22"/>
  <c r="C9" i="22"/>
  <c r="E9" i="19"/>
  <c r="C9" i="19"/>
  <c r="J228" i="1"/>
  <c r="J220" i="1"/>
  <c r="J212" i="1"/>
  <c r="J204" i="1"/>
  <c r="J196" i="1"/>
  <c r="J188" i="1"/>
  <c r="J180" i="1"/>
  <c r="E100" i="19"/>
  <c r="C100" i="19"/>
  <c r="V64" i="18" l="1"/>
  <c r="V69" i="18"/>
  <c r="V69" i="31"/>
  <c r="T116" i="31"/>
  <c r="V64" i="31"/>
  <c r="T121" i="31"/>
  <c r="V69" i="88"/>
  <c r="V64" i="88"/>
  <c r="T116" i="88"/>
  <c r="T121" i="88"/>
  <c r="V64" i="60"/>
  <c r="V69" i="60"/>
  <c r="T116" i="60"/>
  <c r="T121" i="60"/>
  <c r="T116" i="57"/>
  <c r="V69" i="57"/>
  <c r="V64" i="57"/>
  <c r="T121" i="57"/>
  <c r="B109" i="33"/>
  <c r="B111" i="33"/>
  <c r="B109" i="85"/>
  <c r="B109" i="59"/>
  <c r="B111" i="59"/>
  <c r="B20" i="33"/>
  <c r="B111" i="85"/>
  <c r="T121" i="18"/>
  <c r="T116" i="18"/>
  <c r="B111" i="62"/>
  <c r="B20" i="85"/>
  <c r="B18" i="33"/>
  <c r="B18" i="62"/>
  <c r="B111" i="22"/>
  <c r="B20" i="40"/>
  <c r="B20" i="62"/>
  <c r="T116" i="42"/>
  <c r="V64" i="42"/>
  <c r="T121" i="42"/>
  <c r="V69" i="42"/>
  <c r="B18" i="40"/>
  <c r="B109" i="22"/>
  <c r="B18" i="22"/>
  <c r="B109" i="40"/>
  <c r="B109" i="62"/>
  <c r="V69" i="21"/>
  <c r="V64" i="21"/>
  <c r="T121" i="21"/>
  <c r="T116" i="21"/>
  <c r="B111" i="40"/>
  <c r="B20" i="59"/>
  <c r="B20" i="22"/>
  <c r="B18" i="85"/>
  <c r="B18" i="59"/>
  <c r="B111" i="19"/>
  <c r="B20" i="19"/>
  <c r="J17" i="75"/>
  <c r="E177" i="1"/>
  <c r="B378" i="1" l="1"/>
  <c r="B380" i="1"/>
  <c r="B379" i="1"/>
  <c r="B67" i="42"/>
  <c r="K65" i="42" s="1"/>
  <c r="B119" i="42"/>
  <c r="K117" i="42" s="1"/>
  <c r="B117" i="42"/>
  <c r="K116" i="42" s="1"/>
  <c r="B65" i="42"/>
  <c r="K64" i="42" s="1"/>
  <c r="B117" i="31"/>
  <c r="B67" i="31"/>
  <c r="K65" i="31" s="1"/>
  <c r="B65" i="31"/>
  <c r="K64" i="31" s="1"/>
  <c r="B119" i="31"/>
  <c r="K117" i="31" s="1"/>
  <c r="B119" i="21"/>
  <c r="K117" i="21" s="1"/>
  <c r="B117" i="21"/>
  <c r="K116" i="21" s="1"/>
  <c r="B117" i="57"/>
  <c r="K116" i="57" s="1"/>
  <c r="B67" i="57"/>
  <c r="K65" i="57" s="1"/>
  <c r="B65" i="57"/>
  <c r="B119" i="57"/>
  <c r="K117" i="57" s="1"/>
  <c r="B119" i="60"/>
  <c r="K117" i="60" s="1"/>
  <c r="B117" i="60"/>
  <c r="K116" i="60" s="1"/>
  <c r="B67" i="60"/>
  <c r="K65" i="60" s="1"/>
  <c r="B65" i="60"/>
  <c r="K64" i="60" s="1"/>
  <c r="B117" i="88"/>
  <c r="K116" i="88" s="1"/>
  <c r="B67" i="88"/>
  <c r="B65" i="88"/>
  <c r="B119" i="88"/>
  <c r="K117" i="88" s="1"/>
  <c r="B65" i="21"/>
  <c r="K64" i="21" s="1"/>
  <c r="B67" i="21"/>
  <c r="K65" i="21" s="1"/>
  <c r="B74" i="18"/>
  <c r="K70" i="18" s="1"/>
  <c r="B67" i="18"/>
  <c r="K65" i="18" s="1"/>
  <c r="B72" i="18"/>
  <c r="K69" i="18" s="1"/>
  <c r="B65" i="18"/>
  <c r="K64" i="18" s="1"/>
  <c r="B126" i="18"/>
  <c r="K122" i="18" s="1"/>
  <c r="B124" i="18"/>
  <c r="B119" i="18"/>
  <c r="K117" i="18" s="1"/>
  <c r="B117" i="18"/>
  <c r="K116" i="18" s="1"/>
  <c r="B247" i="1"/>
  <c r="B239" i="1"/>
  <c r="B223" i="1"/>
  <c r="B215" i="1"/>
  <c r="B207" i="1"/>
  <c r="B199" i="1"/>
  <c r="B191" i="1"/>
  <c r="B183" i="1"/>
  <c r="B248" i="1"/>
  <c r="G24" i="72" s="1"/>
  <c r="O229" i="1"/>
  <c r="O230" i="1"/>
  <c r="O228" i="1" s="1"/>
  <c r="B224" i="1" s="1"/>
  <c r="O222" i="1"/>
  <c r="O220" i="1" s="1"/>
  <c r="B216" i="1" s="1"/>
  <c r="G20" i="72" s="1"/>
  <c r="O221" i="1"/>
  <c r="Q228" i="1"/>
  <c r="Q220" i="1"/>
  <c r="B208" i="1"/>
  <c r="B220" i="1"/>
  <c r="C97" i="62" s="1"/>
  <c r="E97" i="62" s="1"/>
  <c r="B200" i="1"/>
  <c r="G18" i="72" s="1"/>
  <c r="B192" i="1"/>
  <c r="G17" i="72" s="1"/>
  <c r="B175" i="1"/>
  <c r="C7" i="19" s="1"/>
  <c r="C100" i="23"/>
  <c r="C99" i="23"/>
  <c r="K100" i="23"/>
  <c r="K99" i="23"/>
  <c r="A99" i="23"/>
  <c r="A100" i="23"/>
  <c r="A98" i="23"/>
  <c r="K100" i="56"/>
  <c r="C100" i="56"/>
  <c r="K99" i="56"/>
  <c r="C99" i="56"/>
  <c r="A99" i="56"/>
  <c r="A100" i="56"/>
  <c r="A98" i="56"/>
  <c r="C107" i="58"/>
  <c r="C106" i="58"/>
  <c r="K107" i="58"/>
  <c r="K106" i="58"/>
  <c r="A106" i="58"/>
  <c r="A107" i="58"/>
  <c r="A105" i="58"/>
  <c r="C107" i="61"/>
  <c r="C106" i="61"/>
  <c r="K107" i="61"/>
  <c r="K106" i="61"/>
  <c r="A106" i="61"/>
  <c r="A107" i="61"/>
  <c r="A105" i="61"/>
  <c r="C107" i="87"/>
  <c r="C106" i="87"/>
  <c r="K107" i="87"/>
  <c r="K106" i="87"/>
  <c r="A106" i="87"/>
  <c r="A107" i="87"/>
  <c r="A105" i="87"/>
  <c r="C107" i="41"/>
  <c r="C106" i="41"/>
  <c r="K107" i="41"/>
  <c r="K106" i="41"/>
  <c r="A106" i="41"/>
  <c r="A107" i="41"/>
  <c r="A105" i="41"/>
  <c r="C107" i="30"/>
  <c r="C106" i="30"/>
  <c r="K107" i="30"/>
  <c r="K106" i="30"/>
  <c r="A106" i="30"/>
  <c r="A107" i="30"/>
  <c r="A105" i="30"/>
  <c r="B76" i="58" l="1"/>
  <c r="B76" i="30"/>
  <c r="B76" i="61"/>
  <c r="B76" i="87"/>
  <c r="B76" i="41"/>
  <c r="B150" i="88" s="1"/>
  <c r="B151" i="88" s="1"/>
  <c r="B77" i="58"/>
  <c r="B77" i="30"/>
  <c r="B77" i="61"/>
  <c r="B77" i="87"/>
  <c r="B77" i="41"/>
  <c r="B76" i="17"/>
  <c r="B76" i="20"/>
  <c r="B77" i="17"/>
  <c r="B77" i="20"/>
  <c r="G21" i="72"/>
  <c r="H19" i="29"/>
  <c r="C7" i="85"/>
  <c r="C98" i="85"/>
  <c r="C7" i="62"/>
  <c r="C98" i="62"/>
  <c r="C7" i="59"/>
  <c r="C98" i="59"/>
  <c r="C5" i="54"/>
  <c r="C85" i="54"/>
  <c r="C5" i="25"/>
  <c r="C85" i="25"/>
  <c r="C7" i="22"/>
  <c r="C98" i="22"/>
  <c r="C7" i="33"/>
  <c r="C98" i="33"/>
  <c r="C7" i="40"/>
  <c r="C98" i="40"/>
  <c r="B79" i="91"/>
  <c r="B80" i="91"/>
  <c r="B75" i="58"/>
  <c r="B78" i="91"/>
  <c r="K64" i="88"/>
  <c r="K64" i="57"/>
  <c r="K116" i="31"/>
  <c r="K65" i="88"/>
  <c r="K121" i="18"/>
  <c r="B154" i="88"/>
  <c r="B155" i="88" s="1"/>
  <c r="B75" i="87"/>
  <c r="B75" i="61"/>
  <c r="C98" i="19"/>
  <c r="C107" i="20"/>
  <c r="C106" i="20"/>
  <c r="K107" i="20"/>
  <c r="K106" i="20"/>
  <c r="A106" i="20"/>
  <c r="A107" i="20"/>
  <c r="A105" i="20"/>
  <c r="A106" i="17"/>
  <c r="A107" i="17"/>
  <c r="A105" i="17"/>
  <c r="C107" i="17"/>
  <c r="C106" i="17"/>
  <c r="C105" i="17"/>
  <c r="K107" i="17"/>
  <c r="K106" i="17"/>
  <c r="A41" i="29"/>
  <c r="C15" i="86"/>
  <c r="C14" i="86"/>
  <c r="E14" i="86" s="1"/>
  <c r="C12" i="86"/>
  <c r="B15" i="86"/>
  <c r="B14" i="86"/>
  <c r="B12" i="86"/>
  <c r="B5" i="86"/>
  <c r="E5" i="86" s="1"/>
  <c r="E8" i="86" s="1"/>
  <c r="A98" i="87"/>
  <c r="A99" i="87"/>
  <c r="A100" i="87"/>
  <c r="A101" i="87"/>
  <c r="A102" i="87"/>
  <c r="A97" i="87"/>
  <c r="F460" i="1"/>
  <c r="F459" i="1"/>
  <c r="F458" i="1"/>
  <c r="F457" i="1"/>
  <c r="F456" i="1"/>
  <c r="F455" i="1"/>
  <c r="D460" i="1"/>
  <c r="D459" i="1"/>
  <c r="D458" i="1"/>
  <c r="D457" i="1"/>
  <c r="D456" i="1"/>
  <c r="D455" i="1"/>
  <c r="I460" i="1"/>
  <c r="H460" i="1"/>
  <c r="G460" i="1"/>
  <c r="E460" i="1"/>
  <c r="I459" i="1"/>
  <c r="H459" i="1"/>
  <c r="G459" i="1"/>
  <c r="E459" i="1"/>
  <c r="I458" i="1"/>
  <c r="H458" i="1"/>
  <c r="G458" i="1"/>
  <c r="E458" i="1"/>
  <c r="I457" i="1"/>
  <c r="H457" i="1"/>
  <c r="G457" i="1"/>
  <c r="E457" i="1"/>
  <c r="I456" i="1"/>
  <c r="H456" i="1"/>
  <c r="G456" i="1"/>
  <c r="E456" i="1"/>
  <c r="I455" i="1"/>
  <c r="H455" i="1"/>
  <c r="G455" i="1"/>
  <c r="E455" i="1"/>
  <c r="D19" i="88"/>
  <c r="D18" i="88"/>
  <c r="D17" i="88"/>
  <c r="D16" i="88"/>
  <c r="C94" i="88"/>
  <c r="R632" i="1"/>
  <c r="P632" i="1" s="1"/>
  <c r="H632" i="1"/>
  <c r="F632" i="1" s="1"/>
  <c r="C53" i="88"/>
  <c r="C51" i="88"/>
  <c r="C49" i="88"/>
  <c r="C47" i="88"/>
  <c r="C45" i="88"/>
  <c r="H33" i="1"/>
  <c r="C54" i="24"/>
  <c r="C54" i="55"/>
  <c r="C78" i="57"/>
  <c r="C78" i="60"/>
  <c r="C78" i="42"/>
  <c r="C78" i="31"/>
  <c r="C78" i="21"/>
  <c r="C81" i="88"/>
  <c r="C80" i="88"/>
  <c r="C79" i="88"/>
  <c r="C78" i="88"/>
  <c r="C89" i="88"/>
  <c r="C87" i="88"/>
  <c r="C86" i="88"/>
  <c r="C85" i="88"/>
  <c r="B147" i="88"/>
  <c r="B148" i="88" s="1"/>
  <c r="B135" i="88"/>
  <c r="B132" i="88"/>
  <c r="B131" i="88"/>
  <c r="B60" i="88"/>
  <c r="B108" i="88"/>
  <c r="B94" i="88"/>
  <c r="B92" i="88"/>
  <c r="B91" i="88"/>
  <c r="B89" i="88"/>
  <c r="K36" i="88"/>
  <c r="K35" i="88"/>
  <c r="B86" i="88"/>
  <c r="B85" i="88"/>
  <c r="B81" i="88"/>
  <c r="B78" i="88"/>
  <c r="G22" i="74"/>
  <c r="C59" i="88" s="1"/>
  <c r="C60" i="88" s="1"/>
  <c r="G21" i="74"/>
  <c r="G20" i="74"/>
  <c r="C42" i="88" s="1"/>
  <c r="G19" i="74"/>
  <c r="G17" i="74"/>
  <c r="G16" i="74"/>
  <c r="C37" i="88" s="1"/>
  <c r="G15" i="74"/>
  <c r="G14" i="74"/>
  <c r="C35" i="88" s="1"/>
  <c r="G13" i="74"/>
  <c r="G12" i="74"/>
  <c r="C33" i="88" s="1"/>
  <c r="G11" i="74"/>
  <c r="G10" i="74"/>
  <c r="G9" i="74"/>
  <c r="C27" i="88" s="1"/>
  <c r="G8" i="74"/>
  <c r="G39" i="74"/>
  <c r="G37" i="74"/>
  <c r="G35" i="74"/>
  <c r="F21" i="88"/>
  <c r="D21" i="88"/>
  <c r="C21" i="88"/>
  <c r="B21" i="88"/>
  <c r="B210" i="1"/>
  <c r="H209" i="1"/>
  <c r="E209" i="1"/>
  <c r="E208" i="1" s="1"/>
  <c r="B212" i="1"/>
  <c r="C97" i="85" s="1"/>
  <c r="E97" i="85" s="1"/>
  <c r="B204" i="1"/>
  <c r="C97" i="40" s="1"/>
  <c r="E97" i="40" s="1"/>
  <c r="L204" i="1"/>
  <c r="B205" i="1" s="1"/>
  <c r="F19" i="88"/>
  <c r="F18" i="88"/>
  <c r="F17" i="88"/>
  <c r="F16" i="88"/>
  <c r="C19" i="88"/>
  <c r="C18" i="88"/>
  <c r="C17" i="88"/>
  <c r="C16" i="88"/>
  <c r="B19" i="88"/>
  <c r="B18" i="88"/>
  <c r="B17" i="88"/>
  <c r="B16" i="88"/>
  <c r="F12" i="88"/>
  <c r="C12" i="88"/>
  <c r="C11" i="88"/>
  <c r="B12" i="88"/>
  <c r="B11" i="88"/>
  <c r="B10" i="88"/>
  <c r="F9" i="88"/>
  <c r="C9" i="88"/>
  <c r="B9" i="88"/>
  <c r="B16" i="1"/>
  <c r="B191" i="85"/>
  <c r="B186" i="85"/>
  <c r="H104" i="85"/>
  <c r="B69" i="85"/>
  <c r="B64" i="85"/>
  <c r="H13" i="85"/>
  <c r="E7" i="85"/>
  <c r="A78" i="86"/>
  <c r="K119" i="87"/>
  <c r="L119" i="87" s="1"/>
  <c r="J119" i="87"/>
  <c r="K112" i="87"/>
  <c r="G112" i="87"/>
  <c r="C112" i="87"/>
  <c r="A112" i="87"/>
  <c r="K111" i="87"/>
  <c r="G111" i="87"/>
  <c r="C111" i="87"/>
  <c r="A111" i="87"/>
  <c r="K110" i="87"/>
  <c r="G110" i="87"/>
  <c r="C110" i="87"/>
  <c r="A110" i="87"/>
  <c r="K105" i="87"/>
  <c r="C105" i="87"/>
  <c r="K102" i="87"/>
  <c r="G102" i="87"/>
  <c r="C102" i="87"/>
  <c r="K101" i="87"/>
  <c r="G101" i="87"/>
  <c r="C101" i="87"/>
  <c r="K100" i="87"/>
  <c r="G100" i="87"/>
  <c r="C100" i="87"/>
  <c r="K99" i="87"/>
  <c r="G99" i="87"/>
  <c r="C99" i="87"/>
  <c r="K98" i="87"/>
  <c r="G98" i="87"/>
  <c r="C98" i="87"/>
  <c r="K97" i="87"/>
  <c r="G97" i="87"/>
  <c r="C97" i="87"/>
  <c r="K96" i="87"/>
  <c r="G96" i="87"/>
  <c r="C96" i="87"/>
  <c r="B96" i="87"/>
  <c r="A96" i="87"/>
  <c r="K95" i="87"/>
  <c r="G95" i="87"/>
  <c r="C95" i="87"/>
  <c r="A95" i="87"/>
  <c r="K94" i="87"/>
  <c r="G94" i="87"/>
  <c r="C94" i="87"/>
  <c r="A94" i="87"/>
  <c r="K93" i="87"/>
  <c r="G93" i="87"/>
  <c r="C93" i="87"/>
  <c r="A93" i="87"/>
  <c r="K90" i="87"/>
  <c r="G90" i="87"/>
  <c r="C90" i="87"/>
  <c r="A90" i="87"/>
  <c r="K89" i="87"/>
  <c r="G89" i="87"/>
  <c r="C89" i="87"/>
  <c r="A89" i="87"/>
  <c r="K88" i="87"/>
  <c r="G88" i="87"/>
  <c r="C88" i="87"/>
  <c r="A88" i="87"/>
  <c r="K85" i="87"/>
  <c r="G85" i="87"/>
  <c r="C85" i="87"/>
  <c r="A85" i="87"/>
  <c r="K84" i="87"/>
  <c r="G84" i="87"/>
  <c r="C84" i="87"/>
  <c r="A84" i="87"/>
  <c r="K83" i="87"/>
  <c r="G83" i="87"/>
  <c r="C83" i="87"/>
  <c r="A83" i="87"/>
  <c r="K82" i="87"/>
  <c r="G82" i="87"/>
  <c r="C82" i="87"/>
  <c r="A82" i="87"/>
  <c r="K81" i="87"/>
  <c r="G81" i="87"/>
  <c r="C81" i="87"/>
  <c r="A81" i="87"/>
  <c r="K80" i="87"/>
  <c r="G80" i="87"/>
  <c r="C80" i="87"/>
  <c r="A80" i="87"/>
  <c r="K77" i="87"/>
  <c r="G77" i="87"/>
  <c r="C77" i="87"/>
  <c r="A77" i="87"/>
  <c r="K76" i="87"/>
  <c r="G76" i="87"/>
  <c r="C76" i="87"/>
  <c r="A76" i="87"/>
  <c r="K75" i="87"/>
  <c r="G75" i="87"/>
  <c r="C75" i="87"/>
  <c r="A75" i="87"/>
  <c r="K74" i="87"/>
  <c r="G74" i="87"/>
  <c r="C74" i="87"/>
  <c r="A74" i="87"/>
  <c r="K73" i="87"/>
  <c r="G73" i="87"/>
  <c r="C73" i="87"/>
  <c r="A73" i="87"/>
  <c r="K72" i="87"/>
  <c r="G72" i="87"/>
  <c r="C72" i="87"/>
  <c r="A72" i="87"/>
  <c r="K71" i="87"/>
  <c r="G71" i="87"/>
  <c r="C71" i="87"/>
  <c r="A71" i="87"/>
  <c r="K70" i="87"/>
  <c r="G70" i="87"/>
  <c r="C70" i="87"/>
  <c r="A70" i="87"/>
  <c r="K69" i="87"/>
  <c r="G69" i="87"/>
  <c r="C69" i="87"/>
  <c r="A69" i="87"/>
  <c r="K66" i="87"/>
  <c r="G66" i="87"/>
  <c r="C66" i="87"/>
  <c r="A66" i="87"/>
  <c r="K65" i="87"/>
  <c r="G65" i="87"/>
  <c r="C65" i="87"/>
  <c r="A65" i="87"/>
  <c r="K64" i="87"/>
  <c r="G64" i="87"/>
  <c r="C64" i="87"/>
  <c r="A64" i="87"/>
  <c r="K61" i="87"/>
  <c r="G61" i="87"/>
  <c r="C61" i="87"/>
  <c r="A61" i="87"/>
  <c r="K60" i="87"/>
  <c r="G60" i="87"/>
  <c r="C60" i="87"/>
  <c r="A60" i="87"/>
  <c r="K59" i="87"/>
  <c r="G59" i="87"/>
  <c r="C59" i="87"/>
  <c r="A59" i="87"/>
  <c r="K58" i="87"/>
  <c r="G58" i="87"/>
  <c r="C58" i="87"/>
  <c r="A58" i="87"/>
  <c r="K57" i="87"/>
  <c r="G57" i="87"/>
  <c r="C57" i="87"/>
  <c r="A57" i="87"/>
  <c r="K56" i="87"/>
  <c r="G56" i="87"/>
  <c r="C56" i="87"/>
  <c r="A56" i="87"/>
  <c r="K55" i="87"/>
  <c r="G55" i="87"/>
  <c r="C55" i="87"/>
  <c r="A55" i="87"/>
  <c r="K54" i="87"/>
  <c r="G54" i="87"/>
  <c r="C54" i="87"/>
  <c r="A54" i="87"/>
  <c r="K53" i="87"/>
  <c r="G53" i="87"/>
  <c r="C53" i="87"/>
  <c r="A53" i="87"/>
  <c r="K52" i="87"/>
  <c r="C52" i="87"/>
  <c r="B52" i="87"/>
  <c r="A52" i="87"/>
  <c r="K49" i="87"/>
  <c r="G49" i="87"/>
  <c r="C49" i="87"/>
  <c r="A49" i="87"/>
  <c r="K48" i="87"/>
  <c r="G48" i="87"/>
  <c r="C48" i="87"/>
  <c r="A48" i="87"/>
  <c r="K47" i="87"/>
  <c r="G47" i="87"/>
  <c r="C47" i="87"/>
  <c r="A47" i="87"/>
  <c r="K46" i="87"/>
  <c r="G46" i="87"/>
  <c r="C46" i="87"/>
  <c r="A46" i="87"/>
  <c r="K45" i="87"/>
  <c r="G45" i="87"/>
  <c r="C45" i="87"/>
  <c r="A45" i="87"/>
  <c r="K44" i="87"/>
  <c r="G44" i="87"/>
  <c r="C44" i="87"/>
  <c r="A44" i="87"/>
  <c r="K43" i="87"/>
  <c r="G43" i="87"/>
  <c r="C43" i="87"/>
  <c r="A43" i="87"/>
  <c r="K42" i="87"/>
  <c r="G42" i="87"/>
  <c r="C42" i="87"/>
  <c r="A42" i="87"/>
  <c r="K41" i="87"/>
  <c r="G41" i="87"/>
  <c r="C41" i="87"/>
  <c r="A41" i="87"/>
  <c r="K40" i="87"/>
  <c r="G40" i="87"/>
  <c r="C40" i="87"/>
  <c r="A40" i="87"/>
  <c r="K39" i="87"/>
  <c r="G39" i="87"/>
  <c r="C39" i="87"/>
  <c r="A39" i="87"/>
  <c r="K38" i="87"/>
  <c r="G38" i="87"/>
  <c r="C38" i="87"/>
  <c r="A38" i="87"/>
  <c r="K37" i="87"/>
  <c r="G37" i="87"/>
  <c r="C37" i="87"/>
  <c r="A37" i="87"/>
  <c r="K36" i="87"/>
  <c r="G36" i="87"/>
  <c r="C36" i="87"/>
  <c r="A36" i="87"/>
  <c r="K35" i="87"/>
  <c r="G35" i="87"/>
  <c r="C35" i="87"/>
  <c r="A35" i="87"/>
  <c r="K28" i="87"/>
  <c r="G28" i="87"/>
  <c r="C28" i="87"/>
  <c r="A28" i="87"/>
  <c r="K27" i="87"/>
  <c r="G27" i="87"/>
  <c r="C27" i="87"/>
  <c r="A27" i="87"/>
  <c r="K26" i="87"/>
  <c r="G26" i="87"/>
  <c r="C26" i="87"/>
  <c r="A26" i="87"/>
  <c r="K23" i="87"/>
  <c r="G23" i="87"/>
  <c r="C23" i="87"/>
  <c r="A23" i="87"/>
  <c r="K22" i="87"/>
  <c r="G22" i="87"/>
  <c r="C22" i="87"/>
  <c r="A22" i="87"/>
  <c r="K21" i="87"/>
  <c r="G21" i="87"/>
  <c r="C21" i="87"/>
  <c r="A21" i="87"/>
  <c r="K20" i="87"/>
  <c r="G20" i="87"/>
  <c r="C20" i="87"/>
  <c r="A20" i="87"/>
  <c r="K19" i="87"/>
  <c r="G19" i="87"/>
  <c r="C19" i="87"/>
  <c r="A19" i="87"/>
  <c r="K18" i="87"/>
  <c r="G18" i="87"/>
  <c r="C18" i="87"/>
  <c r="A18" i="87"/>
  <c r="K17" i="87"/>
  <c r="G17" i="87"/>
  <c r="C17" i="87"/>
  <c r="A17" i="87"/>
  <c r="K16" i="87"/>
  <c r="G16" i="87"/>
  <c r="C16" i="87"/>
  <c r="A16" i="87"/>
  <c r="K15" i="87"/>
  <c r="G15" i="87"/>
  <c r="C15" i="87"/>
  <c r="A15" i="87"/>
  <c r="K14" i="87"/>
  <c r="G14" i="87"/>
  <c r="C14" i="87"/>
  <c r="A14" i="87"/>
  <c r="K13" i="87"/>
  <c r="G13" i="87"/>
  <c r="C13" i="87"/>
  <c r="A13" i="87"/>
  <c r="K12" i="87"/>
  <c r="G12" i="87"/>
  <c r="C12" i="87"/>
  <c r="A12" i="87"/>
  <c r="K11" i="87"/>
  <c r="G11" i="87"/>
  <c r="C11" i="87"/>
  <c r="A11" i="87"/>
  <c r="K10" i="87"/>
  <c r="G10" i="87"/>
  <c r="C10" i="87"/>
  <c r="A10" i="87"/>
  <c r="K9" i="87"/>
  <c r="G9" i="87"/>
  <c r="C9" i="87"/>
  <c r="A9" i="87"/>
  <c r="D175" i="88"/>
  <c r="C175" i="88"/>
  <c r="G170" i="88"/>
  <c r="F155" i="88"/>
  <c r="F153" i="88"/>
  <c r="F151" i="88"/>
  <c r="K152" i="88"/>
  <c r="S111" i="88"/>
  <c r="S110" i="88"/>
  <c r="F141" i="88"/>
  <c r="C141" i="88"/>
  <c r="B141" i="88"/>
  <c r="F140" i="88"/>
  <c r="C140" i="88"/>
  <c r="B140" i="88"/>
  <c r="F138" i="88"/>
  <c r="C138" i="88"/>
  <c r="B138" i="88"/>
  <c r="F137" i="88"/>
  <c r="C137" i="88"/>
  <c r="B137" i="88"/>
  <c r="G133" i="88"/>
  <c r="G130" i="88"/>
  <c r="B128" i="88"/>
  <c r="C105" i="88"/>
  <c r="B105" i="88"/>
  <c r="C103" i="88"/>
  <c r="C101" i="88"/>
  <c r="C99" i="88"/>
  <c r="C97" i="88"/>
  <c r="C96" i="88"/>
  <c r="B93" i="88"/>
  <c r="C90" i="88"/>
  <c r="B90" i="88"/>
  <c r="C84" i="88"/>
  <c r="B84" i="88"/>
  <c r="C83" i="88"/>
  <c r="B83" i="88"/>
  <c r="C82" i="88"/>
  <c r="B82" i="88"/>
  <c r="B54" i="88"/>
  <c r="B106" i="88" s="1"/>
  <c r="B52" i="88"/>
  <c r="B104" i="88" s="1"/>
  <c r="B51" i="88"/>
  <c r="B103" i="88" s="1"/>
  <c r="B50" i="88"/>
  <c r="B102" i="88" s="1"/>
  <c r="B49" i="88"/>
  <c r="B101" i="88" s="1"/>
  <c r="B48" i="88"/>
  <c r="B100" i="88" s="1"/>
  <c r="B47" i="88"/>
  <c r="B99" i="88" s="1"/>
  <c r="B46" i="88"/>
  <c r="B98" i="88" s="1"/>
  <c r="B45" i="88"/>
  <c r="B97" i="88" s="1"/>
  <c r="B44" i="88"/>
  <c r="B96" i="88" s="1"/>
  <c r="C32" i="88"/>
  <c r="C31" i="88"/>
  <c r="C30" i="88"/>
  <c r="G23" i="88"/>
  <c r="G22" i="88"/>
  <c r="A18" i="88"/>
  <c r="A17" i="88"/>
  <c r="A16" i="88"/>
  <c r="C15" i="88"/>
  <c r="G15" i="88" s="1"/>
  <c r="G14" i="88"/>
  <c r="A12" i="88"/>
  <c r="L11" i="88"/>
  <c r="F11" i="88" s="1"/>
  <c r="L10" i="88"/>
  <c r="F10" i="88" s="1"/>
  <c r="K10" i="88"/>
  <c r="C10" i="88" s="1"/>
  <c r="AX16" i="1"/>
  <c r="AW16" i="1"/>
  <c r="AV16" i="1"/>
  <c r="AU16" i="1"/>
  <c r="AT16" i="1"/>
  <c r="AS16" i="1"/>
  <c r="AP16" i="1"/>
  <c r="AO16" i="1"/>
  <c r="AL16" i="1"/>
  <c r="AK16" i="1"/>
  <c r="AC16" i="1"/>
  <c r="AB16" i="1"/>
  <c r="AA16" i="1"/>
  <c r="Y16" i="1"/>
  <c r="W16" i="1"/>
  <c r="U16" i="1"/>
  <c r="S16" i="1"/>
  <c r="L16" i="1"/>
  <c r="K16" i="1"/>
  <c r="E15" i="86" l="1"/>
  <c r="L147" i="42"/>
  <c r="C50" i="86"/>
  <c r="C49" i="86"/>
  <c r="E12" i="86"/>
  <c r="C96" i="85"/>
  <c r="C95" i="85"/>
  <c r="C94" i="85"/>
  <c r="B152" i="88"/>
  <c r="B153" i="88" s="1"/>
  <c r="L115" i="88"/>
  <c r="C122" i="88"/>
  <c r="L120" i="88"/>
  <c r="C63" i="88"/>
  <c r="L68" i="88"/>
  <c r="C115" i="88"/>
  <c r="L63" i="88"/>
  <c r="C70" i="88"/>
  <c r="H203" i="1"/>
  <c r="G12" i="88"/>
  <c r="H12" i="88" s="1"/>
  <c r="D17" i="29"/>
  <c r="D41" i="29" s="1"/>
  <c r="H633" i="1"/>
  <c r="F633" i="1" s="1"/>
  <c r="D632" i="1"/>
  <c r="G21" i="88"/>
  <c r="H21" i="88" s="1"/>
  <c r="G16" i="88"/>
  <c r="H16" i="88" s="1"/>
  <c r="B120" i="85" s="1"/>
  <c r="G9" i="88"/>
  <c r="H9" i="88" s="1"/>
  <c r="G11" i="88"/>
  <c r="H11" i="88" s="1"/>
  <c r="E17" i="88"/>
  <c r="G18" i="88"/>
  <c r="H18" i="88" s="1"/>
  <c r="D16" i="29"/>
  <c r="D186" i="85"/>
  <c r="D64" i="85"/>
  <c r="B17" i="29"/>
  <c r="B41" i="29" s="1"/>
  <c r="C5" i="85"/>
  <c r="B91" i="1"/>
  <c r="C6" i="40"/>
  <c r="E6" i="40" s="1"/>
  <c r="D191" i="85"/>
  <c r="A16" i="85"/>
  <c r="C3" i="85"/>
  <c r="A107" i="85"/>
  <c r="C4" i="85"/>
  <c r="D69" i="85"/>
  <c r="C4" i="88"/>
  <c r="D16" i="1"/>
  <c r="E37" i="88"/>
  <c r="E90" i="88"/>
  <c r="E82" i="88"/>
  <c r="E105" i="88"/>
  <c r="H15" i="88"/>
  <c r="E47" i="88"/>
  <c r="E89" i="88"/>
  <c r="E81" i="88"/>
  <c r="E96" i="88"/>
  <c r="H133" i="88"/>
  <c r="H145" i="88"/>
  <c r="E35" i="88"/>
  <c r="E27" i="88"/>
  <c r="E80" i="88"/>
  <c r="E99" i="88"/>
  <c r="E49" i="88"/>
  <c r="E79" i="88"/>
  <c r="E60" i="88"/>
  <c r="H169" i="88"/>
  <c r="E59" i="88"/>
  <c r="E42" i="88"/>
  <c r="H170" i="88"/>
  <c r="E87" i="88"/>
  <c r="E33" i="88"/>
  <c r="E86" i="88"/>
  <c r="E101" i="88"/>
  <c r="E32" i="88"/>
  <c r="E51" i="88"/>
  <c r="E78" i="88"/>
  <c r="E85" i="88"/>
  <c r="E94" i="88"/>
  <c r="G131" i="88"/>
  <c r="H131" i="88" s="1"/>
  <c r="H22" i="88"/>
  <c r="E31" i="88"/>
  <c r="E45" i="88"/>
  <c r="E84" i="88"/>
  <c r="E103" i="88"/>
  <c r="G132" i="88"/>
  <c r="H130" i="88"/>
  <c r="H171" i="88"/>
  <c r="H23" i="88"/>
  <c r="E30" i="88"/>
  <c r="E53" i="88"/>
  <c r="E83" i="88"/>
  <c r="E97" i="88"/>
  <c r="C4" i="87"/>
  <c r="L632" i="1"/>
  <c r="N632" i="1"/>
  <c r="R633" i="1"/>
  <c r="C95" i="88" s="1"/>
  <c r="E95" i="88" s="1"/>
  <c r="B632" i="1"/>
  <c r="E16" i="88"/>
  <c r="E21" i="88"/>
  <c r="E9" i="88"/>
  <c r="E23" i="88"/>
  <c r="E22" i="88"/>
  <c r="H17" i="29"/>
  <c r="E203" i="1"/>
  <c r="E211" i="1"/>
  <c r="H211" i="1"/>
  <c r="B88" i="88"/>
  <c r="E12" i="88"/>
  <c r="E11" i="88"/>
  <c r="E14" i="88"/>
  <c r="H14" i="88"/>
  <c r="E19" i="88"/>
  <c r="E137" i="88"/>
  <c r="E10" i="88"/>
  <c r="E18" i="88"/>
  <c r="B43" i="88"/>
  <c r="B95" i="88" s="1"/>
  <c r="E15" i="88"/>
  <c r="G10" i="88"/>
  <c r="H10" i="88" s="1"/>
  <c r="G17" i="88"/>
  <c r="H17" i="88" s="1"/>
  <c r="E16" i="86"/>
  <c r="G19" i="88"/>
  <c r="H19" i="88" s="1"/>
  <c r="B112" i="88"/>
  <c r="B80" i="88"/>
  <c r="B57" i="88"/>
  <c r="E141" i="88"/>
  <c r="B79" i="88"/>
  <c r="E140" i="88"/>
  <c r="B111" i="88"/>
  <c r="E138" i="88"/>
  <c r="H80" i="75"/>
  <c r="H81" i="75"/>
  <c r="H79" i="75"/>
  <c r="F80" i="75"/>
  <c r="J80" i="75" s="1"/>
  <c r="F81" i="75"/>
  <c r="J81" i="75" s="1"/>
  <c r="F79" i="75"/>
  <c r="J79" i="75" s="1"/>
  <c r="H77" i="75"/>
  <c r="H76" i="75"/>
  <c r="F77" i="75"/>
  <c r="L77" i="75" s="1"/>
  <c r="F76" i="75"/>
  <c r="J76" i="75" s="1"/>
  <c r="I490" i="1"/>
  <c r="H490" i="1"/>
  <c r="G490" i="1"/>
  <c r="I489" i="1"/>
  <c r="H489" i="1"/>
  <c r="G489" i="1"/>
  <c r="I484" i="1"/>
  <c r="H484" i="1"/>
  <c r="G484" i="1"/>
  <c r="I483" i="1"/>
  <c r="H483" i="1"/>
  <c r="G483" i="1"/>
  <c r="I472" i="1"/>
  <c r="H472" i="1"/>
  <c r="G472" i="1"/>
  <c r="I471" i="1"/>
  <c r="H471" i="1"/>
  <c r="G471" i="1"/>
  <c r="I466" i="1"/>
  <c r="H466" i="1"/>
  <c r="G466" i="1"/>
  <c r="I465" i="1"/>
  <c r="H465" i="1"/>
  <c r="G465" i="1"/>
  <c r="I454" i="1"/>
  <c r="H454" i="1"/>
  <c r="G454" i="1"/>
  <c r="I453" i="1"/>
  <c r="H453" i="1"/>
  <c r="G453" i="1"/>
  <c r="I448" i="1"/>
  <c r="H448" i="1"/>
  <c r="G448" i="1"/>
  <c r="I447" i="1"/>
  <c r="H447" i="1"/>
  <c r="G447" i="1"/>
  <c r="I442" i="1"/>
  <c r="H442" i="1"/>
  <c r="G442" i="1"/>
  <c r="I441" i="1"/>
  <c r="H441" i="1"/>
  <c r="G441" i="1"/>
  <c r="E490" i="1"/>
  <c r="E489" i="1"/>
  <c r="E484" i="1"/>
  <c r="E483" i="1"/>
  <c r="E472" i="1"/>
  <c r="E471" i="1"/>
  <c r="E466" i="1"/>
  <c r="E465" i="1"/>
  <c r="E454" i="1"/>
  <c r="E453" i="1"/>
  <c r="E448" i="1"/>
  <c r="E447" i="1"/>
  <c r="E442" i="1"/>
  <c r="E441" i="1"/>
  <c r="I436" i="1"/>
  <c r="I435" i="1"/>
  <c r="H436" i="1"/>
  <c r="H435" i="1"/>
  <c r="G436" i="1"/>
  <c r="G435" i="1"/>
  <c r="E436" i="1"/>
  <c r="E435" i="1"/>
  <c r="H75" i="75"/>
  <c r="F75" i="75"/>
  <c r="L75" i="75" s="1"/>
  <c r="I488" i="1"/>
  <c r="H488" i="1"/>
  <c r="G488" i="1"/>
  <c r="I482" i="1"/>
  <c r="H482" i="1"/>
  <c r="G482" i="1"/>
  <c r="I470" i="1"/>
  <c r="H470" i="1"/>
  <c r="G470" i="1"/>
  <c r="I464" i="1"/>
  <c r="H464" i="1"/>
  <c r="G464" i="1"/>
  <c r="I452" i="1"/>
  <c r="H452" i="1"/>
  <c r="G452" i="1"/>
  <c r="I446" i="1"/>
  <c r="H446" i="1"/>
  <c r="G446" i="1"/>
  <c r="I440" i="1"/>
  <c r="H440" i="1"/>
  <c r="G440" i="1"/>
  <c r="E488" i="1"/>
  <c r="E482" i="1"/>
  <c r="E470" i="1"/>
  <c r="E464" i="1"/>
  <c r="E452" i="1"/>
  <c r="E446" i="1"/>
  <c r="E440" i="1"/>
  <c r="I434" i="1"/>
  <c r="H434" i="1"/>
  <c r="G434" i="1"/>
  <c r="E434" i="1"/>
  <c r="I487" i="1"/>
  <c r="I486" i="1"/>
  <c r="I485" i="1"/>
  <c r="I481" i="1"/>
  <c r="I480" i="1"/>
  <c r="I479" i="1"/>
  <c r="I469" i="1"/>
  <c r="I468" i="1"/>
  <c r="I467" i="1"/>
  <c r="I463" i="1"/>
  <c r="I462" i="1"/>
  <c r="I461" i="1"/>
  <c r="I451" i="1"/>
  <c r="I450" i="1"/>
  <c r="I449" i="1"/>
  <c r="I445" i="1"/>
  <c r="I444" i="1"/>
  <c r="I443" i="1"/>
  <c r="I439" i="1"/>
  <c r="I438" i="1"/>
  <c r="I437" i="1"/>
  <c r="I433" i="1"/>
  <c r="I432" i="1"/>
  <c r="I431" i="1"/>
  <c r="H72" i="75"/>
  <c r="H74" i="75"/>
  <c r="H73" i="75"/>
  <c r="F72" i="75"/>
  <c r="L72" i="75" s="1"/>
  <c r="H487" i="1"/>
  <c r="G487" i="1"/>
  <c r="H486" i="1"/>
  <c r="G486" i="1"/>
  <c r="H485" i="1"/>
  <c r="G485" i="1"/>
  <c r="H481" i="1"/>
  <c r="G481" i="1"/>
  <c r="H480" i="1"/>
  <c r="G480" i="1"/>
  <c r="H479" i="1"/>
  <c r="G479" i="1"/>
  <c r="H469" i="1"/>
  <c r="G469" i="1"/>
  <c r="H468" i="1"/>
  <c r="G468" i="1"/>
  <c r="H467" i="1"/>
  <c r="G467" i="1"/>
  <c r="H463" i="1"/>
  <c r="G463" i="1"/>
  <c r="H462" i="1"/>
  <c r="G462" i="1"/>
  <c r="H461" i="1"/>
  <c r="G461" i="1"/>
  <c r="H451" i="1"/>
  <c r="G451" i="1"/>
  <c r="H450" i="1"/>
  <c r="G450" i="1"/>
  <c r="H449" i="1"/>
  <c r="G449" i="1"/>
  <c r="H445" i="1"/>
  <c r="G445" i="1"/>
  <c r="H444" i="1"/>
  <c r="G444" i="1"/>
  <c r="H443" i="1"/>
  <c r="G443" i="1"/>
  <c r="H439" i="1"/>
  <c r="G439" i="1"/>
  <c r="H438" i="1"/>
  <c r="G438" i="1"/>
  <c r="H437" i="1"/>
  <c r="G437" i="1"/>
  <c r="H433" i="1"/>
  <c r="G433" i="1"/>
  <c r="H432" i="1"/>
  <c r="G432" i="1"/>
  <c r="G431" i="1"/>
  <c r="H431" i="1"/>
  <c r="F73" i="75"/>
  <c r="J73" i="75" s="1"/>
  <c r="F74" i="75"/>
  <c r="J74" i="75" s="1"/>
  <c r="E487" i="1"/>
  <c r="E486" i="1"/>
  <c r="E485" i="1"/>
  <c r="E481" i="1"/>
  <c r="E480" i="1"/>
  <c r="E479" i="1"/>
  <c r="E469" i="1"/>
  <c r="E468" i="1"/>
  <c r="E467" i="1"/>
  <c r="E463" i="1"/>
  <c r="E462" i="1"/>
  <c r="E461" i="1"/>
  <c r="E451" i="1"/>
  <c r="E450" i="1"/>
  <c r="E449" i="1"/>
  <c r="E445" i="1"/>
  <c r="E444" i="1"/>
  <c r="E443" i="1"/>
  <c r="E439" i="1"/>
  <c r="E438" i="1"/>
  <c r="E437" i="1"/>
  <c r="E433" i="1"/>
  <c r="E432" i="1"/>
  <c r="E431" i="1"/>
  <c r="F70" i="75"/>
  <c r="J70" i="75" s="1"/>
  <c r="F71" i="75"/>
  <c r="L71" i="75" s="1"/>
  <c r="F69" i="75"/>
  <c r="L69" i="75" s="1"/>
  <c r="F66" i="75"/>
  <c r="L66" i="75" s="1"/>
  <c r="F67" i="75"/>
  <c r="L67" i="75" s="1"/>
  <c r="F65" i="75"/>
  <c r="L65" i="75" s="1"/>
  <c r="F63" i="75"/>
  <c r="J63" i="75" s="1"/>
  <c r="F60" i="75"/>
  <c r="L60" i="75" s="1"/>
  <c r="F62" i="75"/>
  <c r="J62" i="75" s="1"/>
  <c r="F59" i="75"/>
  <c r="L59" i="75" s="1"/>
  <c r="F61" i="75"/>
  <c r="L61" i="75" s="1"/>
  <c r="F58" i="75"/>
  <c r="J58" i="75" s="1"/>
  <c r="F52" i="75"/>
  <c r="L52" i="75" s="1"/>
  <c r="F53" i="75"/>
  <c r="L53" i="75" s="1"/>
  <c r="F54" i="75"/>
  <c r="L54" i="75" s="1"/>
  <c r="F55" i="75"/>
  <c r="L55" i="75" s="1"/>
  <c r="F56" i="75"/>
  <c r="L56" i="75" s="1"/>
  <c r="F51" i="75"/>
  <c r="F49" i="75"/>
  <c r="L49" i="75" s="1"/>
  <c r="F50" i="75"/>
  <c r="F48" i="75"/>
  <c r="L48" i="75" s="1"/>
  <c r="F39" i="75"/>
  <c r="J39" i="75" s="1"/>
  <c r="F40" i="75"/>
  <c r="L40" i="75" s="1"/>
  <c r="F38" i="75"/>
  <c r="L38" i="75" s="1"/>
  <c r="F35" i="75"/>
  <c r="L35" i="75" s="1"/>
  <c r="F36" i="75"/>
  <c r="F34" i="75"/>
  <c r="L34" i="75" s="1"/>
  <c r="F33" i="75"/>
  <c r="J33" i="75" s="1"/>
  <c r="F32" i="75"/>
  <c r="F30" i="75"/>
  <c r="F29" i="75"/>
  <c r="F28" i="75"/>
  <c r="F27" i="75"/>
  <c r="F25" i="75"/>
  <c r="F26" i="75"/>
  <c r="L26" i="75" s="1"/>
  <c r="F24" i="75"/>
  <c r="L24" i="75" s="1"/>
  <c r="F23" i="75"/>
  <c r="L23" i="75" s="1"/>
  <c r="F22" i="75"/>
  <c r="F21" i="75"/>
  <c r="L21" i="75" s="1"/>
  <c r="F10" i="75"/>
  <c r="L10" i="75" s="1"/>
  <c r="F20" i="75"/>
  <c r="L20" i="75" s="1"/>
  <c r="F16" i="75"/>
  <c r="L16" i="75" s="1"/>
  <c r="F14" i="75"/>
  <c r="F11" i="75"/>
  <c r="F12" i="75"/>
  <c r="L12" i="75" s="1"/>
  <c r="F13" i="75"/>
  <c r="F496" i="1"/>
  <c r="F497" i="1"/>
  <c r="F495" i="1"/>
  <c r="F490" i="1"/>
  <c r="D496" i="1"/>
  <c r="D497" i="1"/>
  <c r="D495" i="1"/>
  <c r="D490" i="1"/>
  <c r="F486" i="1"/>
  <c r="F487" i="1"/>
  <c r="F488" i="1"/>
  <c r="F489" i="1"/>
  <c r="F485" i="1"/>
  <c r="F479" i="1"/>
  <c r="F480" i="1"/>
  <c r="F481" i="1"/>
  <c r="F482" i="1"/>
  <c r="F483" i="1"/>
  <c r="F484" i="1"/>
  <c r="F467" i="1"/>
  <c r="F468" i="1"/>
  <c r="F469" i="1"/>
  <c r="F470" i="1"/>
  <c r="F471" i="1"/>
  <c r="F472" i="1"/>
  <c r="F461" i="1"/>
  <c r="F462" i="1"/>
  <c r="F463" i="1"/>
  <c r="F464" i="1"/>
  <c r="F465" i="1"/>
  <c r="F466" i="1"/>
  <c r="F449" i="1"/>
  <c r="F450" i="1"/>
  <c r="F451" i="1"/>
  <c r="F452" i="1"/>
  <c r="F453" i="1"/>
  <c r="F454" i="1"/>
  <c r="F443" i="1"/>
  <c r="F444" i="1"/>
  <c r="F445" i="1"/>
  <c r="F446" i="1"/>
  <c r="F447" i="1"/>
  <c r="F448" i="1"/>
  <c r="F437" i="1"/>
  <c r="F438" i="1"/>
  <c r="F439" i="1"/>
  <c r="F440" i="1"/>
  <c r="F441" i="1"/>
  <c r="F442" i="1"/>
  <c r="F431" i="1"/>
  <c r="F434" i="1"/>
  <c r="F435" i="1"/>
  <c r="F436" i="1"/>
  <c r="F432" i="1"/>
  <c r="F433" i="1"/>
  <c r="F425" i="1"/>
  <c r="D486" i="1"/>
  <c r="D487" i="1"/>
  <c r="D488" i="1"/>
  <c r="D489" i="1"/>
  <c r="D485" i="1"/>
  <c r="D479" i="1"/>
  <c r="D480" i="1"/>
  <c r="D481" i="1"/>
  <c r="D482" i="1"/>
  <c r="D483" i="1"/>
  <c r="D484" i="1"/>
  <c r="D467" i="1"/>
  <c r="D468" i="1"/>
  <c r="D469" i="1"/>
  <c r="D470" i="1"/>
  <c r="D471" i="1"/>
  <c r="D472" i="1"/>
  <c r="D461" i="1"/>
  <c r="D462" i="1"/>
  <c r="D463" i="1"/>
  <c r="D464" i="1"/>
  <c r="D465" i="1"/>
  <c r="D466" i="1"/>
  <c r="D449" i="1"/>
  <c r="D450" i="1"/>
  <c r="D451" i="1"/>
  <c r="D452" i="1"/>
  <c r="D453" i="1"/>
  <c r="D454" i="1"/>
  <c r="D443" i="1"/>
  <c r="D447" i="1"/>
  <c r="D448" i="1"/>
  <c r="D446" i="1"/>
  <c r="D444" i="1"/>
  <c r="D445" i="1"/>
  <c r="D437" i="1"/>
  <c r="D441" i="1"/>
  <c r="D442" i="1"/>
  <c r="D435" i="1"/>
  <c r="D436" i="1"/>
  <c r="D434" i="1"/>
  <c r="D440" i="1"/>
  <c r="D433" i="1"/>
  <c r="D438" i="1"/>
  <c r="D439" i="1"/>
  <c r="D431" i="1"/>
  <c r="D432" i="1"/>
  <c r="D425" i="1"/>
  <c r="E17" i="86" l="1"/>
  <c r="J203" i="1"/>
  <c r="B667" i="1"/>
  <c r="D668" i="1"/>
  <c r="B668" i="1"/>
  <c r="D667" i="1"/>
  <c r="D666" i="1"/>
  <c r="D665" i="1"/>
  <c r="B665" i="1"/>
  <c r="B666" i="1"/>
  <c r="D101" i="87"/>
  <c r="B633" i="1"/>
  <c r="E63" i="88"/>
  <c r="C64" i="88"/>
  <c r="E64" i="88" s="1"/>
  <c r="C71" i="88"/>
  <c r="E71" i="88" s="1"/>
  <c r="E70" i="88"/>
  <c r="D633" i="1"/>
  <c r="C43" i="88"/>
  <c r="E43" i="88" s="1"/>
  <c r="B87" i="88"/>
  <c r="D102" i="87"/>
  <c r="D100" i="87"/>
  <c r="D98" i="87"/>
  <c r="D99" i="87"/>
  <c r="B121" i="85"/>
  <c r="D121" i="85" s="1"/>
  <c r="B32" i="85"/>
  <c r="D32" i="85" s="1"/>
  <c r="B125" i="85"/>
  <c r="B37" i="85"/>
  <c r="D37" i="85" s="1"/>
  <c r="E22" i="86" s="1"/>
  <c r="B159" i="85"/>
  <c r="D120" i="85"/>
  <c r="B28" i="85"/>
  <c r="D28" i="85" s="1"/>
  <c r="B31" i="85"/>
  <c r="D31" i="85" s="1"/>
  <c r="B124" i="85"/>
  <c r="H208" i="1"/>
  <c r="H41" i="29"/>
  <c r="B33" i="85"/>
  <c r="D33" i="85" s="1"/>
  <c r="B126" i="85"/>
  <c r="B118" i="85"/>
  <c r="B27" i="85"/>
  <c r="D27" i="85" s="1"/>
  <c r="B29" i="85"/>
  <c r="D29" i="85" s="1"/>
  <c r="B122" i="85"/>
  <c r="B175" i="85"/>
  <c r="B53" i="85"/>
  <c r="D53" i="85" s="1"/>
  <c r="F132" i="88"/>
  <c r="H132" i="88"/>
  <c r="P633" i="1"/>
  <c r="N633" i="1"/>
  <c r="L633" i="1"/>
  <c r="H212" i="1"/>
  <c r="E212" i="1"/>
  <c r="J211" i="1"/>
  <c r="H204" i="1"/>
  <c r="E99" i="40" s="1"/>
  <c r="E204" i="1"/>
  <c r="C99" i="40" s="1"/>
  <c r="L25" i="75"/>
  <c r="J38" i="75"/>
  <c r="J40" i="75"/>
  <c r="J75" i="75"/>
  <c r="J60" i="75"/>
  <c r="L79" i="75"/>
  <c r="B109" i="88"/>
  <c r="J61" i="75"/>
  <c r="L76" i="75"/>
  <c r="L73" i="75"/>
  <c r="L81" i="75"/>
  <c r="L74" i="75"/>
  <c r="L80" i="75"/>
  <c r="L11" i="75"/>
  <c r="J30" i="75"/>
  <c r="J59" i="75"/>
  <c r="J77" i="75"/>
  <c r="J72" i="75"/>
  <c r="J16" i="75"/>
  <c r="L22" i="75"/>
  <c r="L39" i="75"/>
  <c r="L62" i="75"/>
  <c r="J65" i="75"/>
  <c r="J67" i="75"/>
  <c r="L27" i="75"/>
  <c r="L33" i="75"/>
  <c r="J66" i="75"/>
  <c r="L63" i="75"/>
  <c r="L50" i="75"/>
  <c r="L14" i="75"/>
  <c r="L51" i="75"/>
  <c r="L58" i="75"/>
  <c r="J69" i="75"/>
  <c r="L36" i="75"/>
  <c r="J32" i="75"/>
  <c r="L13" i="75"/>
  <c r="J71" i="75"/>
  <c r="L70" i="75"/>
  <c r="F424" i="1"/>
  <c r="F423" i="1"/>
  <c r="F419" i="1"/>
  <c r="D424" i="1"/>
  <c r="D423" i="1"/>
  <c r="D419" i="1"/>
  <c r="F418" i="1"/>
  <c r="F417" i="1"/>
  <c r="F400" i="1"/>
  <c r="D418" i="1"/>
  <c r="D417" i="1"/>
  <c r="D400" i="1"/>
  <c r="F398" i="1"/>
  <c r="F399" i="1"/>
  <c r="F397" i="1"/>
  <c r="F396" i="1"/>
  <c r="F395" i="1"/>
  <c r="F390" i="1"/>
  <c r="G400" i="1"/>
  <c r="H63" i="75" s="1"/>
  <c r="G399" i="1"/>
  <c r="H60" i="75" s="1"/>
  <c r="G398" i="1"/>
  <c r="H62" i="75" s="1"/>
  <c r="G397" i="1"/>
  <c r="H59" i="75" s="1"/>
  <c r="G396" i="1"/>
  <c r="H61" i="75" s="1"/>
  <c r="G395" i="1"/>
  <c r="H58" i="75" s="1"/>
  <c r="D398" i="1"/>
  <c r="D399" i="1"/>
  <c r="D395" i="1"/>
  <c r="D396" i="1"/>
  <c r="D397" i="1"/>
  <c r="D390" i="1"/>
  <c r="C99" i="85" l="1"/>
  <c r="L64" i="88"/>
  <c r="L121" i="88"/>
  <c r="L116" i="88"/>
  <c r="L69" i="88"/>
  <c r="E99" i="85"/>
  <c r="L122" i="88"/>
  <c r="L70" i="88"/>
  <c r="L65" i="88"/>
  <c r="L117" i="88"/>
  <c r="E115" i="88"/>
  <c r="C116" i="88"/>
  <c r="E116" i="88" s="1"/>
  <c r="E122" i="88"/>
  <c r="C123" i="88"/>
  <c r="E123" i="88" s="1"/>
  <c r="J208" i="1"/>
  <c r="C8" i="40"/>
  <c r="E8" i="40"/>
  <c r="D175" i="85"/>
  <c r="D159" i="85"/>
  <c r="B160" i="85"/>
  <c r="B38" i="85"/>
  <c r="D38" i="85" s="1"/>
  <c r="E23" i="86" s="1"/>
  <c r="D122" i="85"/>
  <c r="D125" i="85"/>
  <c r="D124" i="85"/>
  <c r="D118" i="85"/>
  <c r="D126" i="85"/>
  <c r="D389" i="1"/>
  <c r="D388" i="1"/>
  <c r="D387" i="1"/>
  <c r="D386" i="1"/>
  <c r="D385" i="1"/>
  <c r="D383" i="1"/>
  <c r="D382" i="1"/>
  <c r="D381" i="1"/>
  <c r="D355" i="1"/>
  <c r="F345" i="1"/>
  <c r="G355" i="1"/>
  <c r="G354" i="1"/>
  <c r="G353" i="1"/>
  <c r="D354" i="1"/>
  <c r="D353" i="1"/>
  <c r="D345" i="1"/>
  <c r="D344" i="1"/>
  <c r="D343" i="1"/>
  <c r="D340" i="1"/>
  <c r="F389" i="1"/>
  <c r="F388" i="1"/>
  <c r="F387" i="1"/>
  <c r="F386" i="1"/>
  <c r="F385" i="1"/>
  <c r="F383" i="1"/>
  <c r="F382" i="1"/>
  <c r="F381" i="1"/>
  <c r="F344" i="1"/>
  <c r="F343" i="1"/>
  <c r="F340" i="1"/>
  <c r="F339" i="1"/>
  <c r="F338" i="1"/>
  <c r="F336" i="1"/>
  <c r="F337" i="1"/>
  <c r="F335" i="1"/>
  <c r="F327" i="1"/>
  <c r="D339" i="1"/>
  <c r="D338" i="1"/>
  <c r="D337" i="1"/>
  <c r="D336" i="1"/>
  <c r="D335" i="1"/>
  <c r="D327" i="1"/>
  <c r="F326" i="1"/>
  <c r="F325" i="1"/>
  <c r="F324" i="1"/>
  <c r="F323" i="1"/>
  <c r="F322" i="1"/>
  <c r="F320" i="1"/>
  <c r="F321" i="1"/>
  <c r="F319" i="1"/>
  <c r="F318" i="1"/>
  <c r="F317" i="1"/>
  <c r="F316" i="1"/>
  <c r="F315" i="1"/>
  <c r="F314" i="1"/>
  <c r="F313" i="1"/>
  <c r="F311" i="1"/>
  <c r="F310" i="1"/>
  <c r="F299" i="1"/>
  <c r="D326" i="1"/>
  <c r="D325" i="1"/>
  <c r="D324" i="1"/>
  <c r="D323" i="1"/>
  <c r="D322" i="1"/>
  <c r="D320" i="1"/>
  <c r="D321" i="1"/>
  <c r="D319" i="1"/>
  <c r="D318" i="1"/>
  <c r="D317" i="1"/>
  <c r="D316" i="1"/>
  <c r="D315" i="1"/>
  <c r="D314" i="1"/>
  <c r="D313" i="1"/>
  <c r="D312" i="1"/>
  <c r="D311" i="1"/>
  <c r="D310" i="1"/>
  <c r="D299" i="1"/>
  <c r="D298" i="1"/>
  <c r="D297" i="1"/>
  <c r="D289" i="1"/>
  <c r="D290" i="1"/>
  <c r="D291" i="1"/>
  <c r="D292" i="1"/>
  <c r="D288" i="1"/>
  <c r="D283" i="1"/>
  <c r="D284" i="1"/>
  <c r="D285" i="1"/>
  <c r="D286" i="1"/>
  <c r="D282" i="1"/>
  <c r="F298" i="1"/>
  <c r="F297" i="1"/>
  <c r="G419" i="1"/>
  <c r="H67" i="75" s="1"/>
  <c r="G418" i="1"/>
  <c r="H66" i="75" s="1"/>
  <c r="G417" i="1"/>
  <c r="H65" i="75" s="1"/>
  <c r="F289" i="1"/>
  <c r="F291" i="1"/>
  <c r="F283" i="1"/>
  <c r="F285" i="1"/>
  <c r="D276" i="1"/>
  <c r="F277" i="1"/>
  <c r="F279" i="1"/>
  <c r="K37" i="23"/>
  <c r="C37" i="23"/>
  <c r="A37" i="23"/>
  <c r="K36" i="23"/>
  <c r="C36" i="23"/>
  <c r="A36" i="23"/>
  <c r="K35" i="23"/>
  <c r="C35" i="23"/>
  <c r="A35" i="23"/>
  <c r="K37" i="56"/>
  <c r="C37" i="56"/>
  <c r="A37" i="56"/>
  <c r="K36" i="56"/>
  <c r="C36" i="56"/>
  <c r="A36" i="56"/>
  <c r="K35" i="56"/>
  <c r="C35" i="56"/>
  <c r="A35" i="56"/>
  <c r="K37" i="58"/>
  <c r="C37" i="58"/>
  <c r="A37" i="58"/>
  <c r="K36" i="58"/>
  <c r="C36" i="58"/>
  <c r="A36" i="58"/>
  <c r="K35" i="58"/>
  <c r="C35" i="58"/>
  <c r="A35" i="58"/>
  <c r="K37" i="61"/>
  <c r="C37" i="61"/>
  <c r="A37" i="61"/>
  <c r="K36" i="61"/>
  <c r="C36" i="61"/>
  <c r="A36" i="61"/>
  <c r="K35" i="61"/>
  <c r="C35" i="61"/>
  <c r="A35" i="61"/>
  <c r="K37" i="41"/>
  <c r="C37" i="41"/>
  <c r="A37" i="41"/>
  <c r="K36" i="41"/>
  <c r="C36" i="41"/>
  <c r="A36" i="41"/>
  <c r="K35" i="41"/>
  <c r="C35" i="41"/>
  <c r="A35" i="41"/>
  <c r="K37" i="30"/>
  <c r="C37" i="30"/>
  <c r="A37" i="30"/>
  <c r="K36" i="30"/>
  <c r="C36" i="30"/>
  <c r="A36" i="30"/>
  <c r="K35" i="30"/>
  <c r="C35" i="30"/>
  <c r="A35" i="30"/>
  <c r="K37" i="20"/>
  <c r="C37" i="20"/>
  <c r="A37" i="20"/>
  <c r="K36" i="20"/>
  <c r="C36" i="20"/>
  <c r="A36" i="20"/>
  <c r="K35" i="20"/>
  <c r="C35" i="20"/>
  <c r="A35" i="20"/>
  <c r="K37" i="17"/>
  <c r="C37" i="17"/>
  <c r="A37" i="17"/>
  <c r="K36" i="17"/>
  <c r="C36" i="17"/>
  <c r="A36" i="17"/>
  <c r="K35" i="17"/>
  <c r="C35" i="17"/>
  <c r="A35" i="17"/>
  <c r="C78" i="18"/>
  <c r="B54" i="24"/>
  <c r="B54" i="55"/>
  <c r="B78" i="57"/>
  <c r="B78" i="60"/>
  <c r="B78" i="42"/>
  <c r="B78" i="31"/>
  <c r="B78" i="21"/>
  <c r="H312" i="1"/>
  <c r="H311" i="1"/>
  <c r="H310" i="1"/>
  <c r="L312" i="1"/>
  <c r="G37" i="41"/>
  <c r="L311" i="1"/>
  <c r="G36" i="61"/>
  <c r="L310" i="1"/>
  <c r="G35" i="58"/>
  <c r="F579" i="1"/>
  <c r="D579" i="1"/>
  <c r="B579" i="1"/>
  <c r="D580" i="1"/>
  <c r="L8" i="74"/>
  <c r="K8" i="74"/>
  <c r="I8" i="74"/>
  <c r="H8" i="74"/>
  <c r="F8" i="74"/>
  <c r="E8" i="74"/>
  <c r="D8" i="74"/>
  <c r="C8" i="74"/>
  <c r="D277" i="1"/>
  <c r="D278" i="1"/>
  <c r="D279" i="1"/>
  <c r="D280" i="1"/>
  <c r="B78" i="18" l="1"/>
  <c r="J20" i="75"/>
  <c r="J21" i="75"/>
  <c r="D108" i="40"/>
  <c r="D109" i="40"/>
  <c r="D19" i="40"/>
  <c r="D20" i="40"/>
  <c r="D110" i="40"/>
  <c r="D111" i="40"/>
  <c r="D17" i="40"/>
  <c r="D18" i="40"/>
  <c r="F353" i="1"/>
  <c r="H38" i="75"/>
  <c r="F354" i="1"/>
  <c r="H39" i="75"/>
  <c r="F355" i="1"/>
  <c r="H40" i="75"/>
  <c r="D160" i="85"/>
  <c r="G36" i="58"/>
  <c r="G36" i="56"/>
  <c r="G37" i="61"/>
  <c r="G37" i="58"/>
  <c r="G37" i="56"/>
  <c r="G36" i="23"/>
  <c r="G35" i="17"/>
  <c r="G37" i="23"/>
  <c r="G36" i="17"/>
  <c r="G35" i="20"/>
  <c r="G35" i="30"/>
  <c r="G37" i="17"/>
  <c r="G36" i="20"/>
  <c r="G36" i="30"/>
  <c r="G35" i="41"/>
  <c r="G35" i="56"/>
  <c r="G35" i="23"/>
  <c r="G37" i="20"/>
  <c r="G37" i="30"/>
  <c r="G36" i="41"/>
  <c r="G35" i="61"/>
  <c r="F111" i="40" l="1"/>
  <c r="F109" i="40"/>
  <c r="F18" i="40"/>
  <c r="F20" i="40"/>
  <c r="K92" i="23"/>
  <c r="G92" i="23"/>
  <c r="C92" i="23"/>
  <c r="A92" i="23"/>
  <c r="K91" i="23"/>
  <c r="G91" i="23"/>
  <c r="C91" i="23"/>
  <c r="A91" i="23"/>
  <c r="G90" i="23"/>
  <c r="K92" i="56"/>
  <c r="G92" i="56"/>
  <c r="C92" i="56"/>
  <c r="A92" i="56"/>
  <c r="K91" i="56"/>
  <c r="G91" i="56"/>
  <c r="C91" i="56"/>
  <c r="A91" i="56"/>
  <c r="G90" i="56"/>
  <c r="K99" i="58"/>
  <c r="G99" i="58"/>
  <c r="C99" i="58"/>
  <c r="A99" i="58"/>
  <c r="K98" i="58"/>
  <c r="G98" i="58"/>
  <c r="C98" i="58"/>
  <c r="A98" i="58"/>
  <c r="G97" i="58"/>
  <c r="K99" i="61"/>
  <c r="G99" i="61"/>
  <c r="C99" i="61"/>
  <c r="A99" i="61"/>
  <c r="K98" i="61"/>
  <c r="G98" i="61"/>
  <c r="C98" i="61"/>
  <c r="A98" i="61"/>
  <c r="G97" i="61"/>
  <c r="K99" i="41"/>
  <c r="G99" i="41"/>
  <c r="C99" i="41"/>
  <c r="A99" i="41"/>
  <c r="K98" i="41"/>
  <c r="G98" i="41"/>
  <c r="C98" i="41"/>
  <c r="A98" i="41"/>
  <c r="G97" i="41"/>
  <c r="K99" i="30"/>
  <c r="G99" i="30"/>
  <c r="C99" i="30"/>
  <c r="A99" i="30"/>
  <c r="K98" i="30"/>
  <c r="G98" i="30"/>
  <c r="C98" i="30"/>
  <c r="A98" i="30"/>
  <c r="G97" i="30"/>
  <c r="K99" i="20"/>
  <c r="G99" i="20"/>
  <c r="C99" i="20"/>
  <c r="A99" i="20"/>
  <c r="K98" i="20"/>
  <c r="G98" i="20"/>
  <c r="C98" i="20"/>
  <c r="A98" i="20"/>
  <c r="G97" i="20"/>
  <c r="K99" i="17"/>
  <c r="G99" i="17"/>
  <c r="C99" i="17"/>
  <c r="A99" i="17"/>
  <c r="K98" i="17"/>
  <c r="G98" i="17"/>
  <c r="C98" i="17"/>
  <c r="A98" i="17"/>
  <c r="G97" i="17"/>
  <c r="B44" i="1"/>
  <c r="B46" i="1"/>
  <c r="B45" i="1"/>
  <c r="H119" i="87" l="1"/>
  <c r="M119" i="87" s="1"/>
  <c r="H122" i="91"/>
  <c r="M122" i="91" s="1"/>
  <c r="H24" i="29"/>
  <c r="H12" i="29"/>
  <c r="H10" i="29"/>
  <c r="H5" i="29"/>
  <c r="H89" i="25" l="1"/>
  <c r="H9" i="25"/>
  <c r="H89" i="54"/>
  <c r="H9" i="54"/>
  <c r="H104" i="59"/>
  <c r="H13" i="59"/>
  <c r="H104" i="62"/>
  <c r="H13" i="62"/>
  <c r="H104" i="40"/>
  <c r="H13" i="40"/>
  <c r="H104" i="33"/>
  <c r="H13" i="33"/>
  <c r="H104" i="22"/>
  <c r="H13" i="22"/>
  <c r="H104" i="19"/>
  <c r="H13" i="19"/>
  <c r="H109" i="74" l="1"/>
  <c r="M113" i="1"/>
  <c r="B27" i="73"/>
  <c r="B43" i="73"/>
  <c r="B38" i="73"/>
  <c r="B32" i="73"/>
  <c r="C25" i="72"/>
  <c r="M27" i="72" l="1"/>
  <c r="L27" i="72"/>
  <c r="B14" i="76"/>
  <c r="E27" i="72" l="1"/>
  <c r="E26" i="72"/>
  <c r="E25" i="72"/>
  <c r="H61" i="1"/>
  <c r="K23" i="17"/>
  <c r="K22" i="17"/>
  <c r="K21" i="17"/>
  <c r="K20" i="17"/>
  <c r="K19" i="17"/>
  <c r="K18" i="17"/>
  <c r="K17" i="17"/>
  <c r="K16" i="17"/>
  <c r="K15" i="17"/>
  <c r="K14" i="17"/>
  <c r="K13" i="17"/>
  <c r="K12" i="17"/>
  <c r="K11" i="17"/>
  <c r="K10" i="17"/>
  <c r="K9" i="17"/>
  <c r="H390" i="1"/>
  <c r="H389" i="1"/>
  <c r="H388" i="1"/>
  <c r="H387" i="1"/>
  <c r="H386" i="1"/>
  <c r="H385" i="1"/>
  <c r="H383" i="1"/>
  <c r="H382" i="1"/>
  <c r="H381" i="1"/>
  <c r="H345" i="1"/>
  <c r="H344" i="1"/>
  <c r="H343" i="1"/>
  <c r="I337" i="1"/>
  <c r="I336" i="1"/>
  <c r="I335" i="1"/>
  <c r="H324" i="1"/>
  <c r="H323" i="1"/>
  <c r="H322" i="1"/>
  <c r="J28" i="75" s="1"/>
  <c r="H321" i="1"/>
  <c r="H320" i="1"/>
  <c r="H319" i="1"/>
  <c r="H318" i="1"/>
  <c r="H317" i="1"/>
  <c r="H316" i="1"/>
  <c r="H315" i="1"/>
  <c r="H314" i="1"/>
  <c r="H313" i="1"/>
  <c r="I327" i="1"/>
  <c r="I326" i="1"/>
  <c r="I325" i="1"/>
  <c r="I324" i="1"/>
  <c r="I323" i="1"/>
  <c r="I322" i="1"/>
  <c r="L28" i="75" s="1"/>
  <c r="H292" i="1"/>
  <c r="H291" i="1"/>
  <c r="H290" i="1"/>
  <c r="H289" i="1"/>
  <c r="H288" i="1"/>
  <c r="H286" i="1"/>
  <c r="H285" i="1"/>
  <c r="H284" i="1"/>
  <c r="H283" i="1"/>
  <c r="H282" i="1"/>
  <c r="H280" i="1"/>
  <c r="H279" i="1"/>
  <c r="H278" i="1"/>
  <c r="H277" i="1"/>
  <c r="H276" i="1"/>
  <c r="A78" i="79"/>
  <c r="A78" i="81"/>
  <c r="C15" i="84"/>
  <c r="C14" i="84"/>
  <c r="B15" i="84"/>
  <c r="B14" i="84"/>
  <c r="C15" i="83"/>
  <c r="C14" i="83"/>
  <c r="B15" i="83"/>
  <c r="B14" i="83"/>
  <c r="C15" i="82"/>
  <c r="C14" i="82"/>
  <c r="B15" i="82"/>
  <c r="B14" i="82"/>
  <c r="C15" i="81"/>
  <c r="C14" i="81"/>
  <c r="B15" i="81"/>
  <c r="B14" i="81"/>
  <c r="C15" i="79"/>
  <c r="C14" i="79"/>
  <c r="B15" i="79"/>
  <c r="B14" i="79"/>
  <c r="C15" i="78"/>
  <c r="B15" i="78"/>
  <c r="C14" i="78"/>
  <c r="B14" i="78"/>
  <c r="C15" i="77"/>
  <c r="B15" i="77"/>
  <c r="C14" i="77"/>
  <c r="B14" i="77"/>
  <c r="B5" i="84"/>
  <c r="E5" i="84" s="1"/>
  <c r="E7" i="84" s="1"/>
  <c r="C11" i="84"/>
  <c r="B11" i="84"/>
  <c r="B5" i="83"/>
  <c r="E5" i="83" s="1"/>
  <c r="E7" i="83" s="1"/>
  <c r="C11" i="83"/>
  <c r="B11" i="83"/>
  <c r="B5" i="82"/>
  <c r="E5" i="82" s="1"/>
  <c r="E8" i="82" s="1"/>
  <c r="C12" i="82"/>
  <c r="B12" i="82"/>
  <c r="B5" i="81"/>
  <c r="E5" i="81" s="1"/>
  <c r="E8" i="81" s="1"/>
  <c r="C12" i="81"/>
  <c r="B12" i="81"/>
  <c r="C12" i="79"/>
  <c r="B12" i="79"/>
  <c r="B5" i="79"/>
  <c r="E5" i="79" s="1"/>
  <c r="E8" i="79" s="1"/>
  <c r="B5" i="78"/>
  <c r="E5" i="78" s="1"/>
  <c r="E8" i="78" s="1"/>
  <c r="C12" i="78"/>
  <c r="B12" i="78"/>
  <c r="C12" i="77"/>
  <c r="B12" i="77"/>
  <c r="B12" i="76"/>
  <c r="B5" i="77"/>
  <c r="E5" i="77" s="1"/>
  <c r="E8" i="77" s="1"/>
  <c r="C15" i="76"/>
  <c r="B15" i="76"/>
  <c r="C14" i="76"/>
  <c r="C12" i="76"/>
  <c r="E5" i="76"/>
  <c r="E8" i="76" s="1"/>
  <c r="C49" i="78" l="1"/>
  <c r="C50" i="78"/>
  <c r="C49" i="81"/>
  <c r="C50" i="81"/>
  <c r="C49" i="84"/>
  <c r="C48" i="84"/>
  <c r="C50" i="79"/>
  <c r="C49" i="79"/>
  <c r="C50" i="82"/>
  <c r="C49" i="82"/>
  <c r="C50" i="77"/>
  <c r="C49" i="77"/>
  <c r="C50" i="76"/>
  <c r="C49" i="76"/>
  <c r="C49" i="83"/>
  <c r="C48" i="83"/>
  <c r="E15" i="79"/>
  <c r="I100" i="56"/>
  <c r="I107" i="61"/>
  <c r="I107" i="41"/>
  <c r="I107" i="20"/>
  <c r="I99" i="56"/>
  <c r="I106" i="61"/>
  <c r="I106" i="41"/>
  <c r="I106" i="20"/>
  <c r="I98" i="56"/>
  <c r="I105" i="61"/>
  <c r="I105" i="41"/>
  <c r="I105" i="20"/>
  <c r="I106" i="58"/>
  <c r="I106" i="17"/>
  <c r="I100" i="23"/>
  <c r="I106" i="87"/>
  <c r="I99" i="23"/>
  <c r="I107" i="58"/>
  <c r="I107" i="87"/>
  <c r="I107" i="30"/>
  <c r="I107" i="17"/>
  <c r="I98" i="23"/>
  <c r="I110" i="91"/>
  <c r="I106" i="30"/>
  <c r="I109" i="91"/>
  <c r="I105" i="58"/>
  <c r="I105" i="87"/>
  <c r="I105" i="30"/>
  <c r="I105" i="17"/>
  <c r="I108" i="91"/>
  <c r="E11" i="84"/>
  <c r="E15" i="84"/>
  <c r="L29" i="75"/>
  <c r="J11" i="75"/>
  <c r="J25" i="75"/>
  <c r="L32" i="75"/>
  <c r="J50" i="75"/>
  <c r="J12" i="75"/>
  <c r="L30" i="75"/>
  <c r="J26" i="75"/>
  <c r="J51" i="75"/>
  <c r="J24" i="75"/>
  <c r="J14" i="75"/>
  <c r="J34" i="75"/>
  <c r="J53" i="75"/>
  <c r="J10" i="75"/>
  <c r="J22" i="75"/>
  <c r="J35" i="75"/>
  <c r="J54" i="75"/>
  <c r="J52" i="75"/>
  <c r="J36" i="75"/>
  <c r="J55" i="75"/>
  <c r="J49" i="75"/>
  <c r="J13" i="75"/>
  <c r="J27" i="75"/>
  <c r="J23" i="75"/>
  <c r="J29" i="75"/>
  <c r="J48" i="75"/>
  <c r="J56" i="75"/>
  <c r="E16" i="84"/>
  <c r="E16" i="83"/>
  <c r="E12" i="77"/>
  <c r="E15" i="83"/>
  <c r="E11" i="83"/>
  <c r="E16" i="82"/>
  <c r="E16" i="81"/>
  <c r="E16" i="79"/>
  <c r="E16" i="78"/>
  <c r="E12" i="82"/>
  <c r="E15" i="82"/>
  <c r="E14" i="81"/>
  <c r="E14" i="84"/>
  <c r="E14" i="83"/>
  <c r="E14" i="82"/>
  <c r="E15" i="81"/>
  <c r="E14" i="79"/>
  <c r="E15" i="78"/>
  <c r="E14" i="78"/>
  <c r="E15" i="77"/>
  <c r="E16" i="77"/>
  <c r="E14" i="77"/>
  <c r="E12" i="81"/>
  <c r="E12" i="79"/>
  <c r="E12" i="78"/>
  <c r="E14" i="76"/>
  <c r="E16" i="76"/>
  <c r="E15" i="76"/>
  <c r="E12" i="76"/>
  <c r="E17" i="77" l="1"/>
  <c r="E17" i="82"/>
  <c r="E17" i="76"/>
  <c r="E17" i="81"/>
  <c r="E17" i="79"/>
  <c r="E17" i="78"/>
  <c r="G105" i="23" l="1"/>
  <c r="G104" i="23"/>
  <c r="G103" i="23"/>
  <c r="G105" i="56"/>
  <c r="G104" i="56"/>
  <c r="G103" i="56"/>
  <c r="G112" i="58"/>
  <c r="G111" i="58"/>
  <c r="G110" i="58"/>
  <c r="G112" i="61"/>
  <c r="G111" i="61"/>
  <c r="G110" i="61"/>
  <c r="G112" i="41"/>
  <c r="G111" i="41"/>
  <c r="G110" i="41"/>
  <c r="G112" i="30"/>
  <c r="G111" i="30"/>
  <c r="G110" i="30"/>
  <c r="G112" i="20"/>
  <c r="G111" i="20"/>
  <c r="G110" i="20"/>
  <c r="G95" i="23"/>
  <c r="G95" i="56"/>
  <c r="G94" i="23"/>
  <c r="G94" i="56"/>
  <c r="G93" i="23"/>
  <c r="G93" i="56"/>
  <c r="G102" i="58"/>
  <c r="G101" i="58"/>
  <c r="G100" i="58"/>
  <c r="G102" i="61"/>
  <c r="G101" i="61"/>
  <c r="G100" i="61"/>
  <c r="G102" i="41"/>
  <c r="G101" i="41"/>
  <c r="G100" i="41"/>
  <c r="G102" i="30"/>
  <c r="G101" i="30"/>
  <c r="G100" i="30"/>
  <c r="G102" i="20"/>
  <c r="G101" i="20"/>
  <c r="G100" i="20"/>
  <c r="G96" i="20"/>
  <c r="G96" i="30"/>
  <c r="G96" i="41"/>
  <c r="G96" i="61"/>
  <c r="G96" i="58"/>
  <c r="G79" i="23"/>
  <c r="G78" i="23"/>
  <c r="G77" i="23"/>
  <c r="G76" i="23"/>
  <c r="G75" i="23"/>
  <c r="G74" i="23"/>
  <c r="G79" i="56"/>
  <c r="G78" i="56"/>
  <c r="G77" i="56"/>
  <c r="G76" i="56"/>
  <c r="G75" i="56"/>
  <c r="G74" i="56"/>
  <c r="G85" i="58"/>
  <c r="G84" i="58"/>
  <c r="G83" i="58"/>
  <c r="G82" i="58"/>
  <c r="G81" i="58"/>
  <c r="G80" i="58"/>
  <c r="G85" i="61"/>
  <c r="G84" i="61"/>
  <c r="G83" i="61"/>
  <c r="G82" i="61"/>
  <c r="G81" i="61"/>
  <c r="G80" i="61"/>
  <c r="G85" i="41"/>
  <c r="G84" i="41"/>
  <c r="G83" i="41"/>
  <c r="G82" i="41"/>
  <c r="G81" i="41"/>
  <c r="G80" i="41"/>
  <c r="G85" i="30"/>
  <c r="G84" i="30"/>
  <c r="G83" i="30"/>
  <c r="G82" i="30"/>
  <c r="G81" i="30"/>
  <c r="G80" i="30"/>
  <c r="G85" i="20"/>
  <c r="G84" i="20"/>
  <c r="G83" i="20"/>
  <c r="G82" i="20"/>
  <c r="G81" i="20"/>
  <c r="G80" i="20"/>
  <c r="G63" i="23"/>
  <c r="G62" i="23"/>
  <c r="G61" i="23"/>
  <c r="G63" i="56"/>
  <c r="G62" i="56"/>
  <c r="G61" i="56"/>
  <c r="G66" i="58"/>
  <c r="G65" i="58"/>
  <c r="G64" i="58"/>
  <c r="G66" i="61"/>
  <c r="G65" i="61"/>
  <c r="G64" i="61"/>
  <c r="G66" i="41"/>
  <c r="G65" i="41"/>
  <c r="G64" i="41"/>
  <c r="G66" i="30"/>
  <c r="G65" i="30"/>
  <c r="G64" i="30"/>
  <c r="G66" i="20"/>
  <c r="G65" i="20"/>
  <c r="G64" i="20"/>
  <c r="G112" i="17"/>
  <c r="G111" i="17"/>
  <c r="G110" i="17"/>
  <c r="G102" i="17"/>
  <c r="G101" i="17"/>
  <c r="G100" i="17"/>
  <c r="G85" i="17"/>
  <c r="G83" i="17"/>
  <c r="G84" i="17"/>
  <c r="G82" i="17"/>
  <c r="G80" i="17"/>
  <c r="G81" i="17"/>
  <c r="G66" i="17"/>
  <c r="G65" i="17"/>
  <c r="G64" i="17"/>
  <c r="F428" i="1"/>
  <c r="K434" i="1"/>
  <c r="K427" i="1"/>
  <c r="J458" i="1" l="1"/>
  <c r="J476" i="1"/>
  <c r="K21" i="23"/>
  <c r="C21" i="23"/>
  <c r="A21" i="23"/>
  <c r="K20" i="23"/>
  <c r="C20" i="23"/>
  <c r="A20" i="23"/>
  <c r="K19" i="23"/>
  <c r="C19" i="23"/>
  <c r="A19" i="23"/>
  <c r="K18" i="23"/>
  <c r="C18" i="23"/>
  <c r="A18" i="23"/>
  <c r="K16" i="23"/>
  <c r="C16" i="23"/>
  <c r="A16" i="23"/>
  <c r="K14" i="23"/>
  <c r="C14" i="23"/>
  <c r="A14" i="23"/>
  <c r="K13" i="23"/>
  <c r="C13" i="23"/>
  <c r="A13" i="23"/>
  <c r="K12" i="23"/>
  <c r="C12" i="23"/>
  <c r="A12" i="23"/>
  <c r="K10" i="23"/>
  <c r="C10" i="23"/>
  <c r="A10" i="23"/>
  <c r="K21" i="56"/>
  <c r="C21" i="56"/>
  <c r="A21" i="56"/>
  <c r="K20" i="56"/>
  <c r="C20" i="56"/>
  <c r="A20" i="56"/>
  <c r="K19" i="56"/>
  <c r="C19" i="56"/>
  <c r="A19" i="56"/>
  <c r="K18" i="56"/>
  <c r="C18" i="56"/>
  <c r="A18" i="56"/>
  <c r="C14" i="56"/>
  <c r="C15" i="56"/>
  <c r="C16" i="56"/>
  <c r="C17" i="56"/>
  <c r="K16" i="56"/>
  <c r="A16" i="56"/>
  <c r="K14" i="56"/>
  <c r="A14" i="56"/>
  <c r="K13" i="56"/>
  <c r="C13" i="56"/>
  <c r="A13" i="56"/>
  <c r="K12" i="56"/>
  <c r="C12" i="56"/>
  <c r="A12" i="56"/>
  <c r="K10" i="56"/>
  <c r="C10" i="56"/>
  <c r="A10" i="56"/>
  <c r="K21" i="58"/>
  <c r="C21" i="58"/>
  <c r="A21" i="58"/>
  <c r="K20" i="58"/>
  <c r="C20" i="58"/>
  <c r="A20" i="58"/>
  <c r="K19" i="58"/>
  <c r="C19" i="58"/>
  <c r="A19" i="58"/>
  <c r="K18" i="58"/>
  <c r="C18" i="58"/>
  <c r="A18" i="58"/>
  <c r="K16" i="58"/>
  <c r="C16" i="58"/>
  <c r="A16" i="58"/>
  <c r="K14" i="58"/>
  <c r="C14" i="58"/>
  <c r="A14" i="58"/>
  <c r="K13" i="58"/>
  <c r="C13" i="58"/>
  <c r="A13" i="58"/>
  <c r="K12" i="58"/>
  <c r="C12" i="58"/>
  <c r="A12" i="58"/>
  <c r="K10" i="58"/>
  <c r="C10" i="58"/>
  <c r="A10" i="58"/>
  <c r="K21" i="61"/>
  <c r="C21" i="61"/>
  <c r="A21" i="61"/>
  <c r="K20" i="61"/>
  <c r="C20" i="61"/>
  <c r="A20" i="61"/>
  <c r="K19" i="61"/>
  <c r="C19" i="61"/>
  <c r="A19" i="61"/>
  <c r="K18" i="61"/>
  <c r="C18" i="61"/>
  <c r="A18" i="61"/>
  <c r="K16" i="61"/>
  <c r="C16" i="61"/>
  <c r="A16" i="61"/>
  <c r="K14" i="61"/>
  <c r="C14" i="61"/>
  <c r="A14" i="61"/>
  <c r="K13" i="61"/>
  <c r="C13" i="61"/>
  <c r="A13" i="61"/>
  <c r="K12" i="61"/>
  <c r="C12" i="61"/>
  <c r="A12" i="61"/>
  <c r="K10" i="61"/>
  <c r="C10" i="61"/>
  <c r="A10" i="61"/>
  <c r="K21" i="41"/>
  <c r="C21" i="41"/>
  <c r="A21" i="41"/>
  <c r="K20" i="41"/>
  <c r="C20" i="41"/>
  <c r="A20" i="41"/>
  <c r="K19" i="41"/>
  <c r="C19" i="41"/>
  <c r="A19" i="41"/>
  <c r="K18" i="41"/>
  <c r="C18" i="41"/>
  <c r="A18" i="41"/>
  <c r="K16" i="41"/>
  <c r="C16" i="41"/>
  <c r="A16" i="41"/>
  <c r="K14" i="41"/>
  <c r="C14" i="41"/>
  <c r="A14" i="41"/>
  <c r="K13" i="41"/>
  <c r="C13" i="41"/>
  <c r="A13" i="41"/>
  <c r="K12" i="41"/>
  <c r="C12" i="41"/>
  <c r="A12" i="41"/>
  <c r="K10" i="41"/>
  <c r="C10" i="41"/>
  <c r="A10" i="41"/>
  <c r="K21" i="30"/>
  <c r="C21" i="30"/>
  <c r="A21" i="30"/>
  <c r="K20" i="30"/>
  <c r="C20" i="30"/>
  <c r="A20" i="30"/>
  <c r="K19" i="30"/>
  <c r="C19" i="30"/>
  <c r="A19" i="30"/>
  <c r="K18" i="30"/>
  <c r="C18" i="30"/>
  <c r="A18" i="30"/>
  <c r="K16" i="30"/>
  <c r="C16" i="30"/>
  <c r="A16" i="30"/>
  <c r="K14" i="30"/>
  <c r="C14" i="30"/>
  <c r="A14" i="30"/>
  <c r="K13" i="30"/>
  <c r="C13" i="30"/>
  <c r="A13" i="30"/>
  <c r="K12" i="30"/>
  <c r="C12" i="30"/>
  <c r="A12" i="30"/>
  <c r="K10" i="30"/>
  <c r="C10" i="30"/>
  <c r="A10" i="30"/>
  <c r="K21" i="20"/>
  <c r="C21" i="20"/>
  <c r="A21" i="20"/>
  <c r="K20" i="20"/>
  <c r="C20" i="20"/>
  <c r="A20" i="20"/>
  <c r="K19" i="20"/>
  <c r="C19" i="20"/>
  <c r="A19" i="20"/>
  <c r="K18" i="20"/>
  <c r="C18" i="20"/>
  <c r="A18" i="20"/>
  <c r="K16" i="20"/>
  <c r="C16" i="20"/>
  <c r="A16" i="20"/>
  <c r="K14" i="20"/>
  <c r="C14" i="20"/>
  <c r="A14" i="20"/>
  <c r="K13" i="20"/>
  <c r="C13" i="20"/>
  <c r="A13" i="20"/>
  <c r="K12" i="20"/>
  <c r="C12" i="20"/>
  <c r="A12" i="20"/>
  <c r="K10" i="20"/>
  <c r="C10" i="20"/>
  <c r="A10" i="20"/>
  <c r="C21" i="17"/>
  <c r="A21" i="17"/>
  <c r="C20" i="17"/>
  <c r="A20" i="17"/>
  <c r="C19" i="17"/>
  <c r="A19" i="17"/>
  <c r="C18" i="17"/>
  <c r="A18" i="17"/>
  <c r="C16" i="17"/>
  <c r="A16" i="17"/>
  <c r="C14" i="17"/>
  <c r="A14" i="17"/>
  <c r="C13" i="17"/>
  <c r="A13" i="17"/>
  <c r="C12" i="17"/>
  <c r="A12" i="17"/>
  <c r="C10" i="17"/>
  <c r="A10" i="17"/>
  <c r="G20" i="17"/>
  <c r="F61" i="1"/>
  <c r="D61" i="1"/>
  <c r="A15" i="58"/>
  <c r="K2" i="74"/>
  <c r="C70" i="55"/>
  <c r="C94" i="57"/>
  <c r="C94" i="42"/>
  <c r="C94" i="31"/>
  <c r="C94" i="21"/>
  <c r="C94" i="18"/>
  <c r="C65" i="24"/>
  <c r="C60" i="24"/>
  <c r="C59" i="24"/>
  <c r="C58" i="24"/>
  <c r="C65" i="55"/>
  <c r="C60" i="55"/>
  <c r="C59" i="55"/>
  <c r="C58" i="55"/>
  <c r="C57" i="55"/>
  <c r="C89" i="57"/>
  <c r="C87" i="57"/>
  <c r="C86" i="57"/>
  <c r="C85" i="57"/>
  <c r="C89" i="60"/>
  <c r="C87" i="60"/>
  <c r="C86" i="60"/>
  <c r="C85" i="60"/>
  <c r="C89" i="42"/>
  <c r="C87" i="42"/>
  <c r="C86" i="42"/>
  <c r="C85" i="42"/>
  <c r="C89" i="31"/>
  <c r="C87" i="31"/>
  <c r="C86" i="31"/>
  <c r="C85" i="31"/>
  <c r="C89" i="21"/>
  <c r="C87" i="21"/>
  <c r="C86" i="21"/>
  <c r="C85" i="21"/>
  <c r="C57" i="24"/>
  <c r="C56" i="24"/>
  <c r="C55" i="24"/>
  <c r="C56" i="55"/>
  <c r="C55" i="55"/>
  <c r="C81" i="57"/>
  <c r="C80" i="57"/>
  <c r="C79" i="57"/>
  <c r="C81" i="60"/>
  <c r="C80" i="60"/>
  <c r="C79" i="60"/>
  <c r="C81" i="42"/>
  <c r="C80" i="42"/>
  <c r="C79" i="42"/>
  <c r="C81" i="31"/>
  <c r="C80" i="31"/>
  <c r="C79" i="31"/>
  <c r="C81" i="21"/>
  <c r="C80" i="21"/>
  <c r="C79" i="21"/>
  <c r="C89" i="18"/>
  <c r="C87" i="18"/>
  <c r="C86" i="18"/>
  <c r="C85" i="18"/>
  <c r="C81" i="18"/>
  <c r="C80" i="18"/>
  <c r="C79" i="18"/>
  <c r="D108" i="91" l="1"/>
  <c r="D109" i="91"/>
  <c r="D110" i="91"/>
  <c r="F144" i="88"/>
  <c r="F102" i="92"/>
  <c r="D105" i="87"/>
  <c r="D100" i="56"/>
  <c r="D106" i="58"/>
  <c r="D107" i="61"/>
  <c r="D99" i="23"/>
  <c r="D99" i="56"/>
  <c r="D106" i="30"/>
  <c r="D107" i="30"/>
  <c r="D106" i="61"/>
  <c r="D107" i="58"/>
  <c r="D106" i="87"/>
  <c r="D107" i="41"/>
  <c r="D107" i="87"/>
  <c r="D100" i="23"/>
  <c r="D106" i="41"/>
  <c r="D107" i="17"/>
  <c r="D107" i="20"/>
  <c r="D106" i="17"/>
  <c r="D106" i="20"/>
  <c r="D105" i="20"/>
  <c r="D105" i="30"/>
  <c r="D98" i="23"/>
  <c r="D105" i="41"/>
  <c r="D105" i="61"/>
  <c r="D105" i="58"/>
  <c r="D105" i="17"/>
  <c r="D98" i="56"/>
  <c r="G21" i="61"/>
  <c r="G21" i="56"/>
  <c r="G21" i="23"/>
  <c r="G21" i="30"/>
  <c r="G21" i="58"/>
  <c r="G21" i="41"/>
  <c r="G21" i="20"/>
  <c r="G16" i="41"/>
  <c r="G16" i="56"/>
  <c r="G16" i="20"/>
  <c r="G16" i="61"/>
  <c r="G16" i="23"/>
  <c r="G16" i="30"/>
  <c r="G16" i="58"/>
  <c r="G19" i="56"/>
  <c r="G19" i="20"/>
  <c r="G19" i="61"/>
  <c r="G19" i="23"/>
  <c r="G19" i="30"/>
  <c r="G19" i="58"/>
  <c r="G19" i="41"/>
  <c r="G20" i="20"/>
  <c r="G20" i="61"/>
  <c r="G20" i="23"/>
  <c r="G20" i="30"/>
  <c r="G20" i="41"/>
  <c r="G20" i="58"/>
  <c r="G20" i="56"/>
  <c r="G18" i="41"/>
  <c r="G18" i="61"/>
  <c r="G18" i="58"/>
  <c r="G18" i="56"/>
  <c r="G18" i="30"/>
  <c r="G18" i="23"/>
  <c r="G18" i="20"/>
  <c r="G14" i="23"/>
  <c r="G14" i="20"/>
  <c r="G14" i="30"/>
  <c r="G14" i="61"/>
  <c r="G14" i="56"/>
  <c r="G14" i="41"/>
  <c r="G14" i="58"/>
  <c r="G12" i="58"/>
  <c r="G12" i="56"/>
  <c r="G12" i="23"/>
  <c r="G12" i="30"/>
  <c r="G12" i="61"/>
  <c r="G12" i="41"/>
  <c r="G12" i="20"/>
  <c r="G10" i="41"/>
  <c r="G10" i="61"/>
  <c r="G10" i="58"/>
  <c r="G10" i="56"/>
  <c r="G10" i="30"/>
  <c r="G10" i="20"/>
  <c r="G10" i="23"/>
  <c r="G21" i="17"/>
  <c r="G16" i="17"/>
  <c r="G10" i="17"/>
  <c r="G18" i="17"/>
  <c r="G19" i="17"/>
  <c r="G12" i="17"/>
  <c r="G14" i="17"/>
  <c r="L21" i="74"/>
  <c r="K21" i="74"/>
  <c r="I21" i="74"/>
  <c r="H21" i="74"/>
  <c r="L22" i="74"/>
  <c r="C43" i="24" s="1"/>
  <c r="K22" i="74"/>
  <c r="C43" i="55" s="1"/>
  <c r="I22" i="74"/>
  <c r="C59" i="57" s="1"/>
  <c r="H22" i="74"/>
  <c r="C59" i="60" s="1"/>
  <c r="F22" i="74"/>
  <c r="C59" i="42" s="1"/>
  <c r="C60" i="42" s="1"/>
  <c r="F21" i="74"/>
  <c r="E22" i="74"/>
  <c r="C59" i="31" s="1"/>
  <c r="E21" i="74"/>
  <c r="D22" i="74"/>
  <c r="C59" i="21" s="1"/>
  <c r="D21" i="74"/>
  <c r="C21" i="74"/>
  <c r="C22" i="74"/>
  <c r="C59" i="18" s="1"/>
  <c r="I115" i="1"/>
  <c r="I114" i="1"/>
  <c r="I113" i="1"/>
  <c r="G115" i="1"/>
  <c r="B119" i="92" s="1"/>
  <c r="G114" i="1"/>
  <c r="B118" i="92" s="1"/>
  <c r="G113" i="1"/>
  <c r="B117" i="92" s="1"/>
  <c r="S271" i="1"/>
  <c r="O113" i="1"/>
  <c r="N113" i="1"/>
  <c r="L113" i="1"/>
  <c r="N111" i="1"/>
  <c r="N110" i="1"/>
  <c r="O111" i="1"/>
  <c r="O110" i="1"/>
  <c r="O109" i="1"/>
  <c r="O108" i="1"/>
  <c r="N109" i="1"/>
  <c r="N108" i="1"/>
  <c r="M111" i="1"/>
  <c r="M110" i="1"/>
  <c r="M109" i="1"/>
  <c r="M108" i="1"/>
  <c r="L111" i="1"/>
  <c r="L110" i="1"/>
  <c r="L109" i="1"/>
  <c r="L108" i="1"/>
  <c r="H107" i="74"/>
  <c r="H106" i="74"/>
  <c r="H105" i="74"/>
  <c r="H104" i="74"/>
  <c r="B104" i="24"/>
  <c r="B104" i="55"/>
  <c r="B147" i="57"/>
  <c r="B147" i="60"/>
  <c r="B147" i="42"/>
  <c r="B147" i="31"/>
  <c r="B147" i="21"/>
  <c r="B147" i="18"/>
  <c r="Q86" i="24"/>
  <c r="P86" i="24"/>
  <c r="B80" i="24" s="1"/>
  <c r="K80" i="24" s="1"/>
  <c r="Q86" i="55"/>
  <c r="P86" i="55"/>
  <c r="N76" i="24"/>
  <c r="N75" i="24"/>
  <c r="N76" i="55"/>
  <c r="S76" i="55" s="1"/>
  <c r="N75" i="55"/>
  <c r="S75" i="55" s="1"/>
  <c r="F166" i="88" l="1"/>
  <c r="F117" i="92"/>
  <c r="F167" i="88"/>
  <c r="F118" i="92"/>
  <c r="F168" i="88"/>
  <c r="F119" i="92"/>
  <c r="F165" i="88"/>
  <c r="F116" i="92"/>
  <c r="B80" i="55"/>
  <c r="K80" i="55" s="1"/>
  <c r="B116" i="24"/>
  <c r="B166" i="88"/>
  <c r="B117" i="24"/>
  <c r="B167" i="88"/>
  <c r="B118" i="24"/>
  <c r="B168" i="88"/>
  <c r="B166" i="18"/>
  <c r="B166" i="31"/>
  <c r="B166" i="60"/>
  <c r="B116" i="55"/>
  <c r="B167" i="18"/>
  <c r="B167" i="31"/>
  <c r="B167" i="60"/>
  <c r="B117" i="55"/>
  <c r="B168" i="18"/>
  <c r="B168" i="31"/>
  <c r="B168" i="60"/>
  <c r="B118" i="55"/>
  <c r="B166" i="21"/>
  <c r="B166" i="42"/>
  <c r="B166" i="57"/>
  <c r="B167" i="21"/>
  <c r="B167" i="42"/>
  <c r="B167" i="57"/>
  <c r="B168" i="21"/>
  <c r="B168" i="42"/>
  <c r="B168" i="57"/>
  <c r="N111" i="18"/>
  <c r="N110" i="18"/>
  <c r="P125" i="18"/>
  <c r="K120" i="18"/>
  <c r="E70" i="74"/>
  <c r="E69" i="74"/>
  <c r="F95" i="24"/>
  <c r="F94" i="24"/>
  <c r="F95" i="55"/>
  <c r="F94" i="55"/>
  <c r="F138" i="57"/>
  <c r="F137" i="57"/>
  <c r="F138" i="60"/>
  <c r="F137" i="60"/>
  <c r="F138" i="42"/>
  <c r="F137" i="42"/>
  <c r="F138" i="31"/>
  <c r="F137" i="31"/>
  <c r="F138" i="21"/>
  <c r="F137" i="21"/>
  <c r="C95" i="24"/>
  <c r="C94" i="24"/>
  <c r="C95" i="55"/>
  <c r="C94" i="55"/>
  <c r="C138" i="57"/>
  <c r="C137" i="57"/>
  <c r="C138" i="60"/>
  <c r="C137" i="60"/>
  <c r="C138" i="42"/>
  <c r="C137" i="42"/>
  <c r="C138" i="31"/>
  <c r="C137" i="31"/>
  <c r="C138" i="21"/>
  <c r="C137" i="21"/>
  <c r="F137" i="18"/>
  <c r="F138" i="18"/>
  <c r="C138" i="18"/>
  <c r="C137" i="18"/>
  <c r="B95" i="24"/>
  <c r="B94" i="24"/>
  <c r="B95" i="55"/>
  <c r="B94" i="55"/>
  <c r="B138" i="57"/>
  <c r="B137" i="57"/>
  <c r="B138" i="60"/>
  <c r="B137" i="60"/>
  <c r="B138" i="42"/>
  <c r="B137" i="42"/>
  <c r="B138" i="31"/>
  <c r="B137" i="31"/>
  <c r="B138" i="21"/>
  <c r="B137" i="21"/>
  <c r="F98" i="24"/>
  <c r="F97" i="24"/>
  <c r="F98" i="55"/>
  <c r="F97" i="55"/>
  <c r="F141" i="57"/>
  <c r="F140" i="57"/>
  <c r="F141" i="60"/>
  <c r="F140" i="60"/>
  <c r="F141" i="42"/>
  <c r="F140" i="42"/>
  <c r="F141" i="31"/>
  <c r="F140" i="31"/>
  <c r="F141" i="21"/>
  <c r="F140" i="21"/>
  <c r="C98" i="24"/>
  <c r="C97" i="24"/>
  <c r="C98" i="55"/>
  <c r="C97" i="55"/>
  <c r="C141" i="57"/>
  <c r="C140" i="57"/>
  <c r="C141" i="60"/>
  <c r="C140" i="60"/>
  <c r="C141" i="42"/>
  <c r="C140" i="42"/>
  <c r="C141" i="31"/>
  <c r="C140" i="31"/>
  <c r="C141" i="21"/>
  <c r="C140" i="21"/>
  <c r="F141" i="18"/>
  <c r="F140" i="18"/>
  <c r="C141" i="18"/>
  <c r="C140" i="18"/>
  <c r="B98" i="24"/>
  <c r="B97" i="24"/>
  <c r="B98" i="55"/>
  <c r="B97" i="55"/>
  <c r="B141" i="57"/>
  <c r="B140" i="57"/>
  <c r="B141" i="60"/>
  <c r="B140" i="60"/>
  <c r="B141" i="42"/>
  <c r="B140" i="42"/>
  <c r="B141" i="31"/>
  <c r="B140" i="31"/>
  <c r="B141" i="21"/>
  <c r="B140" i="21"/>
  <c r="J42" i="92" l="1"/>
  <c r="J76" i="92"/>
  <c r="J42" i="24"/>
  <c r="J58" i="57"/>
  <c r="J58" i="60"/>
  <c r="J58" i="42"/>
  <c r="J58" i="31"/>
  <c r="J58" i="21"/>
  <c r="J110" i="60"/>
  <c r="J110" i="21"/>
  <c r="L110" i="21" s="1"/>
  <c r="J42" i="55"/>
  <c r="J110" i="42"/>
  <c r="J58" i="88"/>
  <c r="J110" i="88"/>
  <c r="J110" i="57"/>
  <c r="J110" i="31"/>
  <c r="J58" i="18"/>
  <c r="J77" i="92"/>
  <c r="J43" i="92"/>
  <c r="J43" i="24"/>
  <c r="J59" i="57"/>
  <c r="J59" i="60"/>
  <c r="J59" i="42"/>
  <c r="J59" i="31"/>
  <c r="J59" i="21"/>
  <c r="J43" i="55"/>
  <c r="J59" i="88"/>
  <c r="J111" i="57"/>
  <c r="J111" i="60"/>
  <c r="J111" i="88"/>
  <c r="J111" i="42"/>
  <c r="J111" i="31"/>
  <c r="J111" i="21"/>
  <c r="L111" i="21" s="1"/>
  <c r="J59" i="18"/>
  <c r="B115" i="18"/>
  <c r="K115" i="18" s="1"/>
  <c r="B116" i="18"/>
  <c r="J75" i="55"/>
  <c r="J75" i="24"/>
  <c r="J76" i="24"/>
  <c r="J76" i="55"/>
  <c r="J110" i="18"/>
  <c r="J111" i="18"/>
  <c r="B141" i="18"/>
  <c r="B140" i="18"/>
  <c r="B138" i="18"/>
  <c r="B137" i="18"/>
  <c r="F142" i="88"/>
  <c r="B39" i="73"/>
  <c r="L59" i="31" l="1"/>
  <c r="U59" i="31"/>
  <c r="L58" i="21"/>
  <c r="U58" i="21"/>
  <c r="L43" i="55"/>
  <c r="U43" i="55"/>
  <c r="L59" i="42"/>
  <c r="U59" i="42"/>
  <c r="L58" i="31"/>
  <c r="U58" i="31"/>
  <c r="L111" i="88"/>
  <c r="U111" i="88"/>
  <c r="L59" i="60"/>
  <c r="U59" i="60"/>
  <c r="L110" i="88"/>
  <c r="U110" i="88"/>
  <c r="L58" i="42"/>
  <c r="U58" i="42"/>
  <c r="L59" i="18"/>
  <c r="U59" i="18"/>
  <c r="L59" i="57"/>
  <c r="U59" i="57"/>
  <c r="L58" i="88"/>
  <c r="U58" i="88"/>
  <c r="L58" i="60"/>
  <c r="U58" i="60"/>
  <c r="L77" i="92"/>
  <c r="U77" i="92"/>
  <c r="R84" i="92" s="1"/>
  <c r="C84" i="92" s="1"/>
  <c r="C85" i="92" s="1"/>
  <c r="L43" i="24"/>
  <c r="U43" i="24"/>
  <c r="L58" i="57"/>
  <c r="U58" i="57"/>
  <c r="L59" i="88"/>
  <c r="U59" i="88"/>
  <c r="L43" i="92"/>
  <c r="U43" i="92"/>
  <c r="L42" i="55"/>
  <c r="U42" i="55"/>
  <c r="L42" i="24"/>
  <c r="U42" i="24"/>
  <c r="L76" i="92"/>
  <c r="U76" i="92"/>
  <c r="R81" i="92" s="1"/>
  <c r="C81" i="92" s="1"/>
  <c r="C82" i="92" s="1"/>
  <c r="L59" i="21"/>
  <c r="U59" i="21"/>
  <c r="L58" i="18"/>
  <c r="U58" i="18"/>
  <c r="L42" i="92"/>
  <c r="U42" i="92"/>
  <c r="K63" i="18"/>
  <c r="F99" i="24"/>
  <c r="F99" i="55"/>
  <c r="F142" i="42"/>
  <c r="F142" i="57"/>
  <c r="F142" i="60"/>
  <c r="F142" i="21"/>
  <c r="F142" i="31"/>
  <c r="B85" i="24"/>
  <c r="B85" i="55"/>
  <c r="B128" i="57"/>
  <c r="B128" i="60"/>
  <c r="B128" i="42"/>
  <c r="B128" i="31"/>
  <c r="B128" i="21"/>
  <c r="B128" i="18"/>
  <c r="B89" i="24"/>
  <c r="B88" i="24"/>
  <c r="B89" i="55"/>
  <c r="B88" i="55"/>
  <c r="B132" i="57"/>
  <c r="B131" i="57"/>
  <c r="B132" i="60"/>
  <c r="B131" i="60"/>
  <c r="B132" i="42"/>
  <c r="B131" i="42"/>
  <c r="B132" i="31"/>
  <c r="B131" i="31"/>
  <c r="B132" i="21"/>
  <c r="B131" i="21"/>
  <c r="F72" i="1"/>
  <c r="F69" i="1"/>
  <c r="D65" i="1"/>
  <c r="B132" i="18"/>
  <c r="B131" i="18"/>
  <c r="L40" i="74"/>
  <c r="C70" i="24" s="1"/>
  <c r="R642" i="1"/>
  <c r="L642" i="1" s="1"/>
  <c r="H40" i="74"/>
  <c r="C94" i="60" s="1"/>
  <c r="R634" i="1"/>
  <c r="N634" i="1" s="1"/>
  <c r="P642" i="1"/>
  <c r="P640" i="1"/>
  <c r="P636" i="1"/>
  <c r="P630" i="1"/>
  <c r="P628" i="1"/>
  <c r="P626" i="1"/>
  <c r="P624" i="1"/>
  <c r="N640" i="1"/>
  <c r="N636" i="1"/>
  <c r="N630" i="1"/>
  <c r="N628" i="1"/>
  <c r="N626" i="1"/>
  <c r="N624" i="1"/>
  <c r="L640" i="1"/>
  <c r="L636" i="1"/>
  <c r="L630" i="1"/>
  <c r="L628" i="1"/>
  <c r="L626" i="1"/>
  <c r="L624" i="1"/>
  <c r="L39" i="74"/>
  <c r="K39" i="74"/>
  <c r="I39" i="74"/>
  <c r="H39" i="74"/>
  <c r="F39" i="74"/>
  <c r="E39" i="74"/>
  <c r="D39" i="74"/>
  <c r="C39" i="74"/>
  <c r="L37" i="74"/>
  <c r="K37" i="74"/>
  <c r="I37" i="74"/>
  <c r="H37" i="74"/>
  <c r="F37" i="74"/>
  <c r="E37" i="74"/>
  <c r="D37" i="74"/>
  <c r="C37" i="74"/>
  <c r="L35" i="74"/>
  <c r="K35" i="74"/>
  <c r="I35" i="74"/>
  <c r="H35" i="74"/>
  <c r="F35" i="74"/>
  <c r="E35" i="74"/>
  <c r="D35" i="74"/>
  <c r="C35" i="74"/>
  <c r="L17" i="74"/>
  <c r="K17" i="74"/>
  <c r="I17" i="74"/>
  <c r="H17" i="74"/>
  <c r="F17" i="74"/>
  <c r="E17" i="74"/>
  <c r="D17" i="74"/>
  <c r="C17" i="74"/>
  <c r="F601" i="1"/>
  <c r="D601" i="1"/>
  <c r="B601" i="1"/>
  <c r="C13" i="74"/>
  <c r="K63" i="23"/>
  <c r="C63" i="23"/>
  <c r="A63" i="23"/>
  <c r="K62" i="23"/>
  <c r="C62" i="23"/>
  <c r="A62" i="23"/>
  <c r="K63" i="56"/>
  <c r="C63" i="56"/>
  <c r="A63" i="56"/>
  <c r="K62" i="56"/>
  <c r="C62" i="56"/>
  <c r="A62" i="56"/>
  <c r="K66" i="58"/>
  <c r="C66" i="58"/>
  <c r="A66" i="58"/>
  <c r="K65" i="58"/>
  <c r="C65" i="58"/>
  <c r="A65" i="58"/>
  <c r="K66" i="61"/>
  <c r="C66" i="61"/>
  <c r="A66" i="61"/>
  <c r="K65" i="61"/>
  <c r="C65" i="61"/>
  <c r="A65" i="61"/>
  <c r="K66" i="41"/>
  <c r="C66" i="41"/>
  <c r="A66" i="41"/>
  <c r="K65" i="41"/>
  <c r="C65" i="41"/>
  <c r="A65" i="41"/>
  <c r="K66" i="30"/>
  <c r="C66" i="30"/>
  <c r="A66" i="30"/>
  <c r="K65" i="30"/>
  <c r="C65" i="30"/>
  <c r="A65" i="30"/>
  <c r="K66" i="20"/>
  <c r="C66" i="20"/>
  <c r="A66" i="20"/>
  <c r="K65" i="20"/>
  <c r="C65" i="20"/>
  <c r="A65" i="20"/>
  <c r="K66" i="17"/>
  <c r="C66" i="17"/>
  <c r="A66" i="17"/>
  <c r="K65" i="17"/>
  <c r="C65" i="17"/>
  <c r="A65" i="17"/>
  <c r="B76" i="24"/>
  <c r="B67" i="24"/>
  <c r="B65" i="24"/>
  <c r="K31" i="24"/>
  <c r="K27" i="24"/>
  <c r="B76" i="55"/>
  <c r="B67" i="55"/>
  <c r="B65" i="55"/>
  <c r="B111" i="57"/>
  <c r="B91" i="57"/>
  <c r="B111" i="60"/>
  <c r="B91" i="60"/>
  <c r="B111" i="42"/>
  <c r="B108" i="42"/>
  <c r="B91" i="42"/>
  <c r="R115" i="88" l="1"/>
  <c r="R116" i="88"/>
  <c r="R117" i="88"/>
  <c r="R121" i="88"/>
  <c r="R122" i="88"/>
  <c r="R120" i="88"/>
  <c r="N642" i="1"/>
  <c r="P634" i="1"/>
  <c r="L634" i="1"/>
  <c r="K31" i="55"/>
  <c r="K27" i="55"/>
  <c r="K36" i="57"/>
  <c r="K35" i="57"/>
  <c r="K36" i="60"/>
  <c r="K35" i="60"/>
  <c r="K36" i="42"/>
  <c r="K35" i="42"/>
  <c r="B55" i="24"/>
  <c r="B55" i="55"/>
  <c r="B111" i="31"/>
  <c r="K36" i="31"/>
  <c r="K35" i="31"/>
  <c r="B111" i="21"/>
  <c r="B91" i="31"/>
  <c r="B89" i="31"/>
  <c r="B9" i="24"/>
  <c r="B9" i="55"/>
  <c r="B9" i="57"/>
  <c r="B9" i="60"/>
  <c r="B9" i="42"/>
  <c r="B9" i="31"/>
  <c r="B9" i="21"/>
  <c r="B9" i="18"/>
  <c r="B90" i="21"/>
  <c r="B91" i="21"/>
  <c r="B89" i="21"/>
  <c r="K36" i="21"/>
  <c r="K35" i="21"/>
  <c r="B88" i="60" l="1"/>
  <c r="B88" i="42"/>
  <c r="B88" i="31"/>
  <c r="B88" i="21"/>
  <c r="B91" i="18"/>
  <c r="B90" i="18"/>
  <c r="B37" i="18"/>
  <c r="B89" i="18" s="1"/>
  <c r="K36" i="18"/>
  <c r="K35" i="18"/>
  <c r="F640" i="1"/>
  <c r="F636" i="1"/>
  <c r="F630" i="1"/>
  <c r="F628" i="1"/>
  <c r="F626" i="1"/>
  <c r="F624" i="1"/>
  <c r="D640" i="1"/>
  <c r="D636" i="1"/>
  <c r="D630" i="1"/>
  <c r="D628" i="1"/>
  <c r="D626" i="1"/>
  <c r="D624" i="1"/>
  <c r="B640" i="1"/>
  <c r="B636" i="1"/>
  <c r="B630" i="1"/>
  <c r="B628" i="1"/>
  <c r="B626" i="1"/>
  <c r="B624" i="1"/>
  <c r="L20" i="74"/>
  <c r="C37" i="24" s="1"/>
  <c r="K20" i="74"/>
  <c r="C37" i="55" s="1"/>
  <c r="I20" i="74"/>
  <c r="C42" i="57" s="1"/>
  <c r="H20" i="74"/>
  <c r="C42" i="60" s="1"/>
  <c r="H642" i="1"/>
  <c r="B642" i="1" s="1"/>
  <c r="R641" i="1"/>
  <c r="H634" i="1"/>
  <c r="F634" i="1" s="1"/>
  <c r="R635" i="1"/>
  <c r="H641" i="1"/>
  <c r="C38" i="55" s="1"/>
  <c r="R637" i="1"/>
  <c r="H637" i="1"/>
  <c r="C43" i="57" s="1"/>
  <c r="F20" i="74"/>
  <c r="E20" i="74"/>
  <c r="C42" i="31" s="1"/>
  <c r="D20" i="74"/>
  <c r="C42" i="21" s="1"/>
  <c r="C20" i="74"/>
  <c r="C42" i="18" s="1"/>
  <c r="L19" i="74"/>
  <c r="K19" i="74"/>
  <c r="I19" i="74"/>
  <c r="H19" i="74"/>
  <c r="F19" i="74"/>
  <c r="E19" i="74"/>
  <c r="D19" i="74"/>
  <c r="C19" i="74"/>
  <c r="L16" i="74"/>
  <c r="C32" i="24" s="1"/>
  <c r="K16" i="74"/>
  <c r="C32" i="55" s="1"/>
  <c r="I16" i="74"/>
  <c r="C37" i="57" s="1"/>
  <c r="H16" i="74"/>
  <c r="C37" i="60" s="1"/>
  <c r="F16" i="74"/>
  <c r="E16" i="74"/>
  <c r="C37" i="31" s="1"/>
  <c r="D16" i="74"/>
  <c r="C37" i="21" s="1"/>
  <c r="C16" i="74"/>
  <c r="C37" i="18" s="1"/>
  <c r="L15" i="74"/>
  <c r="K15" i="74"/>
  <c r="I15" i="74"/>
  <c r="H15" i="74"/>
  <c r="F15" i="74"/>
  <c r="E15" i="74"/>
  <c r="D15" i="74"/>
  <c r="C15" i="74"/>
  <c r="C10" i="74"/>
  <c r="L14" i="74"/>
  <c r="C27" i="24" s="1"/>
  <c r="K14" i="74"/>
  <c r="C27" i="55" s="1"/>
  <c r="I14" i="74"/>
  <c r="C35" i="57" s="1"/>
  <c r="H14" i="74"/>
  <c r="C35" i="60" s="1"/>
  <c r="F14" i="74"/>
  <c r="E14" i="74"/>
  <c r="C35" i="31" s="1"/>
  <c r="D14" i="74"/>
  <c r="C35" i="21" s="1"/>
  <c r="C14" i="74"/>
  <c r="C35" i="18" s="1"/>
  <c r="L13" i="74"/>
  <c r="K13" i="74"/>
  <c r="I13" i="74"/>
  <c r="H13" i="74"/>
  <c r="F13" i="74"/>
  <c r="E13" i="74"/>
  <c r="D13" i="74"/>
  <c r="C11" i="74"/>
  <c r="L12" i="74"/>
  <c r="C25" i="24" s="1"/>
  <c r="K12" i="74"/>
  <c r="C25" i="55" s="1"/>
  <c r="I12" i="74"/>
  <c r="C33" i="57" s="1"/>
  <c r="H12" i="74"/>
  <c r="C33" i="60" s="1"/>
  <c r="F12" i="74"/>
  <c r="E12" i="74"/>
  <c r="C33" i="31" s="1"/>
  <c r="D12" i="74"/>
  <c r="C33" i="21" s="1"/>
  <c r="C12" i="74"/>
  <c r="C33" i="18" s="1"/>
  <c r="L9" i="74"/>
  <c r="C22" i="24" s="1"/>
  <c r="K9" i="74"/>
  <c r="C22" i="55" s="1"/>
  <c r="C27" i="57"/>
  <c r="H9" i="74"/>
  <c r="C27" i="60" s="1"/>
  <c r="F9" i="74"/>
  <c r="E9" i="74"/>
  <c r="C27" i="31" s="1"/>
  <c r="D9" i="74"/>
  <c r="C27" i="21" s="1"/>
  <c r="C9" i="74"/>
  <c r="C27" i="18" s="1"/>
  <c r="L11" i="74"/>
  <c r="K11" i="74"/>
  <c r="I11" i="74"/>
  <c r="H11" i="74"/>
  <c r="F11" i="74"/>
  <c r="E11" i="74"/>
  <c r="D11" i="74"/>
  <c r="L10" i="74"/>
  <c r="K10" i="74"/>
  <c r="I10" i="74"/>
  <c r="H10" i="74"/>
  <c r="F10" i="74"/>
  <c r="E10" i="74"/>
  <c r="D10" i="74"/>
  <c r="C27" i="42" l="1"/>
  <c r="C33" i="42"/>
  <c r="C35" i="42"/>
  <c r="C37" i="42"/>
  <c r="C42" i="42"/>
  <c r="G90" i="20"/>
  <c r="G84" i="23"/>
  <c r="G84" i="56"/>
  <c r="G90" i="41"/>
  <c r="G90" i="17"/>
  <c r="G90" i="58"/>
  <c r="G90" i="30"/>
  <c r="G90" i="61"/>
  <c r="G53" i="20"/>
  <c r="G53" i="17"/>
  <c r="G53" i="41"/>
  <c r="G53" i="58"/>
  <c r="G53" i="30"/>
  <c r="G53" i="61"/>
  <c r="G54" i="17"/>
  <c r="G54" i="41"/>
  <c r="G54" i="61"/>
  <c r="G54" i="58"/>
  <c r="G54" i="30"/>
  <c r="G54" i="20"/>
  <c r="G82" i="23"/>
  <c r="G88" i="61"/>
  <c r="G88" i="58"/>
  <c r="G88" i="20"/>
  <c r="G82" i="56"/>
  <c r="G88" i="41"/>
  <c r="G88" i="17"/>
  <c r="G88" i="30"/>
  <c r="G55" i="41"/>
  <c r="G55" i="58"/>
  <c r="G55" i="30"/>
  <c r="G55" i="20"/>
  <c r="G55" i="61"/>
  <c r="G55" i="17"/>
  <c r="G89" i="61"/>
  <c r="G89" i="20"/>
  <c r="G83" i="56"/>
  <c r="G89" i="41"/>
  <c r="G89" i="17"/>
  <c r="G89" i="58"/>
  <c r="G83" i="23"/>
  <c r="G89" i="30"/>
  <c r="G70" i="23"/>
  <c r="G70" i="56"/>
  <c r="G69" i="23"/>
  <c r="G69" i="56"/>
  <c r="G71" i="56"/>
  <c r="G71" i="23"/>
  <c r="G57" i="30"/>
  <c r="G57" i="20"/>
  <c r="G57" i="58"/>
  <c r="G57" i="17"/>
  <c r="G57" i="41"/>
  <c r="G57" i="61"/>
  <c r="G60" i="58"/>
  <c r="G60" i="17"/>
  <c r="G60" i="61"/>
  <c r="G56" i="23"/>
  <c r="G60" i="30"/>
  <c r="G56" i="56"/>
  <c r="G60" i="41"/>
  <c r="G60" i="20"/>
  <c r="G66" i="56"/>
  <c r="G69" i="30"/>
  <c r="G66" i="23"/>
  <c r="G69" i="41"/>
  <c r="G69" i="61"/>
  <c r="G69" i="17"/>
  <c r="G69" i="58"/>
  <c r="G69" i="20"/>
  <c r="G74" i="58"/>
  <c r="G74" i="20"/>
  <c r="G74" i="17"/>
  <c r="G74" i="30"/>
  <c r="G74" i="41"/>
  <c r="G74" i="61"/>
  <c r="G61" i="58"/>
  <c r="G61" i="17"/>
  <c r="G61" i="61"/>
  <c r="G57" i="23"/>
  <c r="G61" i="41"/>
  <c r="G61" i="20"/>
  <c r="G57" i="56"/>
  <c r="G61" i="30"/>
  <c r="G87" i="56"/>
  <c r="G93" i="20"/>
  <c r="G93" i="17"/>
  <c r="G93" i="41"/>
  <c r="G93" i="58"/>
  <c r="G93" i="30"/>
  <c r="G87" i="23"/>
  <c r="G93" i="61"/>
  <c r="G55" i="56"/>
  <c r="G59" i="58"/>
  <c r="G59" i="17"/>
  <c r="G55" i="23"/>
  <c r="G59" i="41"/>
  <c r="G59" i="20"/>
  <c r="G59" i="61"/>
  <c r="G59" i="30"/>
  <c r="G47" i="61"/>
  <c r="G47" i="30"/>
  <c r="G50" i="56"/>
  <c r="G47" i="17"/>
  <c r="G50" i="23"/>
  <c r="G47" i="20"/>
  <c r="G47" i="41"/>
  <c r="G47" i="58"/>
  <c r="G58" i="20"/>
  <c r="G58" i="61"/>
  <c r="G58" i="30"/>
  <c r="G58" i="17"/>
  <c r="G58" i="41"/>
  <c r="G58" i="58"/>
  <c r="G94" i="41"/>
  <c r="G94" i="58"/>
  <c r="G94" i="30"/>
  <c r="G88" i="23"/>
  <c r="G94" i="61"/>
  <c r="G88" i="56"/>
  <c r="G94" i="20"/>
  <c r="G94" i="17"/>
  <c r="G72" i="61"/>
  <c r="G72" i="58"/>
  <c r="G72" i="20"/>
  <c r="G72" i="17"/>
  <c r="G72" i="30"/>
  <c r="G72" i="41"/>
  <c r="G95" i="58"/>
  <c r="G95" i="30"/>
  <c r="G89" i="23"/>
  <c r="G95" i="61"/>
  <c r="G95" i="41"/>
  <c r="G95" i="20"/>
  <c r="G89" i="56"/>
  <c r="G95" i="17"/>
  <c r="G73" i="61"/>
  <c r="G73" i="58"/>
  <c r="G73" i="20"/>
  <c r="G73" i="17"/>
  <c r="G73" i="30"/>
  <c r="G73" i="41"/>
  <c r="G67" i="23"/>
  <c r="G70" i="41"/>
  <c r="G70" i="61"/>
  <c r="G70" i="58"/>
  <c r="G70" i="20"/>
  <c r="G70" i="17"/>
  <c r="G67" i="56"/>
  <c r="G70" i="30"/>
  <c r="G68" i="23"/>
  <c r="G71" i="41"/>
  <c r="G71" i="61"/>
  <c r="G71" i="58"/>
  <c r="G71" i="20"/>
  <c r="G71" i="17"/>
  <c r="G68" i="56"/>
  <c r="G71" i="30"/>
  <c r="G56" i="41"/>
  <c r="G56" i="30"/>
  <c r="G56" i="20"/>
  <c r="G56" i="61"/>
  <c r="G56" i="58"/>
  <c r="G56" i="17"/>
  <c r="H635" i="1"/>
  <c r="C43" i="60" s="1"/>
  <c r="F642" i="1"/>
  <c r="D642" i="1"/>
  <c r="B641" i="1"/>
  <c r="B634" i="1"/>
  <c r="C95" i="57"/>
  <c r="N635" i="1"/>
  <c r="P635" i="1"/>
  <c r="L635" i="1"/>
  <c r="D634" i="1"/>
  <c r="C71" i="55"/>
  <c r="P641" i="1"/>
  <c r="L641" i="1"/>
  <c r="N641" i="1"/>
  <c r="D637" i="1"/>
  <c r="F637" i="1"/>
  <c r="B635" i="1"/>
  <c r="N637" i="1"/>
  <c r="P637" i="1"/>
  <c r="L637" i="1"/>
  <c r="B637" i="1"/>
  <c r="D641" i="1"/>
  <c r="F641" i="1"/>
  <c r="B88" i="57"/>
  <c r="G9" i="17"/>
  <c r="F635" i="1" l="1"/>
  <c r="D635" i="1"/>
  <c r="G47" i="23"/>
  <c r="G47" i="56"/>
  <c r="G48" i="23"/>
  <c r="G48" i="56"/>
  <c r="G49" i="23"/>
  <c r="G49" i="56"/>
  <c r="G46" i="61"/>
  <c r="G46" i="30"/>
  <c r="G46" i="23"/>
  <c r="G46" i="58"/>
  <c r="G46" i="41"/>
  <c r="G46" i="20"/>
  <c r="G46" i="17"/>
  <c r="G46" i="56"/>
  <c r="G9" i="30"/>
  <c r="G9" i="41"/>
  <c r="G9" i="61"/>
  <c r="G9" i="58"/>
  <c r="G9" i="23"/>
  <c r="G9" i="20"/>
  <c r="G9" i="56"/>
  <c r="G38" i="56"/>
  <c r="G38" i="61"/>
  <c r="G38" i="30"/>
  <c r="G38" i="23"/>
  <c r="G38" i="58"/>
  <c r="G38" i="41"/>
  <c r="G38" i="20"/>
  <c r="G38" i="17"/>
  <c r="G41" i="58"/>
  <c r="G41" i="41"/>
  <c r="G41" i="20"/>
  <c r="G41" i="23"/>
  <c r="G41" i="17"/>
  <c r="G41" i="30"/>
  <c r="G41" i="61"/>
  <c r="G41" i="56"/>
  <c r="G44" i="56"/>
  <c r="G44" i="61"/>
  <c r="G44" i="30"/>
  <c r="G44" i="58"/>
  <c r="G44" i="41"/>
  <c r="G44" i="20"/>
  <c r="G44" i="17"/>
  <c r="G44" i="23"/>
  <c r="G39" i="56"/>
  <c r="G39" i="61"/>
  <c r="G39" i="30"/>
  <c r="G39" i="23"/>
  <c r="G39" i="20"/>
  <c r="G39" i="17"/>
  <c r="G39" i="41"/>
  <c r="G39" i="58"/>
  <c r="G17" i="17"/>
  <c r="G17" i="30"/>
  <c r="G17" i="41"/>
  <c r="G17" i="61"/>
  <c r="G17" i="58"/>
  <c r="G17" i="23"/>
  <c r="G17" i="20"/>
  <c r="G17" i="56"/>
  <c r="G40" i="23"/>
  <c r="G40" i="17"/>
  <c r="G40" i="58"/>
  <c r="G40" i="41"/>
  <c r="G40" i="20"/>
  <c r="G40" i="56"/>
  <c r="G40" i="61"/>
  <c r="G40" i="30"/>
  <c r="G42" i="58"/>
  <c r="G42" i="41"/>
  <c r="G42" i="20"/>
  <c r="G42" i="56"/>
  <c r="G42" i="61"/>
  <c r="G42" i="30"/>
  <c r="G42" i="17"/>
  <c r="G42" i="23"/>
  <c r="G27" i="17"/>
  <c r="G27" i="58"/>
  <c r="G27" i="30"/>
  <c r="G27" i="23"/>
  <c r="G27" i="20"/>
  <c r="G27" i="41"/>
  <c r="G27" i="56"/>
  <c r="G27" i="61"/>
  <c r="G43" i="58"/>
  <c r="G43" i="41"/>
  <c r="G43" i="20"/>
  <c r="G43" i="23"/>
  <c r="G43" i="17"/>
  <c r="G43" i="61"/>
  <c r="G43" i="56"/>
  <c r="G43" i="30"/>
  <c r="G15" i="17"/>
  <c r="G15" i="20"/>
  <c r="G15" i="30"/>
  <c r="G15" i="41"/>
  <c r="G15" i="58"/>
  <c r="G15" i="23"/>
  <c r="G15" i="61"/>
  <c r="G15" i="56"/>
  <c r="G23" i="17"/>
  <c r="G23" i="20"/>
  <c r="G23" i="30"/>
  <c r="G23" i="41"/>
  <c r="G23" i="58"/>
  <c r="G23" i="23"/>
  <c r="G23" i="56"/>
  <c r="G23" i="61"/>
  <c r="G28" i="58"/>
  <c r="G28" i="30"/>
  <c r="G28" i="23"/>
  <c r="G28" i="61"/>
  <c r="G28" i="56"/>
  <c r="G28" i="41"/>
  <c r="G28" i="20"/>
  <c r="G28" i="17"/>
  <c r="G51" i="56"/>
  <c r="G48" i="17"/>
  <c r="G48" i="58"/>
  <c r="G48" i="41"/>
  <c r="G48" i="20"/>
  <c r="G51" i="23"/>
  <c r="G48" i="61"/>
  <c r="G48" i="30"/>
  <c r="G22" i="17"/>
  <c r="G22" i="23"/>
  <c r="G22" i="20"/>
  <c r="G22" i="30"/>
  <c r="G22" i="61"/>
  <c r="G22" i="56"/>
  <c r="G22" i="41"/>
  <c r="G22" i="58"/>
  <c r="G26" i="17"/>
  <c r="G26" i="41"/>
  <c r="G26" i="58"/>
  <c r="G26" i="30"/>
  <c r="G26" i="61"/>
  <c r="G26" i="56"/>
  <c r="G26" i="20"/>
  <c r="G26" i="23"/>
  <c r="G45" i="56"/>
  <c r="G45" i="61"/>
  <c r="G45" i="30"/>
  <c r="G45" i="23"/>
  <c r="G45" i="17"/>
  <c r="G45" i="20"/>
  <c r="G45" i="58"/>
  <c r="G45" i="41"/>
  <c r="G49" i="58"/>
  <c r="G49" i="41"/>
  <c r="G49" i="20"/>
  <c r="G52" i="56"/>
  <c r="G49" i="17"/>
  <c r="G52" i="23"/>
  <c r="G49" i="61"/>
  <c r="G49" i="30"/>
  <c r="B88" i="18"/>
  <c r="F16" i="24"/>
  <c r="D16" i="24"/>
  <c r="C16" i="24"/>
  <c r="B16" i="24"/>
  <c r="F16" i="55"/>
  <c r="D16" i="55"/>
  <c r="C16" i="55"/>
  <c r="B16" i="55"/>
  <c r="F21" i="57"/>
  <c r="D21" i="57"/>
  <c r="C21" i="57"/>
  <c r="B21" i="57"/>
  <c r="F21" i="60"/>
  <c r="D21" i="60"/>
  <c r="C21" i="60"/>
  <c r="B21" i="60"/>
  <c r="F21" i="42"/>
  <c r="D21" i="42"/>
  <c r="C21" i="42"/>
  <c r="B21" i="42"/>
  <c r="F21" i="31"/>
  <c r="D21" i="31"/>
  <c r="C21" i="31"/>
  <c r="B21" i="31"/>
  <c r="F21" i="21"/>
  <c r="D21" i="21"/>
  <c r="C21" i="21"/>
  <c r="B21" i="21"/>
  <c r="F21" i="18"/>
  <c r="D21" i="18"/>
  <c r="C21" i="18"/>
  <c r="B21" i="18"/>
  <c r="B16" i="18"/>
  <c r="D13" i="55"/>
  <c r="D14" i="24"/>
  <c r="D13" i="24"/>
  <c r="D12" i="24"/>
  <c r="C14" i="24"/>
  <c r="C13" i="24"/>
  <c r="G13" i="24" s="1"/>
  <c r="C12" i="24"/>
  <c r="B14" i="24"/>
  <c r="B13" i="24"/>
  <c r="B12" i="24"/>
  <c r="F13" i="55"/>
  <c r="F12" i="55"/>
  <c r="D17" i="57"/>
  <c r="D18" i="57"/>
  <c r="D12" i="55"/>
  <c r="D16" i="57"/>
  <c r="C13" i="55"/>
  <c r="C12" i="55"/>
  <c r="C16" i="57"/>
  <c r="F14" i="55"/>
  <c r="D14" i="55"/>
  <c r="C14" i="55"/>
  <c r="B14" i="55"/>
  <c r="B13" i="55"/>
  <c r="B12" i="55"/>
  <c r="B16" i="57"/>
  <c r="A13" i="24"/>
  <c r="A12" i="24"/>
  <c r="A13" i="55"/>
  <c r="A12" i="55"/>
  <c r="F19" i="57"/>
  <c r="F18" i="57"/>
  <c r="F17" i="57"/>
  <c r="F16" i="57"/>
  <c r="D19" i="57"/>
  <c r="C19" i="57"/>
  <c r="C18" i="57"/>
  <c r="C17" i="57"/>
  <c r="B19" i="57"/>
  <c r="B18" i="57"/>
  <c r="B17" i="57"/>
  <c r="F19" i="60"/>
  <c r="F19" i="42"/>
  <c r="F18" i="60"/>
  <c r="F17" i="60"/>
  <c r="F16" i="60"/>
  <c r="D18" i="60"/>
  <c r="D17" i="60"/>
  <c r="D16" i="60"/>
  <c r="C18" i="60"/>
  <c r="C17" i="60"/>
  <c r="C16" i="60"/>
  <c r="C16" i="42"/>
  <c r="B18" i="60"/>
  <c r="B18" i="42"/>
  <c r="B17" i="60"/>
  <c r="B17" i="42"/>
  <c r="D19" i="60"/>
  <c r="C19" i="60"/>
  <c r="B19" i="60"/>
  <c r="B16" i="60"/>
  <c r="B16" i="42"/>
  <c r="F18" i="42"/>
  <c r="F18" i="31"/>
  <c r="F17" i="42"/>
  <c r="F17" i="31"/>
  <c r="F16" i="42"/>
  <c r="F16" i="31"/>
  <c r="D18" i="42"/>
  <c r="D17" i="42"/>
  <c r="D16" i="42"/>
  <c r="D17" i="31"/>
  <c r="C18" i="42"/>
  <c r="C18" i="31"/>
  <c r="C18" i="18"/>
  <c r="C18" i="21"/>
  <c r="C17" i="42"/>
  <c r="C17" i="31"/>
  <c r="C16" i="31"/>
  <c r="D19" i="42"/>
  <c r="C19" i="42"/>
  <c r="B19" i="42"/>
  <c r="B18" i="31"/>
  <c r="B17" i="31"/>
  <c r="B16" i="31"/>
  <c r="F19" i="31"/>
  <c r="D19" i="31"/>
  <c r="C19" i="31"/>
  <c r="B19" i="31"/>
  <c r="F19" i="18"/>
  <c r="D19" i="18"/>
  <c r="C19" i="18"/>
  <c r="B19" i="18"/>
  <c r="F19" i="21"/>
  <c r="D19" i="21"/>
  <c r="C19" i="21"/>
  <c r="B19" i="21"/>
  <c r="F18" i="18"/>
  <c r="F18" i="21"/>
  <c r="D18" i="31"/>
  <c r="D16" i="31"/>
  <c r="A18" i="57"/>
  <c r="A17" i="57"/>
  <c r="A16" i="57"/>
  <c r="A18" i="60"/>
  <c r="A17" i="60"/>
  <c r="A16" i="60"/>
  <c r="A18" i="42"/>
  <c r="A17" i="42"/>
  <c r="A16" i="42"/>
  <c r="A18" i="31"/>
  <c r="A17" i="31"/>
  <c r="A16" i="31"/>
  <c r="A17" i="21"/>
  <c r="F10" i="24"/>
  <c r="F10" i="55"/>
  <c r="C10" i="24"/>
  <c r="C10" i="55"/>
  <c r="E10" i="55" s="1"/>
  <c r="B10" i="24"/>
  <c r="D10" i="24" s="1"/>
  <c r="B10" i="55"/>
  <c r="D10" i="55" s="1"/>
  <c r="B33" i="73"/>
  <c r="F9" i="55"/>
  <c r="F12" i="57"/>
  <c r="F12" i="60"/>
  <c r="F9" i="57"/>
  <c r="F9" i="60"/>
  <c r="F12" i="42"/>
  <c r="F9" i="42"/>
  <c r="F12" i="31"/>
  <c r="F9" i="31"/>
  <c r="F12" i="21"/>
  <c r="C9" i="55"/>
  <c r="C9" i="24"/>
  <c r="C9" i="57"/>
  <c r="C12" i="57"/>
  <c r="C11" i="57"/>
  <c r="B12" i="57"/>
  <c r="B11" i="57"/>
  <c r="B10" i="57"/>
  <c r="C9" i="60"/>
  <c r="C12" i="60"/>
  <c r="C11" i="60"/>
  <c r="B12" i="60"/>
  <c r="B11" i="60"/>
  <c r="B10" i="60"/>
  <c r="C9" i="42"/>
  <c r="C12" i="42"/>
  <c r="C11" i="42"/>
  <c r="B12" i="42"/>
  <c r="B11" i="42"/>
  <c r="B10" i="42"/>
  <c r="C9" i="31"/>
  <c r="C12" i="31"/>
  <c r="C11" i="31"/>
  <c r="B12" i="31"/>
  <c r="B11" i="31"/>
  <c r="B10" i="31"/>
  <c r="A12" i="57"/>
  <c r="A12" i="60"/>
  <c r="A12" i="42"/>
  <c r="A12" i="31"/>
  <c r="F17" i="21"/>
  <c r="F16" i="21"/>
  <c r="D18" i="21"/>
  <c r="D17" i="21"/>
  <c r="D16" i="21"/>
  <c r="C17" i="21"/>
  <c r="G18" i="21" l="1"/>
  <c r="G18" i="60"/>
  <c r="G19" i="31"/>
  <c r="G18" i="57"/>
  <c r="G12" i="57"/>
  <c r="G13" i="55"/>
  <c r="G9" i="55"/>
  <c r="G19" i="57"/>
  <c r="G19" i="60"/>
  <c r="G10" i="24"/>
  <c r="E12" i="84" s="1"/>
  <c r="E17" i="84" s="1"/>
  <c r="G18" i="42"/>
  <c r="G18" i="31"/>
  <c r="G17" i="31"/>
  <c r="G10" i="55"/>
  <c r="E12" i="83" s="1"/>
  <c r="E17" i="83" s="1"/>
  <c r="E10" i="24"/>
  <c r="G12" i="31"/>
  <c r="G12" i="42"/>
  <c r="G12" i="60"/>
  <c r="G19" i="21"/>
  <c r="G17" i="21"/>
  <c r="C16" i="21"/>
  <c r="B18" i="21"/>
  <c r="B17" i="21"/>
  <c r="B16" i="21"/>
  <c r="A18" i="21"/>
  <c r="A16" i="21"/>
  <c r="C12" i="21"/>
  <c r="G12" i="21" s="1"/>
  <c r="C11" i="21"/>
  <c r="B12" i="21"/>
  <c r="B11" i="21"/>
  <c r="B10" i="21"/>
  <c r="A12" i="21"/>
  <c r="L11" i="60"/>
  <c r="F11" i="60" s="1"/>
  <c r="G11" i="60" s="1"/>
  <c r="C10" i="18"/>
  <c r="F9" i="21"/>
  <c r="F9" i="18"/>
  <c r="L10" i="57"/>
  <c r="F10" i="57" s="1"/>
  <c r="L11" i="57"/>
  <c r="F11" i="57" s="1"/>
  <c r="K10" i="57"/>
  <c r="C10" i="57" s="1"/>
  <c r="L10" i="60"/>
  <c r="F10" i="60" s="1"/>
  <c r="K10" i="60"/>
  <c r="C10" i="60" s="1"/>
  <c r="L10" i="42"/>
  <c r="F10" i="42" s="1"/>
  <c r="L11" i="42"/>
  <c r="F11" i="42" s="1"/>
  <c r="K10" i="42"/>
  <c r="C10" i="42" s="1"/>
  <c r="L10" i="31"/>
  <c r="F10" i="31" s="1"/>
  <c r="L11" i="31"/>
  <c r="F11" i="31" s="1"/>
  <c r="K10" i="31"/>
  <c r="C10" i="31" s="1"/>
  <c r="L10" i="21"/>
  <c r="F10" i="21" s="1"/>
  <c r="L11" i="21"/>
  <c r="F11" i="21" s="1"/>
  <c r="K10" i="21"/>
  <c r="C10" i="21" s="1"/>
  <c r="C9" i="21"/>
  <c r="C9" i="18"/>
  <c r="D18" i="18" l="1"/>
  <c r="D17" i="18"/>
  <c r="B18" i="18"/>
  <c r="B17" i="18"/>
  <c r="F17" i="18"/>
  <c r="F16" i="18"/>
  <c r="C16" i="18"/>
  <c r="D16" i="18"/>
  <c r="C17" i="18"/>
  <c r="A17" i="18"/>
  <c r="A16" i="18"/>
  <c r="A18" i="18"/>
  <c r="B45" i="73"/>
  <c r="F12" i="18"/>
  <c r="C12" i="18"/>
  <c r="B12" i="18"/>
  <c r="A12" i="18"/>
  <c r="C11" i="18"/>
  <c r="B10" i="18"/>
  <c r="B11" i="18"/>
  <c r="L10" i="18"/>
  <c r="F10" i="18" s="1"/>
  <c r="L11" i="18"/>
  <c r="F11" i="18" s="1"/>
  <c r="B158" i="54"/>
  <c r="B163" i="54"/>
  <c r="B184" i="62"/>
  <c r="B189" i="62"/>
  <c r="B186" i="40"/>
  <c r="B191" i="40"/>
  <c r="B182" i="33"/>
  <c r="B187" i="33"/>
  <c r="B182" i="22"/>
  <c r="B187" i="22"/>
  <c r="E98" i="19"/>
  <c r="B182" i="19"/>
  <c r="B187" i="19"/>
  <c r="B158" i="25"/>
  <c r="B163" i="25"/>
  <c r="B184" i="59"/>
  <c r="B189" i="59"/>
  <c r="G18" i="18" l="1"/>
  <c r="G17" i="18"/>
  <c r="G12" i="18"/>
  <c r="B122" i="1"/>
  <c r="B123" i="1"/>
  <c r="F34" i="92" l="1"/>
  <c r="G34" i="92" s="1"/>
  <c r="H34" i="92" s="1"/>
  <c r="B114" i="89" s="1"/>
  <c r="F114" i="89" s="1"/>
  <c r="J104" i="89"/>
  <c r="L50" i="92"/>
  <c r="L47" i="92"/>
  <c r="F68" i="92"/>
  <c r="G68" i="92" s="1"/>
  <c r="H68" i="92" s="1"/>
  <c r="B130" i="89" s="1"/>
  <c r="J120" i="89"/>
  <c r="L84" i="92"/>
  <c r="L81" i="92"/>
  <c r="D114" i="89"/>
  <c r="F50" i="92"/>
  <c r="F35" i="92"/>
  <c r="F30" i="92"/>
  <c r="F27" i="92"/>
  <c r="G27" i="92" s="1"/>
  <c r="H27" i="92" s="1"/>
  <c r="F25" i="92"/>
  <c r="F22" i="92"/>
  <c r="F112" i="92"/>
  <c r="F51" i="92"/>
  <c r="F43" i="92"/>
  <c r="G43" i="92" s="1"/>
  <c r="H43" i="92" s="1"/>
  <c r="F31" i="92"/>
  <c r="G31" i="92" s="1"/>
  <c r="H31" i="92" s="1"/>
  <c r="B112" i="89" s="1"/>
  <c r="F47" i="92"/>
  <c r="F40" i="92"/>
  <c r="G40" i="92" s="1"/>
  <c r="H40" i="92" s="1"/>
  <c r="F37" i="92"/>
  <c r="G37" i="92" s="1"/>
  <c r="H37" i="92" s="1"/>
  <c r="F20" i="92"/>
  <c r="F114" i="92"/>
  <c r="F48" i="92"/>
  <c r="F33" i="92"/>
  <c r="F29" i="92"/>
  <c r="G29" i="92" s="1"/>
  <c r="H29" i="92" s="1"/>
  <c r="F24" i="92"/>
  <c r="G24" i="92" s="1"/>
  <c r="H24" i="92" s="1"/>
  <c r="B109" i="89" s="1"/>
  <c r="F111" i="92"/>
  <c r="F44" i="92"/>
  <c r="G44" i="92" s="1"/>
  <c r="H44" i="92" s="1"/>
  <c r="F21" i="92"/>
  <c r="G21" i="92" s="1"/>
  <c r="H21" i="92" s="1"/>
  <c r="B106" i="89" s="1"/>
  <c r="F38" i="92"/>
  <c r="G38" i="92" s="1"/>
  <c r="H38" i="92" s="1"/>
  <c r="F113" i="92"/>
  <c r="F41" i="92"/>
  <c r="F36" i="92"/>
  <c r="F32" i="92"/>
  <c r="G32" i="92" s="1"/>
  <c r="H32" i="92" s="1"/>
  <c r="F28" i="92"/>
  <c r="G28" i="92" s="1"/>
  <c r="H28" i="92" s="1"/>
  <c r="F26" i="92"/>
  <c r="G26" i="92" s="1"/>
  <c r="H26" i="92" s="1"/>
  <c r="B111" i="89" s="1"/>
  <c r="F23" i="92"/>
  <c r="N47" i="92"/>
  <c r="N50" i="92"/>
  <c r="F81" i="92"/>
  <c r="F77" i="92"/>
  <c r="F74" i="92"/>
  <c r="F62" i="92"/>
  <c r="G62" i="92" s="1"/>
  <c r="H62" i="92" s="1"/>
  <c r="F59" i="92"/>
  <c r="G59" i="92" s="1"/>
  <c r="H59" i="92" s="1"/>
  <c r="B126" i="89" s="1"/>
  <c r="F65" i="92"/>
  <c r="G65" i="92" s="1"/>
  <c r="H65" i="92" s="1"/>
  <c r="B128" i="89" s="1"/>
  <c r="F55" i="92"/>
  <c r="G55" i="92" s="1"/>
  <c r="H55" i="92" s="1"/>
  <c r="B122" i="89" s="1"/>
  <c r="F56" i="92"/>
  <c r="G56" i="92" s="1"/>
  <c r="H56" i="92" s="1"/>
  <c r="B123" i="89" s="1"/>
  <c r="F72" i="92"/>
  <c r="G72" i="92" s="1"/>
  <c r="H72" i="92" s="1"/>
  <c r="F69" i="92"/>
  <c r="F58" i="92"/>
  <c r="G58" i="92" s="1"/>
  <c r="H58" i="92" s="1"/>
  <c r="B125" i="89" s="1"/>
  <c r="F84" i="92"/>
  <c r="F82" i="92"/>
  <c r="F78" i="92"/>
  <c r="F64" i="92"/>
  <c r="F61" i="92"/>
  <c r="G61" i="92" s="1"/>
  <c r="H61" i="92" s="1"/>
  <c r="F54" i="92"/>
  <c r="G54" i="92" s="1"/>
  <c r="H54" i="92" s="1"/>
  <c r="F71" i="92"/>
  <c r="G71" i="92" s="1"/>
  <c r="H71" i="92" s="1"/>
  <c r="F67" i="92"/>
  <c r="F63" i="92"/>
  <c r="G63" i="92" s="1"/>
  <c r="H63" i="92" s="1"/>
  <c r="F57" i="92"/>
  <c r="G57" i="92" s="1"/>
  <c r="H57" i="92" s="1"/>
  <c r="B124" i="89" s="1"/>
  <c r="F70" i="92"/>
  <c r="F85" i="92"/>
  <c r="F75" i="92"/>
  <c r="F66" i="92"/>
  <c r="G66" i="92" s="1"/>
  <c r="H66" i="92" s="1"/>
  <c r="F60" i="92"/>
  <c r="G60" i="92" s="1"/>
  <c r="H60" i="92" s="1"/>
  <c r="B127" i="89" s="1"/>
  <c r="N84" i="92"/>
  <c r="N81" i="92"/>
  <c r="F51" i="55"/>
  <c r="F50" i="55"/>
  <c r="F48" i="55"/>
  <c r="F47" i="55"/>
  <c r="F51" i="24"/>
  <c r="F50" i="24"/>
  <c r="F48" i="24"/>
  <c r="F47" i="24"/>
  <c r="N47" i="24"/>
  <c r="N50" i="24"/>
  <c r="N63" i="60"/>
  <c r="N68" i="60"/>
  <c r="N69" i="88"/>
  <c r="N68" i="21"/>
  <c r="N70" i="31"/>
  <c r="N65" i="21"/>
  <c r="N63" i="31"/>
  <c r="N65" i="31"/>
  <c r="N69" i="42"/>
  <c r="N70" i="21"/>
  <c r="N65" i="42"/>
  <c r="N63" i="42"/>
  <c r="N63" i="88"/>
  <c r="N63" i="21"/>
  <c r="N68" i="42"/>
  <c r="N70" i="88"/>
  <c r="N64" i="31"/>
  <c r="N68" i="88"/>
  <c r="N64" i="88"/>
  <c r="N70" i="42"/>
  <c r="N64" i="60"/>
  <c r="N70" i="60"/>
  <c r="N65" i="57"/>
  <c r="N68" i="31"/>
  <c r="N68" i="57"/>
  <c r="N69" i="57"/>
  <c r="N69" i="60"/>
  <c r="N65" i="60"/>
  <c r="N47" i="55"/>
  <c r="N63" i="57"/>
  <c r="N65" i="88"/>
  <c r="N70" i="57"/>
  <c r="N69" i="21"/>
  <c r="N50" i="55"/>
  <c r="N64" i="21"/>
  <c r="N64" i="42"/>
  <c r="N69" i="31"/>
  <c r="N64" i="18"/>
  <c r="N70" i="18"/>
  <c r="N64" i="57"/>
  <c r="N63" i="18"/>
  <c r="N69" i="18"/>
  <c r="N68" i="18"/>
  <c r="N65" i="18"/>
  <c r="F84" i="24"/>
  <c r="F81" i="24"/>
  <c r="F80" i="24"/>
  <c r="F83" i="24"/>
  <c r="F84" i="55"/>
  <c r="F83" i="55"/>
  <c r="F81" i="55"/>
  <c r="F80" i="55"/>
  <c r="F75" i="57"/>
  <c r="F73" i="57"/>
  <c r="F66" i="60"/>
  <c r="F63" i="60"/>
  <c r="F74" i="88"/>
  <c r="F71" i="88"/>
  <c r="F68" i="42"/>
  <c r="F65" i="42"/>
  <c r="F71" i="31"/>
  <c r="F64" i="31"/>
  <c r="F75" i="21"/>
  <c r="F64" i="57"/>
  <c r="F67" i="88"/>
  <c r="F63" i="88"/>
  <c r="F74" i="42"/>
  <c r="F71" i="42"/>
  <c r="F74" i="31"/>
  <c r="F70" i="21"/>
  <c r="F72" i="60"/>
  <c r="F68" i="31"/>
  <c r="F72" i="57"/>
  <c r="F70" i="57"/>
  <c r="F64" i="60"/>
  <c r="F66" i="88"/>
  <c r="F67" i="42"/>
  <c r="F63" i="42"/>
  <c r="F72" i="21"/>
  <c r="F63" i="21"/>
  <c r="F64" i="42"/>
  <c r="F66" i="21"/>
  <c r="F75" i="60"/>
  <c r="F73" i="60"/>
  <c r="F66" i="42"/>
  <c r="F65" i="31"/>
  <c r="F68" i="21"/>
  <c r="F71" i="21"/>
  <c r="F74" i="57"/>
  <c r="F71" i="57"/>
  <c r="F68" i="57"/>
  <c r="F65" i="57"/>
  <c r="F70" i="60"/>
  <c r="F75" i="88"/>
  <c r="F73" i="88"/>
  <c r="F64" i="88"/>
  <c r="F70" i="31"/>
  <c r="F63" i="31"/>
  <c r="F74" i="21"/>
  <c r="F67" i="21"/>
  <c r="F65" i="60"/>
  <c r="F73" i="31"/>
  <c r="F67" i="57"/>
  <c r="F72" i="88"/>
  <c r="F70" i="88"/>
  <c r="F75" i="31"/>
  <c r="F72" i="31"/>
  <c r="F67" i="31"/>
  <c r="F64" i="21"/>
  <c r="F65" i="21"/>
  <c r="F73" i="42"/>
  <c r="F66" i="57"/>
  <c r="F63" i="57"/>
  <c r="F74" i="60"/>
  <c r="F71" i="60"/>
  <c r="F67" i="60"/>
  <c r="F68" i="88"/>
  <c r="F65" i="88"/>
  <c r="F72" i="42"/>
  <c r="F70" i="42"/>
  <c r="F66" i="31"/>
  <c r="F73" i="21"/>
  <c r="F68" i="60"/>
  <c r="F75" i="42"/>
  <c r="F122" i="57"/>
  <c r="F116" i="57"/>
  <c r="F125" i="88"/>
  <c r="F122" i="88"/>
  <c r="F120" i="88"/>
  <c r="F124" i="42"/>
  <c r="F115" i="42"/>
  <c r="F117" i="31"/>
  <c r="F126" i="21"/>
  <c r="F127" i="42"/>
  <c r="F124" i="57"/>
  <c r="F127" i="60"/>
  <c r="F115" i="88"/>
  <c r="F126" i="42"/>
  <c r="F119" i="42"/>
  <c r="F122" i="31"/>
  <c r="F122" i="21"/>
  <c r="F120" i="21"/>
  <c r="F126" i="57"/>
  <c r="F125" i="60"/>
  <c r="F122" i="60"/>
  <c r="F124" i="88"/>
  <c r="F119" i="88"/>
  <c r="F123" i="42"/>
  <c r="F118" i="42"/>
  <c r="F119" i="21"/>
  <c r="F116" i="21"/>
  <c r="F126" i="60"/>
  <c r="F123" i="57"/>
  <c r="F120" i="57"/>
  <c r="F117" i="57"/>
  <c r="F117" i="60"/>
  <c r="F115" i="60"/>
  <c r="F126" i="88"/>
  <c r="F118" i="88"/>
  <c r="F116" i="42"/>
  <c r="F125" i="31"/>
  <c r="F120" i="31"/>
  <c r="F118" i="21"/>
  <c r="F115" i="57"/>
  <c r="F124" i="21"/>
  <c r="F124" i="60"/>
  <c r="F120" i="60"/>
  <c r="F123" i="88"/>
  <c r="F116" i="88"/>
  <c r="F127" i="31"/>
  <c r="F124" i="31"/>
  <c r="F119" i="31"/>
  <c r="F116" i="31"/>
  <c r="F125" i="21"/>
  <c r="F127" i="21"/>
  <c r="F119" i="57"/>
  <c r="F127" i="57"/>
  <c r="F118" i="57"/>
  <c r="F123" i="60"/>
  <c r="F119" i="60"/>
  <c r="F125" i="42"/>
  <c r="F122" i="42"/>
  <c r="F117" i="42"/>
  <c r="F123" i="31"/>
  <c r="F123" i="21"/>
  <c r="F117" i="21"/>
  <c r="F125" i="57"/>
  <c r="F118" i="60"/>
  <c r="F116" i="60"/>
  <c r="F127" i="88"/>
  <c r="F117" i="88"/>
  <c r="F120" i="42"/>
  <c r="F126" i="31"/>
  <c r="F115" i="31"/>
  <c r="F118" i="31"/>
  <c r="F115" i="21"/>
  <c r="N116" i="88"/>
  <c r="N120" i="88"/>
  <c r="N122" i="88"/>
  <c r="N115" i="88"/>
  <c r="N121" i="88"/>
  <c r="N117" i="88"/>
  <c r="F67" i="18"/>
  <c r="F75" i="18"/>
  <c r="F66" i="18"/>
  <c r="F74" i="18"/>
  <c r="F65" i="18"/>
  <c r="F73" i="18"/>
  <c r="F64" i="18"/>
  <c r="F72" i="18"/>
  <c r="F63" i="18"/>
  <c r="F71" i="18"/>
  <c r="F70" i="18"/>
  <c r="F68" i="18"/>
  <c r="F122" i="18"/>
  <c r="F120" i="18"/>
  <c r="F119" i="18"/>
  <c r="F124" i="18"/>
  <c r="F118" i="18"/>
  <c r="F127" i="18"/>
  <c r="F117" i="18"/>
  <c r="F126" i="18"/>
  <c r="F116" i="18"/>
  <c r="F115" i="18"/>
  <c r="F125" i="18"/>
  <c r="F123" i="18"/>
  <c r="F103" i="88"/>
  <c r="G103" i="88" s="1"/>
  <c r="H103" i="88" s="1"/>
  <c r="F98" i="88"/>
  <c r="F93" i="88"/>
  <c r="F84" i="88"/>
  <c r="G84" i="88" s="1"/>
  <c r="H84" i="88" s="1"/>
  <c r="F102" i="88"/>
  <c r="F83" i="88"/>
  <c r="G83" i="88" s="1"/>
  <c r="H83" i="88" s="1"/>
  <c r="F101" i="88"/>
  <c r="G101" i="88" s="1"/>
  <c r="H101" i="88" s="1"/>
  <c r="F82" i="88"/>
  <c r="G82" i="88" s="1"/>
  <c r="H82" i="88" s="1"/>
  <c r="F112" i="88"/>
  <c r="F105" i="88"/>
  <c r="G105" i="88" s="1"/>
  <c r="H105" i="88" s="1"/>
  <c r="F88" i="88"/>
  <c r="F81" i="88"/>
  <c r="G81" i="88" s="1"/>
  <c r="H81" i="88" s="1"/>
  <c r="B146" i="85" s="1"/>
  <c r="J142" i="85"/>
  <c r="F91" i="88"/>
  <c r="F80" i="88"/>
  <c r="G80" i="88" s="1"/>
  <c r="H80" i="88" s="1"/>
  <c r="B145" i="85" s="1"/>
  <c r="F85" i="88"/>
  <c r="G85" i="88" s="1"/>
  <c r="H85" i="88" s="1"/>
  <c r="B147" i="85" s="1"/>
  <c r="F111" i="88"/>
  <c r="F100" i="88"/>
  <c r="F95" i="88"/>
  <c r="G95" i="88" s="1"/>
  <c r="H95" i="88" s="1"/>
  <c r="F92" i="88"/>
  <c r="F87" i="88"/>
  <c r="G87" i="88" s="1"/>
  <c r="H87" i="88" s="1"/>
  <c r="B149" i="85" s="1"/>
  <c r="F109" i="88"/>
  <c r="F97" i="88"/>
  <c r="G97" i="88" s="1"/>
  <c r="H97" i="88" s="1"/>
  <c r="F106" i="88"/>
  <c r="F96" i="88"/>
  <c r="G96" i="88" s="1"/>
  <c r="H96" i="88" s="1"/>
  <c r="F108" i="88"/>
  <c r="F90" i="88"/>
  <c r="G90" i="88" s="1"/>
  <c r="H90" i="88" s="1"/>
  <c r="F86" i="88"/>
  <c r="G86" i="88" s="1"/>
  <c r="H86" i="88" s="1"/>
  <c r="B148" i="85" s="1"/>
  <c r="F89" i="88"/>
  <c r="G89" i="88" s="1"/>
  <c r="H89" i="88" s="1"/>
  <c r="B150" i="85" s="1"/>
  <c r="F104" i="88"/>
  <c r="F99" i="88"/>
  <c r="G99" i="88" s="1"/>
  <c r="H99" i="88" s="1"/>
  <c r="F94" i="88"/>
  <c r="G94" i="88" s="1"/>
  <c r="H94" i="88" s="1"/>
  <c r="F79" i="88"/>
  <c r="G79" i="88" s="1"/>
  <c r="H79" i="88" s="1"/>
  <c r="B144" i="85" s="1"/>
  <c r="F78" i="88"/>
  <c r="G78" i="88" s="1"/>
  <c r="H78" i="88" s="1"/>
  <c r="F162" i="88"/>
  <c r="F49" i="88"/>
  <c r="G49" i="88" s="1"/>
  <c r="H49" i="88" s="1"/>
  <c r="F40" i="88"/>
  <c r="F29" i="88"/>
  <c r="F26" i="88"/>
  <c r="F47" i="88"/>
  <c r="G47" i="88" s="1"/>
  <c r="H47" i="88" s="1"/>
  <c r="F52" i="88"/>
  <c r="F41" i="88"/>
  <c r="F60" i="88"/>
  <c r="G60" i="88" s="1"/>
  <c r="H60" i="88" s="1"/>
  <c r="F54" i="88"/>
  <c r="F46" i="88"/>
  <c r="F32" i="88"/>
  <c r="G32" i="88" s="1"/>
  <c r="H32" i="88" s="1"/>
  <c r="F48" i="88"/>
  <c r="F163" i="88"/>
  <c r="F33" i="88"/>
  <c r="G33" i="88" s="1"/>
  <c r="H33" i="88" s="1"/>
  <c r="B132" i="85" s="1"/>
  <c r="F44" i="88"/>
  <c r="F161" i="88"/>
  <c r="F59" i="88"/>
  <c r="G59" i="88" s="1"/>
  <c r="F51" i="88"/>
  <c r="G51" i="88" s="1"/>
  <c r="H51" i="88" s="1"/>
  <c r="F43" i="88"/>
  <c r="G43" i="88" s="1"/>
  <c r="H43" i="88" s="1"/>
  <c r="F39" i="88"/>
  <c r="F35" i="88"/>
  <c r="G35" i="88" s="1"/>
  <c r="H35" i="88" s="1"/>
  <c r="B134" i="85" s="1"/>
  <c r="F28" i="88"/>
  <c r="F56" i="88"/>
  <c r="J127" i="85"/>
  <c r="F160" i="88"/>
  <c r="F45" i="88"/>
  <c r="G45" i="88" s="1"/>
  <c r="H45" i="88" s="1"/>
  <c r="F34" i="88"/>
  <c r="F31" i="88"/>
  <c r="G31" i="88" s="1"/>
  <c r="H31" i="88" s="1"/>
  <c r="F30" i="88"/>
  <c r="G30" i="88" s="1"/>
  <c r="H30" i="88" s="1"/>
  <c r="F57" i="88"/>
  <c r="F53" i="88"/>
  <c r="G53" i="88" s="1"/>
  <c r="H53" i="88" s="1"/>
  <c r="F50" i="88"/>
  <c r="F42" i="88"/>
  <c r="G42" i="88" s="1"/>
  <c r="H42" i="88" s="1"/>
  <c r="F38" i="88"/>
  <c r="F36" i="88"/>
  <c r="F27" i="88"/>
  <c r="G27" i="88" s="1"/>
  <c r="H27" i="88" s="1"/>
  <c r="B129" i="85" s="1"/>
  <c r="F37" i="88"/>
  <c r="G37" i="88" s="1"/>
  <c r="H37" i="88" s="1"/>
  <c r="B135" i="85" s="1"/>
  <c r="F78" i="18"/>
  <c r="G78" i="18" s="1"/>
  <c r="F54" i="55"/>
  <c r="G54" i="55" s="1"/>
  <c r="F78" i="31"/>
  <c r="G78" i="31" s="1"/>
  <c r="F78" i="57"/>
  <c r="G78" i="57" s="1"/>
  <c r="F78" i="21"/>
  <c r="G78" i="21" s="1"/>
  <c r="F54" i="24"/>
  <c r="G54" i="24" s="1"/>
  <c r="F78" i="60"/>
  <c r="G78" i="60" s="1"/>
  <c r="F78" i="42"/>
  <c r="G78" i="42" s="1"/>
  <c r="F26" i="18"/>
  <c r="F21" i="24"/>
  <c r="F26" i="31"/>
  <c r="F26" i="21"/>
  <c r="F21" i="55"/>
  <c r="F26" i="57"/>
  <c r="F26" i="60"/>
  <c r="F26" i="42"/>
  <c r="F39" i="60"/>
  <c r="F36" i="60"/>
  <c r="F37" i="31"/>
  <c r="F36" i="31"/>
  <c r="F34" i="55"/>
  <c r="F36" i="57"/>
  <c r="F39" i="42"/>
  <c r="F22" i="24"/>
  <c r="F39" i="57"/>
  <c r="F36" i="21"/>
  <c r="F32" i="55"/>
  <c r="F36" i="42"/>
  <c r="F37" i="21"/>
  <c r="F39" i="21"/>
  <c r="F34" i="24"/>
  <c r="F32" i="24"/>
  <c r="F39" i="31"/>
  <c r="F22" i="55"/>
  <c r="F37" i="18"/>
  <c r="F36" i="18"/>
  <c r="F38" i="18"/>
  <c r="F39" i="18"/>
  <c r="F55" i="24"/>
  <c r="F67" i="55"/>
  <c r="F91" i="60"/>
  <c r="F89" i="31"/>
  <c r="F88" i="31"/>
  <c r="F65" i="55"/>
  <c r="F88" i="60"/>
  <c r="F67" i="24"/>
  <c r="F65" i="24"/>
  <c r="F89" i="21"/>
  <c r="F88" i="21"/>
  <c r="F91" i="57"/>
  <c r="F88" i="57"/>
  <c r="F91" i="42"/>
  <c r="F91" i="21"/>
  <c r="F55" i="55"/>
  <c r="F88" i="42"/>
  <c r="F91" i="31"/>
  <c r="F89" i="18"/>
  <c r="F90" i="18"/>
  <c r="F91" i="18"/>
  <c r="F88" i="18"/>
  <c r="J127" i="40"/>
  <c r="J125" i="22"/>
  <c r="J104" i="54"/>
  <c r="J104" i="25"/>
  <c r="J125" i="59"/>
  <c r="J125" i="19"/>
  <c r="J125" i="62"/>
  <c r="J125" i="33"/>
  <c r="J139" i="19"/>
  <c r="J117" i="54"/>
  <c r="J140" i="62"/>
  <c r="J117" i="25"/>
  <c r="J139" i="33"/>
  <c r="J140" i="59"/>
  <c r="J139" i="22"/>
  <c r="J142" i="40"/>
  <c r="I2" i="73"/>
  <c r="B132" i="89" l="1"/>
  <c r="D132" i="89" s="1"/>
  <c r="C78" i="90" s="1"/>
  <c r="H130" i="89"/>
  <c r="D130" i="89"/>
  <c r="F130" i="89"/>
  <c r="H114" i="89"/>
  <c r="D124" i="89"/>
  <c r="C73" i="90" s="1"/>
  <c r="F124" i="89"/>
  <c r="H124" i="89"/>
  <c r="D126" i="89"/>
  <c r="C75" i="90" s="1"/>
  <c r="F126" i="89"/>
  <c r="H126" i="89"/>
  <c r="D111" i="89"/>
  <c r="F111" i="89"/>
  <c r="H111" i="89"/>
  <c r="B116" i="89"/>
  <c r="D125" i="89"/>
  <c r="C74" i="90" s="1"/>
  <c r="F125" i="89"/>
  <c r="H125" i="89"/>
  <c r="D109" i="89"/>
  <c r="B74" i="90" s="1"/>
  <c r="F109" i="89"/>
  <c r="H109" i="89"/>
  <c r="D127" i="89"/>
  <c r="F127" i="89"/>
  <c r="H127" i="89"/>
  <c r="H132" i="89"/>
  <c r="D112" i="89"/>
  <c r="B76" i="90" s="1"/>
  <c r="F112" i="89"/>
  <c r="H112" i="89"/>
  <c r="B121" i="89"/>
  <c r="B118" i="89"/>
  <c r="D123" i="89"/>
  <c r="C72" i="90" s="1"/>
  <c r="F123" i="89"/>
  <c r="H123" i="89"/>
  <c r="D122" i="89"/>
  <c r="C71" i="90" s="1"/>
  <c r="H122" i="89"/>
  <c r="F122" i="89"/>
  <c r="D128" i="89"/>
  <c r="C76" i="90" s="1"/>
  <c r="F128" i="89"/>
  <c r="H128" i="89"/>
  <c r="D106" i="89"/>
  <c r="B71" i="90" s="1"/>
  <c r="F106" i="89"/>
  <c r="H106" i="89"/>
  <c r="B152" i="85"/>
  <c r="D152" i="85" s="1"/>
  <c r="D147" i="85"/>
  <c r="D145" i="85"/>
  <c r="D135" i="85"/>
  <c r="D134" i="85"/>
  <c r="D129" i="85"/>
  <c r="D150" i="85"/>
  <c r="D149" i="85"/>
  <c r="D144" i="85"/>
  <c r="D148" i="85"/>
  <c r="D146" i="85"/>
  <c r="D132" i="85"/>
  <c r="B137" i="85"/>
  <c r="B143" i="85"/>
  <c r="C39" i="1"/>
  <c r="C40" i="1"/>
  <c r="C41" i="1"/>
  <c r="B12" i="1"/>
  <c r="B13" i="1"/>
  <c r="B14" i="1"/>
  <c r="B15" i="1"/>
  <c r="B17" i="1"/>
  <c r="B18" i="1"/>
  <c r="B21" i="1"/>
  <c r="B87" i="57"/>
  <c r="G6" i="1"/>
  <c r="G11" i="1"/>
  <c r="G22" i="1"/>
  <c r="G23" i="1"/>
  <c r="G24" i="1"/>
  <c r="I6" i="1"/>
  <c r="I11" i="1"/>
  <c r="I23" i="1"/>
  <c r="I24" i="1"/>
  <c r="O6" i="1"/>
  <c r="O11" i="1"/>
  <c r="O22" i="1"/>
  <c r="O23" i="1"/>
  <c r="O24" i="1"/>
  <c r="AQ22" i="1"/>
  <c r="AG11" i="1"/>
  <c r="AG23" i="1"/>
  <c r="M6" i="1"/>
  <c r="M11" i="1"/>
  <c r="M22" i="1"/>
  <c r="M23" i="1"/>
  <c r="M24" i="1"/>
  <c r="AI23" i="1"/>
  <c r="E5" i="25"/>
  <c r="E5" i="54"/>
  <c r="E7" i="59"/>
  <c r="E7" i="62"/>
  <c r="E7" i="40"/>
  <c r="E7" i="33"/>
  <c r="E7" i="22"/>
  <c r="E7" i="19"/>
  <c r="D30" i="29"/>
  <c r="D31" i="29"/>
  <c r="D32" i="29"/>
  <c r="D33" i="29"/>
  <c r="D34" i="29"/>
  <c r="D35" i="29"/>
  <c r="D47" i="29"/>
  <c r="D48" i="29"/>
  <c r="D49" i="29"/>
  <c r="D29" i="29"/>
  <c r="B228" i="1"/>
  <c r="D66" i="2"/>
  <c r="E56" i="1"/>
  <c r="F25" i="55"/>
  <c r="F23" i="55"/>
  <c r="F24" i="55"/>
  <c r="F26" i="55"/>
  <c r="F27" i="55"/>
  <c r="F28" i="55"/>
  <c r="F29" i="55"/>
  <c r="F30" i="55"/>
  <c r="F33" i="55"/>
  <c r="F31" i="55"/>
  <c r="F36" i="55"/>
  <c r="F37" i="55"/>
  <c r="F40" i="55"/>
  <c r="F41" i="55"/>
  <c r="F56" i="55"/>
  <c r="F59" i="55"/>
  <c r="F60" i="55"/>
  <c r="F62" i="55"/>
  <c r="F66" i="55"/>
  <c r="F69" i="55"/>
  <c r="F70" i="55"/>
  <c r="F71" i="55"/>
  <c r="F76" i="55"/>
  <c r="F97" i="3"/>
  <c r="G97" i="3" s="1"/>
  <c r="E57" i="1"/>
  <c r="B245" i="1"/>
  <c r="F110" i="55"/>
  <c r="F111" i="55"/>
  <c r="F112" i="55"/>
  <c r="F23" i="24"/>
  <c r="F24" i="24"/>
  <c r="F25" i="24"/>
  <c r="F26" i="24"/>
  <c r="F27" i="24"/>
  <c r="F28" i="24"/>
  <c r="F29" i="24"/>
  <c r="F30" i="24"/>
  <c r="F33" i="24"/>
  <c r="F31" i="24"/>
  <c r="F35" i="24"/>
  <c r="F36" i="24"/>
  <c r="F37" i="24"/>
  <c r="F38" i="24"/>
  <c r="F40" i="24"/>
  <c r="F41" i="24"/>
  <c r="F43" i="24"/>
  <c r="F56" i="24"/>
  <c r="F57" i="24"/>
  <c r="F58" i="24"/>
  <c r="F59" i="24"/>
  <c r="F60" i="24"/>
  <c r="F61" i="24"/>
  <c r="F62" i="24"/>
  <c r="F63" i="24"/>
  <c r="F66" i="24"/>
  <c r="F64" i="24"/>
  <c r="F68" i="24"/>
  <c r="F69" i="24"/>
  <c r="F70" i="24"/>
  <c r="F71" i="24"/>
  <c r="F73" i="24"/>
  <c r="F74" i="24"/>
  <c r="F76" i="24"/>
  <c r="F77" i="24"/>
  <c r="F110" i="24"/>
  <c r="F111" i="24"/>
  <c r="F112" i="24"/>
  <c r="F113" i="24"/>
  <c r="F44" i="24"/>
  <c r="F27" i="57"/>
  <c r="F28" i="57"/>
  <c r="F29" i="57"/>
  <c r="F30" i="57"/>
  <c r="F31" i="57"/>
  <c r="F32" i="57"/>
  <c r="F33" i="57"/>
  <c r="F34" i="57"/>
  <c r="F35" i="57"/>
  <c r="F37" i="57"/>
  <c r="F38" i="57"/>
  <c r="F40" i="57"/>
  <c r="F41" i="57"/>
  <c r="F42" i="57"/>
  <c r="F43" i="57"/>
  <c r="F44" i="57"/>
  <c r="F45" i="57"/>
  <c r="F46" i="57"/>
  <c r="F47" i="57"/>
  <c r="F48" i="57"/>
  <c r="F49" i="57"/>
  <c r="F50" i="57"/>
  <c r="F51" i="57"/>
  <c r="F52" i="57"/>
  <c r="F53" i="57"/>
  <c r="F54" i="57"/>
  <c r="F56" i="57"/>
  <c r="F57" i="57"/>
  <c r="F59" i="57"/>
  <c r="F79" i="57"/>
  <c r="F80" i="57"/>
  <c r="F81" i="57"/>
  <c r="F82" i="57"/>
  <c r="F83" i="57"/>
  <c r="F84" i="57"/>
  <c r="F85" i="57"/>
  <c r="F86" i="57"/>
  <c r="F87" i="57"/>
  <c r="F89" i="57"/>
  <c r="F90" i="57"/>
  <c r="F92" i="57"/>
  <c r="F93" i="57"/>
  <c r="F94" i="57"/>
  <c r="F95" i="57"/>
  <c r="F96" i="57"/>
  <c r="F97" i="57"/>
  <c r="F98" i="57"/>
  <c r="F99" i="57"/>
  <c r="F100" i="57"/>
  <c r="F101" i="57"/>
  <c r="F102" i="57"/>
  <c r="F103" i="57"/>
  <c r="F104" i="57"/>
  <c r="F105" i="57"/>
  <c r="F106" i="57"/>
  <c r="F108" i="57"/>
  <c r="F109" i="57"/>
  <c r="F111" i="57"/>
  <c r="F112" i="57"/>
  <c r="F160" i="57"/>
  <c r="F161" i="57"/>
  <c r="F162" i="57"/>
  <c r="F163" i="57"/>
  <c r="F60" i="57"/>
  <c r="F27" i="60"/>
  <c r="F28" i="60"/>
  <c r="F29" i="60"/>
  <c r="F30" i="60"/>
  <c r="F31" i="60"/>
  <c r="F32" i="60"/>
  <c r="F33" i="60"/>
  <c r="F34" i="60"/>
  <c r="F35" i="60"/>
  <c r="F37" i="60"/>
  <c r="F38" i="60"/>
  <c r="F40" i="60"/>
  <c r="F41" i="60"/>
  <c r="F42" i="60"/>
  <c r="F43" i="60"/>
  <c r="F44" i="60"/>
  <c r="F45" i="60"/>
  <c r="F46" i="60"/>
  <c r="F47" i="60"/>
  <c r="F48" i="60"/>
  <c r="F49" i="60"/>
  <c r="F50" i="60"/>
  <c r="F51" i="60"/>
  <c r="F52" i="60"/>
  <c r="F53" i="60"/>
  <c r="F54" i="60"/>
  <c r="F56" i="60"/>
  <c r="F57" i="60"/>
  <c r="F59" i="60"/>
  <c r="F60" i="60"/>
  <c r="F79" i="60"/>
  <c r="F80" i="60"/>
  <c r="F81" i="60"/>
  <c r="F82" i="60"/>
  <c r="F83" i="60"/>
  <c r="F84" i="60"/>
  <c r="F85" i="60"/>
  <c r="F86" i="60"/>
  <c r="F87" i="60"/>
  <c r="F89" i="60"/>
  <c r="F90" i="60"/>
  <c r="F92" i="60"/>
  <c r="F93" i="60"/>
  <c r="F94" i="60"/>
  <c r="F95" i="60"/>
  <c r="F96" i="60"/>
  <c r="F97" i="60"/>
  <c r="F98" i="60"/>
  <c r="F99" i="60"/>
  <c r="F100" i="60"/>
  <c r="F101" i="60"/>
  <c r="F102" i="60"/>
  <c r="F103" i="60"/>
  <c r="F104" i="60"/>
  <c r="F105" i="60"/>
  <c r="F106" i="60"/>
  <c r="F108" i="60"/>
  <c r="F109" i="60"/>
  <c r="F111" i="60"/>
  <c r="F112" i="60"/>
  <c r="F160" i="60"/>
  <c r="F161" i="60"/>
  <c r="F162" i="60"/>
  <c r="F163" i="60"/>
  <c r="F39" i="3"/>
  <c r="F40" i="3"/>
  <c r="F41" i="3"/>
  <c r="F42" i="3"/>
  <c r="F43" i="3"/>
  <c r="F44" i="3"/>
  <c r="F45" i="3"/>
  <c r="F46" i="3"/>
  <c r="F47" i="3"/>
  <c r="F48" i="3"/>
  <c r="F49" i="3"/>
  <c r="F50" i="3"/>
  <c r="F51" i="3"/>
  <c r="F52" i="3"/>
  <c r="F53" i="3"/>
  <c r="F54" i="3"/>
  <c r="F55" i="3"/>
  <c r="F56" i="3"/>
  <c r="F57" i="3"/>
  <c r="F58" i="3"/>
  <c r="F17" i="6"/>
  <c r="F18" i="6"/>
  <c r="F19" i="6"/>
  <c r="F20" i="6"/>
  <c r="G20" i="6" s="1"/>
  <c r="H20" i="6" s="1"/>
  <c r="F21" i="6"/>
  <c r="F22" i="6"/>
  <c r="F23" i="6"/>
  <c r="F24" i="6"/>
  <c r="F25" i="6"/>
  <c r="F26" i="6"/>
  <c r="F27" i="6"/>
  <c r="F28" i="6"/>
  <c r="F29" i="6"/>
  <c r="G29" i="6" s="1"/>
  <c r="H29" i="6" s="1"/>
  <c r="F30" i="6"/>
  <c r="F31" i="6"/>
  <c r="F32" i="6"/>
  <c r="F33" i="6"/>
  <c r="F34" i="6"/>
  <c r="F36" i="6"/>
  <c r="G36" i="6" s="1"/>
  <c r="H36" i="6" s="1"/>
  <c r="F19" i="9"/>
  <c r="G19" i="9" s="1"/>
  <c r="H19" i="9" s="1"/>
  <c r="F20" i="9"/>
  <c r="F21" i="9"/>
  <c r="F22" i="9"/>
  <c r="F23" i="9"/>
  <c r="F24" i="9"/>
  <c r="F25" i="9"/>
  <c r="F26" i="9"/>
  <c r="F27" i="9"/>
  <c r="F28" i="9"/>
  <c r="F29" i="9"/>
  <c r="F30" i="9"/>
  <c r="F31" i="9"/>
  <c r="F32" i="9"/>
  <c r="F34" i="9"/>
  <c r="G34" i="9" s="1"/>
  <c r="H34" i="9" s="1"/>
  <c r="F20" i="12"/>
  <c r="F21" i="12"/>
  <c r="F22" i="12"/>
  <c r="F23" i="12"/>
  <c r="G23" i="12" s="1"/>
  <c r="H23" i="12" s="1"/>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5" i="12"/>
  <c r="G55" i="12" s="1"/>
  <c r="H55" i="12" s="1"/>
  <c r="F20" i="51"/>
  <c r="F21" i="51"/>
  <c r="F22" i="51"/>
  <c r="F23" i="51"/>
  <c r="G23" i="51" s="1"/>
  <c r="H23" i="51" s="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1" i="51"/>
  <c r="G61" i="51" s="1"/>
  <c r="H61" i="51" s="1"/>
  <c r="F18" i="48"/>
  <c r="F19" i="48"/>
  <c r="F20" i="48"/>
  <c r="F21" i="48"/>
  <c r="G21" i="48" s="1"/>
  <c r="H21" i="48" s="1"/>
  <c r="F22" i="48"/>
  <c r="F23" i="48"/>
  <c r="F24" i="48"/>
  <c r="F25" i="48"/>
  <c r="F26" i="48"/>
  <c r="F27" i="48"/>
  <c r="F28" i="48"/>
  <c r="F29" i="48"/>
  <c r="F30" i="48"/>
  <c r="G30" i="48" s="1"/>
  <c r="H30" i="48" s="1"/>
  <c r="F31" i="48"/>
  <c r="F32" i="48"/>
  <c r="F33" i="48"/>
  <c r="F34" i="48"/>
  <c r="F35" i="48"/>
  <c r="F36" i="48"/>
  <c r="F37" i="48"/>
  <c r="F38" i="48"/>
  <c r="F39" i="48"/>
  <c r="F40" i="48"/>
  <c r="F41" i="48"/>
  <c r="F42" i="48"/>
  <c r="F43" i="48"/>
  <c r="F44" i="48"/>
  <c r="F45" i="48"/>
  <c r="F46" i="48"/>
  <c r="F47" i="48"/>
  <c r="F48" i="48"/>
  <c r="F49" i="48"/>
  <c r="F51" i="48"/>
  <c r="G51" i="48" s="1"/>
  <c r="H51" i="48" s="1"/>
  <c r="F20" i="34"/>
  <c r="F21" i="34"/>
  <c r="F22" i="34"/>
  <c r="F23" i="34"/>
  <c r="G23" i="34" s="1"/>
  <c r="H23" i="34" s="1"/>
  <c r="F24" i="34"/>
  <c r="F25" i="34"/>
  <c r="F26" i="34"/>
  <c r="F27" i="34"/>
  <c r="F28" i="34"/>
  <c r="F29" i="34"/>
  <c r="F30" i="34"/>
  <c r="G30" i="34" s="1"/>
  <c r="H30" i="34" s="1"/>
  <c r="F31" i="34"/>
  <c r="F32" i="34"/>
  <c r="F33" i="34"/>
  <c r="F34" i="34"/>
  <c r="F35" i="34"/>
  <c r="F36" i="34"/>
  <c r="F37" i="34"/>
  <c r="F38" i="34"/>
  <c r="F39" i="34"/>
  <c r="F40" i="34"/>
  <c r="F41" i="34"/>
  <c r="F42" i="34"/>
  <c r="F43" i="34"/>
  <c r="F44" i="34"/>
  <c r="F45" i="34"/>
  <c r="F46" i="34"/>
  <c r="F47" i="34"/>
  <c r="F48" i="34"/>
  <c r="F49" i="34"/>
  <c r="F51" i="34"/>
  <c r="G51" i="34" s="1"/>
  <c r="H51" i="34" s="1"/>
  <c r="F18" i="15"/>
  <c r="F19" i="15"/>
  <c r="F20" i="15"/>
  <c r="F21" i="15"/>
  <c r="F22" i="15"/>
  <c r="F23" i="15"/>
  <c r="F24" i="15"/>
  <c r="F25" i="15"/>
  <c r="F26" i="15"/>
  <c r="F27" i="15"/>
  <c r="F28" i="15"/>
  <c r="F29" i="15"/>
  <c r="F31" i="15"/>
  <c r="G31" i="15" s="1"/>
  <c r="H31" i="15" s="1"/>
  <c r="F27" i="18"/>
  <c r="F28" i="18"/>
  <c r="F29" i="18"/>
  <c r="F30" i="18"/>
  <c r="F31" i="18"/>
  <c r="F32" i="18"/>
  <c r="G32" i="18" s="1"/>
  <c r="F33" i="18"/>
  <c r="F34" i="18"/>
  <c r="F35" i="18"/>
  <c r="F40" i="18"/>
  <c r="F41" i="18"/>
  <c r="F42" i="18"/>
  <c r="F43" i="18"/>
  <c r="F44" i="18"/>
  <c r="F45" i="18"/>
  <c r="F46" i="18"/>
  <c r="F47" i="18"/>
  <c r="F48" i="18"/>
  <c r="F49" i="18"/>
  <c r="F50" i="18"/>
  <c r="F51" i="18"/>
  <c r="F52" i="18"/>
  <c r="F53" i="18"/>
  <c r="F54" i="18"/>
  <c r="F56" i="18"/>
  <c r="F57" i="18"/>
  <c r="F59" i="18"/>
  <c r="F60" i="18"/>
  <c r="F27" i="21"/>
  <c r="F28" i="21"/>
  <c r="F29" i="21"/>
  <c r="F30" i="21"/>
  <c r="F31" i="21"/>
  <c r="F32" i="21"/>
  <c r="F33" i="21"/>
  <c r="F34" i="21"/>
  <c r="F35" i="21"/>
  <c r="F38" i="21"/>
  <c r="F40" i="21"/>
  <c r="F41" i="21"/>
  <c r="F42" i="21"/>
  <c r="F43" i="21"/>
  <c r="F44" i="21"/>
  <c r="F45" i="21"/>
  <c r="F46" i="21"/>
  <c r="F47" i="21"/>
  <c r="F48" i="21"/>
  <c r="F49" i="21"/>
  <c r="F50" i="21"/>
  <c r="F51" i="21"/>
  <c r="F52" i="21"/>
  <c r="F53" i="21"/>
  <c r="F54" i="21"/>
  <c r="F56" i="21"/>
  <c r="F57" i="21"/>
  <c r="F59" i="21"/>
  <c r="F60" i="21"/>
  <c r="F27" i="31"/>
  <c r="F28" i="31"/>
  <c r="F29" i="31"/>
  <c r="F30" i="31"/>
  <c r="F31" i="31"/>
  <c r="F32" i="31"/>
  <c r="F33" i="31"/>
  <c r="F34" i="31"/>
  <c r="F35" i="31"/>
  <c r="F38" i="31"/>
  <c r="F40" i="31"/>
  <c r="F41" i="31"/>
  <c r="F42" i="31"/>
  <c r="F43" i="31"/>
  <c r="F44" i="31"/>
  <c r="F45" i="31"/>
  <c r="F46" i="31"/>
  <c r="F47" i="31"/>
  <c r="F48" i="31"/>
  <c r="F49" i="31"/>
  <c r="F50" i="31"/>
  <c r="F51" i="31"/>
  <c r="F52" i="31"/>
  <c r="F53" i="31"/>
  <c r="F54" i="31"/>
  <c r="F56" i="31"/>
  <c r="F57" i="31"/>
  <c r="F59" i="31"/>
  <c r="F60" i="31"/>
  <c r="F27" i="42"/>
  <c r="F28" i="42"/>
  <c r="F29" i="42"/>
  <c r="F30" i="42"/>
  <c r="F31" i="42"/>
  <c r="F32" i="42"/>
  <c r="F33" i="42"/>
  <c r="F34" i="42"/>
  <c r="F35" i="42"/>
  <c r="F37" i="42"/>
  <c r="F38" i="42"/>
  <c r="F40" i="42"/>
  <c r="F41" i="42"/>
  <c r="F42" i="42"/>
  <c r="F43" i="42"/>
  <c r="F44" i="42"/>
  <c r="F45" i="42"/>
  <c r="F46" i="42"/>
  <c r="F47" i="42"/>
  <c r="F48" i="42"/>
  <c r="F49" i="42"/>
  <c r="F50" i="42"/>
  <c r="F51" i="42"/>
  <c r="F52" i="42"/>
  <c r="F53" i="42"/>
  <c r="F54" i="42"/>
  <c r="F56" i="42"/>
  <c r="F57" i="42"/>
  <c r="F59" i="42"/>
  <c r="F17" i="27"/>
  <c r="F18" i="27"/>
  <c r="F19" i="27"/>
  <c r="G19" i="27" s="1"/>
  <c r="H19" i="27" s="1"/>
  <c r="F20" i="27"/>
  <c r="F21" i="27"/>
  <c r="F22" i="27"/>
  <c r="F23" i="27"/>
  <c r="F24" i="27"/>
  <c r="F25" i="27"/>
  <c r="F27" i="27"/>
  <c r="G27" i="27" s="1"/>
  <c r="H27" i="27" s="1"/>
  <c r="F19" i="45"/>
  <c r="F20" i="45"/>
  <c r="F21" i="45"/>
  <c r="F22" i="45"/>
  <c r="F23" i="45"/>
  <c r="F24" i="45"/>
  <c r="F25" i="45"/>
  <c r="F26" i="45"/>
  <c r="F27" i="45"/>
  <c r="F28" i="45"/>
  <c r="F29" i="45"/>
  <c r="F30" i="45"/>
  <c r="F32" i="45"/>
  <c r="F21" i="39"/>
  <c r="F22" i="39"/>
  <c r="F23" i="39"/>
  <c r="F24" i="39"/>
  <c r="F25" i="39"/>
  <c r="F26" i="39"/>
  <c r="F27" i="39"/>
  <c r="F28" i="39"/>
  <c r="F29" i="39"/>
  <c r="F33" i="39"/>
  <c r="F35" i="39"/>
  <c r="F36" i="39" s="1"/>
  <c r="F37" i="39"/>
  <c r="F39" i="39"/>
  <c r="G39" i="39" s="1"/>
  <c r="H39" i="39" s="1"/>
  <c r="F64" i="3"/>
  <c r="F65" i="3"/>
  <c r="F66" i="3"/>
  <c r="F67" i="3"/>
  <c r="F68" i="3"/>
  <c r="F69" i="3"/>
  <c r="F70" i="3"/>
  <c r="F71" i="3"/>
  <c r="F72" i="3"/>
  <c r="F73" i="3"/>
  <c r="F74" i="3"/>
  <c r="F75" i="3"/>
  <c r="F76" i="3"/>
  <c r="F77" i="3"/>
  <c r="F78" i="3"/>
  <c r="F79" i="3"/>
  <c r="F80" i="3"/>
  <c r="F81" i="3"/>
  <c r="F82" i="3"/>
  <c r="F83" i="3"/>
  <c r="F85" i="3"/>
  <c r="F86" i="3"/>
  <c r="F39" i="6"/>
  <c r="F40" i="6"/>
  <c r="F41" i="6"/>
  <c r="F42" i="6"/>
  <c r="G42" i="6" s="1"/>
  <c r="H42" i="6" s="1"/>
  <c r="F43" i="6"/>
  <c r="F44" i="6"/>
  <c r="F45" i="6"/>
  <c r="F46" i="6"/>
  <c r="F47" i="6"/>
  <c r="F48" i="6"/>
  <c r="F49" i="6"/>
  <c r="F50" i="6"/>
  <c r="F51" i="6"/>
  <c r="G51" i="6" s="1"/>
  <c r="H51" i="6" s="1"/>
  <c r="F52" i="6"/>
  <c r="F53" i="6"/>
  <c r="F54" i="6"/>
  <c r="F55" i="6"/>
  <c r="F56" i="6"/>
  <c r="F58" i="6"/>
  <c r="G58" i="6" s="1"/>
  <c r="H58" i="6" s="1"/>
  <c r="F37" i="9"/>
  <c r="G37" i="9" s="1"/>
  <c r="H37" i="9" s="1"/>
  <c r="F38" i="9"/>
  <c r="F39" i="9"/>
  <c r="F40" i="9"/>
  <c r="F41" i="9"/>
  <c r="F42" i="9"/>
  <c r="F43" i="9"/>
  <c r="F44" i="9"/>
  <c r="F45" i="9"/>
  <c r="F46" i="9"/>
  <c r="F47" i="9"/>
  <c r="F48" i="9"/>
  <c r="F49" i="9"/>
  <c r="F50" i="9"/>
  <c r="F52" i="9"/>
  <c r="G52" i="9" s="1"/>
  <c r="H52" i="9" s="1"/>
  <c r="F58" i="12"/>
  <c r="F59" i="12"/>
  <c r="F60" i="12"/>
  <c r="F61" i="12"/>
  <c r="G61" i="12" s="1"/>
  <c r="H61" i="12" s="1"/>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3" i="12"/>
  <c r="G93" i="12" s="1"/>
  <c r="H93" i="12" s="1"/>
  <c r="F66" i="51"/>
  <c r="F67" i="51"/>
  <c r="G67" i="51" s="1"/>
  <c r="H67" i="51" s="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5" i="51"/>
  <c r="G105" i="51" s="1"/>
  <c r="H105" i="51" s="1"/>
  <c r="F64" i="51"/>
  <c r="F65" i="51"/>
  <c r="F54" i="48"/>
  <c r="F55" i="48"/>
  <c r="F56" i="48"/>
  <c r="F57" i="48"/>
  <c r="G57" i="48" s="1"/>
  <c r="H57" i="48" s="1"/>
  <c r="F58" i="48"/>
  <c r="F59" i="48"/>
  <c r="F60" i="48"/>
  <c r="F61" i="48"/>
  <c r="F62" i="48"/>
  <c r="F63" i="48"/>
  <c r="F64" i="48"/>
  <c r="F65" i="48"/>
  <c r="F66" i="48"/>
  <c r="G66" i="48" s="1"/>
  <c r="H66" i="48" s="1"/>
  <c r="F67" i="48"/>
  <c r="F68" i="48"/>
  <c r="F69" i="48"/>
  <c r="F70" i="48"/>
  <c r="F71" i="48"/>
  <c r="F72" i="48"/>
  <c r="F73" i="48"/>
  <c r="F74" i="48"/>
  <c r="F75" i="48"/>
  <c r="F76" i="48"/>
  <c r="F77" i="48"/>
  <c r="F78" i="48"/>
  <c r="F79" i="48"/>
  <c r="F80" i="48"/>
  <c r="F81" i="48"/>
  <c r="F82" i="48"/>
  <c r="F83" i="48"/>
  <c r="F84" i="48"/>
  <c r="F85" i="48"/>
  <c r="F87" i="48"/>
  <c r="G87" i="48" s="1"/>
  <c r="H87" i="48" s="1"/>
  <c r="F54" i="34"/>
  <c r="F55" i="34"/>
  <c r="F56" i="34"/>
  <c r="F57" i="34"/>
  <c r="G57" i="34" s="1"/>
  <c r="H57" i="34" s="1"/>
  <c r="F58" i="34"/>
  <c r="F59" i="34"/>
  <c r="F60" i="34"/>
  <c r="F61" i="34"/>
  <c r="F62" i="34"/>
  <c r="F63" i="34"/>
  <c r="F64" i="34"/>
  <c r="G64" i="34" s="1"/>
  <c r="H64" i="34" s="1"/>
  <c r="F65" i="34"/>
  <c r="F66" i="34"/>
  <c r="F67" i="34"/>
  <c r="F68" i="34"/>
  <c r="F69" i="34"/>
  <c r="F70" i="34"/>
  <c r="F71" i="34"/>
  <c r="F72" i="34"/>
  <c r="F73" i="34"/>
  <c r="F74" i="34"/>
  <c r="F75" i="34"/>
  <c r="F76" i="34"/>
  <c r="F77" i="34"/>
  <c r="F78" i="34"/>
  <c r="F79" i="34"/>
  <c r="F80" i="34"/>
  <c r="F81" i="34"/>
  <c r="F82" i="34"/>
  <c r="F83" i="34"/>
  <c r="F85" i="34"/>
  <c r="G85" i="34" s="1"/>
  <c r="H85" i="34" s="1"/>
  <c r="F34" i="15"/>
  <c r="F35" i="15"/>
  <c r="F36" i="15"/>
  <c r="F37" i="15"/>
  <c r="F38" i="15"/>
  <c r="F39" i="15"/>
  <c r="F40" i="15"/>
  <c r="F41" i="15"/>
  <c r="F42" i="15"/>
  <c r="F43" i="15"/>
  <c r="F44" i="15"/>
  <c r="F45" i="15"/>
  <c r="F46" i="15"/>
  <c r="G46" i="15" s="1"/>
  <c r="H46" i="15" s="1"/>
  <c r="F47" i="15"/>
  <c r="G47" i="15" s="1"/>
  <c r="H47" i="15" s="1"/>
  <c r="F79" i="18"/>
  <c r="F80" i="18"/>
  <c r="F81" i="18"/>
  <c r="F82" i="18"/>
  <c r="F83" i="18"/>
  <c r="F84" i="18"/>
  <c r="G84" i="18" s="1"/>
  <c r="F85" i="18"/>
  <c r="F86" i="18"/>
  <c r="F87" i="18"/>
  <c r="F92" i="18"/>
  <c r="F93" i="18"/>
  <c r="F94" i="18"/>
  <c r="F95" i="18"/>
  <c r="F96" i="18"/>
  <c r="F97" i="18"/>
  <c r="F98" i="18"/>
  <c r="F99" i="18"/>
  <c r="F100" i="18"/>
  <c r="F101" i="18"/>
  <c r="F102" i="18"/>
  <c r="F103" i="18"/>
  <c r="F104" i="18"/>
  <c r="F105" i="18"/>
  <c r="F106" i="18"/>
  <c r="F108" i="18"/>
  <c r="F109" i="18"/>
  <c r="F111" i="18"/>
  <c r="F112" i="18"/>
  <c r="F79" i="21"/>
  <c r="F80" i="21"/>
  <c r="F81" i="21"/>
  <c r="F82" i="21"/>
  <c r="F83" i="21"/>
  <c r="F84" i="21"/>
  <c r="F85" i="21"/>
  <c r="F86" i="21"/>
  <c r="F87" i="21"/>
  <c r="F90" i="21"/>
  <c r="F92" i="21"/>
  <c r="F93" i="21"/>
  <c r="F94" i="21"/>
  <c r="F95" i="21"/>
  <c r="F96" i="21"/>
  <c r="F97" i="21"/>
  <c r="F98" i="21"/>
  <c r="F99" i="21"/>
  <c r="F100" i="21"/>
  <c r="F101" i="21"/>
  <c r="F102" i="21"/>
  <c r="F103" i="21"/>
  <c r="F104" i="21"/>
  <c r="F105" i="21"/>
  <c r="F106" i="21"/>
  <c r="F108" i="21"/>
  <c r="F109" i="21"/>
  <c r="F111" i="21"/>
  <c r="F112" i="21"/>
  <c r="F79" i="31"/>
  <c r="F80" i="31"/>
  <c r="F81" i="31"/>
  <c r="F82" i="31"/>
  <c r="F83" i="31"/>
  <c r="F84" i="31"/>
  <c r="F85" i="31"/>
  <c r="F86" i="31"/>
  <c r="F87" i="31"/>
  <c r="F90" i="31"/>
  <c r="F92" i="31"/>
  <c r="F93" i="31"/>
  <c r="F94" i="31"/>
  <c r="F95" i="31"/>
  <c r="F96" i="31"/>
  <c r="F97" i="31"/>
  <c r="F98" i="31"/>
  <c r="F99" i="31"/>
  <c r="F100" i="31"/>
  <c r="F101" i="31"/>
  <c r="F102" i="31"/>
  <c r="F103" i="31"/>
  <c r="F104" i="31"/>
  <c r="F105" i="31"/>
  <c r="F106" i="31"/>
  <c r="F108" i="31"/>
  <c r="F109" i="31"/>
  <c r="F111" i="31"/>
  <c r="F112" i="31"/>
  <c r="F79" i="42"/>
  <c r="F80" i="42"/>
  <c r="F81" i="42"/>
  <c r="F82" i="42"/>
  <c r="F83" i="42"/>
  <c r="F84" i="42"/>
  <c r="F85" i="42"/>
  <c r="F86" i="42"/>
  <c r="F87" i="42"/>
  <c r="F89" i="42"/>
  <c r="F90" i="42"/>
  <c r="F92" i="42"/>
  <c r="F93" i="42"/>
  <c r="F94" i="42"/>
  <c r="F95" i="42"/>
  <c r="F96" i="42"/>
  <c r="F97" i="42"/>
  <c r="F98" i="42"/>
  <c r="F99" i="42"/>
  <c r="F100" i="42"/>
  <c r="F101" i="42"/>
  <c r="F102" i="42"/>
  <c r="F103" i="42"/>
  <c r="F104" i="42"/>
  <c r="F105" i="42"/>
  <c r="F106" i="42"/>
  <c r="F108" i="42"/>
  <c r="F109" i="42"/>
  <c r="F111" i="42"/>
  <c r="F112" i="42"/>
  <c r="F30" i="27"/>
  <c r="F31" i="27"/>
  <c r="F32" i="27"/>
  <c r="G32" i="27" s="1"/>
  <c r="H32" i="27" s="1"/>
  <c r="F33" i="27"/>
  <c r="F34" i="27"/>
  <c r="F35" i="27"/>
  <c r="F36" i="27"/>
  <c r="F37" i="27"/>
  <c r="F38" i="27"/>
  <c r="F40" i="27"/>
  <c r="G40" i="27" s="1"/>
  <c r="H40" i="27" s="1"/>
  <c r="F35" i="45"/>
  <c r="F36" i="45"/>
  <c r="F37" i="45"/>
  <c r="F38" i="45"/>
  <c r="F39" i="45"/>
  <c r="F40" i="45"/>
  <c r="F41" i="45"/>
  <c r="F42" i="45"/>
  <c r="F43" i="45"/>
  <c r="F44" i="45"/>
  <c r="F45" i="45"/>
  <c r="F46" i="45"/>
  <c r="F48" i="45"/>
  <c r="F42" i="39"/>
  <c r="F43" i="39"/>
  <c r="F44" i="39"/>
  <c r="F45" i="39"/>
  <c r="F46" i="39"/>
  <c r="F47" i="39"/>
  <c r="F48" i="39"/>
  <c r="F49" i="39"/>
  <c r="F50" i="39"/>
  <c r="F51" i="39"/>
  <c r="F52" i="39"/>
  <c r="F53" i="39"/>
  <c r="F54" i="39"/>
  <c r="F55" i="39"/>
  <c r="F56" i="39"/>
  <c r="F57" i="39"/>
  <c r="F58" i="39"/>
  <c r="F60" i="39"/>
  <c r="G60" i="39" s="1"/>
  <c r="H60" i="39" s="1"/>
  <c r="F61" i="3"/>
  <c r="F60" i="3"/>
  <c r="B181" i="1"/>
  <c r="B189" i="1"/>
  <c r="B197" i="1"/>
  <c r="F160" i="18"/>
  <c r="F161" i="18"/>
  <c r="F162" i="18"/>
  <c r="F163" i="18"/>
  <c r="F160" i="21"/>
  <c r="F161" i="21"/>
  <c r="F162" i="21"/>
  <c r="F163" i="21"/>
  <c r="F160" i="31"/>
  <c r="F161" i="31"/>
  <c r="F162" i="31"/>
  <c r="F163" i="31"/>
  <c r="F160" i="42"/>
  <c r="F161" i="42"/>
  <c r="F162" i="42"/>
  <c r="F163" i="42"/>
  <c r="F60" i="42"/>
  <c r="B1" i="1"/>
  <c r="O196" i="1"/>
  <c r="O180" i="1"/>
  <c r="B176" i="1" s="1"/>
  <c r="G15" i="72" s="1"/>
  <c r="C9" i="38"/>
  <c r="A9" i="38"/>
  <c r="C12" i="38"/>
  <c r="A12" i="38"/>
  <c r="C17" i="38"/>
  <c r="C16" i="38"/>
  <c r="C15" i="38"/>
  <c r="A15" i="38"/>
  <c r="C21" i="38"/>
  <c r="C20" i="38"/>
  <c r="A20" i="38"/>
  <c r="C24" i="38"/>
  <c r="A24" i="38"/>
  <c r="C28" i="38"/>
  <c r="C29" i="38"/>
  <c r="C30" i="38"/>
  <c r="C31" i="38"/>
  <c r="C27" i="38"/>
  <c r="A27" i="38"/>
  <c r="C34" i="38"/>
  <c r="A34" i="38"/>
  <c r="C38" i="38"/>
  <c r="C37" i="38"/>
  <c r="A37" i="38"/>
  <c r="C45" i="38"/>
  <c r="A45" i="38"/>
  <c r="C42" i="38"/>
  <c r="C9" i="44"/>
  <c r="A9" i="44"/>
  <c r="C12" i="44"/>
  <c r="A12" i="44"/>
  <c r="C17" i="44"/>
  <c r="C16" i="44"/>
  <c r="C15" i="44"/>
  <c r="A15" i="44"/>
  <c r="C21" i="44"/>
  <c r="C20" i="44"/>
  <c r="A20" i="44"/>
  <c r="C24" i="44"/>
  <c r="A24" i="44"/>
  <c r="C28" i="44"/>
  <c r="C27" i="44"/>
  <c r="A27" i="44"/>
  <c r="C32" i="44"/>
  <c r="C31" i="44"/>
  <c r="A31" i="44"/>
  <c r="C36" i="44"/>
  <c r="C35" i="44"/>
  <c r="A35" i="44"/>
  <c r="C38" i="44"/>
  <c r="C41" i="44"/>
  <c r="A41" i="44"/>
  <c r="C9" i="26"/>
  <c r="A9" i="26"/>
  <c r="C12" i="26"/>
  <c r="A12" i="26"/>
  <c r="C17" i="26"/>
  <c r="C16" i="26"/>
  <c r="C15" i="26"/>
  <c r="A15" i="26"/>
  <c r="C21" i="26"/>
  <c r="C20" i="26"/>
  <c r="A20" i="26"/>
  <c r="C24" i="26"/>
  <c r="A24" i="26"/>
  <c r="C28" i="26"/>
  <c r="C27" i="26"/>
  <c r="A27" i="26"/>
  <c r="C30" i="26"/>
  <c r="C33" i="26"/>
  <c r="A33" i="26"/>
  <c r="C9" i="14"/>
  <c r="A9" i="14"/>
  <c r="C12" i="14"/>
  <c r="A12" i="14"/>
  <c r="C17" i="14"/>
  <c r="C16" i="14"/>
  <c r="C15" i="14"/>
  <c r="A15" i="14"/>
  <c r="C21" i="14"/>
  <c r="C20" i="14"/>
  <c r="A20" i="14"/>
  <c r="C24" i="14"/>
  <c r="A24" i="14"/>
  <c r="C28" i="14"/>
  <c r="C27" i="14"/>
  <c r="A27" i="14"/>
  <c r="C32" i="14"/>
  <c r="C31" i="14"/>
  <c r="A31" i="14"/>
  <c r="C37" i="14"/>
  <c r="C36" i="14"/>
  <c r="C35" i="14"/>
  <c r="A35" i="14"/>
  <c r="C42" i="14"/>
  <c r="A42" i="14"/>
  <c r="C39" i="14"/>
  <c r="C9" i="35"/>
  <c r="A9" i="35"/>
  <c r="C12" i="35"/>
  <c r="A12" i="35"/>
  <c r="C15" i="35"/>
  <c r="A15" i="35"/>
  <c r="C21" i="35"/>
  <c r="C22" i="35"/>
  <c r="C23" i="35"/>
  <c r="C20" i="35"/>
  <c r="C19" i="35"/>
  <c r="C18" i="35"/>
  <c r="A18" i="35"/>
  <c r="C27" i="35"/>
  <c r="C26" i="35"/>
  <c r="A26" i="35"/>
  <c r="C31" i="35"/>
  <c r="C30" i="35"/>
  <c r="A30" i="35"/>
  <c r="C36" i="35"/>
  <c r="A36" i="35"/>
  <c r="C33" i="35"/>
  <c r="C11" i="47"/>
  <c r="C10" i="47"/>
  <c r="C9" i="47"/>
  <c r="A9" i="47"/>
  <c r="C14" i="47"/>
  <c r="A14" i="47"/>
  <c r="C17" i="47"/>
  <c r="A17" i="47"/>
  <c r="C23" i="47"/>
  <c r="C24" i="47"/>
  <c r="C25" i="47"/>
  <c r="C22" i="47"/>
  <c r="C21" i="47"/>
  <c r="C20" i="47"/>
  <c r="A20" i="47"/>
  <c r="C29" i="47"/>
  <c r="C28" i="47"/>
  <c r="A28" i="47"/>
  <c r="C34" i="47"/>
  <c r="A34" i="47"/>
  <c r="C31" i="47"/>
  <c r="C11" i="50"/>
  <c r="C10" i="50"/>
  <c r="C9" i="50"/>
  <c r="A9" i="50"/>
  <c r="C14" i="50"/>
  <c r="A14" i="50"/>
  <c r="C19" i="50"/>
  <c r="C18" i="50"/>
  <c r="C17" i="50"/>
  <c r="A17" i="50"/>
  <c r="C23" i="50"/>
  <c r="C22" i="50"/>
  <c r="A22" i="50"/>
  <c r="C26" i="50"/>
  <c r="A26" i="50"/>
  <c r="C31" i="50"/>
  <c r="C32" i="50"/>
  <c r="C33" i="50"/>
  <c r="C30" i="50"/>
  <c r="C29" i="50"/>
  <c r="A29" i="50"/>
  <c r="C37" i="50"/>
  <c r="C36" i="50"/>
  <c r="A36" i="50"/>
  <c r="C39" i="50"/>
  <c r="C42" i="50"/>
  <c r="A42" i="50"/>
  <c r="C11" i="11"/>
  <c r="C10" i="11"/>
  <c r="C9" i="11"/>
  <c r="A9" i="11"/>
  <c r="C14" i="11"/>
  <c r="A14" i="11"/>
  <c r="C19" i="11"/>
  <c r="C18" i="11"/>
  <c r="C17" i="11"/>
  <c r="A17" i="11"/>
  <c r="C23" i="11"/>
  <c r="C22" i="11"/>
  <c r="A22" i="11"/>
  <c r="C26" i="11"/>
  <c r="A26" i="11"/>
  <c r="C33" i="11"/>
  <c r="C34" i="11"/>
  <c r="C35" i="11"/>
  <c r="C32" i="11"/>
  <c r="C30" i="11"/>
  <c r="C31" i="11"/>
  <c r="C29" i="11"/>
  <c r="A29" i="11"/>
  <c r="C39" i="11"/>
  <c r="C38" i="11"/>
  <c r="A38" i="11"/>
  <c r="C41" i="11"/>
  <c r="C44" i="11"/>
  <c r="A44" i="11"/>
  <c r="C9" i="8"/>
  <c r="A9" i="8"/>
  <c r="C13" i="8"/>
  <c r="C12" i="8"/>
  <c r="A12" i="8"/>
  <c r="C18" i="8"/>
  <c r="C17" i="8"/>
  <c r="C16" i="8"/>
  <c r="A16" i="8"/>
  <c r="C22" i="8"/>
  <c r="C21" i="8"/>
  <c r="A21" i="8"/>
  <c r="C25" i="8"/>
  <c r="A25" i="8"/>
  <c r="C29" i="8"/>
  <c r="C28" i="8"/>
  <c r="A28" i="8"/>
  <c r="C33" i="8"/>
  <c r="C32" i="8"/>
  <c r="A32" i="8"/>
  <c r="C38" i="8"/>
  <c r="C41" i="8"/>
  <c r="A41" i="8"/>
  <c r="C9" i="5"/>
  <c r="A9" i="5"/>
  <c r="C12" i="5"/>
  <c r="A12" i="5"/>
  <c r="C17" i="5"/>
  <c r="C16" i="5"/>
  <c r="C15" i="5"/>
  <c r="A15" i="5"/>
  <c r="C21" i="5"/>
  <c r="C20" i="5"/>
  <c r="A20" i="5"/>
  <c r="C24" i="5"/>
  <c r="A24" i="5"/>
  <c r="C28" i="5"/>
  <c r="C29" i="5"/>
  <c r="C27" i="5"/>
  <c r="A27" i="5"/>
  <c r="C33" i="5"/>
  <c r="C32" i="5"/>
  <c r="A32" i="5"/>
  <c r="C41" i="5"/>
  <c r="A41" i="5"/>
  <c r="C38" i="5"/>
  <c r="C10" i="2"/>
  <c r="C11" i="2"/>
  <c r="C12" i="2"/>
  <c r="C13" i="2"/>
  <c r="C14" i="2"/>
  <c r="C15" i="2"/>
  <c r="C16" i="2"/>
  <c r="C17" i="2"/>
  <c r="C9" i="2"/>
  <c r="A9" i="2"/>
  <c r="C21" i="2"/>
  <c r="C22" i="2"/>
  <c r="C23" i="2"/>
  <c r="C24" i="2"/>
  <c r="C25" i="2"/>
  <c r="C20" i="2"/>
  <c r="A20" i="2"/>
  <c r="C32" i="2"/>
  <c r="C31" i="2"/>
  <c r="C30" i="2"/>
  <c r="C29" i="2"/>
  <c r="C28" i="2"/>
  <c r="A28" i="2"/>
  <c r="C39" i="2"/>
  <c r="C38" i="2"/>
  <c r="A38" i="2"/>
  <c r="C36" i="2"/>
  <c r="C37" i="2"/>
  <c r="C35" i="2"/>
  <c r="A35" i="2"/>
  <c r="C42" i="2"/>
  <c r="A42" i="2"/>
  <c r="C46" i="2"/>
  <c r="C47" i="2"/>
  <c r="C48" i="2"/>
  <c r="C49" i="2"/>
  <c r="C45" i="2"/>
  <c r="A45" i="2"/>
  <c r="C53" i="2"/>
  <c r="C52" i="2"/>
  <c r="A52" i="2"/>
  <c r="C57" i="2"/>
  <c r="C56" i="2"/>
  <c r="A56" i="2"/>
  <c r="C61" i="2"/>
  <c r="C62" i="2"/>
  <c r="C63" i="2"/>
  <c r="C64" i="2"/>
  <c r="C60" i="2"/>
  <c r="A60" i="2"/>
  <c r="C66" i="2"/>
  <c r="C69" i="2"/>
  <c r="A69" i="2"/>
  <c r="C70" i="2"/>
  <c r="A70" i="2"/>
  <c r="C9" i="23"/>
  <c r="C11" i="23"/>
  <c r="C15" i="23"/>
  <c r="C17" i="23"/>
  <c r="C22" i="23"/>
  <c r="C23" i="23"/>
  <c r="A23" i="23"/>
  <c r="C27" i="23"/>
  <c r="C28" i="23"/>
  <c r="C26" i="23"/>
  <c r="A26" i="23"/>
  <c r="C39" i="23"/>
  <c r="C40" i="23"/>
  <c r="C41" i="23"/>
  <c r="C42" i="23"/>
  <c r="C43" i="23"/>
  <c r="C44" i="23"/>
  <c r="C45" i="23"/>
  <c r="C46" i="23"/>
  <c r="C47" i="23"/>
  <c r="C48" i="23"/>
  <c r="C49" i="23"/>
  <c r="C50" i="23"/>
  <c r="C51" i="23"/>
  <c r="C52" i="23"/>
  <c r="C38" i="23"/>
  <c r="A38" i="23"/>
  <c r="C56" i="23"/>
  <c r="C57" i="23"/>
  <c r="C55" i="23"/>
  <c r="A55" i="23"/>
  <c r="C58" i="23"/>
  <c r="A58" i="23"/>
  <c r="C61" i="23"/>
  <c r="A61" i="23"/>
  <c r="C67" i="23"/>
  <c r="C68" i="23"/>
  <c r="C66" i="23"/>
  <c r="A66" i="23"/>
  <c r="C70" i="23"/>
  <c r="C71" i="23"/>
  <c r="C69" i="23"/>
  <c r="A69" i="23"/>
  <c r="C75" i="23"/>
  <c r="C76" i="23"/>
  <c r="C77" i="23"/>
  <c r="C78" i="23"/>
  <c r="C79" i="23"/>
  <c r="C74" i="23"/>
  <c r="A74" i="23"/>
  <c r="C83" i="23"/>
  <c r="C84" i="23"/>
  <c r="C82" i="23"/>
  <c r="A82" i="23"/>
  <c r="C88" i="23"/>
  <c r="C89" i="23"/>
  <c r="C87" i="23"/>
  <c r="A87" i="23"/>
  <c r="C93" i="23"/>
  <c r="C94" i="23"/>
  <c r="C95" i="23"/>
  <c r="C90" i="23"/>
  <c r="A90" i="23"/>
  <c r="C104" i="23"/>
  <c r="C105" i="23"/>
  <c r="C103" i="23"/>
  <c r="A103" i="23"/>
  <c r="C9" i="56"/>
  <c r="C11" i="56"/>
  <c r="C22" i="56"/>
  <c r="C23" i="56"/>
  <c r="A23" i="56"/>
  <c r="C27" i="56"/>
  <c r="C28" i="56"/>
  <c r="C26" i="56"/>
  <c r="A26" i="56"/>
  <c r="C39" i="56"/>
  <c r="C40" i="56"/>
  <c r="C41" i="56"/>
  <c r="C42" i="56"/>
  <c r="C43" i="56"/>
  <c r="C44" i="56"/>
  <c r="C45" i="56"/>
  <c r="C46" i="56"/>
  <c r="C47" i="56"/>
  <c r="C48" i="56"/>
  <c r="C49" i="56"/>
  <c r="C38" i="56"/>
  <c r="A38" i="56"/>
  <c r="C51" i="56"/>
  <c r="C52" i="56"/>
  <c r="C50" i="56"/>
  <c r="A50" i="56"/>
  <c r="C56" i="56"/>
  <c r="C57" i="56"/>
  <c r="C55" i="56"/>
  <c r="A55" i="56"/>
  <c r="C58" i="56"/>
  <c r="A58" i="56"/>
  <c r="C61" i="56"/>
  <c r="A61" i="56"/>
  <c r="C67" i="56"/>
  <c r="C68" i="56"/>
  <c r="C66" i="56"/>
  <c r="A66" i="56"/>
  <c r="C70" i="56"/>
  <c r="C71" i="56"/>
  <c r="C69" i="56"/>
  <c r="A69" i="56"/>
  <c r="C75" i="56"/>
  <c r="C76" i="56"/>
  <c r="C77" i="56"/>
  <c r="C78" i="56"/>
  <c r="C79" i="56"/>
  <c r="C74" i="56"/>
  <c r="A74" i="56"/>
  <c r="C83" i="56"/>
  <c r="C84" i="56"/>
  <c r="C82" i="56"/>
  <c r="A82" i="56"/>
  <c r="C88" i="56"/>
  <c r="C89" i="56"/>
  <c r="C87" i="56"/>
  <c r="A87" i="56"/>
  <c r="C93" i="56"/>
  <c r="C94" i="56"/>
  <c r="C95" i="56"/>
  <c r="C90" i="56"/>
  <c r="A90" i="56"/>
  <c r="C104" i="56"/>
  <c r="C105" i="56"/>
  <c r="C103" i="56"/>
  <c r="A103" i="56"/>
  <c r="C9" i="58"/>
  <c r="C11" i="58"/>
  <c r="C15" i="58"/>
  <c r="C17" i="58"/>
  <c r="C22" i="58"/>
  <c r="C23" i="58"/>
  <c r="A23" i="58"/>
  <c r="C27" i="58"/>
  <c r="C28" i="58"/>
  <c r="C26" i="58"/>
  <c r="A26" i="58"/>
  <c r="C39" i="58"/>
  <c r="C40" i="58"/>
  <c r="C41" i="58"/>
  <c r="C42" i="58"/>
  <c r="C43" i="58"/>
  <c r="C44" i="58"/>
  <c r="C45" i="58"/>
  <c r="C46" i="58"/>
  <c r="C38" i="58"/>
  <c r="A38" i="58"/>
  <c r="C48" i="58"/>
  <c r="C49" i="58"/>
  <c r="C47" i="58"/>
  <c r="A47" i="58"/>
  <c r="C53" i="58"/>
  <c r="C54" i="58"/>
  <c r="C55" i="58"/>
  <c r="C56" i="58"/>
  <c r="C57" i="58"/>
  <c r="C58" i="58"/>
  <c r="C59" i="58"/>
  <c r="C60" i="58"/>
  <c r="C61" i="58"/>
  <c r="C52" i="58"/>
  <c r="A52" i="58"/>
  <c r="A59" i="58"/>
  <c r="C64" i="58"/>
  <c r="A64" i="58"/>
  <c r="C73" i="58"/>
  <c r="C74" i="58"/>
  <c r="C72" i="58"/>
  <c r="C70" i="58"/>
  <c r="C71" i="58"/>
  <c r="C69" i="58"/>
  <c r="A69" i="58"/>
  <c r="C76" i="58"/>
  <c r="C77" i="58"/>
  <c r="C75" i="58"/>
  <c r="A75" i="58"/>
  <c r="C81" i="58"/>
  <c r="C82" i="58"/>
  <c r="C83" i="58"/>
  <c r="C84" i="58"/>
  <c r="C85" i="58"/>
  <c r="C80" i="58"/>
  <c r="A80" i="58"/>
  <c r="C89" i="58"/>
  <c r="C90" i="58"/>
  <c r="C88" i="58"/>
  <c r="A88" i="58"/>
  <c r="C94" i="58"/>
  <c r="C95" i="58"/>
  <c r="C96" i="58"/>
  <c r="C93" i="58"/>
  <c r="A93" i="58"/>
  <c r="C100" i="58"/>
  <c r="C101" i="58"/>
  <c r="C102" i="58"/>
  <c r="C97" i="58"/>
  <c r="A97" i="58"/>
  <c r="C98" i="23"/>
  <c r="C98" i="56"/>
  <c r="C105" i="58"/>
  <c r="C111" i="58"/>
  <c r="C112" i="58"/>
  <c r="C110" i="58"/>
  <c r="A110" i="58"/>
  <c r="C9" i="61"/>
  <c r="C11" i="61"/>
  <c r="C15" i="61"/>
  <c r="C17" i="61"/>
  <c r="C22" i="61"/>
  <c r="C23" i="61"/>
  <c r="A23" i="61"/>
  <c r="C27" i="61"/>
  <c r="C28" i="61"/>
  <c r="C26" i="61"/>
  <c r="A26" i="61"/>
  <c r="C39" i="61"/>
  <c r="C40" i="61"/>
  <c r="C41" i="61"/>
  <c r="C42" i="61"/>
  <c r="C43" i="61"/>
  <c r="C44" i="61"/>
  <c r="C45" i="61"/>
  <c r="C46" i="61"/>
  <c r="C38" i="61"/>
  <c r="A38" i="61"/>
  <c r="C48" i="61"/>
  <c r="C49" i="61"/>
  <c r="C47" i="61"/>
  <c r="A47" i="61"/>
  <c r="C53" i="61"/>
  <c r="C54" i="61"/>
  <c r="C55" i="61"/>
  <c r="C56" i="61"/>
  <c r="C57" i="61"/>
  <c r="C58" i="61"/>
  <c r="C52" i="61"/>
  <c r="A52" i="61"/>
  <c r="C60" i="61"/>
  <c r="C61" i="61"/>
  <c r="C59" i="61"/>
  <c r="A59" i="61"/>
  <c r="C64" i="61"/>
  <c r="A64" i="61"/>
  <c r="C73" i="61"/>
  <c r="C74" i="61"/>
  <c r="C72" i="61"/>
  <c r="C70" i="61"/>
  <c r="C71" i="61"/>
  <c r="C69" i="61"/>
  <c r="A69" i="61"/>
  <c r="C76" i="61"/>
  <c r="C77" i="61"/>
  <c r="C75" i="61"/>
  <c r="A75" i="61"/>
  <c r="C81" i="61"/>
  <c r="C82" i="61"/>
  <c r="C83" i="61"/>
  <c r="C84" i="61"/>
  <c r="C85" i="61"/>
  <c r="C80" i="61"/>
  <c r="A80" i="61"/>
  <c r="C89" i="61"/>
  <c r="C90" i="61"/>
  <c r="C88" i="61"/>
  <c r="A88" i="61"/>
  <c r="C94" i="61"/>
  <c r="C95" i="61"/>
  <c r="C96" i="61"/>
  <c r="C93" i="61"/>
  <c r="A93" i="61"/>
  <c r="C100" i="61"/>
  <c r="C101" i="61"/>
  <c r="C102" i="61"/>
  <c r="C97" i="61"/>
  <c r="A97" i="61"/>
  <c r="C111" i="61"/>
  <c r="C112" i="61"/>
  <c r="C110" i="61"/>
  <c r="A110" i="61"/>
  <c r="C9" i="41"/>
  <c r="C11" i="41"/>
  <c r="C15" i="41"/>
  <c r="C17" i="41"/>
  <c r="C22" i="41"/>
  <c r="C23" i="41"/>
  <c r="A23" i="41"/>
  <c r="C27" i="41"/>
  <c r="C28" i="41"/>
  <c r="C26" i="41"/>
  <c r="A26" i="41"/>
  <c r="C39" i="41"/>
  <c r="C40" i="41"/>
  <c r="C41" i="41"/>
  <c r="C42" i="41"/>
  <c r="C43" i="41"/>
  <c r="C44" i="41"/>
  <c r="C45" i="41"/>
  <c r="C46" i="41"/>
  <c r="C38" i="41"/>
  <c r="A38" i="41"/>
  <c r="C48" i="41"/>
  <c r="C49" i="41"/>
  <c r="C47" i="41"/>
  <c r="A47" i="41"/>
  <c r="C53" i="41"/>
  <c r="C54" i="41"/>
  <c r="C55" i="41"/>
  <c r="C56" i="41"/>
  <c r="C57" i="41"/>
  <c r="C58" i="41"/>
  <c r="C52" i="41"/>
  <c r="A52" i="41"/>
  <c r="C60" i="41"/>
  <c r="C61" i="41"/>
  <c r="C59" i="41"/>
  <c r="A59" i="41"/>
  <c r="C64" i="41"/>
  <c r="A64" i="41"/>
  <c r="C73" i="41"/>
  <c r="C74" i="41"/>
  <c r="C72" i="41"/>
  <c r="C70" i="41"/>
  <c r="C71" i="41"/>
  <c r="C69" i="41"/>
  <c r="A69" i="41"/>
  <c r="C76" i="41"/>
  <c r="C77" i="41"/>
  <c r="C75" i="41"/>
  <c r="A75" i="41"/>
  <c r="C81" i="41"/>
  <c r="C82" i="41"/>
  <c r="C83" i="41"/>
  <c r="C84" i="41"/>
  <c r="C85" i="41"/>
  <c r="C80" i="41"/>
  <c r="A80" i="41"/>
  <c r="C89" i="41"/>
  <c r="C90" i="41"/>
  <c r="C88" i="41"/>
  <c r="A88" i="41"/>
  <c r="C94" i="41"/>
  <c r="C95" i="41"/>
  <c r="C96" i="41"/>
  <c r="C93" i="41"/>
  <c r="A93" i="41"/>
  <c r="C100" i="41"/>
  <c r="C101" i="41"/>
  <c r="C102" i="41"/>
  <c r="C97" i="41"/>
  <c r="A97" i="41"/>
  <c r="C105" i="61"/>
  <c r="C111" i="41"/>
  <c r="C112" i="41"/>
  <c r="C110" i="41"/>
  <c r="A110" i="41"/>
  <c r="C105" i="41"/>
  <c r="C9" i="30"/>
  <c r="C11" i="30"/>
  <c r="C15" i="30"/>
  <c r="C17" i="30"/>
  <c r="C22" i="30"/>
  <c r="C23" i="30"/>
  <c r="A23" i="30"/>
  <c r="C27" i="30"/>
  <c r="C28" i="30"/>
  <c r="C26" i="30"/>
  <c r="A26" i="30"/>
  <c r="C39" i="30"/>
  <c r="C40" i="30"/>
  <c r="C41" i="30"/>
  <c r="C42" i="30"/>
  <c r="C43" i="30"/>
  <c r="C44" i="30"/>
  <c r="C45" i="30"/>
  <c r="C46" i="30"/>
  <c r="C38" i="30"/>
  <c r="A38" i="30"/>
  <c r="C48" i="30"/>
  <c r="C49" i="30"/>
  <c r="C47" i="30"/>
  <c r="A47" i="30"/>
  <c r="C60" i="30"/>
  <c r="C61" i="30"/>
  <c r="C59" i="30"/>
  <c r="C53" i="30"/>
  <c r="C54" i="30"/>
  <c r="C55" i="30"/>
  <c r="C56" i="30"/>
  <c r="C57" i="30"/>
  <c r="C58" i="30"/>
  <c r="C52" i="30"/>
  <c r="A52" i="30"/>
  <c r="C64" i="30"/>
  <c r="A64" i="30"/>
  <c r="C73" i="30"/>
  <c r="C74" i="30"/>
  <c r="C72" i="30"/>
  <c r="C70" i="30"/>
  <c r="C71" i="30"/>
  <c r="C69" i="30"/>
  <c r="A69" i="30"/>
  <c r="C76" i="30"/>
  <c r="C77" i="30"/>
  <c r="C75" i="30"/>
  <c r="A75" i="30"/>
  <c r="C81" i="30"/>
  <c r="C82" i="30"/>
  <c r="C83" i="30"/>
  <c r="C84" i="30"/>
  <c r="C85" i="30"/>
  <c r="C80" i="30"/>
  <c r="A80" i="30"/>
  <c r="C89" i="30"/>
  <c r="C90" i="30"/>
  <c r="C88" i="30"/>
  <c r="A88" i="30"/>
  <c r="C94" i="30"/>
  <c r="C95" i="30"/>
  <c r="C96" i="30"/>
  <c r="C93" i="30"/>
  <c r="A93" i="30"/>
  <c r="C100" i="30"/>
  <c r="C101" i="30"/>
  <c r="C102" i="30"/>
  <c r="C97" i="30"/>
  <c r="A97" i="30"/>
  <c r="C105" i="30"/>
  <c r="C105" i="20"/>
  <c r="C111" i="30"/>
  <c r="C112" i="30"/>
  <c r="C110" i="30"/>
  <c r="A110" i="30"/>
  <c r="C9" i="20"/>
  <c r="C11" i="20"/>
  <c r="C15" i="20"/>
  <c r="C17" i="20"/>
  <c r="C22" i="20"/>
  <c r="C23" i="20"/>
  <c r="A23" i="20"/>
  <c r="C27" i="20"/>
  <c r="C28" i="20"/>
  <c r="C26" i="20"/>
  <c r="A26" i="20"/>
  <c r="C39" i="20"/>
  <c r="C40" i="20"/>
  <c r="C41" i="20"/>
  <c r="C42" i="20"/>
  <c r="C43" i="20"/>
  <c r="C44" i="20"/>
  <c r="C45" i="20"/>
  <c r="C46" i="20"/>
  <c r="C38" i="20"/>
  <c r="A38" i="20"/>
  <c r="C48" i="20"/>
  <c r="C49" i="20"/>
  <c r="C47" i="20"/>
  <c r="A47" i="20"/>
  <c r="C53" i="20"/>
  <c r="C54" i="20"/>
  <c r="C55" i="20"/>
  <c r="C56" i="20"/>
  <c r="C57" i="20"/>
  <c r="C58" i="20"/>
  <c r="C52" i="20"/>
  <c r="A52" i="20"/>
  <c r="C60" i="20"/>
  <c r="C61" i="20"/>
  <c r="C59" i="20"/>
  <c r="A59" i="20"/>
  <c r="C64" i="20"/>
  <c r="A64" i="20"/>
  <c r="C73" i="20"/>
  <c r="C74" i="20"/>
  <c r="C72" i="20"/>
  <c r="C70" i="20"/>
  <c r="C71" i="20"/>
  <c r="C69" i="20"/>
  <c r="A69" i="20"/>
  <c r="C76" i="20"/>
  <c r="C77" i="20"/>
  <c r="C75" i="20"/>
  <c r="A75" i="20"/>
  <c r="C81" i="20"/>
  <c r="C82" i="20"/>
  <c r="C83" i="20"/>
  <c r="C84" i="20"/>
  <c r="C85" i="20"/>
  <c r="C80" i="20"/>
  <c r="A80" i="20"/>
  <c r="C89" i="20"/>
  <c r="C90" i="20"/>
  <c r="C88" i="20"/>
  <c r="A88" i="20"/>
  <c r="C94" i="20"/>
  <c r="C95" i="20"/>
  <c r="C96" i="20"/>
  <c r="C93" i="20"/>
  <c r="A93" i="20"/>
  <c r="C100" i="20"/>
  <c r="C101" i="20"/>
  <c r="C102" i="20"/>
  <c r="C97" i="20"/>
  <c r="A97" i="20"/>
  <c r="C111" i="20"/>
  <c r="C112" i="20"/>
  <c r="C110" i="20"/>
  <c r="A110" i="20"/>
  <c r="C111" i="17"/>
  <c r="C112" i="17"/>
  <c r="C110" i="17"/>
  <c r="A110" i="17"/>
  <c r="C100" i="17"/>
  <c r="C101" i="17"/>
  <c r="C102" i="17"/>
  <c r="C97" i="17"/>
  <c r="C94" i="17"/>
  <c r="C95" i="17"/>
  <c r="C96" i="17"/>
  <c r="C93" i="17"/>
  <c r="A93" i="17"/>
  <c r="C89" i="17"/>
  <c r="C90" i="17"/>
  <c r="C88" i="17"/>
  <c r="A88" i="17"/>
  <c r="C81" i="17"/>
  <c r="C82" i="17"/>
  <c r="C83" i="17"/>
  <c r="C84" i="17"/>
  <c r="C85" i="17"/>
  <c r="C80" i="17"/>
  <c r="A80" i="17"/>
  <c r="C76" i="17"/>
  <c r="C77" i="17"/>
  <c r="C75" i="17"/>
  <c r="C73" i="17"/>
  <c r="C74" i="17"/>
  <c r="C72" i="17"/>
  <c r="C70" i="17"/>
  <c r="C71" i="17"/>
  <c r="C69" i="17"/>
  <c r="A69" i="17"/>
  <c r="C64" i="17"/>
  <c r="A64" i="17"/>
  <c r="C60" i="17"/>
  <c r="C61" i="17"/>
  <c r="C59" i="17"/>
  <c r="C53" i="17"/>
  <c r="C54" i="17"/>
  <c r="C55" i="17"/>
  <c r="C56" i="17"/>
  <c r="C57" i="17"/>
  <c r="C58" i="17"/>
  <c r="C52" i="17"/>
  <c r="A52" i="17"/>
  <c r="C48" i="17"/>
  <c r="C49" i="17"/>
  <c r="C47" i="17"/>
  <c r="C39" i="17"/>
  <c r="C40" i="17"/>
  <c r="C41" i="17"/>
  <c r="C42" i="17"/>
  <c r="C43" i="17"/>
  <c r="C44" i="17"/>
  <c r="C45" i="17"/>
  <c r="C46" i="17"/>
  <c r="C38" i="17"/>
  <c r="A38" i="17"/>
  <c r="C27" i="17"/>
  <c r="C28" i="17"/>
  <c r="C26" i="17"/>
  <c r="A26" i="17"/>
  <c r="C9" i="17"/>
  <c r="C11" i="17"/>
  <c r="C15" i="17"/>
  <c r="C17" i="17"/>
  <c r="C22" i="17"/>
  <c r="C23" i="17"/>
  <c r="A23" i="17"/>
  <c r="F116" i="24"/>
  <c r="F117" i="24"/>
  <c r="F118" i="24"/>
  <c r="F115" i="24"/>
  <c r="F116" i="55"/>
  <c r="F117" i="55"/>
  <c r="F118" i="55"/>
  <c r="F115" i="55"/>
  <c r="F166" i="57"/>
  <c r="F167" i="57"/>
  <c r="F168" i="57"/>
  <c r="F165" i="57"/>
  <c r="F166" i="60"/>
  <c r="F167" i="60"/>
  <c r="F168" i="60"/>
  <c r="F165" i="60"/>
  <c r="F166" i="42"/>
  <c r="F167" i="42"/>
  <c r="F168" i="42"/>
  <c r="F165" i="42"/>
  <c r="F166" i="31"/>
  <c r="F167" i="31"/>
  <c r="F168" i="31"/>
  <c r="F165" i="31"/>
  <c r="F166" i="21"/>
  <c r="F167" i="21"/>
  <c r="F168" i="21"/>
  <c r="F165" i="21"/>
  <c r="F168" i="18"/>
  <c r="F167" i="18"/>
  <c r="F166" i="18"/>
  <c r="F165" i="18"/>
  <c r="P111" i="1"/>
  <c r="P110" i="1"/>
  <c r="P109" i="1"/>
  <c r="P108" i="1"/>
  <c r="C14" i="18"/>
  <c r="G14" i="18" s="1"/>
  <c r="C15" i="18"/>
  <c r="G15" i="18" s="1"/>
  <c r="G16" i="18"/>
  <c r="G9" i="18"/>
  <c r="G11" i="18"/>
  <c r="G10" i="18"/>
  <c r="C14" i="21"/>
  <c r="G14" i="21" s="1"/>
  <c r="C15" i="21"/>
  <c r="G15" i="21" s="1"/>
  <c r="G16" i="21"/>
  <c r="G9" i="21"/>
  <c r="G11" i="21"/>
  <c r="C14" i="31"/>
  <c r="G14" i="31" s="1"/>
  <c r="C15" i="31"/>
  <c r="G15" i="31" s="1"/>
  <c r="G16" i="31"/>
  <c r="G9" i="31"/>
  <c r="G11" i="31"/>
  <c r="G19" i="42"/>
  <c r="G14" i="42"/>
  <c r="C15" i="42"/>
  <c r="G15" i="42" s="1"/>
  <c r="G16" i="42"/>
  <c r="G17" i="42"/>
  <c r="G9" i="42"/>
  <c r="G11" i="42"/>
  <c r="G12" i="24"/>
  <c r="G12" i="55"/>
  <c r="G14" i="60"/>
  <c r="C15" i="60"/>
  <c r="G15" i="60" s="1"/>
  <c r="G16" i="60"/>
  <c r="G17" i="60"/>
  <c r="G9" i="60"/>
  <c r="G14" i="57"/>
  <c r="C15" i="57"/>
  <c r="G15" i="57" s="1"/>
  <c r="H15" i="57" s="1"/>
  <c r="G16" i="57"/>
  <c r="G17" i="57"/>
  <c r="G9" i="57"/>
  <c r="G11" i="57"/>
  <c r="C28" i="55"/>
  <c r="C29" i="55"/>
  <c r="C28" i="24"/>
  <c r="C29" i="24"/>
  <c r="F9" i="24"/>
  <c r="G9" i="24" s="1"/>
  <c r="G90" i="24"/>
  <c r="G87" i="24"/>
  <c r="E94" i="24"/>
  <c r="E95" i="24"/>
  <c r="B73" i="24"/>
  <c r="B41" i="24"/>
  <c r="B74" i="24" s="1"/>
  <c r="B70" i="24"/>
  <c r="B38" i="24"/>
  <c r="B71" i="24" s="1"/>
  <c r="B68" i="24"/>
  <c r="B56" i="24"/>
  <c r="B57" i="24"/>
  <c r="B58" i="24"/>
  <c r="B59" i="24"/>
  <c r="B60" i="24"/>
  <c r="B61" i="24"/>
  <c r="C61" i="24"/>
  <c r="B62" i="24"/>
  <c r="C62" i="24"/>
  <c r="B63" i="24"/>
  <c r="C63" i="24"/>
  <c r="B66" i="24"/>
  <c r="C66" i="24"/>
  <c r="B64" i="24"/>
  <c r="B69" i="24"/>
  <c r="E98" i="24"/>
  <c r="E97" i="24"/>
  <c r="G90" i="55"/>
  <c r="B44" i="55"/>
  <c r="B77" i="55" s="1"/>
  <c r="B41" i="55"/>
  <c r="B74" i="55" s="1"/>
  <c r="B38" i="55"/>
  <c r="B71" i="55" s="1"/>
  <c r="B60" i="31"/>
  <c r="B112" i="31" s="1"/>
  <c r="B57" i="31"/>
  <c r="B109" i="31" s="1"/>
  <c r="B43" i="31"/>
  <c r="B95" i="31" s="1"/>
  <c r="B44" i="31"/>
  <c r="B96" i="31" s="1"/>
  <c r="B45" i="31"/>
  <c r="B97" i="31" s="1"/>
  <c r="B46" i="31"/>
  <c r="B98" i="31" s="1"/>
  <c r="B47" i="31"/>
  <c r="B99" i="31" s="1"/>
  <c r="B48" i="31"/>
  <c r="B100" i="31" s="1"/>
  <c r="B49" i="31"/>
  <c r="B101" i="31" s="1"/>
  <c r="B50" i="31"/>
  <c r="B102" i="31" s="1"/>
  <c r="B51" i="31"/>
  <c r="B103" i="31" s="1"/>
  <c r="B52" i="31"/>
  <c r="B104" i="31" s="1"/>
  <c r="C30" i="31"/>
  <c r="C31" i="31"/>
  <c r="C45" i="31"/>
  <c r="C47" i="31"/>
  <c r="C49" i="31"/>
  <c r="C51" i="31"/>
  <c r="C53" i="31"/>
  <c r="B54" i="31"/>
  <c r="B106" i="31" s="1"/>
  <c r="C32" i="31"/>
  <c r="B44" i="18"/>
  <c r="B96" i="18" s="1"/>
  <c r="B45" i="18"/>
  <c r="B97" i="18" s="1"/>
  <c r="B46" i="18"/>
  <c r="B98" i="18" s="1"/>
  <c r="B47" i="18"/>
  <c r="B99" i="18" s="1"/>
  <c r="B48" i="18"/>
  <c r="B100" i="18" s="1"/>
  <c r="B49" i="18"/>
  <c r="B101" i="18" s="1"/>
  <c r="B50" i="18"/>
  <c r="B102" i="18" s="1"/>
  <c r="B51" i="18"/>
  <c r="B103" i="18" s="1"/>
  <c r="B52" i="18"/>
  <c r="B104" i="18" s="1"/>
  <c r="C30" i="18"/>
  <c r="C31" i="18"/>
  <c r="C45" i="18"/>
  <c r="C47" i="18"/>
  <c r="C49" i="18"/>
  <c r="C51" i="18"/>
  <c r="C53" i="18"/>
  <c r="B43" i="18"/>
  <c r="B95" i="18" s="1"/>
  <c r="B54" i="18"/>
  <c r="B106" i="18" s="1"/>
  <c r="B109" i="18"/>
  <c r="G4" i="1"/>
  <c r="G5" i="1"/>
  <c r="G7" i="1"/>
  <c r="G8" i="1"/>
  <c r="G9" i="1"/>
  <c r="G10" i="1"/>
  <c r="I4" i="1"/>
  <c r="I5" i="1"/>
  <c r="I7" i="1"/>
  <c r="I8" i="1"/>
  <c r="I9" i="1"/>
  <c r="O4" i="1"/>
  <c r="O5" i="1"/>
  <c r="O7" i="1"/>
  <c r="O8" i="1"/>
  <c r="B58" i="56"/>
  <c r="D11" i="1"/>
  <c r="AT11" i="1" s="1"/>
  <c r="D21" i="14" s="1"/>
  <c r="G87" i="55"/>
  <c r="E94" i="55"/>
  <c r="E95" i="55"/>
  <c r="B73" i="55"/>
  <c r="B70" i="55"/>
  <c r="B68" i="55"/>
  <c r="B56" i="55"/>
  <c r="B57" i="55"/>
  <c r="B58" i="55"/>
  <c r="B59" i="55"/>
  <c r="C61" i="55"/>
  <c r="C62" i="55"/>
  <c r="C63" i="55"/>
  <c r="C66" i="55"/>
  <c r="E97" i="55"/>
  <c r="E98" i="55"/>
  <c r="E137" i="57"/>
  <c r="E138" i="57"/>
  <c r="B108" i="57"/>
  <c r="B57" i="57"/>
  <c r="B109" i="57" s="1"/>
  <c r="B94" i="57"/>
  <c r="B43" i="57"/>
  <c r="B95" i="57" s="1"/>
  <c r="B92" i="57"/>
  <c r="B85" i="57"/>
  <c r="B86" i="57"/>
  <c r="B79" i="57"/>
  <c r="B80" i="57"/>
  <c r="B81" i="57"/>
  <c r="C82" i="57"/>
  <c r="C83" i="57"/>
  <c r="C90" i="57"/>
  <c r="B44" i="57"/>
  <c r="B96" i="57" s="1"/>
  <c r="C96" i="57"/>
  <c r="B45" i="57"/>
  <c r="B97" i="57" s="1"/>
  <c r="C97" i="57"/>
  <c r="B46" i="57"/>
  <c r="B98" i="57" s="1"/>
  <c r="B47" i="57"/>
  <c r="B99" i="57" s="1"/>
  <c r="C99" i="57"/>
  <c r="B48" i="57"/>
  <c r="B100" i="57" s="1"/>
  <c r="B49" i="57"/>
  <c r="B101" i="57" s="1"/>
  <c r="C101" i="57"/>
  <c r="B50" i="57"/>
  <c r="B102" i="57" s="1"/>
  <c r="B51" i="57"/>
  <c r="B103" i="57" s="1"/>
  <c r="C103" i="57"/>
  <c r="B52" i="57"/>
  <c r="B104" i="57" s="1"/>
  <c r="C105" i="57"/>
  <c r="B54" i="57"/>
  <c r="B106" i="57" s="1"/>
  <c r="C84" i="57"/>
  <c r="B57" i="42"/>
  <c r="B109" i="42" s="1"/>
  <c r="B94" i="42"/>
  <c r="B43" i="42"/>
  <c r="B95" i="42" s="1"/>
  <c r="B92" i="42"/>
  <c r="B85" i="42"/>
  <c r="B86" i="42"/>
  <c r="B79" i="42"/>
  <c r="B80" i="42"/>
  <c r="B81" i="42"/>
  <c r="C82" i="42"/>
  <c r="C83" i="42"/>
  <c r="B87" i="42"/>
  <c r="B89" i="42"/>
  <c r="C90" i="42"/>
  <c r="B44" i="42"/>
  <c r="B96" i="42" s="1"/>
  <c r="C96" i="42"/>
  <c r="B45" i="42"/>
  <c r="B97" i="42" s="1"/>
  <c r="C97" i="42"/>
  <c r="B46" i="42"/>
  <c r="B98" i="42" s="1"/>
  <c r="B47" i="42"/>
  <c r="B99" i="42" s="1"/>
  <c r="C99" i="42"/>
  <c r="B48" i="42"/>
  <c r="B100" i="42" s="1"/>
  <c r="B49" i="42"/>
  <c r="B101" i="42" s="1"/>
  <c r="C101" i="42"/>
  <c r="B50" i="42"/>
  <c r="B102" i="42" s="1"/>
  <c r="B51" i="42"/>
  <c r="B103" i="42" s="1"/>
  <c r="C103" i="42"/>
  <c r="B52" i="42"/>
  <c r="B104" i="42" s="1"/>
  <c r="C105" i="42"/>
  <c r="B54" i="42"/>
  <c r="B106" i="42" s="1"/>
  <c r="C84" i="42"/>
  <c r="B108" i="31"/>
  <c r="B94" i="31"/>
  <c r="B92" i="31"/>
  <c r="B85" i="31"/>
  <c r="B86" i="31"/>
  <c r="B79" i="31"/>
  <c r="B80" i="31"/>
  <c r="B81" i="31"/>
  <c r="C82" i="31"/>
  <c r="C83" i="31"/>
  <c r="C90" i="31"/>
  <c r="C96" i="31"/>
  <c r="C97" i="31"/>
  <c r="C99" i="31"/>
  <c r="C101" i="31"/>
  <c r="C103" i="31"/>
  <c r="C105" i="31"/>
  <c r="C84" i="31"/>
  <c r="B108" i="21"/>
  <c r="B57" i="21"/>
  <c r="B109" i="21" s="1"/>
  <c r="B94" i="21"/>
  <c r="B43" i="21"/>
  <c r="B95" i="21" s="1"/>
  <c r="B92" i="21"/>
  <c r="B85" i="21"/>
  <c r="B86" i="21"/>
  <c r="B79" i="21"/>
  <c r="B80" i="21"/>
  <c r="B81" i="21"/>
  <c r="C82" i="21"/>
  <c r="C83" i="21"/>
  <c r="C90" i="21"/>
  <c r="B44" i="21"/>
  <c r="B96" i="21" s="1"/>
  <c r="C96" i="21"/>
  <c r="B45" i="21"/>
  <c r="B97" i="21" s="1"/>
  <c r="C97" i="21"/>
  <c r="B46" i="21"/>
  <c r="B98" i="21" s="1"/>
  <c r="B47" i="21"/>
  <c r="B99" i="21" s="1"/>
  <c r="C99" i="21"/>
  <c r="B48" i="21"/>
  <c r="B100" i="21" s="1"/>
  <c r="B49" i="21"/>
  <c r="B101" i="21" s="1"/>
  <c r="C101" i="21"/>
  <c r="B50" i="21"/>
  <c r="B102" i="21" s="1"/>
  <c r="B51" i="21"/>
  <c r="B103" i="21" s="1"/>
  <c r="C103" i="21"/>
  <c r="B52" i="21"/>
  <c r="B104" i="21" s="1"/>
  <c r="C105" i="21"/>
  <c r="B54" i="21"/>
  <c r="B106" i="21" s="1"/>
  <c r="C84" i="21"/>
  <c r="C82" i="18"/>
  <c r="C83" i="18"/>
  <c r="C90" i="18"/>
  <c r="C96" i="18"/>
  <c r="C97" i="18"/>
  <c r="C99" i="18"/>
  <c r="C101" i="18"/>
  <c r="C103" i="18"/>
  <c r="C105" i="18"/>
  <c r="B108" i="60"/>
  <c r="B57" i="60"/>
  <c r="B109" i="60" s="1"/>
  <c r="B94" i="60"/>
  <c r="B43" i="60"/>
  <c r="B95" i="60" s="1"/>
  <c r="B92" i="60"/>
  <c r="B85" i="60"/>
  <c r="B86" i="60"/>
  <c r="B79" i="60"/>
  <c r="B80" i="60"/>
  <c r="B81" i="60"/>
  <c r="C82" i="60"/>
  <c r="C83" i="60"/>
  <c r="B87" i="60"/>
  <c r="C90" i="60"/>
  <c r="B44" i="60"/>
  <c r="B96" i="60" s="1"/>
  <c r="C96" i="60"/>
  <c r="B45" i="60"/>
  <c r="B97" i="60" s="1"/>
  <c r="C97" i="60"/>
  <c r="B46" i="60"/>
  <c r="B98" i="60" s="1"/>
  <c r="B47" i="60"/>
  <c r="B99" i="60" s="1"/>
  <c r="C99" i="60"/>
  <c r="B48" i="60"/>
  <c r="B100" i="60" s="1"/>
  <c r="B49" i="60"/>
  <c r="B101" i="60" s="1"/>
  <c r="C101" i="60"/>
  <c r="B50" i="60"/>
  <c r="B102" i="60" s="1"/>
  <c r="B51" i="60"/>
  <c r="B103" i="60" s="1"/>
  <c r="C103" i="60"/>
  <c r="B52" i="60"/>
  <c r="B104" i="60" s="1"/>
  <c r="C105" i="60"/>
  <c r="B54" i="60"/>
  <c r="B106" i="60" s="1"/>
  <c r="C84" i="60"/>
  <c r="E140" i="57"/>
  <c r="E141" i="57"/>
  <c r="E141" i="60"/>
  <c r="E140" i="60"/>
  <c r="E138" i="60"/>
  <c r="E137" i="60"/>
  <c r="E137" i="42"/>
  <c r="E138" i="42"/>
  <c r="E141" i="42"/>
  <c r="E140" i="42"/>
  <c r="E137" i="21"/>
  <c r="E138" i="21"/>
  <c r="E137" i="18"/>
  <c r="E138" i="18"/>
  <c r="E137" i="31"/>
  <c r="E138" i="31"/>
  <c r="E140" i="31"/>
  <c r="E141" i="31"/>
  <c r="E140" i="18"/>
  <c r="E141" i="18"/>
  <c r="E140" i="21"/>
  <c r="E141" i="21"/>
  <c r="G171" i="18"/>
  <c r="B150" i="18"/>
  <c r="B151" i="18" s="1"/>
  <c r="F151" i="18"/>
  <c r="B152" i="18"/>
  <c r="B153" i="18" s="1"/>
  <c r="F153" i="18"/>
  <c r="B154" i="18"/>
  <c r="B155" i="18" s="1"/>
  <c r="F155" i="18"/>
  <c r="F142" i="18"/>
  <c r="C23" i="39"/>
  <c r="E23" i="39" s="1"/>
  <c r="C24" i="39"/>
  <c r="E24" i="39" s="1"/>
  <c r="C25" i="39"/>
  <c r="E25" i="39" s="1"/>
  <c r="C26" i="39"/>
  <c r="E26" i="39" s="1"/>
  <c r="C33" i="39"/>
  <c r="E33" i="39" s="1"/>
  <c r="C35" i="39"/>
  <c r="E35" i="39" s="1"/>
  <c r="C37" i="39"/>
  <c r="E37" i="39" s="1"/>
  <c r="C21" i="45"/>
  <c r="E21" i="45" s="1"/>
  <c r="C22" i="45"/>
  <c r="E22" i="45" s="1"/>
  <c r="C23" i="45"/>
  <c r="E23" i="45" s="1"/>
  <c r="C24" i="45"/>
  <c r="E24" i="45" s="1"/>
  <c r="C29" i="45"/>
  <c r="E29" i="45" s="1"/>
  <c r="C20" i="27"/>
  <c r="E20" i="27" s="1"/>
  <c r="C21" i="27"/>
  <c r="E21" i="27" s="1"/>
  <c r="C22" i="27"/>
  <c r="E22" i="27" s="1"/>
  <c r="B44" i="24"/>
  <c r="B77" i="24" s="1"/>
  <c r="B60" i="57"/>
  <c r="B112" i="57" s="1"/>
  <c r="C30" i="57"/>
  <c r="C31" i="57"/>
  <c r="C32" i="57"/>
  <c r="C45" i="57"/>
  <c r="C47" i="57"/>
  <c r="C49" i="57"/>
  <c r="C51" i="57"/>
  <c r="C53" i="57"/>
  <c r="B60" i="60"/>
  <c r="B112" i="60" s="1"/>
  <c r="C30" i="60"/>
  <c r="C31" i="60"/>
  <c r="C32" i="60"/>
  <c r="C45" i="60"/>
  <c r="C47" i="60"/>
  <c r="C49" i="60"/>
  <c r="C51" i="60"/>
  <c r="C53" i="60"/>
  <c r="B60" i="42"/>
  <c r="B112" i="42" s="1"/>
  <c r="C30" i="42"/>
  <c r="C31" i="42"/>
  <c r="C32" i="42"/>
  <c r="C45" i="42"/>
  <c r="C47" i="42"/>
  <c r="C49" i="42"/>
  <c r="C51" i="42"/>
  <c r="C53" i="42"/>
  <c r="B60" i="21"/>
  <c r="B112" i="21" s="1"/>
  <c r="C30" i="21"/>
  <c r="C31" i="21"/>
  <c r="C32" i="21"/>
  <c r="C45" i="21"/>
  <c r="C47" i="21"/>
  <c r="C49" i="21"/>
  <c r="C51" i="21"/>
  <c r="C53" i="21"/>
  <c r="C20" i="15"/>
  <c r="E20" i="15" s="1"/>
  <c r="C21" i="15"/>
  <c r="E21" i="15" s="1"/>
  <c r="C25" i="15"/>
  <c r="E25" i="15" s="1"/>
  <c r="C28" i="15"/>
  <c r="E28" i="15" s="1"/>
  <c r="C22" i="34"/>
  <c r="E22" i="34" s="1"/>
  <c r="C24" i="34"/>
  <c r="E24" i="34" s="1"/>
  <c r="C28" i="34"/>
  <c r="E28" i="34" s="1"/>
  <c r="C29" i="34"/>
  <c r="E29" i="34" s="1"/>
  <c r="C31" i="34"/>
  <c r="E31" i="34" s="1"/>
  <c r="C34" i="34"/>
  <c r="E34" i="34" s="1"/>
  <c r="C38" i="34"/>
  <c r="E38" i="34" s="1"/>
  <c r="C40" i="34"/>
  <c r="E40" i="34" s="1"/>
  <c r="C42" i="34"/>
  <c r="E42" i="34" s="1"/>
  <c r="C44" i="34"/>
  <c r="E44" i="34" s="1"/>
  <c r="C46" i="34"/>
  <c r="E46" i="34" s="1"/>
  <c r="C48" i="34"/>
  <c r="E48" i="34" s="1"/>
  <c r="C22" i="12"/>
  <c r="E22" i="12" s="1"/>
  <c r="C24" i="12"/>
  <c r="E24" i="12" s="1"/>
  <c r="C31" i="12"/>
  <c r="E31" i="12" s="1"/>
  <c r="C33" i="12"/>
  <c r="E33" i="12" s="1"/>
  <c r="C34" i="12"/>
  <c r="E34" i="12" s="1"/>
  <c r="C38" i="12"/>
  <c r="E38" i="12" s="1"/>
  <c r="C42" i="12"/>
  <c r="E42" i="12" s="1"/>
  <c r="C44" i="12"/>
  <c r="E44" i="12" s="1"/>
  <c r="C46" i="12"/>
  <c r="E46" i="12" s="1"/>
  <c r="C48" i="12"/>
  <c r="E48" i="12" s="1"/>
  <c r="C50" i="12"/>
  <c r="E50" i="12" s="1"/>
  <c r="C52" i="12"/>
  <c r="E52" i="12" s="1"/>
  <c r="C20" i="48"/>
  <c r="E20" i="48" s="1"/>
  <c r="C22" i="48"/>
  <c r="E22" i="48" s="1"/>
  <c r="C28" i="48"/>
  <c r="E28" i="48" s="1"/>
  <c r="C34" i="48"/>
  <c r="E34" i="48" s="1"/>
  <c r="C38" i="48"/>
  <c r="E38" i="48" s="1"/>
  <c r="C40" i="48"/>
  <c r="E40" i="48" s="1"/>
  <c r="C42" i="48"/>
  <c r="E42" i="48" s="1"/>
  <c r="C44" i="48"/>
  <c r="E44" i="48" s="1"/>
  <c r="C46" i="48"/>
  <c r="E46" i="48" s="1"/>
  <c r="C48" i="48"/>
  <c r="E48" i="48" s="1"/>
  <c r="C22" i="51"/>
  <c r="E22" i="51" s="1"/>
  <c r="C24" i="51"/>
  <c r="E24" i="51" s="1"/>
  <c r="C31" i="51"/>
  <c r="E31" i="51" s="1"/>
  <c r="C33" i="51"/>
  <c r="E33" i="51" s="1"/>
  <c r="C35" i="51"/>
  <c r="E35" i="51" s="1"/>
  <c r="C37" i="51"/>
  <c r="E37" i="51" s="1"/>
  <c r="C39" i="51"/>
  <c r="E39" i="51" s="1"/>
  <c r="C41" i="51"/>
  <c r="E41" i="51" s="1"/>
  <c r="C43" i="51"/>
  <c r="E43" i="51" s="1"/>
  <c r="C44" i="51"/>
  <c r="E44" i="51" s="1"/>
  <c r="C48" i="51"/>
  <c r="E48" i="51" s="1"/>
  <c r="C50" i="51"/>
  <c r="E50" i="51" s="1"/>
  <c r="C52" i="51"/>
  <c r="E52" i="51" s="1"/>
  <c r="C54" i="51"/>
  <c r="E54" i="51" s="1"/>
  <c r="C56" i="51"/>
  <c r="E56" i="51" s="1"/>
  <c r="C58" i="51"/>
  <c r="E58" i="51" s="1"/>
  <c r="C22" i="9"/>
  <c r="E22" i="9" s="1"/>
  <c r="C23" i="9"/>
  <c r="E23" i="9" s="1"/>
  <c r="C24" i="9"/>
  <c r="E24" i="9" s="1"/>
  <c r="C25" i="9"/>
  <c r="E25" i="9" s="1"/>
  <c r="C28" i="9"/>
  <c r="E28" i="9" s="1"/>
  <c r="C31" i="9"/>
  <c r="E31" i="9" s="1"/>
  <c r="C19" i="6"/>
  <c r="E19" i="6" s="1"/>
  <c r="C21" i="6"/>
  <c r="E21" i="6" s="1"/>
  <c r="C27" i="6"/>
  <c r="E27" i="6" s="1"/>
  <c r="C33" i="6"/>
  <c r="E33" i="6" s="1"/>
  <c r="R516" i="1"/>
  <c r="C77" i="3" s="1"/>
  <c r="E77" i="3" s="1"/>
  <c r="L517" i="1"/>
  <c r="N517" i="1"/>
  <c r="N518" i="1" s="1"/>
  <c r="P517" i="1"/>
  <c r="P518" i="1" s="1"/>
  <c r="B517" i="1"/>
  <c r="B518" i="1" s="1"/>
  <c r="D517" i="1"/>
  <c r="D516" i="1" s="1"/>
  <c r="F517" i="1"/>
  <c r="F518" i="1" s="1"/>
  <c r="B53" i="3"/>
  <c r="C41" i="3"/>
  <c r="E41" i="3" s="1"/>
  <c r="C42" i="3"/>
  <c r="E42" i="3" s="1"/>
  <c r="C43" i="3"/>
  <c r="E43" i="3" s="1"/>
  <c r="C47" i="3"/>
  <c r="E47" i="3" s="1"/>
  <c r="C50" i="3"/>
  <c r="E50" i="3" s="1"/>
  <c r="C55" i="3"/>
  <c r="E55" i="3" s="1"/>
  <c r="C57" i="3"/>
  <c r="E57" i="3" s="1"/>
  <c r="C58" i="3"/>
  <c r="E58" i="3" s="1"/>
  <c r="D4" i="1"/>
  <c r="G16" i="24"/>
  <c r="G17" i="24"/>
  <c r="G18" i="24"/>
  <c r="G16" i="55"/>
  <c r="G17" i="55"/>
  <c r="G18" i="55"/>
  <c r="G21" i="57"/>
  <c r="G22" i="57"/>
  <c r="G23" i="57"/>
  <c r="G21" i="42"/>
  <c r="G21" i="60"/>
  <c r="G22" i="60"/>
  <c r="G23" i="60"/>
  <c r="G23" i="42"/>
  <c r="G22" i="42"/>
  <c r="G21" i="31"/>
  <c r="G22" i="31"/>
  <c r="G23" i="31"/>
  <c r="G23" i="21"/>
  <c r="G22" i="21"/>
  <c r="G21" i="21"/>
  <c r="G15" i="48"/>
  <c r="H15" i="48" s="1"/>
  <c r="B20" i="46" s="1"/>
  <c r="G14" i="48"/>
  <c r="H14" i="48" s="1"/>
  <c r="C14" i="48"/>
  <c r="E14" i="48"/>
  <c r="C15" i="48"/>
  <c r="E15" i="48"/>
  <c r="G23" i="18"/>
  <c r="G22" i="18"/>
  <c r="G21" i="18"/>
  <c r="C5" i="43"/>
  <c r="F10" i="43" s="1"/>
  <c r="C5" i="16"/>
  <c r="H36" i="29" s="1"/>
  <c r="B148" i="1"/>
  <c r="I8" i="49" s="1"/>
  <c r="C5" i="46"/>
  <c r="F10" i="46" s="1"/>
  <c r="E148" i="1"/>
  <c r="C5" i="49" s="1"/>
  <c r="H9" i="29" s="1"/>
  <c r="C5" i="4"/>
  <c r="F10" i="4" s="1"/>
  <c r="D5" i="1"/>
  <c r="P5" i="1" s="1"/>
  <c r="D16" i="5" s="1"/>
  <c r="C3" i="10"/>
  <c r="D6" i="1"/>
  <c r="V6" i="1" s="1"/>
  <c r="D7" i="1"/>
  <c r="AV7" i="1" s="1"/>
  <c r="D23" i="11" s="1"/>
  <c r="D8" i="1"/>
  <c r="C8" i="1" s="1"/>
  <c r="D9" i="1"/>
  <c r="V9" i="1" s="1"/>
  <c r="D10" i="1"/>
  <c r="H87" i="34" s="1"/>
  <c r="D22" i="1"/>
  <c r="R22" i="1" s="1"/>
  <c r="D23" i="1"/>
  <c r="C23" i="1" s="1"/>
  <c r="D24" i="1"/>
  <c r="D21" i="38" s="1"/>
  <c r="G8" i="48"/>
  <c r="H8" i="48" s="1"/>
  <c r="B15" i="46" s="1"/>
  <c r="D15" i="46" s="1"/>
  <c r="D34" i="46" s="1"/>
  <c r="G11" i="3"/>
  <c r="H11" i="3" s="1"/>
  <c r="F12" i="3"/>
  <c r="G12" i="3" s="1"/>
  <c r="H12" i="3" s="1"/>
  <c r="G8" i="6"/>
  <c r="H8" i="6" s="1"/>
  <c r="B15" i="7" s="1"/>
  <c r="D15" i="7" s="1"/>
  <c r="D34" i="7" s="1"/>
  <c r="F9" i="9"/>
  <c r="G9" i="9" s="1"/>
  <c r="H9" i="9" s="1"/>
  <c r="B15" i="10" s="1"/>
  <c r="D15" i="10" s="1"/>
  <c r="D34" i="10" s="1"/>
  <c r="G8" i="12"/>
  <c r="H8" i="12" s="1"/>
  <c r="G9" i="12"/>
  <c r="H9" i="12" s="1"/>
  <c r="G8" i="51"/>
  <c r="H8" i="51" s="1"/>
  <c r="G9" i="51"/>
  <c r="H9" i="51" s="1"/>
  <c r="G8" i="34"/>
  <c r="H8" i="34" s="1"/>
  <c r="G9" i="34"/>
  <c r="H9" i="34" s="1"/>
  <c r="F8" i="15"/>
  <c r="G8" i="15" s="1"/>
  <c r="H8" i="15" s="1"/>
  <c r="B15" i="16" s="1"/>
  <c r="D15" i="16" s="1"/>
  <c r="D34" i="16" s="1"/>
  <c r="G9" i="27"/>
  <c r="H9" i="27" s="1"/>
  <c r="B15" i="28" s="1"/>
  <c r="D15" i="28" s="1"/>
  <c r="D34" i="28" s="1"/>
  <c r="F9" i="45"/>
  <c r="G9" i="45" s="1"/>
  <c r="H9" i="45" s="1"/>
  <c r="B15" i="43" s="1"/>
  <c r="D15" i="43" s="1"/>
  <c r="D34" i="43" s="1"/>
  <c r="F9" i="39"/>
  <c r="G9" i="39" s="1"/>
  <c r="H9" i="39" s="1"/>
  <c r="B15" i="37" s="1"/>
  <c r="G10" i="48"/>
  <c r="H10" i="48" s="1"/>
  <c r="G11" i="48"/>
  <c r="H11" i="48" s="1"/>
  <c r="C14" i="3"/>
  <c r="G15" i="3"/>
  <c r="H15" i="3" s="1"/>
  <c r="G10" i="6"/>
  <c r="H10" i="6" s="1"/>
  <c r="B16" i="7" s="1"/>
  <c r="D16" i="7" s="1"/>
  <c r="C11" i="9"/>
  <c r="G11" i="9" s="1"/>
  <c r="H11" i="9" s="1"/>
  <c r="C12" i="9"/>
  <c r="G12" i="9" s="1"/>
  <c r="H12" i="9" s="1"/>
  <c r="G11" i="12"/>
  <c r="H11" i="12" s="1"/>
  <c r="G12" i="12"/>
  <c r="H12" i="12" s="1"/>
  <c r="G11" i="51"/>
  <c r="H11" i="51" s="1"/>
  <c r="G12" i="51"/>
  <c r="H12" i="51" s="1"/>
  <c r="G11" i="34"/>
  <c r="H11" i="34" s="1"/>
  <c r="G12" i="34"/>
  <c r="H12" i="34" s="1"/>
  <c r="G10" i="15"/>
  <c r="H10" i="15" s="1"/>
  <c r="G11" i="15"/>
  <c r="H11" i="15" s="1"/>
  <c r="G11" i="27"/>
  <c r="H11" i="27" s="1"/>
  <c r="B16" i="28" s="1"/>
  <c r="G11" i="45"/>
  <c r="H11" i="45" s="1"/>
  <c r="G12" i="45"/>
  <c r="H12" i="45" s="1"/>
  <c r="G11" i="39"/>
  <c r="H11" i="39" s="1"/>
  <c r="B16" i="37" s="1"/>
  <c r="D16" i="37" s="1"/>
  <c r="F20" i="3"/>
  <c r="G20" i="3" s="1"/>
  <c r="H20" i="3" s="1"/>
  <c r="F21" i="3"/>
  <c r="G21" i="3" s="1"/>
  <c r="H21" i="3" s="1"/>
  <c r="F13" i="6"/>
  <c r="G13" i="6" s="1"/>
  <c r="H13" i="6" s="1"/>
  <c r="F14" i="6"/>
  <c r="G14" i="6" s="1"/>
  <c r="H14" i="6" s="1"/>
  <c r="F15" i="9"/>
  <c r="G15" i="9" s="1"/>
  <c r="H15" i="9" s="1"/>
  <c r="F16" i="9"/>
  <c r="G16" i="9" s="1"/>
  <c r="H16" i="9" s="1"/>
  <c r="F15" i="12"/>
  <c r="G15" i="12" s="1"/>
  <c r="H15" i="12" s="1"/>
  <c r="F16" i="12"/>
  <c r="G16" i="12" s="1"/>
  <c r="H16" i="12" s="1"/>
  <c r="F17" i="12"/>
  <c r="G17" i="12" s="1"/>
  <c r="H17" i="12" s="1"/>
  <c r="F15" i="51"/>
  <c r="G15" i="51" s="1"/>
  <c r="H15" i="51" s="1"/>
  <c r="F16" i="51"/>
  <c r="G16" i="51" s="1"/>
  <c r="H16" i="51" s="1"/>
  <c r="F17" i="51"/>
  <c r="G17" i="51" s="1"/>
  <c r="H17" i="51" s="1"/>
  <c r="F15" i="34"/>
  <c r="G15" i="34" s="1"/>
  <c r="H15" i="34" s="1"/>
  <c r="F16" i="34"/>
  <c r="G16" i="34" s="1"/>
  <c r="H16" i="34" s="1"/>
  <c r="F17" i="34"/>
  <c r="G17" i="34" s="1"/>
  <c r="H17" i="34" s="1"/>
  <c r="F14" i="15"/>
  <c r="G14" i="15" s="1"/>
  <c r="H14" i="15" s="1"/>
  <c r="F15" i="15"/>
  <c r="G15" i="15" s="1"/>
  <c r="H15" i="15" s="1"/>
  <c r="F14" i="27"/>
  <c r="G14" i="27" s="1"/>
  <c r="H14" i="27" s="1"/>
  <c r="B19" i="28" s="1"/>
  <c r="F16" i="45"/>
  <c r="G16" i="45" s="1"/>
  <c r="H16" i="45" s="1"/>
  <c r="B19" i="43" s="1"/>
  <c r="D19" i="43" s="1"/>
  <c r="F15" i="39"/>
  <c r="G15" i="39" s="1"/>
  <c r="H15" i="39" s="1"/>
  <c r="B19" i="37" s="1"/>
  <c r="D19" i="37" s="1"/>
  <c r="H29" i="1"/>
  <c r="H30" i="1"/>
  <c r="H31" i="1"/>
  <c r="H32" i="1"/>
  <c r="H34" i="1"/>
  <c r="H35" i="1"/>
  <c r="C30" i="39"/>
  <c r="G30" i="39" s="1"/>
  <c r="H30" i="39" s="1"/>
  <c r="F32" i="39"/>
  <c r="B79" i="18"/>
  <c r="B80" i="18"/>
  <c r="B81" i="18"/>
  <c r="B85" i="18"/>
  <c r="B86" i="18"/>
  <c r="B92" i="18"/>
  <c r="B94" i="18"/>
  <c r="B108" i="18"/>
  <c r="B111" i="18"/>
  <c r="C54" i="48"/>
  <c r="E54" i="48" s="1"/>
  <c r="C55" i="48"/>
  <c r="E55" i="48" s="1"/>
  <c r="C56" i="48"/>
  <c r="E56" i="48" s="1"/>
  <c r="C58" i="48"/>
  <c r="E58" i="48" s="1"/>
  <c r="C59" i="48"/>
  <c r="E59" i="48" s="1"/>
  <c r="C60" i="48"/>
  <c r="E60" i="48" s="1"/>
  <c r="C61" i="48"/>
  <c r="E61" i="48" s="1"/>
  <c r="C62" i="48"/>
  <c r="E62" i="48" s="1"/>
  <c r="C64" i="48"/>
  <c r="E64" i="48" s="1"/>
  <c r="C67" i="48"/>
  <c r="E67" i="48" s="1"/>
  <c r="C68" i="48"/>
  <c r="E68" i="48" s="1"/>
  <c r="C70" i="48"/>
  <c r="E70" i="48" s="1"/>
  <c r="C72" i="48"/>
  <c r="E72" i="48" s="1"/>
  <c r="C73" i="48"/>
  <c r="E73" i="48" s="1"/>
  <c r="C74" i="48"/>
  <c r="E74" i="48" s="1"/>
  <c r="C76" i="48"/>
  <c r="E76" i="48" s="1"/>
  <c r="C78" i="48"/>
  <c r="E78" i="48" s="1"/>
  <c r="C80" i="48"/>
  <c r="E80" i="48" s="1"/>
  <c r="C82" i="48"/>
  <c r="E82" i="48" s="1"/>
  <c r="C84" i="48"/>
  <c r="E84" i="48" s="1"/>
  <c r="C37" i="45"/>
  <c r="E37" i="45" s="1"/>
  <c r="C38" i="45"/>
  <c r="E38" i="45" s="1"/>
  <c r="C39" i="45"/>
  <c r="E39" i="45" s="1"/>
  <c r="C40" i="45"/>
  <c r="E40" i="45" s="1"/>
  <c r="C41" i="45"/>
  <c r="E41" i="45" s="1"/>
  <c r="C42" i="45"/>
  <c r="E42" i="45" s="1"/>
  <c r="C45" i="45"/>
  <c r="E45" i="45" s="1"/>
  <c r="B64" i="3"/>
  <c r="C64" i="3"/>
  <c r="E64" i="3" s="1"/>
  <c r="B65" i="3"/>
  <c r="C65" i="3"/>
  <c r="E65" i="3" s="1"/>
  <c r="B66" i="3"/>
  <c r="C66" i="3"/>
  <c r="E66" i="3" s="1"/>
  <c r="B67" i="3"/>
  <c r="C67" i="3"/>
  <c r="E67" i="3" s="1"/>
  <c r="B68" i="3"/>
  <c r="C68" i="3"/>
  <c r="E68" i="3" s="1"/>
  <c r="B69" i="3"/>
  <c r="C69" i="3"/>
  <c r="E69" i="3" s="1"/>
  <c r="B70" i="3"/>
  <c r="C70" i="3"/>
  <c r="E70" i="3" s="1"/>
  <c r="B71" i="3"/>
  <c r="B72" i="3"/>
  <c r="C72" i="3"/>
  <c r="E72" i="3" s="1"/>
  <c r="B73" i="3"/>
  <c r="B74" i="3"/>
  <c r="C74" i="3"/>
  <c r="E74" i="3" s="1"/>
  <c r="B75" i="3"/>
  <c r="C75" i="3"/>
  <c r="E75" i="3" s="1"/>
  <c r="B76" i="3"/>
  <c r="C76" i="3"/>
  <c r="E76" i="3" s="1"/>
  <c r="B79" i="3"/>
  <c r="C80" i="3"/>
  <c r="E80" i="3" s="1"/>
  <c r="C83" i="3"/>
  <c r="E83" i="3" s="1"/>
  <c r="C39" i="6"/>
  <c r="E39" i="6" s="1"/>
  <c r="C40" i="6"/>
  <c r="E40" i="6" s="1"/>
  <c r="C41" i="6"/>
  <c r="E41" i="6" s="1"/>
  <c r="C43" i="6"/>
  <c r="E43" i="6" s="1"/>
  <c r="C44" i="6"/>
  <c r="E44" i="6" s="1"/>
  <c r="C45" i="6"/>
  <c r="E45" i="6" s="1"/>
  <c r="C46" i="6"/>
  <c r="E46" i="6" s="1"/>
  <c r="C47" i="6"/>
  <c r="E47" i="6" s="1"/>
  <c r="C49" i="6"/>
  <c r="E49" i="6" s="1"/>
  <c r="C52" i="6"/>
  <c r="E52" i="6" s="1"/>
  <c r="C53" i="6"/>
  <c r="E53" i="6" s="1"/>
  <c r="C55" i="6"/>
  <c r="E55" i="6" s="1"/>
  <c r="C40" i="9"/>
  <c r="E40" i="9" s="1"/>
  <c r="C41" i="9"/>
  <c r="E41" i="9" s="1"/>
  <c r="C42" i="9"/>
  <c r="E42" i="9" s="1"/>
  <c r="C43" i="9"/>
  <c r="E43" i="9" s="1"/>
  <c r="C44" i="9"/>
  <c r="E44" i="9" s="1"/>
  <c r="C45" i="9"/>
  <c r="E45" i="9" s="1"/>
  <c r="C46" i="9"/>
  <c r="E46" i="9" s="1"/>
  <c r="C47" i="9"/>
  <c r="E47" i="9" s="1"/>
  <c r="C49" i="9"/>
  <c r="E49" i="9" s="1"/>
  <c r="C58" i="12"/>
  <c r="E58" i="12" s="1"/>
  <c r="C59" i="12"/>
  <c r="E59" i="12" s="1"/>
  <c r="C60" i="12"/>
  <c r="E60" i="12" s="1"/>
  <c r="C62" i="12"/>
  <c r="E62" i="12" s="1"/>
  <c r="C63" i="12"/>
  <c r="E63" i="12" s="1"/>
  <c r="C64" i="12"/>
  <c r="E64" i="12" s="1"/>
  <c r="C65" i="12"/>
  <c r="E65" i="12" s="1"/>
  <c r="C66" i="12"/>
  <c r="E66" i="12" s="1"/>
  <c r="C67" i="12"/>
  <c r="E67" i="12" s="1"/>
  <c r="C69" i="12"/>
  <c r="E69" i="12" s="1"/>
  <c r="C71" i="12"/>
  <c r="E71" i="12" s="1"/>
  <c r="C72" i="12"/>
  <c r="E72" i="12" s="1"/>
  <c r="C73" i="12"/>
  <c r="E73" i="12" s="1"/>
  <c r="C74" i="12"/>
  <c r="E74" i="12" s="1"/>
  <c r="C76" i="12"/>
  <c r="E76" i="12" s="1"/>
  <c r="C78" i="12"/>
  <c r="E78" i="12" s="1"/>
  <c r="C79" i="12"/>
  <c r="E79" i="12" s="1"/>
  <c r="C80" i="12"/>
  <c r="E80" i="12" s="1"/>
  <c r="C82" i="12"/>
  <c r="E82" i="12" s="1"/>
  <c r="C84" i="12"/>
  <c r="E84" i="12" s="1"/>
  <c r="C86" i="12"/>
  <c r="E86" i="12" s="1"/>
  <c r="C88" i="12"/>
  <c r="E88" i="12" s="1"/>
  <c r="C90" i="12"/>
  <c r="E90" i="12" s="1"/>
  <c r="C66" i="51"/>
  <c r="E66" i="51" s="1"/>
  <c r="C68" i="51"/>
  <c r="E68" i="51" s="1"/>
  <c r="C69" i="51"/>
  <c r="E69" i="51" s="1"/>
  <c r="C70" i="51"/>
  <c r="E70" i="51" s="1"/>
  <c r="C71" i="51"/>
  <c r="E71" i="51" s="1"/>
  <c r="C72" i="51"/>
  <c r="E72" i="51" s="1"/>
  <c r="C73" i="51"/>
  <c r="E73" i="51" s="1"/>
  <c r="C74" i="51"/>
  <c r="E74" i="51" s="1"/>
  <c r="C75" i="51"/>
  <c r="E75" i="51" s="1"/>
  <c r="C77" i="51"/>
  <c r="E77" i="51" s="1"/>
  <c r="C79" i="51"/>
  <c r="E79" i="51" s="1"/>
  <c r="C81" i="51"/>
  <c r="E81" i="51" s="1"/>
  <c r="C83" i="51"/>
  <c r="E83" i="51" s="1"/>
  <c r="C85" i="51"/>
  <c r="E85" i="51" s="1"/>
  <c r="C87" i="51"/>
  <c r="E87" i="51" s="1"/>
  <c r="C88" i="51"/>
  <c r="E88" i="51" s="1"/>
  <c r="C89" i="51"/>
  <c r="E89" i="51" s="1"/>
  <c r="C90" i="51"/>
  <c r="E90" i="51" s="1"/>
  <c r="C91" i="51"/>
  <c r="E91" i="51" s="1"/>
  <c r="C92" i="51"/>
  <c r="E92" i="51" s="1"/>
  <c r="C94" i="51"/>
  <c r="E94" i="51" s="1"/>
  <c r="C96" i="51"/>
  <c r="E96" i="51" s="1"/>
  <c r="C98" i="51"/>
  <c r="E98" i="51" s="1"/>
  <c r="C100" i="51"/>
  <c r="E100" i="51" s="1"/>
  <c r="C102" i="51"/>
  <c r="E102" i="51" s="1"/>
  <c r="C64" i="51"/>
  <c r="E64" i="51" s="1"/>
  <c r="C65" i="51"/>
  <c r="E65" i="51" s="1"/>
  <c r="C54" i="34"/>
  <c r="E54" i="34" s="1"/>
  <c r="C55" i="34"/>
  <c r="E55" i="34" s="1"/>
  <c r="C56" i="34"/>
  <c r="E56" i="34" s="1"/>
  <c r="C58" i="34"/>
  <c r="E58" i="34" s="1"/>
  <c r="C59" i="34"/>
  <c r="E59" i="34" s="1"/>
  <c r="C60" i="34"/>
  <c r="E60" i="34" s="1"/>
  <c r="C61" i="34"/>
  <c r="E61" i="34" s="1"/>
  <c r="C62" i="34"/>
  <c r="E62" i="34" s="1"/>
  <c r="C63" i="34"/>
  <c r="E63" i="34" s="1"/>
  <c r="C65" i="34"/>
  <c r="E65" i="34" s="1"/>
  <c r="C66" i="34"/>
  <c r="E66" i="34" s="1"/>
  <c r="C68" i="34"/>
  <c r="E68" i="34" s="1"/>
  <c r="C70" i="34"/>
  <c r="E70" i="34" s="1"/>
  <c r="C71" i="34"/>
  <c r="E71" i="34" s="1"/>
  <c r="C72" i="34"/>
  <c r="E72" i="34" s="1"/>
  <c r="C74" i="34"/>
  <c r="E74" i="34" s="1"/>
  <c r="C76" i="34"/>
  <c r="E76" i="34" s="1"/>
  <c r="C78" i="34"/>
  <c r="E78" i="34" s="1"/>
  <c r="C80" i="34"/>
  <c r="E80" i="34" s="1"/>
  <c r="C82" i="34"/>
  <c r="E82" i="34" s="1"/>
  <c r="C36" i="15"/>
  <c r="E36" i="15" s="1"/>
  <c r="C37" i="15"/>
  <c r="E37" i="15" s="1"/>
  <c r="C39" i="15"/>
  <c r="E39" i="15" s="1"/>
  <c r="C40" i="15"/>
  <c r="E40" i="15" s="1"/>
  <c r="C41" i="15"/>
  <c r="E41" i="15" s="1"/>
  <c r="C42" i="15"/>
  <c r="E42" i="15" s="1"/>
  <c r="C44" i="15"/>
  <c r="E44" i="15" s="1"/>
  <c r="C33" i="27"/>
  <c r="E33" i="27" s="1"/>
  <c r="C34" i="27"/>
  <c r="E34" i="27" s="1"/>
  <c r="C35" i="27"/>
  <c r="E35" i="27" s="1"/>
  <c r="C37" i="27"/>
  <c r="E37" i="27" s="1"/>
  <c r="C38" i="27"/>
  <c r="E38" i="27" s="1"/>
  <c r="C44" i="39"/>
  <c r="E44" i="39" s="1"/>
  <c r="C45" i="39"/>
  <c r="E45" i="39" s="1"/>
  <c r="C46" i="39"/>
  <c r="E46" i="39" s="1"/>
  <c r="C47" i="39"/>
  <c r="E47" i="39" s="1"/>
  <c r="C48" i="39"/>
  <c r="E48" i="39" s="1"/>
  <c r="C49" i="39"/>
  <c r="E49" i="39" s="1"/>
  <c r="C50" i="39"/>
  <c r="E50" i="39" s="1"/>
  <c r="C51" i="39"/>
  <c r="E51" i="39" s="1"/>
  <c r="C52" i="39"/>
  <c r="E52" i="39" s="1"/>
  <c r="C56" i="39"/>
  <c r="E56" i="39" s="1"/>
  <c r="C58" i="39"/>
  <c r="E58" i="39" s="1"/>
  <c r="I12" i="5"/>
  <c r="I20" i="5"/>
  <c r="I24" i="5"/>
  <c r="I32" i="5"/>
  <c r="I33" i="5"/>
  <c r="I41" i="5"/>
  <c r="B27" i="5"/>
  <c r="I27" i="5"/>
  <c r="I28" i="5"/>
  <c r="B21" i="5"/>
  <c r="I21" i="5"/>
  <c r="B29" i="5"/>
  <c r="I29" i="5"/>
  <c r="B58" i="1"/>
  <c r="I38" i="5"/>
  <c r="H61" i="6"/>
  <c r="H55" i="9"/>
  <c r="G96" i="12"/>
  <c r="H96" i="12" s="1"/>
  <c r="H108" i="51"/>
  <c r="G90" i="48"/>
  <c r="H90" i="48" s="1"/>
  <c r="G88" i="34"/>
  <c r="H88" i="34" s="1"/>
  <c r="I12" i="14"/>
  <c r="I20" i="14"/>
  <c r="I24" i="14"/>
  <c r="I31" i="14"/>
  <c r="I32" i="14"/>
  <c r="I42" i="14"/>
  <c r="B21" i="14"/>
  <c r="I21" i="14"/>
  <c r="B28" i="14"/>
  <c r="I28" i="14"/>
  <c r="I35" i="14"/>
  <c r="I36" i="14"/>
  <c r="B37" i="14"/>
  <c r="I37" i="14"/>
  <c r="B76" i="1"/>
  <c r="I39" i="14"/>
  <c r="E49" i="14"/>
  <c r="J49" i="14"/>
  <c r="G50" i="15"/>
  <c r="H50" i="15" s="1"/>
  <c r="M4" i="1"/>
  <c r="M5" i="1"/>
  <c r="M7" i="1"/>
  <c r="M8" i="1"/>
  <c r="M10" i="1"/>
  <c r="B52" i="17"/>
  <c r="AE9" i="1"/>
  <c r="AE7" i="1"/>
  <c r="AE8" i="1"/>
  <c r="AE10" i="1"/>
  <c r="B75" i="17"/>
  <c r="B96" i="17"/>
  <c r="G130" i="18"/>
  <c r="B52" i="20"/>
  <c r="B75" i="20"/>
  <c r="B96" i="20"/>
  <c r="G130" i="21"/>
  <c r="B52" i="30"/>
  <c r="B75" i="30"/>
  <c r="B96" i="30"/>
  <c r="G130" i="31"/>
  <c r="B52" i="41"/>
  <c r="B75" i="41"/>
  <c r="B96" i="41"/>
  <c r="G130" i="42"/>
  <c r="B52" i="61"/>
  <c r="B96" i="61"/>
  <c r="G130" i="60"/>
  <c r="B52" i="58"/>
  <c r="B96" i="58"/>
  <c r="G130" i="57"/>
  <c r="I20" i="26"/>
  <c r="I24" i="26"/>
  <c r="I27" i="26"/>
  <c r="I28" i="26"/>
  <c r="I33" i="26"/>
  <c r="B12" i="26"/>
  <c r="I12" i="26"/>
  <c r="B109" i="1"/>
  <c r="I30" i="26"/>
  <c r="G43" i="27"/>
  <c r="H43" i="27" s="1"/>
  <c r="I12" i="44"/>
  <c r="I20" i="44"/>
  <c r="I24" i="44"/>
  <c r="I31" i="44"/>
  <c r="I32" i="44"/>
  <c r="I41" i="44"/>
  <c r="I21" i="44"/>
  <c r="I35" i="44"/>
  <c r="I36" i="44"/>
  <c r="B112" i="1"/>
  <c r="I38" i="44"/>
  <c r="G51" i="45"/>
  <c r="H51" i="45" s="1"/>
  <c r="I12" i="38"/>
  <c r="I20" i="38"/>
  <c r="I24" i="38"/>
  <c r="I37" i="38"/>
  <c r="I38" i="38"/>
  <c r="I45" i="38"/>
  <c r="B27" i="38"/>
  <c r="I27" i="38"/>
  <c r="B28" i="38"/>
  <c r="I28" i="38"/>
  <c r="B29" i="38"/>
  <c r="I29" i="38"/>
  <c r="B30" i="38"/>
  <c r="I30" i="38"/>
  <c r="B31" i="38"/>
  <c r="I31" i="38"/>
  <c r="B21" i="38"/>
  <c r="I21" i="38"/>
  <c r="B34" i="38"/>
  <c r="I34" i="38"/>
  <c r="B115" i="1"/>
  <c r="I42" i="38"/>
  <c r="H63" i="39"/>
  <c r="G91" i="48"/>
  <c r="H91" i="48" s="1"/>
  <c r="B24" i="46" s="1"/>
  <c r="H90" i="3"/>
  <c r="B28" i="4" s="1"/>
  <c r="G62" i="6"/>
  <c r="H62" i="6" s="1"/>
  <c r="B24" i="7" s="1"/>
  <c r="D24" i="7" s="1"/>
  <c r="G56" i="9"/>
  <c r="H56" i="9" s="1"/>
  <c r="B24" i="10" s="1"/>
  <c r="D24" i="10" s="1"/>
  <c r="G97" i="12"/>
  <c r="H97" i="12" s="1"/>
  <c r="B24" i="13" s="1"/>
  <c r="D24" i="13" s="1"/>
  <c r="G109" i="51"/>
  <c r="H109" i="51" s="1"/>
  <c r="B24" i="49" s="1"/>
  <c r="G89" i="34"/>
  <c r="H89" i="34" s="1"/>
  <c r="B24" i="36" s="1"/>
  <c r="G51" i="15"/>
  <c r="H51" i="15" s="1"/>
  <c r="B24" i="16" s="1"/>
  <c r="D24" i="16" s="1"/>
  <c r="G44" i="27"/>
  <c r="H44" i="27" s="1"/>
  <c r="B24" i="28" s="1"/>
  <c r="D24" i="28" s="1"/>
  <c r="G52" i="45"/>
  <c r="H52" i="45" s="1"/>
  <c r="B24" i="43" s="1"/>
  <c r="D24" i="43" s="1"/>
  <c r="H64" i="39"/>
  <c r="H65" i="39"/>
  <c r="H66" i="39"/>
  <c r="G133" i="18"/>
  <c r="H93" i="48"/>
  <c r="G133" i="21"/>
  <c r="G133" i="31"/>
  <c r="G133" i="42"/>
  <c r="G133" i="60"/>
  <c r="G133" i="57"/>
  <c r="H92" i="3"/>
  <c r="H64" i="6"/>
  <c r="H58" i="9"/>
  <c r="H99" i="12"/>
  <c r="H111" i="51"/>
  <c r="H90" i="34"/>
  <c r="G91" i="34"/>
  <c r="H91" i="34" s="1"/>
  <c r="H53" i="15"/>
  <c r="G45" i="27"/>
  <c r="H45" i="27" s="1"/>
  <c r="G46" i="27"/>
  <c r="H46" i="27" s="1"/>
  <c r="G54" i="45"/>
  <c r="H54" i="45" s="1"/>
  <c r="H68" i="39"/>
  <c r="G95" i="48"/>
  <c r="H95" i="48" s="1"/>
  <c r="B27" i="46" s="1"/>
  <c r="D27" i="46" s="1"/>
  <c r="H94" i="3"/>
  <c r="B31" i="4" s="1"/>
  <c r="G66" i="6"/>
  <c r="H66" i="6" s="1"/>
  <c r="B27" i="7" s="1"/>
  <c r="G60" i="9"/>
  <c r="H60" i="9" s="1"/>
  <c r="B27" i="10" s="1"/>
  <c r="G101" i="12"/>
  <c r="H101" i="12" s="1"/>
  <c r="B27" i="13" s="1"/>
  <c r="G113" i="51"/>
  <c r="H113" i="51" s="1"/>
  <c r="B27" i="49" s="1"/>
  <c r="D27" i="49" s="1"/>
  <c r="G93" i="34"/>
  <c r="H93" i="34" s="1"/>
  <c r="B27" i="36" s="1"/>
  <c r="D27" i="36" s="1"/>
  <c r="G55" i="15"/>
  <c r="H55" i="15" s="1"/>
  <c r="B27" i="16" s="1"/>
  <c r="D27" i="16" s="1"/>
  <c r="G48" i="27"/>
  <c r="H48" i="27" s="1"/>
  <c r="B27" i="28" s="1"/>
  <c r="D27" i="28" s="1"/>
  <c r="G56" i="45"/>
  <c r="H56" i="45" s="1"/>
  <c r="B27" i="43" s="1"/>
  <c r="D27" i="43" s="1"/>
  <c r="G70" i="39"/>
  <c r="H70" i="39" s="1"/>
  <c r="B27" i="37" s="1"/>
  <c r="D27" i="37" s="1"/>
  <c r="H96" i="48"/>
  <c r="B28" i="46" s="1"/>
  <c r="H95" i="3"/>
  <c r="B32" i="4" s="1"/>
  <c r="H67" i="6"/>
  <c r="B28" i="7" s="1"/>
  <c r="D28" i="7" s="1"/>
  <c r="H61" i="9"/>
  <c r="B28" i="10" s="1"/>
  <c r="H102" i="12"/>
  <c r="B28" i="13" s="1"/>
  <c r="D28" i="13" s="1"/>
  <c r="H114" i="51"/>
  <c r="B28" i="49" s="1"/>
  <c r="D28" i="49" s="1"/>
  <c r="H94" i="34"/>
  <c r="B28" i="36" s="1"/>
  <c r="H56" i="15"/>
  <c r="B28" i="16" s="1"/>
  <c r="D28" i="16" s="1"/>
  <c r="G49" i="27"/>
  <c r="H49" i="27" s="1"/>
  <c r="B28" i="28" s="1"/>
  <c r="D28" i="28" s="1"/>
  <c r="H57" i="45"/>
  <c r="B28" i="43" s="1"/>
  <c r="D28" i="43" s="1"/>
  <c r="G71" i="39"/>
  <c r="H71" i="39" s="1"/>
  <c r="B28" i="37" s="1"/>
  <c r="D28" i="37" s="1"/>
  <c r="G99" i="48"/>
  <c r="H99" i="48" s="1"/>
  <c r="C5" i="3"/>
  <c r="H70" i="6"/>
  <c r="H64" i="9"/>
  <c r="G105" i="12"/>
  <c r="H105" i="12" s="1"/>
  <c r="G117" i="51"/>
  <c r="H117" i="51" s="1"/>
  <c r="G97" i="34"/>
  <c r="H97" i="34" s="1"/>
  <c r="H52" i="27"/>
  <c r="H60" i="45"/>
  <c r="H74" i="39"/>
  <c r="S110" i="18"/>
  <c r="U110" i="18" s="1"/>
  <c r="R117" i="18" s="1"/>
  <c r="S111" i="18"/>
  <c r="U111" i="18" s="1"/>
  <c r="H100" i="48"/>
  <c r="B30" i="46" s="1"/>
  <c r="D30" i="46" s="1"/>
  <c r="S110" i="21"/>
  <c r="U110" i="21" s="1"/>
  <c r="S111" i="21"/>
  <c r="U111" i="21" s="1"/>
  <c r="S110" i="31"/>
  <c r="U110" i="31" s="1"/>
  <c r="S111" i="31"/>
  <c r="U111" i="31" s="1"/>
  <c r="S110" i="42"/>
  <c r="U110" i="42" s="1"/>
  <c r="S111" i="42"/>
  <c r="U111" i="42" s="1"/>
  <c r="U110" i="60"/>
  <c r="U111" i="60"/>
  <c r="U110" i="57"/>
  <c r="U111" i="57"/>
  <c r="U75" i="55"/>
  <c r="R80" i="55" s="1"/>
  <c r="U76" i="55"/>
  <c r="R83" i="55" s="1"/>
  <c r="S75" i="24"/>
  <c r="U75" i="24" s="1"/>
  <c r="R80" i="24" s="1"/>
  <c r="N80" i="24" s="1"/>
  <c r="S76" i="24"/>
  <c r="U76" i="24" s="1"/>
  <c r="R83" i="24" s="1"/>
  <c r="N83" i="24" s="1"/>
  <c r="H71" i="6"/>
  <c r="B30" i="7" s="1"/>
  <c r="D30" i="7" s="1"/>
  <c r="H65" i="9"/>
  <c r="B30" i="10" s="1"/>
  <c r="H106" i="12"/>
  <c r="B30" i="13" s="1"/>
  <c r="D30" i="13" s="1"/>
  <c r="H118" i="51"/>
  <c r="B30" i="49" s="1"/>
  <c r="D30" i="49" s="1"/>
  <c r="H98" i="34"/>
  <c r="B30" i="36" s="1"/>
  <c r="D30" i="36" s="1"/>
  <c r="H53" i="27"/>
  <c r="B30" i="28" s="1"/>
  <c r="D30" i="28" s="1"/>
  <c r="S58" i="45"/>
  <c r="U58" i="45" s="1"/>
  <c r="R63" i="45" s="1"/>
  <c r="S59" i="45"/>
  <c r="U59" i="45" s="1"/>
  <c r="R66" i="45" s="1"/>
  <c r="B31" i="46"/>
  <c r="B150" i="21"/>
  <c r="B151" i="21" s="1"/>
  <c r="F151" i="21"/>
  <c r="B152" i="21"/>
  <c r="B153" i="21" s="1"/>
  <c r="F153" i="21"/>
  <c r="B154" i="21"/>
  <c r="B155" i="21" s="1"/>
  <c r="B150" i="31"/>
  <c r="B151" i="31" s="1"/>
  <c r="F151" i="31"/>
  <c r="B152" i="31"/>
  <c r="B153" i="31" s="1"/>
  <c r="F153" i="31"/>
  <c r="B154" i="31"/>
  <c r="B155" i="31" s="1"/>
  <c r="B150" i="42"/>
  <c r="F151" i="42"/>
  <c r="B152" i="42"/>
  <c r="F153" i="42"/>
  <c r="B154" i="42"/>
  <c r="B150" i="60"/>
  <c r="B151" i="60" s="1"/>
  <c r="B152" i="60"/>
  <c r="B153" i="60" s="1"/>
  <c r="B154" i="60"/>
  <c r="B155" i="60" s="1"/>
  <c r="B150" i="57"/>
  <c r="B151" i="57" s="1"/>
  <c r="B152" i="57"/>
  <c r="B153" i="57" s="1"/>
  <c r="B154" i="57"/>
  <c r="B155" i="57" s="1"/>
  <c r="H72" i="6"/>
  <c r="G73" i="6"/>
  <c r="H73" i="6" s="1"/>
  <c r="H66" i="9"/>
  <c r="G67" i="9"/>
  <c r="H67" i="9" s="1"/>
  <c r="H54" i="27"/>
  <c r="B31" i="28" s="1"/>
  <c r="D31" i="28" s="1"/>
  <c r="G69" i="45"/>
  <c r="G70" i="45" s="1"/>
  <c r="H70" i="45" s="1"/>
  <c r="G82" i="39"/>
  <c r="G169" i="18"/>
  <c r="G170" i="18"/>
  <c r="G108" i="48"/>
  <c r="H108" i="48" s="1"/>
  <c r="H109" i="48"/>
  <c r="H110" i="48"/>
  <c r="G170" i="21"/>
  <c r="G171" i="21"/>
  <c r="G170" i="31"/>
  <c r="G171" i="31"/>
  <c r="G170" i="42"/>
  <c r="G170" i="60"/>
  <c r="G170" i="57"/>
  <c r="G120" i="55"/>
  <c r="G121" i="55"/>
  <c r="H102" i="3"/>
  <c r="J103" i="3"/>
  <c r="G74" i="6"/>
  <c r="H74" i="6" s="1"/>
  <c r="H75" i="6"/>
  <c r="H76" i="6"/>
  <c r="G68" i="9"/>
  <c r="H68" i="9" s="1"/>
  <c r="H69" i="9"/>
  <c r="H70" i="9"/>
  <c r="G114" i="12"/>
  <c r="H114" i="12" s="1"/>
  <c r="H115" i="12"/>
  <c r="H116" i="12"/>
  <c r="G126" i="51"/>
  <c r="H126" i="51" s="1"/>
  <c r="H127" i="51"/>
  <c r="H128" i="51"/>
  <c r="G106" i="34"/>
  <c r="H106" i="34" s="1"/>
  <c r="H107" i="34"/>
  <c r="H108" i="34"/>
  <c r="G70" i="15"/>
  <c r="H70" i="15" s="1"/>
  <c r="H71" i="15"/>
  <c r="H72" i="15"/>
  <c r="G55" i="27"/>
  <c r="H55" i="27" s="1"/>
  <c r="H56" i="27"/>
  <c r="H57" i="27"/>
  <c r="G71" i="45"/>
  <c r="H71" i="45" s="1"/>
  <c r="H72" i="45"/>
  <c r="H73" i="45"/>
  <c r="G84" i="39"/>
  <c r="H84" i="39" s="1"/>
  <c r="H85" i="39"/>
  <c r="H86" i="39"/>
  <c r="F23" i="3"/>
  <c r="G23" i="3" s="1"/>
  <c r="H23" i="3" s="1"/>
  <c r="F24" i="3"/>
  <c r="G24" i="3" s="1"/>
  <c r="H24" i="3" s="1"/>
  <c r="F25" i="3"/>
  <c r="G25" i="3" s="1"/>
  <c r="H25" i="3" s="1"/>
  <c r="F27" i="3"/>
  <c r="G27" i="3" s="1"/>
  <c r="H27" i="3" s="1"/>
  <c r="F28" i="3"/>
  <c r="G28" i="3" s="1"/>
  <c r="H28" i="3" s="1"/>
  <c r="F30" i="3"/>
  <c r="G30" i="3" s="1"/>
  <c r="H30" i="3" s="1"/>
  <c r="G32" i="3"/>
  <c r="H32" i="3" s="1"/>
  <c r="G33" i="3"/>
  <c r="H33" i="3" s="1"/>
  <c r="G34" i="3"/>
  <c r="H34" i="3" s="1"/>
  <c r="F36" i="3"/>
  <c r="G36" i="3" s="1"/>
  <c r="H36" i="3" s="1"/>
  <c r="B24" i="4" s="1"/>
  <c r="J99" i="3"/>
  <c r="H100" i="3"/>
  <c r="G101" i="3"/>
  <c r="H101" i="3" s="1"/>
  <c r="C107" i="3"/>
  <c r="D107" i="3"/>
  <c r="C80" i="6"/>
  <c r="D80" i="6"/>
  <c r="C74" i="9"/>
  <c r="D74" i="9"/>
  <c r="C120" i="12"/>
  <c r="D120" i="12"/>
  <c r="C132" i="51"/>
  <c r="D132" i="51"/>
  <c r="C114" i="48"/>
  <c r="D114" i="48"/>
  <c r="C112" i="34"/>
  <c r="D112" i="34"/>
  <c r="S57" i="15"/>
  <c r="U57" i="15" s="1"/>
  <c r="R62" i="15" s="1"/>
  <c r="S58" i="15"/>
  <c r="U58" i="15" s="1"/>
  <c r="R65" i="15" s="1"/>
  <c r="C76" i="15"/>
  <c r="D76" i="15"/>
  <c r="C175" i="18"/>
  <c r="D175" i="18"/>
  <c r="F155" i="21"/>
  <c r="C175" i="21"/>
  <c r="D175" i="21"/>
  <c r="F155" i="31"/>
  <c r="C175" i="31"/>
  <c r="D175" i="31"/>
  <c r="F155" i="42"/>
  <c r="C175" i="42"/>
  <c r="D175" i="42"/>
  <c r="C175" i="60"/>
  <c r="D175" i="60"/>
  <c r="C175" i="57"/>
  <c r="D175" i="57"/>
  <c r="C125" i="55"/>
  <c r="D125" i="55"/>
  <c r="C126" i="24"/>
  <c r="D126" i="24"/>
  <c r="C61" i="27"/>
  <c r="D61" i="27"/>
  <c r="G13" i="45"/>
  <c r="H13" i="45" s="1"/>
  <c r="C77" i="45"/>
  <c r="D77" i="45"/>
  <c r="G12" i="39"/>
  <c r="H12" i="39" s="1"/>
  <c r="F17" i="39"/>
  <c r="G17" i="39" s="1"/>
  <c r="H17" i="39" s="1"/>
  <c r="F18" i="39"/>
  <c r="G18" i="39" s="1"/>
  <c r="H18" i="39" s="1"/>
  <c r="C90" i="39"/>
  <c r="D90" i="39"/>
  <c r="E51" i="48"/>
  <c r="E20" i="6"/>
  <c r="E29" i="6"/>
  <c r="E36" i="6"/>
  <c r="E19" i="9"/>
  <c r="E34" i="9"/>
  <c r="E23" i="12"/>
  <c r="E55" i="12"/>
  <c r="E23" i="51"/>
  <c r="E61" i="51"/>
  <c r="E21" i="48"/>
  <c r="E30" i="48"/>
  <c r="E23" i="34"/>
  <c r="E30" i="34"/>
  <c r="E51" i="34"/>
  <c r="E31" i="15"/>
  <c r="E19" i="27"/>
  <c r="E27" i="27"/>
  <c r="E39" i="39"/>
  <c r="D304" i="1"/>
  <c r="G23" i="2"/>
  <c r="D305" i="1"/>
  <c r="B24" i="2"/>
  <c r="G24" i="2"/>
  <c r="D306" i="1"/>
  <c r="B25" i="2"/>
  <c r="G25" i="2"/>
  <c r="G13" i="8"/>
  <c r="B32" i="2"/>
  <c r="G32" i="2"/>
  <c r="B35" i="2"/>
  <c r="G35" i="2"/>
  <c r="B36" i="2"/>
  <c r="G36" i="2"/>
  <c r="B38" i="2"/>
  <c r="G38" i="2"/>
  <c r="B39" i="2"/>
  <c r="G39" i="2"/>
  <c r="G21" i="5"/>
  <c r="B22" i="8"/>
  <c r="G22" i="8"/>
  <c r="B23" i="11"/>
  <c r="G23" i="11"/>
  <c r="B23" i="50"/>
  <c r="G23" i="50"/>
  <c r="G21" i="14"/>
  <c r="G58" i="56"/>
  <c r="B58" i="23"/>
  <c r="G58" i="23"/>
  <c r="G21" i="44"/>
  <c r="G21" i="38"/>
  <c r="G42" i="2"/>
  <c r="G24" i="5"/>
  <c r="G25" i="8"/>
  <c r="G26" i="11"/>
  <c r="G26" i="50"/>
  <c r="G24" i="14"/>
  <c r="G24" i="26"/>
  <c r="G24" i="44"/>
  <c r="G24" i="38"/>
  <c r="G33" i="11"/>
  <c r="G34" i="11"/>
  <c r="G35" i="11"/>
  <c r="B29" i="11"/>
  <c r="G29" i="11"/>
  <c r="G30" i="11"/>
  <c r="G32" i="11"/>
  <c r="B31" i="11"/>
  <c r="G31" i="11"/>
  <c r="B31" i="50"/>
  <c r="G31" i="50"/>
  <c r="G32" i="50"/>
  <c r="G33" i="50"/>
  <c r="B29" i="50"/>
  <c r="G29" i="50"/>
  <c r="B30" i="50"/>
  <c r="G30" i="50"/>
  <c r="G23" i="47"/>
  <c r="G24" i="47"/>
  <c r="G25" i="47"/>
  <c r="B20" i="47"/>
  <c r="G20" i="47"/>
  <c r="G21" i="47"/>
  <c r="G22" i="47"/>
  <c r="G21" i="35"/>
  <c r="G22" i="35"/>
  <c r="G23" i="35"/>
  <c r="G19" i="35"/>
  <c r="G20" i="35"/>
  <c r="B18" i="35"/>
  <c r="G18" i="35"/>
  <c r="G28" i="14"/>
  <c r="G75" i="17"/>
  <c r="G76" i="17"/>
  <c r="G77" i="17"/>
  <c r="G75" i="20"/>
  <c r="G76" i="20"/>
  <c r="G77" i="20"/>
  <c r="G75" i="30"/>
  <c r="G76" i="30"/>
  <c r="G77" i="30"/>
  <c r="G75" i="41"/>
  <c r="G76" i="41"/>
  <c r="G77" i="41"/>
  <c r="G75" i="61"/>
  <c r="G76" i="61"/>
  <c r="G77" i="61"/>
  <c r="G75" i="58"/>
  <c r="G76" i="58"/>
  <c r="G77" i="58"/>
  <c r="G27" i="5"/>
  <c r="G28" i="5"/>
  <c r="G29" i="5"/>
  <c r="G28" i="8"/>
  <c r="B29" i="8"/>
  <c r="G29" i="8"/>
  <c r="B52" i="2"/>
  <c r="G52" i="2"/>
  <c r="B53" i="2"/>
  <c r="G53" i="2"/>
  <c r="G34" i="38"/>
  <c r="G56" i="2"/>
  <c r="G57" i="2"/>
  <c r="G32" i="5"/>
  <c r="G33" i="5"/>
  <c r="G32" i="8"/>
  <c r="G33" i="8"/>
  <c r="G38" i="11"/>
  <c r="G39" i="11"/>
  <c r="G36" i="50"/>
  <c r="G37" i="50"/>
  <c r="G28" i="47"/>
  <c r="G29" i="47"/>
  <c r="G26" i="35"/>
  <c r="G27" i="35"/>
  <c r="G31" i="14"/>
  <c r="G32" i="14"/>
  <c r="G27" i="26"/>
  <c r="G28" i="26"/>
  <c r="G31" i="44"/>
  <c r="G32" i="44"/>
  <c r="G37" i="38"/>
  <c r="G38" i="38"/>
  <c r="Q425" i="1"/>
  <c r="Q426" i="1"/>
  <c r="Q427" i="1"/>
  <c r="Q428" i="1"/>
  <c r="Q429" i="1"/>
  <c r="Q430" i="1"/>
  <c r="Q433" i="1"/>
  <c r="G96" i="17"/>
  <c r="B60" i="2"/>
  <c r="G60" i="2"/>
  <c r="B61" i="2"/>
  <c r="G61" i="2"/>
  <c r="B62" i="2"/>
  <c r="G62" i="2"/>
  <c r="B63" i="2"/>
  <c r="G63" i="2"/>
  <c r="B64" i="2"/>
  <c r="G64" i="2"/>
  <c r="G36" i="14"/>
  <c r="G37" i="14"/>
  <c r="G36" i="44"/>
  <c r="G69" i="2"/>
  <c r="B70" i="2"/>
  <c r="G70" i="2"/>
  <c r="G41" i="5"/>
  <c r="G41" i="8"/>
  <c r="G44" i="11"/>
  <c r="G42" i="50"/>
  <c r="G34" i="47"/>
  <c r="G36" i="35"/>
  <c r="G42" i="14"/>
  <c r="G33" i="26"/>
  <c r="G41" i="44"/>
  <c r="G45" i="38"/>
  <c r="K9" i="2"/>
  <c r="K10" i="2"/>
  <c r="K12" i="2"/>
  <c r="K13" i="2"/>
  <c r="K14" i="2"/>
  <c r="K15" i="2"/>
  <c r="K16" i="2"/>
  <c r="K17" i="2"/>
  <c r="K20" i="2"/>
  <c r="K21" i="2"/>
  <c r="K22" i="2"/>
  <c r="K28" i="2"/>
  <c r="K29" i="2"/>
  <c r="K30" i="2"/>
  <c r="K37" i="2"/>
  <c r="K42" i="2"/>
  <c r="K56" i="2"/>
  <c r="K57" i="2"/>
  <c r="K69" i="2"/>
  <c r="K11" i="2"/>
  <c r="K23" i="2"/>
  <c r="B45" i="2"/>
  <c r="K45" i="2"/>
  <c r="B46" i="2"/>
  <c r="K46" i="2"/>
  <c r="B47" i="2"/>
  <c r="K47" i="2"/>
  <c r="B48" i="2"/>
  <c r="K48" i="2"/>
  <c r="B49" i="2"/>
  <c r="K49" i="2"/>
  <c r="K24" i="2"/>
  <c r="K25" i="2"/>
  <c r="K31" i="2"/>
  <c r="K32" i="2"/>
  <c r="K35" i="2"/>
  <c r="K36" i="2"/>
  <c r="K38" i="2"/>
  <c r="K39" i="2"/>
  <c r="K52" i="2"/>
  <c r="K53" i="2"/>
  <c r="K60" i="2"/>
  <c r="K61" i="2"/>
  <c r="K62" i="2"/>
  <c r="K63" i="2"/>
  <c r="K64" i="2"/>
  <c r="K66" i="2"/>
  <c r="K70" i="2"/>
  <c r="K74" i="2"/>
  <c r="L74" i="2" s="1"/>
  <c r="K9" i="5"/>
  <c r="K12" i="5"/>
  <c r="K15" i="5"/>
  <c r="K16" i="5"/>
  <c r="K17" i="5"/>
  <c r="K20" i="5"/>
  <c r="K24" i="5"/>
  <c r="K32" i="5"/>
  <c r="K33" i="5"/>
  <c r="K41" i="5"/>
  <c r="K27" i="5"/>
  <c r="K28" i="5"/>
  <c r="K21" i="5"/>
  <c r="K29" i="5"/>
  <c r="K38" i="5"/>
  <c r="K48" i="5"/>
  <c r="L48" i="5" s="1"/>
  <c r="K9" i="8"/>
  <c r="K12" i="8"/>
  <c r="K16" i="8"/>
  <c r="K17" i="8"/>
  <c r="K18" i="8"/>
  <c r="K21" i="8"/>
  <c r="K25" i="8"/>
  <c r="K32" i="8"/>
  <c r="K33" i="8"/>
  <c r="K41" i="8"/>
  <c r="K28" i="8"/>
  <c r="K13" i="8"/>
  <c r="K22" i="8"/>
  <c r="K29" i="8"/>
  <c r="B61" i="1"/>
  <c r="K38" i="8"/>
  <c r="K45" i="8"/>
  <c r="L45" i="8" s="1"/>
  <c r="K9" i="11"/>
  <c r="K14" i="11"/>
  <c r="K17" i="11"/>
  <c r="K18" i="11"/>
  <c r="K19" i="11"/>
  <c r="K22" i="11"/>
  <c r="K26" i="11"/>
  <c r="K33" i="11"/>
  <c r="K34" i="11"/>
  <c r="K35" i="11"/>
  <c r="K38" i="11"/>
  <c r="K39" i="11"/>
  <c r="K44" i="11"/>
  <c r="K10" i="11"/>
  <c r="K11" i="11"/>
  <c r="K29" i="11"/>
  <c r="K30" i="11"/>
  <c r="K32" i="11"/>
  <c r="K23" i="11"/>
  <c r="K31" i="11"/>
  <c r="B64" i="1"/>
  <c r="K41" i="11"/>
  <c r="K51" i="11"/>
  <c r="L51" i="11" s="1"/>
  <c r="K9" i="50"/>
  <c r="K14" i="50"/>
  <c r="K17" i="50"/>
  <c r="K18" i="50"/>
  <c r="K19" i="50"/>
  <c r="K22" i="50"/>
  <c r="K26" i="50"/>
  <c r="K31" i="50"/>
  <c r="K32" i="50"/>
  <c r="K33" i="50"/>
  <c r="K36" i="50"/>
  <c r="K37" i="50"/>
  <c r="K42" i="50"/>
  <c r="K10" i="50"/>
  <c r="K11" i="50"/>
  <c r="K29" i="50"/>
  <c r="K30" i="50"/>
  <c r="K23" i="50"/>
  <c r="B67" i="1"/>
  <c r="K39" i="50"/>
  <c r="K49" i="50"/>
  <c r="L49" i="50" s="1"/>
  <c r="K9" i="47"/>
  <c r="K14" i="47"/>
  <c r="K23" i="47"/>
  <c r="K24" i="47"/>
  <c r="K25" i="47"/>
  <c r="K28" i="47"/>
  <c r="K29" i="47"/>
  <c r="K34" i="47"/>
  <c r="K10" i="47"/>
  <c r="K11" i="47"/>
  <c r="K20" i="47"/>
  <c r="K21" i="47"/>
  <c r="K22" i="47"/>
  <c r="K17" i="47"/>
  <c r="K31" i="47"/>
  <c r="K41" i="47"/>
  <c r="L41" i="47" s="1"/>
  <c r="K9" i="35"/>
  <c r="K12" i="35"/>
  <c r="K15" i="35"/>
  <c r="K21" i="35"/>
  <c r="K22" i="35"/>
  <c r="K23" i="35"/>
  <c r="K26" i="35"/>
  <c r="K27" i="35"/>
  <c r="K36" i="35"/>
  <c r="K19" i="35"/>
  <c r="K20" i="35"/>
  <c r="K18" i="35"/>
  <c r="Q404" i="1"/>
  <c r="E404" i="1" s="1"/>
  <c r="D404" i="1" s="1"/>
  <c r="D30" i="35" s="1"/>
  <c r="E30" i="35" s="1"/>
  <c r="K30" i="35"/>
  <c r="Q405" i="1"/>
  <c r="E405" i="1" s="1"/>
  <c r="D405" i="1" s="1"/>
  <c r="D31" i="35" s="1"/>
  <c r="E31" i="35" s="1"/>
  <c r="K31" i="35"/>
  <c r="D33" i="35"/>
  <c r="B73" i="1"/>
  <c r="K33" i="35"/>
  <c r="K43" i="35"/>
  <c r="L43" i="35" s="1"/>
  <c r="K9" i="14"/>
  <c r="K12" i="14"/>
  <c r="K15" i="14"/>
  <c r="K16" i="14"/>
  <c r="K17" i="14"/>
  <c r="K20" i="14"/>
  <c r="K24" i="14"/>
  <c r="K27" i="14"/>
  <c r="K31" i="14"/>
  <c r="K32" i="14"/>
  <c r="K42" i="14"/>
  <c r="K21" i="14"/>
  <c r="K28" i="14"/>
  <c r="K35" i="14"/>
  <c r="K36" i="14"/>
  <c r="K37" i="14"/>
  <c r="K39" i="14"/>
  <c r="K49" i="14"/>
  <c r="L49" i="14" s="1"/>
  <c r="K26" i="17"/>
  <c r="K27" i="17"/>
  <c r="K28" i="17"/>
  <c r="K38" i="17"/>
  <c r="K39" i="17"/>
  <c r="K40" i="17"/>
  <c r="K41" i="17"/>
  <c r="K42" i="17"/>
  <c r="K43" i="17"/>
  <c r="K44" i="17"/>
  <c r="K45" i="17"/>
  <c r="K46" i="17"/>
  <c r="K47" i="17"/>
  <c r="K48" i="17"/>
  <c r="K49" i="17"/>
  <c r="K52" i="17"/>
  <c r="K53" i="17"/>
  <c r="K54" i="17"/>
  <c r="K55" i="17"/>
  <c r="K56" i="17"/>
  <c r="K57" i="17"/>
  <c r="K58" i="17"/>
  <c r="K59" i="17"/>
  <c r="K60" i="17"/>
  <c r="K61" i="17"/>
  <c r="K64" i="17"/>
  <c r="K69" i="17"/>
  <c r="K70" i="17"/>
  <c r="K71" i="17"/>
  <c r="K72" i="17"/>
  <c r="K73" i="17"/>
  <c r="K74" i="17"/>
  <c r="K75" i="17"/>
  <c r="K76" i="17"/>
  <c r="K77" i="17"/>
  <c r="K80" i="17"/>
  <c r="K81" i="17"/>
  <c r="K82" i="17"/>
  <c r="K83" i="17"/>
  <c r="K84" i="17"/>
  <c r="K85" i="17"/>
  <c r="K88" i="17"/>
  <c r="K89" i="17"/>
  <c r="K90" i="17"/>
  <c r="K93" i="17"/>
  <c r="K94" i="17"/>
  <c r="K95" i="17"/>
  <c r="K96" i="17"/>
  <c r="K110" i="17"/>
  <c r="K111" i="17"/>
  <c r="K112" i="17"/>
  <c r="K97" i="17"/>
  <c r="K100" i="17"/>
  <c r="K101" i="17"/>
  <c r="K102" i="17"/>
  <c r="K105" i="17"/>
  <c r="K119" i="17"/>
  <c r="L119" i="17" s="1"/>
  <c r="K23" i="20"/>
  <c r="K22" i="20"/>
  <c r="K17" i="20"/>
  <c r="K15" i="20"/>
  <c r="K11" i="20"/>
  <c r="K9" i="20"/>
  <c r="K26" i="20"/>
  <c r="K27" i="20"/>
  <c r="K28" i="20"/>
  <c r="K38" i="20"/>
  <c r="K39" i="20"/>
  <c r="K40" i="20"/>
  <c r="K41" i="20"/>
  <c r="K42" i="20"/>
  <c r="K43" i="20"/>
  <c r="K44" i="20"/>
  <c r="K45" i="20"/>
  <c r="K46" i="20"/>
  <c r="K47" i="20"/>
  <c r="K48" i="20"/>
  <c r="K49" i="20"/>
  <c r="K52" i="20"/>
  <c r="K53" i="20"/>
  <c r="K54" i="20"/>
  <c r="K55" i="20"/>
  <c r="K56" i="20"/>
  <c r="K57" i="20"/>
  <c r="K58" i="20"/>
  <c r="K59" i="20"/>
  <c r="K60" i="20"/>
  <c r="K61" i="20"/>
  <c r="K64" i="20"/>
  <c r="K69" i="20"/>
  <c r="K70" i="20"/>
  <c r="K71" i="20"/>
  <c r="K72" i="20"/>
  <c r="K73" i="20"/>
  <c r="K74" i="20"/>
  <c r="K75" i="20"/>
  <c r="K76" i="20"/>
  <c r="K77" i="20"/>
  <c r="K80" i="20"/>
  <c r="K81" i="20"/>
  <c r="K82" i="20"/>
  <c r="K83" i="20"/>
  <c r="K84" i="20"/>
  <c r="K85" i="20"/>
  <c r="K88" i="20"/>
  <c r="K89" i="20"/>
  <c r="K90" i="20"/>
  <c r="K93" i="20"/>
  <c r="K94" i="20"/>
  <c r="K95" i="20"/>
  <c r="K96" i="20"/>
  <c r="K110" i="20"/>
  <c r="K111" i="20"/>
  <c r="K112" i="20"/>
  <c r="K97" i="20"/>
  <c r="K100" i="20"/>
  <c r="K101" i="20"/>
  <c r="K102" i="20"/>
  <c r="K105" i="20"/>
  <c r="K119" i="20"/>
  <c r="L119" i="20" s="1"/>
  <c r="K23" i="30"/>
  <c r="K22" i="30"/>
  <c r="K17" i="30"/>
  <c r="K15" i="30"/>
  <c r="K11" i="30"/>
  <c r="K9" i="30"/>
  <c r="K26" i="30"/>
  <c r="K27" i="30"/>
  <c r="K28" i="30"/>
  <c r="K38" i="30"/>
  <c r="K39" i="30"/>
  <c r="K40" i="30"/>
  <c r="K41" i="30"/>
  <c r="K42" i="30"/>
  <c r="K43" i="30"/>
  <c r="K44" i="30"/>
  <c r="K45" i="30"/>
  <c r="K46" i="30"/>
  <c r="K47" i="30"/>
  <c r="K48" i="30"/>
  <c r="K49" i="30"/>
  <c r="K52" i="30"/>
  <c r="K53" i="30"/>
  <c r="K54" i="30"/>
  <c r="K55" i="30"/>
  <c r="K56" i="30"/>
  <c r="K57" i="30"/>
  <c r="K58" i="30"/>
  <c r="K59" i="30"/>
  <c r="K60" i="30"/>
  <c r="K61" i="30"/>
  <c r="K64" i="30"/>
  <c r="K69" i="30"/>
  <c r="K70" i="30"/>
  <c r="K71" i="30"/>
  <c r="K72" i="30"/>
  <c r="K73" i="30"/>
  <c r="K74" i="30"/>
  <c r="K75" i="30"/>
  <c r="K76" i="30"/>
  <c r="K77" i="30"/>
  <c r="K80" i="30"/>
  <c r="K81" i="30"/>
  <c r="K82" i="30"/>
  <c r="K83" i="30"/>
  <c r="K84" i="30"/>
  <c r="K85" i="30"/>
  <c r="K88" i="30"/>
  <c r="K89" i="30"/>
  <c r="K90" i="30"/>
  <c r="K93" i="30"/>
  <c r="K94" i="30"/>
  <c r="K95" i="30"/>
  <c r="K96" i="30"/>
  <c r="K110" i="30"/>
  <c r="K111" i="30"/>
  <c r="K112" i="30"/>
  <c r="K97" i="30"/>
  <c r="K100" i="30"/>
  <c r="K101" i="30"/>
  <c r="K102" i="30"/>
  <c r="K105" i="30"/>
  <c r="K119" i="30"/>
  <c r="L119" i="30" s="1"/>
  <c r="K23" i="41"/>
  <c r="K22" i="41"/>
  <c r="K17" i="41"/>
  <c r="K15" i="41"/>
  <c r="K11" i="41"/>
  <c r="K9" i="41"/>
  <c r="K26" i="41"/>
  <c r="K27" i="41"/>
  <c r="K28" i="41"/>
  <c r="K38" i="41"/>
  <c r="K39" i="41"/>
  <c r="K40" i="41"/>
  <c r="K41" i="41"/>
  <c r="K42" i="41"/>
  <c r="K43" i="41"/>
  <c r="K44" i="41"/>
  <c r="K45" i="41"/>
  <c r="K46" i="41"/>
  <c r="K47" i="41"/>
  <c r="K48" i="41"/>
  <c r="K49" i="41"/>
  <c r="K52" i="41"/>
  <c r="K53" i="41"/>
  <c r="K54" i="41"/>
  <c r="K55" i="41"/>
  <c r="K56" i="41"/>
  <c r="K57" i="41"/>
  <c r="K58" i="41"/>
  <c r="K59" i="41"/>
  <c r="K60" i="41"/>
  <c r="K61" i="41"/>
  <c r="K64" i="41"/>
  <c r="K69" i="41"/>
  <c r="K70" i="41"/>
  <c r="K71" i="41"/>
  <c r="K72" i="41"/>
  <c r="K73" i="41"/>
  <c r="K74" i="41"/>
  <c r="K75" i="41"/>
  <c r="K76" i="41"/>
  <c r="K77" i="41"/>
  <c r="K80" i="41"/>
  <c r="K81" i="41"/>
  <c r="K82" i="41"/>
  <c r="K83" i="41"/>
  <c r="K84" i="41"/>
  <c r="K85" i="41"/>
  <c r="K88" i="41"/>
  <c r="K89" i="41"/>
  <c r="K90" i="41"/>
  <c r="K93" i="41"/>
  <c r="K94" i="41"/>
  <c r="K95" i="41"/>
  <c r="K96" i="41"/>
  <c r="K110" i="41"/>
  <c r="K111" i="41"/>
  <c r="K112" i="41"/>
  <c r="K97" i="41"/>
  <c r="K100" i="41"/>
  <c r="K101" i="41"/>
  <c r="K102" i="41"/>
  <c r="K105" i="41"/>
  <c r="K119" i="41"/>
  <c r="L119" i="41" s="1"/>
  <c r="K23" i="61"/>
  <c r="K22" i="61"/>
  <c r="K17" i="61"/>
  <c r="K15" i="61"/>
  <c r="K11" i="61"/>
  <c r="K9" i="61"/>
  <c r="K26" i="61"/>
  <c r="K27" i="61"/>
  <c r="K28" i="61"/>
  <c r="K38" i="61"/>
  <c r="K39" i="61"/>
  <c r="K40" i="61"/>
  <c r="K41" i="61"/>
  <c r="K42" i="61"/>
  <c r="K43" i="61"/>
  <c r="K44" i="61"/>
  <c r="K45" i="61"/>
  <c r="K46" i="61"/>
  <c r="K47" i="61"/>
  <c r="K48" i="61"/>
  <c r="K49" i="61"/>
  <c r="K52" i="61"/>
  <c r="K53" i="61"/>
  <c r="K54" i="61"/>
  <c r="K55" i="61"/>
  <c r="K56" i="61"/>
  <c r="K57" i="61"/>
  <c r="K58" i="61"/>
  <c r="K59" i="61"/>
  <c r="K60" i="61"/>
  <c r="K61" i="61"/>
  <c r="K64" i="61"/>
  <c r="K69" i="61"/>
  <c r="K70" i="61"/>
  <c r="K71" i="61"/>
  <c r="K72" i="61"/>
  <c r="K73" i="61"/>
  <c r="K74" i="61"/>
  <c r="K75" i="61"/>
  <c r="K76" i="61"/>
  <c r="K77" i="61"/>
  <c r="K80" i="61"/>
  <c r="K81" i="61"/>
  <c r="K82" i="61"/>
  <c r="K83" i="61"/>
  <c r="K84" i="61"/>
  <c r="K85" i="61"/>
  <c r="K88" i="61"/>
  <c r="K89" i="61"/>
  <c r="K90" i="61"/>
  <c r="K93" i="61"/>
  <c r="K94" i="61"/>
  <c r="K95" i="61"/>
  <c r="K96" i="61"/>
  <c r="K110" i="61"/>
  <c r="K111" i="61"/>
  <c r="K112" i="61"/>
  <c r="K97" i="61"/>
  <c r="K100" i="61"/>
  <c r="K101" i="61"/>
  <c r="K102" i="61"/>
  <c r="K105" i="61"/>
  <c r="K119" i="61"/>
  <c r="L119" i="61" s="1"/>
  <c r="K23" i="58"/>
  <c r="K22" i="58"/>
  <c r="K17" i="58"/>
  <c r="K15" i="58"/>
  <c r="K11" i="58"/>
  <c r="K9" i="58"/>
  <c r="K26" i="58"/>
  <c r="K27" i="58"/>
  <c r="K28" i="58"/>
  <c r="K38" i="58"/>
  <c r="K39" i="58"/>
  <c r="K40" i="58"/>
  <c r="K41" i="58"/>
  <c r="K42" i="58"/>
  <c r="K43" i="58"/>
  <c r="K44" i="58"/>
  <c r="K45" i="58"/>
  <c r="K46" i="58"/>
  <c r="K47" i="58"/>
  <c r="K48" i="58"/>
  <c r="K49" i="58"/>
  <c r="K52" i="58"/>
  <c r="K53" i="58"/>
  <c r="K54" i="58"/>
  <c r="K55" i="58"/>
  <c r="K56" i="58"/>
  <c r="K57" i="58"/>
  <c r="K58" i="58"/>
  <c r="K59" i="58"/>
  <c r="K60" i="58"/>
  <c r="K61" i="58"/>
  <c r="K64" i="58"/>
  <c r="K69" i="58"/>
  <c r="K70" i="58"/>
  <c r="K71" i="58"/>
  <c r="K72" i="58"/>
  <c r="K73" i="58"/>
  <c r="K74" i="58"/>
  <c r="K75" i="58"/>
  <c r="K76" i="58"/>
  <c r="K77" i="58"/>
  <c r="K80" i="58"/>
  <c r="K81" i="58"/>
  <c r="K82" i="58"/>
  <c r="K83" i="58"/>
  <c r="K84" i="58"/>
  <c r="K85" i="58"/>
  <c r="K88" i="58"/>
  <c r="K89" i="58"/>
  <c r="K90" i="58"/>
  <c r="K93" i="58"/>
  <c r="K94" i="58"/>
  <c r="K95" i="58"/>
  <c r="K96" i="58"/>
  <c r="K110" i="58"/>
  <c r="K111" i="58"/>
  <c r="K112" i="58"/>
  <c r="K97" i="58"/>
  <c r="K100" i="58"/>
  <c r="K101" i="58"/>
  <c r="K102" i="58"/>
  <c r="K105" i="58"/>
  <c r="K119" i="58"/>
  <c r="L119" i="58" s="1"/>
  <c r="K23" i="56"/>
  <c r="K22" i="56"/>
  <c r="K17" i="56"/>
  <c r="K15" i="56"/>
  <c r="K11" i="56"/>
  <c r="K9" i="56"/>
  <c r="K26" i="56"/>
  <c r="K27" i="56"/>
  <c r="K28" i="56"/>
  <c r="K38" i="56"/>
  <c r="K39" i="56"/>
  <c r="K40" i="56"/>
  <c r="K41" i="56"/>
  <c r="K42" i="56"/>
  <c r="K43" i="56"/>
  <c r="K44" i="56"/>
  <c r="K45" i="56"/>
  <c r="K46" i="56"/>
  <c r="K50" i="56"/>
  <c r="K51" i="56"/>
  <c r="K52" i="56"/>
  <c r="K55" i="56"/>
  <c r="K56" i="56"/>
  <c r="K57" i="56"/>
  <c r="K61" i="56"/>
  <c r="K66" i="56"/>
  <c r="K67" i="56"/>
  <c r="K68" i="56"/>
  <c r="K74" i="56"/>
  <c r="K75" i="56"/>
  <c r="K76" i="56"/>
  <c r="K77" i="56"/>
  <c r="K78" i="56"/>
  <c r="K79" i="56"/>
  <c r="K82" i="56"/>
  <c r="K83" i="56"/>
  <c r="K84" i="56"/>
  <c r="K87" i="56"/>
  <c r="K88" i="56"/>
  <c r="K89" i="56"/>
  <c r="K103" i="56"/>
  <c r="K104" i="56"/>
  <c r="K105" i="56"/>
  <c r="K69" i="56"/>
  <c r="K70" i="56"/>
  <c r="K71" i="56"/>
  <c r="K47" i="56"/>
  <c r="K48" i="56"/>
  <c r="K49" i="56"/>
  <c r="K58" i="56"/>
  <c r="K90" i="56"/>
  <c r="K93" i="56"/>
  <c r="K94" i="56"/>
  <c r="K95" i="56"/>
  <c r="K98" i="56"/>
  <c r="K112" i="56"/>
  <c r="L112" i="56" s="1"/>
  <c r="K23" i="23"/>
  <c r="K22" i="23"/>
  <c r="K17" i="23"/>
  <c r="K15" i="23"/>
  <c r="K11" i="23"/>
  <c r="K9" i="23"/>
  <c r="K26" i="23"/>
  <c r="K27" i="23"/>
  <c r="K28" i="23"/>
  <c r="K38" i="23"/>
  <c r="K39" i="23"/>
  <c r="K40" i="23"/>
  <c r="K41" i="23"/>
  <c r="K42" i="23"/>
  <c r="K43" i="23"/>
  <c r="K44" i="23"/>
  <c r="K45" i="23"/>
  <c r="K46" i="23"/>
  <c r="K50" i="23"/>
  <c r="K51" i="23"/>
  <c r="K52" i="23"/>
  <c r="K55" i="23"/>
  <c r="K56" i="23"/>
  <c r="K57" i="23"/>
  <c r="K61" i="23"/>
  <c r="K66" i="23"/>
  <c r="K67" i="23"/>
  <c r="K68" i="23"/>
  <c r="K74" i="23"/>
  <c r="K75" i="23"/>
  <c r="K76" i="23"/>
  <c r="K77" i="23"/>
  <c r="K78" i="23"/>
  <c r="K79" i="23"/>
  <c r="K82" i="23"/>
  <c r="K83" i="23"/>
  <c r="K84" i="23"/>
  <c r="K87" i="23"/>
  <c r="K88" i="23"/>
  <c r="K89" i="23"/>
  <c r="K103" i="23"/>
  <c r="K104" i="23"/>
  <c r="K105" i="23"/>
  <c r="K69" i="23"/>
  <c r="K70" i="23"/>
  <c r="K71" i="23"/>
  <c r="K47" i="23"/>
  <c r="K48" i="23"/>
  <c r="K49" i="23"/>
  <c r="K58" i="23"/>
  <c r="K90" i="23"/>
  <c r="K93" i="23"/>
  <c r="K94" i="23"/>
  <c r="K95" i="23"/>
  <c r="K98" i="23"/>
  <c r="K112" i="23"/>
  <c r="L112" i="23" s="1"/>
  <c r="K9" i="26"/>
  <c r="K15" i="26"/>
  <c r="K16" i="26"/>
  <c r="K17" i="26"/>
  <c r="K20" i="26"/>
  <c r="K21" i="26"/>
  <c r="K24" i="26"/>
  <c r="K27" i="26"/>
  <c r="K28" i="26"/>
  <c r="K12" i="26"/>
  <c r="K9" i="44"/>
  <c r="K12" i="44"/>
  <c r="K15" i="44"/>
  <c r="K16" i="44"/>
  <c r="K17" i="44"/>
  <c r="K20" i="44"/>
  <c r="K24" i="44"/>
  <c r="K27" i="44"/>
  <c r="K28" i="44"/>
  <c r="K31" i="44"/>
  <c r="K32" i="44"/>
  <c r="K41" i="44"/>
  <c r="K21" i="44"/>
  <c r="K35" i="44"/>
  <c r="K36" i="44"/>
  <c r="K38" i="44"/>
  <c r="K48" i="44"/>
  <c r="L48" i="44" s="1"/>
  <c r="K9" i="38"/>
  <c r="K12" i="38"/>
  <c r="K15" i="38"/>
  <c r="K16" i="38"/>
  <c r="K17" i="38"/>
  <c r="K20" i="38"/>
  <c r="K24" i="38"/>
  <c r="K37" i="38"/>
  <c r="K38" i="38"/>
  <c r="K45" i="38"/>
  <c r="K27" i="38"/>
  <c r="K28" i="38"/>
  <c r="K29" i="38"/>
  <c r="K30" i="38"/>
  <c r="K31" i="38"/>
  <c r="K21" i="38"/>
  <c r="K34" i="38"/>
  <c r="K42" i="38"/>
  <c r="K52" i="38"/>
  <c r="L52" i="38" s="1"/>
  <c r="G45" i="2"/>
  <c r="G46" i="2"/>
  <c r="G47" i="2"/>
  <c r="G48" i="2"/>
  <c r="G49" i="2"/>
  <c r="G27" i="38"/>
  <c r="G28" i="38"/>
  <c r="G29" i="38"/>
  <c r="G30" i="38"/>
  <c r="G31" i="38"/>
  <c r="B43" i="16"/>
  <c r="G30" i="35"/>
  <c r="G31" i="35"/>
  <c r="B47" i="16"/>
  <c r="B5" i="29"/>
  <c r="B6" i="29"/>
  <c r="B30" i="29" s="1"/>
  <c r="B7" i="29"/>
  <c r="B31" i="29" s="1"/>
  <c r="B8" i="29"/>
  <c r="B32" i="29" s="1"/>
  <c r="B9" i="29"/>
  <c r="B33" i="29" s="1"/>
  <c r="B10" i="29"/>
  <c r="B34" i="29" s="1"/>
  <c r="B11" i="29"/>
  <c r="B35" i="29" s="1"/>
  <c r="B12" i="29"/>
  <c r="B36" i="29" s="1"/>
  <c r="B23" i="29"/>
  <c r="B47" i="29" s="1"/>
  <c r="B24" i="29"/>
  <c r="B48" i="29" s="1"/>
  <c r="B25" i="29"/>
  <c r="B49" i="29" s="1"/>
  <c r="Q6" i="1"/>
  <c r="Q11" i="1"/>
  <c r="Q22" i="1"/>
  <c r="Q23" i="1"/>
  <c r="Q24" i="1"/>
  <c r="Q9" i="1"/>
  <c r="Q4" i="1"/>
  <c r="Q5" i="1"/>
  <c r="Q7" i="1"/>
  <c r="Q8" i="1"/>
  <c r="Q10" i="1"/>
  <c r="D616" i="1"/>
  <c r="D614" i="1"/>
  <c r="J614" i="1"/>
  <c r="B614" i="1" s="1"/>
  <c r="J616" i="1"/>
  <c r="L616" i="1"/>
  <c r="F616" i="1"/>
  <c r="J618" i="1" s="1"/>
  <c r="L614" i="1"/>
  <c r="L606" i="1"/>
  <c r="F606" i="1"/>
  <c r="F614" i="1"/>
  <c r="E428" i="1"/>
  <c r="D428" i="1" s="1"/>
  <c r="M427" i="1"/>
  <c r="J663" i="1"/>
  <c r="J659" i="1"/>
  <c r="D606" i="1"/>
  <c r="B606" i="1" s="1"/>
  <c r="F594" i="1"/>
  <c r="D594" i="1"/>
  <c r="B594" i="1"/>
  <c r="F585" i="1"/>
  <c r="D585" i="1"/>
  <c r="B585" i="1"/>
  <c r="P591" i="1"/>
  <c r="N591" i="1"/>
  <c r="L591" i="1"/>
  <c r="F589" i="1"/>
  <c r="F591" i="1" s="1"/>
  <c r="D589" i="1"/>
  <c r="D591" i="1" s="1"/>
  <c r="B589" i="1"/>
  <c r="B591" i="1" s="1"/>
  <c r="F581" i="1"/>
  <c r="D581" i="1"/>
  <c r="B581" i="1"/>
  <c r="F580" i="1"/>
  <c r="B580" i="1"/>
  <c r="I15" i="5"/>
  <c r="H281" i="1"/>
  <c r="I15" i="2" s="1"/>
  <c r="H287" i="1"/>
  <c r="I14" i="2" s="1"/>
  <c r="I11" i="50"/>
  <c r="H293" i="1"/>
  <c r="I11" i="2" s="1"/>
  <c r="A84" i="23"/>
  <c r="A83" i="23"/>
  <c r="A105" i="23"/>
  <c r="A104" i="23"/>
  <c r="A95" i="23"/>
  <c r="A94" i="23"/>
  <c r="A89" i="23"/>
  <c r="A88" i="23"/>
  <c r="A79" i="23"/>
  <c r="A78" i="23"/>
  <c r="A77" i="23"/>
  <c r="A76" i="23"/>
  <c r="A71" i="23"/>
  <c r="A70" i="23"/>
  <c r="A68" i="23"/>
  <c r="A67" i="23"/>
  <c r="A57" i="23"/>
  <c r="A56" i="23"/>
  <c r="A52" i="23"/>
  <c r="A51" i="23"/>
  <c r="A49" i="23"/>
  <c r="A48" i="23"/>
  <c r="A46" i="23"/>
  <c r="A45" i="23"/>
  <c r="A43" i="23"/>
  <c r="A42" i="23"/>
  <c r="A40" i="23"/>
  <c r="A39" i="23"/>
  <c r="A84" i="56"/>
  <c r="A83" i="56"/>
  <c r="A105" i="56"/>
  <c r="A104" i="56"/>
  <c r="A95" i="56"/>
  <c r="A94" i="56"/>
  <c r="A89" i="56"/>
  <c r="A88" i="56"/>
  <c r="A79" i="56"/>
  <c r="A78" i="56"/>
  <c r="A77" i="56"/>
  <c r="A76" i="56"/>
  <c r="A71" i="56"/>
  <c r="A70" i="56"/>
  <c r="A68" i="56"/>
  <c r="A67" i="56"/>
  <c r="A57" i="56"/>
  <c r="A56" i="56"/>
  <c r="A52" i="56"/>
  <c r="A51" i="56"/>
  <c r="A49" i="56"/>
  <c r="A48" i="56"/>
  <c r="A46" i="56"/>
  <c r="A45" i="56"/>
  <c r="A43" i="56"/>
  <c r="A42" i="56"/>
  <c r="A40" i="56"/>
  <c r="A39" i="56"/>
  <c r="A90" i="58"/>
  <c r="A89" i="58"/>
  <c r="A112" i="58"/>
  <c r="A111" i="58"/>
  <c r="A102" i="58"/>
  <c r="A101" i="58"/>
  <c r="A95" i="58"/>
  <c r="A94" i="58"/>
  <c r="A85" i="58"/>
  <c r="A84" i="58"/>
  <c r="A83" i="58"/>
  <c r="A82" i="58"/>
  <c r="A74" i="58"/>
  <c r="A73" i="58"/>
  <c r="A71" i="58"/>
  <c r="A70" i="58"/>
  <c r="A61" i="58"/>
  <c r="A60" i="58"/>
  <c r="A58" i="58"/>
  <c r="A57" i="58"/>
  <c r="A55" i="58"/>
  <c r="A54" i="58"/>
  <c r="A49" i="58"/>
  <c r="A48" i="58"/>
  <c r="A46" i="58"/>
  <c r="A45" i="58"/>
  <c r="A43" i="58"/>
  <c r="A42" i="58"/>
  <c r="A40" i="58"/>
  <c r="A39" i="58"/>
  <c r="A90" i="61"/>
  <c r="A89" i="61"/>
  <c r="A112" i="61"/>
  <c r="A111" i="61"/>
  <c r="A102" i="61"/>
  <c r="A101" i="61"/>
  <c r="A95" i="61"/>
  <c r="A94" i="61"/>
  <c r="A85" i="61"/>
  <c r="A84" i="61"/>
  <c r="A83" i="61"/>
  <c r="A82" i="61"/>
  <c r="A74" i="61"/>
  <c r="A73" i="61"/>
  <c r="A71" i="61"/>
  <c r="A70" i="61"/>
  <c r="A61" i="61"/>
  <c r="A60" i="61"/>
  <c r="A58" i="61"/>
  <c r="A57" i="61"/>
  <c r="A55" i="61"/>
  <c r="A54" i="61"/>
  <c r="A49" i="61"/>
  <c r="A48" i="61"/>
  <c r="A46" i="61"/>
  <c r="A45" i="61"/>
  <c r="A43" i="61"/>
  <c r="A42" i="61"/>
  <c r="A40" i="61"/>
  <c r="A39" i="61"/>
  <c r="A90" i="41"/>
  <c r="A89" i="41"/>
  <c r="A112" i="41"/>
  <c r="A111" i="41"/>
  <c r="A102" i="41"/>
  <c r="A101" i="41"/>
  <c r="A95" i="41"/>
  <c r="A94" i="41"/>
  <c r="A85" i="41"/>
  <c r="A84" i="41"/>
  <c r="A83" i="41"/>
  <c r="A82" i="41"/>
  <c r="A49" i="41"/>
  <c r="A48" i="41"/>
  <c r="A46" i="41"/>
  <c r="A45" i="41"/>
  <c r="A43" i="41"/>
  <c r="A42" i="41"/>
  <c r="A40" i="41"/>
  <c r="A39" i="41"/>
  <c r="A74" i="41"/>
  <c r="A73" i="41"/>
  <c r="A71" i="41"/>
  <c r="A70" i="41"/>
  <c r="A61" i="30"/>
  <c r="A60" i="30"/>
  <c r="A61" i="41"/>
  <c r="A60" i="41"/>
  <c r="A58" i="41"/>
  <c r="A57" i="41"/>
  <c r="A55" i="41"/>
  <c r="A54" i="41"/>
  <c r="A89" i="30"/>
  <c r="A90" i="30"/>
  <c r="A112" i="30"/>
  <c r="A111" i="30"/>
  <c r="A102" i="30"/>
  <c r="A101" i="30"/>
  <c r="A95" i="30"/>
  <c r="A94" i="30"/>
  <c r="A85" i="30"/>
  <c r="A84" i="30"/>
  <c r="A83" i="30"/>
  <c r="A82" i="30"/>
  <c r="A74" i="30"/>
  <c r="A73" i="30"/>
  <c r="A71" i="30"/>
  <c r="A70" i="30"/>
  <c r="A58" i="30"/>
  <c r="A57" i="30"/>
  <c r="A55" i="30"/>
  <c r="A54" i="30"/>
  <c r="A49" i="30"/>
  <c r="A48" i="30"/>
  <c r="A46" i="30"/>
  <c r="A45" i="30"/>
  <c r="A43" i="30"/>
  <c r="A42" i="30"/>
  <c r="A40" i="30"/>
  <c r="A39" i="30"/>
  <c r="A90" i="20"/>
  <c r="A89" i="20"/>
  <c r="A112" i="20"/>
  <c r="A111" i="20"/>
  <c r="A102" i="20"/>
  <c r="A101" i="20"/>
  <c r="A95" i="20"/>
  <c r="A94" i="20"/>
  <c r="A85" i="20"/>
  <c r="A84" i="20"/>
  <c r="A83" i="20"/>
  <c r="A82" i="20"/>
  <c r="A74" i="20"/>
  <c r="A73" i="20"/>
  <c r="A71" i="20"/>
  <c r="A70" i="20"/>
  <c r="A61" i="20"/>
  <c r="A60" i="20"/>
  <c r="A58" i="20"/>
  <c r="A57" i="20"/>
  <c r="A55" i="20"/>
  <c r="A54" i="20"/>
  <c r="A49" i="20"/>
  <c r="A48" i="20"/>
  <c r="A46" i="20"/>
  <c r="A45" i="20"/>
  <c r="A43" i="20"/>
  <c r="A42" i="20"/>
  <c r="A40" i="20"/>
  <c r="A39" i="20"/>
  <c r="A102" i="17"/>
  <c r="A101" i="17"/>
  <c r="D430" i="1"/>
  <c r="D429" i="1"/>
  <c r="A90" i="17"/>
  <c r="A89" i="17"/>
  <c r="A94" i="17"/>
  <c r="A95" i="17"/>
  <c r="A96" i="17"/>
  <c r="A74" i="17"/>
  <c r="A73" i="17"/>
  <c r="A71" i="17"/>
  <c r="A70" i="17"/>
  <c r="A112" i="17"/>
  <c r="A111" i="17"/>
  <c r="P390" i="1"/>
  <c r="A85" i="17"/>
  <c r="A84" i="17"/>
  <c r="A83" i="17"/>
  <c r="A82" i="17"/>
  <c r="A61" i="17"/>
  <c r="A60" i="17"/>
  <c r="A58" i="17"/>
  <c r="A57" i="17"/>
  <c r="A55" i="17"/>
  <c r="A54" i="17"/>
  <c r="A49" i="17"/>
  <c r="A48" i="17"/>
  <c r="A46" i="17"/>
  <c r="A45" i="17"/>
  <c r="A43" i="17"/>
  <c r="A42" i="17"/>
  <c r="A40" i="17"/>
  <c r="A39" i="17"/>
  <c r="L345" i="1"/>
  <c r="L344" i="1"/>
  <c r="L324" i="1"/>
  <c r="L323" i="1"/>
  <c r="L318" i="1"/>
  <c r="L317" i="1"/>
  <c r="L315" i="1"/>
  <c r="L314" i="1"/>
  <c r="I22" i="2"/>
  <c r="A22" i="2"/>
  <c r="I21" i="2"/>
  <c r="A21" i="2"/>
  <c r="A28" i="23"/>
  <c r="A27" i="23"/>
  <c r="A28" i="56"/>
  <c r="A27" i="56"/>
  <c r="A28" i="58"/>
  <c r="A27" i="58"/>
  <c r="A28" i="61"/>
  <c r="A27" i="61"/>
  <c r="A28" i="41"/>
  <c r="A27" i="41"/>
  <c r="A28" i="30"/>
  <c r="A27" i="30"/>
  <c r="A28" i="20"/>
  <c r="A27" i="20"/>
  <c r="A28" i="17"/>
  <c r="A27" i="17"/>
  <c r="A23" i="2"/>
  <c r="A15" i="2"/>
  <c r="A14" i="2"/>
  <c r="A11" i="2"/>
  <c r="A17" i="2"/>
  <c r="A16" i="2"/>
  <c r="A10" i="2"/>
  <c r="A12" i="2"/>
  <c r="A13" i="2"/>
  <c r="A9" i="23"/>
  <c r="A22" i="23"/>
  <c r="A9" i="56"/>
  <c r="A22" i="56"/>
  <c r="A9" i="58"/>
  <c r="A22" i="58"/>
  <c r="A9" i="61"/>
  <c r="A22" i="61"/>
  <c r="A9" i="41"/>
  <c r="A22" i="41"/>
  <c r="A9" i="30"/>
  <c r="A22" i="30"/>
  <c r="A9" i="20"/>
  <c r="A22" i="20"/>
  <c r="A9" i="17"/>
  <c r="A22" i="17"/>
  <c r="Q438" i="1"/>
  <c r="A47" i="56"/>
  <c r="G334" i="1"/>
  <c r="S336" i="1"/>
  <c r="R336" i="1"/>
  <c r="Q336" i="1"/>
  <c r="P336" i="1"/>
  <c r="D47" i="37"/>
  <c r="D46" i="37"/>
  <c r="B47" i="37"/>
  <c r="B46" i="37"/>
  <c r="D47" i="43"/>
  <c r="D43" i="43"/>
  <c r="B47" i="43"/>
  <c r="B43" i="43"/>
  <c r="D46" i="28"/>
  <c r="D47" i="28"/>
  <c r="D44" i="28"/>
  <c r="D43" i="28"/>
  <c r="B47" i="28"/>
  <c r="B46" i="28"/>
  <c r="B44" i="28"/>
  <c r="B43" i="28"/>
  <c r="D43" i="16"/>
  <c r="B69" i="19"/>
  <c r="B69" i="22"/>
  <c r="B69" i="33"/>
  <c r="B69" i="40"/>
  <c r="B69" i="62"/>
  <c r="B69" i="59"/>
  <c r="B58" i="54"/>
  <c r="B51" i="4"/>
  <c r="D47" i="7"/>
  <c r="B47" i="7"/>
  <c r="B47" i="10"/>
  <c r="D47" i="10"/>
  <c r="B47" i="13"/>
  <c r="D47" i="13"/>
  <c r="B47" i="49"/>
  <c r="B47" i="46"/>
  <c r="D47" i="46"/>
  <c r="B46" i="36"/>
  <c r="D46" i="36"/>
  <c r="B43" i="36"/>
  <c r="D43" i="36"/>
  <c r="B42" i="36"/>
  <c r="D42" i="36"/>
  <c r="B40" i="36"/>
  <c r="D40" i="36"/>
  <c r="D43" i="46"/>
  <c r="B46" i="46"/>
  <c r="D46" i="46"/>
  <c r="B43" i="46"/>
  <c r="B42" i="46"/>
  <c r="D42" i="46"/>
  <c r="B40" i="46"/>
  <c r="D40" i="46"/>
  <c r="B46" i="49"/>
  <c r="D46" i="49"/>
  <c r="B43" i="49"/>
  <c r="D43" i="49"/>
  <c r="B46" i="13"/>
  <c r="D46" i="13"/>
  <c r="B43" i="13"/>
  <c r="D43" i="13"/>
  <c r="B46" i="10"/>
  <c r="D46" i="10"/>
  <c r="B43" i="10"/>
  <c r="D43" i="10"/>
  <c r="D46" i="7"/>
  <c r="B46" i="7"/>
  <c r="B43" i="7"/>
  <c r="D43" i="7"/>
  <c r="D47" i="16"/>
  <c r="D51" i="4"/>
  <c r="D47" i="49"/>
  <c r="A47" i="23"/>
  <c r="Q244" i="1"/>
  <c r="B240" i="1" s="1"/>
  <c r="G23" i="72" s="1"/>
  <c r="I72" i="1"/>
  <c r="I90" i="1"/>
  <c r="I79" i="1"/>
  <c r="I80" i="1" s="1"/>
  <c r="I85" i="1"/>
  <c r="I86" i="1"/>
  <c r="B53" i="54"/>
  <c r="B53" i="25"/>
  <c r="B64" i="59"/>
  <c r="B64" i="62"/>
  <c r="B64" i="40"/>
  <c r="B64" i="33"/>
  <c r="B64" i="22"/>
  <c r="B64" i="19"/>
  <c r="B253" i="1"/>
  <c r="AN23" i="1"/>
  <c r="AM23" i="1"/>
  <c r="AN24" i="1"/>
  <c r="AM24" i="1"/>
  <c r="AN22" i="1"/>
  <c r="AM22" i="1"/>
  <c r="AN21" i="1"/>
  <c r="AM21" i="1"/>
  <c r="AN20" i="1"/>
  <c r="AM20" i="1"/>
  <c r="AN11" i="1"/>
  <c r="AM11" i="1"/>
  <c r="AN10" i="1"/>
  <c r="AM10" i="1"/>
  <c r="AN9" i="1"/>
  <c r="AM9" i="1"/>
  <c r="AN8" i="1"/>
  <c r="AM8" i="1"/>
  <c r="AN7" i="1"/>
  <c r="AM7" i="1"/>
  <c r="AN6" i="1"/>
  <c r="AM6" i="1"/>
  <c r="AN5" i="1"/>
  <c r="AM5" i="1"/>
  <c r="AN4" i="1"/>
  <c r="AM4" i="1"/>
  <c r="S23" i="1"/>
  <c r="S22" i="1"/>
  <c r="S18" i="1"/>
  <c r="S17" i="1"/>
  <c r="S15" i="1"/>
  <c r="S14" i="1"/>
  <c r="S13" i="1"/>
  <c r="S12" i="1"/>
  <c r="S10" i="1"/>
  <c r="S9" i="1"/>
  <c r="S8" i="1"/>
  <c r="S7" i="1"/>
  <c r="S5" i="1"/>
  <c r="AL23" i="1"/>
  <c r="AK23" i="1"/>
  <c r="AK18" i="1"/>
  <c r="AL18" i="1"/>
  <c r="AL17" i="1"/>
  <c r="AK17" i="1"/>
  <c r="AL15" i="1"/>
  <c r="AK15" i="1"/>
  <c r="AL14" i="1"/>
  <c r="AK14" i="1"/>
  <c r="AL13" i="1"/>
  <c r="AK13" i="1"/>
  <c r="AL12" i="1"/>
  <c r="AK12" i="1"/>
  <c r="AL24" i="1"/>
  <c r="AK24" i="1"/>
  <c r="AL22" i="1"/>
  <c r="AK22" i="1"/>
  <c r="AL11" i="1"/>
  <c r="AK11" i="1"/>
  <c r="AL10" i="1"/>
  <c r="AK10" i="1"/>
  <c r="AL9" i="1"/>
  <c r="AK9" i="1"/>
  <c r="AL8" i="1"/>
  <c r="AK8" i="1"/>
  <c r="AL7" i="1"/>
  <c r="AK7" i="1"/>
  <c r="AL6" i="1"/>
  <c r="AK6" i="1"/>
  <c r="AL5" i="1"/>
  <c r="AK5" i="1"/>
  <c r="AL4" i="1"/>
  <c r="AK4" i="1"/>
  <c r="AJ20" i="1"/>
  <c r="AI20" i="1"/>
  <c r="A93" i="56"/>
  <c r="A100" i="58"/>
  <c r="A100" i="61"/>
  <c r="E91" i="1"/>
  <c r="B142" i="88" s="1"/>
  <c r="G142" i="88" s="1"/>
  <c r="H142" i="88" s="1"/>
  <c r="AX17" i="1"/>
  <c r="AW17" i="1"/>
  <c r="AX18" i="1"/>
  <c r="AW18" i="1"/>
  <c r="AX20" i="1"/>
  <c r="AW20" i="1"/>
  <c r="AV17" i="1"/>
  <c r="AU17" i="1"/>
  <c r="AV18" i="1"/>
  <c r="AU18" i="1"/>
  <c r="AV20" i="1"/>
  <c r="AU20" i="1"/>
  <c r="AT17" i="1"/>
  <c r="AS17" i="1"/>
  <c r="AT18" i="1"/>
  <c r="AS18" i="1"/>
  <c r="AT20" i="1"/>
  <c r="AS20" i="1"/>
  <c r="AP17" i="1"/>
  <c r="AO17" i="1"/>
  <c r="AP18" i="1"/>
  <c r="AO18" i="1"/>
  <c r="AP20" i="1"/>
  <c r="AO20" i="1"/>
  <c r="AD17" i="1"/>
  <c r="AC17" i="1"/>
  <c r="AB17" i="1"/>
  <c r="AA17" i="1"/>
  <c r="Z17" i="1"/>
  <c r="Y17" i="1"/>
  <c r="AD18" i="1"/>
  <c r="AC18" i="1"/>
  <c r="AB18" i="1"/>
  <c r="AA18" i="1"/>
  <c r="Z18" i="1"/>
  <c r="Y18" i="1"/>
  <c r="AF20" i="1"/>
  <c r="AE20" i="1"/>
  <c r="AD20" i="1"/>
  <c r="AC20" i="1"/>
  <c r="AB20" i="1"/>
  <c r="AA20" i="1"/>
  <c r="Z20" i="1"/>
  <c r="Y20" i="1"/>
  <c r="X17" i="1"/>
  <c r="W17" i="1"/>
  <c r="X18" i="1"/>
  <c r="W18" i="1"/>
  <c r="X20" i="1"/>
  <c r="W20" i="1"/>
  <c r="N20" i="1"/>
  <c r="M20" i="1"/>
  <c r="V17" i="1"/>
  <c r="U17" i="1"/>
  <c r="V18" i="1"/>
  <c r="U18" i="1"/>
  <c r="V20" i="1"/>
  <c r="U20" i="1"/>
  <c r="L20" i="1"/>
  <c r="K20" i="1"/>
  <c r="L18" i="1"/>
  <c r="K18" i="1"/>
  <c r="L17" i="1"/>
  <c r="K17" i="1"/>
  <c r="A45" i="29"/>
  <c r="A43" i="29"/>
  <c r="A42" i="29"/>
  <c r="J112" i="56"/>
  <c r="H112" i="56"/>
  <c r="A75" i="56"/>
  <c r="A44" i="56"/>
  <c r="A41" i="56"/>
  <c r="A11" i="56"/>
  <c r="A15" i="56"/>
  <c r="A17" i="56"/>
  <c r="R86" i="55"/>
  <c r="B105" i="55"/>
  <c r="L76" i="55"/>
  <c r="L75" i="55"/>
  <c r="B69" i="55"/>
  <c r="B64" i="55"/>
  <c r="B66" i="55"/>
  <c r="B63" i="55"/>
  <c r="B62" i="55"/>
  <c r="B61" i="55"/>
  <c r="B60" i="55"/>
  <c r="A50" i="23"/>
  <c r="A17" i="23"/>
  <c r="A11" i="23"/>
  <c r="A15" i="23"/>
  <c r="B89" i="57"/>
  <c r="B89" i="60"/>
  <c r="J119" i="58"/>
  <c r="H119" i="58"/>
  <c r="A96" i="58"/>
  <c r="A81" i="58"/>
  <c r="A77" i="58"/>
  <c r="A76" i="58"/>
  <c r="A72" i="58"/>
  <c r="A44" i="58"/>
  <c r="A41" i="58"/>
  <c r="A56" i="58"/>
  <c r="A53" i="58"/>
  <c r="A11" i="58"/>
  <c r="A17" i="58"/>
  <c r="J119" i="61"/>
  <c r="H119" i="61"/>
  <c r="A96" i="61"/>
  <c r="A81" i="61"/>
  <c r="A77" i="61"/>
  <c r="A76" i="61"/>
  <c r="A72" i="61"/>
  <c r="A44" i="61"/>
  <c r="A41" i="61"/>
  <c r="A56" i="61"/>
  <c r="A53" i="61"/>
  <c r="A11" i="61"/>
  <c r="A15" i="61"/>
  <c r="A17" i="61"/>
  <c r="F155" i="57"/>
  <c r="F153" i="57"/>
  <c r="F151" i="57"/>
  <c r="B148" i="57"/>
  <c r="K152" i="57"/>
  <c r="L111" i="57"/>
  <c r="L110" i="57"/>
  <c r="B105" i="57"/>
  <c r="B93" i="57"/>
  <c r="B90" i="57"/>
  <c r="B84" i="57"/>
  <c r="B83" i="57"/>
  <c r="B82" i="57"/>
  <c r="F155" i="60"/>
  <c r="F153" i="60"/>
  <c r="F151" i="60"/>
  <c r="B148" i="60"/>
  <c r="K152" i="60"/>
  <c r="L111" i="60"/>
  <c r="L110" i="60"/>
  <c r="B105" i="60"/>
  <c r="B93" i="60"/>
  <c r="B90" i="60"/>
  <c r="B84" i="60"/>
  <c r="B83" i="60"/>
  <c r="B82" i="60"/>
  <c r="L30" i="1"/>
  <c r="K30" i="1"/>
  <c r="L244" i="1"/>
  <c r="L229" i="1"/>
  <c r="B229" i="1" s="1"/>
  <c r="L228" i="1"/>
  <c r="L221" i="1"/>
  <c r="B221" i="1" s="1"/>
  <c r="L220" i="1"/>
  <c r="H225" i="1"/>
  <c r="E225" i="1"/>
  <c r="H217" i="1"/>
  <c r="E217" i="1"/>
  <c r="E216" i="1" s="1"/>
  <c r="A56" i="41"/>
  <c r="A53" i="41"/>
  <c r="A11" i="41"/>
  <c r="A15" i="41"/>
  <c r="A56" i="30"/>
  <c r="A53" i="30"/>
  <c r="A11" i="30"/>
  <c r="A15" i="30"/>
  <c r="A56" i="20"/>
  <c r="A53" i="20"/>
  <c r="A11" i="20"/>
  <c r="A15" i="20"/>
  <c r="B87" i="31"/>
  <c r="B87" i="21"/>
  <c r="A47" i="17"/>
  <c r="A72" i="17"/>
  <c r="A56" i="17"/>
  <c r="A53" i="17"/>
  <c r="A11" i="17"/>
  <c r="A15" i="17"/>
  <c r="B87" i="18"/>
  <c r="L180" i="1"/>
  <c r="L188" i="1"/>
  <c r="C8" i="15"/>
  <c r="L252" i="1"/>
  <c r="Q188" i="1"/>
  <c r="B184" i="1" s="1"/>
  <c r="G16" i="72" s="1"/>
  <c r="L196" i="1"/>
  <c r="L212" i="1"/>
  <c r="B213" i="1" s="1"/>
  <c r="A17" i="17"/>
  <c r="A17" i="20"/>
  <c r="A17" i="30"/>
  <c r="A17" i="41"/>
  <c r="A38" i="38"/>
  <c r="A28" i="38"/>
  <c r="A29" i="38"/>
  <c r="A30" i="38"/>
  <c r="A31" i="38"/>
  <c r="A16" i="38"/>
  <c r="A17" i="38"/>
  <c r="A21" i="38"/>
  <c r="A36" i="44"/>
  <c r="A32" i="44"/>
  <c r="A28" i="44"/>
  <c r="A16" i="44"/>
  <c r="A17" i="44"/>
  <c r="A21" i="44"/>
  <c r="A28" i="26"/>
  <c r="A16" i="26"/>
  <c r="A17" i="26"/>
  <c r="A21" i="26"/>
  <c r="A93" i="23"/>
  <c r="A75" i="23"/>
  <c r="A41" i="23"/>
  <c r="A44" i="23"/>
  <c r="A100" i="41"/>
  <c r="A96" i="41"/>
  <c r="A81" i="41"/>
  <c r="A76" i="41"/>
  <c r="A77" i="41"/>
  <c r="A72" i="41"/>
  <c r="A41" i="41"/>
  <c r="A44" i="41"/>
  <c r="A100" i="30"/>
  <c r="A96" i="30"/>
  <c r="A81" i="30"/>
  <c r="A76" i="30"/>
  <c r="A77" i="30"/>
  <c r="A72" i="30"/>
  <c r="A41" i="30"/>
  <c r="A44" i="30"/>
  <c r="A59" i="30"/>
  <c r="A100" i="20"/>
  <c r="A96" i="20"/>
  <c r="A81" i="20"/>
  <c r="A76" i="20"/>
  <c r="A77" i="20"/>
  <c r="A72" i="20"/>
  <c r="A41" i="20"/>
  <c r="A44" i="20"/>
  <c r="A100" i="17"/>
  <c r="A97" i="17"/>
  <c r="A81" i="17"/>
  <c r="A76" i="17"/>
  <c r="A77" i="17"/>
  <c r="A75" i="17"/>
  <c r="A41" i="17"/>
  <c r="A44" i="17"/>
  <c r="A59" i="17"/>
  <c r="A37" i="14"/>
  <c r="A36" i="14"/>
  <c r="A32" i="14"/>
  <c r="A28" i="14"/>
  <c r="A16" i="14"/>
  <c r="A17" i="14"/>
  <c r="A21" i="14"/>
  <c r="A31" i="35"/>
  <c r="A27" i="35"/>
  <c r="A21" i="35"/>
  <c r="A22" i="35"/>
  <c r="A23" i="35"/>
  <c r="A20" i="35"/>
  <c r="A19" i="35"/>
  <c r="A29" i="47"/>
  <c r="A23" i="47"/>
  <c r="A24" i="47"/>
  <c r="A25" i="47"/>
  <c r="A22" i="47"/>
  <c r="A21" i="47"/>
  <c r="A10" i="47"/>
  <c r="A11" i="47"/>
  <c r="A37" i="50"/>
  <c r="A31" i="50"/>
  <c r="A32" i="50"/>
  <c r="A33" i="50"/>
  <c r="A30" i="50"/>
  <c r="A18" i="50"/>
  <c r="A19" i="50"/>
  <c r="A23" i="50"/>
  <c r="A10" i="50"/>
  <c r="A11" i="50"/>
  <c r="A39" i="11"/>
  <c r="A33" i="11"/>
  <c r="A34" i="11"/>
  <c r="A35" i="11"/>
  <c r="A32" i="11"/>
  <c r="A30" i="11"/>
  <c r="A31" i="11"/>
  <c r="A18" i="11"/>
  <c r="A19" i="11"/>
  <c r="A23" i="11"/>
  <c r="A10" i="11"/>
  <c r="A11" i="11"/>
  <c r="A33" i="8"/>
  <c r="A29" i="8"/>
  <c r="A17" i="8"/>
  <c r="A18" i="8"/>
  <c r="A22" i="8"/>
  <c r="A13" i="8"/>
  <c r="A33" i="5"/>
  <c r="A28" i="5"/>
  <c r="A29" i="5"/>
  <c r="A16" i="5"/>
  <c r="A17" i="5"/>
  <c r="A21" i="5"/>
  <c r="A61" i="2"/>
  <c r="A62" i="2"/>
  <c r="A63" i="2"/>
  <c r="A64" i="2"/>
  <c r="A57" i="2"/>
  <c r="A53" i="2"/>
  <c r="A46" i="2"/>
  <c r="A47" i="2"/>
  <c r="A48" i="2"/>
  <c r="A49" i="2"/>
  <c r="A29" i="2"/>
  <c r="A30" i="2"/>
  <c r="A31" i="2"/>
  <c r="A32" i="2"/>
  <c r="A36" i="2"/>
  <c r="A37" i="2"/>
  <c r="A39" i="2"/>
  <c r="A24" i="2"/>
  <c r="A25" i="2"/>
  <c r="D20" i="43"/>
  <c r="D20" i="28"/>
  <c r="D20" i="16"/>
  <c r="D20" i="36"/>
  <c r="D20" i="49"/>
  <c r="D20" i="13"/>
  <c r="D20" i="7"/>
  <c r="D20" i="10"/>
  <c r="E34" i="3"/>
  <c r="E33" i="3"/>
  <c r="E32" i="3"/>
  <c r="E30" i="3"/>
  <c r="J60" i="3"/>
  <c r="N61" i="3"/>
  <c r="L61" i="3"/>
  <c r="L60" i="3"/>
  <c r="B55" i="3"/>
  <c r="B57" i="3"/>
  <c r="B82" i="3"/>
  <c r="R521" i="1"/>
  <c r="C82" i="3" s="1"/>
  <c r="E82" i="3" s="1"/>
  <c r="R560" i="1"/>
  <c r="C69" i="48" s="1"/>
  <c r="E69" i="48" s="1"/>
  <c r="L384" i="1"/>
  <c r="L385" i="1" s="1"/>
  <c r="L386" i="1" s="1"/>
  <c r="L387" i="1" s="1"/>
  <c r="L378" i="1"/>
  <c r="L373" i="1"/>
  <c r="H607" i="1" s="1"/>
  <c r="L372" i="1"/>
  <c r="H559" i="1" s="1"/>
  <c r="C31" i="6" s="1"/>
  <c r="E31" i="6" s="1"/>
  <c r="L370" i="1"/>
  <c r="L367" i="1"/>
  <c r="R512" i="1"/>
  <c r="C73" i="3" s="1"/>
  <c r="E73" i="3" s="1"/>
  <c r="R510" i="1"/>
  <c r="C71" i="3" s="1"/>
  <c r="E71" i="3" s="1"/>
  <c r="H509" i="1"/>
  <c r="C45" i="3" s="1"/>
  <c r="E45" i="3" s="1"/>
  <c r="H603" i="1"/>
  <c r="C29" i="39" s="1"/>
  <c r="E29" i="39" s="1"/>
  <c r="H598" i="1"/>
  <c r="H600" i="1"/>
  <c r="H599" i="1"/>
  <c r="C38" i="88" s="1"/>
  <c r="E38" i="88" s="1"/>
  <c r="H537" i="1"/>
  <c r="H515" i="1"/>
  <c r="C51" i="3" s="1"/>
  <c r="E51" i="3" s="1"/>
  <c r="H513" i="1"/>
  <c r="C49" i="3" s="1"/>
  <c r="E49" i="3" s="1"/>
  <c r="L322" i="1"/>
  <c r="L348" i="1"/>
  <c r="H595" i="1" s="1"/>
  <c r="L347" i="1"/>
  <c r="L346" i="1"/>
  <c r="H593" i="1" s="1"/>
  <c r="L343" i="1"/>
  <c r="L341" i="1"/>
  <c r="H508" i="1" s="1"/>
  <c r="C44" i="3" s="1"/>
  <c r="E44" i="3" s="1"/>
  <c r="L316" i="1"/>
  <c r="H504" i="1" s="1"/>
  <c r="C40" i="3" s="1"/>
  <c r="E40" i="3" s="1"/>
  <c r="L313" i="1"/>
  <c r="D380" i="1"/>
  <c r="D80" i="91" s="1"/>
  <c r="D379" i="1"/>
  <c r="D79" i="91" s="1"/>
  <c r="E498" i="1"/>
  <c r="D498" i="1" s="1"/>
  <c r="E412" i="1"/>
  <c r="D412" i="1" s="1"/>
  <c r="E368" i="1"/>
  <c r="D368" i="1" s="1"/>
  <c r="D374" i="1"/>
  <c r="G85" i="39"/>
  <c r="B83" i="39"/>
  <c r="R77" i="39"/>
  <c r="L72" i="39"/>
  <c r="B78" i="39"/>
  <c r="S73" i="39"/>
  <c r="U73" i="39"/>
  <c r="R80" i="39"/>
  <c r="N80" i="39"/>
  <c r="L73" i="39"/>
  <c r="B81" i="39"/>
  <c r="B42" i="39"/>
  <c r="B43" i="39"/>
  <c r="B44" i="39"/>
  <c r="B45" i="39"/>
  <c r="B46" i="39"/>
  <c r="B47" i="39"/>
  <c r="B48" i="39"/>
  <c r="B49" i="39"/>
  <c r="B50" i="39"/>
  <c r="B51" i="39"/>
  <c r="B52" i="39"/>
  <c r="B32" i="39"/>
  <c r="B53" i="39"/>
  <c r="B54" i="39"/>
  <c r="B34" i="39"/>
  <c r="B55" i="39"/>
  <c r="B56" i="39"/>
  <c r="B36" i="39"/>
  <c r="B57" i="39"/>
  <c r="B58" i="39"/>
  <c r="K24" i="39"/>
  <c r="K25" i="39"/>
  <c r="K26" i="39"/>
  <c r="K28" i="39"/>
  <c r="G65" i="39"/>
  <c r="K27" i="39"/>
  <c r="G66" i="39"/>
  <c r="G68" i="39"/>
  <c r="G63" i="39"/>
  <c r="H618" i="1"/>
  <c r="C31" i="39" s="1"/>
  <c r="G31" i="39" s="1"/>
  <c r="H31" i="39" s="1"/>
  <c r="S72" i="39"/>
  <c r="U72" i="39" s="1"/>
  <c r="B268" i="1"/>
  <c r="C4" i="37" s="1"/>
  <c r="O28" i="39"/>
  <c r="K31" i="39"/>
  <c r="M18" i="39"/>
  <c r="M25" i="39"/>
  <c r="M24" i="39"/>
  <c r="M19" i="39"/>
  <c r="M27" i="39"/>
  <c r="M26" i="39"/>
  <c r="H621" i="1"/>
  <c r="C34" i="39" s="1"/>
  <c r="E34" i="39" s="1"/>
  <c r="R619" i="1"/>
  <c r="C53" i="39" s="1"/>
  <c r="E53" i="39" s="1"/>
  <c r="B70" i="45"/>
  <c r="N83" i="39"/>
  <c r="B263" i="1"/>
  <c r="C4" i="43" s="1"/>
  <c r="N77" i="39"/>
  <c r="B30" i="45"/>
  <c r="B46" i="45"/>
  <c r="B45" i="45"/>
  <c r="B44" i="45"/>
  <c r="B67" i="45"/>
  <c r="B64" i="45"/>
  <c r="B255" i="1"/>
  <c r="B105" i="24"/>
  <c r="B148" i="42"/>
  <c r="B105" i="42"/>
  <c r="B93" i="42"/>
  <c r="G10" i="31"/>
  <c r="B148" i="31"/>
  <c r="B105" i="31"/>
  <c r="B93" i="31"/>
  <c r="K152" i="21"/>
  <c r="B148" i="21"/>
  <c r="B105" i="21"/>
  <c r="B93" i="21"/>
  <c r="G10" i="21"/>
  <c r="B81" i="3"/>
  <c r="B83" i="3"/>
  <c r="C20" i="3"/>
  <c r="C15" i="3"/>
  <c r="B82" i="18"/>
  <c r="B83" i="18"/>
  <c r="B84" i="18"/>
  <c r="B93" i="18"/>
  <c r="B105" i="18"/>
  <c r="L58" i="15"/>
  <c r="B172" i="1"/>
  <c r="L57" i="15"/>
  <c r="B66" i="15"/>
  <c r="B63" i="15"/>
  <c r="N68" i="15"/>
  <c r="R647" i="1"/>
  <c r="C57" i="39" s="1"/>
  <c r="E57" i="39" s="1"/>
  <c r="H647" i="1"/>
  <c r="C36" i="39" s="1"/>
  <c r="E36" i="39" s="1"/>
  <c r="R645" i="1"/>
  <c r="C46" i="45" s="1"/>
  <c r="E46" i="45" s="1"/>
  <c r="H645" i="1"/>
  <c r="C30" i="45" s="1"/>
  <c r="E30" i="45" s="1"/>
  <c r="R643" i="1"/>
  <c r="H643" i="1"/>
  <c r="R631" i="1"/>
  <c r="H631" i="1"/>
  <c r="R629" i="1"/>
  <c r="H629" i="1"/>
  <c r="R627" i="1"/>
  <c r="H627" i="1"/>
  <c r="B148" i="18"/>
  <c r="K152" i="42"/>
  <c r="K152" i="31"/>
  <c r="K152" i="18"/>
  <c r="B34" i="15"/>
  <c r="B35" i="15"/>
  <c r="B36" i="15"/>
  <c r="B37" i="15"/>
  <c r="B38" i="15"/>
  <c r="B39" i="15"/>
  <c r="B40" i="15"/>
  <c r="B41" i="15"/>
  <c r="B42" i="15"/>
  <c r="B43" i="15"/>
  <c r="B44" i="15"/>
  <c r="B45" i="15"/>
  <c r="R658" i="1"/>
  <c r="H658" i="1"/>
  <c r="R656" i="1"/>
  <c r="H656" i="1"/>
  <c r="R654" i="1"/>
  <c r="H654" i="1"/>
  <c r="R652" i="1"/>
  <c r="H652" i="1"/>
  <c r="R650" i="1"/>
  <c r="H650" i="1"/>
  <c r="R625" i="1"/>
  <c r="H625" i="1"/>
  <c r="R623" i="1"/>
  <c r="C45" i="15" s="1"/>
  <c r="E45" i="15" s="1"/>
  <c r="H623" i="1"/>
  <c r="C29" i="15" s="1"/>
  <c r="E29" i="15" s="1"/>
  <c r="R613" i="1"/>
  <c r="C43" i="15" s="1"/>
  <c r="E43" i="15" s="1"/>
  <c r="B103" i="34"/>
  <c r="B102" i="34"/>
  <c r="B101" i="34"/>
  <c r="B83" i="34"/>
  <c r="B81" i="34"/>
  <c r="B79" i="34"/>
  <c r="B77" i="34"/>
  <c r="B75" i="34"/>
  <c r="B73" i="34"/>
  <c r="B69" i="34"/>
  <c r="B67" i="34"/>
  <c r="B82" i="34"/>
  <c r="B85" i="48"/>
  <c r="B83" i="48"/>
  <c r="B84" i="48"/>
  <c r="B81" i="48"/>
  <c r="B79" i="48"/>
  <c r="B75" i="48"/>
  <c r="B69" i="48"/>
  <c r="B63" i="48"/>
  <c r="B64" i="48"/>
  <c r="B77" i="48"/>
  <c r="B85" i="51"/>
  <c r="R556" i="1"/>
  <c r="C83" i="34" s="1"/>
  <c r="E83" i="34" s="1"/>
  <c r="H556" i="1"/>
  <c r="C49" i="34" s="1"/>
  <c r="E49" i="34" s="1"/>
  <c r="R576" i="1"/>
  <c r="C103" i="51" s="1"/>
  <c r="E103" i="51" s="1"/>
  <c r="H576" i="1"/>
  <c r="B102" i="51"/>
  <c r="B103" i="51"/>
  <c r="B101" i="51"/>
  <c r="B86" i="51"/>
  <c r="B90" i="12"/>
  <c r="B71" i="48"/>
  <c r="B65" i="48"/>
  <c r="I151" i="1"/>
  <c r="G102" i="34" s="1"/>
  <c r="G105" i="34" s="1"/>
  <c r="H105" i="34" s="1"/>
  <c r="B111" i="12"/>
  <c r="B110" i="12"/>
  <c r="B109" i="12"/>
  <c r="B123" i="51"/>
  <c r="B122" i="51"/>
  <c r="B121" i="51"/>
  <c r="B105" i="48"/>
  <c r="B104" i="48"/>
  <c r="B103" i="48"/>
  <c r="B99" i="51"/>
  <c r="B97" i="51"/>
  <c r="B95" i="51"/>
  <c r="B93" i="51"/>
  <c r="B84" i="51"/>
  <c r="B82" i="51"/>
  <c r="B80" i="51"/>
  <c r="B78" i="51"/>
  <c r="B76" i="51"/>
  <c r="B265" i="1"/>
  <c r="H25" i="29" s="1"/>
  <c r="R554" i="1"/>
  <c r="H554" i="1"/>
  <c r="C40" i="51" s="1"/>
  <c r="E40" i="51" s="1"/>
  <c r="R552" i="1"/>
  <c r="H552" i="1"/>
  <c r="R550" i="1"/>
  <c r="C80" i="51" s="1"/>
  <c r="E80" i="51" s="1"/>
  <c r="H550" i="1"/>
  <c r="R548" i="1"/>
  <c r="H548" i="1"/>
  <c r="C41" i="34" s="1"/>
  <c r="E41" i="34" s="1"/>
  <c r="R546" i="1"/>
  <c r="H546" i="1"/>
  <c r="B89" i="12"/>
  <c r="B91" i="12"/>
  <c r="B87" i="12"/>
  <c r="B83" i="12"/>
  <c r="B77" i="12"/>
  <c r="B70" i="12"/>
  <c r="B68" i="12"/>
  <c r="R574" i="1"/>
  <c r="H574" i="1"/>
  <c r="C51" i="12" s="1"/>
  <c r="E51" i="12" s="1"/>
  <c r="R572" i="1"/>
  <c r="C87" i="12" s="1"/>
  <c r="E87" i="12" s="1"/>
  <c r="H572" i="1"/>
  <c r="R568" i="1"/>
  <c r="C77" i="48" s="1"/>
  <c r="E77" i="48" s="1"/>
  <c r="H568" i="1"/>
  <c r="C45" i="12" s="1"/>
  <c r="E45" i="12" s="1"/>
  <c r="R570" i="1"/>
  <c r="H570" i="1"/>
  <c r="R566" i="1"/>
  <c r="H566" i="1"/>
  <c r="B82" i="12"/>
  <c r="B48" i="9"/>
  <c r="B49" i="9"/>
  <c r="B50" i="9"/>
  <c r="R610" i="1"/>
  <c r="C50" i="9" s="1"/>
  <c r="E50" i="9" s="1"/>
  <c r="H610" i="1"/>
  <c r="C32" i="9" s="1"/>
  <c r="E32" i="9" s="1"/>
  <c r="R608" i="1"/>
  <c r="C48" i="9" s="1"/>
  <c r="E48" i="9" s="1"/>
  <c r="B47" i="6"/>
  <c r="B48" i="6"/>
  <c r="B49" i="6"/>
  <c r="B50" i="6"/>
  <c r="B55" i="6"/>
  <c r="B56" i="6"/>
  <c r="R562" i="1"/>
  <c r="H562" i="1"/>
  <c r="R542" i="1"/>
  <c r="H542" i="1"/>
  <c r="C35" i="34" s="1"/>
  <c r="E35" i="34" s="1"/>
  <c r="R540" i="1"/>
  <c r="C48" i="6" s="1"/>
  <c r="E48" i="6" s="1"/>
  <c r="H520" i="1"/>
  <c r="C56" i="3" s="1"/>
  <c r="E56" i="3" s="1"/>
  <c r="R520" i="1"/>
  <c r="C81" i="3" s="1"/>
  <c r="E81" i="3" s="1"/>
  <c r="B258" i="1"/>
  <c r="C4" i="28" s="1"/>
  <c r="B165" i="1"/>
  <c r="B166" i="1" s="1"/>
  <c r="B167" i="1" s="1"/>
  <c r="C4" i="36" s="1"/>
  <c r="B158" i="1"/>
  <c r="B159" i="1" s="1"/>
  <c r="B160" i="1" s="1"/>
  <c r="Q151" i="1"/>
  <c r="G103" i="34" s="1"/>
  <c r="H103" i="34" s="1"/>
  <c r="B151" i="1"/>
  <c r="B152" i="1" s="1"/>
  <c r="B153" i="1" s="1"/>
  <c r="B146" i="1"/>
  <c r="F3" i="9" s="1"/>
  <c r="B139" i="1"/>
  <c r="B140" i="1" s="1"/>
  <c r="B141" i="1" s="1"/>
  <c r="B132" i="1"/>
  <c r="B136" i="1"/>
  <c r="I10" i="1"/>
  <c r="I22" i="1"/>
  <c r="M9" i="1"/>
  <c r="M21" i="1"/>
  <c r="D334" i="1"/>
  <c r="F334" i="1"/>
  <c r="AU4" i="1"/>
  <c r="AU6" i="1"/>
  <c r="AU9" i="1"/>
  <c r="AU10" i="1"/>
  <c r="AU11" i="1"/>
  <c r="AU12" i="1"/>
  <c r="AU13" i="1"/>
  <c r="AU14" i="1"/>
  <c r="AU15" i="1"/>
  <c r="AU21" i="1"/>
  <c r="AU22" i="1"/>
  <c r="AU24" i="1"/>
  <c r="O9" i="1"/>
  <c r="O10" i="1"/>
  <c r="AA4" i="1"/>
  <c r="AA6" i="1"/>
  <c r="AA10" i="1"/>
  <c r="AA11" i="1"/>
  <c r="AA12" i="1"/>
  <c r="AA13" i="1"/>
  <c r="AA14" i="1"/>
  <c r="AA15" i="1"/>
  <c r="AA21" i="1"/>
  <c r="AA22" i="1"/>
  <c r="AA23" i="1"/>
  <c r="AA24" i="1"/>
  <c r="W4" i="1"/>
  <c r="W8" i="1"/>
  <c r="W10" i="1"/>
  <c r="W11" i="1"/>
  <c r="W12" i="1"/>
  <c r="W13" i="1"/>
  <c r="W14" i="1"/>
  <c r="W15" i="1"/>
  <c r="W21" i="1"/>
  <c r="W22" i="1"/>
  <c r="W23" i="1"/>
  <c r="W24" i="1"/>
  <c r="Y4" i="1"/>
  <c r="Y6" i="1"/>
  <c r="Y8" i="1"/>
  <c r="Y9" i="1"/>
  <c r="Y10" i="1"/>
  <c r="Y11" i="1"/>
  <c r="Y12" i="1"/>
  <c r="Y13" i="1"/>
  <c r="Y14" i="1"/>
  <c r="Y15" i="1"/>
  <c r="Y21" i="1"/>
  <c r="Y22" i="1"/>
  <c r="Y23" i="1"/>
  <c r="Y24" i="1"/>
  <c r="F81" i="1"/>
  <c r="F16" i="3" s="1"/>
  <c r="G16" i="3" s="1"/>
  <c r="H16" i="3" s="1"/>
  <c r="C123" i="1"/>
  <c r="E201" i="1"/>
  <c r="E200" i="1" s="1"/>
  <c r="E193" i="1"/>
  <c r="E185" i="1"/>
  <c r="E184" i="1" s="1"/>
  <c r="N70" i="45"/>
  <c r="L59" i="45"/>
  <c r="L58" i="45"/>
  <c r="L75" i="24"/>
  <c r="L76" i="24"/>
  <c r="R86" i="24"/>
  <c r="R127" i="18"/>
  <c r="R126" i="18"/>
  <c r="R125" i="18"/>
  <c r="L111" i="18"/>
  <c r="L110" i="18"/>
  <c r="L111" i="31"/>
  <c r="L110" i="31"/>
  <c r="L111" i="42"/>
  <c r="L110" i="42"/>
  <c r="B36" i="45"/>
  <c r="B37" i="45"/>
  <c r="B38" i="45"/>
  <c r="B39" i="45"/>
  <c r="B40" i="45"/>
  <c r="B41" i="45"/>
  <c r="B42" i="45"/>
  <c r="B43" i="45"/>
  <c r="B35" i="45"/>
  <c r="B31" i="27"/>
  <c r="B32" i="27"/>
  <c r="B33" i="27"/>
  <c r="B34" i="27"/>
  <c r="B35" i="27"/>
  <c r="B36" i="27"/>
  <c r="B37" i="27"/>
  <c r="B38" i="27"/>
  <c r="B30" i="27"/>
  <c r="B82" i="42"/>
  <c r="B83" i="42"/>
  <c r="B84" i="42"/>
  <c r="B90" i="42"/>
  <c r="B82" i="31"/>
  <c r="B83" i="31"/>
  <c r="B84" i="31"/>
  <c r="B90" i="31"/>
  <c r="B82" i="21"/>
  <c r="B83" i="21"/>
  <c r="B84" i="21"/>
  <c r="B55" i="34"/>
  <c r="B56" i="34"/>
  <c r="B57" i="34"/>
  <c r="B58" i="34"/>
  <c r="B59" i="34"/>
  <c r="B60" i="34"/>
  <c r="B61" i="34"/>
  <c r="B62" i="34"/>
  <c r="B63" i="34"/>
  <c r="B64" i="34"/>
  <c r="B65" i="34"/>
  <c r="B66" i="34"/>
  <c r="B68" i="34"/>
  <c r="B70" i="34"/>
  <c r="B71" i="34"/>
  <c r="B72" i="34"/>
  <c r="B74" i="34"/>
  <c r="B76" i="34"/>
  <c r="B78" i="34"/>
  <c r="B80" i="34"/>
  <c r="B54" i="34"/>
  <c r="B55" i="48"/>
  <c r="B56" i="48"/>
  <c r="B57" i="48"/>
  <c r="B58" i="48"/>
  <c r="B59" i="48"/>
  <c r="B60" i="48"/>
  <c r="B61" i="48"/>
  <c r="B62" i="48"/>
  <c r="B66" i="48"/>
  <c r="B67" i="48"/>
  <c r="B68" i="48"/>
  <c r="B70" i="48"/>
  <c r="B72" i="48"/>
  <c r="B73" i="48"/>
  <c r="B74" i="48"/>
  <c r="B76" i="48"/>
  <c r="B78" i="48"/>
  <c r="B80" i="48"/>
  <c r="B82" i="48"/>
  <c r="B54" i="48"/>
  <c r="B65" i="51"/>
  <c r="B66" i="51"/>
  <c r="B67" i="51"/>
  <c r="B68" i="51"/>
  <c r="B69" i="51"/>
  <c r="B70" i="51"/>
  <c r="B71" i="51"/>
  <c r="B72" i="51"/>
  <c r="B73" i="51"/>
  <c r="B74" i="51"/>
  <c r="B75" i="51"/>
  <c r="B77" i="51"/>
  <c r="B79" i="51"/>
  <c r="B81" i="51"/>
  <c r="B83" i="51"/>
  <c r="B87" i="51"/>
  <c r="B88" i="51"/>
  <c r="B89" i="51"/>
  <c r="B90" i="51"/>
  <c r="B91" i="51"/>
  <c r="B92" i="51"/>
  <c r="B94" i="51"/>
  <c r="B96" i="51"/>
  <c r="B98" i="51"/>
  <c r="B100" i="51"/>
  <c r="B64" i="51"/>
  <c r="B59" i="12"/>
  <c r="B60" i="12"/>
  <c r="B61" i="12"/>
  <c r="B62" i="12"/>
  <c r="B63" i="12"/>
  <c r="B64" i="12"/>
  <c r="B65" i="12"/>
  <c r="B66" i="12"/>
  <c r="B67" i="12"/>
  <c r="B69" i="12"/>
  <c r="B71" i="12"/>
  <c r="B72" i="12"/>
  <c r="B73" i="12"/>
  <c r="B74" i="12"/>
  <c r="B76" i="12"/>
  <c r="B78" i="12"/>
  <c r="B79" i="12"/>
  <c r="B80" i="12"/>
  <c r="B84" i="12"/>
  <c r="B86" i="12"/>
  <c r="B88" i="12"/>
  <c r="B58" i="12"/>
  <c r="B38" i="9"/>
  <c r="B39" i="9"/>
  <c r="B40" i="9"/>
  <c r="B41" i="9"/>
  <c r="B42" i="9"/>
  <c r="B43" i="9"/>
  <c r="B44" i="9"/>
  <c r="B45" i="9"/>
  <c r="B46" i="9"/>
  <c r="B47" i="9"/>
  <c r="B37" i="9"/>
  <c r="B40" i="6"/>
  <c r="B41" i="6"/>
  <c r="B42" i="6"/>
  <c r="B43" i="6"/>
  <c r="B44" i="6"/>
  <c r="B45" i="6"/>
  <c r="B46" i="6"/>
  <c r="B51" i="6"/>
  <c r="B52" i="6"/>
  <c r="B53" i="6"/>
  <c r="B39" i="6"/>
  <c r="G70" i="6"/>
  <c r="G66" i="9"/>
  <c r="AI21" i="1"/>
  <c r="AJ21" i="1"/>
  <c r="AJ11" i="1"/>
  <c r="AI11" i="1"/>
  <c r="AJ24" i="1"/>
  <c r="AI24" i="1"/>
  <c r="AJ22" i="1"/>
  <c r="AI22" i="1"/>
  <c r="AJ10" i="1"/>
  <c r="AI10" i="1"/>
  <c r="AJ9" i="1"/>
  <c r="AI9" i="1"/>
  <c r="AJ8" i="1"/>
  <c r="AI8" i="1"/>
  <c r="AJ7" i="1"/>
  <c r="AI7" i="1"/>
  <c r="AJ6" i="1"/>
  <c r="AI6" i="1"/>
  <c r="AJ5" i="1"/>
  <c r="AI5" i="1"/>
  <c r="AJ4" i="1"/>
  <c r="AI4" i="1"/>
  <c r="I31" i="11"/>
  <c r="AC178" i="1"/>
  <c r="AC179" i="1" s="1"/>
  <c r="Z22" i="1"/>
  <c r="Z21" i="1"/>
  <c r="Z12" i="1"/>
  <c r="Z4" i="1"/>
  <c r="I29" i="8"/>
  <c r="R620" i="1"/>
  <c r="C54" i="39" s="1"/>
  <c r="E54" i="39" s="1"/>
  <c r="C17" i="34"/>
  <c r="E17" i="34"/>
  <c r="C17" i="12"/>
  <c r="C17" i="51"/>
  <c r="E16" i="12"/>
  <c r="H259" i="1"/>
  <c r="C261" i="1"/>
  <c r="I45" i="2"/>
  <c r="AX23" i="1"/>
  <c r="AW23" i="1"/>
  <c r="AX22" i="1"/>
  <c r="AW22" i="1"/>
  <c r="AX21" i="1"/>
  <c r="AW21" i="1"/>
  <c r="AX15" i="1"/>
  <c r="AW15" i="1"/>
  <c r="AX14" i="1"/>
  <c r="AW14" i="1"/>
  <c r="AX13" i="1"/>
  <c r="AW13" i="1"/>
  <c r="AX12" i="1"/>
  <c r="AW12" i="1"/>
  <c r="AX11" i="1"/>
  <c r="AW11" i="1"/>
  <c r="AX10" i="1"/>
  <c r="AW10" i="1"/>
  <c r="AX9" i="1"/>
  <c r="AW9" i="1"/>
  <c r="AX8" i="1"/>
  <c r="AW8" i="1"/>
  <c r="AX7" i="1"/>
  <c r="AW7" i="1"/>
  <c r="AX6" i="1"/>
  <c r="AW6" i="1"/>
  <c r="AX5" i="1"/>
  <c r="AW5" i="1"/>
  <c r="E60" i="39"/>
  <c r="E18" i="39"/>
  <c r="E17" i="39"/>
  <c r="E15" i="39"/>
  <c r="E9" i="39"/>
  <c r="E16" i="45"/>
  <c r="E9" i="45"/>
  <c r="E40" i="27"/>
  <c r="E32" i="27"/>
  <c r="E14" i="27"/>
  <c r="E9" i="27"/>
  <c r="E15" i="15"/>
  <c r="E14" i="15"/>
  <c r="E85" i="34"/>
  <c r="E64" i="34"/>
  <c r="E57" i="34"/>
  <c r="E16" i="34"/>
  <c r="E15" i="34"/>
  <c r="E8" i="34"/>
  <c r="E87" i="48"/>
  <c r="E66" i="48"/>
  <c r="E57" i="48"/>
  <c r="E105" i="51"/>
  <c r="E67" i="51"/>
  <c r="E16" i="51"/>
  <c r="E15" i="51"/>
  <c r="E8" i="51"/>
  <c r="E93" i="12"/>
  <c r="E61" i="12"/>
  <c r="E15" i="12"/>
  <c r="E8" i="12"/>
  <c r="E52" i="9"/>
  <c r="E37" i="9"/>
  <c r="E16" i="9"/>
  <c r="E15" i="9"/>
  <c r="E9" i="9"/>
  <c r="E51" i="6"/>
  <c r="E42" i="6"/>
  <c r="E14" i="6"/>
  <c r="E13" i="6"/>
  <c r="E8" i="6"/>
  <c r="E28" i="3"/>
  <c r="E27" i="3"/>
  <c r="E23" i="3"/>
  <c r="E36" i="3"/>
  <c r="E21" i="3"/>
  <c r="E12" i="3"/>
  <c r="H177" i="1"/>
  <c r="J42" i="1"/>
  <c r="M260" i="1" s="1"/>
  <c r="O260" i="1" s="1"/>
  <c r="P260" i="1" s="1"/>
  <c r="C260" i="1"/>
  <c r="H148" i="1"/>
  <c r="H149" i="1" s="1"/>
  <c r="C3" i="4"/>
  <c r="C8" i="48"/>
  <c r="I31" i="35"/>
  <c r="I30" i="35"/>
  <c r="O405" i="1"/>
  <c r="O404" i="1"/>
  <c r="H4" i="35"/>
  <c r="E4" i="35"/>
  <c r="H3" i="35"/>
  <c r="K405" i="1"/>
  <c r="K404" i="1"/>
  <c r="E3" i="35"/>
  <c r="K125" i="1"/>
  <c r="H123" i="1"/>
  <c r="K123" i="1"/>
  <c r="H122" i="1" s="1"/>
  <c r="I70" i="2"/>
  <c r="C9" i="34"/>
  <c r="E9" i="34"/>
  <c r="H201" i="1"/>
  <c r="H193" i="1"/>
  <c r="H185" i="1"/>
  <c r="W179" i="1"/>
  <c r="W178" i="1"/>
  <c r="Y178" i="1" s="1"/>
  <c r="Y179" i="1" s="1"/>
  <c r="I22" i="35"/>
  <c r="I23" i="35"/>
  <c r="I21" i="35"/>
  <c r="AE24" i="1"/>
  <c r="AE23" i="1"/>
  <c r="AF22" i="1"/>
  <c r="AE22" i="1"/>
  <c r="AF21" i="1"/>
  <c r="AE21" i="1"/>
  <c r="AE11" i="1"/>
  <c r="AE6" i="1"/>
  <c r="AE5" i="1"/>
  <c r="AF4" i="1"/>
  <c r="AE4" i="1"/>
  <c r="K9" i="13"/>
  <c r="K9" i="49"/>
  <c r="C9" i="12"/>
  <c r="E9" i="12"/>
  <c r="C9" i="51"/>
  <c r="I26" i="50"/>
  <c r="I23" i="50"/>
  <c r="AV24" i="1"/>
  <c r="I26" i="11"/>
  <c r="I23" i="11"/>
  <c r="H3" i="49"/>
  <c r="H4" i="49"/>
  <c r="C3" i="49"/>
  <c r="B8" i="49" s="1"/>
  <c r="C4" i="50"/>
  <c r="C3" i="51"/>
  <c r="U8" i="1"/>
  <c r="K10" i="49"/>
  <c r="E49" i="50"/>
  <c r="I42" i="50"/>
  <c r="I39" i="50"/>
  <c r="I37" i="50"/>
  <c r="I36" i="50"/>
  <c r="I33" i="50"/>
  <c r="I32" i="50"/>
  <c r="I30" i="50"/>
  <c r="I31" i="50"/>
  <c r="I29" i="50"/>
  <c r="I22" i="50"/>
  <c r="I14" i="50"/>
  <c r="C12" i="51"/>
  <c r="E12" i="51"/>
  <c r="C11" i="51"/>
  <c r="E11" i="51"/>
  <c r="AT8" i="1"/>
  <c r="AS8" i="1"/>
  <c r="AR8" i="1"/>
  <c r="AQ8" i="1"/>
  <c r="AH8" i="1"/>
  <c r="AG8" i="1"/>
  <c r="L8" i="1"/>
  <c r="K8" i="1"/>
  <c r="C12" i="39"/>
  <c r="E12" i="39"/>
  <c r="M12" i="39"/>
  <c r="C11" i="39"/>
  <c r="E11" i="39"/>
  <c r="M10" i="39"/>
  <c r="M11" i="39"/>
  <c r="D47" i="1"/>
  <c r="L262" i="1"/>
  <c r="C13" i="45"/>
  <c r="E13" i="45"/>
  <c r="C11" i="45"/>
  <c r="E11" i="45"/>
  <c r="C12" i="45"/>
  <c r="M11" i="45"/>
  <c r="P11" i="45" s="1"/>
  <c r="N11" i="45" s="1"/>
  <c r="M12" i="45"/>
  <c r="N12" i="45" s="1"/>
  <c r="P12" i="45" s="1"/>
  <c r="O13" i="45" s="1"/>
  <c r="M13" i="45"/>
  <c r="N13" i="45" s="1"/>
  <c r="P13" i="45" s="1"/>
  <c r="M10" i="45"/>
  <c r="P10" i="45" s="1"/>
  <c r="N10" i="45" s="1"/>
  <c r="J43" i="1"/>
  <c r="N9" i="31"/>
  <c r="O11" i="31"/>
  <c r="C11" i="27"/>
  <c r="E11" i="27"/>
  <c r="M9" i="15"/>
  <c r="M8" i="15"/>
  <c r="K8" i="15"/>
  <c r="N9" i="15"/>
  <c r="M10" i="9"/>
  <c r="M9" i="9"/>
  <c r="K9" i="9"/>
  <c r="N9" i="9"/>
  <c r="E15" i="3"/>
  <c r="G86" i="39"/>
  <c r="H48" i="44"/>
  <c r="G72" i="45"/>
  <c r="G73" i="45"/>
  <c r="H119" i="41"/>
  <c r="H52" i="38"/>
  <c r="C3" i="37"/>
  <c r="B8" i="37" s="1"/>
  <c r="C4" i="38"/>
  <c r="C4" i="39"/>
  <c r="H119" i="20"/>
  <c r="C3" i="43"/>
  <c r="B8" i="43" s="1"/>
  <c r="D491" i="1"/>
  <c r="C4" i="44"/>
  <c r="J48" i="44"/>
  <c r="C4" i="45"/>
  <c r="AQ4" i="1"/>
  <c r="AQ5" i="1"/>
  <c r="AQ6" i="1"/>
  <c r="AQ7" i="1"/>
  <c r="AQ9" i="1"/>
  <c r="AQ10" i="1"/>
  <c r="AQ11" i="1"/>
  <c r="AQ23" i="1"/>
  <c r="AQ24" i="1"/>
  <c r="AG4" i="1"/>
  <c r="AG5" i="1"/>
  <c r="AG6" i="1"/>
  <c r="AG7" i="1"/>
  <c r="AG9" i="1"/>
  <c r="AG10" i="1"/>
  <c r="AG22" i="1"/>
  <c r="AG24" i="1"/>
  <c r="E426" i="1"/>
  <c r="D426" i="1" s="1"/>
  <c r="L64" i="1"/>
  <c r="L56" i="1"/>
  <c r="K56" i="1"/>
  <c r="I9" i="35"/>
  <c r="I12" i="35"/>
  <c r="I15" i="35"/>
  <c r="E369" i="1"/>
  <c r="D369" i="1" s="1"/>
  <c r="I18" i="35"/>
  <c r="U4" i="1"/>
  <c r="U11" i="1"/>
  <c r="U12" i="1"/>
  <c r="U13" i="1"/>
  <c r="U14" i="1"/>
  <c r="U15" i="1"/>
  <c r="U21" i="1"/>
  <c r="U22" i="1"/>
  <c r="U23" i="1"/>
  <c r="U24" i="1"/>
  <c r="I19" i="35"/>
  <c r="AC4" i="1"/>
  <c r="AC5" i="1"/>
  <c r="AC6" i="1"/>
  <c r="AC11" i="1"/>
  <c r="AC12" i="1"/>
  <c r="AC13" i="1"/>
  <c r="AC14" i="1"/>
  <c r="AC15" i="1"/>
  <c r="AC21" i="1"/>
  <c r="AC22" i="1"/>
  <c r="AC23" i="1"/>
  <c r="AC24" i="1"/>
  <c r="I20" i="35"/>
  <c r="E380" i="1"/>
  <c r="I26" i="35"/>
  <c r="I27" i="35"/>
  <c r="I33" i="35"/>
  <c r="I36" i="35"/>
  <c r="AO5" i="1"/>
  <c r="AO6" i="1"/>
  <c r="AO10" i="1"/>
  <c r="AO11" i="1"/>
  <c r="AO12" i="1"/>
  <c r="AO13" i="1"/>
  <c r="AO14" i="1"/>
  <c r="AO15" i="1"/>
  <c r="AO21" i="1"/>
  <c r="AO22" i="1"/>
  <c r="AO23" i="1"/>
  <c r="AO24" i="1"/>
  <c r="I14" i="47"/>
  <c r="N9" i="1"/>
  <c r="I17" i="47"/>
  <c r="I20" i="47"/>
  <c r="I21" i="47"/>
  <c r="I23" i="47"/>
  <c r="I22" i="47"/>
  <c r="I24" i="47"/>
  <c r="I25" i="47"/>
  <c r="I28" i="47"/>
  <c r="I29" i="47"/>
  <c r="I31" i="47"/>
  <c r="I34" i="47"/>
  <c r="K10" i="13"/>
  <c r="G121" i="24"/>
  <c r="E47" i="15"/>
  <c r="J52" i="38"/>
  <c r="A39" i="29"/>
  <c r="A40" i="29"/>
  <c r="A46" i="29"/>
  <c r="A47" i="29"/>
  <c r="A48" i="29"/>
  <c r="A49" i="29"/>
  <c r="A34" i="29"/>
  <c r="A35" i="29"/>
  <c r="A36" i="29"/>
  <c r="A37" i="29"/>
  <c r="A38" i="29"/>
  <c r="B118" i="1"/>
  <c r="B119" i="1"/>
  <c r="G122" i="24"/>
  <c r="I18" i="13"/>
  <c r="L17" i="13"/>
  <c r="L17" i="49"/>
  <c r="B70" i="1"/>
  <c r="C3" i="48"/>
  <c r="C10" i="48"/>
  <c r="E10" i="48"/>
  <c r="C11" i="12"/>
  <c r="E11" i="12"/>
  <c r="C11" i="48"/>
  <c r="E11" i="48"/>
  <c r="I14" i="11"/>
  <c r="I22" i="11"/>
  <c r="I29" i="11"/>
  <c r="I30" i="11"/>
  <c r="I33" i="11"/>
  <c r="I32" i="11"/>
  <c r="I34" i="11"/>
  <c r="I35" i="11"/>
  <c r="I38" i="11"/>
  <c r="I39" i="11"/>
  <c r="I41" i="11"/>
  <c r="I44" i="11"/>
  <c r="C12" i="12"/>
  <c r="E12" i="12"/>
  <c r="C3" i="46"/>
  <c r="B8" i="46" s="1"/>
  <c r="C4" i="47"/>
  <c r="AV9" i="1"/>
  <c r="AT9" i="1"/>
  <c r="AS9" i="1"/>
  <c r="AR9" i="1"/>
  <c r="AH9" i="1"/>
  <c r="P9" i="1"/>
  <c r="L9" i="1"/>
  <c r="K9" i="1"/>
  <c r="E41" i="47"/>
  <c r="X22" i="1"/>
  <c r="X21" i="1"/>
  <c r="X12" i="1"/>
  <c r="X4" i="1"/>
  <c r="AB10" i="1"/>
  <c r="AD22" i="1"/>
  <c r="AD21" i="1"/>
  <c r="AD12" i="1"/>
  <c r="AD4" i="1"/>
  <c r="E427" i="1"/>
  <c r="D427" i="1" s="1"/>
  <c r="I61" i="2"/>
  <c r="I62" i="2"/>
  <c r="I63" i="2"/>
  <c r="I64" i="2"/>
  <c r="I60" i="2"/>
  <c r="E413" i="1"/>
  <c r="D413" i="1" s="1"/>
  <c r="E411" i="1"/>
  <c r="D411" i="1" s="1"/>
  <c r="D410" i="1"/>
  <c r="D409" i="1"/>
  <c r="I53" i="2"/>
  <c r="I52" i="2"/>
  <c r="E367" i="1"/>
  <c r="I46" i="2"/>
  <c r="I47" i="2"/>
  <c r="I48" i="2"/>
  <c r="I49" i="2"/>
  <c r="E363" i="1"/>
  <c r="D363" i="1" s="1"/>
  <c r="E362" i="1"/>
  <c r="D362" i="1" s="1"/>
  <c r="E361" i="1"/>
  <c r="D361" i="1" s="1"/>
  <c r="E360" i="1"/>
  <c r="D360" i="1" s="1"/>
  <c r="E359" i="1"/>
  <c r="D359" i="1" s="1"/>
  <c r="I32" i="2"/>
  <c r="D328" i="1"/>
  <c r="I39" i="2"/>
  <c r="I38" i="2"/>
  <c r="I36" i="2"/>
  <c r="I35" i="2"/>
  <c r="D342" i="1"/>
  <c r="D333" i="1"/>
  <c r="D332" i="1"/>
  <c r="I25" i="2"/>
  <c r="I24" i="2"/>
  <c r="AV11" i="1"/>
  <c r="AV6" i="1"/>
  <c r="AV22" i="1"/>
  <c r="AV21" i="1"/>
  <c r="AV15" i="1"/>
  <c r="AV14" i="1"/>
  <c r="AV13" i="1"/>
  <c r="AV12" i="1"/>
  <c r="AV10" i="1"/>
  <c r="AV4" i="1"/>
  <c r="AB24" i="1"/>
  <c r="AB23" i="1"/>
  <c r="AB15" i="1"/>
  <c r="AB14" i="1"/>
  <c r="AT24" i="1"/>
  <c r="AS24" i="1"/>
  <c r="AT23" i="1"/>
  <c r="AS23" i="1"/>
  <c r="AT15" i="1"/>
  <c r="AS15" i="1"/>
  <c r="AT14" i="1"/>
  <c r="AS14" i="1"/>
  <c r="AT10" i="1"/>
  <c r="AS10" i="1"/>
  <c r="AR24" i="1"/>
  <c r="AR23" i="1"/>
  <c r="AR10" i="1"/>
  <c r="AP24" i="1"/>
  <c r="AP23" i="1"/>
  <c r="AP15" i="1"/>
  <c r="AP14" i="1"/>
  <c r="AP10" i="1"/>
  <c r="AH24" i="1"/>
  <c r="AH10" i="1"/>
  <c r="P10" i="1"/>
  <c r="L24" i="1"/>
  <c r="K24" i="1"/>
  <c r="L23" i="1"/>
  <c r="K23" i="1"/>
  <c r="L15" i="1"/>
  <c r="K15" i="1"/>
  <c r="L14" i="1"/>
  <c r="K14" i="1"/>
  <c r="L10" i="1"/>
  <c r="K10" i="1"/>
  <c r="J10" i="1"/>
  <c r="V4" i="1"/>
  <c r="AH4" i="1"/>
  <c r="AR4" i="1"/>
  <c r="AS4" i="1"/>
  <c r="AT4" i="1"/>
  <c r="AB4" i="1"/>
  <c r="K5" i="1"/>
  <c r="L5" i="1"/>
  <c r="AH5" i="1"/>
  <c r="AP5" i="1"/>
  <c r="AR5" i="1"/>
  <c r="AS5" i="1"/>
  <c r="AT5" i="1"/>
  <c r="AH6" i="1"/>
  <c r="AP6" i="1"/>
  <c r="AR6" i="1"/>
  <c r="AB6" i="1"/>
  <c r="K7" i="1"/>
  <c r="L7" i="1"/>
  <c r="AH7" i="1"/>
  <c r="AR7" i="1"/>
  <c r="AS7" i="1"/>
  <c r="AT7" i="1"/>
  <c r="K11" i="1"/>
  <c r="L11" i="1"/>
  <c r="AP11" i="1"/>
  <c r="AR11" i="1"/>
  <c r="AB11" i="1"/>
  <c r="K12" i="1"/>
  <c r="L12" i="1"/>
  <c r="V12" i="1"/>
  <c r="AP12" i="1"/>
  <c r="AS12" i="1"/>
  <c r="AT12" i="1"/>
  <c r="AB12" i="1"/>
  <c r="K13" i="1"/>
  <c r="L13" i="1"/>
  <c r="AP13" i="1"/>
  <c r="AS13" i="1"/>
  <c r="AT13" i="1"/>
  <c r="AB13" i="1"/>
  <c r="K21" i="1"/>
  <c r="L21" i="1"/>
  <c r="N21" i="1"/>
  <c r="V21" i="1"/>
  <c r="AP21" i="1"/>
  <c r="AS21" i="1"/>
  <c r="AT21" i="1"/>
  <c r="AB21" i="1"/>
  <c r="J22" i="1"/>
  <c r="D12" i="26" s="1"/>
  <c r="K22" i="1"/>
  <c r="L22" i="1"/>
  <c r="V22" i="1"/>
  <c r="AH22" i="1"/>
  <c r="AP22" i="1"/>
  <c r="AS22" i="1"/>
  <c r="AT22" i="1"/>
  <c r="AB22" i="1"/>
  <c r="I41" i="8"/>
  <c r="I33" i="8"/>
  <c r="I32" i="8"/>
  <c r="I28" i="8"/>
  <c r="I25" i="8"/>
  <c r="I22" i="8"/>
  <c r="I21" i="8"/>
  <c r="I13" i="8"/>
  <c r="I12" i="8"/>
  <c r="I38" i="8"/>
  <c r="I66" i="2"/>
  <c r="I69" i="2"/>
  <c r="I57" i="2"/>
  <c r="I56" i="2"/>
  <c r="I42" i="2"/>
  <c r="I37" i="2"/>
  <c r="I23" i="2"/>
  <c r="I20" i="2"/>
  <c r="J119" i="41"/>
  <c r="B143" i="1"/>
  <c r="J119" i="30"/>
  <c r="H119" i="30"/>
  <c r="J2" i="21"/>
  <c r="K1" i="21" s="1"/>
  <c r="C3" i="36"/>
  <c r="B8" i="36" s="1"/>
  <c r="E43" i="35"/>
  <c r="C4" i="35"/>
  <c r="A65" i="34"/>
  <c r="A63" i="34"/>
  <c r="A62" i="34"/>
  <c r="A56" i="34"/>
  <c r="A29" i="34"/>
  <c r="A28" i="34"/>
  <c r="A22" i="34"/>
  <c r="C13" i="34"/>
  <c r="E13" i="34"/>
  <c r="C12" i="34"/>
  <c r="E12" i="34"/>
  <c r="C11" i="34"/>
  <c r="E11" i="34"/>
  <c r="C3" i="34"/>
  <c r="C3" i="7"/>
  <c r="C3" i="6"/>
  <c r="C10" i="6"/>
  <c r="E10" i="6"/>
  <c r="C36" i="6"/>
  <c r="C58" i="6"/>
  <c r="E58" i="6"/>
  <c r="C4" i="5"/>
  <c r="E48" i="5"/>
  <c r="H48" i="5"/>
  <c r="H119" i="17"/>
  <c r="J119" i="17"/>
  <c r="A29" i="29"/>
  <c r="A31" i="29"/>
  <c r="A32" i="29"/>
  <c r="C3" i="16"/>
  <c r="B8" i="16" s="1"/>
  <c r="C3" i="15"/>
  <c r="E8" i="15"/>
  <c r="C10" i="15"/>
  <c r="E10" i="15"/>
  <c r="C11" i="15"/>
  <c r="E11" i="15"/>
  <c r="L16" i="15"/>
  <c r="O16" i="15"/>
  <c r="L17" i="15"/>
  <c r="C4" i="14"/>
  <c r="H49" i="14"/>
  <c r="C3" i="13"/>
  <c r="B8" i="13" s="1"/>
  <c r="C3" i="12"/>
  <c r="C4" i="11"/>
  <c r="E51" i="11"/>
  <c r="J51" i="11"/>
  <c r="E51" i="1"/>
  <c r="E52" i="1"/>
  <c r="B55" i="1"/>
  <c r="F124" i="1"/>
  <c r="G123" i="1" s="1"/>
  <c r="B127" i="1"/>
  <c r="G129" i="1"/>
  <c r="N131" i="1"/>
  <c r="O131" i="1"/>
  <c r="P131" i="1"/>
  <c r="G132" i="1"/>
  <c r="W132" i="1"/>
  <c r="W133" i="1" s="1"/>
  <c r="Y132" i="1"/>
  <c r="G133" i="1"/>
  <c r="G134" i="1"/>
  <c r="J119" i="20"/>
  <c r="F6" i="3"/>
  <c r="N12" i="3"/>
  <c r="N13" i="3"/>
  <c r="K14" i="3"/>
  <c r="L12" i="3"/>
  <c r="C16" i="3"/>
  <c r="E16" i="3"/>
  <c r="Q17" i="3"/>
  <c r="S17" i="3"/>
  <c r="Q18" i="3"/>
  <c r="S18" i="3"/>
  <c r="R18" i="3"/>
  <c r="E20" i="3"/>
  <c r="C24" i="3"/>
  <c r="E24" i="3"/>
  <c r="C25" i="3"/>
  <c r="E25" i="3"/>
  <c r="J50" i="3"/>
  <c r="J75" i="3"/>
  <c r="J73" i="3"/>
  <c r="L75" i="3"/>
  <c r="J76" i="3"/>
  <c r="C4" i="2"/>
  <c r="H74" i="2"/>
  <c r="J74" i="2"/>
  <c r="C4" i="9"/>
  <c r="C4" i="8"/>
  <c r="H45" i="8"/>
  <c r="J45" i="8"/>
  <c r="H112" i="23"/>
  <c r="J112" i="23"/>
  <c r="C3" i="28"/>
  <c r="B8" i="28" s="1"/>
  <c r="C4" i="27"/>
  <c r="G53" i="27"/>
  <c r="G54" i="27"/>
  <c r="C4" i="26"/>
  <c r="L13" i="3"/>
  <c r="J43" i="35"/>
  <c r="H43" i="35"/>
  <c r="L12" i="9"/>
  <c r="N12" i="9"/>
  <c r="N10" i="9"/>
  <c r="L11" i="15"/>
  <c r="M11" i="15"/>
  <c r="N8" i="15"/>
  <c r="N11" i="15"/>
  <c r="M12" i="9"/>
  <c r="B126" i="1"/>
  <c r="H29" i="29"/>
  <c r="E17" i="12"/>
  <c r="E17" i="51"/>
  <c r="D31" i="46"/>
  <c r="N14" i="3"/>
  <c r="C11" i="3"/>
  <c r="K5" i="49"/>
  <c r="H5" i="49"/>
  <c r="L16" i="13"/>
  <c r="L16" i="49"/>
  <c r="H51" i="11"/>
  <c r="J48" i="5"/>
  <c r="N10" i="31"/>
  <c r="E11" i="3"/>
  <c r="L14" i="3"/>
  <c r="M14" i="3"/>
  <c r="G118" i="1"/>
  <c r="O17" i="15"/>
  <c r="O18" i="15"/>
  <c r="L18" i="15"/>
  <c r="M17" i="15"/>
  <c r="H49" i="50"/>
  <c r="J49" i="50"/>
  <c r="E9" i="51"/>
  <c r="E12" i="45"/>
  <c r="J41" i="47"/>
  <c r="H41" i="47"/>
  <c r="E8" i="48"/>
  <c r="M28" i="39"/>
  <c r="M16" i="15"/>
  <c r="AW24" i="1"/>
  <c r="AU23" i="1"/>
  <c r="AS6" i="1"/>
  <c r="W6" i="1"/>
  <c r="U6" i="1"/>
  <c r="K6" i="1"/>
  <c r="AC10" i="1"/>
  <c r="U10" i="1"/>
  <c r="AW4" i="1"/>
  <c r="AO4" i="1"/>
  <c r="K4" i="1"/>
  <c r="N20" i="15"/>
  <c r="M18" i="15"/>
  <c r="AU8" i="1"/>
  <c r="AA8" i="1"/>
  <c r="AC8" i="1"/>
  <c r="AO8" i="1"/>
  <c r="AO7" i="1"/>
  <c r="AU7" i="1"/>
  <c r="AA7" i="1"/>
  <c r="W7" i="1"/>
  <c r="Y7" i="1"/>
  <c r="AC7" i="1"/>
  <c r="U7" i="1"/>
  <c r="AS11" i="1"/>
  <c r="AO9" i="1"/>
  <c r="W9" i="1"/>
  <c r="U9" i="1"/>
  <c r="AA9" i="1"/>
  <c r="AC9" i="1"/>
  <c r="U5" i="1"/>
  <c r="AU5" i="1"/>
  <c r="AA5" i="1"/>
  <c r="Y5" i="1"/>
  <c r="W5" i="1"/>
  <c r="S11" i="1"/>
  <c r="S4" i="1"/>
  <c r="S24" i="1"/>
  <c r="S6" i="1"/>
  <c r="L104" i="24" l="1"/>
  <c r="L147" i="88"/>
  <c r="L147" i="60"/>
  <c r="L147" i="31"/>
  <c r="L147" i="57"/>
  <c r="L147" i="21"/>
  <c r="F132" i="89"/>
  <c r="F673" i="1"/>
  <c r="F674" i="1"/>
  <c r="F665" i="1"/>
  <c r="F668" i="1"/>
  <c r="F667" i="1"/>
  <c r="F666" i="1"/>
  <c r="C95" i="40"/>
  <c r="B108" i="40" s="1"/>
  <c r="C94" i="40"/>
  <c r="F110" i="40" s="1"/>
  <c r="C96" i="40"/>
  <c r="B110" i="40" s="1"/>
  <c r="C96" i="33"/>
  <c r="C95" i="33"/>
  <c r="C94" i="33"/>
  <c r="D19" i="29"/>
  <c r="D43" i="29" s="1"/>
  <c r="C97" i="59"/>
  <c r="E97" i="59" s="1"/>
  <c r="C94" i="22"/>
  <c r="C95" i="22"/>
  <c r="C96" i="22"/>
  <c r="B110" i="91"/>
  <c r="E110" i="91" s="1"/>
  <c r="H110" i="91" s="1"/>
  <c r="M478" i="1"/>
  <c r="B478" i="1" s="1"/>
  <c r="B105" i="91" s="1"/>
  <c r="C83" i="25"/>
  <c r="H120" i="24"/>
  <c r="M477" i="1"/>
  <c r="B477" i="1" s="1"/>
  <c r="B104" i="91" s="1"/>
  <c r="L104" i="55"/>
  <c r="L105" i="92"/>
  <c r="E94" i="57"/>
  <c r="C96" i="59"/>
  <c r="C95" i="59"/>
  <c r="C94" i="59"/>
  <c r="M476" i="1"/>
  <c r="B476" i="1" s="1"/>
  <c r="B103" i="91" s="1"/>
  <c r="C95" i="62"/>
  <c r="C94" i="62"/>
  <c r="C96" i="62"/>
  <c r="G106" i="92"/>
  <c r="H106" i="92" s="1"/>
  <c r="G105" i="92"/>
  <c r="H105" i="92" s="1"/>
  <c r="B1" i="92"/>
  <c r="B1" i="89"/>
  <c r="B81" i="89"/>
  <c r="B1" i="91"/>
  <c r="D28" i="4"/>
  <c r="D24" i="4"/>
  <c r="D121" i="89"/>
  <c r="H121" i="89"/>
  <c r="F121" i="89"/>
  <c r="D116" i="89"/>
  <c r="B78" i="90" s="1"/>
  <c r="H116" i="89"/>
  <c r="F116" i="89"/>
  <c r="D118" i="89"/>
  <c r="H118" i="89"/>
  <c r="F118" i="89"/>
  <c r="B29" i="29"/>
  <c r="M301" i="1"/>
  <c r="B301" i="1" s="1"/>
  <c r="B30" i="91" s="1"/>
  <c r="M376" i="1"/>
  <c r="B376" i="1" s="1"/>
  <c r="B70" i="91" s="1"/>
  <c r="E70" i="91" s="1"/>
  <c r="M300" i="1"/>
  <c r="B300" i="1" s="1"/>
  <c r="B29" i="91" s="1"/>
  <c r="M378" i="1"/>
  <c r="M375" i="1"/>
  <c r="B375" i="1" s="1"/>
  <c r="B69" i="91" s="1"/>
  <c r="E69" i="91" s="1"/>
  <c r="M303" i="1"/>
  <c r="B303" i="1" s="1"/>
  <c r="B32" i="91" s="1"/>
  <c r="M377" i="1"/>
  <c r="B377" i="1" s="1"/>
  <c r="B71" i="91" s="1"/>
  <c r="E71" i="91" s="1"/>
  <c r="E14" i="57"/>
  <c r="H130" i="57"/>
  <c r="H22" i="57"/>
  <c r="B123" i="59" s="1"/>
  <c r="D123" i="59" s="1"/>
  <c r="B102" i="92"/>
  <c r="H102" i="92" s="1"/>
  <c r="B102" i="1"/>
  <c r="B92" i="1"/>
  <c r="B106" i="87" s="1"/>
  <c r="E106" i="87" s="1"/>
  <c r="L106" i="87" s="1"/>
  <c r="B101" i="1"/>
  <c r="E82" i="57"/>
  <c r="E49" i="57"/>
  <c r="H9" i="57"/>
  <c r="E31" i="57"/>
  <c r="E84" i="57"/>
  <c r="B163" i="88"/>
  <c r="B114" i="92"/>
  <c r="B162" i="88"/>
  <c r="B113" i="92"/>
  <c r="K105" i="92"/>
  <c r="E84" i="92"/>
  <c r="E81" i="92"/>
  <c r="E50" i="92"/>
  <c r="E47" i="92"/>
  <c r="I122" i="92"/>
  <c r="I13" i="92"/>
  <c r="I9" i="92"/>
  <c r="I89" i="92"/>
  <c r="I100" i="92"/>
  <c r="B160" i="88"/>
  <c r="B111" i="92"/>
  <c r="B161" i="88"/>
  <c r="B112" i="92"/>
  <c r="K147" i="42"/>
  <c r="M147" i="42" s="1"/>
  <c r="K147" i="88"/>
  <c r="M147" i="88" s="1"/>
  <c r="K147" i="31"/>
  <c r="K147" i="18"/>
  <c r="K147" i="57"/>
  <c r="K147" i="21"/>
  <c r="M147" i="21" s="1"/>
  <c r="K104" i="24"/>
  <c r="M104" i="24" s="1"/>
  <c r="K104" i="55"/>
  <c r="K147" i="60"/>
  <c r="M147" i="60" s="1"/>
  <c r="L147" i="18"/>
  <c r="G147" i="18"/>
  <c r="H147" i="18" s="1"/>
  <c r="L115" i="60"/>
  <c r="L68" i="60"/>
  <c r="C63" i="60"/>
  <c r="C122" i="60"/>
  <c r="L63" i="60"/>
  <c r="C70" i="60"/>
  <c r="L120" i="60"/>
  <c r="C115" i="60"/>
  <c r="L69" i="42"/>
  <c r="L117" i="42"/>
  <c r="L68" i="42"/>
  <c r="L116" i="42"/>
  <c r="C122" i="42"/>
  <c r="C63" i="42"/>
  <c r="L65" i="42"/>
  <c r="L115" i="42"/>
  <c r="L64" i="42"/>
  <c r="L63" i="42"/>
  <c r="C115" i="42"/>
  <c r="L122" i="42"/>
  <c r="C70" i="42"/>
  <c r="L121" i="42"/>
  <c r="L70" i="42"/>
  <c r="L120" i="42"/>
  <c r="H78" i="31"/>
  <c r="B140" i="33" s="1"/>
  <c r="D140" i="33" s="1"/>
  <c r="C122" i="31"/>
  <c r="L68" i="31"/>
  <c r="L63" i="31"/>
  <c r="H78" i="21"/>
  <c r="B140" i="22" s="1"/>
  <c r="D140" i="22" s="1"/>
  <c r="L115" i="21"/>
  <c r="C115" i="21"/>
  <c r="L68" i="21"/>
  <c r="C122" i="21"/>
  <c r="C70" i="21"/>
  <c r="L120" i="21"/>
  <c r="L63" i="21"/>
  <c r="C63" i="21"/>
  <c r="L63" i="57"/>
  <c r="C70" i="57"/>
  <c r="L68" i="57"/>
  <c r="C63" i="57"/>
  <c r="H54" i="24"/>
  <c r="E78" i="18"/>
  <c r="N83" i="55"/>
  <c r="N80" i="55"/>
  <c r="J452" i="1"/>
  <c r="C54" i="57"/>
  <c r="G54" i="57" s="1"/>
  <c r="H54" i="57" s="1"/>
  <c r="C54" i="88"/>
  <c r="C54" i="42"/>
  <c r="E54" i="42" s="1"/>
  <c r="C48" i="42"/>
  <c r="G48" i="42" s="1"/>
  <c r="H48" i="42" s="1"/>
  <c r="C48" i="88"/>
  <c r="C98" i="88"/>
  <c r="C98" i="42"/>
  <c r="G98" i="42" s="1"/>
  <c r="H98" i="42" s="1"/>
  <c r="H169" i="60"/>
  <c r="C100" i="60"/>
  <c r="E100" i="60" s="1"/>
  <c r="C100" i="88"/>
  <c r="C100" i="42"/>
  <c r="E100" i="42" s="1"/>
  <c r="C106" i="42"/>
  <c r="G106" i="42" s="1"/>
  <c r="H106" i="42" s="1"/>
  <c r="C106" i="88"/>
  <c r="C50" i="18"/>
  <c r="E50" i="18" s="1"/>
  <c r="C50" i="88"/>
  <c r="C50" i="42"/>
  <c r="G50" i="42" s="1"/>
  <c r="H50" i="42" s="1"/>
  <c r="N456" i="1"/>
  <c r="N455" i="1"/>
  <c r="N457" i="1"/>
  <c r="C46" i="42"/>
  <c r="E46" i="42" s="1"/>
  <c r="C46" i="88"/>
  <c r="C102" i="57"/>
  <c r="G102" i="57" s="1"/>
  <c r="H102" i="57" s="1"/>
  <c r="C102" i="42"/>
  <c r="G102" i="42" s="1"/>
  <c r="H102" i="42" s="1"/>
  <c r="C102" i="88"/>
  <c r="F2" i="60"/>
  <c r="F2" i="88"/>
  <c r="C52" i="88"/>
  <c r="C52" i="42"/>
  <c r="G52" i="42" s="1"/>
  <c r="H52" i="42" s="1"/>
  <c r="G38" i="88"/>
  <c r="H38" i="88" s="1"/>
  <c r="G21" i="8"/>
  <c r="G52" i="87"/>
  <c r="C104" i="31"/>
  <c r="E104" i="31" s="1"/>
  <c r="C104" i="42"/>
  <c r="E104" i="42" s="1"/>
  <c r="C104" i="88"/>
  <c r="H22" i="60"/>
  <c r="B123" i="62" s="1"/>
  <c r="D123" i="62" s="1"/>
  <c r="R121" i="42"/>
  <c r="R120" i="42"/>
  <c r="R122" i="42"/>
  <c r="R122" i="31"/>
  <c r="R121" i="31"/>
  <c r="R120" i="31"/>
  <c r="M302" i="1"/>
  <c r="B302" i="1" s="1"/>
  <c r="B31" i="91" s="1"/>
  <c r="R116" i="31"/>
  <c r="R117" i="31"/>
  <c r="R115" i="31"/>
  <c r="R121" i="57"/>
  <c r="R122" i="57"/>
  <c r="R120" i="57"/>
  <c r="L120" i="57" s="1"/>
  <c r="R117" i="57"/>
  <c r="R116" i="57"/>
  <c r="R115" i="57"/>
  <c r="C115" i="57" s="1"/>
  <c r="R120" i="60"/>
  <c r="R122" i="60"/>
  <c r="R121" i="60"/>
  <c r="R117" i="42"/>
  <c r="R115" i="42"/>
  <c r="R116" i="42"/>
  <c r="R116" i="60"/>
  <c r="R117" i="60"/>
  <c r="R115" i="60"/>
  <c r="R120" i="21"/>
  <c r="R122" i="21"/>
  <c r="R121" i="21"/>
  <c r="R116" i="21"/>
  <c r="R115" i="21"/>
  <c r="R117" i="21"/>
  <c r="E9" i="57"/>
  <c r="E53" i="57"/>
  <c r="E30" i="57"/>
  <c r="E90" i="57"/>
  <c r="H17" i="57"/>
  <c r="H23" i="57"/>
  <c r="B124" i="59" s="1"/>
  <c r="D124" i="59" s="1"/>
  <c r="E51" i="57"/>
  <c r="E105" i="57"/>
  <c r="E99" i="57"/>
  <c r="E83" i="57"/>
  <c r="H16" i="57"/>
  <c r="C5" i="58"/>
  <c r="H170" i="57"/>
  <c r="H21" i="57"/>
  <c r="B31" i="59" s="1"/>
  <c r="D31" i="59" s="1"/>
  <c r="E47" i="57"/>
  <c r="E103" i="57"/>
  <c r="H14" i="57"/>
  <c r="E10" i="57"/>
  <c r="D64" i="59"/>
  <c r="D69" i="59"/>
  <c r="H169" i="57"/>
  <c r="I170" i="57" s="1"/>
  <c r="E22" i="57"/>
  <c r="E45" i="57"/>
  <c r="E97" i="57"/>
  <c r="C4" i="57"/>
  <c r="E23" i="57"/>
  <c r="E42" i="57"/>
  <c r="H133" i="57"/>
  <c r="E32" i="57"/>
  <c r="E101" i="57"/>
  <c r="E96" i="57"/>
  <c r="H11" i="57"/>
  <c r="H9" i="18"/>
  <c r="B105" i="41"/>
  <c r="B105" i="87"/>
  <c r="B105" i="61"/>
  <c r="B105" i="30"/>
  <c r="B98" i="56"/>
  <c r="B105" i="20"/>
  <c r="B100" i="23"/>
  <c r="E100" i="23" s="1"/>
  <c r="B107" i="87"/>
  <c r="E107" i="87" s="1"/>
  <c r="B107" i="30"/>
  <c r="E107" i="30" s="1"/>
  <c r="B107" i="61"/>
  <c r="E107" i="61" s="1"/>
  <c r="B100" i="56"/>
  <c r="E100" i="56" s="1"/>
  <c r="B107" i="58"/>
  <c r="E107" i="58" s="1"/>
  <c r="B107" i="41"/>
  <c r="E107" i="41" s="1"/>
  <c r="B107" i="20"/>
  <c r="E107" i="20" s="1"/>
  <c r="B107" i="17"/>
  <c r="E107" i="17" s="1"/>
  <c r="E12" i="55"/>
  <c r="E63" i="55"/>
  <c r="C4" i="55"/>
  <c r="E18" i="55"/>
  <c r="D58" i="54"/>
  <c r="E70" i="55"/>
  <c r="C4" i="56"/>
  <c r="D53" i="54"/>
  <c r="E61" i="55"/>
  <c r="H9" i="55"/>
  <c r="E66" i="55"/>
  <c r="E62" i="55"/>
  <c r="E17" i="55"/>
  <c r="B155" i="42"/>
  <c r="G155" i="42" s="1"/>
  <c r="G154" i="42"/>
  <c r="B153" i="42"/>
  <c r="G153" i="42" s="1"/>
  <c r="G152" i="42"/>
  <c r="B151" i="42"/>
  <c r="G151" i="42" s="1"/>
  <c r="G150" i="42"/>
  <c r="D137" i="85"/>
  <c r="B165" i="85"/>
  <c r="B43" i="85"/>
  <c r="D43" i="85" s="1"/>
  <c r="E30" i="86" s="1"/>
  <c r="B144" i="88"/>
  <c r="H144" i="88" s="1"/>
  <c r="G144" i="88" s="1"/>
  <c r="B93" i="1"/>
  <c r="D143" i="85"/>
  <c r="M312" i="1"/>
  <c r="B312" i="1" s="1"/>
  <c r="M460" i="1"/>
  <c r="B460" i="1" s="1"/>
  <c r="B102" i="87" s="1"/>
  <c r="M311" i="1"/>
  <c r="B311" i="1" s="1"/>
  <c r="M459" i="1"/>
  <c r="B459" i="1" s="1"/>
  <c r="B101" i="87" s="1"/>
  <c r="M310" i="1"/>
  <c r="B310" i="1" s="1"/>
  <c r="M458" i="1"/>
  <c r="B458" i="1" s="1"/>
  <c r="B100" i="87" s="1"/>
  <c r="G147" i="88"/>
  <c r="H147" i="88" s="1"/>
  <c r="G147" i="42"/>
  <c r="H147" i="42" s="1"/>
  <c r="G148" i="42"/>
  <c r="E101" i="18"/>
  <c r="H21" i="18"/>
  <c r="B122" i="19" s="1"/>
  <c r="D122" i="19" s="1"/>
  <c r="E99" i="18"/>
  <c r="B1" i="21"/>
  <c r="B92" i="85"/>
  <c r="B1" i="87"/>
  <c r="B1" i="85"/>
  <c r="B1" i="88"/>
  <c r="C4" i="18"/>
  <c r="H54" i="55"/>
  <c r="I131" i="88"/>
  <c r="I170" i="88"/>
  <c r="I142" i="88"/>
  <c r="I19" i="88"/>
  <c r="B18" i="29"/>
  <c r="B42" i="29" s="1"/>
  <c r="E78" i="60"/>
  <c r="E78" i="42"/>
  <c r="H78" i="18"/>
  <c r="B140" i="19" s="1"/>
  <c r="E78" i="21"/>
  <c r="H78" i="60"/>
  <c r="B141" i="62" s="1"/>
  <c r="E54" i="24"/>
  <c r="E78" i="31"/>
  <c r="E54" i="55"/>
  <c r="H78" i="42"/>
  <c r="B143" i="40" s="1"/>
  <c r="B19" i="29"/>
  <c r="B43" i="29" s="1"/>
  <c r="E78" i="57"/>
  <c r="H78" i="57"/>
  <c r="B141" i="59" s="1"/>
  <c r="R621" i="1"/>
  <c r="C55" i="39" s="1"/>
  <c r="E55" i="39" s="1"/>
  <c r="N462" i="1"/>
  <c r="N432" i="1"/>
  <c r="N487" i="1"/>
  <c r="N451" i="1"/>
  <c r="N469" i="1"/>
  <c r="N486" i="1"/>
  <c r="N450" i="1"/>
  <c r="N439" i="1"/>
  <c r="N433" i="1"/>
  <c r="N481" i="1"/>
  <c r="N445" i="1"/>
  <c r="N480" i="1"/>
  <c r="N444" i="1"/>
  <c r="N463" i="1"/>
  <c r="N468" i="1"/>
  <c r="N438" i="1"/>
  <c r="C5" i="10"/>
  <c r="F10" i="10" s="1"/>
  <c r="H7" i="29"/>
  <c r="C5" i="7"/>
  <c r="F10" i="7" s="1"/>
  <c r="H6" i="29"/>
  <c r="C5" i="28"/>
  <c r="F10" i="28" s="1"/>
  <c r="H23" i="29"/>
  <c r="M297" i="1"/>
  <c r="B297" i="1" s="1"/>
  <c r="M299" i="1"/>
  <c r="B299" i="1" s="1"/>
  <c r="M298" i="1"/>
  <c r="B298" i="1" s="1"/>
  <c r="B27" i="91" s="1"/>
  <c r="C4" i="60"/>
  <c r="E14" i="60"/>
  <c r="E16" i="60"/>
  <c r="E84" i="60"/>
  <c r="E49" i="60"/>
  <c r="E90" i="60"/>
  <c r="H170" i="60"/>
  <c r="H23" i="60"/>
  <c r="B33" i="62" s="1"/>
  <c r="D33" i="62" s="1"/>
  <c r="H17" i="60"/>
  <c r="E47" i="60"/>
  <c r="A107" i="40"/>
  <c r="A16" i="40"/>
  <c r="H16" i="60"/>
  <c r="E17" i="60"/>
  <c r="H133" i="60"/>
  <c r="H21" i="60"/>
  <c r="B31" i="62" s="1"/>
  <c r="D31" i="62" s="1"/>
  <c r="E45" i="60"/>
  <c r="E105" i="60"/>
  <c r="E99" i="60"/>
  <c r="H15" i="60"/>
  <c r="C3" i="59"/>
  <c r="B12" i="59" s="1"/>
  <c r="H130" i="60"/>
  <c r="E22" i="60"/>
  <c r="E42" i="60"/>
  <c r="E83" i="60"/>
  <c r="H14" i="60"/>
  <c r="C5" i="59"/>
  <c r="E23" i="60"/>
  <c r="E103" i="60"/>
  <c r="E82" i="60"/>
  <c r="E94" i="60"/>
  <c r="H145" i="57"/>
  <c r="C5" i="61"/>
  <c r="D64" i="62"/>
  <c r="E97" i="60"/>
  <c r="E53" i="60"/>
  <c r="F46" i="36"/>
  <c r="F11" i="29"/>
  <c r="F47" i="28"/>
  <c r="F23" i="29"/>
  <c r="D9" i="43"/>
  <c r="F24" i="29"/>
  <c r="E9" i="60"/>
  <c r="D69" i="62"/>
  <c r="E51" i="60"/>
  <c r="E101" i="60"/>
  <c r="E96" i="60"/>
  <c r="H9" i="60"/>
  <c r="M497" i="1"/>
  <c r="B497" i="1" s="1"/>
  <c r="B115" i="91" s="1"/>
  <c r="M496" i="1"/>
  <c r="B496" i="1" s="1"/>
  <c r="B114" i="91" s="1"/>
  <c r="M495" i="1"/>
  <c r="B495" i="1" s="1"/>
  <c r="C4" i="59"/>
  <c r="H171" i="57"/>
  <c r="B97" i="1"/>
  <c r="B98" i="1" s="1"/>
  <c r="B105" i="58" s="1"/>
  <c r="G89" i="55"/>
  <c r="F89" i="55" s="1"/>
  <c r="G88" i="55"/>
  <c r="H88" i="55" s="1"/>
  <c r="B132" i="54" s="1"/>
  <c r="B94" i="1"/>
  <c r="B96" i="1" s="1"/>
  <c r="G132" i="42"/>
  <c r="F132" i="42" s="1"/>
  <c r="G131" i="42"/>
  <c r="H131" i="42" s="1"/>
  <c r="G132" i="31"/>
  <c r="F132" i="31" s="1"/>
  <c r="G131" i="31"/>
  <c r="H131" i="31" s="1"/>
  <c r="B155" i="33" s="1"/>
  <c r="M484" i="1"/>
  <c r="B484" i="1" s="1"/>
  <c r="B95" i="56" s="1"/>
  <c r="M472" i="1"/>
  <c r="B472" i="1" s="1"/>
  <c r="M425" i="1"/>
  <c r="B425" i="1" s="1"/>
  <c r="B98" i="91" s="1"/>
  <c r="M466" i="1"/>
  <c r="B466" i="1" s="1"/>
  <c r="B102" i="61" s="1"/>
  <c r="M454" i="1"/>
  <c r="B454" i="1" s="1"/>
  <c r="M448" i="1"/>
  <c r="B448" i="1" s="1"/>
  <c r="B102" i="30" s="1"/>
  <c r="M436" i="1"/>
  <c r="M442" i="1"/>
  <c r="B442" i="1" s="1"/>
  <c r="B102" i="20" s="1"/>
  <c r="M490" i="1"/>
  <c r="B490" i="1" s="1"/>
  <c r="B95" i="23" s="1"/>
  <c r="M447" i="1"/>
  <c r="B447" i="1" s="1"/>
  <c r="B101" i="30" s="1"/>
  <c r="M483" i="1"/>
  <c r="B483" i="1" s="1"/>
  <c r="B94" i="56" s="1"/>
  <c r="M465" i="1"/>
  <c r="B465" i="1" s="1"/>
  <c r="B101" i="61" s="1"/>
  <c r="M471" i="1"/>
  <c r="B471" i="1" s="1"/>
  <c r="M441" i="1"/>
  <c r="B441" i="1" s="1"/>
  <c r="B101" i="20" s="1"/>
  <c r="M435" i="1"/>
  <c r="M489" i="1"/>
  <c r="B489" i="1" s="1"/>
  <c r="B94" i="23" s="1"/>
  <c r="M453" i="1"/>
  <c r="B453" i="1" s="1"/>
  <c r="M424" i="1"/>
  <c r="B424" i="1" s="1"/>
  <c r="B97" i="91" s="1"/>
  <c r="M345" i="1"/>
  <c r="B345" i="1" s="1"/>
  <c r="M327" i="1"/>
  <c r="B327" i="1" s="1"/>
  <c r="M383" i="1"/>
  <c r="B383" i="1" s="1"/>
  <c r="M318" i="1"/>
  <c r="B318" i="1" s="1"/>
  <c r="B43" i="91" s="1"/>
  <c r="M419" i="1"/>
  <c r="B419" i="1" s="1"/>
  <c r="M340" i="1"/>
  <c r="B340" i="1" s="1"/>
  <c r="M390" i="1"/>
  <c r="B390" i="1" s="1"/>
  <c r="B71" i="23" s="1"/>
  <c r="M324" i="1"/>
  <c r="B324" i="1" s="1"/>
  <c r="B49" i="23" s="1"/>
  <c r="M387" i="1"/>
  <c r="B387" i="1" s="1"/>
  <c r="M355" i="1"/>
  <c r="B355" i="1" s="1"/>
  <c r="M315" i="1"/>
  <c r="B315" i="1" s="1"/>
  <c r="M400" i="1"/>
  <c r="B400" i="1" s="1"/>
  <c r="M337" i="1"/>
  <c r="B337" i="1" s="1"/>
  <c r="M321" i="1"/>
  <c r="B321" i="1" s="1"/>
  <c r="B46" i="91" s="1"/>
  <c r="M399" i="1"/>
  <c r="B399" i="1" s="1"/>
  <c r="B87" i="91" s="1"/>
  <c r="M292" i="1"/>
  <c r="B292" i="1" s="1"/>
  <c r="M291" i="1"/>
  <c r="B291" i="1" s="1"/>
  <c r="M289" i="1"/>
  <c r="B289" i="1" s="1"/>
  <c r="M290" i="1"/>
  <c r="B290" i="1" s="1"/>
  <c r="M288" i="1"/>
  <c r="B288" i="1" s="1"/>
  <c r="M398" i="1"/>
  <c r="B398" i="1" s="1"/>
  <c r="B86" i="91" s="1"/>
  <c r="M386" i="1"/>
  <c r="B386" i="1" s="1"/>
  <c r="B76" i="91" s="1"/>
  <c r="M320" i="1"/>
  <c r="B320" i="1" s="1"/>
  <c r="B45" i="91" s="1"/>
  <c r="M336" i="1"/>
  <c r="B336" i="1" s="1"/>
  <c r="M397" i="1"/>
  <c r="B397" i="1" s="1"/>
  <c r="B85" i="91" s="1"/>
  <c r="M344" i="1"/>
  <c r="B344" i="1" s="1"/>
  <c r="M326" i="1"/>
  <c r="B326" i="1" s="1"/>
  <c r="B48" i="91" s="1"/>
  <c r="M382" i="1"/>
  <c r="B382" i="1" s="1"/>
  <c r="B73" i="91" s="1"/>
  <c r="M317" i="1"/>
  <c r="B317" i="1" s="1"/>
  <c r="M418" i="1"/>
  <c r="B418" i="1" s="1"/>
  <c r="B92" i="91" s="1"/>
  <c r="M339" i="1"/>
  <c r="B339" i="1" s="1"/>
  <c r="B57" i="91" s="1"/>
  <c r="M389" i="1"/>
  <c r="B389" i="1" s="1"/>
  <c r="B70" i="56" s="1"/>
  <c r="M323" i="1"/>
  <c r="B323" i="1" s="1"/>
  <c r="B48" i="23" s="1"/>
  <c r="M354" i="1"/>
  <c r="B354" i="1" s="1"/>
  <c r="M314" i="1"/>
  <c r="B314" i="1" s="1"/>
  <c r="B39" i="91" s="1"/>
  <c r="M285" i="1"/>
  <c r="B285" i="1" s="1"/>
  <c r="B17" i="91" s="1"/>
  <c r="M282" i="1"/>
  <c r="B282" i="1" s="1"/>
  <c r="M284" i="1"/>
  <c r="B284" i="1" s="1"/>
  <c r="M283" i="1"/>
  <c r="B283" i="1" s="1"/>
  <c r="B15" i="91" s="1"/>
  <c r="M286" i="1"/>
  <c r="B286" i="1" s="1"/>
  <c r="M335" i="1"/>
  <c r="B335" i="1" s="1"/>
  <c r="B53" i="91" s="1"/>
  <c r="M385" i="1"/>
  <c r="B385" i="1" s="1"/>
  <c r="B75" i="91" s="1"/>
  <c r="M319" i="1"/>
  <c r="B319" i="1" s="1"/>
  <c r="M313" i="1"/>
  <c r="B313" i="1" s="1"/>
  <c r="B38" i="91" s="1"/>
  <c r="M423" i="1"/>
  <c r="B423" i="1" s="1"/>
  <c r="M396" i="1"/>
  <c r="B396" i="1" s="1"/>
  <c r="B84" i="91" s="1"/>
  <c r="M343" i="1"/>
  <c r="B343" i="1" s="1"/>
  <c r="B59" i="91" s="1"/>
  <c r="M395" i="1"/>
  <c r="B395" i="1" s="1"/>
  <c r="B83" i="91" s="1"/>
  <c r="M325" i="1"/>
  <c r="B325" i="1" s="1"/>
  <c r="B47" i="91" s="1"/>
  <c r="M279" i="1"/>
  <c r="B279" i="1" s="1"/>
  <c r="M381" i="1"/>
  <c r="B381" i="1" s="1"/>
  <c r="B72" i="91" s="1"/>
  <c r="M316" i="1"/>
  <c r="B316" i="1" s="1"/>
  <c r="B41" i="91" s="1"/>
  <c r="M417" i="1"/>
  <c r="B417" i="1" s="1"/>
  <c r="M338" i="1"/>
  <c r="B338" i="1" s="1"/>
  <c r="B56" i="91" s="1"/>
  <c r="M353" i="1"/>
  <c r="B353" i="1" s="1"/>
  <c r="M388" i="1"/>
  <c r="B388" i="1" s="1"/>
  <c r="B69" i="23" s="1"/>
  <c r="M322" i="1"/>
  <c r="B322" i="1" s="1"/>
  <c r="B47" i="56" s="1"/>
  <c r="M280" i="1"/>
  <c r="B280" i="1" s="1"/>
  <c r="M278" i="1"/>
  <c r="B278" i="1" s="1"/>
  <c r="B11" i="91" s="1"/>
  <c r="M276" i="1"/>
  <c r="B276" i="1" s="1"/>
  <c r="B9" i="91" s="1"/>
  <c r="M277" i="1"/>
  <c r="B277" i="1" s="1"/>
  <c r="G89" i="24"/>
  <c r="F89" i="24" s="1"/>
  <c r="G88" i="24"/>
  <c r="H88" i="24" s="1"/>
  <c r="G131" i="57"/>
  <c r="H131" i="57" s="1"/>
  <c r="G132" i="57"/>
  <c r="F132" i="57" s="1"/>
  <c r="C5" i="62"/>
  <c r="H171" i="60"/>
  <c r="G132" i="60"/>
  <c r="F132" i="60" s="1"/>
  <c r="G131" i="60"/>
  <c r="H131" i="60" s="1"/>
  <c r="B37" i="62" s="1"/>
  <c r="D37" i="62" s="1"/>
  <c r="E22" i="81" s="1"/>
  <c r="G132" i="18"/>
  <c r="F132" i="18" s="1"/>
  <c r="G131" i="18"/>
  <c r="H131" i="18" s="1"/>
  <c r="B37" i="19" s="1"/>
  <c r="D37" i="19" s="1"/>
  <c r="E22" i="76" s="1"/>
  <c r="G132" i="21"/>
  <c r="F132" i="21" s="1"/>
  <c r="G131" i="21"/>
  <c r="H131" i="21" s="1"/>
  <c r="B37" i="22" s="1"/>
  <c r="Q153" i="1"/>
  <c r="Q154" i="1" s="1"/>
  <c r="C4" i="62"/>
  <c r="C38" i="24"/>
  <c r="E38" i="24" s="1"/>
  <c r="F643" i="1"/>
  <c r="D643" i="1"/>
  <c r="B643" i="1"/>
  <c r="P643" i="1"/>
  <c r="N643" i="1"/>
  <c r="L643" i="1"/>
  <c r="C43" i="21"/>
  <c r="E43" i="21" s="1"/>
  <c r="F627" i="1"/>
  <c r="D627" i="1"/>
  <c r="B627" i="1"/>
  <c r="I28" i="2"/>
  <c r="I17" i="11"/>
  <c r="F516" i="1"/>
  <c r="F625" i="1"/>
  <c r="D625" i="1"/>
  <c r="B625" i="1"/>
  <c r="F629" i="1"/>
  <c r="D629" i="1"/>
  <c r="B629" i="1"/>
  <c r="B631" i="1"/>
  <c r="F631" i="1"/>
  <c r="D631" i="1"/>
  <c r="D37" i="14"/>
  <c r="E37" i="14" s="1"/>
  <c r="F37" i="14" s="1"/>
  <c r="E16" i="21"/>
  <c r="R11" i="1"/>
  <c r="B101" i="55"/>
  <c r="B144" i="21"/>
  <c r="B144" i="18"/>
  <c r="B144" i="42"/>
  <c r="B144" i="31"/>
  <c r="B101" i="24"/>
  <c r="B144" i="57"/>
  <c r="B144" i="60"/>
  <c r="B160" i="31"/>
  <c r="B110" i="55"/>
  <c r="B110" i="24"/>
  <c r="B160" i="57"/>
  <c r="B160" i="42"/>
  <c r="B160" i="21"/>
  <c r="B160" i="60"/>
  <c r="B160" i="18"/>
  <c r="B111" i="24"/>
  <c r="B161" i="57"/>
  <c r="B161" i="42"/>
  <c r="B161" i="21"/>
  <c r="B111" i="55"/>
  <c r="B161" i="60"/>
  <c r="B161" i="31"/>
  <c r="B161" i="18"/>
  <c r="B112" i="24"/>
  <c r="B162" i="57"/>
  <c r="B162" i="42"/>
  <c r="B162" i="21"/>
  <c r="B112" i="55"/>
  <c r="B162" i="60"/>
  <c r="B162" i="31"/>
  <c r="B162" i="18"/>
  <c r="B113" i="24"/>
  <c r="B163" i="57"/>
  <c r="B163" i="42"/>
  <c r="B163" i="21"/>
  <c r="B113" i="55"/>
  <c r="B163" i="60"/>
  <c r="B163" i="31"/>
  <c r="B163" i="18"/>
  <c r="H145" i="60"/>
  <c r="D17" i="1"/>
  <c r="C3" i="62"/>
  <c r="B12" i="62" s="1"/>
  <c r="B72" i="1"/>
  <c r="C22" i="1"/>
  <c r="I12" i="39"/>
  <c r="E22" i="21"/>
  <c r="H171" i="21"/>
  <c r="E9" i="21"/>
  <c r="D64" i="22"/>
  <c r="E15" i="57"/>
  <c r="E31" i="21"/>
  <c r="E84" i="21"/>
  <c r="P631" i="1"/>
  <c r="L631" i="1"/>
  <c r="N631" i="1"/>
  <c r="N629" i="1"/>
  <c r="P629" i="1"/>
  <c r="L629" i="1"/>
  <c r="L627" i="1"/>
  <c r="N627" i="1"/>
  <c r="P627" i="1"/>
  <c r="L625" i="1"/>
  <c r="N625" i="1"/>
  <c r="P625" i="1"/>
  <c r="C5" i="22"/>
  <c r="E90" i="18"/>
  <c r="G90" i="18"/>
  <c r="H90" i="18" s="1"/>
  <c r="H102" i="55"/>
  <c r="D18" i="1"/>
  <c r="D97" i="58" s="1"/>
  <c r="R7" i="1"/>
  <c r="M41" i="47"/>
  <c r="V7" i="1"/>
  <c r="AB7" i="1"/>
  <c r="D29" i="11" s="1"/>
  <c r="E29" i="11" s="1"/>
  <c r="J29" i="11" s="1"/>
  <c r="AP7" i="1"/>
  <c r="D10" i="11" s="1"/>
  <c r="C7" i="1"/>
  <c r="B1" i="9"/>
  <c r="C3" i="54"/>
  <c r="B8" i="54" s="1"/>
  <c r="I11" i="47"/>
  <c r="G147" i="57"/>
  <c r="H147" i="57" s="1"/>
  <c r="C265" i="1"/>
  <c r="E176" i="1"/>
  <c r="W134" i="1"/>
  <c r="W131" i="1" s="1"/>
  <c r="G122" i="1"/>
  <c r="G124" i="1" s="1"/>
  <c r="C9" i="1"/>
  <c r="I12" i="12"/>
  <c r="I10" i="50"/>
  <c r="I10" i="11"/>
  <c r="I12" i="2"/>
  <c r="B21" i="29"/>
  <c r="B45" i="29" s="1"/>
  <c r="H619" i="1"/>
  <c r="C32" i="39" s="1"/>
  <c r="E32" i="39" s="1"/>
  <c r="F2" i="3"/>
  <c r="I17" i="8"/>
  <c r="C132" i="1"/>
  <c r="D132" i="1" s="1"/>
  <c r="I10" i="47"/>
  <c r="I30" i="2"/>
  <c r="I17" i="50"/>
  <c r="E224" i="1"/>
  <c r="F2" i="9"/>
  <c r="F4" i="9" s="1"/>
  <c r="G2" i="9" s="1"/>
  <c r="B131" i="1"/>
  <c r="E85" i="1"/>
  <c r="F13" i="51" s="1"/>
  <c r="F2" i="18"/>
  <c r="I29" i="2"/>
  <c r="I18" i="50"/>
  <c r="AB9" i="1"/>
  <c r="D20" i="47" s="1"/>
  <c r="E20" i="47" s="1"/>
  <c r="B82" i="1"/>
  <c r="B84" i="1" s="1"/>
  <c r="C5" i="37"/>
  <c r="F10" i="37" s="1"/>
  <c r="X132" i="1"/>
  <c r="O390" i="1"/>
  <c r="I18" i="11"/>
  <c r="G104" i="24"/>
  <c r="H104" i="24" s="1"/>
  <c r="D518" i="1"/>
  <c r="I16" i="8"/>
  <c r="R9" i="1"/>
  <c r="AD9" i="1"/>
  <c r="D22" i="47" s="1"/>
  <c r="E22" i="47" s="1"/>
  <c r="J22" i="47" s="1"/>
  <c r="K124" i="1"/>
  <c r="I19" i="50"/>
  <c r="Y134" i="1"/>
  <c r="Y133" i="1"/>
  <c r="I9" i="2"/>
  <c r="I9" i="11"/>
  <c r="I87" i="1"/>
  <c r="I89" i="1" s="1"/>
  <c r="I91" i="1" s="1"/>
  <c r="I9" i="47"/>
  <c r="B616" i="1"/>
  <c r="J10" i="49"/>
  <c r="I10" i="49" s="1"/>
  <c r="G147" i="60"/>
  <c r="H147" i="60" s="1"/>
  <c r="I16" i="2"/>
  <c r="J10" i="13"/>
  <c r="I10" i="13" s="1"/>
  <c r="J17" i="13" s="1"/>
  <c r="I18" i="8"/>
  <c r="D28" i="14"/>
  <c r="E28" i="14" s="1"/>
  <c r="E4" i="43"/>
  <c r="F43" i="43" s="1"/>
  <c r="AP9" i="1"/>
  <c r="D10" i="47" s="1"/>
  <c r="V5" i="1"/>
  <c r="C24" i="1"/>
  <c r="E11" i="21"/>
  <c r="H133" i="21"/>
  <c r="E32" i="21"/>
  <c r="E101" i="21"/>
  <c r="E96" i="21"/>
  <c r="H145" i="21"/>
  <c r="C4" i="21"/>
  <c r="H170" i="21"/>
  <c r="E23" i="21"/>
  <c r="E53" i="21"/>
  <c r="E90" i="21"/>
  <c r="H11" i="21"/>
  <c r="B14" i="29"/>
  <c r="B38" i="29" s="1"/>
  <c r="H169" i="21"/>
  <c r="H21" i="21"/>
  <c r="B122" i="22" s="1"/>
  <c r="D122" i="22" s="1"/>
  <c r="E51" i="21"/>
  <c r="E105" i="21"/>
  <c r="E99" i="21"/>
  <c r="E83" i="21"/>
  <c r="H9" i="21"/>
  <c r="D69" i="22"/>
  <c r="H130" i="21"/>
  <c r="I15" i="15"/>
  <c r="H22" i="21"/>
  <c r="B123" i="22" s="1"/>
  <c r="D123" i="22" s="1"/>
  <c r="E49" i="21"/>
  <c r="E82" i="21"/>
  <c r="E94" i="21"/>
  <c r="C4" i="20"/>
  <c r="H23" i="21"/>
  <c r="B33" i="22" s="1"/>
  <c r="E47" i="21"/>
  <c r="E103" i="21"/>
  <c r="H15" i="21"/>
  <c r="B287" i="1"/>
  <c r="J281" i="1"/>
  <c r="F281" i="1" s="1"/>
  <c r="G15" i="2" s="1"/>
  <c r="J287" i="1"/>
  <c r="F287" i="1" s="1"/>
  <c r="G14" i="2" s="1"/>
  <c r="B281" i="1"/>
  <c r="J293" i="1"/>
  <c r="F293" i="1" s="1"/>
  <c r="G11" i="2" s="1"/>
  <c r="B293" i="1"/>
  <c r="E45" i="21"/>
  <c r="E97" i="21"/>
  <c r="H14" i="21"/>
  <c r="C3" i="22"/>
  <c r="B12" i="22" s="1"/>
  <c r="D34" i="38"/>
  <c r="E34" i="38" s="1"/>
  <c r="J34" i="38" s="1"/>
  <c r="R24" i="1"/>
  <c r="I73" i="6"/>
  <c r="I11" i="48"/>
  <c r="E53" i="1"/>
  <c r="F52" i="1" s="1"/>
  <c r="D364" i="1"/>
  <c r="D17" i="47"/>
  <c r="E17" i="47" s="1"/>
  <c r="F17" i="47" s="1"/>
  <c r="C4" i="4"/>
  <c r="I17" i="26"/>
  <c r="C77" i="34"/>
  <c r="E77" i="34" s="1"/>
  <c r="F174" i="1"/>
  <c r="I94" i="3"/>
  <c r="I261" i="1"/>
  <c r="I262" i="1" s="1"/>
  <c r="R23" i="1"/>
  <c r="C51" i="51"/>
  <c r="E51" i="51" s="1"/>
  <c r="G147" i="21"/>
  <c r="H147" i="21" s="1"/>
  <c r="C91" i="12"/>
  <c r="E91" i="12" s="1"/>
  <c r="G20" i="44"/>
  <c r="I12" i="34"/>
  <c r="Y25" i="1"/>
  <c r="B19" i="13"/>
  <c r="D19" i="13" s="1"/>
  <c r="AD7" i="1"/>
  <c r="D32" i="11" s="1"/>
  <c r="E32" i="11" s="1"/>
  <c r="F32" i="11" s="1"/>
  <c r="I115" i="12"/>
  <c r="M45" i="8"/>
  <c r="M43" i="35"/>
  <c r="I9" i="12"/>
  <c r="J9" i="12" s="1"/>
  <c r="N485" i="1"/>
  <c r="N431" i="1"/>
  <c r="N427" i="1"/>
  <c r="N467" i="1"/>
  <c r="N449" i="1"/>
  <c r="N479" i="1"/>
  <c r="N461" i="1"/>
  <c r="N437" i="1"/>
  <c r="N443" i="1"/>
  <c r="D131" i="1"/>
  <c r="F28" i="4"/>
  <c r="F51" i="4"/>
  <c r="B134" i="1"/>
  <c r="B133" i="1"/>
  <c r="C268" i="1"/>
  <c r="M51" i="11"/>
  <c r="C93" i="51"/>
  <c r="E93" i="51" s="1"/>
  <c r="C81" i="12"/>
  <c r="E81" i="12" s="1"/>
  <c r="C75" i="48"/>
  <c r="E75" i="48" s="1"/>
  <c r="C101" i="51"/>
  <c r="E101" i="51" s="1"/>
  <c r="C89" i="12"/>
  <c r="E89" i="12" s="1"/>
  <c r="C83" i="48"/>
  <c r="E83" i="48" s="1"/>
  <c r="C32" i="51"/>
  <c r="E32" i="51" s="1"/>
  <c r="C39" i="34"/>
  <c r="E39" i="34" s="1"/>
  <c r="C79" i="34"/>
  <c r="E79" i="34" s="1"/>
  <c r="C82" i="51"/>
  <c r="E82" i="51" s="1"/>
  <c r="C27" i="12"/>
  <c r="E27" i="12" s="1"/>
  <c r="C23" i="6"/>
  <c r="E23" i="6" s="1"/>
  <c r="C26" i="34"/>
  <c r="E26" i="34" s="1"/>
  <c r="C27" i="34"/>
  <c r="E27" i="34" s="1"/>
  <c r="C24" i="48"/>
  <c r="E24" i="48" s="1"/>
  <c r="C26" i="12"/>
  <c r="E26" i="12" s="1"/>
  <c r="C26" i="51"/>
  <c r="E26" i="51" s="1"/>
  <c r="G52" i="61"/>
  <c r="G52" i="30"/>
  <c r="G52" i="17"/>
  <c r="G104" i="48"/>
  <c r="H104" i="48" s="1"/>
  <c r="F27" i="37"/>
  <c r="E4" i="7"/>
  <c r="C4" i="7"/>
  <c r="C45" i="34"/>
  <c r="E45" i="34" s="1"/>
  <c r="C38" i="51"/>
  <c r="E38" i="51" s="1"/>
  <c r="B99" i="24"/>
  <c r="B142" i="60"/>
  <c r="C11" i="6"/>
  <c r="E11" i="6" s="1"/>
  <c r="B142" i="42"/>
  <c r="C13" i="9"/>
  <c r="E13" i="9" s="1"/>
  <c r="C12" i="27"/>
  <c r="B142" i="21"/>
  <c r="B142" i="18"/>
  <c r="G142" i="18" s="1"/>
  <c r="H142" i="18" s="1"/>
  <c r="C12" i="48"/>
  <c r="E12" i="48" s="1"/>
  <c r="C13" i="12"/>
  <c r="E13" i="12" s="1"/>
  <c r="C12" i="15"/>
  <c r="E12" i="15" s="1"/>
  <c r="B142" i="57"/>
  <c r="C14" i="45"/>
  <c r="E14" i="45" s="1"/>
  <c r="B142" i="31"/>
  <c r="C17" i="3"/>
  <c r="E17" i="3" s="1"/>
  <c r="C13" i="51"/>
  <c r="E13" i="51" s="1"/>
  <c r="B99" i="55"/>
  <c r="H30" i="29"/>
  <c r="D414" i="1"/>
  <c r="C38" i="31"/>
  <c r="G38" i="31" s="1"/>
  <c r="H38" i="31" s="1"/>
  <c r="C38" i="60"/>
  <c r="G38" i="60" s="1"/>
  <c r="H38" i="60" s="1"/>
  <c r="C38" i="21"/>
  <c r="E38" i="21" s="1"/>
  <c r="C24" i="27"/>
  <c r="E24" i="27" s="1"/>
  <c r="C26" i="45"/>
  <c r="E26" i="45" s="1"/>
  <c r="C38" i="57"/>
  <c r="E38" i="57" s="1"/>
  <c r="C38" i="42"/>
  <c r="G38" i="42" s="1"/>
  <c r="H38" i="42" s="1"/>
  <c r="C38" i="18"/>
  <c r="C28" i="39"/>
  <c r="E28" i="39" s="1"/>
  <c r="C4" i="10"/>
  <c r="C13" i="39"/>
  <c r="E13" i="39" s="1"/>
  <c r="E4" i="37"/>
  <c r="F25" i="29" s="1"/>
  <c r="F47" i="37"/>
  <c r="C43" i="48"/>
  <c r="E43" i="48" s="1"/>
  <c r="C53" i="51"/>
  <c r="E53" i="51" s="1"/>
  <c r="C47" i="12"/>
  <c r="E47" i="12" s="1"/>
  <c r="E192" i="1"/>
  <c r="B9" i="37"/>
  <c r="C81" i="34"/>
  <c r="E81" i="34" s="1"/>
  <c r="C84" i="51"/>
  <c r="E84" i="51" s="1"/>
  <c r="C86" i="51"/>
  <c r="E86" i="51" s="1"/>
  <c r="F91" i="3"/>
  <c r="G91" i="3" s="1"/>
  <c r="H91" i="3" s="1"/>
  <c r="I92" i="3" s="1"/>
  <c r="F110" i="51"/>
  <c r="G110" i="51" s="1"/>
  <c r="H110" i="51" s="1"/>
  <c r="B25" i="49" s="1"/>
  <c r="F92" i="48"/>
  <c r="G92" i="48" s="1"/>
  <c r="H92" i="48" s="1"/>
  <c r="I93" i="48" s="1"/>
  <c r="F57" i="9"/>
  <c r="G57" i="9" s="1"/>
  <c r="H57" i="9" s="1"/>
  <c r="I58" i="9" s="1"/>
  <c r="F63" i="6"/>
  <c r="G63" i="6" s="1"/>
  <c r="H63" i="6" s="1"/>
  <c r="I64" i="6" s="1"/>
  <c r="F52" i="15"/>
  <c r="G52" i="15" s="1"/>
  <c r="H52" i="15" s="1"/>
  <c r="I53" i="15" s="1"/>
  <c r="G53" i="45"/>
  <c r="H53" i="45" s="1"/>
  <c r="B25" i="43" s="1"/>
  <c r="G67" i="39"/>
  <c r="H67" i="39" s="1"/>
  <c r="B25" i="37" s="1"/>
  <c r="F25" i="37" s="1"/>
  <c r="I17" i="14"/>
  <c r="I17" i="5"/>
  <c r="I19" i="11"/>
  <c r="I17" i="44"/>
  <c r="I9" i="5"/>
  <c r="I9" i="14"/>
  <c r="I9" i="50"/>
  <c r="I9" i="38"/>
  <c r="I9" i="26"/>
  <c r="I9" i="8"/>
  <c r="I17" i="2"/>
  <c r="I9" i="44"/>
  <c r="H608" i="1"/>
  <c r="C30" i="9" s="1"/>
  <c r="E30" i="9" s="1"/>
  <c r="C29" i="9"/>
  <c r="E29" i="9" s="1"/>
  <c r="B162" i="1"/>
  <c r="C5" i="36" s="1"/>
  <c r="F10" i="36" s="1"/>
  <c r="I8" i="13"/>
  <c r="C5" i="13" s="1"/>
  <c r="C53" i="12"/>
  <c r="E53" i="12" s="1"/>
  <c r="C49" i="48"/>
  <c r="E49" i="48" s="1"/>
  <c r="C59" i="51"/>
  <c r="E59" i="51" s="1"/>
  <c r="M261" i="1"/>
  <c r="O261" i="1" s="1"/>
  <c r="P261" i="1" s="1"/>
  <c r="G15" i="35"/>
  <c r="G20" i="14"/>
  <c r="G20" i="38"/>
  <c r="G22" i="11"/>
  <c r="G37" i="2"/>
  <c r="G17" i="47"/>
  <c r="G20" i="5"/>
  <c r="G22" i="50"/>
  <c r="G20" i="26"/>
  <c r="C77" i="12"/>
  <c r="E77" i="12" s="1"/>
  <c r="C71" i="48"/>
  <c r="E71" i="48" s="1"/>
  <c r="C56" i="6"/>
  <c r="E56" i="6" s="1"/>
  <c r="H597" i="1"/>
  <c r="C27" i="39" s="1"/>
  <c r="E27" i="39" s="1"/>
  <c r="H596" i="1"/>
  <c r="C25" i="45" s="1"/>
  <c r="E25" i="45" s="1"/>
  <c r="M259" i="1"/>
  <c r="F16" i="37"/>
  <c r="C131" i="1"/>
  <c r="G268" i="1"/>
  <c r="H268" i="1" s="1"/>
  <c r="C5" i="1"/>
  <c r="C83" i="12"/>
  <c r="E83" i="12" s="1"/>
  <c r="C95" i="51"/>
  <c r="E95" i="51" s="1"/>
  <c r="C75" i="34"/>
  <c r="E75" i="34" s="1"/>
  <c r="C78" i="51"/>
  <c r="E78" i="51" s="1"/>
  <c r="D12" i="29"/>
  <c r="D36" i="29" s="1"/>
  <c r="G172" i="1"/>
  <c r="H172" i="1" s="1"/>
  <c r="L62" i="15" s="1"/>
  <c r="G62" i="15" s="1"/>
  <c r="C4" i="16"/>
  <c r="F24" i="16" s="1"/>
  <c r="C30" i="24"/>
  <c r="G30" i="24" s="1"/>
  <c r="H30" i="24" s="1"/>
  <c r="C30" i="55"/>
  <c r="G30" i="55" s="1"/>
  <c r="H30" i="55" s="1"/>
  <c r="L374" i="1"/>
  <c r="H544" i="1"/>
  <c r="H564" i="1"/>
  <c r="H648" i="1"/>
  <c r="C44" i="88" s="1"/>
  <c r="J428" i="1"/>
  <c r="G52" i="58"/>
  <c r="G52" i="41"/>
  <c r="G52" i="20"/>
  <c r="F98" i="12"/>
  <c r="G98" i="12" s="1"/>
  <c r="H98" i="12" s="1"/>
  <c r="I99" i="12" s="1"/>
  <c r="I17" i="38"/>
  <c r="C4" i="49"/>
  <c r="B12" i="49" s="1"/>
  <c r="G109" i="12"/>
  <c r="H109" i="12" s="1"/>
  <c r="G110" i="12"/>
  <c r="H110" i="12" s="1"/>
  <c r="E4" i="49"/>
  <c r="F9" i="29" s="1"/>
  <c r="G122" i="51"/>
  <c r="H122" i="51" s="1"/>
  <c r="G101" i="34"/>
  <c r="G103" i="48"/>
  <c r="H103" i="48" s="1"/>
  <c r="F46" i="37"/>
  <c r="B109" i="19"/>
  <c r="B18" i="19"/>
  <c r="C4" i="46"/>
  <c r="E4" i="46"/>
  <c r="C63" i="48"/>
  <c r="E63" i="48" s="1"/>
  <c r="C68" i="12"/>
  <c r="E68" i="12" s="1"/>
  <c r="C67" i="34"/>
  <c r="E67" i="34" s="1"/>
  <c r="C45" i="48"/>
  <c r="E45" i="48" s="1"/>
  <c r="C55" i="51"/>
  <c r="E55" i="51" s="1"/>
  <c r="C49" i="12"/>
  <c r="E49" i="12" s="1"/>
  <c r="C36" i="51"/>
  <c r="E36" i="51" s="1"/>
  <c r="C43" i="34"/>
  <c r="E43" i="34" s="1"/>
  <c r="H510" i="1"/>
  <c r="C46" i="3" s="1"/>
  <c r="E46" i="3" s="1"/>
  <c r="H512" i="1"/>
  <c r="C48" i="3" s="1"/>
  <c r="E48" i="3" s="1"/>
  <c r="G121" i="51"/>
  <c r="I153" i="1"/>
  <c r="F14" i="45"/>
  <c r="F43" i="28"/>
  <c r="I31" i="2"/>
  <c r="C29" i="48"/>
  <c r="E29" i="48" s="1"/>
  <c r="C32" i="12"/>
  <c r="E32" i="12" s="1"/>
  <c r="C28" i="6"/>
  <c r="E28" i="6" s="1"/>
  <c r="H699" i="1"/>
  <c r="C25" i="27" s="1"/>
  <c r="E25" i="27" s="1"/>
  <c r="H525" i="1"/>
  <c r="H503" i="1"/>
  <c r="C39" i="3" s="1"/>
  <c r="E39" i="3" s="1"/>
  <c r="C54" i="6"/>
  <c r="E54" i="6" s="1"/>
  <c r="C75" i="12"/>
  <c r="E75" i="12" s="1"/>
  <c r="I13" i="2"/>
  <c r="I11" i="11"/>
  <c r="L518" i="1"/>
  <c r="R517" i="1"/>
  <c r="C27" i="51"/>
  <c r="E27" i="51" s="1"/>
  <c r="I15" i="14"/>
  <c r="I15" i="44"/>
  <c r="I91" i="34"/>
  <c r="I15" i="38"/>
  <c r="I15" i="26"/>
  <c r="I27" i="14"/>
  <c r="C85" i="48"/>
  <c r="E85" i="48" s="1"/>
  <c r="B516" i="1"/>
  <c r="H516" i="1" s="1"/>
  <c r="C52" i="3" s="1"/>
  <c r="E52" i="3" s="1"/>
  <c r="C41" i="48"/>
  <c r="E41" i="48" s="1"/>
  <c r="H526" i="1"/>
  <c r="C50" i="6"/>
  <c r="E50" i="6" s="1"/>
  <c r="C65" i="48"/>
  <c r="E65" i="48" s="1"/>
  <c r="C70" i="12"/>
  <c r="E70" i="12" s="1"/>
  <c r="C99" i="51"/>
  <c r="E99" i="51" s="1"/>
  <c r="C81" i="48"/>
  <c r="E81" i="48" s="1"/>
  <c r="C23" i="15"/>
  <c r="E23" i="15" s="1"/>
  <c r="C26" i="9"/>
  <c r="E26" i="9" s="1"/>
  <c r="C33" i="24"/>
  <c r="E33" i="24" s="1"/>
  <c r="C33" i="55"/>
  <c r="E33" i="55" s="1"/>
  <c r="H538" i="1"/>
  <c r="H558" i="1"/>
  <c r="I16" i="26"/>
  <c r="I16" i="38"/>
  <c r="G123" i="51"/>
  <c r="G125" i="51" s="1"/>
  <c r="H125" i="51" s="1"/>
  <c r="I16" i="44"/>
  <c r="F15" i="37"/>
  <c r="F34" i="37" s="1"/>
  <c r="B15" i="13"/>
  <c r="D15" i="13" s="1"/>
  <c r="D34" i="13" s="1"/>
  <c r="H539" i="1"/>
  <c r="C39" i="12"/>
  <c r="E39" i="12" s="1"/>
  <c r="C35" i="48"/>
  <c r="E35" i="48" s="1"/>
  <c r="C34" i="6"/>
  <c r="E34" i="6" s="1"/>
  <c r="C39" i="48"/>
  <c r="E39" i="48" s="1"/>
  <c r="C49" i="51"/>
  <c r="E49" i="51" s="1"/>
  <c r="C47" i="48"/>
  <c r="E47" i="48" s="1"/>
  <c r="C57" i="51"/>
  <c r="E57" i="51" s="1"/>
  <c r="H529" i="1"/>
  <c r="C22" i="6" s="1"/>
  <c r="E22" i="6" s="1"/>
  <c r="H533" i="1"/>
  <c r="C25" i="34" s="1"/>
  <c r="E25" i="34" s="1"/>
  <c r="H531" i="1"/>
  <c r="C25" i="51" s="1"/>
  <c r="E25" i="51" s="1"/>
  <c r="H530" i="1"/>
  <c r="C25" i="12" s="1"/>
  <c r="E25" i="12" s="1"/>
  <c r="H532" i="1"/>
  <c r="C23" i="48" s="1"/>
  <c r="E23" i="48" s="1"/>
  <c r="C24" i="15"/>
  <c r="E24" i="15" s="1"/>
  <c r="C27" i="9"/>
  <c r="E27" i="9" s="1"/>
  <c r="C36" i="12"/>
  <c r="E36" i="12" s="1"/>
  <c r="H560" i="1"/>
  <c r="I10" i="2"/>
  <c r="D61" i="2"/>
  <c r="E61" i="2" s="1"/>
  <c r="F61" i="2" s="1"/>
  <c r="H61" i="2" s="1"/>
  <c r="C34" i="51"/>
  <c r="E34" i="51" s="1"/>
  <c r="I75" i="6"/>
  <c r="G111" i="12"/>
  <c r="G113" i="12" s="1"/>
  <c r="H113" i="12" s="1"/>
  <c r="I28" i="44"/>
  <c r="I16" i="14"/>
  <c r="H517" i="1"/>
  <c r="H612" i="1"/>
  <c r="C97" i="51"/>
  <c r="E97" i="51" s="1"/>
  <c r="C85" i="12"/>
  <c r="E85" i="12" s="1"/>
  <c r="C73" i="34"/>
  <c r="E73" i="34" s="1"/>
  <c r="C76" i="51"/>
  <c r="E76" i="51" s="1"/>
  <c r="C43" i="42"/>
  <c r="E43" i="42" s="1"/>
  <c r="E43" i="60"/>
  <c r="G263" i="1"/>
  <c r="H587" i="1"/>
  <c r="H99" i="3"/>
  <c r="G103" i="3"/>
  <c r="H103" i="3" s="1"/>
  <c r="B36" i="4" s="1"/>
  <c r="I27" i="44"/>
  <c r="I21" i="26"/>
  <c r="C69" i="34"/>
  <c r="E69" i="34" s="1"/>
  <c r="C79" i="48"/>
  <c r="E79" i="48" s="1"/>
  <c r="C42" i="51"/>
  <c r="E42" i="51" s="1"/>
  <c r="C43" i="12"/>
  <c r="E43" i="12" s="1"/>
  <c r="F2" i="21"/>
  <c r="F2" i="57"/>
  <c r="F2" i="42"/>
  <c r="F2" i="45"/>
  <c r="F2" i="31"/>
  <c r="F2" i="24"/>
  <c r="I13" i="45"/>
  <c r="G105" i="48"/>
  <c r="H105" i="48" s="1"/>
  <c r="I16" i="5"/>
  <c r="C32" i="48"/>
  <c r="E32" i="48" s="1"/>
  <c r="C47" i="34"/>
  <c r="E47" i="34" s="1"/>
  <c r="F2" i="55"/>
  <c r="D36" i="44"/>
  <c r="I12" i="51"/>
  <c r="G147" i="31"/>
  <c r="H147" i="31" s="1"/>
  <c r="G104" i="55"/>
  <c r="H104" i="55" s="1"/>
  <c r="I16" i="9"/>
  <c r="B9" i="43"/>
  <c r="I14" i="39"/>
  <c r="F19" i="37"/>
  <c r="M112" i="23"/>
  <c r="M49" i="50"/>
  <c r="B32" i="10"/>
  <c r="D32" i="10" s="1"/>
  <c r="D36" i="14"/>
  <c r="I14" i="6"/>
  <c r="E12" i="9"/>
  <c r="F40" i="36"/>
  <c r="M48" i="44"/>
  <c r="B32" i="36"/>
  <c r="D32" i="36" s="1"/>
  <c r="M48" i="5"/>
  <c r="I127" i="51"/>
  <c r="I101" i="3"/>
  <c r="D35" i="14"/>
  <c r="AB5" i="1"/>
  <c r="D27" i="5" s="1"/>
  <c r="E27" i="5" s="1"/>
  <c r="J27" i="5" s="1"/>
  <c r="H34" i="29"/>
  <c r="F24" i="36"/>
  <c r="C11" i="1"/>
  <c r="R5" i="1"/>
  <c r="Z7" i="1"/>
  <c r="D31" i="11" s="1"/>
  <c r="E31" i="11" s="1"/>
  <c r="F31" i="11" s="1"/>
  <c r="H31" i="11" s="1"/>
  <c r="E31" i="39"/>
  <c r="I9" i="51"/>
  <c r="J9" i="51" s="1"/>
  <c r="B22" i="4"/>
  <c r="I30" i="3"/>
  <c r="F19" i="28"/>
  <c r="D19" i="28"/>
  <c r="M119" i="58"/>
  <c r="I17" i="51"/>
  <c r="B16" i="16"/>
  <c r="D9" i="36"/>
  <c r="J9" i="49"/>
  <c r="I9" i="49" s="1"/>
  <c r="N62" i="15"/>
  <c r="AD10" i="1"/>
  <c r="D20" i="35" s="1"/>
  <c r="E20" i="35" s="1"/>
  <c r="F20" i="35" s="1"/>
  <c r="H20" i="35" s="1"/>
  <c r="B19" i="7"/>
  <c r="I12" i="9"/>
  <c r="C6" i="1"/>
  <c r="D24" i="36"/>
  <c r="M49" i="14"/>
  <c r="I21" i="3"/>
  <c r="R6" i="1"/>
  <c r="M119" i="17"/>
  <c r="I9" i="34"/>
  <c r="D29" i="8"/>
  <c r="E29" i="8" s="1"/>
  <c r="H33" i="29"/>
  <c r="E149" i="1"/>
  <c r="C10" i="1"/>
  <c r="F20" i="36"/>
  <c r="J9" i="13"/>
  <c r="I9" i="13" s="1"/>
  <c r="F43" i="36"/>
  <c r="D15" i="37"/>
  <c r="D34" i="37" s="1"/>
  <c r="M119" i="30"/>
  <c r="I67" i="9"/>
  <c r="H48" i="29"/>
  <c r="R10" i="1"/>
  <c r="M119" i="41"/>
  <c r="D18" i="35"/>
  <c r="E18" i="35" s="1"/>
  <c r="I12" i="3"/>
  <c r="N66" i="45"/>
  <c r="D28" i="36"/>
  <c r="F28" i="36"/>
  <c r="D24" i="49"/>
  <c r="D27" i="10"/>
  <c r="D20" i="46"/>
  <c r="D28" i="10"/>
  <c r="D31" i="4"/>
  <c r="I17" i="34"/>
  <c r="F16" i="28"/>
  <c r="D16" i="28"/>
  <c r="N65" i="15"/>
  <c r="D24" i="46"/>
  <c r="I69" i="9"/>
  <c r="F20" i="28"/>
  <c r="D28" i="46"/>
  <c r="E4" i="28"/>
  <c r="D38" i="2"/>
  <c r="E38" i="2" s="1"/>
  <c r="L38" i="2" s="1"/>
  <c r="D35" i="44"/>
  <c r="AC25" i="1"/>
  <c r="F24" i="4"/>
  <c r="D32" i="4"/>
  <c r="F28" i="28"/>
  <c r="O11" i="45"/>
  <c r="D31" i="2"/>
  <c r="I18" i="39"/>
  <c r="I25" i="3"/>
  <c r="F44" i="28"/>
  <c r="F24" i="28"/>
  <c r="I107" i="34"/>
  <c r="F30" i="28"/>
  <c r="I36" i="3"/>
  <c r="B25" i="36"/>
  <c r="C85" i="3"/>
  <c r="E85" i="3" s="1"/>
  <c r="B9" i="28"/>
  <c r="Q406" i="1"/>
  <c r="D27" i="7"/>
  <c r="B9" i="36"/>
  <c r="M52" i="38"/>
  <c r="D36" i="2"/>
  <c r="E36" i="2" s="1"/>
  <c r="J36" i="2" s="1"/>
  <c r="I28" i="3"/>
  <c r="H69" i="45"/>
  <c r="B31" i="43" s="1"/>
  <c r="D31" i="43" s="1"/>
  <c r="I66" i="39"/>
  <c r="I85" i="39"/>
  <c r="F31" i="28"/>
  <c r="F27" i="28"/>
  <c r="D9" i="28"/>
  <c r="E14" i="21"/>
  <c r="F46" i="28"/>
  <c r="D25" i="2"/>
  <c r="E25" i="2" s="1"/>
  <c r="F25" i="2" s="1"/>
  <c r="E30" i="39"/>
  <c r="M119" i="20"/>
  <c r="F15" i="28"/>
  <c r="F34" i="28" s="1"/>
  <c r="F30" i="36"/>
  <c r="M119" i="61"/>
  <c r="E11" i="9"/>
  <c r="M112" i="56"/>
  <c r="B31" i="10"/>
  <c r="H98" i="3"/>
  <c r="G98" i="3" s="1"/>
  <c r="L30" i="35"/>
  <c r="F30" i="35"/>
  <c r="H30" i="35" s="1"/>
  <c r="D27" i="13"/>
  <c r="C4" i="13"/>
  <c r="F8" i="29" s="1"/>
  <c r="E4" i="13"/>
  <c r="E21" i="42"/>
  <c r="E18" i="42"/>
  <c r="E11" i="42"/>
  <c r="E12" i="42"/>
  <c r="H18" i="42"/>
  <c r="H12" i="42"/>
  <c r="B8" i="7"/>
  <c r="J30" i="35"/>
  <c r="G83" i="39"/>
  <c r="H83" i="39" s="1"/>
  <c r="H82" i="39"/>
  <c r="E4" i="36"/>
  <c r="F42" i="36"/>
  <c r="F27" i="36"/>
  <c r="B12" i="10"/>
  <c r="B8" i="10"/>
  <c r="F10" i="49"/>
  <c r="N63" i="45"/>
  <c r="A92" i="25"/>
  <c r="I11" i="15"/>
  <c r="W25" i="1"/>
  <c r="B24" i="37"/>
  <c r="G14" i="3"/>
  <c r="H14" i="3" s="1"/>
  <c r="I16" i="3" s="1"/>
  <c r="E14" i="3"/>
  <c r="F28" i="37"/>
  <c r="D9" i="37"/>
  <c r="I17" i="12"/>
  <c r="B8" i="4"/>
  <c r="G68" i="15"/>
  <c r="G69" i="15" s="1"/>
  <c r="H69" i="15" s="1"/>
  <c r="I15" i="48"/>
  <c r="B19" i="46"/>
  <c r="C86" i="3"/>
  <c r="E86" i="3" s="1"/>
  <c r="D32" i="2"/>
  <c r="E32" i="2" s="1"/>
  <c r="L32" i="2" s="1"/>
  <c r="D52" i="2"/>
  <c r="E52" i="2" s="1"/>
  <c r="J52" i="2" s="1"/>
  <c r="D60" i="2"/>
  <c r="E60" i="2" s="1"/>
  <c r="D63" i="2"/>
  <c r="E63" i="2" s="1"/>
  <c r="R4" i="1"/>
  <c r="C61" i="3"/>
  <c r="E61" i="3" s="1"/>
  <c r="D35" i="2"/>
  <c r="E35" i="2" s="1"/>
  <c r="D53" i="2"/>
  <c r="E53" i="2" s="1"/>
  <c r="J53" i="2" s="1"/>
  <c r="D64" i="2"/>
  <c r="E64" i="2" s="1"/>
  <c r="D70" i="2"/>
  <c r="E70" i="2" s="1"/>
  <c r="AP4" i="1"/>
  <c r="D11" i="2" s="1"/>
  <c r="E11" i="2" s="1"/>
  <c r="L11" i="2" s="1"/>
  <c r="C4" i="1"/>
  <c r="H11" i="2"/>
  <c r="D24" i="2"/>
  <c r="E24" i="2" s="1"/>
  <c r="F24" i="2" s="1"/>
  <c r="H24" i="2" s="1"/>
  <c r="D39" i="2"/>
  <c r="E39" i="2" s="1"/>
  <c r="J39" i="2" s="1"/>
  <c r="D62" i="2"/>
  <c r="E62" i="2" s="1"/>
  <c r="B32" i="46"/>
  <c r="I109" i="48"/>
  <c r="B15" i="4"/>
  <c r="AA25" i="1"/>
  <c r="AO25" i="1"/>
  <c r="M74" i="2"/>
  <c r="B25" i="28"/>
  <c r="D25" i="28" s="1"/>
  <c r="B19" i="16"/>
  <c r="E21" i="31"/>
  <c r="E12" i="31"/>
  <c r="E18" i="31"/>
  <c r="E11" i="31"/>
  <c r="H19" i="31"/>
  <c r="B120" i="33" s="1"/>
  <c r="E17" i="31"/>
  <c r="H18" i="31"/>
  <c r="H12" i="31"/>
  <c r="H17" i="31"/>
  <c r="D187" i="33"/>
  <c r="D182" i="33"/>
  <c r="B16" i="36"/>
  <c r="B16" i="10"/>
  <c r="B16" i="46"/>
  <c r="B92" i="22"/>
  <c r="B92" i="59"/>
  <c r="B81" i="54"/>
  <c r="B92" i="62"/>
  <c r="B81" i="25"/>
  <c r="B92" i="40"/>
  <c r="B92" i="33"/>
  <c r="B92" i="19"/>
  <c r="E18" i="21"/>
  <c r="E19" i="21"/>
  <c r="E21" i="21"/>
  <c r="E17" i="21"/>
  <c r="D182" i="22"/>
  <c r="H12" i="21"/>
  <c r="D187" i="22"/>
  <c r="H18" i="21"/>
  <c r="H19" i="21"/>
  <c r="B120" i="22" s="1"/>
  <c r="H17" i="21"/>
  <c r="E12" i="21"/>
  <c r="H102" i="34"/>
  <c r="E21" i="38"/>
  <c r="L21" i="38" s="1"/>
  <c r="E12" i="26"/>
  <c r="L12" i="26" s="1"/>
  <c r="B16" i="49"/>
  <c r="H18" i="29"/>
  <c r="A107" i="62"/>
  <c r="H21" i="29"/>
  <c r="A92" i="54"/>
  <c r="D21" i="1"/>
  <c r="E14" i="24"/>
  <c r="H13" i="24"/>
  <c r="E16" i="24"/>
  <c r="E13" i="24"/>
  <c r="D158" i="25"/>
  <c r="D163" i="25"/>
  <c r="E18" i="18"/>
  <c r="E16" i="18"/>
  <c r="E17" i="18"/>
  <c r="E12" i="18"/>
  <c r="H12" i="18"/>
  <c r="H17" i="18"/>
  <c r="H18" i="18"/>
  <c r="B32" i="43"/>
  <c r="D32" i="43" s="1"/>
  <c r="H16" i="29"/>
  <c r="E14" i="55"/>
  <c r="E16" i="55"/>
  <c r="E13" i="55"/>
  <c r="H13" i="55"/>
  <c r="B194" i="1"/>
  <c r="A107" i="33"/>
  <c r="B21" i="4"/>
  <c r="Z5" i="1"/>
  <c r="A107" i="22"/>
  <c r="E17" i="57"/>
  <c r="E18" i="57"/>
  <c r="E21" i="57"/>
  <c r="E16" i="57"/>
  <c r="E11" i="57"/>
  <c r="H18" i="57"/>
  <c r="H12" i="57"/>
  <c r="E19" i="57"/>
  <c r="E12" i="57"/>
  <c r="H19" i="57"/>
  <c r="B29" i="59" s="1"/>
  <c r="D29" i="59" s="1"/>
  <c r="D184" i="59"/>
  <c r="D189" i="59"/>
  <c r="B32" i="28"/>
  <c r="D32" i="28" s="1"/>
  <c r="A107" i="19"/>
  <c r="B226" i="1"/>
  <c r="A107" i="59"/>
  <c r="E18" i="60"/>
  <c r="E19" i="60"/>
  <c r="E12" i="60"/>
  <c r="H18" i="60"/>
  <c r="E11" i="60"/>
  <c r="E21" i="60"/>
  <c r="H11" i="60"/>
  <c r="D184" i="62"/>
  <c r="H12" i="60"/>
  <c r="H19" i="60"/>
  <c r="I19" i="60" s="1"/>
  <c r="D189" i="62"/>
  <c r="I34" i="3"/>
  <c r="J36" i="3"/>
  <c r="L31" i="35"/>
  <c r="J31" i="35"/>
  <c r="F31" i="35"/>
  <c r="H31" i="35" s="1"/>
  <c r="D30" i="10"/>
  <c r="I71" i="15"/>
  <c r="B32" i="16"/>
  <c r="N8" i="1"/>
  <c r="D22" i="50" s="1"/>
  <c r="E22" i="50" s="1"/>
  <c r="F22" i="50" s="1"/>
  <c r="AV8" i="1"/>
  <c r="D23" i="50" s="1"/>
  <c r="E23" i="50" s="1"/>
  <c r="J23" i="50" s="1"/>
  <c r="P8" i="1"/>
  <c r="D17" i="50" s="1"/>
  <c r="H8" i="1"/>
  <c r="D42" i="50" s="1"/>
  <c r="J8" i="1"/>
  <c r="D14" i="50" s="1"/>
  <c r="H107" i="51"/>
  <c r="B23" i="49" s="1"/>
  <c r="D23" i="49" s="1"/>
  <c r="AF8" i="1"/>
  <c r="D31" i="50" s="1"/>
  <c r="E31" i="50" s="1"/>
  <c r="L31" i="50" s="1"/>
  <c r="AD8" i="1"/>
  <c r="AP8" i="1"/>
  <c r="R8" i="1"/>
  <c r="B20" i="37"/>
  <c r="B16" i="43"/>
  <c r="AU25" i="1"/>
  <c r="B19" i="4"/>
  <c r="B20" i="4"/>
  <c r="B31" i="7"/>
  <c r="B19" i="49"/>
  <c r="B19" i="10"/>
  <c r="F10" i="16"/>
  <c r="D406" i="1"/>
  <c r="AB8" i="1"/>
  <c r="B32" i="49"/>
  <c r="B15" i="36"/>
  <c r="K25" i="1"/>
  <c r="B23" i="4"/>
  <c r="B32" i="37"/>
  <c r="B32" i="7"/>
  <c r="B19" i="36"/>
  <c r="B15" i="49"/>
  <c r="AW25" i="1"/>
  <c r="U25" i="1"/>
  <c r="B32" i="13"/>
  <c r="B16" i="13"/>
  <c r="H24" i="1"/>
  <c r="D9" i="38" s="1"/>
  <c r="J24" i="1"/>
  <c r="D12" i="38" s="1"/>
  <c r="P24" i="1"/>
  <c r="D15" i="38" s="1"/>
  <c r="N24" i="1"/>
  <c r="D20" i="38" s="1"/>
  <c r="E20" i="38" s="1"/>
  <c r="J20" i="38" s="1"/>
  <c r="AX24" i="1"/>
  <c r="D28" i="38" s="1"/>
  <c r="E28" i="38" s="1"/>
  <c r="L28" i="38" s="1"/>
  <c r="H4" i="1"/>
  <c r="D16" i="2" s="1"/>
  <c r="E16" i="2" s="1"/>
  <c r="L16" i="2" s="1"/>
  <c r="J4" i="1"/>
  <c r="D20" i="2" s="1"/>
  <c r="H14" i="2"/>
  <c r="L4" i="1"/>
  <c r="C60" i="3"/>
  <c r="E60" i="3" s="1"/>
  <c r="H15" i="2"/>
  <c r="H88" i="3"/>
  <c r="G88" i="3" s="1"/>
  <c r="N4" i="1"/>
  <c r="D37" i="2" s="1"/>
  <c r="E37" i="2" s="1"/>
  <c r="L37" i="2" s="1"/>
  <c r="AX4" i="1"/>
  <c r="D49" i="2" s="1"/>
  <c r="E49" i="2" s="1"/>
  <c r="J49" i="2" s="1"/>
  <c r="G89" i="3"/>
  <c r="H89" i="3" s="1"/>
  <c r="P4" i="1"/>
  <c r="D29" i="2" s="1"/>
  <c r="B23" i="36"/>
  <c r="D23" i="36" s="1"/>
  <c r="E23" i="11"/>
  <c r="L23" i="11" s="1"/>
  <c r="E21" i="14"/>
  <c r="J21" i="14" s="1"/>
  <c r="AV23" i="1"/>
  <c r="D21" i="44" s="1"/>
  <c r="E21" i="44" s="1"/>
  <c r="L21" i="44" s="1"/>
  <c r="AH23" i="1"/>
  <c r="D27" i="44" s="1"/>
  <c r="AJ23" i="1"/>
  <c r="D28" i="44" s="1"/>
  <c r="H23" i="1"/>
  <c r="D32" i="44" s="1"/>
  <c r="J23" i="1"/>
  <c r="D12" i="44" s="1"/>
  <c r="P23" i="1"/>
  <c r="D17" i="44" s="1"/>
  <c r="N23" i="1"/>
  <c r="D20" i="44" s="1"/>
  <c r="E20" i="44" s="1"/>
  <c r="L20" i="44" s="1"/>
  <c r="B12" i="43"/>
  <c r="H22" i="1"/>
  <c r="D9" i="26" s="1"/>
  <c r="P22" i="1"/>
  <c r="D16" i="26" s="1"/>
  <c r="N22" i="1"/>
  <c r="D20" i="26" s="1"/>
  <c r="E20" i="26" s="1"/>
  <c r="L20" i="26" s="1"/>
  <c r="AR22" i="1"/>
  <c r="D21" i="26" s="1"/>
  <c r="AF9" i="1"/>
  <c r="D23" i="47" s="1"/>
  <c r="E23" i="47" s="1"/>
  <c r="X9" i="1"/>
  <c r="D21" i="47" s="1"/>
  <c r="E21" i="47" s="1"/>
  <c r="J21" i="47" s="1"/>
  <c r="H9" i="1"/>
  <c r="D9" i="47" s="1"/>
  <c r="E9" i="47" s="1"/>
  <c r="F9" i="47" s="1"/>
  <c r="J9" i="1"/>
  <c r="D14" i="47" s="1"/>
  <c r="H89" i="48"/>
  <c r="B23" i="46" s="1"/>
  <c r="D23" i="46" s="1"/>
  <c r="P6" i="1"/>
  <c r="D18" i="8" s="1"/>
  <c r="J6" i="1"/>
  <c r="D12" i="8" s="1"/>
  <c r="E12" i="8" s="1"/>
  <c r="J12" i="8" s="1"/>
  <c r="H6" i="1"/>
  <c r="D9" i="8" s="1"/>
  <c r="L6" i="1"/>
  <c r="D13" i="8" s="1"/>
  <c r="E13" i="8" s="1"/>
  <c r="L13" i="8" s="1"/>
  <c r="H54" i="9"/>
  <c r="B23" i="10" s="1"/>
  <c r="D23" i="10" s="1"/>
  <c r="X6" i="1"/>
  <c r="D28" i="8" s="1"/>
  <c r="E28" i="8" s="1"/>
  <c r="L28" i="8" s="1"/>
  <c r="N6" i="1"/>
  <c r="D21" i="8" s="1"/>
  <c r="E21" i="8" s="1"/>
  <c r="L21" i="8" s="1"/>
  <c r="AT6" i="1"/>
  <c r="D22" i="8" s="1"/>
  <c r="E22" i="8" s="1"/>
  <c r="J22" i="8" s="1"/>
  <c r="G51" i="39"/>
  <c r="H51" i="39" s="1"/>
  <c r="G41" i="45"/>
  <c r="H41" i="45" s="1"/>
  <c r="G38" i="27"/>
  <c r="H38" i="27" s="1"/>
  <c r="G45" i="15"/>
  <c r="H45" i="15" s="1"/>
  <c r="G37" i="15"/>
  <c r="H37" i="15" s="1"/>
  <c r="G80" i="34"/>
  <c r="H80" i="34" s="1"/>
  <c r="G72" i="34"/>
  <c r="H72" i="34" s="1"/>
  <c r="G56" i="34"/>
  <c r="H56" i="34" s="1"/>
  <c r="G73" i="48"/>
  <c r="H73" i="48" s="1"/>
  <c r="G102" i="51"/>
  <c r="H102" i="51" s="1"/>
  <c r="G94" i="51"/>
  <c r="H94" i="51" s="1"/>
  <c r="G70" i="51"/>
  <c r="H70" i="51" s="1"/>
  <c r="G73" i="12"/>
  <c r="H73" i="12" s="1"/>
  <c r="G65" i="12"/>
  <c r="H65" i="12" s="1"/>
  <c r="G43" i="9"/>
  <c r="H43" i="9" s="1"/>
  <c r="G48" i="6"/>
  <c r="H48" i="6" s="1"/>
  <c r="G40" i="6"/>
  <c r="H40" i="6" s="1"/>
  <c r="G71" i="3"/>
  <c r="H71" i="3" s="1"/>
  <c r="G25" i="39"/>
  <c r="H25" i="39" s="1"/>
  <c r="G20" i="27"/>
  <c r="H20" i="27" s="1"/>
  <c r="G48" i="34"/>
  <c r="H48" i="34" s="1"/>
  <c r="G40" i="34"/>
  <c r="H40" i="34" s="1"/>
  <c r="G24" i="34"/>
  <c r="H24" i="34" s="1"/>
  <c r="G58" i="51"/>
  <c r="H58" i="51" s="1"/>
  <c r="G50" i="51"/>
  <c r="H50" i="51" s="1"/>
  <c r="G45" i="12"/>
  <c r="H45" i="12" s="1"/>
  <c r="N7" i="1"/>
  <c r="D22" i="11" s="1"/>
  <c r="E22" i="11" s="1"/>
  <c r="J22" i="11" s="1"/>
  <c r="H10" i="1"/>
  <c r="D9" i="35" s="1"/>
  <c r="B427" i="1"/>
  <c r="B36" i="14" s="1"/>
  <c r="J5" i="1"/>
  <c r="D12" i="5" s="1"/>
  <c r="E12" i="5" s="1"/>
  <c r="J12" i="5" s="1"/>
  <c r="G58" i="39"/>
  <c r="H58" i="39" s="1"/>
  <c r="G50" i="39"/>
  <c r="H50" i="39" s="1"/>
  <c r="G40" i="45"/>
  <c r="H40" i="45" s="1"/>
  <c r="G37" i="27"/>
  <c r="H37" i="27" s="1"/>
  <c r="G44" i="15"/>
  <c r="H44" i="15" s="1"/>
  <c r="G36" i="15"/>
  <c r="H36" i="15" s="1"/>
  <c r="G71" i="34"/>
  <c r="H71" i="34" s="1"/>
  <c r="G63" i="34"/>
  <c r="H63" i="34" s="1"/>
  <c r="G55" i="34"/>
  <c r="H55" i="34" s="1"/>
  <c r="G80" i="48"/>
  <c r="H80" i="48" s="1"/>
  <c r="G72" i="48"/>
  <c r="H72" i="48" s="1"/>
  <c r="G64" i="48"/>
  <c r="H64" i="48" s="1"/>
  <c r="G56" i="48"/>
  <c r="H56" i="48" s="1"/>
  <c r="G85" i="51"/>
  <c r="H85" i="51" s="1"/>
  <c r="G77" i="51"/>
  <c r="H77" i="51" s="1"/>
  <c r="G69" i="51"/>
  <c r="H69" i="51" s="1"/>
  <c r="G88" i="12"/>
  <c r="H88" i="12" s="1"/>
  <c r="G80" i="12"/>
  <c r="H80" i="12" s="1"/>
  <c r="G72" i="12"/>
  <c r="H72" i="12" s="1"/>
  <c r="G64" i="12"/>
  <c r="H64" i="12" s="1"/>
  <c r="G50" i="9"/>
  <c r="H50" i="9" s="1"/>
  <c r="G42" i="9"/>
  <c r="H42" i="9" s="1"/>
  <c r="G55" i="6"/>
  <c r="H55" i="6" s="1"/>
  <c r="G47" i="6"/>
  <c r="H47" i="6" s="1"/>
  <c r="G39" i="6"/>
  <c r="H39" i="6" s="1"/>
  <c r="G70" i="3"/>
  <c r="H70" i="3" s="1"/>
  <c r="G37" i="39"/>
  <c r="H37" i="39" s="1"/>
  <c r="G24" i="39"/>
  <c r="H24" i="39" s="1"/>
  <c r="G31" i="34"/>
  <c r="H31" i="34" s="1"/>
  <c r="G46" i="48"/>
  <c r="H46" i="48" s="1"/>
  <c r="G38" i="48"/>
  <c r="H38" i="48" s="1"/>
  <c r="G22" i="48"/>
  <c r="H22" i="48" s="1"/>
  <c r="G41" i="51"/>
  <c r="H41" i="51" s="1"/>
  <c r="G33" i="51"/>
  <c r="H33" i="51" s="1"/>
  <c r="G52" i="12"/>
  <c r="H52" i="12" s="1"/>
  <c r="G44" i="12"/>
  <c r="H44" i="12" s="1"/>
  <c r="G27" i="6"/>
  <c r="H27" i="6" s="1"/>
  <c r="G19" i="6"/>
  <c r="H19" i="6" s="1"/>
  <c r="G45" i="3"/>
  <c r="H45" i="3" s="1"/>
  <c r="X7" i="1"/>
  <c r="D30" i="11" s="1"/>
  <c r="E30" i="11" s="1"/>
  <c r="J30" i="11" s="1"/>
  <c r="H5" i="1"/>
  <c r="D33" i="5" s="1"/>
  <c r="G57" i="39"/>
  <c r="H57" i="39" s="1"/>
  <c r="G49" i="39"/>
  <c r="H49" i="39" s="1"/>
  <c r="G39" i="45"/>
  <c r="H39" i="45" s="1"/>
  <c r="G43" i="15"/>
  <c r="H43" i="15" s="1"/>
  <c r="G78" i="34"/>
  <c r="H78" i="34" s="1"/>
  <c r="G70" i="34"/>
  <c r="H70" i="34" s="1"/>
  <c r="G62" i="34"/>
  <c r="H62" i="34" s="1"/>
  <c r="G54" i="34"/>
  <c r="H54" i="34" s="1"/>
  <c r="G55" i="48"/>
  <c r="H55" i="48" s="1"/>
  <c r="G100" i="51"/>
  <c r="H100" i="51" s="1"/>
  <c r="G92" i="51"/>
  <c r="H92" i="51" s="1"/>
  <c r="G68" i="51"/>
  <c r="H68" i="51" s="1"/>
  <c r="G87" i="12"/>
  <c r="H87" i="12" s="1"/>
  <c r="G79" i="12"/>
  <c r="H79" i="12" s="1"/>
  <c r="G71" i="12"/>
  <c r="H71" i="12" s="1"/>
  <c r="G63" i="12"/>
  <c r="H63" i="12" s="1"/>
  <c r="G49" i="9"/>
  <c r="H49" i="9" s="1"/>
  <c r="G41" i="9"/>
  <c r="H41" i="9" s="1"/>
  <c r="G46" i="6"/>
  <c r="H46" i="6" s="1"/>
  <c r="G77" i="3"/>
  <c r="H77" i="3" s="1"/>
  <c r="G69" i="3"/>
  <c r="H69" i="3" s="1"/>
  <c r="G36" i="39"/>
  <c r="H36" i="39" s="1"/>
  <c r="G23" i="39"/>
  <c r="H23" i="39" s="1"/>
  <c r="G29" i="15"/>
  <c r="H29" i="15" s="1"/>
  <c r="G21" i="15"/>
  <c r="H21" i="15" s="1"/>
  <c r="G46" i="34"/>
  <c r="H46" i="34" s="1"/>
  <c r="G38" i="34"/>
  <c r="H38" i="34" s="1"/>
  <c r="G22" i="34"/>
  <c r="H22" i="34" s="1"/>
  <c r="G56" i="51"/>
  <c r="H56" i="51" s="1"/>
  <c r="G48" i="51"/>
  <c r="H48" i="51" s="1"/>
  <c r="G40" i="51"/>
  <c r="H40" i="51" s="1"/>
  <c r="G24" i="51"/>
  <c r="H24" i="51" s="1"/>
  <c r="G51" i="12"/>
  <c r="H51" i="12" s="1"/>
  <c r="G25" i="9"/>
  <c r="H25" i="9" s="1"/>
  <c r="G44" i="3"/>
  <c r="H44" i="3" s="1"/>
  <c r="AF7" i="1"/>
  <c r="D35" i="11" s="1"/>
  <c r="E35" i="11" s="1"/>
  <c r="AH11" i="1"/>
  <c r="D27" i="14" s="1"/>
  <c r="H95" i="12"/>
  <c r="B23" i="13" s="1"/>
  <c r="D23" i="13" s="1"/>
  <c r="G56" i="39"/>
  <c r="H56" i="39" s="1"/>
  <c r="G48" i="39"/>
  <c r="H48" i="39" s="1"/>
  <c r="G46" i="45"/>
  <c r="H46" i="45" s="1"/>
  <c r="G38" i="45"/>
  <c r="H38" i="45" s="1"/>
  <c r="G35" i="27"/>
  <c r="H35" i="27" s="1"/>
  <c r="G42" i="15"/>
  <c r="H42" i="15" s="1"/>
  <c r="G61" i="34"/>
  <c r="H61" i="34" s="1"/>
  <c r="G78" i="48"/>
  <c r="H78" i="48" s="1"/>
  <c r="G70" i="48"/>
  <c r="H70" i="48" s="1"/>
  <c r="G62" i="48"/>
  <c r="H62" i="48" s="1"/>
  <c r="G54" i="48"/>
  <c r="H54" i="48" s="1"/>
  <c r="G91" i="51"/>
  <c r="H91" i="51" s="1"/>
  <c r="G83" i="51"/>
  <c r="H83" i="51" s="1"/>
  <c r="G75" i="51"/>
  <c r="H75" i="51" s="1"/>
  <c r="G86" i="12"/>
  <c r="H86" i="12" s="1"/>
  <c r="G78" i="12"/>
  <c r="H78" i="12" s="1"/>
  <c r="G62" i="12"/>
  <c r="H62" i="12" s="1"/>
  <c r="G48" i="9"/>
  <c r="H48" i="9" s="1"/>
  <c r="G40" i="9"/>
  <c r="H40" i="9" s="1"/>
  <c r="G53" i="6"/>
  <c r="H53" i="6" s="1"/>
  <c r="G45" i="6"/>
  <c r="H45" i="6" s="1"/>
  <c r="G76" i="3"/>
  <c r="H76" i="3" s="1"/>
  <c r="G68" i="3"/>
  <c r="H68" i="3" s="1"/>
  <c r="G33" i="39"/>
  <c r="H33" i="39" s="1"/>
  <c r="G28" i="15"/>
  <c r="H28" i="15" s="1"/>
  <c r="G20" i="15"/>
  <c r="H20" i="15" s="1"/>
  <c r="G29" i="34"/>
  <c r="H29" i="34" s="1"/>
  <c r="G44" i="48"/>
  <c r="H44" i="48" s="1"/>
  <c r="G28" i="48"/>
  <c r="H28" i="48" s="1"/>
  <c r="G20" i="48"/>
  <c r="H20" i="48" s="1"/>
  <c r="G39" i="51"/>
  <c r="H39" i="51" s="1"/>
  <c r="G31" i="51"/>
  <c r="H31" i="51" s="1"/>
  <c r="G50" i="12"/>
  <c r="H50" i="12" s="1"/>
  <c r="G42" i="12"/>
  <c r="H42" i="12" s="1"/>
  <c r="G34" i="12"/>
  <c r="H34" i="12" s="1"/>
  <c r="G32" i="9"/>
  <c r="H32" i="9" s="1"/>
  <c r="G24" i="9"/>
  <c r="H24" i="9" s="1"/>
  <c r="G33" i="6"/>
  <c r="H33" i="6" s="1"/>
  <c r="G51" i="3"/>
  <c r="H51" i="3" s="1"/>
  <c r="G43" i="3"/>
  <c r="H43" i="3" s="1"/>
  <c r="J7" i="1"/>
  <c r="D14" i="11" s="1"/>
  <c r="E14" i="11" s="1"/>
  <c r="L14" i="11" s="1"/>
  <c r="H7" i="1"/>
  <c r="D9" i="11" s="1"/>
  <c r="E9" i="11" s="1"/>
  <c r="F9" i="11" s="1"/>
  <c r="N11" i="1"/>
  <c r="D20" i="14" s="1"/>
  <c r="E20" i="14" s="1"/>
  <c r="L20" i="14" s="1"/>
  <c r="G47" i="39"/>
  <c r="H47" i="39" s="1"/>
  <c r="G45" i="45"/>
  <c r="H45" i="45" s="1"/>
  <c r="G37" i="45"/>
  <c r="H37" i="45" s="1"/>
  <c r="G34" i="27"/>
  <c r="H34" i="27" s="1"/>
  <c r="G41" i="15"/>
  <c r="H41" i="15" s="1"/>
  <c r="G76" i="34"/>
  <c r="H76" i="34" s="1"/>
  <c r="G68" i="34"/>
  <c r="H68" i="34" s="1"/>
  <c r="G60" i="34"/>
  <c r="H60" i="34" s="1"/>
  <c r="G77" i="48"/>
  <c r="H77" i="48" s="1"/>
  <c r="G69" i="48"/>
  <c r="H69" i="48" s="1"/>
  <c r="G61" i="48"/>
  <c r="H61" i="48" s="1"/>
  <c r="G65" i="51"/>
  <c r="H65" i="51" s="1"/>
  <c r="G98" i="51"/>
  <c r="H98" i="51" s="1"/>
  <c r="G90" i="51"/>
  <c r="H90" i="51" s="1"/>
  <c r="G74" i="51"/>
  <c r="H74" i="51" s="1"/>
  <c r="G66" i="51"/>
  <c r="H66" i="51" s="1"/>
  <c r="G69" i="12"/>
  <c r="H69" i="12" s="1"/>
  <c r="G47" i="9"/>
  <c r="H47" i="9" s="1"/>
  <c r="G52" i="6"/>
  <c r="H52" i="6" s="1"/>
  <c r="G44" i="6"/>
  <c r="H44" i="6" s="1"/>
  <c r="G83" i="3"/>
  <c r="H83" i="3" s="1"/>
  <c r="G75" i="3"/>
  <c r="H75" i="3" s="1"/>
  <c r="G67" i="3"/>
  <c r="H67" i="3" s="1"/>
  <c r="G29" i="39"/>
  <c r="H29" i="39" s="1"/>
  <c r="G24" i="45"/>
  <c r="H24" i="45" s="1"/>
  <c r="G44" i="34"/>
  <c r="H44" i="34" s="1"/>
  <c r="G28" i="34"/>
  <c r="H28" i="34" s="1"/>
  <c r="G54" i="51"/>
  <c r="H54" i="51" s="1"/>
  <c r="G22" i="51"/>
  <c r="H22" i="51" s="1"/>
  <c r="G33" i="12"/>
  <c r="H33" i="12" s="1"/>
  <c r="G31" i="9"/>
  <c r="H31" i="9" s="1"/>
  <c r="G23" i="9"/>
  <c r="H23" i="9" s="1"/>
  <c r="G58" i="3"/>
  <c r="H58" i="3" s="1"/>
  <c r="G50" i="3"/>
  <c r="H50" i="3" s="1"/>
  <c r="G42" i="3"/>
  <c r="H42" i="3" s="1"/>
  <c r="V10" i="1"/>
  <c r="D19" i="35" s="1"/>
  <c r="E19" i="35" s="1"/>
  <c r="F19" i="35" s="1"/>
  <c r="N10" i="1"/>
  <c r="D15" i="35" s="1"/>
  <c r="E15" i="35" s="1"/>
  <c r="J15" i="35" s="1"/>
  <c r="P11" i="1"/>
  <c r="D16" i="14" s="1"/>
  <c r="X5" i="1"/>
  <c r="D28" i="5" s="1"/>
  <c r="E28" i="5" s="1"/>
  <c r="F28" i="5" s="1"/>
  <c r="G54" i="39"/>
  <c r="H54" i="39" s="1"/>
  <c r="G46" i="39"/>
  <c r="H46" i="39" s="1"/>
  <c r="G33" i="27"/>
  <c r="H33" i="27" s="1"/>
  <c r="G101" i="21"/>
  <c r="H101" i="21" s="1"/>
  <c r="G40" i="15"/>
  <c r="H40" i="15" s="1"/>
  <c r="G83" i="34"/>
  <c r="H83" i="34" s="1"/>
  <c r="G59" i="34"/>
  <c r="H59" i="34" s="1"/>
  <c r="G84" i="48"/>
  <c r="H84" i="48" s="1"/>
  <c r="G76" i="48"/>
  <c r="H76" i="48" s="1"/>
  <c r="G68" i="48"/>
  <c r="H68" i="48" s="1"/>
  <c r="G60" i="48"/>
  <c r="H60" i="48" s="1"/>
  <c r="G64" i="51"/>
  <c r="H64" i="51" s="1"/>
  <c r="G89" i="51"/>
  <c r="H89" i="51" s="1"/>
  <c r="G81" i="51"/>
  <c r="H81" i="51" s="1"/>
  <c r="G73" i="51"/>
  <c r="H73" i="51" s="1"/>
  <c r="G84" i="12"/>
  <c r="H84" i="12" s="1"/>
  <c r="G76" i="12"/>
  <c r="H76" i="12" s="1"/>
  <c r="G60" i="12"/>
  <c r="H60" i="12" s="1"/>
  <c r="G46" i="9"/>
  <c r="H46" i="9" s="1"/>
  <c r="G43" i="6"/>
  <c r="H43" i="6" s="1"/>
  <c r="G82" i="3"/>
  <c r="H82" i="3" s="1"/>
  <c r="G74" i="3"/>
  <c r="H74" i="3" s="1"/>
  <c r="G66" i="3"/>
  <c r="H66" i="3" s="1"/>
  <c r="G23" i="45"/>
  <c r="H23" i="45" s="1"/>
  <c r="G35" i="34"/>
  <c r="H35" i="34" s="1"/>
  <c r="G42" i="48"/>
  <c r="H42" i="48" s="1"/>
  <c r="G34" i="48"/>
  <c r="H34" i="48" s="1"/>
  <c r="G37" i="51"/>
  <c r="H37" i="51" s="1"/>
  <c r="G48" i="12"/>
  <c r="H48" i="12" s="1"/>
  <c r="G24" i="12"/>
  <c r="H24" i="12" s="1"/>
  <c r="G22" i="9"/>
  <c r="H22" i="9" s="1"/>
  <c r="G31" i="6"/>
  <c r="H31" i="6" s="1"/>
  <c r="G57" i="3"/>
  <c r="H57" i="3" s="1"/>
  <c r="G49" i="3"/>
  <c r="H49" i="3" s="1"/>
  <c r="G41" i="3"/>
  <c r="H41" i="3" s="1"/>
  <c r="B75" i="1"/>
  <c r="AF10" i="1"/>
  <c r="D22" i="35" s="1"/>
  <c r="E22" i="35" s="1"/>
  <c r="J11" i="1"/>
  <c r="D12" i="14" s="1"/>
  <c r="E12" i="14" s="1"/>
  <c r="L12" i="14" s="1"/>
  <c r="AV5" i="1"/>
  <c r="D21" i="5" s="1"/>
  <c r="E21" i="5" s="1"/>
  <c r="F21" i="5" s="1"/>
  <c r="H21" i="5" s="1"/>
  <c r="G53" i="39"/>
  <c r="H53" i="39" s="1"/>
  <c r="G45" i="39"/>
  <c r="H45" i="39" s="1"/>
  <c r="G39" i="15"/>
  <c r="H39" i="15" s="1"/>
  <c r="G82" i="34"/>
  <c r="H82" i="34" s="1"/>
  <c r="G74" i="34"/>
  <c r="H74" i="34" s="1"/>
  <c r="G66" i="34"/>
  <c r="H66" i="34" s="1"/>
  <c r="G58" i="34"/>
  <c r="H58" i="34" s="1"/>
  <c r="G67" i="48"/>
  <c r="H67" i="48" s="1"/>
  <c r="G59" i="48"/>
  <c r="H59" i="48" s="1"/>
  <c r="G96" i="51"/>
  <c r="H96" i="51" s="1"/>
  <c r="G88" i="51"/>
  <c r="H88" i="51" s="1"/>
  <c r="G80" i="51"/>
  <c r="H80" i="51" s="1"/>
  <c r="G72" i="51"/>
  <c r="H72" i="51" s="1"/>
  <c r="G67" i="12"/>
  <c r="H67" i="12" s="1"/>
  <c r="G59" i="12"/>
  <c r="H59" i="12" s="1"/>
  <c r="G45" i="9"/>
  <c r="H45" i="9" s="1"/>
  <c r="G81" i="3"/>
  <c r="H81" i="3" s="1"/>
  <c r="G73" i="3"/>
  <c r="H73" i="3" s="1"/>
  <c r="G65" i="3"/>
  <c r="H65" i="3" s="1"/>
  <c r="G30" i="45"/>
  <c r="H30" i="45" s="1"/>
  <c r="G22" i="45"/>
  <c r="H22" i="45" s="1"/>
  <c r="G22" i="27"/>
  <c r="H22" i="27" s="1"/>
  <c r="G25" i="15"/>
  <c r="H25" i="15" s="1"/>
  <c r="G42" i="34"/>
  <c r="H42" i="34" s="1"/>
  <c r="G34" i="34"/>
  <c r="H34" i="34" s="1"/>
  <c r="G52" i="51"/>
  <c r="H52" i="51" s="1"/>
  <c r="G44" i="51"/>
  <c r="H44" i="51" s="1"/>
  <c r="G31" i="12"/>
  <c r="H31" i="12" s="1"/>
  <c r="G56" i="3"/>
  <c r="H56" i="3" s="1"/>
  <c r="G40" i="3"/>
  <c r="H40" i="3" s="1"/>
  <c r="B77" i="1"/>
  <c r="B39" i="14" s="1"/>
  <c r="P7" i="1"/>
  <c r="D26" i="11" s="1"/>
  <c r="E26" i="11" s="1"/>
  <c r="H11" i="1"/>
  <c r="D31" i="14" s="1"/>
  <c r="N5" i="1"/>
  <c r="D20" i="5" s="1"/>
  <c r="E20" i="5" s="1"/>
  <c r="L20" i="5" s="1"/>
  <c r="G52" i="39"/>
  <c r="H52" i="39" s="1"/>
  <c r="G44" i="39"/>
  <c r="H44" i="39" s="1"/>
  <c r="G42" i="45"/>
  <c r="H42" i="45" s="1"/>
  <c r="G65" i="34"/>
  <c r="H65" i="34" s="1"/>
  <c r="G82" i="48"/>
  <c r="H82" i="48" s="1"/>
  <c r="G74" i="48"/>
  <c r="H74" i="48" s="1"/>
  <c r="G58" i="48"/>
  <c r="H58" i="48" s="1"/>
  <c r="G103" i="51"/>
  <c r="H103" i="51" s="1"/>
  <c r="G87" i="51"/>
  <c r="H87" i="51" s="1"/>
  <c r="G79" i="51"/>
  <c r="H79" i="51" s="1"/>
  <c r="G71" i="51"/>
  <c r="H71" i="51" s="1"/>
  <c r="G90" i="12"/>
  <c r="H90" i="12" s="1"/>
  <c r="G82" i="12"/>
  <c r="H82" i="12" s="1"/>
  <c r="G74" i="12"/>
  <c r="H74" i="12" s="1"/>
  <c r="G66" i="12"/>
  <c r="H66" i="12" s="1"/>
  <c r="G58" i="12"/>
  <c r="H58" i="12" s="1"/>
  <c r="G44" i="9"/>
  <c r="H44" i="9" s="1"/>
  <c r="G49" i="6"/>
  <c r="H49" i="6" s="1"/>
  <c r="G41" i="6"/>
  <c r="H41" i="6" s="1"/>
  <c r="G80" i="3"/>
  <c r="H80" i="3" s="1"/>
  <c r="G72" i="3"/>
  <c r="H72" i="3" s="1"/>
  <c r="G64" i="3"/>
  <c r="H64" i="3" s="1"/>
  <c r="G26" i="39"/>
  <c r="H26" i="39" s="1"/>
  <c r="G29" i="45"/>
  <c r="H29" i="45" s="1"/>
  <c r="G21" i="45"/>
  <c r="H21" i="45" s="1"/>
  <c r="G21" i="27"/>
  <c r="H21" i="27" s="1"/>
  <c r="G49" i="34"/>
  <c r="H49" i="34" s="1"/>
  <c r="G41" i="34"/>
  <c r="H41" i="34" s="1"/>
  <c r="G48" i="48"/>
  <c r="H48" i="48" s="1"/>
  <c r="G40" i="48"/>
  <c r="H40" i="48" s="1"/>
  <c r="G43" i="51"/>
  <c r="H43" i="51" s="1"/>
  <c r="G35" i="51"/>
  <c r="H35" i="51" s="1"/>
  <c r="G46" i="12"/>
  <c r="H46" i="12" s="1"/>
  <c r="G38" i="12"/>
  <c r="H38" i="12" s="1"/>
  <c r="G22" i="12"/>
  <c r="H22" i="12" s="1"/>
  <c r="G28" i="9"/>
  <c r="H28" i="9" s="1"/>
  <c r="G21" i="6"/>
  <c r="H21" i="6" s="1"/>
  <c r="G55" i="3"/>
  <c r="H55" i="3" s="1"/>
  <c r="G47" i="3"/>
  <c r="H47" i="3" s="1"/>
  <c r="E9" i="55"/>
  <c r="D163" i="54"/>
  <c r="D158" i="54"/>
  <c r="G32" i="57"/>
  <c r="H32" i="57" s="1"/>
  <c r="G84" i="57"/>
  <c r="H84" i="57" s="1"/>
  <c r="G10" i="57"/>
  <c r="H10" i="57" s="1"/>
  <c r="G96" i="57"/>
  <c r="H96" i="57" s="1"/>
  <c r="G42" i="57"/>
  <c r="H42" i="57" s="1"/>
  <c r="G10" i="60"/>
  <c r="H10" i="60" s="1"/>
  <c r="G32" i="60"/>
  <c r="H32" i="60" s="1"/>
  <c r="G32" i="31"/>
  <c r="H32" i="31" s="1"/>
  <c r="G84" i="31"/>
  <c r="H84" i="31" s="1"/>
  <c r="E10" i="21"/>
  <c r="E15" i="21"/>
  <c r="G32" i="21"/>
  <c r="H32" i="21" s="1"/>
  <c r="G84" i="21"/>
  <c r="H84" i="21" s="1"/>
  <c r="G70" i="24"/>
  <c r="H70" i="24" s="1"/>
  <c r="G28" i="24"/>
  <c r="H28" i="24" s="1"/>
  <c r="G37" i="24"/>
  <c r="H37" i="24" s="1"/>
  <c r="G66" i="24"/>
  <c r="H66" i="24" s="1"/>
  <c r="G63" i="24"/>
  <c r="H63" i="24" s="1"/>
  <c r="G62" i="24"/>
  <c r="H62" i="24" s="1"/>
  <c r="G61" i="24"/>
  <c r="H61" i="24" s="1"/>
  <c r="G29" i="24"/>
  <c r="H29" i="24" s="1"/>
  <c r="G14" i="55"/>
  <c r="G29" i="55"/>
  <c r="H29" i="55" s="1"/>
  <c r="G70" i="55"/>
  <c r="H70" i="55" s="1"/>
  <c r="G28" i="55"/>
  <c r="H28" i="55" s="1"/>
  <c r="G37" i="55"/>
  <c r="H37" i="55" s="1"/>
  <c r="G66" i="55"/>
  <c r="H66" i="55" s="1"/>
  <c r="G62" i="55"/>
  <c r="H62" i="55" s="1"/>
  <c r="G103" i="57"/>
  <c r="H103" i="57" s="1"/>
  <c r="G49" i="57"/>
  <c r="H49" i="57" s="1"/>
  <c r="G31" i="57"/>
  <c r="H31" i="57" s="1"/>
  <c r="G94" i="57"/>
  <c r="H94" i="57" s="1"/>
  <c r="G30" i="57"/>
  <c r="H30" i="57" s="1"/>
  <c r="G101" i="57"/>
  <c r="H101" i="57" s="1"/>
  <c r="G83" i="57"/>
  <c r="H83" i="57" s="1"/>
  <c r="G47" i="57"/>
  <c r="H47" i="57" s="1"/>
  <c r="G82" i="57"/>
  <c r="H82" i="57" s="1"/>
  <c r="G99" i="57"/>
  <c r="H99" i="57" s="1"/>
  <c r="G90" i="57"/>
  <c r="H90" i="57" s="1"/>
  <c r="G53" i="57"/>
  <c r="H53" i="57" s="1"/>
  <c r="G45" i="57"/>
  <c r="H45" i="57" s="1"/>
  <c r="G105" i="57"/>
  <c r="H105" i="57" s="1"/>
  <c r="G97" i="57"/>
  <c r="H97" i="57" s="1"/>
  <c r="G51" i="57"/>
  <c r="H51" i="57" s="1"/>
  <c r="G84" i="60"/>
  <c r="H84" i="60" s="1"/>
  <c r="G83" i="60"/>
  <c r="H83" i="60" s="1"/>
  <c r="G30" i="60"/>
  <c r="H30" i="60" s="1"/>
  <c r="E10" i="60"/>
  <c r="G10" i="42"/>
  <c r="H10" i="42" s="1"/>
  <c r="G84" i="42"/>
  <c r="H84" i="42" s="1"/>
  <c r="G32" i="42"/>
  <c r="H32" i="42" s="1"/>
  <c r="G82" i="42"/>
  <c r="H82" i="42" s="1"/>
  <c r="G49" i="42"/>
  <c r="H49" i="42" s="1"/>
  <c r="G82" i="60"/>
  <c r="H82" i="60" s="1"/>
  <c r="G47" i="60"/>
  <c r="H47" i="60" s="1"/>
  <c r="G99" i="60"/>
  <c r="H99" i="60" s="1"/>
  <c r="G90" i="60"/>
  <c r="H90" i="60" s="1"/>
  <c r="G105" i="60"/>
  <c r="H105" i="60" s="1"/>
  <c r="G53" i="60"/>
  <c r="H53" i="60" s="1"/>
  <c r="G45" i="60"/>
  <c r="H45" i="60" s="1"/>
  <c r="E15" i="60"/>
  <c r="G97" i="60"/>
  <c r="H97" i="60" s="1"/>
  <c r="G103" i="60"/>
  <c r="H103" i="60" s="1"/>
  <c r="G96" i="60"/>
  <c r="H96" i="60" s="1"/>
  <c r="G51" i="60"/>
  <c r="H51" i="60" s="1"/>
  <c r="G42" i="60"/>
  <c r="H42" i="60" s="1"/>
  <c r="G101" i="60"/>
  <c r="H101" i="60" s="1"/>
  <c r="G94" i="60"/>
  <c r="H94" i="60" s="1"/>
  <c r="G49" i="60"/>
  <c r="H49" i="60" s="1"/>
  <c r="G31" i="60"/>
  <c r="H31" i="60" s="1"/>
  <c r="G99" i="42"/>
  <c r="H99" i="42" s="1"/>
  <c r="G90" i="42"/>
  <c r="H90" i="42" s="1"/>
  <c r="G42" i="42"/>
  <c r="H42" i="42" s="1"/>
  <c r="G31" i="42"/>
  <c r="H31" i="42" s="1"/>
  <c r="G105" i="42"/>
  <c r="H105" i="42" s="1"/>
  <c r="G97" i="42"/>
  <c r="H97" i="42" s="1"/>
  <c r="G30" i="42"/>
  <c r="H30" i="42" s="1"/>
  <c r="G96" i="42"/>
  <c r="H96" i="42" s="1"/>
  <c r="G47" i="42"/>
  <c r="H47" i="42" s="1"/>
  <c r="G103" i="42"/>
  <c r="H103" i="42" s="1"/>
  <c r="G53" i="42"/>
  <c r="H53" i="42" s="1"/>
  <c r="G94" i="42"/>
  <c r="H94" i="42" s="1"/>
  <c r="G45" i="42"/>
  <c r="H45" i="42" s="1"/>
  <c r="G101" i="42"/>
  <c r="H101" i="42" s="1"/>
  <c r="G83" i="42"/>
  <c r="H83" i="42" s="1"/>
  <c r="G51" i="42"/>
  <c r="H51" i="42" s="1"/>
  <c r="G103" i="31"/>
  <c r="H103" i="31" s="1"/>
  <c r="G45" i="31"/>
  <c r="H45" i="31" s="1"/>
  <c r="G94" i="31"/>
  <c r="H94" i="31" s="1"/>
  <c r="G83" i="31"/>
  <c r="H83" i="31" s="1"/>
  <c r="G53" i="31"/>
  <c r="H53" i="31" s="1"/>
  <c r="G101" i="31"/>
  <c r="H101" i="31" s="1"/>
  <c r="G82" i="31"/>
  <c r="H82" i="31" s="1"/>
  <c r="G51" i="31"/>
  <c r="H51" i="31" s="1"/>
  <c r="G99" i="31"/>
  <c r="H99" i="31" s="1"/>
  <c r="G90" i="31"/>
  <c r="H90" i="31" s="1"/>
  <c r="G42" i="31"/>
  <c r="H42" i="31" s="1"/>
  <c r="G31" i="31"/>
  <c r="H31" i="31" s="1"/>
  <c r="G49" i="31"/>
  <c r="H49" i="31" s="1"/>
  <c r="G30" i="31"/>
  <c r="H30" i="31" s="1"/>
  <c r="G105" i="31"/>
  <c r="H105" i="31" s="1"/>
  <c r="G97" i="31"/>
  <c r="H97" i="31" s="1"/>
  <c r="G96" i="31"/>
  <c r="H96" i="31" s="1"/>
  <c r="G47" i="31"/>
  <c r="H47" i="31" s="1"/>
  <c r="G82" i="21"/>
  <c r="H82" i="21" s="1"/>
  <c r="G105" i="21"/>
  <c r="H105" i="21" s="1"/>
  <c r="G97" i="21"/>
  <c r="H97" i="21" s="1"/>
  <c r="G96" i="21"/>
  <c r="H96" i="21" s="1"/>
  <c r="G47" i="21"/>
  <c r="H47" i="21" s="1"/>
  <c r="G103" i="21"/>
  <c r="H103" i="21" s="1"/>
  <c r="G94" i="21"/>
  <c r="H94" i="21" s="1"/>
  <c r="G83" i="21"/>
  <c r="H83" i="21" s="1"/>
  <c r="G53" i="21"/>
  <c r="H53" i="21" s="1"/>
  <c r="G45" i="21"/>
  <c r="H45" i="21" s="1"/>
  <c r="G51" i="21"/>
  <c r="H51" i="21" s="1"/>
  <c r="G99" i="21"/>
  <c r="H99" i="21" s="1"/>
  <c r="G90" i="21"/>
  <c r="H90" i="21" s="1"/>
  <c r="G42" i="21"/>
  <c r="H42" i="21" s="1"/>
  <c r="G31" i="21"/>
  <c r="H31" i="21" s="1"/>
  <c r="G49" i="21"/>
  <c r="H49" i="21" s="1"/>
  <c r="G30" i="21"/>
  <c r="H30" i="21" s="1"/>
  <c r="D186" i="40"/>
  <c r="D191" i="40"/>
  <c r="E11" i="18"/>
  <c r="E23" i="18"/>
  <c r="E83" i="18"/>
  <c r="E47" i="18"/>
  <c r="H11" i="18"/>
  <c r="C3" i="19"/>
  <c r="B12" i="19" s="1"/>
  <c r="E97" i="18"/>
  <c r="H22" i="18"/>
  <c r="B32" i="19" s="1"/>
  <c r="D32" i="19" s="1"/>
  <c r="H16" i="18"/>
  <c r="H32" i="18"/>
  <c r="C94" i="19"/>
  <c r="C95" i="19"/>
  <c r="C96" i="19"/>
  <c r="D187" i="19"/>
  <c r="D182" i="19"/>
  <c r="E9" i="18"/>
  <c r="E96" i="18"/>
  <c r="H23" i="18"/>
  <c r="B124" i="19" s="1"/>
  <c r="H15" i="18"/>
  <c r="H170" i="18"/>
  <c r="E10" i="18"/>
  <c r="D69" i="19"/>
  <c r="H133" i="18"/>
  <c r="H14" i="18"/>
  <c r="H145" i="18"/>
  <c r="C5" i="19"/>
  <c r="E22" i="18"/>
  <c r="E82" i="18"/>
  <c r="E53" i="18"/>
  <c r="E103" i="18"/>
  <c r="E31" i="18"/>
  <c r="B79" i="1"/>
  <c r="B80" i="1" s="1"/>
  <c r="B106" i="17" s="1"/>
  <c r="E106" i="17" s="1"/>
  <c r="C4" i="19"/>
  <c r="C4" i="17"/>
  <c r="E84" i="18"/>
  <c r="E49" i="18"/>
  <c r="H171" i="18"/>
  <c r="I171" i="18" s="1"/>
  <c r="E94" i="18"/>
  <c r="E51" i="18"/>
  <c r="E30" i="18"/>
  <c r="E19" i="18"/>
  <c r="B13" i="29"/>
  <c r="B37" i="29" s="1"/>
  <c r="E14" i="18"/>
  <c r="E105" i="18"/>
  <c r="D64" i="19"/>
  <c r="E45" i="18"/>
  <c r="H169" i="18"/>
  <c r="H130" i="18"/>
  <c r="E21" i="18"/>
  <c r="H10" i="18"/>
  <c r="E15" i="18"/>
  <c r="R120" i="18"/>
  <c r="R121" i="18"/>
  <c r="R122" i="18"/>
  <c r="H84" i="18"/>
  <c r="G51" i="18"/>
  <c r="H51" i="18" s="1"/>
  <c r="G19" i="18"/>
  <c r="H19" i="18" s="1"/>
  <c r="B29" i="19" s="1"/>
  <c r="D29" i="19" s="1"/>
  <c r="G99" i="18"/>
  <c r="H99" i="18" s="1"/>
  <c r="G42" i="18"/>
  <c r="H42" i="18" s="1"/>
  <c r="G31" i="18"/>
  <c r="H31" i="18" s="1"/>
  <c r="R115" i="18"/>
  <c r="R116" i="18"/>
  <c r="G49" i="18"/>
  <c r="H49" i="18" s="1"/>
  <c r="G30" i="18"/>
  <c r="H30" i="18" s="1"/>
  <c r="G105" i="18"/>
  <c r="H105" i="18" s="1"/>
  <c r="G97" i="18"/>
  <c r="H97" i="18" s="1"/>
  <c r="G96" i="18"/>
  <c r="H96" i="18" s="1"/>
  <c r="G47" i="18"/>
  <c r="H47" i="18" s="1"/>
  <c r="G103" i="18"/>
  <c r="H103" i="18" s="1"/>
  <c r="G94" i="18"/>
  <c r="H94" i="18" s="1"/>
  <c r="G83" i="18"/>
  <c r="H83" i="18" s="1"/>
  <c r="G53" i="18"/>
  <c r="H53" i="18" s="1"/>
  <c r="G45" i="18"/>
  <c r="H45" i="18" s="1"/>
  <c r="G101" i="18"/>
  <c r="H101" i="18" s="1"/>
  <c r="G82" i="18"/>
  <c r="H82" i="18" s="1"/>
  <c r="G87" i="34"/>
  <c r="I88" i="34"/>
  <c r="B1" i="18"/>
  <c r="E32" i="60"/>
  <c r="E30" i="60"/>
  <c r="C106" i="60"/>
  <c r="E106" i="60" s="1"/>
  <c r="C50" i="60"/>
  <c r="E50" i="60" s="1"/>
  <c r="C98" i="60"/>
  <c r="E98" i="60" s="1"/>
  <c r="C95" i="60"/>
  <c r="E95" i="60" s="1"/>
  <c r="B1" i="13"/>
  <c r="B1" i="3"/>
  <c r="D42" i="38"/>
  <c r="C4" i="24"/>
  <c r="B1" i="31"/>
  <c r="B1" i="42"/>
  <c r="B74" i="1"/>
  <c r="B33" i="35" s="1"/>
  <c r="E33" i="35" s="1"/>
  <c r="J33" i="35" s="1"/>
  <c r="B59" i="1"/>
  <c r="B38" i="5" s="1"/>
  <c r="B1" i="35"/>
  <c r="B56" i="1"/>
  <c r="B66" i="2" s="1"/>
  <c r="E66" i="2" s="1"/>
  <c r="H66" i="2" s="1"/>
  <c r="C95" i="21"/>
  <c r="E95" i="21" s="1"/>
  <c r="B1" i="7"/>
  <c r="B1" i="33"/>
  <c r="E63" i="24"/>
  <c r="C95" i="42"/>
  <c r="E95" i="42" s="1"/>
  <c r="C100" i="21"/>
  <c r="E100" i="21" s="1"/>
  <c r="B1" i="16"/>
  <c r="C106" i="21"/>
  <c r="E106" i="21" s="1"/>
  <c r="C104" i="18"/>
  <c r="E104" i="18" s="1"/>
  <c r="E84" i="42"/>
  <c r="C98" i="18"/>
  <c r="E98" i="18" s="1"/>
  <c r="E31" i="60"/>
  <c r="B178" i="1"/>
  <c r="C102" i="18"/>
  <c r="E102" i="18" s="1"/>
  <c r="C106" i="18"/>
  <c r="E106" i="18" s="1"/>
  <c r="C95" i="18"/>
  <c r="E95" i="18" s="1"/>
  <c r="C100" i="18"/>
  <c r="E100" i="18" s="1"/>
  <c r="C97" i="22"/>
  <c r="E97" i="22" s="1"/>
  <c r="C104" i="21"/>
  <c r="E104" i="21" s="1"/>
  <c r="C98" i="21"/>
  <c r="E98" i="21" s="1"/>
  <c r="C52" i="21"/>
  <c r="E52" i="21" s="1"/>
  <c r="C102" i="21"/>
  <c r="E102" i="21" s="1"/>
  <c r="C50" i="21"/>
  <c r="E50" i="21" s="1"/>
  <c r="E62" i="24"/>
  <c r="E18" i="24"/>
  <c r="C71" i="24"/>
  <c r="E71" i="24" s="1"/>
  <c r="E66" i="24"/>
  <c r="E9" i="24"/>
  <c r="E70" i="24"/>
  <c r="E12" i="24"/>
  <c r="B22" i="29"/>
  <c r="B46" i="29" s="1"/>
  <c r="C4" i="31"/>
  <c r="E19" i="31"/>
  <c r="C4" i="23"/>
  <c r="E61" i="24"/>
  <c r="E17" i="24"/>
  <c r="H9" i="24"/>
  <c r="C3" i="25"/>
  <c r="B8" i="25" s="1"/>
  <c r="F144" i="42"/>
  <c r="D58" i="25"/>
  <c r="H102" i="24"/>
  <c r="B202" i="1"/>
  <c r="F58" i="15"/>
  <c r="H58" i="15" s="1"/>
  <c r="D53" i="25"/>
  <c r="F104" i="12"/>
  <c r="H104" i="12" s="1"/>
  <c r="G104" i="12" s="1"/>
  <c r="E37" i="24"/>
  <c r="H12" i="24"/>
  <c r="E90" i="42"/>
  <c r="J470" i="1"/>
  <c r="M470" i="1" s="1"/>
  <c r="B470" i="1" s="1"/>
  <c r="F73" i="39"/>
  <c r="H73" i="39" s="1"/>
  <c r="I74" i="39" s="1"/>
  <c r="G96" i="34"/>
  <c r="H96" i="34" s="1"/>
  <c r="B29" i="36" s="1"/>
  <c r="F29" i="36" s="1"/>
  <c r="C46" i="21"/>
  <c r="E46" i="21" s="1"/>
  <c r="C48" i="57"/>
  <c r="G48" i="57" s="1"/>
  <c r="H48" i="57" s="1"/>
  <c r="D31" i="47"/>
  <c r="F59" i="45"/>
  <c r="H59" i="45" s="1"/>
  <c r="F98" i="48"/>
  <c r="H98" i="48" s="1"/>
  <c r="F144" i="57"/>
  <c r="C106" i="57"/>
  <c r="E106" i="57" s="1"/>
  <c r="F3" i="57"/>
  <c r="H16" i="42"/>
  <c r="B120" i="40" s="1"/>
  <c r="H90" i="24"/>
  <c r="H10" i="24"/>
  <c r="E14" i="42"/>
  <c r="D39" i="50"/>
  <c r="F51" i="27"/>
  <c r="H51" i="27" s="1"/>
  <c r="F116" i="51"/>
  <c r="H116" i="51" s="1"/>
  <c r="D38" i="5"/>
  <c r="C100" i="57"/>
  <c r="E100" i="57" s="1"/>
  <c r="E95" i="57"/>
  <c r="C52" i="57"/>
  <c r="E52" i="57" s="1"/>
  <c r="C46" i="57"/>
  <c r="E46" i="57" s="1"/>
  <c r="H87" i="24"/>
  <c r="B250" i="1"/>
  <c r="D38" i="8"/>
  <c r="F144" i="31"/>
  <c r="F63" i="9"/>
  <c r="H63" i="9" s="1"/>
  <c r="C54" i="21"/>
  <c r="E54" i="21" s="1"/>
  <c r="F144" i="60"/>
  <c r="C104" i="57"/>
  <c r="E104" i="57" s="1"/>
  <c r="B88" i="1"/>
  <c r="B90" i="1" s="1"/>
  <c r="H122" i="24"/>
  <c r="I122" i="24" s="1"/>
  <c r="H18" i="24"/>
  <c r="B103" i="25" s="1"/>
  <c r="B106" i="1"/>
  <c r="B108" i="1" s="1"/>
  <c r="D15" i="1"/>
  <c r="F144" i="21"/>
  <c r="F69" i="6"/>
  <c r="H69" i="6" s="1"/>
  <c r="C48" i="21"/>
  <c r="E48" i="21" s="1"/>
  <c r="H227" i="1"/>
  <c r="B671" i="1" s="1"/>
  <c r="C50" i="57"/>
  <c r="E50" i="57" s="1"/>
  <c r="H121" i="24"/>
  <c r="H17" i="24"/>
  <c r="B102" i="25" s="1"/>
  <c r="D12" i="1"/>
  <c r="D97" i="17" s="1"/>
  <c r="E42" i="18"/>
  <c r="D41" i="11"/>
  <c r="E49" i="42"/>
  <c r="F144" i="18"/>
  <c r="C98" i="57"/>
  <c r="E98" i="57" s="1"/>
  <c r="G43" i="57"/>
  <c r="H43" i="57" s="1"/>
  <c r="C4" i="40"/>
  <c r="B17" i="40" s="1"/>
  <c r="C65" i="42" s="1"/>
  <c r="H16" i="24"/>
  <c r="B101" i="25" s="1"/>
  <c r="E32" i="18"/>
  <c r="E94" i="42"/>
  <c r="E17" i="42"/>
  <c r="E47" i="42"/>
  <c r="H171" i="42"/>
  <c r="H130" i="42"/>
  <c r="H15" i="42"/>
  <c r="E10" i="42"/>
  <c r="E96" i="42"/>
  <c r="E45" i="42"/>
  <c r="B68" i="1"/>
  <c r="B39" i="50" s="1"/>
  <c r="B116" i="1"/>
  <c r="B42" i="38" s="1"/>
  <c r="D69" i="40"/>
  <c r="H170" i="42"/>
  <c r="H14" i="42"/>
  <c r="H21" i="42"/>
  <c r="E29" i="24"/>
  <c r="E15" i="42"/>
  <c r="C4" i="41"/>
  <c r="E97" i="42"/>
  <c r="D64" i="40"/>
  <c r="C3" i="40"/>
  <c r="H169" i="42"/>
  <c r="H23" i="42"/>
  <c r="E32" i="42"/>
  <c r="E28" i="24"/>
  <c r="E9" i="42"/>
  <c r="E99" i="42"/>
  <c r="B242" i="1"/>
  <c r="E16" i="42"/>
  <c r="E53" i="42"/>
  <c r="B65" i="1"/>
  <c r="B31" i="47" s="1"/>
  <c r="B113" i="1"/>
  <c r="B38" i="44" s="1"/>
  <c r="B16" i="29"/>
  <c r="B40" i="29" s="1"/>
  <c r="H145" i="42"/>
  <c r="H22" i="42"/>
  <c r="H11" i="42"/>
  <c r="E31" i="42"/>
  <c r="B71" i="1"/>
  <c r="E101" i="42"/>
  <c r="B110" i="1"/>
  <c r="B30" i="26" s="1"/>
  <c r="H9" i="42"/>
  <c r="E30" i="42"/>
  <c r="E19" i="42"/>
  <c r="C4" i="42"/>
  <c r="E83" i="42"/>
  <c r="E103" i="42"/>
  <c r="E51" i="42"/>
  <c r="E22" i="42"/>
  <c r="B62" i="1"/>
  <c r="B38" i="8" s="1"/>
  <c r="H133" i="42"/>
  <c r="H19" i="42"/>
  <c r="E42" i="42"/>
  <c r="E82" i="42"/>
  <c r="E105" i="42"/>
  <c r="B218" i="1"/>
  <c r="E23" i="42"/>
  <c r="C5" i="40"/>
  <c r="B19" i="40" s="1"/>
  <c r="C74" i="42" s="1"/>
  <c r="H17" i="42"/>
  <c r="E90" i="31"/>
  <c r="B111" i="1"/>
  <c r="B117" i="1"/>
  <c r="B60" i="1"/>
  <c r="B69" i="1"/>
  <c r="B66" i="1"/>
  <c r="B57" i="1"/>
  <c r="E15" i="31"/>
  <c r="B186" i="1"/>
  <c r="E23" i="31"/>
  <c r="C54" i="60"/>
  <c r="E54" i="60" s="1"/>
  <c r="E105" i="31"/>
  <c r="E45" i="31"/>
  <c r="C104" i="60"/>
  <c r="E104" i="60" s="1"/>
  <c r="C48" i="60"/>
  <c r="E48" i="60" s="1"/>
  <c r="E10" i="31"/>
  <c r="B114" i="1"/>
  <c r="B63" i="1"/>
  <c r="C52" i="60"/>
  <c r="E52" i="60" s="1"/>
  <c r="E71" i="55"/>
  <c r="B78" i="1"/>
  <c r="C102" i="60"/>
  <c r="E102" i="60" s="1"/>
  <c r="C46" i="60"/>
  <c r="E46" i="60" s="1"/>
  <c r="H97" i="3"/>
  <c r="B244" i="1"/>
  <c r="C84" i="54" s="1"/>
  <c r="E84" i="54" s="1"/>
  <c r="F34" i="39"/>
  <c r="G34" i="39" s="1"/>
  <c r="H34" i="39" s="1"/>
  <c r="B1" i="24"/>
  <c r="B1" i="10"/>
  <c r="B1" i="17"/>
  <c r="B1" i="5"/>
  <c r="B1" i="6"/>
  <c r="B1" i="46"/>
  <c r="B1" i="45"/>
  <c r="B1" i="26"/>
  <c r="B1" i="28"/>
  <c r="B1" i="25"/>
  <c r="B1" i="39"/>
  <c r="B1" i="51"/>
  <c r="B1" i="11"/>
  <c r="B1" i="14"/>
  <c r="B1" i="40"/>
  <c r="B1" i="44"/>
  <c r="B1" i="62"/>
  <c r="C50" i="31"/>
  <c r="E50" i="31" s="1"/>
  <c r="C102" i="31"/>
  <c r="E102" i="31" s="1"/>
  <c r="C98" i="31"/>
  <c r="G98" i="31" s="1"/>
  <c r="H98" i="31" s="1"/>
  <c r="C95" i="31"/>
  <c r="G95" i="31" s="1"/>
  <c r="H95" i="31" s="1"/>
  <c r="C100" i="31"/>
  <c r="G100" i="31" s="1"/>
  <c r="H100" i="31" s="1"/>
  <c r="C106" i="31"/>
  <c r="G106" i="31" s="1"/>
  <c r="H106" i="31" s="1"/>
  <c r="B1" i="38"/>
  <c r="B1" i="60"/>
  <c r="B1" i="57"/>
  <c r="B1" i="56"/>
  <c r="B1" i="2"/>
  <c r="B1" i="4"/>
  <c r="B1" i="22"/>
  <c r="B1" i="12"/>
  <c r="B1" i="15"/>
  <c r="B1" i="29"/>
  <c r="B1" i="19"/>
  <c r="B1" i="34"/>
  <c r="B1" i="30"/>
  <c r="B1" i="41"/>
  <c r="B1" i="61"/>
  <c r="B1" i="54"/>
  <c r="B1" i="59"/>
  <c r="B1" i="23"/>
  <c r="B1" i="8"/>
  <c r="B1" i="48"/>
  <c r="B1" i="43"/>
  <c r="D30" i="26"/>
  <c r="D39" i="14"/>
  <c r="D38" i="44"/>
  <c r="B1" i="58"/>
  <c r="AS25" i="1"/>
  <c r="B1" i="27"/>
  <c r="B1" i="20"/>
  <c r="B1" i="36"/>
  <c r="B1" i="47"/>
  <c r="B1" i="37"/>
  <c r="B1" i="50"/>
  <c r="B1" i="49"/>
  <c r="B1" i="55"/>
  <c r="B252" i="1"/>
  <c r="E30" i="31"/>
  <c r="E42" i="31"/>
  <c r="E31" i="31"/>
  <c r="E32" i="31"/>
  <c r="H21" i="31"/>
  <c r="B122" i="33" s="1"/>
  <c r="H145" i="31"/>
  <c r="D14" i="1"/>
  <c r="H9" i="31"/>
  <c r="H22" i="31"/>
  <c r="H169" i="31"/>
  <c r="H14" i="31"/>
  <c r="B15" i="29"/>
  <c r="B39" i="29" s="1"/>
  <c r="H11" i="31"/>
  <c r="H10" i="31"/>
  <c r="H15" i="31"/>
  <c r="H16" i="31"/>
  <c r="B85" i="1"/>
  <c r="B87" i="1" s="1"/>
  <c r="H23" i="31"/>
  <c r="B124" i="33" s="1"/>
  <c r="H133" i="31"/>
  <c r="C3" i="33"/>
  <c r="H170" i="31"/>
  <c r="C4" i="33"/>
  <c r="H171" i="31"/>
  <c r="C5" i="33"/>
  <c r="H130" i="31"/>
  <c r="E22" i="31"/>
  <c r="E47" i="31"/>
  <c r="B54" i="1"/>
  <c r="B51" i="1" s="1"/>
  <c r="E9" i="31"/>
  <c r="E103" i="31"/>
  <c r="E49" i="31"/>
  <c r="E101" i="31"/>
  <c r="E82" i="31"/>
  <c r="C4" i="30"/>
  <c r="E16" i="31"/>
  <c r="E99" i="31"/>
  <c r="E83" i="31"/>
  <c r="E51" i="31"/>
  <c r="E97" i="31"/>
  <c r="E53" i="31"/>
  <c r="E96" i="31"/>
  <c r="E84" i="31"/>
  <c r="D64" i="33"/>
  <c r="E94" i="31"/>
  <c r="D69" i="33"/>
  <c r="E14" i="31"/>
  <c r="G35" i="39"/>
  <c r="H35" i="39" s="1"/>
  <c r="G104" i="31"/>
  <c r="H104" i="31" s="1"/>
  <c r="E38" i="55"/>
  <c r="H16" i="55"/>
  <c r="B101" i="54" s="1"/>
  <c r="H120" i="55"/>
  <c r="H87" i="55"/>
  <c r="H17" i="55"/>
  <c r="B102" i="54" s="1"/>
  <c r="H121" i="55"/>
  <c r="I121" i="55" s="1"/>
  <c r="E37" i="55"/>
  <c r="H18" i="55"/>
  <c r="B103" i="54" s="1"/>
  <c r="E28" i="55"/>
  <c r="H10" i="55"/>
  <c r="H90" i="55"/>
  <c r="B25" i="1"/>
  <c r="C19" i="1" s="1"/>
  <c r="E30" i="21"/>
  <c r="D13" i="1"/>
  <c r="H10" i="21"/>
  <c r="H12" i="55"/>
  <c r="B103" i="1"/>
  <c r="B105" i="1" s="1"/>
  <c r="E29" i="55"/>
  <c r="H16" i="21"/>
  <c r="C4" i="22"/>
  <c r="D20" i="1"/>
  <c r="E42" i="21"/>
  <c r="A16" i="59"/>
  <c r="A16" i="33"/>
  <c r="G148" i="57"/>
  <c r="H148" i="57" s="1"/>
  <c r="C54" i="18"/>
  <c r="C43" i="18"/>
  <c r="C46" i="18"/>
  <c r="C48" i="18"/>
  <c r="C52" i="18"/>
  <c r="A16" i="19"/>
  <c r="F101" i="55"/>
  <c r="F101" i="24"/>
  <c r="C6" i="59"/>
  <c r="E6" i="59" s="1"/>
  <c r="E227" i="1"/>
  <c r="A16" i="22"/>
  <c r="C54" i="31"/>
  <c r="B196" i="1"/>
  <c r="C97" i="33" s="1"/>
  <c r="E97" i="33" s="1"/>
  <c r="C43" i="31"/>
  <c r="C46" i="31"/>
  <c r="C48" i="31"/>
  <c r="C52" i="31"/>
  <c r="A16" i="62"/>
  <c r="F63" i="55"/>
  <c r="G63" i="55" s="1"/>
  <c r="H63" i="55" s="1"/>
  <c r="F57" i="55"/>
  <c r="F43" i="55"/>
  <c r="F35" i="55"/>
  <c r="A12" i="54"/>
  <c r="F74" i="55"/>
  <c r="F68" i="55"/>
  <c r="A12" i="25"/>
  <c r="F44" i="55"/>
  <c r="F113" i="55"/>
  <c r="F73" i="55"/>
  <c r="F64" i="55"/>
  <c r="F61" i="55"/>
  <c r="G61" i="55" s="1"/>
  <c r="H61" i="55" s="1"/>
  <c r="F38" i="55"/>
  <c r="F77" i="55"/>
  <c r="F58" i="55"/>
  <c r="D17" i="5"/>
  <c r="D15" i="5"/>
  <c r="D24" i="5"/>
  <c r="E24" i="5" s="1"/>
  <c r="D90" i="23" l="1"/>
  <c r="D47" i="23"/>
  <c r="B108" i="91"/>
  <c r="E108" i="91" s="1"/>
  <c r="J108" i="91" s="1"/>
  <c r="C50" i="55"/>
  <c r="L83" i="55"/>
  <c r="C47" i="55"/>
  <c r="L50" i="55"/>
  <c r="L47" i="55"/>
  <c r="L80" i="55"/>
  <c r="C80" i="55"/>
  <c r="C81" i="55" s="1"/>
  <c r="C83" i="55"/>
  <c r="C84" i="55" s="1"/>
  <c r="C70" i="31"/>
  <c r="L120" i="31"/>
  <c r="C115" i="31"/>
  <c r="C63" i="31"/>
  <c r="L115" i="31"/>
  <c r="M105" i="92"/>
  <c r="M147" i="31"/>
  <c r="M147" i="57"/>
  <c r="B105" i="17"/>
  <c r="B29" i="61"/>
  <c r="B29" i="58"/>
  <c r="B29" i="87"/>
  <c r="B29" i="23"/>
  <c r="B29" i="41"/>
  <c r="B29" i="56"/>
  <c r="B29" i="30"/>
  <c r="B29" i="20"/>
  <c r="M104" i="55"/>
  <c r="L63" i="18"/>
  <c r="E179" i="1"/>
  <c r="B32" i="62"/>
  <c r="D32" i="62" s="1"/>
  <c r="L110" i="91"/>
  <c r="J110" i="91"/>
  <c r="B29" i="17"/>
  <c r="B30" i="61"/>
  <c r="B30" i="87"/>
  <c r="B30" i="41"/>
  <c r="B30" i="20"/>
  <c r="B30" i="30"/>
  <c r="B30" i="23"/>
  <c r="B30" i="56"/>
  <c r="L108" i="91"/>
  <c r="M474" i="1"/>
  <c r="B474" i="1" s="1"/>
  <c r="B101" i="91" s="1"/>
  <c r="B30" i="58"/>
  <c r="M475" i="1"/>
  <c r="B475" i="1" s="1"/>
  <c r="B102" i="91" s="1"/>
  <c r="B30" i="17"/>
  <c r="B32" i="59"/>
  <c r="F32" i="59" s="1"/>
  <c r="C80" i="24"/>
  <c r="G80" i="24" s="1"/>
  <c r="H80" i="24" s="1"/>
  <c r="C84" i="25"/>
  <c r="E84" i="25" s="1"/>
  <c r="M473" i="1"/>
  <c r="B473" i="1" s="1"/>
  <c r="B100" i="91" s="1"/>
  <c r="B10" i="87"/>
  <c r="B10" i="91"/>
  <c r="B91" i="91"/>
  <c r="H679" i="1"/>
  <c r="R693" i="1"/>
  <c r="C77" i="92" s="1"/>
  <c r="R694" i="1"/>
  <c r="H693" i="1"/>
  <c r="H694" i="1" s="1"/>
  <c r="B93" i="87"/>
  <c r="B96" i="91"/>
  <c r="B14" i="87"/>
  <c r="B14" i="91"/>
  <c r="B42" i="87"/>
  <c r="B42" i="91"/>
  <c r="B55" i="87"/>
  <c r="B55" i="91"/>
  <c r="B90" i="87"/>
  <c r="B93" i="91"/>
  <c r="B36" i="87"/>
  <c r="B36" i="91"/>
  <c r="B19" i="87"/>
  <c r="B19" i="91"/>
  <c r="B85" i="87"/>
  <c r="B88" i="91"/>
  <c r="B110" i="87"/>
  <c r="B113" i="91"/>
  <c r="B37" i="87"/>
  <c r="B37" i="91"/>
  <c r="B16" i="87"/>
  <c r="B16" i="91"/>
  <c r="B44" i="87"/>
  <c r="B44" i="91"/>
  <c r="B21" i="87"/>
  <c r="B21" i="91"/>
  <c r="B40" i="87"/>
  <c r="B40" i="91"/>
  <c r="B71" i="87"/>
  <c r="B74" i="91"/>
  <c r="B101" i="58"/>
  <c r="E104" i="91"/>
  <c r="N423" i="1"/>
  <c r="B65" i="29"/>
  <c r="D65" i="29" s="1"/>
  <c r="B13" i="87"/>
  <c r="B13" i="91"/>
  <c r="B12" i="87"/>
  <c r="B12" i="91"/>
  <c r="B65" i="87"/>
  <c r="B65" i="91"/>
  <c r="B60" i="87"/>
  <c r="B60" i="91"/>
  <c r="B20" i="87"/>
  <c r="B20" i="91"/>
  <c r="B66" i="87"/>
  <c r="B66" i="91"/>
  <c r="B49" i="87"/>
  <c r="B49" i="91"/>
  <c r="J69" i="91"/>
  <c r="F69" i="91"/>
  <c r="H69" i="91" s="1"/>
  <c r="L69" i="91"/>
  <c r="N424" i="1"/>
  <c r="B22" i="87"/>
  <c r="B22" i="91"/>
  <c r="B74" i="87"/>
  <c r="B77" i="91"/>
  <c r="B61" i="87"/>
  <c r="B61" i="91"/>
  <c r="N425" i="1"/>
  <c r="B58" i="87"/>
  <c r="B58" i="91"/>
  <c r="L71" i="91"/>
  <c r="J71" i="91"/>
  <c r="F71" i="91"/>
  <c r="H71" i="91" s="1"/>
  <c r="B18" i="87"/>
  <c r="B18" i="91"/>
  <c r="B54" i="87"/>
  <c r="B54" i="91"/>
  <c r="B23" i="87"/>
  <c r="B23" i="91"/>
  <c r="B102" i="58"/>
  <c r="E105" i="91"/>
  <c r="B28" i="87"/>
  <c r="B28" i="91"/>
  <c r="B35" i="87"/>
  <c r="B35" i="91"/>
  <c r="B146" i="89"/>
  <c r="B35" i="89"/>
  <c r="B64" i="87"/>
  <c r="B64" i="91"/>
  <c r="B26" i="87"/>
  <c r="B26" i="91"/>
  <c r="J70" i="91"/>
  <c r="L70" i="91"/>
  <c r="F70" i="91"/>
  <c r="H70" i="91" s="1"/>
  <c r="D21" i="4"/>
  <c r="B60" i="29"/>
  <c r="D60" i="29" s="1"/>
  <c r="F22" i="4"/>
  <c r="B63" i="29"/>
  <c r="D63" i="29" s="1"/>
  <c r="G102" i="92"/>
  <c r="B145" i="89"/>
  <c r="B34" i="89"/>
  <c r="B64" i="29"/>
  <c r="D64" i="29" s="1"/>
  <c r="B100" i="58"/>
  <c r="E103" i="91"/>
  <c r="B106" i="58"/>
  <c r="E106" i="58" s="1"/>
  <c r="L106" i="58" s="1"/>
  <c r="B109" i="91"/>
  <c r="E109" i="91" s="1"/>
  <c r="B118" i="54"/>
  <c r="D118" i="54" s="1"/>
  <c r="B118" i="25"/>
  <c r="D118" i="25" s="1"/>
  <c r="E54" i="57"/>
  <c r="R674" i="1"/>
  <c r="C75" i="92" s="1"/>
  <c r="E75" i="92" s="1"/>
  <c r="R673" i="1"/>
  <c r="C74" i="92" s="1"/>
  <c r="E74" i="92" s="1"/>
  <c r="H674" i="1"/>
  <c r="C41" i="92" s="1"/>
  <c r="E41" i="92" s="1"/>
  <c r="H673" i="1"/>
  <c r="R611" i="1"/>
  <c r="H611" i="1"/>
  <c r="B72" i="87"/>
  <c r="H614" i="1"/>
  <c r="C35" i="92" s="1"/>
  <c r="G100" i="60"/>
  <c r="H100" i="60" s="1"/>
  <c r="I106" i="92"/>
  <c r="G109" i="92"/>
  <c r="H109" i="92" s="1"/>
  <c r="G99" i="92"/>
  <c r="H99" i="92" s="1"/>
  <c r="G108" i="92"/>
  <c r="H108" i="92" s="1"/>
  <c r="G96" i="92"/>
  <c r="H96" i="92" s="1"/>
  <c r="G95" i="92"/>
  <c r="H95" i="92" s="1"/>
  <c r="G98" i="92"/>
  <c r="H98" i="92" s="1"/>
  <c r="G119" i="92"/>
  <c r="H119" i="92" s="1"/>
  <c r="G118" i="92"/>
  <c r="H118" i="92" s="1"/>
  <c r="G117" i="92"/>
  <c r="H117" i="92" s="1"/>
  <c r="H119" i="55"/>
  <c r="I120" i="55" s="1"/>
  <c r="F3" i="92"/>
  <c r="I121" i="92"/>
  <c r="I12" i="92"/>
  <c r="M147" i="18"/>
  <c r="L115" i="57"/>
  <c r="G50" i="92"/>
  <c r="H50" i="92" s="1"/>
  <c r="E51" i="92"/>
  <c r="E82" i="92"/>
  <c r="G81" i="92"/>
  <c r="H81" i="92" s="1"/>
  <c r="I17" i="92"/>
  <c r="E85" i="92"/>
  <c r="G84" i="92"/>
  <c r="H84" i="92" s="1"/>
  <c r="C122" i="57"/>
  <c r="C123" i="57" s="1"/>
  <c r="E123" i="57" s="1"/>
  <c r="E48" i="92"/>
  <c r="G47" i="92"/>
  <c r="H47" i="92" s="1"/>
  <c r="I91" i="92"/>
  <c r="I148" i="57"/>
  <c r="B36" i="58"/>
  <c r="C83" i="24"/>
  <c r="C84" i="24" s="1"/>
  <c r="C115" i="18"/>
  <c r="L68" i="18"/>
  <c r="C122" i="18"/>
  <c r="C70" i="18"/>
  <c r="E70" i="18" s="1"/>
  <c r="L47" i="24"/>
  <c r="L50" i="24"/>
  <c r="C63" i="18"/>
  <c r="R688" i="1"/>
  <c r="R687" i="1"/>
  <c r="H687" i="1"/>
  <c r="H688" i="1" s="1"/>
  <c r="L80" i="24"/>
  <c r="C47" i="24"/>
  <c r="G47" i="24" s="1"/>
  <c r="H47" i="24" s="1"/>
  <c r="L83" i="24"/>
  <c r="C50" i="24"/>
  <c r="C51" i="24" s="1"/>
  <c r="E48" i="42"/>
  <c r="C126" i="42"/>
  <c r="H106" i="87"/>
  <c r="C117" i="42"/>
  <c r="C72" i="42"/>
  <c r="C119" i="42"/>
  <c r="C67" i="42"/>
  <c r="C124" i="42"/>
  <c r="C51" i="55"/>
  <c r="E50" i="55"/>
  <c r="G50" i="55"/>
  <c r="H50" i="55" s="1"/>
  <c r="E47" i="55"/>
  <c r="C48" i="55"/>
  <c r="G47" i="55"/>
  <c r="H47" i="55" s="1"/>
  <c r="B44" i="85"/>
  <c r="B166" i="85"/>
  <c r="G107" i="55"/>
  <c r="H107" i="55" s="1"/>
  <c r="G108" i="24"/>
  <c r="H108" i="24" s="1"/>
  <c r="G107" i="24"/>
  <c r="H107" i="24" s="1"/>
  <c r="G108" i="55"/>
  <c r="H108" i="55" s="1"/>
  <c r="B165" i="59"/>
  <c r="B45" i="59"/>
  <c r="E83" i="55"/>
  <c r="F19" i="29"/>
  <c r="E102" i="57"/>
  <c r="M480" i="1"/>
  <c r="B480" i="1" s="1"/>
  <c r="B91" i="56" s="1"/>
  <c r="C116" i="31"/>
  <c r="E116" i="31" s="1"/>
  <c r="B88" i="87"/>
  <c r="R668" i="1"/>
  <c r="R667" i="1"/>
  <c r="H667" i="1"/>
  <c r="H668" i="1"/>
  <c r="C123" i="42"/>
  <c r="E123" i="42" s="1"/>
  <c r="E122" i="42"/>
  <c r="C71" i="60"/>
  <c r="E71" i="60" s="1"/>
  <c r="E70" i="60"/>
  <c r="H31" i="29"/>
  <c r="C64" i="60"/>
  <c r="E64" i="60" s="1"/>
  <c r="E63" i="60"/>
  <c r="G50" i="18"/>
  <c r="H50" i="18" s="1"/>
  <c r="E115" i="42"/>
  <c r="C116" i="42"/>
  <c r="E116" i="42" s="1"/>
  <c r="C64" i="42"/>
  <c r="E64" i="42" s="1"/>
  <c r="E63" i="42"/>
  <c r="E70" i="42"/>
  <c r="C71" i="42"/>
  <c r="E71" i="42" s="1"/>
  <c r="C64" i="57"/>
  <c r="E64" i="57" s="1"/>
  <c r="E63" i="57"/>
  <c r="H140" i="33"/>
  <c r="C71" i="57"/>
  <c r="E71" i="57" s="1"/>
  <c r="E70" i="57"/>
  <c r="C116" i="57"/>
  <c r="E116" i="57" s="1"/>
  <c r="E115" i="57"/>
  <c r="C123" i="60"/>
  <c r="E123" i="60" s="1"/>
  <c r="E122" i="60"/>
  <c r="E115" i="60"/>
  <c r="C116" i="60"/>
  <c r="E116" i="60" s="1"/>
  <c r="E102" i="88"/>
  <c r="G102" i="88"/>
  <c r="H102" i="88" s="1"/>
  <c r="E50" i="88"/>
  <c r="G50" i="88"/>
  <c r="H50" i="88" s="1"/>
  <c r="E44" i="88"/>
  <c r="G44" i="88"/>
  <c r="H44" i="88" s="1"/>
  <c r="E98" i="88"/>
  <c r="G98" i="88"/>
  <c r="H98" i="88" s="1"/>
  <c r="E46" i="88"/>
  <c r="G46" i="88"/>
  <c r="H46" i="88" s="1"/>
  <c r="E106" i="88"/>
  <c r="G106" i="88"/>
  <c r="H106" i="88" s="1"/>
  <c r="E48" i="88"/>
  <c r="G48" i="88"/>
  <c r="H48" i="88" s="1"/>
  <c r="X134" i="1"/>
  <c r="E52" i="88"/>
  <c r="G52" i="88"/>
  <c r="H52" i="88" s="1"/>
  <c r="E104" i="88"/>
  <c r="G104" i="88"/>
  <c r="H104" i="88" s="1"/>
  <c r="E100" i="88"/>
  <c r="G100" i="88"/>
  <c r="H100" i="88" s="1"/>
  <c r="E54" i="88"/>
  <c r="G54" i="88"/>
  <c r="H54" i="88" s="1"/>
  <c r="I170" i="60"/>
  <c r="N117" i="42"/>
  <c r="N122" i="57"/>
  <c r="G157" i="60"/>
  <c r="H157" i="60" s="1"/>
  <c r="G157" i="42"/>
  <c r="H157" i="42" s="1"/>
  <c r="G157" i="21"/>
  <c r="H157" i="21" s="1"/>
  <c r="G158" i="57"/>
  <c r="H158" i="57" s="1"/>
  <c r="G158" i="88"/>
  <c r="H158" i="88" s="1"/>
  <c r="G158" i="31"/>
  <c r="H158" i="31" s="1"/>
  <c r="G157" i="57"/>
  <c r="H157" i="57" s="1"/>
  <c r="G157" i="88"/>
  <c r="H157" i="88" s="1"/>
  <c r="G158" i="60"/>
  <c r="H158" i="60" s="1"/>
  <c r="G157" i="31"/>
  <c r="H157" i="31" s="1"/>
  <c r="G158" i="42"/>
  <c r="H158" i="42" s="1"/>
  <c r="G158" i="21"/>
  <c r="H158" i="21" s="1"/>
  <c r="L115" i="18"/>
  <c r="N121" i="60"/>
  <c r="N121" i="57"/>
  <c r="N120" i="31"/>
  <c r="N115" i="42"/>
  <c r="L120" i="18"/>
  <c r="N122" i="60"/>
  <c r="N121" i="31"/>
  <c r="N115" i="60"/>
  <c r="N120" i="60"/>
  <c r="N115" i="31"/>
  <c r="N122" i="31"/>
  <c r="N120" i="57"/>
  <c r="B12" i="40"/>
  <c r="F108" i="40"/>
  <c r="F17" i="40"/>
  <c r="F19" i="40"/>
  <c r="N117" i="60"/>
  <c r="N115" i="57"/>
  <c r="N117" i="31"/>
  <c r="N122" i="42"/>
  <c r="N116" i="60"/>
  <c r="N116" i="57"/>
  <c r="N116" i="31"/>
  <c r="N120" i="42"/>
  <c r="B31" i="87"/>
  <c r="B31" i="17"/>
  <c r="B31" i="30"/>
  <c r="B31" i="61"/>
  <c r="B31" i="58"/>
  <c r="B31" i="56"/>
  <c r="B31" i="20"/>
  <c r="B31" i="41"/>
  <c r="B31" i="23"/>
  <c r="H140" i="22"/>
  <c r="N116" i="42"/>
  <c r="N117" i="57"/>
  <c r="B32" i="61"/>
  <c r="B32" i="41"/>
  <c r="B32" i="30"/>
  <c r="B32" i="56"/>
  <c r="B32" i="17"/>
  <c r="B32" i="58"/>
  <c r="B32" i="23"/>
  <c r="B32" i="87"/>
  <c r="B32" i="20"/>
  <c r="N121" i="42"/>
  <c r="N115" i="21"/>
  <c r="N117" i="21"/>
  <c r="N116" i="21"/>
  <c r="N121" i="21"/>
  <c r="N122" i="21"/>
  <c r="N120" i="21"/>
  <c r="N115" i="18"/>
  <c r="B12" i="33"/>
  <c r="G157" i="18"/>
  <c r="H157" i="18" s="1"/>
  <c r="G158" i="18"/>
  <c r="H158" i="18" s="1"/>
  <c r="N117" i="18"/>
  <c r="N121" i="18"/>
  <c r="N116" i="18"/>
  <c r="N122" i="18"/>
  <c r="N120" i="18"/>
  <c r="B28" i="59"/>
  <c r="D28" i="59" s="1"/>
  <c r="C97" i="19"/>
  <c r="F182" i="19" s="1"/>
  <c r="M463" i="1"/>
  <c r="B463" i="1" s="1"/>
  <c r="B99" i="61" s="1"/>
  <c r="B119" i="59"/>
  <c r="D119" i="59" s="1"/>
  <c r="I18" i="57"/>
  <c r="G55" i="39"/>
  <c r="H55" i="39" s="1"/>
  <c r="B36" i="17"/>
  <c r="B122" i="59"/>
  <c r="F122" i="59" s="1"/>
  <c r="B33" i="59"/>
  <c r="D33" i="59" s="1"/>
  <c r="I23" i="57"/>
  <c r="B53" i="59"/>
  <c r="D53" i="59" s="1"/>
  <c r="B121" i="40"/>
  <c r="B37" i="58"/>
  <c r="B37" i="17"/>
  <c r="B37" i="30"/>
  <c r="B37" i="20"/>
  <c r="B37" i="41"/>
  <c r="B37" i="61"/>
  <c r="B37" i="23"/>
  <c r="B37" i="56"/>
  <c r="J106" i="17"/>
  <c r="H106" i="17"/>
  <c r="L106" i="17"/>
  <c r="H107" i="30"/>
  <c r="J107" i="30"/>
  <c r="L107" i="30"/>
  <c r="B35" i="61"/>
  <c r="J106" i="87"/>
  <c r="J107" i="17"/>
  <c r="H107" i="17"/>
  <c r="L107" i="17"/>
  <c r="L100" i="23"/>
  <c r="H100" i="23"/>
  <c r="J100" i="23"/>
  <c r="B35" i="56"/>
  <c r="H107" i="20"/>
  <c r="L107" i="20"/>
  <c r="J107" i="20"/>
  <c r="H107" i="87"/>
  <c r="J107" i="87"/>
  <c r="L107" i="87"/>
  <c r="B35" i="23"/>
  <c r="L107" i="41"/>
  <c r="H107" i="41"/>
  <c r="J107" i="41"/>
  <c r="H107" i="58"/>
  <c r="L107" i="58"/>
  <c r="J107" i="58"/>
  <c r="L100" i="56"/>
  <c r="H100" i="56"/>
  <c r="J100" i="56"/>
  <c r="L107" i="61"/>
  <c r="H107" i="61"/>
  <c r="J107" i="61"/>
  <c r="B17" i="54"/>
  <c r="D17" i="54" s="1"/>
  <c r="M443" i="1"/>
  <c r="B443" i="1" s="1"/>
  <c r="B97" i="30" s="1"/>
  <c r="M437" i="1"/>
  <c r="B437" i="1" s="1"/>
  <c r="D37" i="22"/>
  <c r="E22" i="77" s="1"/>
  <c r="D33" i="22"/>
  <c r="B36" i="23"/>
  <c r="F141" i="59"/>
  <c r="D141" i="59"/>
  <c r="D165" i="85"/>
  <c r="D140" i="19"/>
  <c r="F143" i="40"/>
  <c r="D143" i="40"/>
  <c r="D141" i="62"/>
  <c r="M457" i="1"/>
  <c r="B457" i="1" s="1"/>
  <c r="B99" i="87" s="1"/>
  <c r="M455" i="1"/>
  <c r="B455" i="1" s="1"/>
  <c r="B97" i="87" s="1"/>
  <c r="B31" i="19"/>
  <c r="D31" i="19" s="1"/>
  <c r="R579" i="1"/>
  <c r="B36" i="61"/>
  <c r="H579" i="1"/>
  <c r="C20" i="92" s="1"/>
  <c r="B36" i="20"/>
  <c r="M456" i="1"/>
  <c r="B456" i="1" s="1"/>
  <c r="B98" i="87" s="1"/>
  <c r="B35" i="30"/>
  <c r="B35" i="58"/>
  <c r="B36" i="56"/>
  <c r="B35" i="20"/>
  <c r="B36" i="30"/>
  <c r="B35" i="41"/>
  <c r="B35" i="17"/>
  <c r="B36" i="41"/>
  <c r="I23" i="88"/>
  <c r="B77" i="23"/>
  <c r="B83" i="87"/>
  <c r="B9" i="61"/>
  <c r="B9" i="87"/>
  <c r="B16" i="5"/>
  <c r="E16" i="5" s="1"/>
  <c r="L16" i="5" s="1"/>
  <c r="B41" i="87"/>
  <c r="B38" i="23"/>
  <c r="B38" i="87"/>
  <c r="B17" i="23"/>
  <c r="B17" i="87"/>
  <c r="B67" i="23"/>
  <c r="B70" i="87"/>
  <c r="B43" i="61"/>
  <c r="B43" i="87"/>
  <c r="I18" i="88"/>
  <c r="M449" i="1"/>
  <c r="B449" i="1" s="1"/>
  <c r="B97" i="41" s="1"/>
  <c r="B11" i="58"/>
  <c r="B11" i="87"/>
  <c r="B66" i="23"/>
  <c r="B69" i="87"/>
  <c r="B39" i="23"/>
  <c r="B39" i="87"/>
  <c r="B51" i="56"/>
  <c r="B48" i="87"/>
  <c r="B102" i="41"/>
  <c r="B104" i="23"/>
  <c r="B111" i="87"/>
  <c r="C16" i="1"/>
  <c r="B12" i="85"/>
  <c r="B50" i="23"/>
  <c r="B47" i="87"/>
  <c r="B53" i="17"/>
  <c r="B53" i="87"/>
  <c r="B76" i="56"/>
  <c r="B82" i="87"/>
  <c r="B112" i="30"/>
  <c r="B112" i="87"/>
  <c r="C6" i="85"/>
  <c r="E6" i="85" s="1"/>
  <c r="G148" i="88"/>
  <c r="H148" i="88" s="1"/>
  <c r="B167" i="85" s="1"/>
  <c r="F3" i="88"/>
  <c r="B125" i="40"/>
  <c r="D125" i="40" s="1"/>
  <c r="F16" i="85"/>
  <c r="H16" i="85" s="1"/>
  <c r="B74" i="23"/>
  <c r="B80" i="87"/>
  <c r="B89" i="56"/>
  <c r="B95" i="87"/>
  <c r="B103" i="85"/>
  <c r="G140" i="88"/>
  <c r="H140" i="88" s="1"/>
  <c r="G141" i="88"/>
  <c r="H141" i="88" s="1"/>
  <c r="G168" i="88"/>
  <c r="H168" i="88" s="1"/>
  <c r="G137" i="88"/>
  <c r="H137" i="88" s="1"/>
  <c r="G167" i="88"/>
  <c r="H167" i="88" s="1"/>
  <c r="G138" i="88"/>
  <c r="H138" i="88" s="1"/>
  <c r="G166" i="88"/>
  <c r="H166" i="88" s="1"/>
  <c r="B55" i="23"/>
  <c r="B59" i="87"/>
  <c r="B57" i="20"/>
  <c r="B57" i="87"/>
  <c r="B45" i="30"/>
  <c r="B45" i="87"/>
  <c r="B84" i="61"/>
  <c r="B84" i="87"/>
  <c r="B88" i="23"/>
  <c r="B94" i="87"/>
  <c r="B21" i="2"/>
  <c r="B27" i="87"/>
  <c r="I12" i="88"/>
  <c r="B15" i="23"/>
  <c r="B15" i="87"/>
  <c r="B56" i="58"/>
  <c r="B56" i="87"/>
  <c r="B75" i="23"/>
  <c r="B81" i="87"/>
  <c r="B89" i="41"/>
  <c r="B89" i="87"/>
  <c r="B73" i="58"/>
  <c r="B73" i="87"/>
  <c r="B46" i="20"/>
  <c r="B46" i="87"/>
  <c r="B101" i="41"/>
  <c r="I133" i="88"/>
  <c r="B122" i="40"/>
  <c r="D122" i="40" s="1"/>
  <c r="D120" i="40"/>
  <c r="B12" i="28"/>
  <c r="F12" i="28" s="1"/>
  <c r="F56" i="28" s="1"/>
  <c r="H47" i="29"/>
  <c r="M439" i="1"/>
  <c r="B439" i="1" s="1"/>
  <c r="B99" i="20" s="1"/>
  <c r="M462" i="1"/>
  <c r="B462" i="1" s="1"/>
  <c r="B98" i="61" s="1"/>
  <c r="D99" i="20"/>
  <c r="D98" i="20"/>
  <c r="D92" i="56"/>
  <c r="D91" i="56"/>
  <c r="M450" i="1"/>
  <c r="B450" i="1" s="1"/>
  <c r="M451" i="1"/>
  <c r="B451" i="1" s="1"/>
  <c r="D98" i="61"/>
  <c r="D99" i="61"/>
  <c r="D92" i="23"/>
  <c r="D91" i="23"/>
  <c r="M486" i="1"/>
  <c r="B486" i="1" s="1"/>
  <c r="B91" i="23" s="1"/>
  <c r="M481" i="1"/>
  <c r="B481" i="1" s="1"/>
  <c r="B92" i="56" s="1"/>
  <c r="M461" i="1"/>
  <c r="B461" i="1" s="1"/>
  <c r="B97" i="61" s="1"/>
  <c r="D98" i="30"/>
  <c r="D99" i="30"/>
  <c r="D99" i="58"/>
  <c r="D98" i="58"/>
  <c r="M468" i="1"/>
  <c r="B468" i="1" s="1"/>
  <c r="M487" i="1"/>
  <c r="B487" i="1" s="1"/>
  <c r="B92" i="23" s="1"/>
  <c r="M479" i="1"/>
  <c r="B479" i="1" s="1"/>
  <c r="B90" i="56" s="1"/>
  <c r="D99" i="17"/>
  <c r="D98" i="17"/>
  <c r="M432" i="1"/>
  <c r="B432" i="1" s="1"/>
  <c r="B98" i="17" s="1"/>
  <c r="M433" i="1"/>
  <c r="B433" i="1" s="1"/>
  <c r="B99" i="17" s="1"/>
  <c r="M485" i="1"/>
  <c r="B485" i="1" s="1"/>
  <c r="B90" i="23" s="1"/>
  <c r="M438" i="1"/>
  <c r="B438" i="1" s="1"/>
  <c r="B98" i="20" s="1"/>
  <c r="M469" i="1"/>
  <c r="B469" i="1" s="1"/>
  <c r="M467" i="1"/>
  <c r="B467" i="1" s="1"/>
  <c r="D98" i="41"/>
  <c r="D99" i="41"/>
  <c r="M444" i="1"/>
  <c r="B444" i="1" s="1"/>
  <c r="B98" i="30" s="1"/>
  <c r="M445" i="1"/>
  <c r="B445" i="1" s="1"/>
  <c r="B99" i="30" s="1"/>
  <c r="M431" i="1"/>
  <c r="B431" i="1" s="1"/>
  <c r="B97" i="17" s="1"/>
  <c r="B80" i="20"/>
  <c r="B435" i="1"/>
  <c r="B101" i="17" s="1"/>
  <c r="B436" i="1"/>
  <c r="B102" i="17" s="1"/>
  <c r="B99" i="1"/>
  <c r="B173" i="62"/>
  <c r="D173" i="62" s="1"/>
  <c r="B124" i="62"/>
  <c r="D124" i="62" s="1"/>
  <c r="B28" i="62"/>
  <c r="D28" i="62" s="1"/>
  <c r="B95" i="1"/>
  <c r="B173" i="59"/>
  <c r="F173" i="59" s="1"/>
  <c r="B119" i="62"/>
  <c r="D119" i="62" s="1"/>
  <c r="I18" i="60"/>
  <c r="I23" i="60"/>
  <c r="F92" i="25"/>
  <c r="H92" i="25" s="1"/>
  <c r="H22" i="29"/>
  <c r="F31" i="46"/>
  <c r="F10" i="29"/>
  <c r="B9" i="4"/>
  <c r="N60" i="3" s="1"/>
  <c r="L86" i="3" s="1"/>
  <c r="K86" i="3" s="1"/>
  <c r="F5" i="29"/>
  <c r="H15" i="29"/>
  <c r="F124" i="59"/>
  <c r="H141" i="59"/>
  <c r="H200" i="1"/>
  <c r="J200" i="1" s="1"/>
  <c r="F107" i="59"/>
  <c r="H107" i="59" s="1"/>
  <c r="H132" i="42"/>
  <c r="B160" i="40" s="1"/>
  <c r="H176" i="1"/>
  <c r="H13" i="29"/>
  <c r="H184" i="1"/>
  <c r="H14" i="29"/>
  <c r="B12" i="7"/>
  <c r="D12" i="7" s="1"/>
  <c r="D56" i="7" s="1"/>
  <c r="F6" i="29"/>
  <c r="F10" i="13"/>
  <c r="H11" i="29"/>
  <c r="H8" i="29"/>
  <c r="B9" i="10"/>
  <c r="F7" i="29"/>
  <c r="B81" i="41"/>
  <c r="B38" i="38"/>
  <c r="B57" i="2"/>
  <c r="B37" i="50"/>
  <c r="B81" i="58"/>
  <c r="B28" i="26"/>
  <c r="B57" i="58"/>
  <c r="B95" i="17"/>
  <c r="B81" i="30"/>
  <c r="B33" i="5"/>
  <c r="E33" i="5" s="1"/>
  <c r="J33" i="5" s="1"/>
  <c r="B57" i="61"/>
  <c r="B27" i="35"/>
  <c r="B57" i="17"/>
  <c r="B81" i="61"/>
  <c r="B81" i="20"/>
  <c r="B32" i="14"/>
  <c r="B32" i="44"/>
  <c r="E32" i="44" s="1"/>
  <c r="J32" i="44" s="1"/>
  <c r="B75" i="56"/>
  <c r="B81" i="17"/>
  <c r="B33" i="8"/>
  <c r="B29" i="47"/>
  <c r="B39" i="11"/>
  <c r="B80" i="17"/>
  <c r="B37" i="38"/>
  <c r="B38" i="11"/>
  <c r="B28" i="47"/>
  <c r="B56" i="2"/>
  <c r="B80" i="41"/>
  <c r="B74" i="56"/>
  <c r="B31" i="14"/>
  <c r="E31" i="14" s="1"/>
  <c r="L31" i="14" s="1"/>
  <c r="B32" i="5"/>
  <c r="B80" i="30"/>
  <c r="B80" i="58"/>
  <c r="B27" i="26"/>
  <c r="B31" i="44"/>
  <c r="B80" i="61"/>
  <c r="B36" i="50"/>
  <c r="B26" i="35"/>
  <c r="B32" i="8"/>
  <c r="B33" i="26"/>
  <c r="B110" i="17"/>
  <c r="B69" i="2"/>
  <c r="B41" i="5"/>
  <c r="B110" i="30"/>
  <c r="B110" i="61"/>
  <c r="B34" i="47"/>
  <c r="B103" i="23"/>
  <c r="B41" i="44"/>
  <c r="B103" i="56"/>
  <c r="B36" i="35"/>
  <c r="B45" i="38"/>
  <c r="B42" i="50"/>
  <c r="E42" i="50" s="1"/>
  <c r="L42" i="50" s="1"/>
  <c r="B110" i="58"/>
  <c r="B42" i="14"/>
  <c r="B41" i="8"/>
  <c r="B110" i="41"/>
  <c r="B44" i="11"/>
  <c r="B110" i="20"/>
  <c r="B95" i="30"/>
  <c r="H585" i="1"/>
  <c r="B48" i="58"/>
  <c r="B48" i="61"/>
  <c r="B48" i="41"/>
  <c r="D101" i="17"/>
  <c r="D100" i="17"/>
  <c r="D102" i="17"/>
  <c r="D94" i="23"/>
  <c r="E94" i="23" s="1"/>
  <c r="D93" i="23"/>
  <c r="D95" i="23"/>
  <c r="E95" i="23" s="1"/>
  <c r="D49" i="23"/>
  <c r="E49" i="23" s="1"/>
  <c r="D58" i="23"/>
  <c r="E58" i="23" s="1"/>
  <c r="L58" i="23" s="1"/>
  <c r="D48" i="23"/>
  <c r="E48" i="23" s="1"/>
  <c r="D102" i="58"/>
  <c r="D100" i="58"/>
  <c r="D101" i="58"/>
  <c r="E47" i="56"/>
  <c r="D95" i="56"/>
  <c r="E95" i="56" s="1"/>
  <c r="D58" i="56"/>
  <c r="E58" i="56" s="1"/>
  <c r="D94" i="56"/>
  <c r="E94" i="56" s="1"/>
  <c r="D49" i="56"/>
  <c r="D93" i="56"/>
  <c r="D48" i="56"/>
  <c r="D102" i="61"/>
  <c r="E102" i="61" s="1"/>
  <c r="D101" i="61"/>
  <c r="E101" i="61" s="1"/>
  <c r="D100" i="61"/>
  <c r="D102" i="41"/>
  <c r="D101" i="41"/>
  <c r="D100" i="41"/>
  <c r="D102" i="30"/>
  <c r="E102" i="30" s="1"/>
  <c r="D101" i="30"/>
  <c r="E101" i="30" s="1"/>
  <c r="D100" i="30"/>
  <c r="D102" i="20"/>
  <c r="E102" i="20" s="1"/>
  <c r="D101" i="20"/>
  <c r="E101" i="20" s="1"/>
  <c r="B48" i="56"/>
  <c r="B87" i="23"/>
  <c r="B73" i="61"/>
  <c r="B73" i="30"/>
  <c r="B73" i="41"/>
  <c r="B93" i="30"/>
  <c r="B87" i="56"/>
  <c r="B71" i="56"/>
  <c r="B93" i="58"/>
  <c r="B35" i="14"/>
  <c r="E35" i="14" s="1"/>
  <c r="J35" i="14" s="1"/>
  <c r="B73" i="17"/>
  <c r="B65" i="30"/>
  <c r="B65" i="17"/>
  <c r="B62" i="23"/>
  <c r="B65" i="58"/>
  <c r="B65" i="41"/>
  <c r="B65" i="20"/>
  <c r="B62" i="56"/>
  <c r="B65" i="61"/>
  <c r="B35" i="44"/>
  <c r="E35" i="44" s="1"/>
  <c r="L35" i="44" s="1"/>
  <c r="B93" i="20"/>
  <c r="B63" i="56"/>
  <c r="B66" i="61"/>
  <c r="B66" i="30"/>
  <c r="B66" i="17"/>
  <c r="B66" i="41"/>
  <c r="B66" i="20"/>
  <c r="B66" i="58"/>
  <c r="B63" i="23"/>
  <c r="B93" i="17"/>
  <c r="B84" i="20"/>
  <c r="B78" i="56"/>
  <c r="B93" i="61"/>
  <c r="B93" i="41"/>
  <c r="B73" i="20"/>
  <c r="R601" i="1"/>
  <c r="H601" i="1"/>
  <c r="B64" i="20"/>
  <c r="B64" i="17"/>
  <c r="D356" i="1"/>
  <c r="B64" i="41"/>
  <c r="B61" i="23"/>
  <c r="B64" i="58"/>
  <c r="B64" i="30"/>
  <c r="B64" i="61"/>
  <c r="B61" i="56"/>
  <c r="B18" i="17"/>
  <c r="B18" i="23"/>
  <c r="B18" i="56"/>
  <c r="B18" i="58"/>
  <c r="B18" i="61"/>
  <c r="B18" i="41"/>
  <c r="B18" i="30"/>
  <c r="B18" i="20"/>
  <c r="B28" i="17"/>
  <c r="B28" i="58"/>
  <c r="B28" i="41"/>
  <c r="B28" i="23"/>
  <c r="B28" i="61"/>
  <c r="B28" i="20"/>
  <c r="B28" i="56"/>
  <c r="B28" i="30"/>
  <c r="B22" i="2"/>
  <c r="B16" i="17"/>
  <c r="B16" i="41"/>
  <c r="B16" i="30"/>
  <c r="B16" i="23"/>
  <c r="B16" i="61"/>
  <c r="B16" i="56"/>
  <c r="B16" i="58"/>
  <c r="B16" i="20"/>
  <c r="B19" i="17"/>
  <c r="B19" i="23"/>
  <c r="B19" i="58"/>
  <c r="B19" i="61"/>
  <c r="B19" i="41"/>
  <c r="B19" i="30"/>
  <c r="B19" i="20"/>
  <c r="B19" i="56"/>
  <c r="B13" i="17"/>
  <c r="B13" i="56"/>
  <c r="B13" i="58"/>
  <c r="B13" i="61"/>
  <c r="B13" i="41"/>
  <c r="B13" i="30"/>
  <c r="B13" i="20"/>
  <c r="B13" i="23"/>
  <c r="B21" i="17"/>
  <c r="B21" i="56"/>
  <c r="B21" i="23"/>
  <c r="B21" i="58"/>
  <c r="B21" i="61"/>
  <c r="B21" i="41"/>
  <c r="B21" i="30"/>
  <c r="B21" i="20"/>
  <c r="B10" i="17"/>
  <c r="B10" i="56"/>
  <c r="B10" i="58"/>
  <c r="B10" i="61"/>
  <c r="B10" i="41"/>
  <c r="B10" i="30"/>
  <c r="B10" i="20"/>
  <c r="B10" i="23"/>
  <c r="B20" i="17"/>
  <c r="B20" i="41"/>
  <c r="B20" i="20"/>
  <c r="B20" i="23"/>
  <c r="B20" i="56"/>
  <c r="B20" i="30"/>
  <c r="B20" i="58"/>
  <c r="B20" i="61"/>
  <c r="B14" i="17"/>
  <c r="B14" i="23"/>
  <c r="B14" i="56"/>
  <c r="B14" i="58"/>
  <c r="B14" i="61"/>
  <c r="B14" i="41"/>
  <c r="B14" i="30"/>
  <c r="B14" i="20"/>
  <c r="B27" i="17"/>
  <c r="B27" i="23"/>
  <c r="B27" i="30"/>
  <c r="B27" i="56"/>
  <c r="B27" i="41"/>
  <c r="B27" i="20"/>
  <c r="B27" i="61"/>
  <c r="B27" i="58"/>
  <c r="B26" i="17"/>
  <c r="B26" i="58"/>
  <c r="B26" i="56"/>
  <c r="B26" i="20"/>
  <c r="B26" i="61"/>
  <c r="B26" i="30"/>
  <c r="B26" i="23"/>
  <c r="B26" i="41"/>
  <c r="B12" i="17"/>
  <c r="B12" i="56"/>
  <c r="B12" i="58"/>
  <c r="B12" i="61"/>
  <c r="B12" i="41"/>
  <c r="B12" i="30"/>
  <c r="B12" i="23"/>
  <c r="B12" i="20"/>
  <c r="H89" i="24"/>
  <c r="B28" i="25" s="1"/>
  <c r="D28" i="25" s="1"/>
  <c r="E23" i="84" s="1"/>
  <c r="B53" i="62"/>
  <c r="D53" i="62" s="1"/>
  <c r="B57" i="30"/>
  <c r="B57" i="41"/>
  <c r="B56" i="41"/>
  <c r="B56" i="30"/>
  <c r="B56" i="17"/>
  <c r="B56" i="20"/>
  <c r="B56" i="61"/>
  <c r="G38" i="24"/>
  <c r="H38" i="24" s="1"/>
  <c r="B113" i="25" s="1"/>
  <c r="D113" i="25" s="1"/>
  <c r="B79" i="84" s="1"/>
  <c r="B157" i="59"/>
  <c r="D157" i="59" s="1"/>
  <c r="B37" i="59"/>
  <c r="D37" i="59" s="1"/>
  <c r="E22" i="82" s="1"/>
  <c r="I131" i="57"/>
  <c r="H132" i="57"/>
  <c r="I133" i="57" s="1"/>
  <c r="B157" i="62"/>
  <c r="D157" i="62" s="1"/>
  <c r="B43" i="23"/>
  <c r="H132" i="18"/>
  <c r="I133" i="18" s="1"/>
  <c r="F13" i="34"/>
  <c r="G13" i="34" s="1"/>
  <c r="H13" i="34" s="1"/>
  <c r="B17" i="36" s="1"/>
  <c r="D17" i="36" s="1"/>
  <c r="F17" i="3"/>
  <c r="G17" i="3" s="1"/>
  <c r="H17" i="3" s="1"/>
  <c r="B17" i="4" s="1"/>
  <c r="I131" i="60"/>
  <c r="H89" i="55"/>
  <c r="B28" i="54" s="1"/>
  <c r="B17" i="8"/>
  <c r="B69" i="58"/>
  <c r="F12" i="48"/>
  <c r="G12" i="48" s="1"/>
  <c r="H12" i="48" s="1"/>
  <c r="B17" i="46" s="1"/>
  <c r="F17" i="46" s="1"/>
  <c r="H132" i="60"/>
  <c r="B38" i="62" s="1"/>
  <c r="D38" i="62" s="1"/>
  <c r="E23" i="81" s="1"/>
  <c r="F12" i="27"/>
  <c r="G12" i="27" s="1"/>
  <c r="H12" i="27" s="1"/>
  <c r="B17" i="28" s="1"/>
  <c r="F13" i="9"/>
  <c r="G13" i="9" s="1"/>
  <c r="H13" i="9" s="1"/>
  <c r="B17" i="10" s="1"/>
  <c r="D17" i="10" s="1"/>
  <c r="B11" i="20"/>
  <c r="F14" i="24"/>
  <c r="G14" i="24" s="1"/>
  <c r="H14" i="24" s="1"/>
  <c r="B99" i="25" s="1"/>
  <c r="B11" i="56"/>
  <c r="G43" i="21"/>
  <c r="H43" i="21" s="1"/>
  <c r="B134" i="22" s="1"/>
  <c r="B27" i="44"/>
  <c r="E27" i="44" s="1"/>
  <c r="L27" i="44" s="1"/>
  <c r="F13" i="12"/>
  <c r="G13" i="12" s="1"/>
  <c r="H13" i="12" s="1"/>
  <c r="B17" i="13" s="1"/>
  <c r="D17" i="13" s="1"/>
  <c r="F12" i="15"/>
  <c r="G12" i="15" s="1"/>
  <c r="H12" i="15" s="1"/>
  <c r="B17" i="16" s="1"/>
  <c r="D17" i="16" s="1"/>
  <c r="F11" i="6"/>
  <c r="G11" i="6" s="1"/>
  <c r="H11" i="6" s="1"/>
  <c r="B17" i="7" s="1"/>
  <c r="D17" i="7" s="1"/>
  <c r="F13" i="39"/>
  <c r="G13" i="39" s="1"/>
  <c r="H13" i="39" s="1"/>
  <c r="B17" i="37" s="1"/>
  <c r="D17" i="37" s="1"/>
  <c r="H132" i="31"/>
  <c r="B156" i="33" s="1"/>
  <c r="H132" i="21"/>
  <c r="I133" i="21" s="1"/>
  <c r="B29" i="2"/>
  <c r="E29" i="2" s="1"/>
  <c r="F29" i="2" s="1"/>
  <c r="H144" i="60"/>
  <c r="G144" i="60" s="1"/>
  <c r="G142" i="21"/>
  <c r="H142" i="21" s="1"/>
  <c r="I109" i="74"/>
  <c r="I104" i="74"/>
  <c r="I105" i="74"/>
  <c r="I106" i="74"/>
  <c r="I107" i="74"/>
  <c r="B111" i="30"/>
  <c r="G142" i="31"/>
  <c r="H142" i="31" s="1"/>
  <c r="B82" i="58"/>
  <c r="B76" i="23"/>
  <c r="G142" i="57"/>
  <c r="H142" i="57" s="1"/>
  <c r="G142" i="42"/>
  <c r="H142" i="42" s="1"/>
  <c r="W336" i="1"/>
  <c r="G142" i="60"/>
  <c r="H142" i="60" s="1"/>
  <c r="C17" i="1"/>
  <c r="G99" i="55"/>
  <c r="H99" i="55" s="1"/>
  <c r="I99" i="55" s="1"/>
  <c r="G99" i="24"/>
  <c r="H99" i="24" s="1"/>
  <c r="B67" i="56"/>
  <c r="B111" i="17"/>
  <c r="B9" i="17"/>
  <c r="B41" i="20"/>
  <c r="B82" i="20"/>
  <c r="B41" i="41"/>
  <c r="B82" i="41"/>
  <c r="B82" i="30"/>
  <c r="B82" i="61"/>
  <c r="B41" i="61"/>
  <c r="H581" i="1"/>
  <c r="B82" i="17"/>
  <c r="B111" i="61"/>
  <c r="B155" i="22"/>
  <c r="D155" i="22" s="1"/>
  <c r="D11" i="11"/>
  <c r="B53" i="61"/>
  <c r="B124" i="22"/>
  <c r="D124" i="22" s="1"/>
  <c r="B31" i="22"/>
  <c r="D31" i="22" s="1"/>
  <c r="B53" i="41"/>
  <c r="B53" i="30"/>
  <c r="B53" i="20"/>
  <c r="B53" i="58"/>
  <c r="F32" i="4"/>
  <c r="G68" i="12"/>
  <c r="H68" i="12" s="1"/>
  <c r="B83" i="1"/>
  <c r="W337" i="1"/>
  <c r="H144" i="57"/>
  <c r="G144" i="57" s="1"/>
  <c r="B69" i="61"/>
  <c r="B69" i="30"/>
  <c r="B69" i="20"/>
  <c r="B27" i="14"/>
  <c r="E27" i="14" s="1"/>
  <c r="J27" i="14" s="1"/>
  <c r="B66" i="56"/>
  <c r="B69" i="41"/>
  <c r="B69" i="17"/>
  <c r="E38" i="18"/>
  <c r="G38" i="18"/>
  <c r="H38" i="18" s="1"/>
  <c r="B88" i="20"/>
  <c r="H697" i="1"/>
  <c r="H695" i="1"/>
  <c r="H691" i="1"/>
  <c r="H689" i="1"/>
  <c r="H685" i="1"/>
  <c r="H683" i="1"/>
  <c r="H681" i="1"/>
  <c r="R698" i="1"/>
  <c r="R686" i="1"/>
  <c r="R682" i="1"/>
  <c r="R680" i="1"/>
  <c r="R679" i="1"/>
  <c r="C111" i="18" s="1"/>
  <c r="C112" i="18" s="1"/>
  <c r="R697" i="1"/>
  <c r="C76" i="24" s="1"/>
  <c r="C77" i="24" s="1"/>
  <c r="R685" i="1"/>
  <c r="C111" i="88" s="1"/>
  <c r="R696" i="1"/>
  <c r="R684" i="1"/>
  <c r="R690" i="1"/>
  <c r="R695" i="1"/>
  <c r="R683" i="1"/>
  <c r="C111" i="31" s="1"/>
  <c r="C112" i="31" s="1"/>
  <c r="R692" i="1"/>
  <c r="R691" i="1"/>
  <c r="C111" i="57" s="1"/>
  <c r="C112" i="57" s="1"/>
  <c r="R681" i="1"/>
  <c r="C111" i="21" s="1"/>
  <c r="C112" i="21" s="1"/>
  <c r="R689" i="1"/>
  <c r="C111" i="60" s="1"/>
  <c r="C112" i="60" s="1"/>
  <c r="G27" i="31"/>
  <c r="G39" i="12"/>
  <c r="H39" i="12" s="1"/>
  <c r="G59" i="51"/>
  <c r="H59" i="51" s="1"/>
  <c r="E38" i="60"/>
  <c r="B84" i="41"/>
  <c r="B95" i="41"/>
  <c r="B89" i="23"/>
  <c r="B84" i="30"/>
  <c r="B95" i="61"/>
  <c r="B95" i="58"/>
  <c r="B84" i="17"/>
  <c r="B78" i="23"/>
  <c r="B95" i="20"/>
  <c r="B84" i="58"/>
  <c r="H32" i="11"/>
  <c r="B111" i="58"/>
  <c r="B41" i="56"/>
  <c r="B16" i="14"/>
  <c r="E16" i="14" s="1"/>
  <c r="F16" i="14" s="1"/>
  <c r="G45" i="34"/>
  <c r="H45" i="34" s="1"/>
  <c r="B16" i="26"/>
  <c r="E16" i="26" s="1"/>
  <c r="L16" i="26" s="1"/>
  <c r="B16" i="38"/>
  <c r="B41" i="23"/>
  <c r="B111" i="41"/>
  <c r="J13" i="8"/>
  <c r="B104" i="56"/>
  <c r="J32" i="11"/>
  <c r="F20" i="16"/>
  <c r="B9" i="16"/>
  <c r="B41" i="17"/>
  <c r="B41" i="58"/>
  <c r="B16" i="44"/>
  <c r="B111" i="20"/>
  <c r="I170" i="21"/>
  <c r="B12" i="37"/>
  <c r="D12" i="37" s="1"/>
  <c r="D56" i="37" s="1"/>
  <c r="B41" i="30"/>
  <c r="B18" i="11"/>
  <c r="B18" i="50"/>
  <c r="H49" i="29"/>
  <c r="B47" i="41"/>
  <c r="G38" i="51"/>
  <c r="H38" i="51" s="1"/>
  <c r="B171" i="22"/>
  <c r="G43" i="42"/>
  <c r="H43" i="42" s="1"/>
  <c r="B137" i="40" s="1"/>
  <c r="F31" i="4"/>
  <c r="I131" i="21"/>
  <c r="B53" i="22"/>
  <c r="B88" i="56"/>
  <c r="G75" i="48"/>
  <c r="H75" i="48" s="1"/>
  <c r="E30" i="24"/>
  <c r="G27" i="12"/>
  <c r="H27" i="12" s="1"/>
  <c r="H25" i="2"/>
  <c r="G107" i="51"/>
  <c r="B12" i="44"/>
  <c r="E12" i="44" s="1"/>
  <c r="L12" i="44" s="1"/>
  <c r="B20" i="2"/>
  <c r="E20" i="2" s="1"/>
  <c r="F20" i="2" s="1"/>
  <c r="B12" i="38"/>
  <c r="E12" i="38" s="1"/>
  <c r="F12" i="38" s="1"/>
  <c r="H124" i="1"/>
  <c r="C125" i="1" s="1"/>
  <c r="B14" i="50"/>
  <c r="E14" i="50" s="1"/>
  <c r="J14" i="50" s="1"/>
  <c r="B14" i="47"/>
  <c r="E14" i="47" s="1"/>
  <c r="F14" i="47" s="1"/>
  <c r="I124" i="1"/>
  <c r="D307" i="1"/>
  <c r="G52" i="3"/>
  <c r="H52" i="3" s="1"/>
  <c r="G36" i="51"/>
  <c r="H36" i="51" s="1"/>
  <c r="F46" i="46"/>
  <c r="F21" i="8"/>
  <c r="H21" i="8" s="1"/>
  <c r="F27" i="46"/>
  <c r="F30" i="46"/>
  <c r="G63" i="48"/>
  <c r="H63" i="48" s="1"/>
  <c r="G25" i="51"/>
  <c r="H25" i="51" s="1"/>
  <c r="G65" i="48"/>
  <c r="H65" i="48" s="1"/>
  <c r="F24" i="46"/>
  <c r="L15" i="35"/>
  <c r="F15" i="35"/>
  <c r="H15" i="35" s="1"/>
  <c r="B41" i="36" s="1"/>
  <c r="J21" i="5"/>
  <c r="G99" i="51"/>
  <c r="H99" i="51" s="1"/>
  <c r="G29" i="48"/>
  <c r="H29" i="48" s="1"/>
  <c r="G32" i="39"/>
  <c r="H32" i="39" s="1"/>
  <c r="F24" i="7"/>
  <c r="I12" i="21"/>
  <c r="G35" i="48"/>
  <c r="H35" i="48" s="1"/>
  <c r="D26" i="50"/>
  <c r="E26" i="50" s="1"/>
  <c r="L26" i="50" s="1"/>
  <c r="G43" i="48"/>
  <c r="H43" i="48" s="1"/>
  <c r="D11" i="47"/>
  <c r="E11" i="47" s="1"/>
  <c r="F11" i="47" s="1"/>
  <c r="G46" i="3"/>
  <c r="H46" i="3" s="1"/>
  <c r="G32" i="12"/>
  <c r="H32" i="12" s="1"/>
  <c r="F28" i="38"/>
  <c r="H28" i="38" s="1"/>
  <c r="G25" i="34"/>
  <c r="H25" i="34" s="1"/>
  <c r="G43" i="12"/>
  <c r="H43" i="12" s="1"/>
  <c r="D31" i="38"/>
  <c r="E31" i="38" s="1"/>
  <c r="J31" i="38" s="1"/>
  <c r="J28" i="38"/>
  <c r="G53" i="51"/>
  <c r="H53" i="51" s="1"/>
  <c r="G75" i="34"/>
  <c r="H75" i="34" s="1"/>
  <c r="G48" i="3"/>
  <c r="H48" i="3" s="1"/>
  <c r="G86" i="51"/>
  <c r="H86" i="51" s="1"/>
  <c r="D30" i="38"/>
  <c r="E30" i="38" s="1"/>
  <c r="F30" i="38" s="1"/>
  <c r="H30" i="38" s="1"/>
  <c r="D27" i="38"/>
  <c r="E27" i="38" s="1"/>
  <c r="F27" i="38" s="1"/>
  <c r="H27" i="38" s="1"/>
  <c r="F37" i="2"/>
  <c r="H37" i="2" s="1"/>
  <c r="G26" i="12"/>
  <c r="H26" i="12" s="1"/>
  <c r="F47" i="43"/>
  <c r="F12" i="8"/>
  <c r="G83" i="48"/>
  <c r="H83" i="48" s="1"/>
  <c r="G27" i="34"/>
  <c r="H27" i="34" s="1"/>
  <c r="B29" i="4"/>
  <c r="F30" i="10"/>
  <c r="D9" i="10"/>
  <c r="F46" i="10"/>
  <c r="G14" i="45"/>
  <c r="H14" i="45" s="1"/>
  <c r="B17" i="43" s="1"/>
  <c r="D17" i="43" s="1"/>
  <c r="B12" i="36"/>
  <c r="F12" i="36" s="1"/>
  <c r="F27" i="10"/>
  <c r="F15" i="10"/>
  <c r="F34" i="10" s="1"/>
  <c r="G81" i="48"/>
  <c r="H81" i="48" s="1"/>
  <c r="H35" i="29"/>
  <c r="F24" i="10"/>
  <c r="F43" i="10"/>
  <c r="G39" i="34"/>
  <c r="H39" i="34" s="1"/>
  <c r="F32" i="10"/>
  <c r="H62" i="15"/>
  <c r="G63" i="15"/>
  <c r="H63" i="15" s="1"/>
  <c r="D34" i="11"/>
  <c r="E34" i="11" s="1"/>
  <c r="L34" i="11" s="1"/>
  <c r="D9" i="44"/>
  <c r="B94" i="58"/>
  <c r="B70" i="30"/>
  <c r="B70" i="20"/>
  <c r="G38" i="21"/>
  <c r="H38" i="21" s="1"/>
  <c r="B70" i="41"/>
  <c r="B94" i="30"/>
  <c r="B94" i="20"/>
  <c r="G23" i="15"/>
  <c r="H23" i="15" s="1"/>
  <c r="F19" i="13"/>
  <c r="J16" i="13"/>
  <c r="I22" i="13" s="1"/>
  <c r="B70" i="61"/>
  <c r="H32" i="29"/>
  <c r="B94" i="61"/>
  <c r="B70" i="58"/>
  <c r="G51" i="51"/>
  <c r="H51" i="51" s="1"/>
  <c r="G25" i="12"/>
  <c r="H25" i="12" s="1"/>
  <c r="G26" i="51"/>
  <c r="H26" i="51" s="1"/>
  <c r="F20" i="14"/>
  <c r="H20" i="14" s="1"/>
  <c r="B70" i="17"/>
  <c r="B48" i="30"/>
  <c r="B94" i="17"/>
  <c r="G97" i="51"/>
  <c r="H97" i="51" s="1"/>
  <c r="B9" i="7"/>
  <c r="I111" i="51"/>
  <c r="Y131" i="1"/>
  <c r="G47" i="12"/>
  <c r="H47" i="12" s="1"/>
  <c r="G91" i="12"/>
  <c r="H91" i="12" s="1"/>
  <c r="G77" i="12"/>
  <c r="H77" i="12" s="1"/>
  <c r="F19" i="7"/>
  <c r="J20" i="14"/>
  <c r="B94" i="41"/>
  <c r="I108" i="51"/>
  <c r="G93" i="51"/>
  <c r="H93" i="51" s="1"/>
  <c r="G79" i="34"/>
  <c r="H79" i="34" s="1"/>
  <c r="H123" i="51"/>
  <c r="F28" i="14"/>
  <c r="H28" i="14" s="1"/>
  <c r="L28" i="14"/>
  <c r="D37" i="50"/>
  <c r="B9" i="20"/>
  <c r="B9" i="30"/>
  <c r="B9" i="23"/>
  <c r="X133" i="1"/>
  <c r="B9" i="41"/>
  <c r="B9" i="58"/>
  <c r="L31" i="11"/>
  <c r="B9" i="56"/>
  <c r="B83" i="20"/>
  <c r="B11" i="61"/>
  <c r="B29" i="22"/>
  <c r="F24" i="43"/>
  <c r="L17" i="47"/>
  <c r="B17" i="17"/>
  <c r="B11" i="17"/>
  <c r="G75" i="12"/>
  <c r="H75" i="12" s="1"/>
  <c r="F28" i="43"/>
  <c r="B17" i="56"/>
  <c r="D36" i="50"/>
  <c r="B11" i="23"/>
  <c r="B11" i="41"/>
  <c r="F19" i="43"/>
  <c r="F27" i="43"/>
  <c r="F51" i="1"/>
  <c r="F53" i="1" s="1"/>
  <c r="F20" i="43"/>
  <c r="D9" i="50"/>
  <c r="E9" i="50" s="1"/>
  <c r="L9" i="50" s="1"/>
  <c r="B46" i="41"/>
  <c r="F15" i="43"/>
  <c r="F34" i="43" s="1"/>
  <c r="B11" i="30"/>
  <c r="B17" i="20"/>
  <c r="B9" i="38"/>
  <c r="E9" i="38" s="1"/>
  <c r="B10" i="50"/>
  <c r="L20" i="35"/>
  <c r="D38" i="38"/>
  <c r="L37" i="14"/>
  <c r="G30" i="9"/>
  <c r="H30" i="9" s="1"/>
  <c r="G27" i="51"/>
  <c r="H27" i="51" s="1"/>
  <c r="G26" i="9"/>
  <c r="H26" i="9" s="1"/>
  <c r="G26" i="45"/>
  <c r="H26" i="45" s="1"/>
  <c r="G23" i="48"/>
  <c r="H23" i="48" s="1"/>
  <c r="J31" i="50"/>
  <c r="G36" i="12"/>
  <c r="H36" i="12" s="1"/>
  <c r="J28" i="14"/>
  <c r="F32" i="28"/>
  <c r="F43" i="46"/>
  <c r="D33" i="50"/>
  <c r="E33" i="50" s="1"/>
  <c r="F33" i="50" s="1"/>
  <c r="H33" i="50" s="1"/>
  <c r="H37" i="14"/>
  <c r="F15" i="46"/>
  <c r="F34" i="46" s="1"/>
  <c r="F47" i="46"/>
  <c r="J17" i="47"/>
  <c r="D32" i="50"/>
  <c r="E32" i="50" s="1"/>
  <c r="F32" i="50" s="1"/>
  <c r="H32" i="50" s="1"/>
  <c r="D37" i="38"/>
  <c r="B29" i="62"/>
  <c r="D29" i="62" s="1"/>
  <c r="F42" i="46"/>
  <c r="B9" i="46"/>
  <c r="B12" i="46"/>
  <c r="D12" i="46" s="1"/>
  <c r="D56" i="46" s="1"/>
  <c r="F20" i="46"/>
  <c r="F28" i="46"/>
  <c r="D9" i="46"/>
  <c r="F31" i="50"/>
  <c r="H31" i="50" s="1"/>
  <c r="B32" i="22"/>
  <c r="F40" i="46"/>
  <c r="I23" i="21"/>
  <c r="G69" i="34"/>
  <c r="H69" i="34" s="1"/>
  <c r="G54" i="6"/>
  <c r="H54" i="6" s="1"/>
  <c r="G57" i="51"/>
  <c r="H57" i="51" s="1"/>
  <c r="B25" i="7"/>
  <c r="F25" i="7" s="1"/>
  <c r="B9" i="8"/>
  <c r="E9" i="8" s="1"/>
  <c r="F9" i="8" s="1"/>
  <c r="J440" i="1"/>
  <c r="M440" i="1" s="1"/>
  <c r="B440" i="1" s="1"/>
  <c r="B100" i="20" s="1"/>
  <c r="G79" i="48"/>
  <c r="H79" i="48" s="1"/>
  <c r="G34" i="51"/>
  <c r="H34" i="51" s="1"/>
  <c r="B17" i="61"/>
  <c r="B9" i="14"/>
  <c r="G148" i="21"/>
  <c r="H148" i="21" s="1"/>
  <c r="B45" i="22" s="1"/>
  <c r="G43" i="60"/>
  <c r="H43" i="60" s="1"/>
  <c r="B135" i="62" s="1"/>
  <c r="B17" i="30"/>
  <c r="B10" i="11"/>
  <c r="E10" i="11" s="1"/>
  <c r="F10" i="11" s="1"/>
  <c r="F3" i="21"/>
  <c r="F4" i="21" s="1"/>
  <c r="G2" i="21" s="1"/>
  <c r="B9" i="35"/>
  <c r="E9" i="35" s="1"/>
  <c r="F9" i="35" s="1"/>
  <c r="G43" i="34"/>
  <c r="H43" i="34" s="1"/>
  <c r="D21" i="2"/>
  <c r="D17" i="8"/>
  <c r="D14" i="29"/>
  <c r="D38" i="29" s="1"/>
  <c r="E38" i="31"/>
  <c r="B9" i="44"/>
  <c r="H187" i="1"/>
  <c r="B661" i="1" s="1"/>
  <c r="D26" i="35"/>
  <c r="B9" i="26"/>
  <c r="E9" i="26" s="1"/>
  <c r="F9" i="26" s="1"/>
  <c r="B17" i="41"/>
  <c r="B17" i="58"/>
  <c r="B10" i="47"/>
  <c r="E10" i="47" s="1"/>
  <c r="F10" i="47" s="1"/>
  <c r="B9" i="5"/>
  <c r="I19" i="21"/>
  <c r="G24" i="48"/>
  <c r="H24" i="48" s="1"/>
  <c r="G3" i="9"/>
  <c r="G4" i="9" s="1"/>
  <c r="D22" i="2"/>
  <c r="G28" i="39"/>
  <c r="H28" i="39" s="1"/>
  <c r="G78" i="51"/>
  <c r="H78" i="51" s="1"/>
  <c r="G77" i="34"/>
  <c r="H77" i="34" s="1"/>
  <c r="L30" i="11"/>
  <c r="F20" i="5"/>
  <c r="H20" i="5" s="1"/>
  <c r="B41" i="7" s="1"/>
  <c r="D41" i="7" s="1"/>
  <c r="G32" i="51"/>
  <c r="H32" i="51" s="1"/>
  <c r="G41" i="48"/>
  <c r="H41" i="48" s="1"/>
  <c r="E39" i="14"/>
  <c r="E56" i="14" s="1"/>
  <c r="G22" i="6"/>
  <c r="H22" i="6" s="1"/>
  <c r="G70" i="12"/>
  <c r="H70" i="12" s="1"/>
  <c r="D42" i="2"/>
  <c r="E42" i="2" s="1"/>
  <c r="F42" i="2" s="1"/>
  <c r="H42" i="2" s="1"/>
  <c r="G24" i="27"/>
  <c r="H24" i="27" s="1"/>
  <c r="G81" i="12"/>
  <c r="H81" i="12" s="1"/>
  <c r="D9" i="16"/>
  <c r="D28" i="2"/>
  <c r="B15" i="58"/>
  <c r="B12" i="16"/>
  <c r="D12" i="16" s="1"/>
  <c r="D56" i="16" s="1"/>
  <c r="F15" i="16"/>
  <c r="F34" i="16" s="1"/>
  <c r="G95" i="12"/>
  <c r="F27" i="16"/>
  <c r="D9" i="4"/>
  <c r="D30" i="2"/>
  <c r="G106" i="48"/>
  <c r="H106" i="48" s="1"/>
  <c r="B15" i="56"/>
  <c r="G34" i="6"/>
  <c r="H34" i="6" s="1"/>
  <c r="D31" i="44"/>
  <c r="G82" i="51"/>
  <c r="H82" i="51" s="1"/>
  <c r="G85" i="3"/>
  <c r="H85" i="3" s="1"/>
  <c r="G28" i="6"/>
  <c r="H28" i="6" s="1"/>
  <c r="B25" i="13"/>
  <c r="D25" i="13" s="1"/>
  <c r="F20" i="26"/>
  <c r="H20" i="26" s="1"/>
  <c r="D41" i="44"/>
  <c r="G67" i="34"/>
  <c r="H67" i="34" s="1"/>
  <c r="G71" i="48"/>
  <c r="H71" i="48" s="1"/>
  <c r="G89" i="48"/>
  <c r="D33" i="26"/>
  <c r="D48" i="2"/>
  <c r="E48" i="2" s="1"/>
  <c r="J48" i="2" s="1"/>
  <c r="J37" i="2"/>
  <c r="D56" i="2"/>
  <c r="G45" i="48"/>
  <c r="H45" i="48" s="1"/>
  <c r="G39" i="48"/>
  <c r="H39" i="48" s="1"/>
  <c r="L36" i="2"/>
  <c r="L32" i="11"/>
  <c r="F28" i="10"/>
  <c r="F47" i="10"/>
  <c r="AT25" i="1"/>
  <c r="D27" i="26"/>
  <c r="B21" i="25"/>
  <c r="D21" i="25" s="1"/>
  <c r="G53" i="12"/>
  <c r="H53" i="12" s="1"/>
  <c r="D28" i="26"/>
  <c r="F23" i="46"/>
  <c r="G24" i="15"/>
  <c r="H24" i="15" s="1"/>
  <c r="G81" i="34"/>
  <c r="H81" i="34" s="1"/>
  <c r="L22" i="8"/>
  <c r="D15" i="2"/>
  <c r="E15" i="2" s="1"/>
  <c r="L15" i="2" s="1"/>
  <c r="G27" i="39"/>
  <c r="H27" i="39" s="1"/>
  <c r="G83" i="12"/>
  <c r="H83" i="12" s="1"/>
  <c r="G55" i="51"/>
  <c r="H55" i="51" s="1"/>
  <c r="B25" i="46"/>
  <c r="D25" i="46" s="1"/>
  <c r="D38" i="11"/>
  <c r="F22" i="8"/>
  <c r="H22" i="8" s="1"/>
  <c r="L28" i="5"/>
  <c r="L9" i="11"/>
  <c r="G42" i="51"/>
  <c r="H42" i="51" s="1"/>
  <c r="I103" i="3"/>
  <c r="G107" i="48"/>
  <c r="H107" i="48" s="1"/>
  <c r="J16" i="2"/>
  <c r="E30" i="55"/>
  <c r="L25" i="2"/>
  <c r="G124" i="51"/>
  <c r="H124" i="51" s="1"/>
  <c r="H17" i="47"/>
  <c r="B41" i="46" s="1"/>
  <c r="J60" i="2"/>
  <c r="F60" i="2"/>
  <c r="H60" i="2" s="1"/>
  <c r="L60" i="2"/>
  <c r="L12" i="5"/>
  <c r="G54" i="42"/>
  <c r="H54" i="42" s="1"/>
  <c r="I55" i="9"/>
  <c r="I12" i="57"/>
  <c r="G76" i="51"/>
  <c r="H76" i="51" s="1"/>
  <c r="E36" i="14"/>
  <c r="J36" i="14" s="1"/>
  <c r="F21" i="14"/>
  <c r="H21" i="14" s="1"/>
  <c r="D16" i="38"/>
  <c r="I12" i="60"/>
  <c r="F28" i="49"/>
  <c r="J31" i="11"/>
  <c r="F21" i="47"/>
  <c r="H21" i="47" s="1"/>
  <c r="L23" i="50"/>
  <c r="F12" i="5"/>
  <c r="H101" i="24"/>
  <c r="G101" i="24" s="1"/>
  <c r="G39" i="3"/>
  <c r="H39" i="3" s="1"/>
  <c r="G46" i="42"/>
  <c r="H46" i="42" s="1"/>
  <c r="D9" i="5"/>
  <c r="F20" i="44"/>
  <c r="H20" i="44" s="1"/>
  <c r="D24" i="47"/>
  <c r="E24" i="47" s="1"/>
  <c r="F24" i="47" s="1"/>
  <c r="H24" i="47" s="1"/>
  <c r="F123" i="59"/>
  <c r="H68" i="15"/>
  <c r="B31" i="16" s="1"/>
  <c r="D24" i="38"/>
  <c r="E24" i="38" s="1"/>
  <c r="J24" i="38" s="1"/>
  <c r="D18" i="50"/>
  <c r="F23" i="11"/>
  <c r="H23" i="11" s="1"/>
  <c r="J23" i="11"/>
  <c r="G95" i="51"/>
  <c r="H95" i="51" s="1"/>
  <c r="G49" i="48"/>
  <c r="H49" i="48" s="1"/>
  <c r="G47" i="48"/>
  <c r="H47" i="48" s="1"/>
  <c r="F12" i="26"/>
  <c r="B83" i="17"/>
  <c r="H121" i="51"/>
  <c r="C20" i="51"/>
  <c r="C20" i="12"/>
  <c r="C18" i="48"/>
  <c r="C17" i="6"/>
  <c r="C20" i="34"/>
  <c r="F47" i="49"/>
  <c r="D9" i="49"/>
  <c r="F30" i="49"/>
  <c r="F43" i="49"/>
  <c r="F20" i="49"/>
  <c r="F46" i="49"/>
  <c r="E38" i="42"/>
  <c r="G26" i="34"/>
  <c r="H26" i="34" s="1"/>
  <c r="G89" i="12"/>
  <c r="H89" i="12" s="1"/>
  <c r="J12" i="26"/>
  <c r="B83" i="30"/>
  <c r="G33" i="55"/>
  <c r="H33" i="55" s="1"/>
  <c r="B45" i="17"/>
  <c r="B48" i="20"/>
  <c r="D17" i="38"/>
  <c r="D19" i="50"/>
  <c r="B45" i="23"/>
  <c r="D41" i="8"/>
  <c r="E98" i="42"/>
  <c r="D33" i="11"/>
  <c r="E33" i="11" s="1"/>
  <c r="F33" i="11" s="1"/>
  <c r="H33" i="11" s="1"/>
  <c r="B45" i="56"/>
  <c r="F30" i="11"/>
  <c r="H30" i="11" s="1"/>
  <c r="B43" i="56"/>
  <c r="B15" i="61"/>
  <c r="B15" i="41"/>
  <c r="D39" i="11"/>
  <c r="F23" i="36"/>
  <c r="G33" i="24"/>
  <c r="H33" i="24" s="1"/>
  <c r="G23" i="6"/>
  <c r="H23" i="6" s="1"/>
  <c r="G49" i="12"/>
  <c r="H49" i="12" s="1"/>
  <c r="G47" i="34"/>
  <c r="H47" i="34" s="1"/>
  <c r="G27" i="9"/>
  <c r="H27" i="9" s="1"/>
  <c r="F22" i="47"/>
  <c r="H22" i="47" s="1"/>
  <c r="F36" i="2"/>
  <c r="H36" i="2" s="1"/>
  <c r="F21" i="38"/>
  <c r="H21" i="38" s="1"/>
  <c r="J37" i="14"/>
  <c r="L22" i="47"/>
  <c r="B83" i="41"/>
  <c r="D25" i="37"/>
  <c r="R518" i="1"/>
  <c r="C79" i="3" s="1"/>
  <c r="C78" i="3"/>
  <c r="F47" i="16"/>
  <c r="F43" i="16"/>
  <c r="F28" i="16"/>
  <c r="L77" i="39"/>
  <c r="G77" i="39" s="1"/>
  <c r="L80" i="39"/>
  <c r="G80" i="39" s="1"/>
  <c r="H543" i="1"/>
  <c r="H563" i="1"/>
  <c r="C6" i="22"/>
  <c r="L21" i="47"/>
  <c r="B39" i="56"/>
  <c r="B45" i="20"/>
  <c r="G104" i="42"/>
  <c r="H104" i="42" s="1"/>
  <c r="D33" i="8"/>
  <c r="D32" i="8"/>
  <c r="E102" i="42"/>
  <c r="F23" i="10"/>
  <c r="D27" i="35"/>
  <c r="B15" i="20"/>
  <c r="B15" i="30"/>
  <c r="B11" i="11"/>
  <c r="G54" i="9"/>
  <c r="G38" i="57"/>
  <c r="H38" i="57" s="1"/>
  <c r="G60" i="3"/>
  <c r="H60" i="3" s="1"/>
  <c r="G49" i="51"/>
  <c r="H49" i="51" s="1"/>
  <c r="L61" i="2"/>
  <c r="L53" i="2"/>
  <c r="B77" i="56"/>
  <c r="B9" i="49"/>
  <c r="G13" i="51"/>
  <c r="H13" i="51" s="1"/>
  <c r="B17" i="49" s="1"/>
  <c r="D17" i="49" s="1"/>
  <c r="F3" i="45"/>
  <c r="F4" i="45" s="1"/>
  <c r="G2" i="45" s="1"/>
  <c r="H263" i="1"/>
  <c r="H101" i="34"/>
  <c r="G104" i="34"/>
  <c r="H104" i="34" s="1"/>
  <c r="C133" i="1"/>
  <c r="C134" i="1"/>
  <c r="E12" i="27"/>
  <c r="F20" i="7"/>
  <c r="D9" i="7"/>
  <c r="F47" i="7"/>
  <c r="F43" i="7"/>
  <c r="F28" i="7"/>
  <c r="F46" i="7"/>
  <c r="F15" i="7"/>
  <c r="F34" i="7" s="1"/>
  <c r="F16" i="7"/>
  <c r="F30" i="7"/>
  <c r="B45" i="61"/>
  <c r="D15" i="44"/>
  <c r="L12" i="8"/>
  <c r="B88" i="41"/>
  <c r="D36" i="35"/>
  <c r="E42" i="38"/>
  <c r="E59" i="38" s="1"/>
  <c r="J9" i="11"/>
  <c r="B48" i="17"/>
  <c r="G29" i="9"/>
  <c r="H29" i="9" s="1"/>
  <c r="G50" i="6"/>
  <c r="H50" i="6" s="1"/>
  <c r="G85" i="12"/>
  <c r="H85" i="12" s="1"/>
  <c r="G25" i="27"/>
  <c r="H25" i="27" s="1"/>
  <c r="G84" i="51"/>
  <c r="H84" i="51" s="1"/>
  <c r="G101" i="51"/>
  <c r="H101" i="51" s="1"/>
  <c r="G56" i="6"/>
  <c r="H56" i="6" s="1"/>
  <c r="G112" i="12"/>
  <c r="H112" i="12" s="1"/>
  <c r="F23" i="49"/>
  <c r="J20" i="35"/>
  <c r="J61" i="2"/>
  <c r="B83" i="58"/>
  <c r="B25" i="16"/>
  <c r="D25" i="16" s="1"/>
  <c r="F24" i="49"/>
  <c r="F16" i="16"/>
  <c r="C21" i="34"/>
  <c r="C21" i="51"/>
  <c r="C19" i="48"/>
  <c r="C21" i="12"/>
  <c r="C18" i="6"/>
  <c r="C44" i="18"/>
  <c r="C44" i="31"/>
  <c r="C44" i="60"/>
  <c r="C44" i="21"/>
  <c r="C44" i="57"/>
  <c r="C44" i="42"/>
  <c r="E4" i="10"/>
  <c r="F20" i="10"/>
  <c r="D134" i="1"/>
  <c r="D133" i="1"/>
  <c r="H19" i="35"/>
  <c r="B83" i="61"/>
  <c r="H111" i="12"/>
  <c r="B25" i="10"/>
  <c r="C26" i="15"/>
  <c r="H613" i="1"/>
  <c r="C27" i="15" s="1"/>
  <c r="C32" i="6"/>
  <c r="C33" i="48"/>
  <c r="C37" i="12"/>
  <c r="C45" i="51"/>
  <c r="C30" i="6"/>
  <c r="C31" i="48"/>
  <c r="C35" i="12"/>
  <c r="C37" i="48"/>
  <c r="C47" i="51"/>
  <c r="C41" i="12"/>
  <c r="B45" i="58"/>
  <c r="B51" i="23"/>
  <c r="B81" i="1"/>
  <c r="G25" i="45"/>
  <c r="H25" i="45" s="1"/>
  <c r="D29" i="38"/>
  <c r="E29" i="38" s="1"/>
  <c r="L29" i="38" s="1"/>
  <c r="J20" i="26"/>
  <c r="B45" i="41"/>
  <c r="E187" i="1"/>
  <c r="H188" i="1" s="1"/>
  <c r="D44" i="11"/>
  <c r="F4" i="57"/>
  <c r="G2" i="57" s="1"/>
  <c r="I13" i="24"/>
  <c r="D45" i="38"/>
  <c r="B11" i="50"/>
  <c r="B15" i="17"/>
  <c r="G32" i="48"/>
  <c r="H32" i="48" s="1"/>
  <c r="G73" i="34"/>
  <c r="H73" i="34" s="1"/>
  <c r="G85" i="48"/>
  <c r="H85" i="48" s="1"/>
  <c r="F27" i="49"/>
  <c r="F32" i="36"/>
  <c r="E4" i="16"/>
  <c r="F12" i="29" s="1"/>
  <c r="I68" i="39"/>
  <c r="H518" i="1"/>
  <c r="C54" i="3" s="1"/>
  <c r="C53" i="3"/>
  <c r="F27" i="7"/>
  <c r="C26" i="48"/>
  <c r="C32" i="34"/>
  <c r="C29" i="12"/>
  <c r="H540" i="1"/>
  <c r="C25" i="6"/>
  <c r="C25" i="48"/>
  <c r="C28" i="51"/>
  <c r="C24" i="6"/>
  <c r="C28" i="12"/>
  <c r="I18" i="49"/>
  <c r="I154" i="1"/>
  <c r="I155" i="1" s="1"/>
  <c r="C37" i="34"/>
  <c r="C30" i="51"/>
  <c r="M262" i="1"/>
  <c r="O259" i="1"/>
  <c r="J20" i="44"/>
  <c r="L22" i="11"/>
  <c r="E43" i="57"/>
  <c r="L22" i="50"/>
  <c r="L20" i="38"/>
  <c r="F38" i="2"/>
  <c r="H38" i="2" s="1"/>
  <c r="F39" i="2"/>
  <c r="H39" i="2" s="1"/>
  <c r="D22" i="4"/>
  <c r="J38" i="2"/>
  <c r="F22" i="11"/>
  <c r="H22" i="11" s="1"/>
  <c r="L19" i="35"/>
  <c r="E38" i="5"/>
  <c r="J38" i="5" s="1"/>
  <c r="F25" i="28"/>
  <c r="D9" i="14"/>
  <c r="G86" i="3"/>
  <c r="H86" i="3" s="1"/>
  <c r="L39" i="2"/>
  <c r="B27" i="59"/>
  <c r="D27" i="59" s="1"/>
  <c r="H28" i="5"/>
  <c r="D25" i="47"/>
  <c r="E25" i="47" s="1"/>
  <c r="F25" i="47" s="1"/>
  <c r="H25" i="47" s="1"/>
  <c r="D42" i="14"/>
  <c r="F13" i="8"/>
  <c r="H13" i="8" s="1"/>
  <c r="F12" i="14"/>
  <c r="J28" i="5"/>
  <c r="V25" i="1"/>
  <c r="J12" i="14"/>
  <c r="J21" i="8"/>
  <c r="D32" i="14"/>
  <c r="D41" i="5"/>
  <c r="D23" i="35"/>
  <c r="E23" i="35" s="1"/>
  <c r="F23" i="35" s="1"/>
  <c r="H23" i="35" s="1"/>
  <c r="D19" i="11"/>
  <c r="L49" i="2"/>
  <c r="J20" i="5"/>
  <c r="X25" i="1"/>
  <c r="F23" i="50"/>
  <c r="H23" i="50" s="1"/>
  <c r="D13" i="2"/>
  <c r="E13" i="2" s="1"/>
  <c r="F13" i="2" s="1"/>
  <c r="F16" i="2"/>
  <c r="D12" i="2"/>
  <c r="E12" i="2" s="1"/>
  <c r="F12" i="2" s="1"/>
  <c r="I96" i="12"/>
  <c r="D19" i="7"/>
  <c r="D32" i="5"/>
  <c r="D21" i="35"/>
  <c r="E21" i="35" s="1"/>
  <c r="L21" i="35" s="1"/>
  <c r="D17" i="11"/>
  <c r="B43" i="41"/>
  <c r="B83" i="23"/>
  <c r="F49" i="2"/>
  <c r="H49" i="2" s="1"/>
  <c r="D24" i="14"/>
  <c r="E24" i="14" s="1"/>
  <c r="J24" i="14" s="1"/>
  <c r="D28" i="47"/>
  <c r="J9" i="47"/>
  <c r="D29" i="47"/>
  <c r="R581" i="1"/>
  <c r="F31" i="43"/>
  <c r="D18" i="11"/>
  <c r="B43" i="58"/>
  <c r="L21" i="5"/>
  <c r="B43" i="17"/>
  <c r="D45" i="2"/>
  <c r="E45" i="2" s="1"/>
  <c r="L45" i="2" s="1"/>
  <c r="AV25" i="1"/>
  <c r="D46" i="2"/>
  <c r="E46" i="2" s="1"/>
  <c r="J46" i="2" s="1"/>
  <c r="D15" i="14"/>
  <c r="H216" i="1"/>
  <c r="L9" i="47"/>
  <c r="D34" i="47"/>
  <c r="F29" i="11"/>
  <c r="H29" i="11" s="1"/>
  <c r="G95" i="18"/>
  <c r="H95" i="18" s="1"/>
  <c r="B148" i="19" s="1"/>
  <c r="D47" i="2"/>
  <c r="E47" i="2" s="1"/>
  <c r="F47" i="2" s="1"/>
  <c r="D9" i="2"/>
  <c r="E9" i="2" s="1"/>
  <c r="J9" i="2" s="1"/>
  <c r="J21" i="44"/>
  <c r="F21" i="44"/>
  <c r="H21" i="44" s="1"/>
  <c r="F28" i="8"/>
  <c r="H28" i="8" s="1"/>
  <c r="G106" i="57"/>
  <c r="H106" i="57" s="1"/>
  <c r="B43" i="30"/>
  <c r="D17" i="14"/>
  <c r="H46" i="29"/>
  <c r="B135" i="59"/>
  <c r="D135" i="59" s="1"/>
  <c r="B80" i="82" s="1"/>
  <c r="J28" i="8"/>
  <c r="G61" i="3"/>
  <c r="H61" i="3" s="1"/>
  <c r="J21" i="38"/>
  <c r="L29" i="11"/>
  <c r="G104" i="21"/>
  <c r="H104" i="21" s="1"/>
  <c r="D57" i="2"/>
  <c r="M31" i="35"/>
  <c r="B43" i="20"/>
  <c r="I90" i="48"/>
  <c r="AX25" i="1"/>
  <c r="D10" i="2"/>
  <c r="E10" i="2" s="1"/>
  <c r="J10" i="2" s="1"/>
  <c r="D17" i="2"/>
  <c r="E17" i="2" s="1"/>
  <c r="J17" i="2" s="1"/>
  <c r="D14" i="2"/>
  <c r="E14" i="2" s="1"/>
  <c r="L14" i="2" s="1"/>
  <c r="D69" i="2"/>
  <c r="B89" i="30"/>
  <c r="D16" i="16"/>
  <c r="F31" i="10"/>
  <c r="D31" i="10"/>
  <c r="D25" i="36"/>
  <c r="F25" i="36"/>
  <c r="F34" i="38"/>
  <c r="H34" i="38" s="1"/>
  <c r="B44" i="37" s="1"/>
  <c r="L34" i="38"/>
  <c r="J25" i="2"/>
  <c r="F27" i="5"/>
  <c r="H27" i="5" s="1"/>
  <c r="L27" i="5"/>
  <c r="I142" i="18"/>
  <c r="B43" i="19"/>
  <c r="J62" i="2"/>
  <c r="F62" i="2"/>
  <c r="H62" i="2" s="1"/>
  <c r="L62" i="2"/>
  <c r="J64" i="2"/>
  <c r="F64" i="2"/>
  <c r="H64" i="2" s="1"/>
  <c r="L64" i="2"/>
  <c r="B47" i="36"/>
  <c r="B103" i="62"/>
  <c r="Z25" i="1"/>
  <c r="D29" i="5"/>
  <c r="E29" i="5" s="1"/>
  <c r="J29" i="5" s="1"/>
  <c r="B103" i="22"/>
  <c r="F16" i="46"/>
  <c r="D16" i="46"/>
  <c r="F20" i="47"/>
  <c r="H20" i="47" s="1"/>
  <c r="J20" i="47"/>
  <c r="F47" i="13"/>
  <c r="F43" i="13"/>
  <c r="D9" i="13"/>
  <c r="F15" i="13"/>
  <c r="F34" i="13" s="1"/>
  <c r="F20" i="13"/>
  <c r="F46" i="13"/>
  <c r="F24" i="13"/>
  <c r="D24" i="44"/>
  <c r="E24" i="44" s="1"/>
  <c r="L24" i="44" s="1"/>
  <c r="D675" i="1"/>
  <c r="I19" i="57"/>
  <c r="F23" i="13"/>
  <c r="L20" i="47"/>
  <c r="F92" i="54"/>
  <c r="H92" i="54" s="1"/>
  <c r="D16" i="10"/>
  <c r="F16" i="10"/>
  <c r="B103" i="33"/>
  <c r="F15" i="4"/>
  <c r="F38" i="4" s="1"/>
  <c r="D15" i="4"/>
  <c r="D38" i="4" s="1"/>
  <c r="J14" i="11"/>
  <c r="H219" i="1"/>
  <c r="D670" i="1" s="1"/>
  <c r="H141" i="62"/>
  <c r="B120" i="59"/>
  <c r="L52" i="2"/>
  <c r="B88" i="25"/>
  <c r="B94" i="25"/>
  <c r="D16" i="36"/>
  <c r="F16" i="36"/>
  <c r="F53" i="2"/>
  <c r="H53" i="2" s="1"/>
  <c r="J32" i="2"/>
  <c r="M30" i="35"/>
  <c r="F27" i="13"/>
  <c r="D12" i="35"/>
  <c r="E12" i="35" s="1"/>
  <c r="F12" i="35" s="1"/>
  <c r="L21" i="14"/>
  <c r="F20" i="38"/>
  <c r="H20" i="38" s="1"/>
  <c r="G98" i="21"/>
  <c r="H98" i="21" s="1"/>
  <c r="B89" i="61"/>
  <c r="F32" i="43"/>
  <c r="I23" i="13"/>
  <c r="F32" i="46"/>
  <c r="D32" i="46"/>
  <c r="L24" i="2"/>
  <c r="J24" i="2"/>
  <c r="D19" i="46"/>
  <c r="F19" i="46"/>
  <c r="D24" i="37"/>
  <c r="F24" i="37"/>
  <c r="F12" i="49"/>
  <c r="D12" i="49"/>
  <c r="D16" i="8"/>
  <c r="H616" i="1"/>
  <c r="O388" i="1" s="1"/>
  <c r="B83" i="56"/>
  <c r="F14" i="11"/>
  <c r="C4" i="25"/>
  <c r="D17" i="26"/>
  <c r="D16" i="44"/>
  <c r="I89" i="3"/>
  <c r="B89" i="17"/>
  <c r="B89" i="20"/>
  <c r="F52" i="2"/>
  <c r="H52" i="2" s="1"/>
  <c r="F16" i="49"/>
  <c r="D16" i="49"/>
  <c r="F21" i="4"/>
  <c r="F189" i="59"/>
  <c r="D105" i="59"/>
  <c r="F184" i="59"/>
  <c r="D19" i="16"/>
  <c r="F19" i="16"/>
  <c r="D25" i="8"/>
  <c r="E25" i="8" s="1"/>
  <c r="F25" i="8" s="1"/>
  <c r="H25" i="8" s="1"/>
  <c r="H22" i="50"/>
  <c r="B27" i="4"/>
  <c r="J19" i="35"/>
  <c r="B12" i="13"/>
  <c r="D12" i="13" s="1"/>
  <c r="D56" i="13" s="1"/>
  <c r="B9" i="13"/>
  <c r="F107" i="19"/>
  <c r="H107" i="19" s="1"/>
  <c r="H40" i="29"/>
  <c r="F107" i="40"/>
  <c r="H107" i="40" s="1"/>
  <c r="D36" i="4"/>
  <c r="F36" i="4"/>
  <c r="F12" i="10"/>
  <c r="D12" i="10"/>
  <c r="D56" i="10" s="1"/>
  <c r="F30" i="13"/>
  <c r="B69" i="56"/>
  <c r="D24" i="26"/>
  <c r="E24" i="26" s="1"/>
  <c r="F24" i="26" s="1"/>
  <c r="H24" i="26" s="1"/>
  <c r="B42" i="28" s="1"/>
  <c r="D15" i="26"/>
  <c r="J22" i="50"/>
  <c r="B89" i="58"/>
  <c r="B118" i="62"/>
  <c r="F32" i="2"/>
  <c r="H32" i="2" s="1"/>
  <c r="B103" i="59"/>
  <c r="B105" i="59"/>
  <c r="B16" i="4"/>
  <c r="D25" i="49"/>
  <c r="F25" i="49"/>
  <c r="F11" i="2"/>
  <c r="J11" i="2"/>
  <c r="M11" i="2" s="1"/>
  <c r="B31" i="37"/>
  <c r="I83" i="39"/>
  <c r="F28" i="13"/>
  <c r="L29" i="8"/>
  <c r="J29" i="8"/>
  <c r="F29" i="8"/>
  <c r="H29" i="8" s="1"/>
  <c r="F15" i="49"/>
  <c r="F34" i="49" s="1"/>
  <c r="D15" i="49"/>
  <c r="D34" i="49" s="1"/>
  <c r="F31" i="7"/>
  <c r="D31" i="7"/>
  <c r="D16" i="43"/>
  <c r="F16" i="43"/>
  <c r="I18" i="31"/>
  <c r="D103" i="25"/>
  <c r="D23" i="2"/>
  <c r="E23" i="2" s="1"/>
  <c r="L25" i="1"/>
  <c r="D32" i="13"/>
  <c r="F32" i="13"/>
  <c r="F19" i="36"/>
  <c r="D19" i="36"/>
  <c r="L70" i="2"/>
  <c r="J70" i="2"/>
  <c r="F70" i="2"/>
  <c r="H70" i="2" s="1"/>
  <c r="D15" i="36"/>
  <c r="D34" i="36" s="1"/>
  <c r="F15" i="36"/>
  <c r="F34" i="36" s="1"/>
  <c r="D29" i="50"/>
  <c r="E29" i="50" s="1"/>
  <c r="AB25" i="1"/>
  <c r="F20" i="4"/>
  <c r="D20" i="4"/>
  <c r="D102" i="25"/>
  <c r="L18" i="35"/>
  <c r="J18" i="35"/>
  <c r="F18" i="35"/>
  <c r="H18" i="35" s="1"/>
  <c r="F19" i="4"/>
  <c r="D19" i="4"/>
  <c r="D32" i="7"/>
  <c r="F32" i="7"/>
  <c r="D10" i="50"/>
  <c r="D11" i="50"/>
  <c r="AP25" i="1"/>
  <c r="D12" i="43"/>
  <c r="D56" i="43" s="1"/>
  <c r="F12" i="43"/>
  <c r="D32" i="37"/>
  <c r="F32" i="37"/>
  <c r="L63" i="2"/>
  <c r="J63" i="2"/>
  <c r="F63" i="2"/>
  <c r="H63" i="2" s="1"/>
  <c r="AD25" i="1"/>
  <c r="D30" i="50"/>
  <c r="E30" i="50" s="1"/>
  <c r="D32" i="16"/>
  <c r="F32" i="16"/>
  <c r="F16" i="13"/>
  <c r="D16" i="13"/>
  <c r="F23" i="4"/>
  <c r="D23" i="4"/>
  <c r="F32" i="49"/>
  <c r="D32" i="49"/>
  <c r="F19" i="10"/>
  <c r="D19" i="10"/>
  <c r="F20" i="37"/>
  <c r="D20" i="37"/>
  <c r="F25" i="43"/>
  <c r="D25" i="43"/>
  <c r="F19" i="49"/>
  <c r="D19" i="49"/>
  <c r="L35" i="2"/>
  <c r="F35" i="2"/>
  <c r="H35" i="2" s="1"/>
  <c r="J35" i="2"/>
  <c r="B118" i="59"/>
  <c r="H14" i="55"/>
  <c r="B19" i="54" s="1"/>
  <c r="D19" i="54" s="1"/>
  <c r="D101" i="25"/>
  <c r="B98" i="54"/>
  <c r="D98" i="54" s="1"/>
  <c r="I13" i="55"/>
  <c r="I18" i="42"/>
  <c r="B88" i="54"/>
  <c r="B94" i="54"/>
  <c r="B28" i="22"/>
  <c r="I18" i="21"/>
  <c r="I12" i="42"/>
  <c r="I12" i="31"/>
  <c r="B27" i="62"/>
  <c r="D27" i="62" s="1"/>
  <c r="B120" i="62"/>
  <c r="E52" i="42"/>
  <c r="D124" i="33"/>
  <c r="D122" i="33"/>
  <c r="B32" i="33"/>
  <c r="D32" i="33" s="1"/>
  <c r="B123" i="33"/>
  <c r="B171" i="33"/>
  <c r="G48" i="21"/>
  <c r="H48" i="21" s="1"/>
  <c r="G52" i="21"/>
  <c r="H52" i="21" s="1"/>
  <c r="G102" i="21"/>
  <c r="H102" i="21" s="1"/>
  <c r="I18" i="18"/>
  <c r="B98" i="25"/>
  <c r="I88" i="24"/>
  <c r="B132" i="25"/>
  <c r="B97" i="25"/>
  <c r="D101" i="54"/>
  <c r="D103" i="54"/>
  <c r="D102" i="54"/>
  <c r="D132" i="54"/>
  <c r="B97" i="54"/>
  <c r="G98" i="57"/>
  <c r="H98" i="57" s="1"/>
  <c r="B148" i="33"/>
  <c r="B119" i="33"/>
  <c r="D120" i="33"/>
  <c r="D155" i="33"/>
  <c r="B118" i="33"/>
  <c r="G100" i="21"/>
  <c r="H100" i="21" s="1"/>
  <c r="G50" i="21"/>
  <c r="H50" i="21" s="1"/>
  <c r="G106" i="21"/>
  <c r="H106" i="21" s="1"/>
  <c r="D120" i="22"/>
  <c r="B118" i="22"/>
  <c r="G95" i="21"/>
  <c r="H95" i="21" s="1"/>
  <c r="B148" i="22" s="1"/>
  <c r="B119" i="22"/>
  <c r="G106" i="18"/>
  <c r="H106" i="18" s="1"/>
  <c r="B28" i="19"/>
  <c r="D28" i="19" s="1"/>
  <c r="I23" i="18"/>
  <c r="B33" i="19"/>
  <c r="D33" i="19" s="1"/>
  <c r="B123" i="19"/>
  <c r="I131" i="18"/>
  <c r="B175" i="40"/>
  <c r="B122" i="62"/>
  <c r="B124" i="40"/>
  <c r="B103" i="40"/>
  <c r="B33" i="40"/>
  <c r="D33" i="40" s="1"/>
  <c r="B126" i="40"/>
  <c r="B37" i="40"/>
  <c r="D37" i="40" s="1"/>
  <c r="E22" i="79" s="1"/>
  <c r="B159" i="40"/>
  <c r="B118" i="40"/>
  <c r="B27" i="19"/>
  <c r="D27" i="19" s="1"/>
  <c r="B118" i="19"/>
  <c r="I12" i="18"/>
  <c r="B53" i="19"/>
  <c r="D53" i="19" s="1"/>
  <c r="G102" i="18"/>
  <c r="H102" i="18" s="1"/>
  <c r="B155" i="19"/>
  <c r="B103" i="19"/>
  <c r="B161" i="19"/>
  <c r="D161" i="19" s="1"/>
  <c r="I170" i="18"/>
  <c r="B171" i="19"/>
  <c r="D171" i="19" s="1"/>
  <c r="B119" i="19"/>
  <c r="I19" i="18"/>
  <c r="B120" i="19"/>
  <c r="G100" i="18"/>
  <c r="H100" i="18" s="1"/>
  <c r="D124" i="19"/>
  <c r="F3" i="55"/>
  <c r="F4" i="55" s="1"/>
  <c r="G2" i="55" s="1"/>
  <c r="B675" i="1"/>
  <c r="R591" i="1"/>
  <c r="B82" i="56"/>
  <c r="B50" i="56"/>
  <c r="D21" i="29"/>
  <c r="D45" i="29" s="1"/>
  <c r="B112" i="58"/>
  <c r="B88" i="61"/>
  <c r="B88" i="17"/>
  <c r="D29" i="36"/>
  <c r="F676" i="1"/>
  <c r="D676" i="1"/>
  <c r="C4" i="54"/>
  <c r="B14" i="54" s="1"/>
  <c r="D14" i="54" s="1"/>
  <c r="G73" i="39"/>
  <c r="B82" i="23"/>
  <c r="B47" i="20"/>
  <c r="F675" i="1"/>
  <c r="B29" i="37"/>
  <c r="F29" i="37" s="1"/>
  <c r="B88" i="30"/>
  <c r="B47" i="30"/>
  <c r="R661" i="1"/>
  <c r="B88" i="58"/>
  <c r="I97" i="34"/>
  <c r="B47" i="58"/>
  <c r="B47" i="17"/>
  <c r="B47" i="61"/>
  <c r="B70" i="23"/>
  <c r="B23" i="25"/>
  <c r="D23" i="25" s="1"/>
  <c r="I131" i="42"/>
  <c r="R616" i="1"/>
  <c r="H584" i="1"/>
  <c r="B39" i="20"/>
  <c r="B39" i="58"/>
  <c r="B39" i="30"/>
  <c r="B39" i="17"/>
  <c r="L66" i="2"/>
  <c r="B54" i="17"/>
  <c r="B54" i="58"/>
  <c r="B54" i="41"/>
  <c r="B54" i="20"/>
  <c r="B54" i="30"/>
  <c r="B54" i="61"/>
  <c r="B39" i="61"/>
  <c r="B39" i="41"/>
  <c r="B56" i="23"/>
  <c r="B60" i="30"/>
  <c r="B60" i="61"/>
  <c r="B56" i="56"/>
  <c r="B60" i="58"/>
  <c r="B60" i="41"/>
  <c r="B60" i="20"/>
  <c r="B60" i="17"/>
  <c r="B31" i="2"/>
  <c r="E31" i="2" s="1"/>
  <c r="L31" i="2" s="1"/>
  <c r="B18" i="25"/>
  <c r="D18" i="25" s="1"/>
  <c r="B89" i="1"/>
  <c r="B106" i="41" s="1"/>
  <c r="E106" i="41" s="1"/>
  <c r="H148" i="42"/>
  <c r="B45" i="40" s="1"/>
  <c r="H33" i="35"/>
  <c r="B48" i="36" s="1"/>
  <c r="H144" i="42"/>
  <c r="G144" i="42" s="1"/>
  <c r="B112" i="20"/>
  <c r="B112" i="61"/>
  <c r="B105" i="56"/>
  <c r="D22" i="29"/>
  <c r="D46" i="29" s="1"/>
  <c r="E48" i="57"/>
  <c r="G50" i="60"/>
  <c r="H50" i="60" s="1"/>
  <c r="G95" i="60"/>
  <c r="H95" i="60" s="1"/>
  <c r="B150" i="62" s="1"/>
  <c r="G106" i="60"/>
  <c r="H106" i="60" s="1"/>
  <c r="G52" i="60"/>
  <c r="H52" i="60" s="1"/>
  <c r="G95" i="42"/>
  <c r="H95" i="42" s="1"/>
  <c r="B152" i="40" s="1"/>
  <c r="G100" i="42"/>
  <c r="H100" i="42" s="1"/>
  <c r="E50" i="42"/>
  <c r="M452" i="1"/>
  <c r="B452" i="1" s="1"/>
  <c r="F3" i="60"/>
  <c r="F4" i="60" s="1"/>
  <c r="G2" i="60" s="1"/>
  <c r="E106" i="42"/>
  <c r="F3" i="42"/>
  <c r="F4" i="42" s="1"/>
  <c r="G2" i="42" s="1"/>
  <c r="D40" i="29"/>
  <c r="B41" i="11"/>
  <c r="E41" i="11" s="1"/>
  <c r="E95" i="31"/>
  <c r="G104" i="18"/>
  <c r="H104" i="18" s="1"/>
  <c r="G46" i="57"/>
  <c r="H46" i="57" s="1"/>
  <c r="R584" i="1"/>
  <c r="G54" i="60"/>
  <c r="H54" i="60" s="1"/>
  <c r="E50" i="35"/>
  <c r="H144" i="18"/>
  <c r="G144" i="18" s="1"/>
  <c r="I10" i="24"/>
  <c r="B42" i="20"/>
  <c r="B42" i="17"/>
  <c r="B42" i="23"/>
  <c r="B42" i="61"/>
  <c r="B42" i="56"/>
  <c r="B42" i="58"/>
  <c r="B42" i="41"/>
  <c r="B42" i="30"/>
  <c r="L33" i="35"/>
  <c r="G98" i="60"/>
  <c r="H98" i="60" s="1"/>
  <c r="D18" i="29"/>
  <c r="D42" i="29" s="1"/>
  <c r="G148" i="60"/>
  <c r="H148" i="60" s="1"/>
  <c r="B45" i="62" s="1"/>
  <c r="C6" i="62"/>
  <c r="E6" i="62" s="1"/>
  <c r="G54" i="21"/>
  <c r="H54" i="21" s="1"/>
  <c r="E39" i="50"/>
  <c r="H39" i="50" s="1"/>
  <c r="B48" i="49" s="1"/>
  <c r="H144" i="31"/>
  <c r="G144" i="31" s="1"/>
  <c r="G52" i="57"/>
  <c r="H52" i="57" s="1"/>
  <c r="E105" i="58"/>
  <c r="H105" i="58" s="1"/>
  <c r="B27" i="25"/>
  <c r="D27" i="25" s="1"/>
  <c r="E22" i="84" s="1"/>
  <c r="B17" i="25"/>
  <c r="D17" i="25" s="1"/>
  <c r="G98" i="18"/>
  <c r="H98" i="18" s="1"/>
  <c r="G50" i="57"/>
  <c r="H50" i="57" s="1"/>
  <c r="B46" i="58"/>
  <c r="B46" i="56"/>
  <c r="I18" i="24"/>
  <c r="B46" i="61"/>
  <c r="G48" i="60"/>
  <c r="H48" i="60" s="1"/>
  <c r="R614" i="1"/>
  <c r="B46" i="23"/>
  <c r="R589" i="1"/>
  <c r="G71" i="24"/>
  <c r="H71" i="24" s="1"/>
  <c r="B126" i="25" s="1"/>
  <c r="G46" i="21"/>
  <c r="H46" i="21" s="1"/>
  <c r="B672" i="1"/>
  <c r="E98" i="31"/>
  <c r="I23" i="42"/>
  <c r="B53" i="40"/>
  <c r="W335" i="1"/>
  <c r="E38" i="8"/>
  <c r="L38" i="8" s="1"/>
  <c r="F671" i="1"/>
  <c r="H589" i="1"/>
  <c r="D672" i="1"/>
  <c r="D671" i="1"/>
  <c r="F672" i="1"/>
  <c r="G95" i="57"/>
  <c r="H95" i="57" s="1"/>
  <c r="B150" i="59" s="1"/>
  <c r="R594" i="1"/>
  <c r="E30" i="26"/>
  <c r="H30" i="26" s="1"/>
  <c r="B104" i="1"/>
  <c r="G46" i="60"/>
  <c r="H46" i="60" s="1"/>
  <c r="B28" i="33"/>
  <c r="D28" i="33" s="1"/>
  <c r="B53" i="33"/>
  <c r="D53" i="33" s="1"/>
  <c r="B28" i="40"/>
  <c r="E31" i="47"/>
  <c r="L31" i="47" s="1"/>
  <c r="E105" i="17"/>
  <c r="J105" i="17" s="1"/>
  <c r="R580" i="1"/>
  <c r="G56" i="24" s="1"/>
  <c r="H56" i="24" s="1"/>
  <c r="B119" i="25" s="1"/>
  <c r="G50" i="31"/>
  <c r="H50" i="31" s="1"/>
  <c r="H594" i="1"/>
  <c r="B38" i="58"/>
  <c r="R675" i="1"/>
  <c r="H580" i="1"/>
  <c r="B32" i="40"/>
  <c r="C15" i="1"/>
  <c r="E38" i="44"/>
  <c r="L38" i="44" s="1"/>
  <c r="R666" i="1"/>
  <c r="C109" i="42" s="1"/>
  <c r="G100" i="57"/>
  <c r="H100" i="57" s="1"/>
  <c r="R671" i="1"/>
  <c r="R662" i="1"/>
  <c r="C109" i="21" s="1"/>
  <c r="G109" i="21" s="1"/>
  <c r="H109" i="21" s="1"/>
  <c r="H59" i="15"/>
  <c r="B29" i="16" s="1"/>
  <c r="C12" i="1"/>
  <c r="R669" i="1"/>
  <c r="C108" i="60" s="1"/>
  <c r="B107" i="1"/>
  <c r="B98" i="23" s="1"/>
  <c r="R678" i="1"/>
  <c r="C74" i="24" s="1"/>
  <c r="E74" i="24" s="1"/>
  <c r="R665" i="1"/>
  <c r="C108" i="88" s="1"/>
  <c r="E108" i="88" s="1"/>
  <c r="B22" i="25"/>
  <c r="D22" i="25" s="1"/>
  <c r="G104" i="57"/>
  <c r="H104" i="57" s="1"/>
  <c r="R676" i="1"/>
  <c r="B84" i="56"/>
  <c r="B38" i="20"/>
  <c r="E100" i="31"/>
  <c r="B27" i="40"/>
  <c r="J464" i="1"/>
  <c r="M464" i="1" s="1"/>
  <c r="B464" i="1" s="1"/>
  <c r="B100" i="61" s="1"/>
  <c r="E219" i="1"/>
  <c r="I170" i="42"/>
  <c r="B29" i="40"/>
  <c r="I19" i="42"/>
  <c r="G38" i="55"/>
  <c r="H38" i="55" s="1"/>
  <c r="B113" i="54" s="1"/>
  <c r="R670" i="1"/>
  <c r="C109" i="60" s="1"/>
  <c r="E109" i="60" s="1"/>
  <c r="B84" i="23"/>
  <c r="G104" i="60"/>
  <c r="H104" i="60" s="1"/>
  <c r="B31" i="40"/>
  <c r="B90" i="30"/>
  <c r="G102" i="60"/>
  <c r="H102" i="60" s="1"/>
  <c r="R672" i="1"/>
  <c r="C109" i="57" s="1"/>
  <c r="E109" i="57" s="1"/>
  <c r="R663" i="1"/>
  <c r="R677" i="1"/>
  <c r="B90" i="41"/>
  <c r="E106" i="31"/>
  <c r="B86" i="1"/>
  <c r="B90" i="20"/>
  <c r="E27" i="18"/>
  <c r="E27" i="21"/>
  <c r="G27" i="60"/>
  <c r="E27" i="57"/>
  <c r="G27" i="42"/>
  <c r="R606" i="1"/>
  <c r="G105" i="55"/>
  <c r="H105" i="55" s="1"/>
  <c r="B140" i="54" s="1"/>
  <c r="J482" i="1"/>
  <c r="M482" i="1" s="1"/>
  <c r="B72" i="20"/>
  <c r="B72" i="30"/>
  <c r="B72" i="58"/>
  <c r="B72" i="17"/>
  <c r="B72" i="41"/>
  <c r="B28" i="44"/>
  <c r="E28" i="44" s="1"/>
  <c r="J28" i="44" s="1"/>
  <c r="B72" i="61"/>
  <c r="B58" i="20"/>
  <c r="H591" i="1"/>
  <c r="B59" i="61"/>
  <c r="B21" i="26"/>
  <c r="E21" i="26" s="1"/>
  <c r="B59" i="30"/>
  <c r="B55" i="56"/>
  <c r="B59" i="58"/>
  <c r="B59" i="20"/>
  <c r="B59" i="17"/>
  <c r="B59" i="41"/>
  <c r="B29" i="46"/>
  <c r="G98" i="48"/>
  <c r="I99" i="48"/>
  <c r="B58" i="58"/>
  <c r="D294" i="1"/>
  <c r="G102" i="31"/>
  <c r="H102" i="31" s="1"/>
  <c r="B151" i="33" s="1"/>
  <c r="B29" i="43"/>
  <c r="G59" i="45"/>
  <c r="H606" i="1"/>
  <c r="B58" i="41"/>
  <c r="I105" i="12"/>
  <c r="B33" i="4"/>
  <c r="J97" i="3"/>
  <c r="I98" i="3"/>
  <c r="B29" i="7"/>
  <c r="G69" i="6"/>
  <c r="I70" i="6"/>
  <c r="B29" i="10"/>
  <c r="G63" i="9"/>
  <c r="I64" i="9"/>
  <c r="R585" i="1"/>
  <c r="B29" i="13"/>
  <c r="F29" i="13" s="1"/>
  <c r="B29" i="49"/>
  <c r="G116" i="51"/>
  <c r="I117" i="51"/>
  <c r="G58" i="15"/>
  <c r="B676" i="1"/>
  <c r="B47" i="23"/>
  <c r="G71" i="55"/>
  <c r="H71" i="55" s="1"/>
  <c r="B126" i="54" s="1"/>
  <c r="B29" i="28"/>
  <c r="G51" i="27"/>
  <c r="B27" i="33"/>
  <c r="D27" i="33" s="1"/>
  <c r="B30" i="2"/>
  <c r="B44" i="61"/>
  <c r="B44" i="41"/>
  <c r="B44" i="20"/>
  <c r="B44" i="56"/>
  <c r="B44" i="30"/>
  <c r="B17" i="14"/>
  <c r="B17" i="38"/>
  <c r="B19" i="11"/>
  <c r="B17" i="5"/>
  <c r="E17" i="5" s="1"/>
  <c r="J17" i="5" s="1"/>
  <c r="B44" i="23"/>
  <c r="B44" i="17"/>
  <c r="B17" i="26"/>
  <c r="B17" i="44"/>
  <c r="E17" i="44" s="1"/>
  <c r="B44" i="58"/>
  <c r="B18" i="8"/>
  <c r="E18" i="8" s="1"/>
  <c r="B19" i="50"/>
  <c r="B58" i="61"/>
  <c r="B58" i="17"/>
  <c r="B58" i="30"/>
  <c r="B74" i="20"/>
  <c r="B74" i="58"/>
  <c r="B74" i="17"/>
  <c r="B74" i="61"/>
  <c r="B74" i="30"/>
  <c r="B74" i="41"/>
  <c r="B49" i="56"/>
  <c r="B38" i="41"/>
  <c r="B40" i="23"/>
  <c r="B40" i="61"/>
  <c r="B40" i="58"/>
  <c r="B40" i="17"/>
  <c r="B40" i="20"/>
  <c r="B40" i="56"/>
  <c r="B40" i="41"/>
  <c r="B40" i="30"/>
  <c r="B49" i="58"/>
  <c r="B52" i="23"/>
  <c r="B49" i="61"/>
  <c r="B49" i="41"/>
  <c r="B52" i="56"/>
  <c r="B49" i="20"/>
  <c r="B49" i="17"/>
  <c r="B49" i="30"/>
  <c r="B79" i="23"/>
  <c r="B79" i="56"/>
  <c r="B85" i="30"/>
  <c r="B85" i="58"/>
  <c r="B85" i="17"/>
  <c r="B85" i="41"/>
  <c r="B85" i="61"/>
  <c r="B85" i="20"/>
  <c r="D401" i="1"/>
  <c r="B57" i="23"/>
  <c r="B61" i="58"/>
  <c r="B61" i="17"/>
  <c r="B61" i="20"/>
  <c r="B61" i="61"/>
  <c r="B61" i="41"/>
  <c r="B57" i="56"/>
  <c r="B61" i="30"/>
  <c r="F677" i="1"/>
  <c r="G105" i="24"/>
  <c r="H105" i="24" s="1"/>
  <c r="B140" i="25" s="1"/>
  <c r="B678" i="1"/>
  <c r="D678" i="1"/>
  <c r="F678" i="1"/>
  <c r="H119" i="24"/>
  <c r="I121" i="24" s="1"/>
  <c r="B677" i="1"/>
  <c r="F3" i="24"/>
  <c r="F4" i="24" s="1"/>
  <c r="D677" i="1"/>
  <c r="J488" i="1"/>
  <c r="M488" i="1" s="1"/>
  <c r="B488" i="1" s="1"/>
  <c r="B93" i="23" s="1"/>
  <c r="B15" i="5"/>
  <c r="E15" i="5" s="1"/>
  <c r="B15" i="38"/>
  <c r="E15" i="38" s="1"/>
  <c r="B17" i="11"/>
  <c r="B15" i="26"/>
  <c r="B15" i="44"/>
  <c r="B38" i="30"/>
  <c r="B16" i="8"/>
  <c r="B17" i="50"/>
  <c r="E17" i="50" s="1"/>
  <c r="L17" i="50" s="1"/>
  <c r="B28" i="2"/>
  <c r="B15" i="14"/>
  <c r="B38" i="17"/>
  <c r="D329" i="1"/>
  <c r="B55" i="30"/>
  <c r="B55" i="58"/>
  <c r="B55" i="17"/>
  <c r="B55" i="61"/>
  <c r="B55" i="20"/>
  <c r="D350" i="1"/>
  <c r="B55" i="41"/>
  <c r="B38" i="61"/>
  <c r="B90" i="61"/>
  <c r="B90" i="17"/>
  <c r="B90" i="58"/>
  <c r="R659" i="1"/>
  <c r="C108" i="18" s="1"/>
  <c r="D420" i="1"/>
  <c r="R664" i="1"/>
  <c r="C109" i="31" s="1"/>
  <c r="E109" i="31" s="1"/>
  <c r="B46" i="30"/>
  <c r="B46" i="17"/>
  <c r="R660" i="1"/>
  <c r="C109" i="18" s="1"/>
  <c r="G109" i="18" s="1"/>
  <c r="H109" i="18" s="1"/>
  <c r="H101" i="55"/>
  <c r="G101" i="55" s="1"/>
  <c r="B23" i="23"/>
  <c r="B23" i="61"/>
  <c r="B23" i="58"/>
  <c r="B23" i="41"/>
  <c r="B23" i="30"/>
  <c r="B23" i="20"/>
  <c r="B23" i="17"/>
  <c r="B23" i="56"/>
  <c r="B22" i="61"/>
  <c r="B22" i="23"/>
  <c r="B22" i="58"/>
  <c r="B22" i="41"/>
  <c r="B22" i="30"/>
  <c r="B22" i="20"/>
  <c r="B22" i="17"/>
  <c r="B22" i="56"/>
  <c r="B38" i="56"/>
  <c r="B68" i="23"/>
  <c r="B71" i="61"/>
  <c r="B68" i="56"/>
  <c r="B71" i="30"/>
  <c r="B71" i="58"/>
  <c r="B71" i="41"/>
  <c r="B71" i="20"/>
  <c r="D392" i="1"/>
  <c r="B71" i="17"/>
  <c r="B105" i="23"/>
  <c r="B112" i="41"/>
  <c r="B112" i="17"/>
  <c r="D499" i="1"/>
  <c r="C20" i="1"/>
  <c r="B18" i="54"/>
  <c r="G97" i="24"/>
  <c r="H97" i="24" s="1"/>
  <c r="Q110" i="1"/>
  <c r="G118" i="24"/>
  <c r="H118" i="24" s="1"/>
  <c r="B146" i="25" s="1"/>
  <c r="G117" i="55"/>
  <c r="H117" i="55" s="1"/>
  <c r="B145" i="54" s="1"/>
  <c r="G168" i="57"/>
  <c r="H168" i="57" s="1"/>
  <c r="B172" i="59" s="1"/>
  <c r="G141" i="60"/>
  <c r="H141" i="60" s="1"/>
  <c r="F75" i="1"/>
  <c r="Q111" i="1"/>
  <c r="G138" i="57"/>
  <c r="H138" i="57" s="1"/>
  <c r="G166" i="60"/>
  <c r="H166" i="60" s="1"/>
  <c r="B170" i="62" s="1"/>
  <c r="G140" i="57"/>
  <c r="H140" i="57" s="1"/>
  <c r="G94" i="24"/>
  <c r="H94" i="24" s="1"/>
  <c r="G118" i="55"/>
  <c r="H118" i="55" s="1"/>
  <c r="B146" i="54" s="1"/>
  <c r="G141" i="57"/>
  <c r="H141" i="57" s="1"/>
  <c r="G167" i="60"/>
  <c r="H167" i="60" s="1"/>
  <c r="B171" i="62" s="1"/>
  <c r="G98" i="24"/>
  <c r="H98" i="24" s="1"/>
  <c r="G116" i="24"/>
  <c r="H116" i="24" s="1"/>
  <c r="B144" i="25" s="1"/>
  <c r="G95" i="55"/>
  <c r="H95" i="55" s="1"/>
  <c r="G166" i="57"/>
  <c r="H166" i="57" s="1"/>
  <c r="B170" i="59" s="1"/>
  <c r="G138" i="60"/>
  <c r="H138" i="60" s="1"/>
  <c r="G168" i="60"/>
  <c r="H168" i="60" s="1"/>
  <c r="B172" i="62" s="1"/>
  <c r="G98" i="55"/>
  <c r="H98" i="55" s="1"/>
  <c r="G137" i="60"/>
  <c r="H137" i="60" s="1"/>
  <c r="G137" i="42"/>
  <c r="H137" i="42" s="1"/>
  <c r="G137" i="31"/>
  <c r="H137" i="31" s="1"/>
  <c r="G168" i="31"/>
  <c r="H168" i="31" s="1"/>
  <c r="B170" i="33" s="1"/>
  <c r="G137" i="21"/>
  <c r="H137" i="21" s="1"/>
  <c r="G138" i="42"/>
  <c r="H138" i="42" s="1"/>
  <c r="G138" i="31"/>
  <c r="H138" i="31" s="1"/>
  <c r="G138" i="21"/>
  <c r="H138" i="21" s="1"/>
  <c r="G168" i="21"/>
  <c r="H168" i="21" s="1"/>
  <c r="B170" i="22" s="1"/>
  <c r="G117" i="24"/>
  <c r="H117" i="24" s="1"/>
  <c r="B145" i="25" s="1"/>
  <c r="G116" i="55"/>
  <c r="H116" i="55" s="1"/>
  <c r="B144" i="54" s="1"/>
  <c r="G140" i="60"/>
  <c r="H140" i="60" s="1"/>
  <c r="G140" i="42"/>
  <c r="H140" i="42" s="1"/>
  <c r="G140" i="21"/>
  <c r="H140" i="21" s="1"/>
  <c r="G95" i="24"/>
  <c r="H95" i="24" s="1"/>
  <c r="G137" i="57"/>
  <c r="H137" i="57" s="1"/>
  <c r="G167" i="42"/>
  <c r="H167" i="42" s="1"/>
  <c r="Q108" i="1"/>
  <c r="G94" i="55"/>
  <c r="H94" i="55" s="1"/>
  <c r="G97" i="55"/>
  <c r="H97" i="55" s="1"/>
  <c r="G167" i="57"/>
  <c r="H167" i="57" s="1"/>
  <c r="B171" i="59" s="1"/>
  <c r="G141" i="21"/>
  <c r="H141" i="21" s="1"/>
  <c r="G167" i="21"/>
  <c r="H167" i="21" s="1"/>
  <c r="B169" i="22" s="1"/>
  <c r="G140" i="31"/>
  <c r="H140" i="31" s="1"/>
  <c r="G141" i="31"/>
  <c r="H141" i="31" s="1"/>
  <c r="G137" i="18"/>
  <c r="H137" i="18" s="1"/>
  <c r="Q109" i="1"/>
  <c r="G166" i="42"/>
  <c r="H166" i="42" s="1"/>
  <c r="G138" i="18"/>
  <c r="H138" i="18" s="1"/>
  <c r="G167" i="18"/>
  <c r="H167" i="18" s="1"/>
  <c r="B169" i="19" s="1"/>
  <c r="G168" i="42"/>
  <c r="H168" i="42" s="1"/>
  <c r="G166" i="31"/>
  <c r="H166" i="31" s="1"/>
  <c r="B168" i="33" s="1"/>
  <c r="G166" i="21"/>
  <c r="H166" i="21" s="1"/>
  <c r="B168" i="22" s="1"/>
  <c r="G140" i="18"/>
  <c r="H140" i="18" s="1"/>
  <c r="G166" i="18"/>
  <c r="H166" i="18" s="1"/>
  <c r="B168" i="19" s="1"/>
  <c r="G168" i="18"/>
  <c r="H168" i="18" s="1"/>
  <c r="B170" i="19" s="1"/>
  <c r="G141" i="42"/>
  <c r="H141" i="42" s="1"/>
  <c r="G141" i="18"/>
  <c r="H141" i="18" s="1"/>
  <c r="B26" i="29"/>
  <c r="C18" i="1"/>
  <c r="G167" i="31"/>
  <c r="H167" i="31" s="1"/>
  <c r="B169" i="33" s="1"/>
  <c r="C21" i="1"/>
  <c r="B23" i="54"/>
  <c r="D23" i="54" s="1"/>
  <c r="H144" i="21"/>
  <c r="G144" i="21" s="1"/>
  <c r="B33" i="33"/>
  <c r="D33" i="33" s="1"/>
  <c r="C14" i="1"/>
  <c r="E81" i="2"/>
  <c r="J66" i="2"/>
  <c r="B27" i="22"/>
  <c r="F23" i="47"/>
  <c r="H23" i="47" s="1"/>
  <c r="L23" i="47"/>
  <c r="J23" i="47"/>
  <c r="B37" i="33"/>
  <c r="D37" i="33" s="1"/>
  <c r="E22" i="78" s="1"/>
  <c r="I131" i="31"/>
  <c r="I10" i="55"/>
  <c r="B31" i="33"/>
  <c r="D31" i="33" s="1"/>
  <c r="I23" i="31"/>
  <c r="C13" i="1"/>
  <c r="D25" i="1"/>
  <c r="B22" i="54"/>
  <c r="D22" i="54" s="1"/>
  <c r="I170" i="31"/>
  <c r="B27" i="54"/>
  <c r="I88" i="55"/>
  <c r="B53" i="1"/>
  <c r="B52" i="1"/>
  <c r="B29" i="33"/>
  <c r="I19" i="31"/>
  <c r="B21" i="54"/>
  <c r="D21" i="54" s="1"/>
  <c r="I18" i="55"/>
  <c r="G46" i="31"/>
  <c r="H46" i="31" s="1"/>
  <c r="E46" i="31"/>
  <c r="L26" i="11"/>
  <c r="F26" i="11"/>
  <c r="H26" i="11" s="1"/>
  <c r="J26" i="11"/>
  <c r="G46" i="18"/>
  <c r="H46" i="18" s="1"/>
  <c r="E46" i="18"/>
  <c r="G48" i="18"/>
  <c r="H48" i="18" s="1"/>
  <c r="E48" i="18"/>
  <c r="F35" i="11"/>
  <c r="H35" i="11" s="1"/>
  <c r="L35" i="11"/>
  <c r="J35" i="11"/>
  <c r="E43" i="31"/>
  <c r="G43" i="31"/>
  <c r="H43" i="31" s="1"/>
  <c r="B134" i="33" s="1"/>
  <c r="E43" i="18"/>
  <c r="G43" i="18"/>
  <c r="H43" i="18" s="1"/>
  <c r="B134" i="19" s="1"/>
  <c r="B23" i="59"/>
  <c r="H224" i="1"/>
  <c r="D14" i="59"/>
  <c r="B14" i="59"/>
  <c r="F64" i="59"/>
  <c r="F29" i="59"/>
  <c r="F69" i="59"/>
  <c r="F31" i="59"/>
  <c r="C6" i="33"/>
  <c r="E6" i="33" s="1"/>
  <c r="D15" i="29"/>
  <c r="D39" i="29" s="1"/>
  <c r="E195" i="1"/>
  <c r="H195" i="1"/>
  <c r="B663" i="1" s="1"/>
  <c r="F3" i="31"/>
  <c r="G148" i="31"/>
  <c r="H148" i="31" s="1"/>
  <c r="B163" i="33" s="1"/>
  <c r="D163" i="33" s="1"/>
  <c r="J446" i="1"/>
  <c r="M446" i="1" s="1"/>
  <c r="B446" i="1" s="1"/>
  <c r="B100" i="30" s="1"/>
  <c r="G424" i="1"/>
  <c r="H70" i="75" s="1"/>
  <c r="G423" i="1"/>
  <c r="H69" i="75" s="1"/>
  <c r="G425" i="1"/>
  <c r="H71" i="75" s="1"/>
  <c r="C6" i="19"/>
  <c r="J434" i="1"/>
  <c r="M434" i="1" s="1"/>
  <c r="D13" i="29"/>
  <c r="H179" i="1"/>
  <c r="G148" i="18"/>
  <c r="H148" i="18" s="1"/>
  <c r="B45" i="19" s="1"/>
  <c r="F3" i="18"/>
  <c r="F3" i="3"/>
  <c r="I92" i="1"/>
  <c r="I93" i="1" s="1"/>
  <c r="F38" i="1"/>
  <c r="H192" i="1"/>
  <c r="F24" i="5"/>
  <c r="H24" i="5" s="1"/>
  <c r="J24" i="5"/>
  <c r="L24" i="5"/>
  <c r="G54" i="31"/>
  <c r="H54" i="31" s="1"/>
  <c r="E54" i="31"/>
  <c r="G54" i="18"/>
  <c r="H54" i="18" s="1"/>
  <c r="E54" i="18"/>
  <c r="B52" i="4"/>
  <c r="G48" i="31"/>
  <c r="H48" i="31" s="1"/>
  <c r="E48" i="31"/>
  <c r="F22" i="35"/>
  <c r="H22" i="35" s="1"/>
  <c r="L22" i="35"/>
  <c r="J22" i="35"/>
  <c r="G52" i="31"/>
  <c r="H52" i="31" s="1"/>
  <c r="E52" i="31"/>
  <c r="E228" i="1"/>
  <c r="C99" i="59" s="1"/>
  <c r="H228" i="1"/>
  <c r="E99" i="59" s="1"/>
  <c r="J227" i="1"/>
  <c r="G52" i="18"/>
  <c r="H52" i="18" s="1"/>
  <c r="E52" i="18"/>
  <c r="H108" i="91" l="1"/>
  <c r="C40" i="88"/>
  <c r="G80" i="55"/>
  <c r="H80" i="55" s="1"/>
  <c r="E80" i="55"/>
  <c r="G83" i="55"/>
  <c r="H83" i="55" s="1"/>
  <c r="E99" i="22"/>
  <c r="L117" i="21"/>
  <c r="L65" i="21"/>
  <c r="L70" i="21"/>
  <c r="L122" i="21"/>
  <c r="H106" i="58"/>
  <c r="M110" i="91"/>
  <c r="E100" i="58"/>
  <c r="L100" i="58" s="1"/>
  <c r="C36" i="88"/>
  <c r="E36" i="88" s="1"/>
  <c r="C30" i="92"/>
  <c r="C92" i="88"/>
  <c r="E92" i="88" s="1"/>
  <c r="C69" i="92"/>
  <c r="C28" i="88"/>
  <c r="E28" i="88" s="1"/>
  <c r="C22" i="92"/>
  <c r="C39" i="88"/>
  <c r="E39" i="88" s="1"/>
  <c r="C33" i="92"/>
  <c r="C91" i="88"/>
  <c r="E91" i="88" s="1"/>
  <c r="C67" i="92"/>
  <c r="E35" i="92"/>
  <c r="G35" i="92"/>
  <c r="H35" i="92" s="1"/>
  <c r="C29" i="88"/>
  <c r="G29" i="88" s="1"/>
  <c r="H29" i="88" s="1"/>
  <c r="B131" i="85" s="1"/>
  <c r="D131" i="85" s="1"/>
  <c r="C23" i="92"/>
  <c r="E20" i="92"/>
  <c r="G20" i="92"/>
  <c r="H20" i="92" s="1"/>
  <c r="B105" i="89" s="1"/>
  <c r="C88" i="88"/>
  <c r="E88" i="88" s="1"/>
  <c r="C64" i="92"/>
  <c r="C34" i="88"/>
  <c r="E34" i="88" s="1"/>
  <c r="C25" i="92"/>
  <c r="E101" i="58"/>
  <c r="F101" i="58" s="1"/>
  <c r="H101" i="58" s="1"/>
  <c r="E102" i="58"/>
  <c r="F102" i="58" s="1"/>
  <c r="H102" i="58" s="1"/>
  <c r="B42" i="54"/>
  <c r="F42" i="54" s="1"/>
  <c r="B147" i="54"/>
  <c r="D147" i="54" s="1"/>
  <c r="J106" i="58"/>
  <c r="D32" i="59"/>
  <c r="F118" i="54"/>
  <c r="M70" i="91"/>
  <c r="M108" i="91"/>
  <c r="C81" i="24"/>
  <c r="G81" i="24" s="1"/>
  <c r="H81" i="24" s="1"/>
  <c r="E80" i="24"/>
  <c r="M69" i="91"/>
  <c r="D146" i="89"/>
  <c r="F146" i="89"/>
  <c r="H146" i="89"/>
  <c r="D694" i="1"/>
  <c r="F694" i="1"/>
  <c r="B694" i="1"/>
  <c r="B61" i="29"/>
  <c r="E77" i="92"/>
  <c r="C78" i="92"/>
  <c r="L104" i="91"/>
  <c r="J104" i="91"/>
  <c r="F104" i="91"/>
  <c r="H104" i="91" s="1"/>
  <c r="F105" i="91"/>
  <c r="H105" i="91" s="1"/>
  <c r="J105" i="91"/>
  <c r="L105" i="91"/>
  <c r="M71" i="91"/>
  <c r="F35" i="89"/>
  <c r="D35" i="89"/>
  <c r="E31" i="90" s="1"/>
  <c r="H35" i="89"/>
  <c r="F47" i="36"/>
  <c r="B101" i="29"/>
  <c r="B99" i="58"/>
  <c r="E99" i="58" s="1"/>
  <c r="E102" i="91"/>
  <c r="B142" i="89"/>
  <c r="B31" i="89"/>
  <c r="B62" i="29"/>
  <c r="D34" i="89"/>
  <c r="E30" i="90" s="1"/>
  <c r="F34" i="89"/>
  <c r="H34" i="89"/>
  <c r="B57" i="29"/>
  <c r="F57" i="29" s="1"/>
  <c r="L109" i="91"/>
  <c r="E129" i="91"/>
  <c r="J109" i="91"/>
  <c r="H109" i="91"/>
  <c r="D145" i="89"/>
  <c r="F145" i="89"/>
  <c r="H145" i="89"/>
  <c r="B98" i="58"/>
  <c r="E98" i="58" s="1"/>
  <c r="E101" i="91"/>
  <c r="B147" i="89"/>
  <c r="B36" i="89"/>
  <c r="F17" i="4"/>
  <c r="B150" i="89"/>
  <c r="B39" i="89"/>
  <c r="L103" i="91"/>
  <c r="F103" i="91"/>
  <c r="H103" i="91" s="1"/>
  <c r="J103" i="91"/>
  <c r="D29" i="4"/>
  <c r="B151" i="89"/>
  <c r="B40" i="89"/>
  <c r="B152" i="89"/>
  <c r="B41" i="89"/>
  <c r="D43" i="19"/>
  <c r="E30" i="76" s="1"/>
  <c r="B97" i="58"/>
  <c r="E97" i="58" s="1"/>
  <c r="F97" i="58" s="1"/>
  <c r="H97" i="58" s="1"/>
  <c r="E100" i="91"/>
  <c r="B143" i="89"/>
  <c r="B32" i="89"/>
  <c r="B56" i="29"/>
  <c r="F56" i="29" s="1"/>
  <c r="F63" i="29"/>
  <c r="D27" i="4"/>
  <c r="F64" i="29"/>
  <c r="F60" i="29"/>
  <c r="F65" i="29"/>
  <c r="D105" i="22"/>
  <c r="I99" i="92"/>
  <c r="B31" i="49"/>
  <c r="I96" i="92"/>
  <c r="I109" i="92"/>
  <c r="I103" i="92"/>
  <c r="C76" i="55"/>
  <c r="C77" i="55" s="1"/>
  <c r="C74" i="55"/>
  <c r="G74" i="55" s="1"/>
  <c r="H74" i="55" s="1"/>
  <c r="G85" i="92"/>
  <c r="H85" i="92" s="1"/>
  <c r="G51" i="92"/>
  <c r="H51" i="92" s="1"/>
  <c r="F4" i="92"/>
  <c r="G2" i="92" s="1"/>
  <c r="G74" i="92"/>
  <c r="H74" i="92" s="1"/>
  <c r="E122" i="57"/>
  <c r="G48" i="92"/>
  <c r="H48" i="92" s="1"/>
  <c r="C161" i="88"/>
  <c r="E161" i="88" s="1"/>
  <c r="C112" i="92"/>
  <c r="E112" i="92" s="1"/>
  <c r="I119" i="92"/>
  <c r="C163" i="88"/>
  <c r="E163" i="88" s="1"/>
  <c r="C114" i="92"/>
  <c r="E114" i="92" s="1"/>
  <c r="C162" i="88"/>
  <c r="E162" i="88" s="1"/>
  <c r="C113" i="92"/>
  <c r="E113" i="92" s="1"/>
  <c r="C160" i="88"/>
  <c r="E160" i="88" s="1"/>
  <c r="C111" i="92"/>
  <c r="E111" i="92" s="1"/>
  <c r="B93" i="92"/>
  <c r="G93" i="92"/>
  <c r="G82" i="92"/>
  <c r="H82" i="92" s="1"/>
  <c r="E83" i="24"/>
  <c r="G83" i="24"/>
  <c r="H83" i="24" s="1"/>
  <c r="C48" i="24"/>
  <c r="G48" i="24" s="1"/>
  <c r="H48" i="24" s="1"/>
  <c r="E32" i="8"/>
  <c r="L32" i="8" s="1"/>
  <c r="E4" i="25"/>
  <c r="D11" i="25" s="1"/>
  <c r="B14" i="25"/>
  <c r="F14" i="25" s="1"/>
  <c r="B147" i="25"/>
  <c r="F147" i="25" s="1"/>
  <c r="I105" i="24"/>
  <c r="E47" i="24"/>
  <c r="I148" i="18"/>
  <c r="I105" i="55"/>
  <c r="I148" i="60"/>
  <c r="I148" i="88"/>
  <c r="I148" i="42"/>
  <c r="I148" i="31"/>
  <c r="I148" i="21"/>
  <c r="M106" i="87"/>
  <c r="C26" i="88"/>
  <c r="C26" i="57"/>
  <c r="C26" i="60"/>
  <c r="C21" i="55"/>
  <c r="C26" i="21"/>
  <c r="C26" i="18"/>
  <c r="C26" i="42"/>
  <c r="C21" i="24"/>
  <c r="C26" i="31"/>
  <c r="E40" i="88"/>
  <c r="G40" i="88"/>
  <c r="H40" i="88" s="1"/>
  <c r="F124" i="33"/>
  <c r="L116" i="57"/>
  <c r="L64" i="57"/>
  <c r="L69" i="57"/>
  <c r="L121" i="57"/>
  <c r="G50" i="24"/>
  <c r="H50" i="24" s="1"/>
  <c r="E50" i="24"/>
  <c r="L65" i="57"/>
  <c r="L122" i="57"/>
  <c r="L70" i="57"/>
  <c r="L117" i="57"/>
  <c r="E99" i="61"/>
  <c r="J99" i="61" s="1"/>
  <c r="B167" i="40"/>
  <c r="B164" i="59"/>
  <c r="B44" i="59"/>
  <c r="E84" i="24"/>
  <c r="G84" i="24"/>
  <c r="H84" i="24" s="1"/>
  <c r="I102" i="24"/>
  <c r="B139" i="25"/>
  <c r="B34" i="25"/>
  <c r="D34" i="25" s="1"/>
  <c r="E31" i="84" s="1"/>
  <c r="E51" i="24"/>
  <c r="G51" i="24"/>
  <c r="H51" i="24" s="1"/>
  <c r="B44" i="19"/>
  <c r="B162" i="19"/>
  <c r="E48" i="55"/>
  <c r="G48" i="55"/>
  <c r="H48" i="55" s="1"/>
  <c r="B139" i="54"/>
  <c r="B34" i="54"/>
  <c r="D34" i="54" s="1"/>
  <c r="E31" i="83" s="1"/>
  <c r="E51" i="55"/>
  <c r="G51" i="55"/>
  <c r="H51" i="55" s="1"/>
  <c r="E91" i="56"/>
  <c r="F91" i="56" s="1"/>
  <c r="H91" i="56" s="1"/>
  <c r="B164" i="62"/>
  <c r="B44" i="62"/>
  <c r="B166" i="40"/>
  <c r="B44" i="40"/>
  <c r="B162" i="33"/>
  <c r="B44" i="33"/>
  <c r="B45" i="33"/>
  <c r="B141" i="54"/>
  <c r="B36" i="54"/>
  <c r="I108" i="55"/>
  <c r="B162" i="22"/>
  <c r="B44" i="22"/>
  <c r="B141" i="25"/>
  <c r="I108" i="24"/>
  <c r="B36" i="25"/>
  <c r="B47" i="62"/>
  <c r="B167" i="62"/>
  <c r="B165" i="62"/>
  <c r="F151" i="33"/>
  <c r="H151" i="33"/>
  <c r="D151" i="33"/>
  <c r="B47" i="40"/>
  <c r="B169" i="40"/>
  <c r="B47" i="85"/>
  <c r="B169" i="85"/>
  <c r="B167" i="59"/>
  <c r="B47" i="59"/>
  <c r="B45" i="85"/>
  <c r="B163" i="22"/>
  <c r="B165" i="22"/>
  <c r="B47" i="22"/>
  <c r="B165" i="33"/>
  <c r="B47" i="33"/>
  <c r="B163" i="19"/>
  <c r="E84" i="55"/>
  <c r="G84" i="55"/>
  <c r="H84" i="55" s="1"/>
  <c r="E81" i="55"/>
  <c r="G81" i="55"/>
  <c r="H81" i="55" s="1"/>
  <c r="F134" i="22"/>
  <c r="H53" i="62"/>
  <c r="F140" i="22"/>
  <c r="E6" i="19"/>
  <c r="F155" i="33"/>
  <c r="F122" i="33"/>
  <c r="B105" i="33"/>
  <c r="F120" i="33"/>
  <c r="F187" i="33"/>
  <c r="B114" i="33"/>
  <c r="H114" i="33" s="1"/>
  <c r="F171" i="33"/>
  <c r="F182" i="33"/>
  <c r="F148" i="33"/>
  <c r="D105" i="33"/>
  <c r="B106" i="33"/>
  <c r="F140" i="33"/>
  <c r="F53" i="59"/>
  <c r="F119" i="59"/>
  <c r="C71" i="18"/>
  <c r="E71" i="18" s="1"/>
  <c r="G70" i="18"/>
  <c r="H70" i="18" s="1"/>
  <c r="I158" i="31"/>
  <c r="E115" i="31"/>
  <c r="C68" i="42"/>
  <c r="E68" i="42" s="1"/>
  <c r="E67" i="42"/>
  <c r="C118" i="42"/>
  <c r="E118" i="42" s="1"/>
  <c r="E117" i="42"/>
  <c r="E74" i="42"/>
  <c r="C75" i="42"/>
  <c r="E75" i="42" s="1"/>
  <c r="C66" i="42"/>
  <c r="E66" i="42" s="1"/>
  <c r="E65" i="42"/>
  <c r="F187" i="22"/>
  <c r="B105" i="22"/>
  <c r="E72" i="42"/>
  <c r="C73" i="42"/>
  <c r="E73" i="42" s="1"/>
  <c r="C127" i="42"/>
  <c r="E127" i="42" s="1"/>
  <c r="E126" i="42"/>
  <c r="F182" i="22"/>
  <c r="C120" i="42"/>
  <c r="E120" i="42" s="1"/>
  <c r="E119" i="42"/>
  <c r="F148" i="22"/>
  <c r="F122" i="22"/>
  <c r="E63" i="31"/>
  <c r="C64" i="31"/>
  <c r="E64" i="31" s="1"/>
  <c r="E70" i="31"/>
  <c r="C71" i="31"/>
  <c r="E71" i="31" s="1"/>
  <c r="C123" i="31"/>
  <c r="E123" i="31" s="1"/>
  <c r="E122" i="31"/>
  <c r="E124" i="42"/>
  <c r="C125" i="42"/>
  <c r="E125" i="42" s="1"/>
  <c r="F108" i="59"/>
  <c r="F120" i="22"/>
  <c r="F123" i="22"/>
  <c r="F171" i="22"/>
  <c r="B155" i="85"/>
  <c r="I158" i="21"/>
  <c r="B140" i="85"/>
  <c r="I158" i="57"/>
  <c r="X131" i="1"/>
  <c r="I158" i="42"/>
  <c r="I158" i="60"/>
  <c r="I158" i="88"/>
  <c r="E63" i="21"/>
  <c r="C64" i="21"/>
  <c r="G63" i="21"/>
  <c r="H63" i="21" s="1"/>
  <c r="G115" i="60"/>
  <c r="H115" i="60" s="1"/>
  <c r="G70" i="31"/>
  <c r="H70" i="31" s="1"/>
  <c r="D122" i="59"/>
  <c r="G63" i="31"/>
  <c r="H63" i="31" s="1"/>
  <c r="G115" i="57"/>
  <c r="H115" i="57" s="1"/>
  <c r="G115" i="88"/>
  <c r="H115" i="88" s="1"/>
  <c r="G70" i="57"/>
  <c r="H70" i="57" s="1"/>
  <c r="G115" i="42"/>
  <c r="H115" i="42" s="1"/>
  <c r="G63" i="60"/>
  <c r="H63" i="60" s="1"/>
  <c r="G122" i="60"/>
  <c r="H122" i="60" s="1"/>
  <c r="G122" i="88"/>
  <c r="H122" i="88" s="1"/>
  <c r="G63" i="42"/>
  <c r="H63" i="42" s="1"/>
  <c r="G122" i="31"/>
  <c r="H122" i="31" s="1"/>
  <c r="G122" i="42"/>
  <c r="H122" i="42" s="1"/>
  <c r="G122" i="57"/>
  <c r="H122" i="57" s="1"/>
  <c r="G63" i="88"/>
  <c r="H63" i="88" s="1"/>
  <c r="G70" i="42"/>
  <c r="H70" i="42" s="1"/>
  <c r="G115" i="31"/>
  <c r="H115" i="31" s="1"/>
  <c r="G70" i="60"/>
  <c r="H70" i="60" s="1"/>
  <c r="G63" i="57"/>
  <c r="H63" i="57" s="1"/>
  <c r="E70" i="21"/>
  <c r="C71" i="21"/>
  <c r="G70" i="21"/>
  <c r="H70" i="21" s="1"/>
  <c r="G70" i="88"/>
  <c r="H70" i="88" s="1"/>
  <c r="E122" i="21"/>
  <c r="C123" i="21"/>
  <c r="G122" i="21"/>
  <c r="H122" i="21" s="1"/>
  <c r="E115" i="21"/>
  <c r="C116" i="21"/>
  <c r="G115" i="21"/>
  <c r="H115" i="21" s="1"/>
  <c r="G63" i="18"/>
  <c r="H63" i="18" s="1"/>
  <c r="C64" i="18"/>
  <c r="E63" i="18"/>
  <c r="F33" i="59"/>
  <c r="F28" i="59"/>
  <c r="B47" i="19"/>
  <c r="B165" i="19"/>
  <c r="I158" i="18"/>
  <c r="E122" i="18"/>
  <c r="C123" i="18"/>
  <c r="G122" i="18"/>
  <c r="H122" i="18" s="1"/>
  <c r="E111" i="88"/>
  <c r="C112" i="88"/>
  <c r="D105" i="19"/>
  <c r="F140" i="19"/>
  <c r="F124" i="19"/>
  <c r="B105" i="19"/>
  <c r="G115" i="18"/>
  <c r="H115" i="18" s="1"/>
  <c r="C116" i="18"/>
  <c r="E115" i="18"/>
  <c r="F118" i="19"/>
  <c r="F120" i="19"/>
  <c r="F123" i="19"/>
  <c r="F122" i="19"/>
  <c r="F187" i="19"/>
  <c r="E97" i="19"/>
  <c r="B106" i="19" s="1"/>
  <c r="B190" i="59"/>
  <c r="D190" i="59" s="1"/>
  <c r="M107" i="30"/>
  <c r="M107" i="58"/>
  <c r="M107" i="41"/>
  <c r="M100" i="56"/>
  <c r="M100" i="23"/>
  <c r="M106" i="58"/>
  <c r="E98" i="23"/>
  <c r="J98" i="23" s="1"/>
  <c r="B99" i="23"/>
  <c r="E99" i="23" s="1"/>
  <c r="M107" i="61"/>
  <c r="M107" i="87"/>
  <c r="M106" i="17"/>
  <c r="M107" i="20"/>
  <c r="M107" i="17"/>
  <c r="E98" i="56"/>
  <c r="H98" i="56" s="1"/>
  <c r="B99" i="56"/>
  <c r="E99" i="56" s="1"/>
  <c r="E105" i="61"/>
  <c r="J105" i="61" s="1"/>
  <c r="B106" i="61"/>
  <c r="E106" i="61" s="1"/>
  <c r="H106" i="41"/>
  <c r="J106" i="41"/>
  <c r="L106" i="41"/>
  <c r="E105" i="30"/>
  <c r="H105" i="30" s="1"/>
  <c r="B106" i="30"/>
  <c r="E106" i="30" s="1"/>
  <c r="D53" i="22"/>
  <c r="D28" i="22"/>
  <c r="E105" i="20"/>
  <c r="J105" i="20" s="1"/>
  <c r="B106" i="20"/>
  <c r="E106" i="20" s="1"/>
  <c r="D27" i="22"/>
  <c r="D32" i="22"/>
  <c r="D29" i="22"/>
  <c r="F141" i="62"/>
  <c r="F118" i="25"/>
  <c r="F186" i="85"/>
  <c r="F191" i="85"/>
  <c r="F120" i="85"/>
  <c r="F121" i="85"/>
  <c r="F122" i="85"/>
  <c r="F118" i="85"/>
  <c r="F126" i="85"/>
  <c r="F159" i="85"/>
  <c r="F125" i="85"/>
  <c r="F124" i="85"/>
  <c r="F175" i="85"/>
  <c r="F160" i="85"/>
  <c r="F147" i="85"/>
  <c r="F129" i="85"/>
  <c r="F134" i="85"/>
  <c r="F149" i="85"/>
  <c r="F146" i="85"/>
  <c r="F150" i="85"/>
  <c r="F152" i="85"/>
  <c r="F132" i="85"/>
  <c r="F145" i="85"/>
  <c r="F144" i="85"/>
  <c r="F148" i="85"/>
  <c r="F135" i="85"/>
  <c r="F137" i="85"/>
  <c r="F143" i="85"/>
  <c r="B106" i="59"/>
  <c r="F165" i="85"/>
  <c r="H98" i="54"/>
  <c r="B173" i="85"/>
  <c r="B51" i="85"/>
  <c r="D51" i="85" s="1"/>
  <c r="B41" i="85"/>
  <c r="D41" i="85" s="1"/>
  <c r="E28" i="86" s="1"/>
  <c r="B163" i="85"/>
  <c r="B174" i="85"/>
  <c r="B52" i="85"/>
  <c r="D52" i="85" s="1"/>
  <c r="B164" i="85"/>
  <c r="B42" i="85"/>
  <c r="D42" i="85" s="1"/>
  <c r="E29" i="86" s="1"/>
  <c r="B50" i="85"/>
  <c r="D50" i="85" s="1"/>
  <c r="B172" i="85"/>
  <c r="B14" i="85"/>
  <c r="B23" i="85"/>
  <c r="F37" i="85"/>
  <c r="F31" i="85"/>
  <c r="F64" i="85"/>
  <c r="F69" i="85"/>
  <c r="F28" i="85"/>
  <c r="F53" i="85"/>
  <c r="F32" i="85"/>
  <c r="F29" i="85"/>
  <c r="F43" i="85"/>
  <c r="F38" i="85"/>
  <c r="F33" i="85"/>
  <c r="F27" i="85"/>
  <c r="B105" i="85"/>
  <c r="B114" i="85"/>
  <c r="E21" i="2"/>
  <c r="F21" i="2" s="1"/>
  <c r="E97" i="87"/>
  <c r="J97" i="87" s="1"/>
  <c r="I168" i="88"/>
  <c r="D12" i="28"/>
  <c r="D56" i="28" s="1"/>
  <c r="E101" i="41"/>
  <c r="L101" i="41" s="1"/>
  <c r="I141" i="88"/>
  <c r="F16" i="5"/>
  <c r="I138" i="88"/>
  <c r="B173" i="40"/>
  <c r="F173" i="40" s="1"/>
  <c r="F107" i="85"/>
  <c r="H107" i="85" s="1"/>
  <c r="B100" i="41"/>
  <c r="E100" i="41" s="1"/>
  <c r="E100" i="87"/>
  <c r="F4" i="88"/>
  <c r="G2" i="88" s="1"/>
  <c r="B174" i="40"/>
  <c r="D174" i="40" s="1"/>
  <c r="J16" i="5"/>
  <c r="E102" i="41"/>
  <c r="J102" i="41" s="1"/>
  <c r="B99" i="41"/>
  <c r="E99" i="41" s="1"/>
  <c r="E99" i="87"/>
  <c r="E105" i="41"/>
  <c r="L105" i="41" s="1"/>
  <c r="E105" i="87"/>
  <c r="B98" i="41"/>
  <c r="E98" i="41" s="1"/>
  <c r="E98" i="87"/>
  <c r="D14" i="85"/>
  <c r="E102" i="87"/>
  <c r="G135" i="88"/>
  <c r="H135" i="88" s="1"/>
  <c r="I133" i="42"/>
  <c r="D105" i="85"/>
  <c r="E101" i="87"/>
  <c r="B172" i="40"/>
  <c r="F172" i="40" s="1"/>
  <c r="G108" i="88"/>
  <c r="H108" i="88" s="1"/>
  <c r="C8" i="85"/>
  <c r="G150" i="88"/>
  <c r="H150" i="88" s="1"/>
  <c r="G151" i="88"/>
  <c r="H151" i="88" s="1"/>
  <c r="G152" i="88"/>
  <c r="H152" i="88" s="1"/>
  <c r="G153" i="88"/>
  <c r="H153" i="88" s="1"/>
  <c r="I145" i="88"/>
  <c r="G109" i="42"/>
  <c r="H109" i="42" s="1"/>
  <c r="C109" i="88"/>
  <c r="E109" i="88" s="1"/>
  <c r="C111" i="42"/>
  <c r="J121" i="40"/>
  <c r="L121" i="85"/>
  <c r="J121" i="85"/>
  <c r="E32" i="5"/>
  <c r="J32" i="5" s="1"/>
  <c r="E41" i="8"/>
  <c r="L41" i="8" s="1"/>
  <c r="E98" i="30"/>
  <c r="F98" i="30" s="1"/>
  <c r="H98" i="30" s="1"/>
  <c r="E98" i="20"/>
  <c r="E99" i="20"/>
  <c r="J99" i="20" s="1"/>
  <c r="E92" i="23"/>
  <c r="E26" i="35"/>
  <c r="J26" i="35" s="1"/>
  <c r="E99" i="30"/>
  <c r="E92" i="56"/>
  <c r="E98" i="61"/>
  <c r="E99" i="17"/>
  <c r="L99" i="17" s="1"/>
  <c r="E91" i="23"/>
  <c r="E98" i="17"/>
  <c r="E101" i="17"/>
  <c r="F101" i="17" s="1"/>
  <c r="H101" i="17" s="1"/>
  <c r="E28" i="26"/>
  <c r="L28" i="26" s="1"/>
  <c r="E39" i="11"/>
  <c r="J39" i="11" s="1"/>
  <c r="E102" i="17"/>
  <c r="F102" i="17" s="1"/>
  <c r="H102" i="17" s="1"/>
  <c r="B482" i="1"/>
  <c r="B93" i="56" s="1"/>
  <c r="E93" i="56" s="1"/>
  <c r="L93" i="56" s="1"/>
  <c r="M61" i="3"/>
  <c r="K85" i="3"/>
  <c r="D173" i="59"/>
  <c r="F157" i="59"/>
  <c r="M60" i="3"/>
  <c r="M22" i="8"/>
  <c r="E37" i="50"/>
  <c r="J37" i="50" s="1"/>
  <c r="E33" i="8"/>
  <c r="F33" i="8" s="1"/>
  <c r="H33" i="8" s="1"/>
  <c r="B38" i="40"/>
  <c r="D38" i="40" s="1"/>
  <c r="E23" i="79" s="1"/>
  <c r="E29" i="47"/>
  <c r="J29" i="47" s="1"/>
  <c r="E36" i="50"/>
  <c r="F36" i="50" s="1"/>
  <c r="H36" i="50" s="1"/>
  <c r="E27" i="35"/>
  <c r="J27" i="35" s="1"/>
  <c r="F94" i="56"/>
  <c r="H94" i="56" s="1"/>
  <c r="F47" i="56"/>
  <c r="H47" i="56" s="1"/>
  <c r="F100" i="58"/>
  <c r="H100" i="58" s="1"/>
  <c r="F101" i="30"/>
  <c r="H101" i="30" s="1"/>
  <c r="F102" i="30"/>
  <c r="H102" i="30" s="1"/>
  <c r="F102" i="20"/>
  <c r="H102" i="20" s="1"/>
  <c r="F101" i="20"/>
  <c r="H101" i="20" s="1"/>
  <c r="B114" i="59"/>
  <c r="H114" i="59" s="1"/>
  <c r="E45" i="38"/>
  <c r="J45" i="38" s="1"/>
  <c r="F107" i="33"/>
  <c r="H107" i="33" s="1"/>
  <c r="E41" i="5"/>
  <c r="F41" i="5" s="1"/>
  <c r="H41" i="5" s="1"/>
  <c r="B49" i="7" s="1"/>
  <c r="E31" i="44"/>
  <c r="L31" i="44" s="1"/>
  <c r="E57" i="2"/>
  <c r="J57" i="2" s="1"/>
  <c r="E56" i="2"/>
  <c r="J56" i="2" s="1"/>
  <c r="F12" i="7"/>
  <c r="F56" i="7" s="1"/>
  <c r="F53" i="54"/>
  <c r="E4" i="54"/>
  <c r="H14" i="54" s="1"/>
  <c r="F37" i="22"/>
  <c r="E6" i="22"/>
  <c r="E38" i="11"/>
  <c r="J38" i="11" s="1"/>
  <c r="B105" i="40"/>
  <c r="F101" i="25"/>
  <c r="H118" i="25"/>
  <c r="F64" i="40"/>
  <c r="E38" i="38"/>
  <c r="L38" i="38" s="1"/>
  <c r="E90" i="23"/>
  <c r="J90" i="23" s="1"/>
  <c r="E41" i="44"/>
  <c r="F41" i="44" s="1"/>
  <c r="H41" i="44" s="1"/>
  <c r="B49" i="43" s="1"/>
  <c r="E33" i="26"/>
  <c r="F33" i="26" s="1"/>
  <c r="H33" i="26" s="1"/>
  <c r="B49" i="28" s="1"/>
  <c r="E32" i="14"/>
  <c r="L32" i="14" s="1"/>
  <c r="E37" i="38"/>
  <c r="J37" i="38" s="1"/>
  <c r="E69" i="2"/>
  <c r="L69" i="2" s="1"/>
  <c r="E44" i="11"/>
  <c r="F44" i="11" s="1"/>
  <c r="H44" i="11" s="1"/>
  <c r="B49" i="13" s="1"/>
  <c r="F49" i="13" s="1"/>
  <c r="E27" i="26"/>
  <c r="J27" i="26" s="1"/>
  <c r="E28" i="47"/>
  <c r="L28" i="47" s="1"/>
  <c r="E36" i="35"/>
  <c r="F36" i="35" s="1"/>
  <c r="H36" i="35" s="1"/>
  <c r="B49" i="36" s="1"/>
  <c r="F49" i="36" s="1"/>
  <c r="E42" i="14"/>
  <c r="J42" i="14" s="1"/>
  <c r="E34" i="47"/>
  <c r="E49" i="47" s="1"/>
  <c r="E48" i="56"/>
  <c r="J48" i="56" s="1"/>
  <c r="I90" i="24"/>
  <c r="B38" i="19"/>
  <c r="D38" i="19" s="1"/>
  <c r="E23" i="76" s="1"/>
  <c r="B156" i="19"/>
  <c r="D156" i="19" s="1"/>
  <c r="B133" i="25"/>
  <c r="D133" i="25" s="1"/>
  <c r="L101" i="61"/>
  <c r="F101" i="61"/>
  <c r="H101" i="61" s="1"/>
  <c r="L102" i="61"/>
  <c r="F102" i="61"/>
  <c r="H102" i="61" s="1"/>
  <c r="J94" i="23"/>
  <c r="F94" i="23"/>
  <c r="H94" i="23" s="1"/>
  <c r="L48" i="23"/>
  <c r="F48" i="23"/>
  <c r="H48" i="23" s="1"/>
  <c r="J49" i="23"/>
  <c r="O49" i="23" s="1"/>
  <c r="F49" i="23"/>
  <c r="H49" i="23" s="1"/>
  <c r="F95" i="23"/>
  <c r="H95" i="23" s="1"/>
  <c r="B158" i="59"/>
  <c r="D158" i="59" s="1"/>
  <c r="F95" i="56"/>
  <c r="H95" i="56" s="1"/>
  <c r="E100" i="30"/>
  <c r="L100" i="30" s="1"/>
  <c r="E100" i="20"/>
  <c r="L100" i="20" s="1"/>
  <c r="E100" i="61"/>
  <c r="B36" i="44"/>
  <c r="E36" i="44" s="1"/>
  <c r="J36" i="44" s="1"/>
  <c r="E93" i="23"/>
  <c r="C28" i="57"/>
  <c r="G28" i="57" s="1"/>
  <c r="H28" i="57" s="1"/>
  <c r="B128" i="59" s="1"/>
  <c r="C28" i="18"/>
  <c r="E28" i="18" s="1"/>
  <c r="C23" i="55"/>
  <c r="G23" i="55" s="1"/>
  <c r="H23" i="55" s="1"/>
  <c r="B106" i="54" s="1"/>
  <c r="C28" i="31"/>
  <c r="E28" i="31" s="1"/>
  <c r="C28" i="21"/>
  <c r="E28" i="21" s="1"/>
  <c r="C23" i="24"/>
  <c r="E23" i="24" s="1"/>
  <c r="C28" i="60"/>
  <c r="E28" i="60" s="1"/>
  <c r="C28" i="42"/>
  <c r="G28" i="42" s="1"/>
  <c r="H28" i="42" s="1"/>
  <c r="C22" i="39"/>
  <c r="E22" i="39" s="1"/>
  <c r="C29" i="21"/>
  <c r="E29" i="21" s="1"/>
  <c r="C29" i="57"/>
  <c r="E29" i="57" s="1"/>
  <c r="C24" i="55"/>
  <c r="E24" i="55" s="1"/>
  <c r="C29" i="18"/>
  <c r="E29" i="18" s="1"/>
  <c r="C24" i="24"/>
  <c r="G24" i="24" s="1"/>
  <c r="H24" i="24" s="1"/>
  <c r="B107" i="25" s="1"/>
  <c r="C29" i="31"/>
  <c r="G29" i="31" s="1"/>
  <c r="H29" i="31" s="1"/>
  <c r="B129" i="33" s="1"/>
  <c r="F129" i="33" s="1"/>
  <c r="C29" i="60"/>
  <c r="E29" i="60" s="1"/>
  <c r="C29" i="42"/>
  <c r="G29" i="42" s="1"/>
  <c r="H29" i="42" s="1"/>
  <c r="R615" i="1"/>
  <c r="C70" i="92" s="1"/>
  <c r="E70" i="92" s="1"/>
  <c r="C68" i="24"/>
  <c r="E68" i="24" s="1"/>
  <c r="C92" i="42"/>
  <c r="G92" i="42" s="1"/>
  <c r="H92" i="42" s="1"/>
  <c r="C92" i="60"/>
  <c r="E92" i="60" s="1"/>
  <c r="C92" i="57"/>
  <c r="E92" i="57" s="1"/>
  <c r="C92" i="18"/>
  <c r="E92" i="18" s="1"/>
  <c r="C92" i="21"/>
  <c r="G92" i="21" s="1"/>
  <c r="H92" i="21" s="1"/>
  <c r="C68" i="55"/>
  <c r="G68" i="55" s="1"/>
  <c r="H68" i="55" s="1"/>
  <c r="C92" i="31"/>
  <c r="E92" i="31" s="1"/>
  <c r="C88" i="21"/>
  <c r="C88" i="60"/>
  <c r="C88" i="57"/>
  <c r="C64" i="55"/>
  <c r="E64" i="55" s="1"/>
  <c r="C64" i="24"/>
  <c r="G64" i="24" s="1"/>
  <c r="H64" i="24" s="1"/>
  <c r="B124" i="25" s="1"/>
  <c r="F124" i="25" s="1"/>
  <c r="C88" i="18"/>
  <c r="C88" i="31"/>
  <c r="C88" i="42"/>
  <c r="C34" i="18"/>
  <c r="C34" i="31"/>
  <c r="E34" i="31" s="1"/>
  <c r="C34" i="60"/>
  <c r="G34" i="60" s="1"/>
  <c r="H34" i="60" s="1"/>
  <c r="B131" i="62" s="1"/>
  <c r="C34" i="57"/>
  <c r="E34" i="57" s="1"/>
  <c r="C34" i="42"/>
  <c r="E34" i="42" s="1"/>
  <c r="C26" i="55"/>
  <c r="C26" i="24"/>
  <c r="E26" i="24" s="1"/>
  <c r="C34" i="21"/>
  <c r="C39" i="42"/>
  <c r="C39" i="57"/>
  <c r="C34" i="24"/>
  <c r="C39" i="21"/>
  <c r="C39" i="31"/>
  <c r="C39" i="18"/>
  <c r="C39" i="60"/>
  <c r="C34" i="55"/>
  <c r="C36" i="18"/>
  <c r="C36" i="31"/>
  <c r="C36" i="57"/>
  <c r="C36" i="21"/>
  <c r="C36" i="42"/>
  <c r="C31" i="55"/>
  <c r="C31" i="24"/>
  <c r="C36" i="60"/>
  <c r="C40" i="31"/>
  <c r="C35" i="24"/>
  <c r="E35" i="24" s="1"/>
  <c r="C40" i="18"/>
  <c r="G40" i="18" s="1"/>
  <c r="H40" i="18" s="1"/>
  <c r="C40" i="21"/>
  <c r="C40" i="42"/>
  <c r="E40" i="42" s="1"/>
  <c r="C40" i="57"/>
  <c r="C35" i="55"/>
  <c r="G35" i="55" s="1"/>
  <c r="H35" i="55" s="1"/>
  <c r="C40" i="60"/>
  <c r="E40" i="60" s="1"/>
  <c r="C91" i="42"/>
  <c r="C67" i="55"/>
  <c r="C91" i="21"/>
  <c r="C91" i="18"/>
  <c r="C67" i="24"/>
  <c r="C91" i="57"/>
  <c r="C91" i="60"/>
  <c r="C91" i="31"/>
  <c r="E22" i="2"/>
  <c r="F22" i="2" s="1"/>
  <c r="C21" i="9"/>
  <c r="G21" i="9" s="1"/>
  <c r="H21" i="9" s="1"/>
  <c r="C20" i="45"/>
  <c r="E20" i="45" s="1"/>
  <c r="C18" i="27"/>
  <c r="G18" i="27" s="1"/>
  <c r="H18" i="27" s="1"/>
  <c r="G155" i="21"/>
  <c r="H155" i="21" s="1"/>
  <c r="C19" i="15"/>
  <c r="E19" i="15" s="1"/>
  <c r="F37" i="59"/>
  <c r="B38" i="59"/>
  <c r="D38" i="59" s="1"/>
  <c r="E23" i="82" s="1"/>
  <c r="F17" i="36"/>
  <c r="B133" i="54"/>
  <c r="D133" i="54" s="1"/>
  <c r="I90" i="55"/>
  <c r="E97" i="61"/>
  <c r="E17" i="8"/>
  <c r="L17" i="8" s="1"/>
  <c r="I14" i="24"/>
  <c r="I133" i="31"/>
  <c r="B38" i="33"/>
  <c r="D38" i="33" s="1"/>
  <c r="E23" i="78" s="1"/>
  <c r="B38" i="22"/>
  <c r="B19" i="25"/>
  <c r="F19" i="25" s="1"/>
  <c r="B158" i="62"/>
  <c r="D158" i="62" s="1"/>
  <c r="B156" i="22"/>
  <c r="F156" i="22" s="1"/>
  <c r="L30" i="38"/>
  <c r="I133" i="60"/>
  <c r="E16" i="44"/>
  <c r="J16" i="44" s="1"/>
  <c r="B138" i="54"/>
  <c r="D138" i="54" s="1"/>
  <c r="B33" i="54"/>
  <c r="D33" i="54" s="1"/>
  <c r="E30" i="83" s="1"/>
  <c r="I145" i="60"/>
  <c r="B165" i="40"/>
  <c r="D165" i="40" s="1"/>
  <c r="B43" i="40"/>
  <c r="D43" i="40" s="1"/>
  <c r="E30" i="79" s="1"/>
  <c r="I142" i="42"/>
  <c r="B161" i="22"/>
  <c r="H161" i="22" s="1"/>
  <c r="I142" i="21"/>
  <c r="B43" i="22"/>
  <c r="I142" i="31"/>
  <c r="B161" i="33"/>
  <c r="H161" i="33" s="1"/>
  <c r="B43" i="33"/>
  <c r="D43" i="33" s="1"/>
  <c r="E30" i="78" s="1"/>
  <c r="B163" i="62"/>
  <c r="D163" i="62" s="1"/>
  <c r="B43" i="62"/>
  <c r="D43" i="62" s="1"/>
  <c r="E30" i="81" s="1"/>
  <c r="I142" i="60"/>
  <c r="I142" i="57"/>
  <c r="B43" i="59"/>
  <c r="F43" i="59" s="1"/>
  <c r="B163" i="59"/>
  <c r="D163" i="59" s="1"/>
  <c r="B33" i="25"/>
  <c r="D33" i="25" s="1"/>
  <c r="E30" i="84" s="1"/>
  <c r="I99" i="24"/>
  <c r="B138" i="25"/>
  <c r="D138" i="25" s="1"/>
  <c r="C108" i="57"/>
  <c r="E108" i="57" s="1"/>
  <c r="C73" i="55"/>
  <c r="G73" i="55" s="1"/>
  <c r="H73" i="55" s="1"/>
  <c r="C73" i="24"/>
  <c r="G73" i="24" s="1"/>
  <c r="H73" i="24" s="1"/>
  <c r="C108" i="42"/>
  <c r="E108" i="42" s="1"/>
  <c r="C108" i="21"/>
  <c r="G108" i="21" s="1"/>
  <c r="H108" i="21" s="1"/>
  <c r="B149" i="22" s="1"/>
  <c r="C108" i="31"/>
  <c r="E108" i="31" s="1"/>
  <c r="M13" i="8"/>
  <c r="B135" i="21"/>
  <c r="B135" i="31"/>
  <c r="B92" i="55"/>
  <c r="B135" i="18"/>
  <c r="B135" i="57"/>
  <c r="B135" i="60"/>
  <c r="B135" i="42"/>
  <c r="B92" i="24"/>
  <c r="E18" i="11"/>
  <c r="F18" i="11" s="1"/>
  <c r="F33" i="22"/>
  <c r="J10" i="11"/>
  <c r="F155" i="22"/>
  <c r="E9" i="14"/>
  <c r="L9" i="14" s="1"/>
  <c r="E11" i="11"/>
  <c r="J11" i="11" s="1"/>
  <c r="F69" i="22"/>
  <c r="F124" i="22"/>
  <c r="B14" i="22"/>
  <c r="F31" i="22"/>
  <c r="F64" i="22"/>
  <c r="M28" i="38"/>
  <c r="D14" i="22"/>
  <c r="C31" i="27"/>
  <c r="E31" i="27" s="1"/>
  <c r="W338" i="1"/>
  <c r="L10" i="11"/>
  <c r="E10" i="50"/>
  <c r="F10" i="50" s="1"/>
  <c r="F17" i="16"/>
  <c r="M21" i="5"/>
  <c r="I145" i="57"/>
  <c r="E81" i="21"/>
  <c r="H617" i="1"/>
  <c r="D10" i="54"/>
  <c r="H690" i="1"/>
  <c r="F58" i="23"/>
  <c r="H58" i="23" s="1"/>
  <c r="G89" i="60"/>
  <c r="H89" i="60" s="1"/>
  <c r="B148" i="62" s="1"/>
  <c r="E22" i="55"/>
  <c r="G22" i="55"/>
  <c r="H22" i="55" s="1"/>
  <c r="H692" i="1"/>
  <c r="R617" i="1"/>
  <c r="J102" i="61"/>
  <c r="J11" i="47"/>
  <c r="H696" i="1"/>
  <c r="G22" i="24"/>
  <c r="H22" i="24" s="1"/>
  <c r="E22" i="24"/>
  <c r="J58" i="23"/>
  <c r="F12" i="37"/>
  <c r="F56" i="37" s="1"/>
  <c r="E111" i="60"/>
  <c r="G111" i="60"/>
  <c r="H698" i="1"/>
  <c r="E111" i="21"/>
  <c r="G111" i="21"/>
  <c r="H682" i="1"/>
  <c r="E37" i="60"/>
  <c r="E111" i="57"/>
  <c r="G111" i="57"/>
  <c r="E76" i="24"/>
  <c r="G76" i="24"/>
  <c r="H680" i="1"/>
  <c r="M32" i="11"/>
  <c r="G111" i="18"/>
  <c r="H111" i="18" s="1"/>
  <c r="E111" i="18"/>
  <c r="H684" i="1"/>
  <c r="E35" i="60"/>
  <c r="G33" i="57"/>
  <c r="H33" i="57" s="1"/>
  <c r="B130" i="59" s="1"/>
  <c r="D130" i="59" s="1"/>
  <c r="B76" i="82" s="1"/>
  <c r="E33" i="31"/>
  <c r="H615" i="1"/>
  <c r="C36" i="92" s="1"/>
  <c r="G111" i="31"/>
  <c r="E111" i="31"/>
  <c r="H686" i="1"/>
  <c r="D171" i="22"/>
  <c r="M22" i="11"/>
  <c r="F26" i="50"/>
  <c r="H26" i="50" s="1"/>
  <c r="B42" i="49" s="1"/>
  <c r="M21" i="8"/>
  <c r="L23" i="35"/>
  <c r="C36" i="45"/>
  <c r="G36" i="45" s="1"/>
  <c r="H36" i="45" s="1"/>
  <c r="E57" i="55"/>
  <c r="C35" i="15"/>
  <c r="E35" i="15" s="1"/>
  <c r="E81" i="60"/>
  <c r="E57" i="24"/>
  <c r="C43" i="39"/>
  <c r="E43" i="39" s="1"/>
  <c r="C39" i="9"/>
  <c r="E39" i="9" s="1"/>
  <c r="E81" i="18"/>
  <c r="E81" i="31"/>
  <c r="F17" i="10"/>
  <c r="F17" i="43"/>
  <c r="E18" i="50"/>
  <c r="L18" i="50" s="1"/>
  <c r="E16" i="38"/>
  <c r="J16" i="38" s="1"/>
  <c r="E60" i="55"/>
  <c r="L12" i="38"/>
  <c r="B670" i="1"/>
  <c r="J12" i="38"/>
  <c r="M15" i="35"/>
  <c r="F69" i="62"/>
  <c r="E9" i="44"/>
  <c r="L9" i="44" s="1"/>
  <c r="G154" i="21"/>
  <c r="H154" i="21" s="1"/>
  <c r="E8" i="22"/>
  <c r="F53" i="22"/>
  <c r="M31" i="11"/>
  <c r="E188" i="1"/>
  <c r="M20" i="35"/>
  <c r="F48" i="2"/>
  <c r="H48" i="2" s="1"/>
  <c r="F669" i="1"/>
  <c r="F29" i="22"/>
  <c r="J9" i="35"/>
  <c r="J34" i="11"/>
  <c r="L9" i="35"/>
  <c r="F34" i="11"/>
  <c r="H34" i="11" s="1"/>
  <c r="B44" i="13" s="1"/>
  <c r="J24" i="47"/>
  <c r="M20" i="5"/>
  <c r="B41" i="10"/>
  <c r="D41" i="10" s="1"/>
  <c r="L24" i="47"/>
  <c r="D12" i="36"/>
  <c r="D56" i="36" s="1"/>
  <c r="F670" i="1"/>
  <c r="F35" i="14"/>
  <c r="I24" i="13"/>
  <c r="M25" i="2"/>
  <c r="M20" i="14"/>
  <c r="J9" i="50"/>
  <c r="F9" i="50"/>
  <c r="J32" i="50"/>
  <c r="P388" i="1"/>
  <c r="D669" i="1"/>
  <c r="J48" i="23"/>
  <c r="O48" i="23" s="1"/>
  <c r="L35" i="14"/>
  <c r="D17" i="4"/>
  <c r="L32" i="50"/>
  <c r="B669" i="1"/>
  <c r="L11" i="47"/>
  <c r="E9" i="5"/>
  <c r="L9" i="5" s="1"/>
  <c r="M28" i="14"/>
  <c r="D14" i="62"/>
  <c r="L13" i="2"/>
  <c r="M23" i="50"/>
  <c r="L16" i="14"/>
  <c r="E57" i="50"/>
  <c r="J13" i="2"/>
  <c r="B23" i="22"/>
  <c r="D23" i="22" s="1"/>
  <c r="F17" i="37"/>
  <c r="B41" i="37"/>
  <c r="D41" i="37" s="1"/>
  <c r="F28" i="62"/>
  <c r="E47" i="23"/>
  <c r="D25" i="7"/>
  <c r="J30" i="38"/>
  <c r="E17" i="11"/>
  <c r="F17" i="11" s="1"/>
  <c r="L27" i="38"/>
  <c r="L14" i="50"/>
  <c r="F27" i="44"/>
  <c r="J31" i="14"/>
  <c r="J12" i="44"/>
  <c r="F29" i="4"/>
  <c r="L31" i="38"/>
  <c r="J27" i="38"/>
  <c r="F31" i="14"/>
  <c r="H31" i="14" s="1"/>
  <c r="E15" i="26"/>
  <c r="J15" i="26" s="1"/>
  <c r="F31" i="38"/>
  <c r="H31" i="38" s="1"/>
  <c r="F56" i="10"/>
  <c r="H39" i="14"/>
  <c r="B48" i="16" s="1"/>
  <c r="F48" i="16" s="1"/>
  <c r="J26" i="50"/>
  <c r="L94" i="23"/>
  <c r="J12" i="35"/>
  <c r="J27" i="44"/>
  <c r="M53" i="2"/>
  <c r="B41" i="13"/>
  <c r="D41" i="13" s="1"/>
  <c r="J18" i="13"/>
  <c r="M20" i="44"/>
  <c r="J16" i="26"/>
  <c r="F27" i="59"/>
  <c r="L32" i="44"/>
  <c r="F56" i="43"/>
  <c r="F32" i="44"/>
  <c r="H32" i="44" s="1"/>
  <c r="M30" i="11"/>
  <c r="M29" i="11"/>
  <c r="H59" i="6"/>
  <c r="G59" i="6" s="1"/>
  <c r="F32" i="62"/>
  <c r="F29" i="62"/>
  <c r="L24" i="26"/>
  <c r="F661" i="1"/>
  <c r="G3" i="21"/>
  <c r="G4" i="21" s="1"/>
  <c r="J35" i="44"/>
  <c r="M31" i="50"/>
  <c r="F53" i="62"/>
  <c r="F38" i="62"/>
  <c r="G3" i="57"/>
  <c r="G4" i="57" s="1"/>
  <c r="F662" i="1"/>
  <c r="F12" i="44"/>
  <c r="H119" i="59"/>
  <c r="F35" i="44"/>
  <c r="G37" i="57"/>
  <c r="H37" i="57" s="1"/>
  <c r="B133" i="59" s="1"/>
  <c r="D133" i="59" s="1"/>
  <c r="B78" i="82" s="1"/>
  <c r="D661" i="1"/>
  <c r="M17" i="47"/>
  <c r="G3" i="45"/>
  <c r="G4" i="45" s="1"/>
  <c r="F37" i="62"/>
  <c r="L42" i="2"/>
  <c r="F27" i="4"/>
  <c r="E17" i="26"/>
  <c r="L17" i="26" s="1"/>
  <c r="E37" i="42"/>
  <c r="M37" i="2"/>
  <c r="F32" i="22"/>
  <c r="F29" i="38"/>
  <c r="H29" i="38" s="1"/>
  <c r="F33" i="62"/>
  <c r="J42" i="2"/>
  <c r="F58" i="54"/>
  <c r="F53" i="19"/>
  <c r="B10" i="54"/>
  <c r="B14" i="62"/>
  <c r="J187" i="1"/>
  <c r="J184" i="1" s="1"/>
  <c r="E85" i="60"/>
  <c r="B662" i="1"/>
  <c r="D662" i="1"/>
  <c r="J9" i="38"/>
  <c r="F9" i="38"/>
  <c r="L9" i="38"/>
  <c r="J29" i="38"/>
  <c r="J33" i="50"/>
  <c r="E87" i="60"/>
  <c r="J101" i="61"/>
  <c r="L33" i="50"/>
  <c r="E60" i="24"/>
  <c r="E87" i="18"/>
  <c r="E87" i="21"/>
  <c r="E87" i="42"/>
  <c r="E28" i="2"/>
  <c r="J28" i="2" s="1"/>
  <c r="B155" i="40"/>
  <c r="F118" i="62"/>
  <c r="G87" i="31"/>
  <c r="H87" i="31" s="1"/>
  <c r="B146" i="33" s="1"/>
  <c r="F17" i="7"/>
  <c r="F12" i="46"/>
  <c r="F56" i="46" s="1"/>
  <c r="F21" i="35"/>
  <c r="H21" i="35" s="1"/>
  <c r="B44" i="36" s="1"/>
  <c r="F44" i="36" s="1"/>
  <c r="M21" i="47"/>
  <c r="M21" i="14"/>
  <c r="M28" i="8"/>
  <c r="F12" i="16"/>
  <c r="F56" i="16" s="1"/>
  <c r="L14" i="47"/>
  <c r="L25" i="47"/>
  <c r="L10" i="47"/>
  <c r="F14" i="50"/>
  <c r="F157" i="62"/>
  <c r="B90" i="54"/>
  <c r="F25" i="13"/>
  <c r="I87" i="48"/>
  <c r="F101" i="54"/>
  <c r="M60" i="2"/>
  <c r="H38" i="5"/>
  <c r="B48" i="7" s="1"/>
  <c r="F24" i="38"/>
  <c r="H24" i="38" s="1"/>
  <c r="B42" i="37" s="1"/>
  <c r="M20" i="38"/>
  <c r="L24" i="38"/>
  <c r="L105" i="58"/>
  <c r="B41" i="16"/>
  <c r="D41" i="16" s="1"/>
  <c r="L12" i="35"/>
  <c r="F42" i="50"/>
  <c r="H42" i="50" s="1"/>
  <c r="B49" i="49" s="1"/>
  <c r="F49" i="49" s="1"/>
  <c r="J39" i="14"/>
  <c r="F119" i="62"/>
  <c r="M37" i="14"/>
  <c r="J10" i="47"/>
  <c r="E126" i="58"/>
  <c r="L36" i="14"/>
  <c r="J105" i="58"/>
  <c r="E30" i="2"/>
  <c r="L39" i="14"/>
  <c r="D118" i="62"/>
  <c r="F120" i="62"/>
  <c r="J14" i="47"/>
  <c r="F124" i="62"/>
  <c r="J42" i="50"/>
  <c r="L48" i="2"/>
  <c r="F132" i="54"/>
  <c r="D47" i="36"/>
  <c r="I105" i="34"/>
  <c r="H88" i="48"/>
  <c r="G88" i="48" s="1"/>
  <c r="F36" i="14"/>
  <c r="H36" i="14" s="1"/>
  <c r="C38" i="15"/>
  <c r="E38" i="15" s="1"/>
  <c r="F102" i="54"/>
  <c r="B23" i="62"/>
  <c r="B35" i="4"/>
  <c r="D35" i="4" s="1"/>
  <c r="G58" i="24"/>
  <c r="H58" i="24" s="1"/>
  <c r="B121" i="25" s="1"/>
  <c r="F103" i="54"/>
  <c r="M20" i="26"/>
  <c r="I107" i="48"/>
  <c r="H94" i="12"/>
  <c r="G94" i="12" s="1"/>
  <c r="I85" i="34"/>
  <c r="J25" i="47"/>
  <c r="E17" i="14"/>
  <c r="L17" i="14" s="1"/>
  <c r="F122" i="40"/>
  <c r="F120" i="40"/>
  <c r="H157" i="59"/>
  <c r="H122" i="59"/>
  <c r="H173" i="59"/>
  <c r="I93" i="12"/>
  <c r="J24" i="44"/>
  <c r="L12" i="2"/>
  <c r="F10" i="2"/>
  <c r="E11" i="50"/>
  <c r="F11" i="50" s="1"/>
  <c r="H86" i="34"/>
  <c r="G86" i="34" s="1"/>
  <c r="M28" i="5"/>
  <c r="M19" i="35"/>
  <c r="J25" i="8"/>
  <c r="L25" i="8"/>
  <c r="F24" i="44"/>
  <c r="H24" i="44" s="1"/>
  <c r="B42" i="43" s="1"/>
  <c r="F42" i="43" s="1"/>
  <c r="F125" i="40"/>
  <c r="F17" i="49"/>
  <c r="L38" i="5"/>
  <c r="L33" i="5"/>
  <c r="E55" i="5"/>
  <c r="F33" i="5"/>
  <c r="H33" i="5" s="1"/>
  <c r="E16" i="8"/>
  <c r="L95" i="23"/>
  <c r="H118" i="59"/>
  <c r="E19" i="11"/>
  <c r="L10" i="2"/>
  <c r="J24" i="26"/>
  <c r="J95" i="23"/>
  <c r="H42" i="38"/>
  <c r="B48" i="37" s="1"/>
  <c r="F48" i="37" s="1"/>
  <c r="M22" i="50"/>
  <c r="F25" i="16"/>
  <c r="L42" i="38"/>
  <c r="H675" i="1"/>
  <c r="L46" i="2"/>
  <c r="J47" i="2"/>
  <c r="L47" i="2"/>
  <c r="J33" i="11"/>
  <c r="F46" i="2"/>
  <c r="H46" i="2" s="1"/>
  <c r="F25" i="46"/>
  <c r="D17" i="46"/>
  <c r="M38" i="2"/>
  <c r="M22" i="47"/>
  <c r="I105" i="51"/>
  <c r="I125" i="51"/>
  <c r="M36" i="2"/>
  <c r="J23" i="35"/>
  <c r="L33" i="11"/>
  <c r="J42" i="38"/>
  <c r="H47" i="2"/>
  <c r="B12" i="4"/>
  <c r="H124" i="22"/>
  <c r="E48" i="47"/>
  <c r="H155" i="22"/>
  <c r="F15" i="2"/>
  <c r="F31" i="49"/>
  <c r="F69" i="40"/>
  <c r="H120" i="22"/>
  <c r="J15" i="2"/>
  <c r="M15" i="2" s="1"/>
  <c r="E4" i="1"/>
  <c r="F4" i="1" s="1"/>
  <c r="T4" i="1" s="1"/>
  <c r="I113" i="12"/>
  <c r="M61" i="2"/>
  <c r="E15" i="44"/>
  <c r="F24" i="14"/>
  <c r="H24" i="14" s="1"/>
  <c r="B42" i="16" s="1"/>
  <c r="F42" i="16" s="1"/>
  <c r="H135" i="59"/>
  <c r="H120" i="33"/>
  <c r="I69" i="15"/>
  <c r="J16" i="14"/>
  <c r="F12" i="25"/>
  <c r="H12" i="25" s="1"/>
  <c r="F17" i="2"/>
  <c r="F135" i="59"/>
  <c r="H122" i="33"/>
  <c r="F56" i="36"/>
  <c r="M32" i="2"/>
  <c r="M21" i="38"/>
  <c r="F17" i="13"/>
  <c r="H106" i="51"/>
  <c r="G106" i="51" s="1"/>
  <c r="M39" i="2"/>
  <c r="E15" i="14"/>
  <c r="J9" i="8"/>
  <c r="E19" i="50"/>
  <c r="L19" i="50" s="1"/>
  <c r="J14" i="2"/>
  <c r="M14" i="2" s="1"/>
  <c r="M33" i="35"/>
  <c r="L27" i="14"/>
  <c r="H124" i="33"/>
  <c r="B31" i="13"/>
  <c r="D10" i="25"/>
  <c r="L9" i="8"/>
  <c r="E17" i="38"/>
  <c r="F17" i="38" s="1"/>
  <c r="F27" i="14"/>
  <c r="H155" i="33"/>
  <c r="E37" i="34"/>
  <c r="G37" i="34"/>
  <c r="H37" i="34" s="1"/>
  <c r="C30" i="12"/>
  <c r="C33" i="34"/>
  <c r="C26" i="6"/>
  <c r="E5" i="1" s="1"/>
  <c r="F5" i="1" s="1"/>
  <c r="C27" i="48"/>
  <c r="E41" i="12"/>
  <c r="G41" i="12"/>
  <c r="H41" i="12" s="1"/>
  <c r="E33" i="48"/>
  <c r="G33" i="48"/>
  <c r="H33" i="48" s="1"/>
  <c r="E44" i="31"/>
  <c r="G44" i="31"/>
  <c r="H44" i="31" s="1"/>
  <c r="B137" i="33" s="1"/>
  <c r="E20" i="12"/>
  <c r="G20" i="12"/>
  <c r="H20" i="12" s="1"/>
  <c r="E29" i="12"/>
  <c r="G29" i="12"/>
  <c r="H29" i="12" s="1"/>
  <c r="E47" i="51"/>
  <c r="G47" i="51"/>
  <c r="H47" i="51" s="1"/>
  <c r="E32" i="6"/>
  <c r="G32" i="6"/>
  <c r="H32" i="6" s="1"/>
  <c r="E44" i="18"/>
  <c r="G44" i="18"/>
  <c r="H44" i="18" s="1"/>
  <c r="B137" i="19" s="1"/>
  <c r="F137" i="19" s="1"/>
  <c r="E78" i="3"/>
  <c r="G78" i="3"/>
  <c r="H78" i="3" s="1"/>
  <c r="E20" i="51"/>
  <c r="G20" i="51"/>
  <c r="H20" i="51" s="1"/>
  <c r="M23" i="11"/>
  <c r="E35" i="42"/>
  <c r="L24" i="14"/>
  <c r="M70" i="2"/>
  <c r="I16" i="49"/>
  <c r="J16" i="49" s="1"/>
  <c r="I17" i="49"/>
  <c r="J17" i="49" s="1"/>
  <c r="I23" i="49" s="1"/>
  <c r="E32" i="34"/>
  <c r="G32" i="34"/>
  <c r="H32" i="34" s="1"/>
  <c r="E37" i="48"/>
  <c r="G37" i="48"/>
  <c r="H37" i="48" s="1"/>
  <c r="E27" i="15"/>
  <c r="G27" i="15"/>
  <c r="H27" i="15" s="1"/>
  <c r="E18" i="6"/>
  <c r="G18" i="6"/>
  <c r="H18" i="6" s="1"/>
  <c r="C36" i="48"/>
  <c r="C46" i="51"/>
  <c r="C40" i="12"/>
  <c r="E79" i="3"/>
  <c r="G79" i="3"/>
  <c r="H79" i="3" s="1"/>
  <c r="E27" i="24"/>
  <c r="B31" i="36"/>
  <c r="E28" i="12"/>
  <c r="G28" i="12"/>
  <c r="H28" i="12" s="1"/>
  <c r="E26" i="48"/>
  <c r="G26" i="48"/>
  <c r="H26" i="48" s="1"/>
  <c r="E35" i="12"/>
  <c r="G35" i="12"/>
  <c r="H35" i="12" s="1"/>
  <c r="E26" i="15"/>
  <c r="G26" i="15"/>
  <c r="H26" i="15" s="1"/>
  <c r="E21" i="12"/>
  <c r="G21" i="12"/>
  <c r="H21" i="12" s="1"/>
  <c r="F17" i="28"/>
  <c r="D17" i="28"/>
  <c r="C29" i="51"/>
  <c r="C36" i="34"/>
  <c r="M66" i="2"/>
  <c r="L9" i="2"/>
  <c r="H120" i="59"/>
  <c r="E24" i="6"/>
  <c r="G24" i="6"/>
  <c r="H24" i="6" s="1"/>
  <c r="E31" i="48"/>
  <c r="G31" i="48"/>
  <c r="H31" i="48" s="1"/>
  <c r="F25" i="10"/>
  <c r="D25" i="10"/>
  <c r="G44" i="42"/>
  <c r="H44" i="42" s="1"/>
  <c r="E44" i="42"/>
  <c r="E19" i="48"/>
  <c r="G19" i="48"/>
  <c r="H19" i="48" s="1"/>
  <c r="H80" i="39"/>
  <c r="G81" i="39"/>
  <c r="H81" i="39" s="1"/>
  <c r="I145" i="42"/>
  <c r="P259" i="1"/>
  <c r="P262" i="1" s="1"/>
  <c r="O262" i="1"/>
  <c r="E28" i="51"/>
  <c r="G28" i="51"/>
  <c r="H28" i="51" s="1"/>
  <c r="E53" i="3"/>
  <c r="G53" i="3"/>
  <c r="H53" i="3" s="1"/>
  <c r="E30" i="6"/>
  <c r="G30" i="6"/>
  <c r="H30" i="6" s="1"/>
  <c r="E44" i="57"/>
  <c r="G44" i="57"/>
  <c r="H44" i="57" s="1"/>
  <c r="B138" i="59" s="1"/>
  <c r="E21" i="51"/>
  <c r="G21" i="51"/>
  <c r="H21" i="51" s="1"/>
  <c r="H77" i="39"/>
  <c r="G78" i="39"/>
  <c r="H78" i="39" s="1"/>
  <c r="E20" i="34"/>
  <c r="G20" i="34"/>
  <c r="H20" i="34" s="1"/>
  <c r="D29" i="37"/>
  <c r="M24" i="2"/>
  <c r="E25" i="48"/>
  <c r="G25" i="48"/>
  <c r="H25" i="48" s="1"/>
  <c r="E54" i="3"/>
  <c r="G54" i="3"/>
  <c r="H54" i="3" s="1"/>
  <c r="E45" i="51"/>
  <c r="G45" i="51"/>
  <c r="H45" i="51" s="1"/>
  <c r="E44" i="21"/>
  <c r="G44" i="21"/>
  <c r="H44" i="21" s="1"/>
  <c r="B137" i="22" s="1"/>
  <c r="E21" i="34"/>
  <c r="G21" i="34"/>
  <c r="H21" i="34" s="1"/>
  <c r="L65" i="15"/>
  <c r="G65" i="15" s="1"/>
  <c r="L63" i="45"/>
  <c r="G63" i="45" s="1"/>
  <c r="L66" i="45"/>
  <c r="G66" i="45" s="1"/>
  <c r="E17" i="6"/>
  <c r="G17" i="6"/>
  <c r="H17" i="6" s="1"/>
  <c r="E30" i="51"/>
  <c r="G30" i="51"/>
  <c r="H30" i="51" s="1"/>
  <c r="E25" i="6"/>
  <c r="G25" i="6"/>
  <c r="H25" i="6" s="1"/>
  <c r="E37" i="12"/>
  <c r="G37" i="12"/>
  <c r="H37" i="12" s="1"/>
  <c r="E44" i="60"/>
  <c r="G44" i="60"/>
  <c r="H44" i="60" s="1"/>
  <c r="B138" i="62" s="1"/>
  <c r="D138" i="62" s="1"/>
  <c r="E18" i="48"/>
  <c r="G18" i="48"/>
  <c r="H18" i="48" s="1"/>
  <c r="D120" i="62"/>
  <c r="M21" i="44"/>
  <c r="F135" i="62"/>
  <c r="H148" i="22"/>
  <c r="F17" i="54"/>
  <c r="E126" i="17"/>
  <c r="M49" i="2"/>
  <c r="M27" i="5"/>
  <c r="B41" i="49"/>
  <c r="D41" i="49" s="1"/>
  <c r="F14" i="2"/>
  <c r="D56" i="49"/>
  <c r="F22" i="25"/>
  <c r="B41" i="43"/>
  <c r="D41" i="43" s="1"/>
  <c r="J29" i="2"/>
  <c r="D135" i="62"/>
  <c r="B80" i="81" s="1"/>
  <c r="F120" i="59"/>
  <c r="F118" i="59"/>
  <c r="M34" i="38"/>
  <c r="F56" i="49"/>
  <c r="B34" i="4"/>
  <c r="F12" i="13"/>
  <c r="F56" i="13" s="1"/>
  <c r="F58" i="25"/>
  <c r="L29" i="2"/>
  <c r="J12" i="2"/>
  <c r="D120" i="59"/>
  <c r="L29" i="5"/>
  <c r="F29" i="5"/>
  <c r="H29" i="5" s="1"/>
  <c r="B23" i="40"/>
  <c r="F23" i="40" s="1"/>
  <c r="D14" i="40"/>
  <c r="J21" i="35"/>
  <c r="B14" i="40"/>
  <c r="B10" i="25"/>
  <c r="F21" i="25"/>
  <c r="F53" i="25"/>
  <c r="E27" i="42"/>
  <c r="F19" i="54"/>
  <c r="F9" i="2"/>
  <c r="L17" i="2"/>
  <c r="J45" i="2"/>
  <c r="F45" i="2"/>
  <c r="H45" i="2" s="1"/>
  <c r="L105" i="17"/>
  <c r="D118" i="59"/>
  <c r="M18" i="35"/>
  <c r="F173" i="62"/>
  <c r="E27" i="31"/>
  <c r="F102" i="25"/>
  <c r="F103" i="25"/>
  <c r="M64" i="2"/>
  <c r="D123" i="19"/>
  <c r="F147" i="54"/>
  <c r="M62" i="2"/>
  <c r="B48" i="4"/>
  <c r="D48" i="4" s="1"/>
  <c r="M52" i="2"/>
  <c r="M35" i="2"/>
  <c r="B45" i="4"/>
  <c r="D16" i="4"/>
  <c r="F16" i="4"/>
  <c r="F28" i="22"/>
  <c r="F16" i="26"/>
  <c r="D31" i="37"/>
  <c r="F31" i="37"/>
  <c r="F16" i="40"/>
  <c r="H16" i="40" s="1"/>
  <c r="B114" i="22"/>
  <c r="F107" i="22"/>
  <c r="H107" i="22" s="1"/>
  <c r="B114" i="62"/>
  <c r="F107" i="62"/>
  <c r="H107" i="62" s="1"/>
  <c r="D94" i="25"/>
  <c r="F94" i="25"/>
  <c r="F184" i="62"/>
  <c r="F189" i="62"/>
  <c r="D105" i="62"/>
  <c r="F123" i="62"/>
  <c r="M20" i="47"/>
  <c r="B105" i="62"/>
  <c r="B163" i="40"/>
  <c r="F163" i="40" s="1"/>
  <c r="H187" i="22"/>
  <c r="H182" i="22"/>
  <c r="D106" i="22"/>
  <c r="H123" i="22"/>
  <c r="H122" i="22"/>
  <c r="F16" i="22"/>
  <c r="H16" i="22" s="1"/>
  <c r="H38" i="29"/>
  <c r="F16" i="62"/>
  <c r="H16" i="62" s="1"/>
  <c r="H42" i="29"/>
  <c r="H676" i="1"/>
  <c r="D106" i="33"/>
  <c r="H187" i="33"/>
  <c r="H182" i="33"/>
  <c r="H171" i="22"/>
  <c r="B90" i="25"/>
  <c r="F158" i="25"/>
  <c r="D90" i="25"/>
  <c r="F163" i="25"/>
  <c r="D90" i="54"/>
  <c r="F163" i="54"/>
  <c r="F158" i="54"/>
  <c r="H171" i="33"/>
  <c r="F16" i="19"/>
  <c r="H16" i="19" s="1"/>
  <c r="H37" i="29"/>
  <c r="B114" i="19"/>
  <c r="F12" i="54"/>
  <c r="H12" i="54" s="1"/>
  <c r="H45" i="29"/>
  <c r="D171" i="33"/>
  <c r="B106" i="22"/>
  <c r="H189" i="59"/>
  <c r="H184" i="59"/>
  <c r="D106" i="59"/>
  <c r="H123" i="59"/>
  <c r="H124" i="59"/>
  <c r="D105" i="40"/>
  <c r="B114" i="40"/>
  <c r="F191" i="40"/>
  <c r="F186" i="40"/>
  <c r="M29" i="8"/>
  <c r="B44" i="10"/>
  <c r="F44" i="10" s="1"/>
  <c r="M63" i="2"/>
  <c r="B50" i="4"/>
  <c r="D41" i="46"/>
  <c r="F41" i="46"/>
  <c r="F44" i="37"/>
  <c r="D44" i="37"/>
  <c r="L23" i="2"/>
  <c r="J23" i="2"/>
  <c r="F23" i="2"/>
  <c r="H23" i="2" s="1"/>
  <c r="F30" i="50"/>
  <c r="H30" i="50" s="1"/>
  <c r="J30" i="50"/>
  <c r="L30" i="50"/>
  <c r="F31" i="16"/>
  <c r="D31" i="16"/>
  <c r="J29" i="50"/>
  <c r="F29" i="50"/>
  <c r="H29" i="50" s="1"/>
  <c r="L29" i="50"/>
  <c r="B99" i="54"/>
  <c r="I14" i="55"/>
  <c r="F23" i="25"/>
  <c r="F18" i="25"/>
  <c r="F98" i="54"/>
  <c r="F121" i="40"/>
  <c r="D121" i="40"/>
  <c r="L121" i="40" s="1"/>
  <c r="F37" i="40"/>
  <c r="D94" i="54"/>
  <c r="F94" i="54"/>
  <c r="F23" i="54"/>
  <c r="F27" i="62"/>
  <c r="F33" i="40"/>
  <c r="H148" i="33"/>
  <c r="D148" i="33"/>
  <c r="C79" i="78" s="1"/>
  <c r="F17" i="25"/>
  <c r="G109" i="57"/>
  <c r="H109" i="57" s="1"/>
  <c r="F123" i="33"/>
  <c r="D123" i="33"/>
  <c r="H123" i="33"/>
  <c r="H134" i="22"/>
  <c r="D134" i="22"/>
  <c r="B80" i="77" s="1"/>
  <c r="B151" i="22"/>
  <c r="D140" i="25"/>
  <c r="F140" i="25"/>
  <c r="D132" i="25"/>
  <c r="F132" i="25"/>
  <c r="F98" i="25"/>
  <c r="D98" i="25"/>
  <c r="F113" i="25"/>
  <c r="F97" i="25"/>
  <c r="D97" i="25"/>
  <c r="F99" i="25"/>
  <c r="D99" i="25"/>
  <c r="D97" i="54"/>
  <c r="F97" i="54"/>
  <c r="D140" i="54"/>
  <c r="F140" i="54"/>
  <c r="I102" i="55"/>
  <c r="B137" i="54"/>
  <c r="B153" i="59"/>
  <c r="D153" i="59" s="1"/>
  <c r="B162" i="59"/>
  <c r="F162" i="59" s="1"/>
  <c r="B161" i="62"/>
  <c r="D161" i="62" s="1"/>
  <c r="B153" i="62"/>
  <c r="G3" i="42"/>
  <c r="G4" i="42" s="1"/>
  <c r="B159" i="33"/>
  <c r="D159" i="33" s="1"/>
  <c r="F118" i="33"/>
  <c r="D118" i="33"/>
  <c r="H118" i="33"/>
  <c r="I145" i="31"/>
  <c r="D156" i="33"/>
  <c r="H156" i="33"/>
  <c r="F156" i="33"/>
  <c r="H119" i="33"/>
  <c r="D119" i="33"/>
  <c r="F119" i="33"/>
  <c r="F27" i="22"/>
  <c r="D148" i="22"/>
  <c r="C80" i="77" s="1"/>
  <c r="D118" i="22"/>
  <c r="F118" i="22"/>
  <c r="H118" i="22"/>
  <c r="F119" i="22"/>
  <c r="D119" i="22"/>
  <c r="H119" i="22"/>
  <c r="F155" i="19"/>
  <c r="D120" i="19"/>
  <c r="D155" i="19"/>
  <c r="F124" i="40"/>
  <c r="D124" i="40"/>
  <c r="B136" i="54"/>
  <c r="D136" i="54" s="1"/>
  <c r="F122" i="62"/>
  <c r="D122" i="62"/>
  <c r="D159" i="40"/>
  <c r="F159" i="40"/>
  <c r="D175" i="40"/>
  <c r="F175" i="40"/>
  <c r="D118" i="40"/>
  <c r="F118" i="40"/>
  <c r="D160" i="40"/>
  <c r="F160" i="40"/>
  <c r="F126" i="40"/>
  <c r="D126" i="40"/>
  <c r="B159" i="22"/>
  <c r="D159" i="22" s="1"/>
  <c r="F171" i="19"/>
  <c r="B151" i="19"/>
  <c r="D145" i="25"/>
  <c r="F145" i="25"/>
  <c r="B137" i="25"/>
  <c r="D168" i="33"/>
  <c r="F168" i="33"/>
  <c r="H168" i="33"/>
  <c r="B160" i="33"/>
  <c r="B161" i="59"/>
  <c r="D169" i="22"/>
  <c r="F169" i="22"/>
  <c r="H169" i="22"/>
  <c r="D172" i="62"/>
  <c r="F172" i="62"/>
  <c r="D146" i="54"/>
  <c r="F146" i="54"/>
  <c r="D169" i="33"/>
  <c r="F169" i="33"/>
  <c r="H169" i="33"/>
  <c r="B160" i="22"/>
  <c r="D172" i="59"/>
  <c r="F172" i="59"/>
  <c r="H172" i="59"/>
  <c r="F161" i="19"/>
  <c r="F119" i="19"/>
  <c r="D119" i="19"/>
  <c r="D144" i="54"/>
  <c r="F144" i="54"/>
  <c r="F170" i="22"/>
  <c r="D170" i="22"/>
  <c r="H170" i="22"/>
  <c r="D171" i="59"/>
  <c r="H171" i="59"/>
  <c r="F171" i="59"/>
  <c r="B164" i="40"/>
  <c r="F170" i="59"/>
  <c r="D170" i="59"/>
  <c r="H170" i="59"/>
  <c r="B136" i="25"/>
  <c r="F145" i="54"/>
  <c r="D145" i="54"/>
  <c r="D168" i="22"/>
  <c r="F168" i="22"/>
  <c r="H168" i="22"/>
  <c r="D171" i="62"/>
  <c r="F171" i="62"/>
  <c r="B162" i="62"/>
  <c r="D170" i="33"/>
  <c r="F170" i="33"/>
  <c r="H170" i="33"/>
  <c r="F146" i="25"/>
  <c r="D146" i="25"/>
  <c r="D118" i="19"/>
  <c r="F144" i="25"/>
  <c r="D144" i="25"/>
  <c r="D170" i="62"/>
  <c r="F170" i="62"/>
  <c r="D152" i="40"/>
  <c r="F152" i="40"/>
  <c r="D134" i="33"/>
  <c r="B79" i="78" s="1"/>
  <c r="H134" i="33"/>
  <c r="F134" i="33"/>
  <c r="D126" i="25"/>
  <c r="C79" i="84" s="1"/>
  <c r="F126" i="25"/>
  <c r="D119" i="25"/>
  <c r="F119" i="25"/>
  <c r="D150" i="62"/>
  <c r="C80" i="81" s="1"/>
  <c r="F150" i="62"/>
  <c r="D126" i="54"/>
  <c r="C79" i="83" s="1"/>
  <c r="F126" i="54"/>
  <c r="D113" i="54"/>
  <c r="B79" i="83" s="1"/>
  <c r="F113" i="54"/>
  <c r="F137" i="40"/>
  <c r="D137" i="40"/>
  <c r="D150" i="59"/>
  <c r="C80" i="82" s="1"/>
  <c r="H150" i="59"/>
  <c r="F150" i="59"/>
  <c r="E109" i="18"/>
  <c r="L28" i="44"/>
  <c r="D169" i="19"/>
  <c r="F169" i="19"/>
  <c r="I145" i="18"/>
  <c r="D134" i="19"/>
  <c r="B80" i="76" s="1"/>
  <c r="F134" i="19"/>
  <c r="D170" i="19"/>
  <c r="F170" i="19"/>
  <c r="D168" i="19"/>
  <c r="F168" i="19"/>
  <c r="B160" i="19"/>
  <c r="B159" i="19"/>
  <c r="D148" i="19"/>
  <c r="C80" i="76" s="1"/>
  <c r="F148" i="19"/>
  <c r="F14" i="54"/>
  <c r="F28" i="40"/>
  <c r="D28" i="40"/>
  <c r="H31" i="47"/>
  <c r="B48" i="46" s="1"/>
  <c r="E85" i="57"/>
  <c r="E89" i="57"/>
  <c r="E56" i="50"/>
  <c r="J31" i="47"/>
  <c r="L9" i="26"/>
  <c r="C42" i="39"/>
  <c r="E42" i="39" s="1"/>
  <c r="G85" i="42"/>
  <c r="H85" i="42" s="1"/>
  <c r="J9" i="26"/>
  <c r="E58" i="55"/>
  <c r="G85" i="18"/>
  <c r="H85" i="18" s="1"/>
  <c r="B144" i="19" s="1"/>
  <c r="J31" i="2"/>
  <c r="G85" i="21"/>
  <c r="H85" i="21" s="1"/>
  <c r="B144" i="22" s="1"/>
  <c r="E89" i="42"/>
  <c r="F31" i="2"/>
  <c r="L39" i="50"/>
  <c r="J39" i="50"/>
  <c r="H105" i="17"/>
  <c r="B188" i="19" s="1"/>
  <c r="C22" i="15"/>
  <c r="E22" i="15" s="1"/>
  <c r="F28" i="25"/>
  <c r="G33" i="18"/>
  <c r="H33" i="18" s="1"/>
  <c r="B130" i="19" s="1"/>
  <c r="E33" i="60"/>
  <c r="E33" i="42"/>
  <c r="L95" i="56"/>
  <c r="E25" i="24"/>
  <c r="L41" i="11"/>
  <c r="E58" i="11"/>
  <c r="J95" i="56"/>
  <c r="C38" i="9"/>
  <c r="E38" i="9" s="1"/>
  <c r="E80" i="18"/>
  <c r="C43" i="45"/>
  <c r="E43" i="45" s="1"/>
  <c r="E109" i="21"/>
  <c r="E80" i="31"/>
  <c r="E52" i="8"/>
  <c r="C18" i="15"/>
  <c r="E18" i="15" s="1"/>
  <c r="E80" i="60"/>
  <c r="J38" i="8"/>
  <c r="C21" i="39"/>
  <c r="E21" i="39" s="1"/>
  <c r="C30" i="27"/>
  <c r="E30" i="27" s="1"/>
  <c r="E80" i="21"/>
  <c r="E55" i="44"/>
  <c r="E80" i="42"/>
  <c r="E56" i="24"/>
  <c r="C35" i="45"/>
  <c r="E35" i="45" s="1"/>
  <c r="F27" i="25"/>
  <c r="C34" i="15"/>
  <c r="E34" i="15" s="1"/>
  <c r="E80" i="57"/>
  <c r="G56" i="55"/>
  <c r="H56" i="55" s="1"/>
  <c r="B119" i="54" s="1"/>
  <c r="F31" i="62"/>
  <c r="C20" i="9"/>
  <c r="G20" i="9" s="1"/>
  <c r="E86" i="42"/>
  <c r="E97" i="41"/>
  <c r="F64" i="62"/>
  <c r="I59" i="15"/>
  <c r="C27" i="45"/>
  <c r="G3" i="60"/>
  <c r="G4" i="60" s="1"/>
  <c r="C17" i="27"/>
  <c r="E17" i="27" s="1"/>
  <c r="E47" i="26"/>
  <c r="J41" i="11"/>
  <c r="C19" i="45"/>
  <c r="G19" i="45" s="1"/>
  <c r="H19" i="45" s="1"/>
  <c r="H38" i="44"/>
  <c r="B48" i="43" s="1"/>
  <c r="D48" i="43" s="1"/>
  <c r="C23" i="27"/>
  <c r="E23" i="27" s="1"/>
  <c r="J224" i="1"/>
  <c r="E27" i="60"/>
  <c r="E49" i="56"/>
  <c r="H41" i="11"/>
  <c r="B48" i="13" s="1"/>
  <c r="F48" i="13" s="1"/>
  <c r="E109" i="42"/>
  <c r="G109" i="31"/>
  <c r="H109" i="31" s="1"/>
  <c r="J20" i="2"/>
  <c r="L20" i="2"/>
  <c r="F28" i="44"/>
  <c r="G86" i="18"/>
  <c r="H86" i="18" s="1"/>
  <c r="B145" i="19" s="1"/>
  <c r="E86" i="31"/>
  <c r="E86" i="21"/>
  <c r="C36" i="27"/>
  <c r="E36" i="27" s="1"/>
  <c r="E59" i="55"/>
  <c r="G109" i="60"/>
  <c r="H109" i="60" s="1"/>
  <c r="F41" i="7"/>
  <c r="D53" i="40"/>
  <c r="F53" i="40"/>
  <c r="H672" i="1"/>
  <c r="C57" i="57" s="1"/>
  <c r="G57" i="57" s="1"/>
  <c r="H57" i="57" s="1"/>
  <c r="G27" i="18"/>
  <c r="H27" i="18" s="1"/>
  <c r="B127" i="19" s="1"/>
  <c r="F17" i="5"/>
  <c r="G79" i="60"/>
  <c r="H79" i="60" s="1"/>
  <c r="B142" i="62" s="1"/>
  <c r="G74" i="24"/>
  <c r="H74" i="24" s="1"/>
  <c r="G27" i="57"/>
  <c r="H27" i="57" s="1"/>
  <c r="L17" i="5"/>
  <c r="F28" i="33"/>
  <c r="H671" i="1"/>
  <c r="L30" i="26"/>
  <c r="J18" i="8"/>
  <c r="F18" i="8"/>
  <c r="B48" i="28"/>
  <c r="F48" i="28" s="1"/>
  <c r="L49" i="23"/>
  <c r="J38" i="44"/>
  <c r="J30" i="26"/>
  <c r="H38" i="8"/>
  <c r="B48" i="10" s="1"/>
  <c r="F48" i="10" s="1"/>
  <c r="G27" i="21"/>
  <c r="H27" i="21" s="1"/>
  <c r="B127" i="22" s="1"/>
  <c r="F21" i="54"/>
  <c r="F27" i="33"/>
  <c r="C25" i="1"/>
  <c r="D29" i="13"/>
  <c r="H678" i="1"/>
  <c r="C41" i="24" s="1"/>
  <c r="L18" i="8"/>
  <c r="E79" i="42"/>
  <c r="F32" i="40"/>
  <c r="D27" i="40"/>
  <c r="F27" i="40"/>
  <c r="G79" i="57"/>
  <c r="H79" i="57" s="1"/>
  <c r="B142" i="59" s="1"/>
  <c r="E108" i="60"/>
  <c r="G108" i="60"/>
  <c r="H108" i="60" s="1"/>
  <c r="M23" i="47"/>
  <c r="E97" i="17"/>
  <c r="F97" i="17" s="1"/>
  <c r="E79" i="31"/>
  <c r="E220" i="1"/>
  <c r="H220" i="1"/>
  <c r="J219" i="1"/>
  <c r="J216" i="1" s="1"/>
  <c r="E79" i="18"/>
  <c r="D32" i="40"/>
  <c r="B44" i="46"/>
  <c r="D44" i="46" s="1"/>
  <c r="F31" i="40"/>
  <c r="D31" i="40"/>
  <c r="D29" i="40"/>
  <c r="F29" i="40"/>
  <c r="D29" i="10"/>
  <c r="F29" i="10"/>
  <c r="D29" i="43"/>
  <c r="F29" i="43"/>
  <c r="F29" i="49"/>
  <c r="D29" i="49"/>
  <c r="F21" i="26"/>
  <c r="L21" i="26"/>
  <c r="J21" i="26"/>
  <c r="D29" i="28"/>
  <c r="F29" i="28"/>
  <c r="D29" i="46"/>
  <c r="F29" i="46"/>
  <c r="F29" i="7"/>
  <c r="D29" i="7"/>
  <c r="E97" i="30"/>
  <c r="B35" i="54"/>
  <c r="F29" i="16"/>
  <c r="D29" i="16"/>
  <c r="D33" i="4"/>
  <c r="F33" i="4"/>
  <c r="J15" i="38"/>
  <c r="L15" i="38"/>
  <c r="F15" i="38"/>
  <c r="F15" i="5"/>
  <c r="J15" i="5"/>
  <c r="L15" i="5"/>
  <c r="J17" i="50"/>
  <c r="H677" i="1"/>
  <c r="C40" i="24" s="1"/>
  <c r="B35" i="25"/>
  <c r="F17" i="50"/>
  <c r="E90" i="56"/>
  <c r="H152" i="42"/>
  <c r="H150" i="42"/>
  <c r="H151" i="42"/>
  <c r="H153" i="42"/>
  <c r="B42" i="25"/>
  <c r="E108" i="18"/>
  <c r="G108" i="18"/>
  <c r="H108" i="18" s="1"/>
  <c r="B149" i="19" s="1"/>
  <c r="E86" i="57"/>
  <c r="G86" i="57"/>
  <c r="H86" i="57" s="1"/>
  <c r="B146" i="59" s="1"/>
  <c r="L17" i="44"/>
  <c r="F17" i="44"/>
  <c r="J17" i="44"/>
  <c r="F22" i="54"/>
  <c r="F53" i="33"/>
  <c r="G3" i="24"/>
  <c r="G2" i="24"/>
  <c r="B46" i="4"/>
  <c r="L102" i="20"/>
  <c r="J102" i="20"/>
  <c r="I145" i="21"/>
  <c r="B51" i="59"/>
  <c r="H51" i="59" s="1"/>
  <c r="I141" i="42"/>
  <c r="B42" i="40"/>
  <c r="I138" i="21"/>
  <c r="B41" i="22"/>
  <c r="I168" i="57"/>
  <c r="B50" i="59"/>
  <c r="H50" i="59" s="1"/>
  <c r="B31" i="25"/>
  <c r="I95" i="24"/>
  <c r="B40" i="54"/>
  <c r="D29" i="33"/>
  <c r="E81" i="57"/>
  <c r="G81" i="57"/>
  <c r="H81" i="57" s="1"/>
  <c r="B144" i="59" s="1"/>
  <c r="B52" i="19"/>
  <c r="B50" i="40"/>
  <c r="I168" i="42"/>
  <c r="B32" i="54"/>
  <c r="I98" i="55"/>
  <c r="I141" i="60"/>
  <c r="B42" i="62"/>
  <c r="B52" i="33"/>
  <c r="D52" i="33" s="1"/>
  <c r="I141" i="57"/>
  <c r="B42" i="59"/>
  <c r="H42" i="59" s="1"/>
  <c r="B41" i="25"/>
  <c r="J58" i="56"/>
  <c r="F58" i="56"/>
  <c r="H58" i="56" s="1"/>
  <c r="L58" i="56"/>
  <c r="M35" i="11"/>
  <c r="D28" i="54"/>
  <c r="F28" i="54"/>
  <c r="E79" i="21"/>
  <c r="G79" i="21"/>
  <c r="H79" i="21" s="1"/>
  <c r="B141" i="22" s="1"/>
  <c r="J101" i="20"/>
  <c r="L101" i="20"/>
  <c r="G35" i="60"/>
  <c r="H35" i="60" s="1"/>
  <c r="B132" i="62" s="1"/>
  <c r="L102" i="30"/>
  <c r="J102" i="30"/>
  <c r="B50" i="19"/>
  <c r="I168" i="18"/>
  <c r="C111" i="24"/>
  <c r="C111" i="55"/>
  <c r="C161" i="60"/>
  <c r="C161" i="57"/>
  <c r="C161" i="42"/>
  <c r="C161" i="31"/>
  <c r="C161" i="21"/>
  <c r="C161" i="18"/>
  <c r="B31" i="54"/>
  <c r="I95" i="55"/>
  <c r="B39" i="54"/>
  <c r="I118" i="55"/>
  <c r="B41" i="33"/>
  <c r="D41" i="33" s="1"/>
  <c r="E28" i="78" s="1"/>
  <c r="I138" i="31"/>
  <c r="B39" i="25"/>
  <c r="I118" i="24"/>
  <c r="B50" i="62"/>
  <c r="I168" i="60"/>
  <c r="C112" i="24"/>
  <c r="C162" i="57"/>
  <c r="C112" i="55"/>
  <c r="C162" i="42"/>
  <c r="C162" i="31"/>
  <c r="C162" i="21"/>
  <c r="C162" i="60"/>
  <c r="C162" i="18"/>
  <c r="J47" i="56"/>
  <c r="L47" i="56"/>
  <c r="B51" i="33"/>
  <c r="D51" i="33" s="1"/>
  <c r="I141" i="18"/>
  <c r="B42" i="19"/>
  <c r="B41" i="19"/>
  <c r="I138" i="18"/>
  <c r="C110" i="24"/>
  <c r="C110" i="55"/>
  <c r="C160" i="57"/>
  <c r="C160" i="60"/>
  <c r="C160" i="42"/>
  <c r="C160" i="31"/>
  <c r="C160" i="21"/>
  <c r="C160" i="18"/>
  <c r="B40" i="25"/>
  <c r="I138" i="42"/>
  <c r="B41" i="40"/>
  <c r="I98" i="24"/>
  <c r="B32" i="25"/>
  <c r="E85" i="31"/>
  <c r="G85" i="31"/>
  <c r="H85" i="31" s="1"/>
  <c r="B144" i="33" s="1"/>
  <c r="B50" i="22"/>
  <c r="I168" i="21"/>
  <c r="B51" i="40"/>
  <c r="B52" i="22"/>
  <c r="I138" i="60"/>
  <c r="B41" i="62"/>
  <c r="B51" i="62"/>
  <c r="C163" i="57"/>
  <c r="C113" i="24"/>
  <c r="C113" i="55"/>
  <c r="C163" i="42"/>
  <c r="C163" i="31"/>
  <c r="C163" i="21"/>
  <c r="C163" i="18"/>
  <c r="C163" i="60"/>
  <c r="D27" i="54"/>
  <c r="E22" i="83" s="1"/>
  <c r="F27" i="54"/>
  <c r="I168" i="31"/>
  <c r="B50" i="33"/>
  <c r="I141" i="31"/>
  <c r="B42" i="33"/>
  <c r="D42" i="33" s="1"/>
  <c r="E29" i="78" s="1"/>
  <c r="I138" i="57"/>
  <c r="B41" i="59"/>
  <c r="H41" i="59" s="1"/>
  <c r="G92" i="24"/>
  <c r="G92" i="55"/>
  <c r="G135" i="60"/>
  <c r="G135" i="21"/>
  <c r="G135" i="31"/>
  <c r="G135" i="57"/>
  <c r="G135" i="42"/>
  <c r="G135" i="18"/>
  <c r="D18" i="54"/>
  <c r="F18" i="54"/>
  <c r="B52" i="40"/>
  <c r="B51" i="22"/>
  <c r="B52" i="62"/>
  <c r="B41" i="54"/>
  <c r="E87" i="57"/>
  <c r="G87" i="57"/>
  <c r="H87" i="57" s="1"/>
  <c r="B147" i="59" s="1"/>
  <c r="E81" i="42"/>
  <c r="G81" i="42"/>
  <c r="H81" i="42" s="1"/>
  <c r="B97" i="20"/>
  <c r="E97" i="20" s="1"/>
  <c r="L101" i="30"/>
  <c r="J101" i="30"/>
  <c r="B51" i="19"/>
  <c r="I141" i="21"/>
  <c r="B42" i="22"/>
  <c r="B52" i="59"/>
  <c r="H52" i="59" s="1"/>
  <c r="J94" i="56"/>
  <c r="L94" i="56"/>
  <c r="B42" i="13"/>
  <c r="M26" i="11"/>
  <c r="H64" i="59"/>
  <c r="H27" i="59"/>
  <c r="H28" i="59"/>
  <c r="H37" i="59"/>
  <c r="H69" i="59"/>
  <c r="H31" i="59"/>
  <c r="D15" i="59"/>
  <c r="H29" i="59"/>
  <c r="B15" i="59"/>
  <c r="H33" i="59"/>
  <c r="C8" i="59"/>
  <c r="G151" i="57"/>
  <c r="H151" i="57" s="1"/>
  <c r="G152" i="57"/>
  <c r="H152" i="57" s="1"/>
  <c r="G153" i="57"/>
  <c r="H153" i="57" s="1"/>
  <c r="G150" i="57"/>
  <c r="H150" i="57" s="1"/>
  <c r="H53" i="59"/>
  <c r="F660" i="1"/>
  <c r="B659" i="1"/>
  <c r="D659" i="1"/>
  <c r="F659" i="1"/>
  <c r="D660" i="1"/>
  <c r="B660" i="1"/>
  <c r="D48" i="49"/>
  <c r="F48" i="49"/>
  <c r="D37" i="29"/>
  <c r="F41" i="36"/>
  <c r="D41" i="36"/>
  <c r="B42" i="10"/>
  <c r="F16" i="33"/>
  <c r="H16" i="33" s="1"/>
  <c r="H39" i="29"/>
  <c r="F4" i="18"/>
  <c r="G2" i="18" s="1"/>
  <c r="F664" i="1"/>
  <c r="D663" i="1"/>
  <c r="F663" i="1"/>
  <c r="D664" i="1"/>
  <c r="B664" i="1"/>
  <c r="H32" i="59"/>
  <c r="H23" i="59"/>
  <c r="F23" i="59"/>
  <c r="D23" i="59"/>
  <c r="F16" i="59"/>
  <c r="H16" i="59" s="1"/>
  <c r="H43" i="29"/>
  <c r="F4" i="3"/>
  <c r="G2" i="3" s="1"/>
  <c r="H27" i="60"/>
  <c r="M22" i="35"/>
  <c r="D52" i="4"/>
  <c r="F52" i="4"/>
  <c r="B42" i="7"/>
  <c r="M24" i="5"/>
  <c r="D14" i="19"/>
  <c r="B23" i="19"/>
  <c r="F43" i="19"/>
  <c r="F27" i="19"/>
  <c r="F29" i="19"/>
  <c r="F31" i="19"/>
  <c r="F32" i="19"/>
  <c r="F28" i="19"/>
  <c r="F33" i="19"/>
  <c r="F64" i="19"/>
  <c r="F37" i="19"/>
  <c r="F69" i="19"/>
  <c r="B14" i="19"/>
  <c r="E196" i="1"/>
  <c r="H196" i="1"/>
  <c r="J195" i="1"/>
  <c r="J192" i="1" s="1"/>
  <c r="H27" i="42"/>
  <c r="B70" i="59"/>
  <c r="E8" i="59"/>
  <c r="G154" i="57"/>
  <c r="H154" i="57" s="1"/>
  <c r="G155" i="57"/>
  <c r="H155" i="57" s="1"/>
  <c r="E180" i="1"/>
  <c r="H180" i="1"/>
  <c r="J179" i="1"/>
  <c r="J176" i="1" s="1"/>
  <c r="F48" i="36"/>
  <c r="D48" i="36"/>
  <c r="G3" i="55"/>
  <c r="G4" i="55" s="1"/>
  <c r="F4" i="31"/>
  <c r="G2" i="31" s="1"/>
  <c r="H27" i="31"/>
  <c r="B127" i="33" s="1"/>
  <c r="G35" i="44"/>
  <c r="G35" i="14"/>
  <c r="B23" i="33"/>
  <c r="D14" i="33"/>
  <c r="F37" i="33"/>
  <c r="F64" i="33"/>
  <c r="F29" i="33"/>
  <c r="F31" i="33"/>
  <c r="F33" i="33"/>
  <c r="F69" i="33"/>
  <c r="B14" i="33"/>
  <c r="G297" i="1"/>
  <c r="G299" i="1"/>
  <c r="H18" i="75" s="1"/>
  <c r="G298" i="1"/>
  <c r="F32" i="33"/>
  <c r="D42" i="28"/>
  <c r="F42" i="28"/>
  <c r="E23" i="83" l="1"/>
  <c r="C99" i="62"/>
  <c r="L121" i="60"/>
  <c r="L69" i="60"/>
  <c r="L116" i="60"/>
  <c r="L64" i="60"/>
  <c r="E99" i="62"/>
  <c r="L65" i="60"/>
  <c r="L117" i="60"/>
  <c r="L70" i="60"/>
  <c r="L122" i="60"/>
  <c r="E99" i="33"/>
  <c r="L65" i="31"/>
  <c r="L70" i="31"/>
  <c r="L122" i="31"/>
  <c r="L117" i="31"/>
  <c r="C99" i="33"/>
  <c r="L121" i="31"/>
  <c r="L116" i="31"/>
  <c r="L64" i="31"/>
  <c r="L69" i="31"/>
  <c r="C99" i="22"/>
  <c r="B113" i="22" s="1"/>
  <c r="H113" i="22" s="1"/>
  <c r="L121" i="21"/>
  <c r="L69" i="21"/>
  <c r="L64" i="21"/>
  <c r="L116" i="21"/>
  <c r="J100" i="58"/>
  <c r="M100" i="58" s="1"/>
  <c r="G88" i="88"/>
  <c r="H88" i="88" s="1"/>
  <c r="G36" i="88"/>
  <c r="H36" i="88" s="1"/>
  <c r="G91" i="88"/>
  <c r="H91" i="88" s="1"/>
  <c r="G34" i="88"/>
  <c r="H34" i="88" s="1"/>
  <c r="B133" i="85" s="1"/>
  <c r="D133" i="85" s="1"/>
  <c r="G92" i="88"/>
  <c r="H92" i="88" s="1"/>
  <c r="J102" i="58"/>
  <c r="L102" i="58"/>
  <c r="D42" i="54"/>
  <c r="L101" i="58"/>
  <c r="J101" i="58"/>
  <c r="G28" i="88"/>
  <c r="H28" i="88" s="1"/>
  <c r="B130" i="85" s="1"/>
  <c r="D130" i="85" s="1"/>
  <c r="E29" i="88"/>
  <c r="E22" i="92"/>
  <c r="G22" i="92"/>
  <c r="H22" i="92" s="1"/>
  <c r="B107" i="89" s="1"/>
  <c r="E33" i="92"/>
  <c r="G33" i="92"/>
  <c r="H33" i="92" s="1"/>
  <c r="B113" i="89" s="1"/>
  <c r="E23" i="92"/>
  <c r="G23" i="92"/>
  <c r="H23" i="92" s="1"/>
  <c r="B108" i="89" s="1"/>
  <c r="E25" i="92"/>
  <c r="G25" i="92"/>
  <c r="H25" i="92" s="1"/>
  <c r="B110" i="89" s="1"/>
  <c r="E69" i="92"/>
  <c r="G69" i="92"/>
  <c r="H69" i="92" s="1"/>
  <c r="G39" i="88"/>
  <c r="H39" i="88" s="1"/>
  <c r="E64" i="92"/>
  <c r="G64" i="92"/>
  <c r="H64" i="92" s="1"/>
  <c r="E67" i="92"/>
  <c r="G67" i="92"/>
  <c r="H67" i="92" s="1"/>
  <c r="B129" i="89" s="1"/>
  <c r="E30" i="92"/>
  <c r="G30" i="92"/>
  <c r="H30" i="92" s="1"/>
  <c r="F105" i="89"/>
  <c r="H105" i="89"/>
  <c r="D105" i="89"/>
  <c r="B85" i="29"/>
  <c r="F85" i="29" s="1"/>
  <c r="D57" i="29"/>
  <c r="E81" i="24"/>
  <c r="B135" i="89"/>
  <c r="F135" i="89" s="1"/>
  <c r="G160" i="88"/>
  <c r="H160" i="88" s="1"/>
  <c r="J60" i="29"/>
  <c r="N338" i="1"/>
  <c r="E76" i="55"/>
  <c r="B77" i="29"/>
  <c r="D56" i="29"/>
  <c r="M104" i="91"/>
  <c r="M103" i="91"/>
  <c r="M105" i="91"/>
  <c r="B76" i="29"/>
  <c r="H93" i="92"/>
  <c r="B30" i="89" s="1"/>
  <c r="F30" i="89" s="1"/>
  <c r="B75" i="29"/>
  <c r="B119" i="89"/>
  <c r="D119" i="89" s="1"/>
  <c r="F12" i="4"/>
  <c r="F60" i="4" s="1"/>
  <c r="F100" i="91"/>
  <c r="H100" i="91" s="1"/>
  <c r="L100" i="91"/>
  <c r="J100" i="91"/>
  <c r="N340" i="1"/>
  <c r="L102" i="91"/>
  <c r="J102" i="91"/>
  <c r="F102" i="91"/>
  <c r="H102" i="91" s="1"/>
  <c r="D143" i="89"/>
  <c r="F143" i="89"/>
  <c r="H143" i="89"/>
  <c r="D142" i="89"/>
  <c r="H142" i="89"/>
  <c r="F142" i="89"/>
  <c r="B73" i="29"/>
  <c r="F40" i="89"/>
  <c r="D40" i="89"/>
  <c r="H40" i="89"/>
  <c r="N339" i="1"/>
  <c r="B74" i="29"/>
  <c r="B82" i="29"/>
  <c r="B84" i="29"/>
  <c r="D151" i="89"/>
  <c r="F151" i="89"/>
  <c r="H151" i="89"/>
  <c r="D39" i="89"/>
  <c r="F39" i="89"/>
  <c r="H39" i="89"/>
  <c r="B70" i="29"/>
  <c r="D150" i="89"/>
  <c r="F150" i="89"/>
  <c r="H150" i="89"/>
  <c r="F36" i="89"/>
  <c r="D36" i="89"/>
  <c r="H36" i="89"/>
  <c r="E36" i="92"/>
  <c r="E19" i="1"/>
  <c r="F19" i="1" s="1"/>
  <c r="D147" i="89"/>
  <c r="H147" i="89"/>
  <c r="F147" i="89"/>
  <c r="B170" i="89"/>
  <c r="B59" i="89"/>
  <c r="B83" i="29"/>
  <c r="D31" i="13"/>
  <c r="F41" i="89"/>
  <c r="D41" i="89"/>
  <c r="H41" i="89"/>
  <c r="M109" i="91"/>
  <c r="D34" i="4"/>
  <c r="N281" i="1"/>
  <c r="N287" i="1"/>
  <c r="F32" i="89"/>
  <c r="D32" i="89"/>
  <c r="E28" i="90" s="1"/>
  <c r="H32" i="89"/>
  <c r="D152" i="89"/>
  <c r="H152" i="89"/>
  <c r="F152" i="89"/>
  <c r="B58" i="29"/>
  <c r="F58" i="29" s="1"/>
  <c r="J101" i="91"/>
  <c r="F101" i="91"/>
  <c r="H101" i="91" s="1"/>
  <c r="L101" i="91"/>
  <c r="D31" i="89"/>
  <c r="E27" i="90" s="1"/>
  <c r="F31" i="89"/>
  <c r="H31" i="89"/>
  <c r="D45" i="4"/>
  <c r="F61" i="29"/>
  <c r="F101" i="29"/>
  <c r="F62" i="29"/>
  <c r="D14" i="25"/>
  <c r="H17" i="25"/>
  <c r="H58" i="25"/>
  <c r="H69" i="62"/>
  <c r="D147" i="25"/>
  <c r="H28" i="25"/>
  <c r="H22" i="25"/>
  <c r="H40" i="25"/>
  <c r="H18" i="25"/>
  <c r="H21" i="25"/>
  <c r="H41" i="25"/>
  <c r="H31" i="25"/>
  <c r="G161" i="88"/>
  <c r="H161" i="88" s="1"/>
  <c r="H14" i="25"/>
  <c r="F22" i="29"/>
  <c r="H32" i="25"/>
  <c r="H53" i="25"/>
  <c r="B11" i="25"/>
  <c r="H27" i="25"/>
  <c r="H23" i="25"/>
  <c r="H35" i="25"/>
  <c r="H39" i="25"/>
  <c r="G76" i="55"/>
  <c r="H76" i="55" s="1"/>
  <c r="J32" i="8"/>
  <c r="F32" i="8"/>
  <c r="H32" i="8" s="1"/>
  <c r="E48" i="24"/>
  <c r="I51" i="92"/>
  <c r="H31" i="62"/>
  <c r="H37" i="62"/>
  <c r="H38" i="62"/>
  <c r="E74" i="55"/>
  <c r="B127" i="54"/>
  <c r="F127" i="54" s="1"/>
  <c r="B15" i="62"/>
  <c r="H33" i="62"/>
  <c r="G163" i="88"/>
  <c r="H163" i="88" s="1"/>
  <c r="H29" i="62"/>
  <c r="F18" i="29"/>
  <c r="H52" i="62"/>
  <c r="H28" i="62"/>
  <c r="H64" i="62"/>
  <c r="H27" i="62"/>
  <c r="H32" i="62"/>
  <c r="H23" i="62"/>
  <c r="D15" i="62"/>
  <c r="H50" i="62"/>
  <c r="I85" i="92"/>
  <c r="G162" i="88"/>
  <c r="H162" i="88" s="1"/>
  <c r="C69" i="24"/>
  <c r="G69" i="24" s="1"/>
  <c r="H69" i="24" s="1"/>
  <c r="G113" i="92"/>
  <c r="H113" i="92" s="1"/>
  <c r="G114" i="92"/>
  <c r="H114" i="92" s="1"/>
  <c r="C41" i="55"/>
  <c r="G41" i="55" s="1"/>
  <c r="H41" i="55" s="1"/>
  <c r="C36" i="24"/>
  <c r="E36" i="24" s="1"/>
  <c r="G75" i="92"/>
  <c r="H75" i="92" s="1"/>
  <c r="B133" i="89" s="1"/>
  <c r="G3" i="92"/>
  <c r="G111" i="92"/>
  <c r="H111" i="92" s="1"/>
  <c r="G112" i="92"/>
  <c r="H112" i="92" s="1"/>
  <c r="E78" i="92"/>
  <c r="G77" i="92"/>
  <c r="H77" i="92" s="1"/>
  <c r="I51" i="24"/>
  <c r="F131" i="85"/>
  <c r="L99" i="61"/>
  <c r="F99" i="61"/>
  <c r="H99" i="61" s="1"/>
  <c r="G21" i="24"/>
  <c r="H21" i="24" s="1"/>
  <c r="E21" i="24"/>
  <c r="G26" i="42"/>
  <c r="H26" i="42" s="1"/>
  <c r="B128" i="40" s="1"/>
  <c r="H128" i="40" s="1"/>
  <c r="E26" i="42"/>
  <c r="G26" i="18"/>
  <c r="H26" i="18" s="1"/>
  <c r="B126" i="19" s="1"/>
  <c r="H126" i="19" s="1"/>
  <c r="E26" i="18"/>
  <c r="G26" i="21"/>
  <c r="H26" i="21" s="1"/>
  <c r="B126" i="22" s="1"/>
  <c r="E26" i="21"/>
  <c r="G21" i="55"/>
  <c r="H21" i="55" s="1"/>
  <c r="E21" i="55"/>
  <c r="G26" i="60"/>
  <c r="H26" i="60" s="1"/>
  <c r="B126" i="62" s="1"/>
  <c r="E26" i="60"/>
  <c r="G26" i="57"/>
  <c r="H26" i="57" s="1"/>
  <c r="B126" i="59" s="1"/>
  <c r="E26" i="57"/>
  <c r="G26" i="31"/>
  <c r="H26" i="31" s="1"/>
  <c r="B126" i="33" s="1"/>
  <c r="E26" i="31"/>
  <c r="E26" i="88"/>
  <c r="G26" i="88"/>
  <c r="H26" i="88" s="1"/>
  <c r="B128" i="85" s="1"/>
  <c r="H128" i="85" s="1"/>
  <c r="D114" i="33"/>
  <c r="F114" i="33"/>
  <c r="B129" i="25"/>
  <c r="H129" i="25" s="1"/>
  <c r="H123" i="19"/>
  <c r="L70" i="18"/>
  <c r="L65" i="18"/>
  <c r="L64" i="18"/>
  <c r="L69" i="18"/>
  <c r="I51" i="55"/>
  <c r="L91" i="56"/>
  <c r="B166" i="59"/>
  <c r="B46" i="59"/>
  <c r="I84" i="24"/>
  <c r="B129" i="54"/>
  <c r="H129" i="54" s="1"/>
  <c r="J91" i="56"/>
  <c r="B116" i="25"/>
  <c r="H116" i="25" s="1"/>
  <c r="I84" i="55"/>
  <c r="B116" i="54"/>
  <c r="F116" i="54" s="1"/>
  <c r="G71" i="18"/>
  <c r="H71" i="18" s="1"/>
  <c r="B127" i="59"/>
  <c r="F127" i="59" s="1"/>
  <c r="B127" i="62"/>
  <c r="D127" i="62" s="1"/>
  <c r="D151" i="22"/>
  <c r="H151" i="22"/>
  <c r="F151" i="22"/>
  <c r="F137" i="22"/>
  <c r="D137" i="22"/>
  <c r="H137" i="22"/>
  <c r="D155" i="85"/>
  <c r="H155" i="85"/>
  <c r="F155" i="85"/>
  <c r="F155" i="40"/>
  <c r="D155" i="40"/>
  <c r="H155" i="40"/>
  <c r="H137" i="33"/>
  <c r="F137" i="33"/>
  <c r="D137" i="33"/>
  <c r="D140" i="85"/>
  <c r="F140" i="85"/>
  <c r="H140" i="85"/>
  <c r="H108" i="59"/>
  <c r="F190" i="59"/>
  <c r="H190" i="59"/>
  <c r="F17" i="29"/>
  <c r="H31" i="22"/>
  <c r="H122" i="19"/>
  <c r="H168" i="19"/>
  <c r="B108" i="59"/>
  <c r="H44" i="59"/>
  <c r="H164" i="59"/>
  <c r="F688" i="1"/>
  <c r="D688" i="1"/>
  <c r="B688" i="1"/>
  <c r="J101" i="17"/>
  <c r="D109" i="59"/>
  <c r="H109" i="59" s="1"/>
  <c r="D108" i="59"/>
  <c r="H182" i="19"/>
  <c r="H169" i="19"/>
  <c r="D106" i="19"/>
  <c r="H148" i="19"/>
  <c r="H161" i="19"/>
  <c r="H119" i="19"/>
  <c r="H151" i="19"/>
  <c r="H155" i="19"/>
  <c r="H108" i="40"/>
  <c r="H19" i="40"/>
  <c r="H17" i="40"/>
  <c r="H109" i="40"/>
  <c r="H18" i="40"/>
  <c r="H20" i="40"/>
  <c r="G123" i="88"/>
  <c r="H123" i="88" s="1"/>
  <c r="H17" i="85"/>
  <c r="F17" i="85"/>
  <c r="B17" i="85"/>
  <c r="D17" i="85"/>
  <c r="D18" i="85"/>
  <c r="G71" i="60"/>
  <c r="H71" i="60" s="1"/>
  <c r="G123" i="42"/>
  <c r="H123" i="42" s="1"/>
  <c r="H110" i="22"/>
  <c r="F110" i="22"/>
  <c r="D110" i="22"/>
  <c r="B110" i="22"/>
  <c r="D111" i="22"/>
  <c r="G64" i="88"/>
  <c r="H64" i="88" s="1"/>
  <c r="G123" i="31"/>
  <c r="H123" i="31" s="1"/>
  <c r="G116" i="42"/>
  <c r="H116" i="42" s="1"/>
  <c r="G116" i="88"/>
  <c r="H116" i="88" s="1"/>
  <c r="H17" i="59"/>
  <c r="F17" i="59"/>
  <c r="D17" i="59"/>
  <c r="B17" i="59"/>
  <c r="D18" i="59"/>
  <c r="E71" i="21"/>
  <c r="G71" i="21"/>
  <c r="H71" i="21" s="1"/>
  <c r="H108" i="85"/>
  <c r="F108" i="85"/>
  <c r="D108" i="85"/>
  <c r="B108" i="85"/>
  <c r="D109" i="85"/>
  <c r="B113" i="59"/>
  <c r="H113" i="59" s="1"/>
  <c r="H110" i="59"/>
  <c r="F110" i="59"/>
  <c r="D110" i="59"/>
  <c r="B110" i="59"/>
  <c r="D111" i="59"/>
  <c r="G116" i="31"/>
  <c r="H116" i="31" s="1"/>
  <c r="G123" i="57"/>
  <c r="H123" i="57" s="1"/>
  <c r="G123" i="60"/>
  <c r="H123" i="60" s="1"/>
  <c r="G116" i="57"/>
  <c r="H116" i="57" s="1"/>
  <c r="G116" i="60"/>
  <c r="H116" i="60" s="1"/>
  <c r="H110" i="40"/>
  <c r="H111" i="40"/>
  <c r="G71" i="88"/>
  <c r="H71" i="88" s="1"/>
  <c r="G64" i="57"/>
  <c r="H64" i="57" s="1"/>
  <c r="G71" i="57"/>
  <c r="H71" i="57" s="1"/>
  <c r="G64" i="31"/>
  <c r="H64" i="31" s="1"/>
  <c r="G71" i="42"/>
  <c r="H71" i="42" s="1"/>
  <c r="G64" i="42"/>
  <c r="H64" i="42" s="1"/>
  <c r="G64" i="60"/>
  <c r="H64" i="60" s="1"/>
  <c r="E64" i="21"/>
  <c r="G64" i="21"/>
  <c r="H64" i="21" s="1"/>
  <c r="H19" i="59"/>
  <c r="D19" i="59"/>
  <c r="F19" i="59"/>
  <c r="B19" i="59"/>
  <c r="D20" i="59"/>
  <c r="H19" i="22"/>
  <c r="F19" i="22"/>
  <c r="D19" i="22"/>
  <c r="B19" i="22"/>
  <c r="C119" i="21" s="1"/>
  <c r="D20" i="22"/>
  <c r="G71" i="31"/>
  <c r="H71" i="31" s="1"/>
  <c r="E123" i="21"/>
  <c r="G123" i="21"/>
  <c r="H123" i="21" s="1"/>
  <c r="E116" i="21"/>
  <c r="G116" i="21"/>
  <c r="H116" i="21" s="1"/>
  <c r="L116" i="18"/>
  <c r="L122" i="18"/>
  <c r="L121" i="18"/>
  <c r="L117" i="18"/>
  <c r="G64" i="18"/>
  <c r="H64" i="18" s="1"/>
  <c r="E64" i="18"/>
  <c r="G123" i="18"/>
  <c r="H123" i="18" s="1"/>
  <c r="E123" i="18"/>
  <c r="H105" i="61"/>
  <c r="L105" i="61"/>
  <c r="G111" i="42"/>
  <c r="H111" i="42" s="1"/>
  <c r="C112" i="42"/>
  <c r="E112" i="88"/>
  <c r="G112" i="88"/>
  <c r="H112" i="88" s="1"/>
  <c r="H124" i="19"/>
  <c r="E116" i="18"/>
  <c r="G116" i="18"/>
  <c r="H116" i="18" s="1"/>
  <c r="C99" i="19"/>
  <c r="D109" i="19" s="1"/>
  <c r="H134" i="19"/>
  <c r="H118" i="19"/>
  <c r="H120" i="19"/>
  <c r="H187" i="19"/>
  <c r="H170" i="19"/>
  <c r="H171" i="19"/>
  <c r="H140" i="19"/>
  <c r="H16" i="75"/>
  <c r="H17" i="75"/>
  <c r="D101" i="29"/>
  <c r="D62" i="29"/>
  <c r="E126" i="61"/>
  <c r="N121" i="85"/>
  <c r="L102" i="17"/>
  <c r="J105" i="30"/>
  <c r="L98" i="23"/>
  <c r="H98" i="23"/>
  <c r="L99" i="23"/>
  <c r="H99" i="23"/>
  <c r="J99" i="23"/>
  <c r="L105" i="30"/>
  <c r="E119" i="56"/>
  <c r="H28" i="40"/>
  <c r="F16" i="29"/>
  <c r="E119" i="23"/>
  <c r="E126" i="30"/>
  <c r="L98" i="56"/>
  <c r="J98" i="56"/>
  <c r="E37" i="86"/>
  <c r="E126" i="20"/>
  <c r="H105" i="41"/>
  <c r="B70" i="40" s="1"/>
  <c r="D70" i="40" s="1"/>
  <c r="H99" i="56"/>
  <c r="B164" i="54" s="1"/>
  <c r="H164" i="54" s="1"/>
  <c r="L99" i="56"/>
  <c r="J99" i="56"/>
  <c r="L106" i="61"/>
  <c r="H106" i="61"/>
  <c r="J106" i="61"/>
  <c r="M106" i="41"/>
  <c r="L106" i="30"/>
  <c r="H106" i="30"/>
  <c r="B188" i="33" s="1"/>
  <c r="J106" i="30"/>
  <c r="D173" i="40"/>
  <c r="D172" i="40"/>
  <c r="L105" i="20"/>
  <c r="H105" i="20"/>
  <c r="F41" i="19"/>
  <c r="D43" i="22"/>
  <c r="E30" i="77" s="1"/>
  <c r="L106" i="20"/>
  <c r="H106" i="20"/>
  <c r="J106" i="20"/>
  <c r="D38" i="22"/>
  <c r="E23" i="77" s="1"/>
  <c r="F52" i="19"/>
  <c r="F51" i="19"/>
  <c r="F50" i="19"/>
  <c r="H191" i="85"/>
  <c r="H186" i="85"/>
  <c r="H121" i="85"/>
  <c r="H120" i="85"/>
  <c r="H159" i="85"/>
  <c r="H118" i="85"/>
  <c r="H122" i="85"/>
  <c r="H125" i="85"/>
  <c r="H126" i="85"/>
  <c r="H124" i="85"/>
  <c r="H175" i="85"/>
  <c r="H160" i="85"/>
  <c r="H129" i="85"/>
  <c r="H149" i="85"/>
  <c r="H146" i="85"/>
  <c r="H134" i="85"/>
  <c r="H147" i="85"/>
  <c r="H131" i="85"/>
  <c r="H144" i="85"/>
  <c r="H152" i="85"/>
  <c r="H145" i="85"/>
  <c r="H132" i="85"/>
  <c r="H135" i="85"/>
  <c r="H150" i="85"/>
  <c r="H148" i="85"/>
  <c r="H137" i="85"/>
  <c r="H143" i="85"/>
  <c r="H165" i="85"/>
  <c r="H118" i="54"/>
  <c r="C72" i="84"/>
  <c r="H175" i="40"/>
  <c r="H143" i="40"/>
  <c r="F50" i="85"/>
  <c r="F97" i="87"/>
  <c r="H97" i="87" s="1"/>
  <c r="L97" i="87"/>
  <c r="F52" i="85"/>
  <c r="B40" i="85"/>
  <c r="H40" i="85" s="1"/>
  <c r="B162" i="85"/>
  <c r="H164" i="85"/>
  <c r="D164" i="85"/>
  <c r="F164" i="85"/>
  <c r="F99" i="20"/>
  <c r="H99" i="20" s="1"/>
  <c r="F51" i="85"/>
  <c r="D174" i="85"/>
  <c r="F174" i="85"/>
  <c r="H174" i="85"/>
  <c r="F42" i="85"/>
  <c r="D163" i="85"/>
  <c r="F163" i="85"/>
  <c r="H163" i="85"/>
  <c r="D172" i="85"/>
  <c r="F172" i="85"/>
  <c r="H172" i="85"/>
  <c r="F41" i="85"/>
  <c r="D173" i="85"/>
  <c r="F173" i="85"/>
  <c r="H173" i="85"/>
  <c r="H69" i="85"/>
  <c r="H64" i="85"/>
  <c r="H27" i="85"/>
  <c r="H53" i="85"/>
  <c r="H42" i="85"/>
  <c r="H33" i="85"/>
  <c r="H41" i="85"/>
  <c r="H28" i="85"/>
  <c r="H50" i="85"/>
  <c r="H32" i="85"/>
  <c r="H37" i="85"/>
  <c r="H43" i="85"/>
  <c r="H29" i="85"/>
  <c r="H52" i="85"/>
  <c r="H51" i="85"/>
  <c r="H38" i="85"/>
  <c r="H31" i="85"/>
  <c r="H114" i="85"/>
  <c r="F114" i="85"/>
  <c r="D114" i="85"/>
  <c r="H23" i="85"/>
  <c r="F23" i="85"/>
  <c r="D23" i="85"/>
  <c r="J102" i="17"/>
  <c r="J101" i="41"/>
  <c r="L99" i="20"/>
  <c r="J105" i="41"/>
  <c r="E126" i="41"/>
  <c r="J44" i="11"/>
  <c r="J21" i="2"/>
  <c r="L21" i="2"/>
  <c r="L101" i="17"/>
  <c r="F101" i="41"/>
  <c r="H101" i="41" s="1"/>
  <c r="E111" i="42"/>
  <c r="F32" i="5"/>
  <c r="H32" i="5" s="1"/>
  <c r="B45" i="7" s="1"/>
  <c r="F45" i="7" s="1"/>
  <c r="L32" i="5"/>
  <c r="F102" i="41"/>
  <c r="H102" i="41" s="1"/>
  <c r="L102" i="41"/>
  <c r="F38" i="40"/>
  <c r="J28" i="26"/>
  <c r="F174" i="40"/>
  <c r="J98" i="87"/>
  <c r="F98" i="87"/>
  <c r="H98" i="87" s="1"/>
  <c r="L98" i="87"/>
  <c r="J101" i="87"/>
  <c r="L101" i="87"/>
  <c r="F101" i="87"/>
  <c r="H101" i="87" s="1"/>
  <c r="B146" i="40"/>
  <c r="D146" i="40" s="1"/>
  <c r="E8" i="85"/>
  <c r="G154" i="88"/>
  <c r="H154" i="88" s="1"/>
  <c r="G155" i="88"/>
  <c r="H155" i="88" s="1"/>
  <c r="G111" i="88"/>
  <c r="B140" i="40"/>
  <c r="B147" i="40"/>
  <c r="H147" i="40" s="1"/>
  <c r="J100" i="87"/>
  <c r="F100" i="87"/>
  <c r="H100" i="87" s="1"/>
  <c r="L100" i="87"/>
  <c r="D106" i="85"/>
  <c r="B106" i="85"/>
  <c r="L102" i="87"/>
  <c r="J102" i="87"/>
  <c r="F102" i="87"/>
  <c r="H102" i="87" s="1"/>
  <c r="C41" i="57"/>
  <c r="E41" i="57" s="1"/>
  <c r="C41" i="88"/>
  <c r="E41" i="88" s="1"/>
  <c r="G109" i="88"/>
  <c r="H109" i="88" s="1"/>
  <c r="B153" i="85" s="1"/>
  <c r="G3" i="88"/>
  <c r="G4" i="88" s="1"/>
  <c r="H59" i="88" s="1"/>
  <c r="B139" i="85" s="1"/>
  <c r="B15" i="85"/>
  <c r="D15" i="85"/>
  <c r="B80" i="79"/>
  <c r="B80" i="86"/>
  <c r="C93" i="21"/>
  <c r="G93" i="21" s="1"/>
  <c r="H93" i="21" s="1"/>
  <c r="B147" i="22" s="1"/>
  <c r="C93" i="88"/>
  <c r="E93" i="88" s="1"/>
  <c r="I135" i="88"/>
  <c r="C80" i="79"/>
  <c r="C80" i="86"/>
  <c r="B129" i="40"/>
  <c r="B131" i="40"/>
  <c r="F131" i="40" s="1"/>
  <c r="L105" i="87"/>
  <c r="E126" i="87"/>
  <c r="J105" i="87"/>
  <c r="H105" i="87"/>
  <c r="B130" i="40"/>
  <c r="F130" i="40" s="1"/>
  <c r="F99" i="87"/>
  <c r="H99" i="87" s="1"/>
  <c r="L99" i="87"/>
  <c r="J99" i="87"/>
  <c r="H94" i="25"/>
  <c r="F41" i="8"/>
  <c r="H41" i="8" s="1"/>
  <c r="B49" i="10" s="1"/>
  <c r="F49" i="10" s="1"/>
  <c r="J41" i="8"/>
  <c r="E53" i="8"/>
  <c r="L90" i="23"/>
  <c r="J98" i="30"/>
  <c r="L98" i="30"/>
  <c r="L45" i="38"/>
  <c r="F45" i="38"/>
  <c r="H45" i="38" s="1"/>
  <c r="B49" i="37" s="1"/>
  <c r="D49" i="37" s="1"/>
  <c r="H129" i="33"/>
  <c r="L26" i="35"/>
  <c r="F26" i="35"/>
  <c r="H26" i="35" s="1"/>
  <c r="L98" i="20"/>
  <c r="F98" i="20"/>
  <c r="H98" i="20" s="1"/>
  <c r="J98" i="20"/>
  <c r="L92" i="56"/>
  <c r="F92" i="56"/>
  <c r="H92" i="56" s="1"/>
  <c r="J92" i="56"/>
  <c r="F99" i="30"/>
  <c r="H99" i="30" s="1"/>
  <c r="L99" i="30"/>
  <c r="J99" i="30"/>
  <c r="L98" i="17"/>
  <c r="J98" i="17"/>
  <c r="F98" i="17"/>
  <c r="H98" i="17" s="1"/>
  <c r="L92" i="23"/>
  <c r="J92" i="23"/>
  <c r="F92" i="23"/>
  <c r="H92" i="23" s="1"/>
  <c r="J91" i="23"/>
  <c r="L91" i="23"/>
  <c r="F91" i="23"/>
  <c r="H91" i="23" s="1"/>
  <c r="F99" i="17"/>
  <c r="H99" i="17" s="1"/>
  <c r="J99" i="17"/>
  <c r="L98" i="61"/>
  <c r="J98" i="61"/>
  <c r="F98" i="61"/>
  <c r="H98" i="61" s="1"/>
  <c r="F99" i="41"/>
  <c r="H99" i="41" s="1"/>
  <c r="J99" i="41"/>
  <c r="L99" i="41"/>
  <c r="F99" i="58"/>
  <c r="H99" i="58" s="1"/>
  <c r="J99" i="58"/>
  <c r="L99" i="58"/>
  <c r="F28" i="26"/>
  <c r="H28" i="26" s="1"/>
  <c r="J98" i="41"/>
  <c r="L98" i="41"/>
  <c r="F98" i="41"/>
  <c r="H98" i="41" s="1"/>
  <c r="J98" i="58"/>
  <c r="F98" i="58"/>
  <c r="H98" i="58" s="1"/>
  <c r="L98" i="58"/>
  <c r="E18" i="27"/>
  <c r="F39" i="11"/>
  <c r="H39" i="11" s="1"/>
  <c r="L39" i="11"/>
  <c r="F29" i="47"/>
  <c r="H29" i="47" s="1"/>
  <c r="L29" i="47"/>
  <c r="F38" i="19"/>
  <c r="E59" i="11"/>
  <c r="D49" i="13"/>
  <c r="L44" i="11"/>
  <c r="F69" i="2"/>
  <c r="H69" i="2" s="1"/>
  <c r="B53" i="4" s="1"/>
  <c r="L36" i="50"/>
  <c r="L38" i="11"/>
  <c r="F133" i="25"/>
  <c r="F31" i="44"/>
  <c r="H31" i="44" s="1"/>
  <c r="B45" i="43" s="1"/>
  <c r="D45" i="43" s="1"/>
  <c r="E49" i="35"/>
  <c r="B434" i="1"/>
  <c r="B100" i="17" s="1"/>
  <c r="E100" i="17" s="1"/>
  <c r="J97" i="58"/>
  <c r="E60" i="38"/>
  <c r="J69" i="2"/>
  <c r="E82" i="2"/>
  <c r="L33" i="8"/>
  <c r="F37" i="38"/>
  <c r="H37" i="38" s="1"/>
  <c r="D114" i="59"/>
  <c r="F36" i="44"/>
  <c r="H36" i="44" s="1"/>
  <c r="L37" i="38"/>
  <c r="L36" i="44"/>
  <c r="J33" i="8"/>
  <c r="F37" i="50"/>
  <c r="H37" i="50" s="1"/>
  <c r="B45" i="49" s="1"/>
  <c r="L37" i="50"/>
  <c r="H156" i="19"/>
  <c r="J93" i="56"/>
  <c r="L41" i="5"/>
  <c r="F38" i="11"/>
  <c r="H38" i="11" s="1"/>
  <c r="L41" i="44"/>
  <c r="J31" i="44"/>
  <c r="J36" i="50"/>
  <c r="E56" i="44"/>
  <c r="J41" i="44"/>
  <c r="F158" i="59"/>
  <c r="F93" i="56"/>
  <c r="H93" i="56" s="1"/>
  <c r="E45" i="35"/>
  <c r="J36" i="35"/>
  <c r="J45" i="35" s="1"/>
  <c r="J38" i="38"/>
  <c r="E56" i="5"/>
  <c r="L27" i="35"/>
  <c r="F27" i="35"/>
  <c r="H27" i="35" s="1"/>
  <c r="L57" i="2"/>
  <c r="J41" i="5"/>
  <c r="C93" i="31"/>
  <c r="G93" i="31" s="1"/>
  <c r="H93" i="31" s="1"/>
  <c r="F38" i="38"/>
  <c r="H38" i="38" s="1"/>
  <c r="F156" i="19"/>
  <c r="F57" i="2"/>
  <c r="H57" i="2" s="1"/>
  <c r="H158" i="59"/>
  <c r="F42" i="14"/>
  <c r="H42" i="14" s="1"/>
  <c r="B49" i="16" s="1"/>
  <c r="D49" i="16" s="1"/>
  <c r="F56" i="2"/>
  <c r="H56" i="2" s="1"/>
  <c r="L56" i="2"/>
  <c r="L97" i="58"/>
  <c r="F34" i="47"/>
  <c r="H34" i="47" s="1"/>
  <c r="B49" i="46" s="1"/>
  <c r="F49" i="46" s="1"/>
  <c r="L36" i="35"/>
  <c r="L48" i="56"/>
  <c r="F114" i="59"/>
  <c r="F47" i="23"/>
  <c r="H47" i="23" s="1"/>
  <c r="F90" i="23"/>
  <c r="H90" i="23" s="1"/>
  <c r="L93" i="23"/>
  <c r="F49" i="56"/>
  <c r="H49" i="56" s="1"/>
  <c r="F48" i="56"/>
  <c r="H48" i="56" s="1"/>
  <c r="F100" i="30"/>
  <c r="H100" i="30" s="1"/>
  <c r="F100" i="20"/>
  <c r="H100" i="20" s="1"/>
  <c r="F97" i="20"/>
  <c r="H97" i="20" s="1"/>
  <c r="L34" i="47"/>
  <c r="J32" i="14"/>
  <c r="E51" i="35"/>
  <c r="F32" i="14"/>
  <c r="H32" i="14" s="1"/>
  <c r="B45" i="16" s="1"/>
  <c r="F45" i="16" s="1"/>
  <c r="B115" i="59"/>
  <c r="H115" i="59" s="1"/>
  <c r="J34" i="47"/>
  <c r="E48" i="26"/>
  <c r="J33" i="26"/>
  <c r="L42" i="14"/>
  <c r="E57" i="14"/>
  <c r="L33" i="26"/>
  <c r="F27" i="26"/>
  <c r="H27" i="26" s="1"/>
  <c r="L27" i="26"/>
  <c r="G22" i="39"/>
  <c r="H22" i="39" s="1"/>
  <c r="J28" i="47"/>
  <c r="E68" i="55"/>
  <c r="F28" i="47"/>
  <c r="H28" i="47" s="1"/>
  <c r="E43" i="47"/>
  <c r="E47" i="47"/>
  <c r="E50" i="47" s="1"/>
  <c r="C93" i="18"/>
  <c r="G93" i="18" s="1"/>
  <c r="H93" i="18" s="1"/>
  <c r="C93" i="60"/>
  <c r="G93" i="60" s="1"/>
  <c r="H93" i="60" s="1"/>
  <c r="C93" i="42"/>
  <c r="E93" i="42" s="1"/>
  <c r="E29" i="42"/>
  <c r="C44" i="45"/>
  <c r="G44" i="45" s="1"/>
  <c r="H44" i="45" s="1"/>
  <c r="G29" i="21"/>
  <c r="H29" i="21" s="1"/>
  <c r="B129" i="22" s="1"/>
  <c r="D129" i="22" s="1"/>
  <c r="B75" i="77" s="1"/>
  <c r="C93" i="57"/>
  <c r="E93" i="57" s="1"/>
  <c r="G24" i="55"/>
  <c r="H24" i="55" s="1"/>
  <c r="B107" i="54" s="1"/>
  <c r="F107" i="54" s="1"/>
  <c r="J100" i="20"/>
  <c r="G29" i="57"/>
  <c r="H29" i="57" s="1"/>
  <c r="B129" i="59" s="1"/>
  <c r="F129" i="59" s="1"/>
  <c r="J100" i="30"/>
  <c r="L22" i="2"/>
  <c r="J22" i="2"/>
  <c r="E24" i="24"/>
  <c r="G29" i="18"/>
  <c r="H29" i="18" s="1"/>
  <c r="B129" i="19" s="1"/>
  <c r="F129" i="19" s="1"/>
  <c r="E99" i="19"/>
  <c r="D111" i="19" s="1"/>
  <c r="J100" i="61"/>
  <c r="F100" i="61"/>
  <c r="H100" i="61" s="1"/>
  <c r="B113" i="40"/>
  <c r="F113" i="40" s="1"/>
  <c r="E34" i="60"/>
  <c r="E21" i="9"/>
  <c r="J100" i="41"/>
  <c r="F100" i="41"/>
  <c r="H100" i="41" s="1"/>
  <c r="J93" i="23"/>
  <c r="F93" i="23"/>
  <c r="H93" i="23" s="1"/>
  <c r="F97" i="30"/>
  <c r="H97" i="30" s="1"/>
  <c r="F90" i="56"/>
  <c r="H90" i="56" s="1"/>
  <c r="J97" i="41"/>
  <c r="F97" i="41"/>
  <c r="H97" i="41" s="1"/>
  <c r="L97" i="61"/>
  <c r="F97" i="61"/>
  <c r="H97" i="61" s="1"/>
  <c r="L100" i="61"/>
  <c r="L100" i="41"/>
  <c r="D129" i="33"/>
  <c r="B75" i="78" s="1"/>
  <c r="E29" i="31"/>
  <c r="G20" i="45"/>
  <c r="H20" i="45" s="1"/>
  <c r="G29" i="60"/>
  <c r="H29" i="60" s="1"/>
  <c r="B129" i="62" s="1"/>
  <c r="H129" i="62" s="1"/>
  <c r="C40" i="55"/>
  <c r="G40" i="55" s="1"/>
  <c r="H40" i="55" s="1"/>
  <c r="G91" i="57"/>
  <c r="H91" i="57" s="1"/>
  <c r="E91" i="57"/>
  <c r="G39" i="18"/>
  <c r="H39" i="18" s="1"/>
  <c r="E39" i="18"/>
  <c r="G67" i="24"/>
  <c r="H67" i="24" s="1"/>
  <c r="E67" i="24"/>
  <c r="G39" i="31"/>
  <c r="H39" i="31" s="1"/>
  <c r="E39" i="31"/>
  <c r="G91" i="18"/>
  <c r="H91" i="18" s="1"/>
  <c r="E91" i="18"/>
  <c r="G39" i="21"/>
  <c r="H39" i="21" s="1"/>
  <c r="E39" i="21"/>
  <c r="G91" i="21"/>
  <c r="H91" i="21" s="1"/>
  <c r="E91" i="21"/>
  <c r="G34" i="24"/>
  <c r="H34" i="24" s="1"/>
  <c r="E34" i="24"/>
  <c r="G67" i="55"/>
  <c r="H67" i="55" s="1"/>
  <c r="E67" i="55"/>
  <c r="G39" i="57"/>
  <c r="H39" i="57" s="1"/>
  <c r="E39" i="57"/>
  <c r="C56" i="57"/>
  <c r="G56" i="57" s="1"/>
  <c r="H56" i="57" s="1"/>
  <c r="B136" i="59" s="1"/>
  <c r="F136" i="59" s="1"/>
  <c r="G91" i="42"/>
  <c r="H91" i="42" s="1"/>
  <c r="E91" i="42"/>
  <c r="G39" i="42"/>
  <c r="H39" i="42" s="1"/>
  <c r="E39" i="42"/>
  <c r="G91" i="31"/>
  <c r="H91" i="31" s="1"/>
  <c r="E91" i="31"/>
  <c r="G34" i="55"/>
  <c r="H34" i="55" s="1"/>
  <c r="E34" i="55"/>
  <c r="G91" i="60"/>
  <c r="H91" i="60" s="1"/>
  <c r="E91" i="60"/>
  <c r="G39" i="60"/>
  <c r="H39" i="60" s="1"/>
  <c r="E39" i="60"/>
  <c r="G19" i="15"/>
  <c r="H19" i="15" s="1"/>
  <c r="F23" i="22"/>
  <c r="F161" i="33"/>
  <c r="H38" i="59"/>
  <c r="F38" i="59"/>
  <c r="G108" i="31"/>
  <c r="H108" i="31" s="1"/>
  <c r="B149" i="33" s="1"/>
  <c r="D149" i="33" s="1"/>
  <c r="F133" i="54"/>
  <c r="F138" i="25"/>
  <c r="H35" i="14"/>
  <c r="B46" i="16" s="1"/>
  <c r="H19" i="25"/>
  <c r="D19" i="25"/>
  <c r="C41" i="60"/>
  <c r="E41" i="60" s="1"/>
  <c r="C41" i="42"/>
  <c r="E41" i="42" s="1"/>
  <c r="F158" i="62"/>
  <c r="F11" i="11"/>
  <c r="G31" i="27"/>
  <c r="H31" i="27" s="1"/>
  <c r="L11" i="11"/>
  <c r="F164" i="59"/>
  <c r="H135" i="57"/>
  <c r="B160" i="59" s="1"/>
  <c r="D160" i="59" s="1"/>
  <c r="H135" i="60"/>
  <c r="B160" i="62" s="1"/>
  <c r="F160" i="62" s="1"/>
  <c r="J97" i="61"/>
  <c r="F38" i="33"/>
  <c r="D164" i="59"/>
  <c r="J17" i="8"/>
  <c r="F43" i="62"/>
  <c r="F43" i="33"/>
  <c r="G108" i="57"/>
  <c r="H108" i="57" s="1"/>
  <c r="B151" i="59" s="1"/>
  <c r="F151" i="59" s="1"/>
  <c r="E47" i="8"/>
  <c r="H43" i="62"/>
  <c r="F17" i="8"/>
  <c r="F43" i="22"/>
  <c r="M30" i="38"/>
  <c r="C8" i="22"/>
  <c r="F17" i="22" s="1"/>
  <c r="C36" i="55"/>
  <c r="E36" i="55" s="1"/>
  <c r="O389" i="1"/>
  <c r="F163" i="59"/>
  <c r="F38" i="22"/>
  <c r="H163" i="59"/>
  <c r="F138" i="54"/>
  <c r="G153" i="21"/>
  <c r="H153" i="21" s="1"/>
  <c r="F163" i="62"/>
  <c r="D156" i="22"/>
  <c r="F33" i="54"/>
  <c r="H156" i="22"/>
  <c r="F16" i="44"/>
  <c r="F31" i="13"/>
  <c r="L16" i="44"/>
  <c r="G108" i="42"/>
  <c r="H108" i="42" s="1"/>
  <c r="F165" i="40"/>
  <c r="F43" i="40"/>
  <c r="D43" i="59"/>
  <c r="E30" i="82" s="1"/>
  <c r="M36" i="14"/>
  <c r="H33" i="25"/>
  <c r="D161" i="33"/>
  <c r="H92" i="55"/>
  <c r="B135" i="54" s="1"/>
  <c r="D135" i="54" s="1"/>
  <c r="F33" i="25"/>
  <c r="D161" i="22"/>
  <c r="F161" i="22"/>
  <c r="E108" i="21"/>
  <c r="E73" i="24"/>
  <c r="E73" i="55"/>
  <c r="H135" i="18"/>
  <c r="B158" i="19" s="1"/>
  <c r="F158" i="19" s="1"/>
  <c r="H43" i="59"/>
  <c r="L47" i="23"/>
  <c r="F9" i="14"/>
  <c r="J9" i="14"/>
  <c r="L18" i="11"/>
  <c r="J18" i="11"/>
  <c r="H135" i="42"/>
  <c r="H135" i="31"/>
  <c r="B158" i="33" s="1"/>
  <c r="D158" i="33" s="1"/>
  <c r="H92" i="24"/>
  <c r="B135" i="25" s="1"/>
  <c r="D135" i="25" s="1"/>
  <c r="H135" i="21"/>
  <c r="B158" i="22" s="1"/>
  <c r="D158" i="22" s="1"/>
  <c r="H670" i="1"/>
  <c r="C57" i="60" s="1"/>
  <c r="G57" i="60" s="1"/>
  <c r="H57" i="60" s="1"/>
  <c r="B15" i="22"/>
  <c r="H27" i="22"/>
  <c r="H32" i="22"/>
  <c r="H42" i="22"/>
  <c r="H53" i="22"/>
  <c r="H64" i="22"/>
  <c r="D15" i="22"/>
  <c r="H28" i="22"/>
  <c r="H52" i="22"/>
  <c r="H37" i="22"/>
  <c r="F14" i="29"/>
  <c r="C32" i="45" s="1"/>
  <c r="G38" i="15"/>
  <c r="H38" i="15" s="1"/>
  <c r="H38" i="22"/>
  <c r="H33" i="22"/>
  <c r="H50" i="22"/>
  <c r="H43" i="22"/>
  <c r="H51" i="22"/>
  <c r="H69" i="22"/>
  <c r="H29" i="22"/>
  <c r="G81" i="31"/>
  <c r="H81" i="31" s="1"/>
  <c r="B143" i="33" s="1"/>
  <c r="D143" i="33" s="1"/>
  <c r="C75" i="78" s="1"/>
  <c r="H669" i="1"/>
  <c r="C56" i="60" s="1"/>
  <c r="E56" i="60" s="1"/>
  <c r="H32" i="54"/>
  <c r="D124" i="25"/>
  <c r="C77" i="84" s="1"/>
  <c r="H23" i="54"/>
  <c r="H42" i="54"/>
  <c r="H111" i="57"/>
  <c r="M58" i="23"/>
  <c r="G151" i="21"/>
  <c r="H151" i="21" s="1"/>
  <c r="C41" i="21"/>
  <c r="E41" i="21" s="1"/>
  <c r="C28" i="45"/>
  <c r="G28" i="45" s="1"/>
  <c r="H28" i="45" s="1"/>
  <c r="J10" i="50"/>
  <c r="G150" i="21"/>
  <c r="H150" i="21" s="1"/>
  <c r="C41" i="31"/>
  <c r="G41" i="31" s="1"/>
  <c r="H41" i="31" s="1"/>
  <c r="L10" i="50"/>
  <c r="C41" i="18"/>
  <c r="E41" i="18" s="1"/>
  <c r="G152" i="21"/>
  <c r="H152" i="21" s="1"/>
  <c r="P389" i="1"/>
  <c r="H659" i="1"/>
  <c r="C56" i="18" s="1"/>
  <c r="M102" i="61"/>
  <c r="H23" i="22"/>
  <c r="G39" i="9"/>
  <c r="H39" i="9" s="1"/>
  <c r="M48" i="2"/>
  <c r="D48" i="16"/>
  <c r="E64" i="24"/>
  <c r="G92" i="57"/>
  <c r="H92" i="57" s="1"/>
  <c r="C69" i="55"/>
  <c r="E69" i="55" s="1"/>
  <c r="G43" i="39"/>
  <c r="H43" i="39" s="1"/>
  <c r="G87" i="60"/>
  <c r="H87" i="60" s="1"/>
  <c r="B147" i="62" s="1"/>
  <c r="F147" i="62" s="1"/>
  <c r="G81" i="21"/>
  <c r="H81" i="21" s="1"/>
  <c r="B143" i="22" s="1"/>
  <c r="D143" i="22" s="1"/>
  <c r="C75" i="77" s="1"/>
  <c r="G35" i="24"/>
  <c r="H35" i="24" s="1"/>
  <c r="G81" i="60"/>
  <c r="H81" i="60" s="1"/>
  <c r="B144" i="62" s="1"/>
  <c r="D144" i="62" s="1"/>
  <c r="C75" i="81" s="1"/>
  <c r="E35" i="55"/>
  <c r="E87" i="31"/>
  <c r="H58" i="54"/>
  <c r="E36" i="45"/>
  <c r="H19" i="54"/>
  <c r="D44" i="10"/>
  <c r="G81" i="18"/>
  <c r="H81" i="18" s="1"/>
  <c r="B143" i="19" s="1"/>
  <c r="D143" i="19" s="1"/>
  <c r="C75" i="76" s="1"/>
  <c r="G28" i="21"/>
  <c r="H28" i="21" s="1"/>
  <c r="B128" i="22" s="1"/>
  <c r="F128" i="22" s="1"/>
  <c r="H27" i="54"/>
  <c r="H33" i="54"/>
  <c r="F21" i="29"/>
  <c r="H661" i="1"/>
  <c r="E89" i="60"/>
  <c r="F23" i="62"/>
  <c r="H21" i="54"/>
  <c r="H28" i="54"/>
  <c r="G35" i="15"/>
  <c r="H35" i="15" s="1"/>
  <c r="E33" i="57"/>
  <c r="H17" i="54"/>
  <c r="H22" i="54"/>
  <c r="H53" i="54"/>
  <c r="D11" i="54"/>
  <c r="H130" i="59"/>
  <c r="G57" i="24"/>
  <c r="H57" i="24" s="1"/>
  <c r="B120" i="25" s="1"/>
  <c r="D48" i="37"/>
  <c r="B11" i="54"/>
  <c r="G87" i="21"/>
  <c r="H87" i="21" s="1"/>
  <c r="B146" i="22" s="1"/>
  <c r="D146" i="22" s="1"/>
  <c r="C78" i="77" s="1"/>
  <c r="F130" i="59"/>
  <c r="G37" i="60"/>
  <c r="H37" i="60" s="1"/>
  <c r="B133" i="62" s="1"/>
  <c r="F133" i="62" s="1"/>
  <c r="H18" i="54"/>
  <c r="G57" i="55"/>
  <c r="H57" i="55" s="1"/>
  <c r="B120" i="54" s="1"/>
  <c r="J47" i="23"/>
  <c r="H31" i="54"/>
  <c r="E37" i="31"/>
  <c r="G37" i="31"/>
  <c r="H37" i="31" s="1"/>
  <c r="E36" i="42"/>
  <c r="G36" i="42"/>
  <c r="H36" i="42" s="1"/>
  <c r="G89" i="31"/>
  <c r="H89" i="31" s="1"/>
  <c r="E89" i="31"/>
  <c r="E55" i="24"/>
  <c r="G55" i="24"/>
  <c r="H55" i="24" s="1"/>
  <c r="D680" i="1"/>
  <c r="B680" i="1"/>
  <c r="F680" i="1"/>
  <c r="E37" i="21"/>
  <c r="G37" i="21"/>
  <c r="H37" i="21" s="1"/>
  <c r="E36" i="21"/>
  <c r="G36" i="21"/>
  <c r="H36" i="21" s="1"/>
  <c r="G88" i="18"/>
  <c r="H88" i="18" s="1"/>
  <c r="E88" i="18"/>
  <c r="G89" i="21"/>
  <c r="H89" i="21" s="1"/>
  <c r="E89" i="21"/>
  <c r="E55" i="55"/>
  <c r="G55" i="55"/>
  <c r="H55" i="55" s="1"/>
  <c r="E59" i="18"/>
  <c r="G59" i="18"/>
  <c r="H59" i="18" s="1"/>
  <c r="C60" i="18"/>
  <c r="E32" i="55"/>
  <c r="G32" i="55"/>
  <c r="H32" i="55" s="1"/>
  <c r="E36" i="60"/>
  <c r="G36" i="60"/>
  <c r="H36" i="60" s="1"/>
  <c r="E88" i="31"/>
  <c r="G88" i="31"/>
  <c r="H88" i="31" s="1"/>
  <c r="G65" i="55"/>
  <c r="H65" i="55" s="1"/>
  <c r="E65" i="55"/>
  <c r="H41" i="54"/>
  <c r="H40" i="54"/>
  <c r="E32" i="24"/>
  <c r="G32" i="24"/>
  <c r="H32" i="24" s="1"/>
  <c r="E88" i="21"/>
  <c r="G88" i="21"/>
  <c r="H88" i="21" s="1"/>
  <c r="D692" i="1"/>
  <c r="F692" i="1"/>
  <c r="B692" i="1"/>
  <c r="G65" i="24"/>
  <c r="H65" i="24" s="1"/>
  <c r="E65" i="24"/>
  <c r="B686" i="1"/>
  <c r="F686" i="1"/>
  <c r="D686" i="1"/>
  <c r="F684" i="1"/>
  <c r="D684" i="1"/>
  <c r="B684" i="1"/>
  <c r="F698" i="1"/>
  <c r="B698" i="1"/>
  <c r="D698" i="1"/>
  <c r="G88" i="60"/>
  <c r="H88" i="60" s="1"/>
  <c r="E88" i="60"/>
  <c r="E59" i="57"/>
  <c r="C60" i="57"/>
  <c r="G59" i="57"/>
  <c r="H59" i="57" s="1"/>
  <c r="E59" i="42"/>
  <c r="G59" i="42"/>
  <c r="H59" i="42" s="1"/>
  <c r="C60" i="31"/>
  <c r="G59" i="31"/>
  <c r="E59" i="31"/>
  <c r="E36" i="18"/>
  <c r="G36" i="18"/>
  <c r="H36" i="18" s="1"/>
  <c r="E43" i="24"/>
  <c r="G43" i="24"/>
  <c r="H43" i="24" s="1"/>
  <c r="C44" i="24"/>
  <c r="B696" i="1"/>
  <c r="D696" i="1"/>
  <c r="F696" i="1"/>
  <c r="E88" i="57"/>
  <c r="G88" i="57"/>
  <c r="H88" i="57" s="1"/>
  <c r="H39" i="54"/>
  <c r="E36" i="31"/>
  <c r="G36" i="31"/>
  <c r="H36" i="31" s="1"/>
  <c r="D682" i="1"/>
  <c r="B682" i="1"/>
  <c r="F682" i="1"/>
  <c r="E43" i="55"/>
  <c r="C44" i="55"/>
  <c r="G43" i="55"/>
  <c r="H43" i="55" s="1"/>
  <c r="E88" i="42"/>
  <c r="G88" i="42"/>
  <c r="H88" i="42" s="1"/>
  <c r="D690" i="1"/>
  <c r="B690" i="1"/>
  <c r="F690" i="1"/>
  <c r="E37" i="18"/>
  <c r="G37" i="18"/>
  <c r="H37" i="18" s="1"/>
  <c r="G36" i="57"/>
  <c r="H36" i="57" s="1"/>
  <c r="E36" i="57"/>
  <c r="E59" i="21"/>
  <c r="G59" i="21"/>
  <c r="H59" i="21" s="1"/>
  <c r="C60" i="21"/>
  <c r="E89" i="18"/>
  <c r="G89" i="18"/>
  <c r="H89" i="18" s="1"/>
  <c r="B27" i="89" s="1"/>
  <c r="C60" i="60"/>
  <c r="E59" i="60"/>
  <c r="G59" i="60"/>
  <c r="H59" i="60" s="1"/>
  <c r="G27" i="24"/>
  <c r="H27" i="24" s="1"/>
  <c r="B110" i="25" s="1"/>
  <c r="D110" i="25" s="1"/>
  <c r="B76" i="84" s="1"/>
  <c r="G60" i="24"/>
  <c r="H60" i="24" s="1"/>
  <c r="B123" i="25" s="1"/>
  <c r="D123" i="25" s="1"/>
  <c r="C76" i="84" s="1"/>
  <c r="G80" i="21"/>
  <c r="H80" i="21" s="1"/>
  <c r="B142" i="22" s="1"/>
  <c r="D142" i="22" s="1"/>
  <c r="C74" i="77" s="1"/>
  <c r="M23" i="35"/>
  <c r="D42" i="43"/>
  <c r="M26" i="50"/>
  <c r="F41" i="43"/>
  <c r="F41" i="13"/>
  <c r="F9" i="5"/>
  <c r="F18" i="50"/>
  <c r="J18" i="50"/>
  <c r="F9" i="44"/>
  <c r="E50" i="44"/>
  <c r="L16" i="38"/>
  <c r="F16" i="38"/>
  <c r="G60" i="55"/>
  <c r="H60" i="55" s="1"/>
  <c r="B123" i="54" s="1"/>
  <c r="H123" i="54" s="1"/>
  <c r="E20" i="9"/>
  <c r="G68" i="24"/>
  <c r="H68" i="24" s="1"/>
  <c r="E6" i="1"/>
  <c r="F6" i="1" s="1"/>
  <c r="T6" i="1" s="1"/>
  <c r="F133" i="59"/>
  <c r="J9" i="44"/>
  <c r="H662" i="1"/>
  <c r="C57" i="21" s="1"/>
  <c r="G57" i="21" s="1"/>
  <c r="H57" i="21" s="1"/>
  <c r="M27" i="38"/>
  <c r="M34" i="11"/>
  <c r="E37" i="57"/>
  <c r="N336" i="1" s="1"/>
  <c r="G336" i="1" s="1"/>
  <c r="M42" i="38"/>
  <c r="E50" i="5"/>
  <c r="J9" i="5"/>
  <c r="J17" i="11"/>
  <c r="E54" i="5"/>
  <c r="L17" i="11"/>
  <c r="M32" i="50"/>
  <c r="F41" i="16"/>
  <c r="E53" i="11"/>
  <c r="M24" i="47"/>
  <c r="E58" i="38"/>
  <c r="F41" i="10"/>
  <c r="M31" i="14"/>
  <c r="L15" i="26"/>
  <c r="M32" i="44"/>
  <c r="F28" i="2"/>
  <c r="H133" i="59"/>
  <c r="F41" i="37"/>
  <c r="L28" i="2"/>
  <c r="F17" i="26"/>
  <c r="J17" i="26"/>
  <c r="E46" i="26"/>
  <c r="F15" i="44"/>
  <c r="J15" i="44"/>
  <c r="F41" i="49"/>
  <c r="E54" i="44"/>
  <c r="M33" i="50"/>
  <c r="E80" i="2"/>
  <c r="M101" i="61"/>
  <c r="E85" i="18"/>
  <c r="M21" i="35"/>
  <c r="E55" i="14"/>
  <c r="G33" i="31"/>
  <c r="H33" i="31" s="1"/>
  <c r="B130" i="33" s="1"/>
  <c r="D130" i="33" s="1"/>
  <c r="B76" i="78" s="1"/>
  <c r="F35" i="4"/>
  <c r="D31" i="49"/>
  <c r="M94" i="23"/>
  <c r="H35" i="44"/>
  <c r="G87" i="42"/>
  <c r="H87" i="42" s="1"/>
  <c r="B22" i="7"/>
  <c r="D22" i="7" s="1"/>
  <c r="M105" i="58"/>
  <c r="M29" i="38"/>
  <c r="M24" i="26"/>
  <c r="M31" i="38"/>
  <c r="B43" i="37"/>
  <c r="D43" i="37" s="1"/>
  <c r="J17" i="38"/>
  <c r="G34" i="31"/>
  <c r="H34" i="31" s="1"/>
  <c r="B131" i="33" s="1"/>
  <c r="D131" i="33" s="1"/>
  <c r="B77" i="78" s="1"/>
  <c r="L17" i="38"/>
  <c r="J19" i="11"/>
  <c r="L19" i="11"/>
  <c r="F15" i="26"/>
  <c r="E57" i="11"/>
  <c r="E54" i="38"/>
  <c r="F19" i="11"/>
  <c r="E42" i="26"/>
  <c r="G37" i="42"/>
  <c r="H37" i="42" s="1"/>
  <c r="F34" i="25"/>
  <c r="H34" i="25"/>
  <c r="G87" i="18"/>
  <c r="H87" i="18" s="1"/>
  <c r="B146" i="19" s="1"/>
  <c r="D146" i="19" s="1"/>
  <c r="C78" i="76" s="1"/>
  <c r="D49" i="49"/>
  <c r="M42" i="2"/>
  <c r="I59" i="6"/>
  <c r="G80" i="18"/>
  <c r="H80" i="18" s="1"/>
  <c r="B142" i="19" s="1"/>
  <c r="D142" i="19" s="1"/>
  <c r="C74" i="76" s="1"/>
  <c r="M25" i="47"/>
  <c r="E76" i="2"/>
  <c r="B22" i="13"/>
  <c r="D163" i="40"/>
  <c r="G85" i="60"/>
  <c r="H85" i="60" s="1"/>
  <c r="B145" i="62" s="1"/>
  <c r="D145" i="62" s="1"/>
  <c r="C76" i="81" s="1"/>
  <c r="D48" i="28"/>
  <c r="L30" i="2"/>
  <c r="D23" i="62"/>
  <c r="H35" i="54"/>
  <c r="J30" i="2"/>
  <c r="F30" i="2"/>
  <c r="H111" i="21"/>
  <c r="M39" i="14"/>
  <c r="M24" i="38"/>
  <c r="J11" i="50"/>
  <c r="G35" i="42"/>
  <c r="H35" i="42" s="1"/>
  <c r="L11" i="50"/>
  <c r="G22" i="15"/>
  <c r="H22" i="15" s="1"/>
  <c r="E10" i="1"/>
  <c r="F10" i="1" s="1"/>
  <c r="M33" i="5"/>
  <c r="M24" i="44"/>
  <c r="G43" i="45"/>
  <c r="H43" i="45" s="1"/>
  <c r="B25" i="4"/>
  <c r="D25" i="4" s="1"/>
  <c r="I86" i="3"/>
  <c r="J16" i="8"/>
  <c r="H170" i="62"/>
  <c r="E9" i="1"/>
  <c r="F9" i="1" s="1"/>
  <c r="M47" i="2"/>
  <c r="L16" i="8"/>
  <c r="H122" i="62"/>
  <c r="E58" i="24"/>
  <c r="J17" i="14"/>
  <c r="F16" i="8"/>
  <c r="H172" i="62"/>
  <c r="F17" i="14"/>
  <c r="E51" i="8"/>
  <c r="H150" i="62"/>
  <c r="M38" i="5"/>
  <c r="H171" i="62"/>
  <c r="M95" i="23"/>
  <c r="M25" i="8"/>
  <c r="N121" i="40"/>
  <c r="B22" i="36"/>
  <c r="M42" i="50"/>
  <c r="B47" i="4"/>
  <c r="B22" i="46"/>
  <c r="E19" i="45"/>
  <c r="G89" i="57"/>
  <c r="H89" i="57" s="1"/>
  <c r="B148" i="59" s="1"/>
  <c r="D148" i="59" s="1"/>
  <c r="C78" i="82" s="1"/>
  <c r="F15" i="14"/>
  <c r="H153" i="62"/>
  <c r="B22" i="49"/>
  <c r="F22" i="49" s="1"/>
  <c r="E86" i="18"/>
  <c r="D12" i="4"/>
  <c r="D60" i="4" s="1"/>
  <c r="H29" i="40"/>
  <c r="L15" i="14"/>
  <c r="E51" i="14"/>
  <c r="H37" i="40"/>
  <c r="G42" i="39"/>
  <c r="H42" i="39" s="1"/>
  <c r="J15" i="14"/>
  <c r="H31" i="40"/>
  <c r="H43" i="40"/>
  <c r="E8" i="1"/>
  <c r="F8" i="1" s="1"/>
  <c r="H53" i="40"/>
  <c r="M33" i="11"/>
  <c r="M46" i="2"/>
  <c r="H27" i="40"/>
  <c r="H33" i="40"/>
  <c r="D42" i="16"/>
  <c r="E51" i="50"/>
  <c r="L15" i="44"/>
  <c r="J19" i="50"/>
  <c r="H155" i="42"/>
  <c r="F136" i="54"/>
  <c r="H99" i="25"/>
  <c r="E85" i="42"/>
  <c r="B24" i="40"/>
  <c r="H119" i="25"/>
  <c r="H126" i="25"/>
  <c r="E92" i="21"/>
  <c r="E55" i="50"/>
  <c r="E58" i="50" s="1"/>
  <c r="M24" i="14"/>
  <c r="H124" i="25"/>
  <c r="F45" i="4"/>
  <c r="F19" i="50"/>
  <c r="H145" i="25"/>
  <c r="G85" i="57"/>
  <c r="H85" i="57" s="1"/>
  <c r="B145" i="59" s="1"/>
  <c r="H145" i="59" s="1"/>
  <c r="E33" i="18"/>
  <c r="H146" i="25"/>
  <c r="H140" i="25"/>
  <c r="H138" i="25"/>
  <c r="I61" i="3"/>
  <c r="H144" i="25"/>
  <c r="H38" i="40"/>
  <c r="H147" i="25"/>
  <c r="H132" i="25"/>
  <c r="H113" i="25"/>
  <c r="D139" i="25"/>
  <c r="F139" i="25"/>
  <c r="H97" i="25"/>
  <c r="H98" i="25"/>
  <c r="H146" i="54"/>
  <c r="E23" i="55"/>
  <c r="G80" i="42"/>
  <c r="H80" i="42" s="1"/>
  <c r="L97" i="41"/>
  <c r="H99" i="54"/>
  <c r="H172" i="40"/>
  <c r="E30" i="12"/>
  <c r="G30" i="12"/>
  <c r="H32" i="40"/>
  <c r="E40" i="12"/>
  <c r="G40" i="12"/>
  <c r="H40" i="12" s="1"/>
  <c r="H87" i="3"/>
  <c r="G67" i="45"/>
  <c r="H67" i="45" s="1"/>
  <c r="H66" i="45"/>
  <c r="E46" i="51"/>
  <c r="G46" i="51"/>
  <c r="H46" i="51" s="1"/>
  <c r="H63" i="45"/>
  <c r="G64" i="45"/>
  <c r="H64" i="45" s="1"/>
  <c r="E36" i="48"/>
  <c r="G36" i="48"/>
  <c r="H36" i="48" s="1"/>
  <c r="G66" i="15"/>
  <c r="H66" i="15" s="1"/>
  <c r="H65" i="15"/>
  <c r="D31" i="36"/>
  <c r="F31" i="36"/>
  <c r="E36" i="34"/>
  <c r="G36" i="34"/>
  <c r="H36" i="34" s="1"/>
  <c r="E7" i="1"/>
  <c r="F7" i="1" s="1"/>
  <c r="E27" i="48"/>
  <c r="G27" i="48"/>
  <c r="H27" i="48" s="1"/>
  <c r="H23" i="40"/>
  <c r="I81" i="39"/>
  <c r="B30" i="37"/>
  <c r="N293" i="1"/>
  <c r="E29" i="51"/>
  <c r="G29" i="51"/>
  <c r="H29" i="51" s="1"/>
  <c r="E26" i="6"/>
  <c r="G26" i="6"/>
  <c r="H26" i="6" s="1"/>
  <c r="B21" i="7" s="1"/>
  <c r="J18" i="49"/>
  <c r="K18" i="49" s="1"/>
  <c r="I22" i="49"/>
  <c r="I24" i="49" s="1"/>
  <c r="J24" i="49" s="1"/>
  <c r="E33" i="34"/>
  <c r="G33" i="34"/>
  <c r="H33" i="34" s="1"/>
  <c r="F34" i="4"/>
  <c r="D48" i="10"/>
  <c r="M29" i="5"/>
  <c r="H144" i="54"/>
  <c r="H173" i="40"/>
  <c r="H126" i="40"/>
  <c r="H140" i="54"/>
  <c r="H121" i="40"/>
  <c r="H174" i="40"/>
  <c r="H118" i="40"/>
  <c r="H159" i="40"/>
  <c r="H145" i="54"/>
  <c r="H94" i="54"/>
  <c r="F48" i="4"/>
  <c r="G21" i="39"/>
  <c r="H21" i="39" s="1"/>
  <c r="G17" i="27"/>
  <c r="H17" i="27" s="1"/>
  <c r="H137" i="40"/>
  <c r="H126" i="54"/>
  <c r="H152" i="40"/>
  <c r="H97" i="54"/>
  <c r="B44" i="7"/>
  <c r="E24" i="1"/>
  <c r="F24" i="1" s="1"/>
  <c r="T24" i="1" s="1"/>
  <c r="H163" i="40"/>
  <c r="H124" i="40"/>
  <c r="M23" i="2"/>
  <c r="H69" i="40"/>
  <c r="B15" i="40"/>
  <c r="H64" i="40"/>
  <c r="D15" i="40"/>
  <c r="M45" i="2"/>
  <c r="H154" i="42"/>
  <c r="F167" i="40" s="1"/>
  <c r="D23" i="40"/>
  <c r="H113" i="54"/>
  <c r="H136" i="54"/>
  <c r="H160" i="40"/>
  <c r="H137" i="54"/>
  <c r="F159" i="33"/>
  <c r="M39" i="50"/>
  <c r="F114" i="19"/>
  <c r="H114" i="19"/>
  <c r="D114" i="19"/>
  <c r="D114" i="40"/>
  <c r="F114" i="40"/>
  <c r="H114" i="40"/>
  <c r="M95" i="56"/>
  <c r="G23" i="24"/>
  <c r="H23" i="24" s="1"/>
  <c r="B106" i="25" s="1"/>
  <c r="H162" i="59"/>
  <c r="D106" i="40"/>
  <c r="H191" i="40"/>
  <c r="H186" i="40"/>
  <c r="H165" i="40"/>
  <c r="H125" i="40"/>
  <c r="H122" i="40"/>
  <c r="B106" i="40"/>
  <c r="H120" i="40"/>
  <c r="D91" i="25"/>
  <c r="H158" i="25"/>
  <c r="H163" i="25"/>
  <c r="H103" i="25"/>
  <c r="H102" i="25"/>
  <c r="H101" i="25"/>
  <c r="H133" i="25"/>
  <c r="H139" i="25"/>
  <c r="B91" i="25"/>
  <c r="F114" i="62"/>
  <c r="H114" i="62"/>
  <c r="D114" i="62"/>
  <c r="D151" i="19"/>
  <c r="M31" i="47"/>
  <c r="G34" i="15"/>
  <c r="H34" i="15" s="1"/>
  <c r="G26" i="24"/>
  <c r="H26" i="24" s="1"/>
  <c r="B109" i="25" s="1"/>
  <c r="D109" i="25" s="1"/>
  <c r="B75" i="84" s="1"/>
  <c r="H159" i="33"/>
  <c r="F114" i="22"/>
  <c r="D114" i="22"/>
  <c r="H114" i="22"/>
  <c r="D91" i="54"/>
  <c r="H163" i="54"/>
  <c r="H158" i="54"/>
  <c r="H133" i="54"/>
  <c r="H102" i="54"/>
  <c r="H101" i="54"/>
  <c r="H132" i="54"/>
  <c r="H138" i="54"/>
  <c r="H147" i="54"/>
  <c r="B91" i="54"/>
  <c r="H103" i="54"/>
  <c r="D106" i="62"/>
  <c r="H184" i="62"/>
  <c r="H189" i="62"/>
  <c r="H123" i="62"/>
  <c r="H157" i="62"/>
  <c r="H158" i="62"/>
  <c r="H124" i="62"/>
  <c r="H118" i="62"/>
  <c r="H135" i="62"/>
  <c r="H120" i="62"/>
  <c r="B106" i="62"/>
  <c r="H173" i="62"/>
  <c r="H163" i="62"/>
  <c r="H119" i="62"/>
  <c r="M29" i="50"/>
  <c r="B44" i="49"/>
  <c r="G58" i="55"/>
  <c r="H58" i="55" s="1"/>
  <c r="B121" i="54" s="1"/>
  <c r="F121" i="54" s="1"/>
  <c r="E85" i="21"/>
  <c r="M105" i="17"/>
  <c r="B70" i="19"/>
  <c r="G64" i="55"/>
  <c r="H64" i="55" s="1"/>
  <c r="B124" i="54" s="1"/>
  <c r="D124" i="54" s="1"/>
  <c r="C77" i="83" s="1"/>
  <c r="F99" i="54"/>
  <c r="M30" i="50"/>
  <c r="G30" i="27"/>
  <c r="H30" i="27" s="1"/>
  <c r="G92" i="18"/>
  <c r="H92" i="18" s="1"/>
  <c r="F137" i="54"/>
  <c r="E79" i="57"/>
  <c r="D137" i="54"/>
  <c r="D50" i="4"/>
  <c r="F50" i="4"/>
  <c r="D99" i="54"/>
  <c r="H161" i="62"/>
  <c r="G80" i="57"/>
  <c r="H80" i="57" s="1"/>
  <c r="B143" i="59" s="1"/>
  <c r="D143" i="59" s="1"/>
  <c r="C74" i="82" s="1"/>
  <c r="F153" i="62"/>
  <c r="D153" i="62"/>
  <c r="G92" i="60"/>
  <c r="H92" i="60" s="1"/>
  <c r="F161" i="62"/>
  <c r="G28" i="60"/>
  <c r="H28" i="60" s="1"/>
  <c r="B128" i="62" s="1"/>
  <c r="F128" i="62" s="1"/>
  <c r="E28" i="42"/>
  <c r="D149" i="22"/>
  <c r="F149" i="22"/>
  <c r="H149" i="22"/>
  <c r="G25" i="24"/>
  <c r="H25" i="24" s="1"/>
  <c r="B108" i="25" s="1"/>
  <c r="H108" i="25" s="1"/>
  <c r="H141" i="25"/>
  <c r="D139" i="54"/>
  <c r="F139" i="54"/>
  <c r="H139" i="54"/>
  <c r="H153" i="59"/>
  <c r="F153" i="59"/>
  <c r="D162" i="59"/>
  <c r="E28" i="57"/>
  <c r="F138" i="62"/>
  <c r="H138" i="62"/>
  <c r="G34" i="42"/>
  <c r="H34" i="42" s="1"/>
  <c r="G86" i="42"/>
  <c r="H86" i="42" s="1"/>
  <c r="G40" i="60"/>
  <c r="H40" i="60" s="1"/>
  <c r="B151" i="62"/>
  <c r="F151" i="62" s="1"/>
  <c r="E92" i="42"/>
  <c r="G89" i="42"/>
  <c r="H89" i="42" s="1"/>
  <c r="G92" i="31"/>
  <c r="H92" i="31" s="1"/>
  <c r="F151" i="19"/>
  <c r="G28" i="18"/>
  <c r="H28" i="18" s="1"/>
  <c r="B128" i="19" s="1"/>
  <c r="F128" i="19" s="1"/>
  <c r="H159" i="22"/>
  <c r="F159" i="22"/>
  <c r="E40" i="18"/>
  <c r="D164" i="40"/>
  <c r="F164" i="40"/>
  <c r="H164" i="40"/>
  <c r="D188" i="19"/>
  <c r="H188" i="19"/>
  <c r="F188" i="19"/>
  <c r="D136" i="25"/>
  <c r="F136" i="25"/>
  <c r="H136" i="25"/>
  <c r="D160" i="22"/>
  <c r="F160" i="22"/>
  <c r="H160" i="22"/>
  <c r="D137" i="25"/>
  <c r="F137" i="25"/>
  <c r="H137" i="25"/>
  <c r="F162" i="62"/>
  <c r="D162" i="62"/>
  <c r="H162" i="62"/>
  <c r="D161" i="59"/>
  <c r="F161" i="59"/>
  <c r="H161" i="59"/>
  <c r="D160" i="33"/>
  <c r="F160" i="33"/>
  <c r="H160" i="33"/>
  <c r="D148" i="62"/>
  <c r="F148" i="62"/>
  <c r="H148" i="62"/>
  <c r="D142" i="62"/>
  <c r="F142" i="62"/>
  <c r="H142" i="62"/>
  <c r="D127" i="33"/>
  <c r="H127" i="33"/>
  <c r="F127" i="33"/>
  <c r="D144" i="33"/>
  <c r="C76" i="78" s="1"/>
  <c r="F144" i="33"/>
  <c r="H144" i="33"/>
  <c r="D146" i="59"/>
  <c r="C77" i="82" s="1"/>
  <c r="F146" i="59"/>
  <c r="H146" i="59"/>
  <c r="D106" i="54"/>
  <c r="F106" i="54"/>
  <c r="H106" i="54"/>
  <c r="F138" i="59"/>
  <c r="D138" i="59"/>
  <c r="H138" i="59"/>
  <c r="D107" i="25"/>
  <c r="B73" i="84" s="1"/>
  <c r="F107" i="25"/>
  <c r="H107" i="25"/>
  <c r="D146" i="33"/>
  <c r="F146" i="33"/>
  <c r="H146" i="33"/>
  <c r="H144" i="22"/>
  <c r="D144" i="22"/>
  <c r="C76" i="77" s="1"/>
  <c r="F144" i="22"/>
  <c r="D141" i="22"/>
  <c r="H141" i="22"/>
  <c r="F141" i="22"/>
  <c r="F131" i="62"/>
  <c r="D131" i="62"/>
  <c r="B77" i="81" s="1"/>
  <c r="H131" i="62"/>
  <c r="D121" i="25"/>
  <c r="C74" i="84" s="1"/>
  <c r="F121" i="25"/>
  <c r="H121" i="25"/>
  <c r="D147" i="59"/>
  <c r="F147" i="59"/>
  <c r="H147" i="59"/>
  <c r="D144" i="59"/>
  <c r="C75" i="82" s="1"/>
  <c r="F144" i="59"/>
  <c r="H144" i="59"/>
  <c r="D128" i="59"/>
  <c r="B74" i="82" s="1"/>
  <c r="F128" i="59"/>
  <c r="H128" i="59"/>
  <c r="D132" i="62"/>
  <c r="H132" i="62"/>
  <c r="F132" i="62"/>
  <c r="D142" i="59"/>
  <c r="F142" i="59"/>
  <c r="H142" i="59"/>
  <c r="F127" i="22"/>
  <c r="D127" i="22"/>
  <c r="H127" i="22"/>
  <c r="D119" i="54"/>
  <c r="F119" i="54"/>
  <c r="H119" i="54"/>
  <c r="B127" i="25"/>
  <c r="H137" i="19"/>
  <c r="D137" i="19"/>
  <c r="H130" i="19"/>
  <c r="D130" i="19"/>
  <c r="B76" i="76" s="1"/>
  <c r="F130" i="19"/>
  <c r="D149" i="19"/>
  <c r="H149" i="19"/>
  <c r="F149" i="19"/>
  <c r="D127" i="19"/>
  <c r="H127" i="19"/>
  <c r="F127" i="19"/>
  <c r="D145" i="19"/>
  <c r="C77" i="76" s="1"/>
  <c r="H145" i="19"/>
  <c r="F145" i="19"/>
  <c r="D159" i="19"/>
  <c r="H159" i="19"/>
  <c r="F159" i="19"/>
  <c r="D160" i="19"/>
  <c r="H160" i="19"/>
  <c r="F160" i="19"/>
  <c r="D144" i="19"/>
  <c r="C76" i="76" s="1"/>
  <c r="F144" i="19"/>
  <c r="H144" i="19"/>
  <c r="F34" i="54"/>
  <c r="H34" i="54"/>
  <c r="G80" i="60"/>
  <c r="H80" i="60" s="1"/>
  <c r="B143" i="62" s="1"/>
  <c r="G38" i="9"/>
  <c r="H38" i="9" s="1"/>
  <c r="D48" i="13"/>
  <c r="G80" i="31"/>
  <c r="H80" i="31" s="1"/>
  <c r="B142" i="33" s="1"/>
  <c r="J49" i="56"/>
  <c r="D77" i="83" s="1"/>
  <c r="G33" i="60"/>
  <c r="H33" i="60" s="1"/>
  <c r="B130" i="62" s="1"/>
  <c r="G40" i="42"/>
  <c r="H40" i="42" s="1"/>
  <c r="G338" i="1"/>
  <c r="G339" i="1"/>
  <c r="G33" i="42"/>
  <c r="H33" i="42" s="1"/>
  <c r="F48" i="43"/>
  <c r="G18" i="15"/>
  <c r="H18" i="15" s="1"/>
  <c r="G35" i="45"/>
  <c r="H35" i="45" s="1"/>
  <c r="H42" i="25"/>
  <c r="E11" i="1"/>
  <c r="F11" i="1" s="1"/>
  <c r="T11" i="1" s="1"/>
  <c r="E56" i="55"/>
  <c r="J97" i="30"/>
  <c r="G79" i="31"/>
  <c r="H79" i="31" s="1"/>
  <c r="B141" i="33" s="1"/>
  <c r="E79" i="60"/>
  <c r="G59" i="55"/>
  <c r="H59" i="55" s="1"/>
  <c r="B122" i="54" s="1"/>
  <c r="M41" i="11"/>
  <c r="E22" i="1"/>
  <c r="F22" i="1" s="1"/>
  <c r="G23" i="27"/>
  <c r="H23" i="27" s="1"/>
  <c r="E40" i="21"/>
  <c r="G40" i="21"/>
  <c r="H40" i="21" s="1"/>
  <c r="G40" i="57"/>
  <c r="H40" i="57" s="1"/>
  <c r="E40" i="57"/>
  <c r="E33" i="21"/>
  <c r="G33" i="21"/>
  <c r="H33" i="21" s="1"/>
  <c r="B130" i="22" s="1"/>
  <c r="H111" i="60"/>
  <c r="H666" i="1"/>
  <c r="C57" i="42" s="1"/>
  <c r="G28" i="31"/>
  <c r="H28" i="31" s="1"/>
  <c r="B128" i="33" s="1"/>
  <c r="M38" i="44"/>
  <c r="G34" i="57"/>
  <c r="H34" i="57" s="1"/>
  <c r="B131" i="59" s="1"/>
  <c r="E40" i="31"/>
  <c r="G40" i="31"/>
  <c r="H40" i="31" s="1"/>
  <c r="G86" i="21"/>
  <c r="H86" i="21" s="1"/>
  <c r="B145" i="22" s="1"/>
  <c r="E27" i="45"/>
  <c r="G27" i="45"/>
  <c r="H27" i="45" s="1"/>
  <c r="M30" i="26"/>
  <c r="L90" i="56"/>
  <c r="J90" i="56"/>
  <c r="L49" i="56"/>
  <c r="L97" i="30"/>
  <c r="E34" i="18"/>
  <c r="G34" i="18"/>
  <c r="H34" i="18" s="1"/>
  <c r="B131" i="19" s="1"/>
  <c r="G86" i="31"/>
  <c r="H86" i="31" s="1"/>
  <c r="B145" i="33" s="1"/>
  <c r="D49" i="36"/>
  <c r="E57" i="57"/>
  <c r="F44" i="46"/>
  <c r="D44" i="36"/>
  <c r="H665" i="1"/>
  <c r="G36" i="27"/>
  <c r="H36" i="27" s="1"/>
  <c r="E59" i="24"/>
  <c r="G59" i="24"/>
  <c r="H59" i="24" s="1"/>
  <c r="B122" i="25" s="1"/>
  <c r="E86" i="60"/>
  <c r="G86" i="60"/>
  <c r="H86" i="60" s="1"/>
  <c r="B146" i="62" s="1"/>
  <c r="D61" i="29"/>
  <c r="B22" i="59"/>
  <c r="D22" i="59" s="1"/>
  <c r="G79" i="18"/>
  <c r="H79" i="18" s="1"/>
  <c r="B141" i="19" s="1"/>
  <c r="G79" i="42"/>
  <c r="H79" i="42" s="1"/>
  <c r="F42" i="33"/>
  <c r="F41" i="33"/>
  <c r="F52" i="33"/>
  <c r="F51" i="33"/>
  <c r="G25" i="55"/>
  <c r="H25" i="55" s="1"/>
  <c r="B108" i="54" s="1"/>
  <c r="E25" i="55"/>
  <c r="M38" i="8"/>
  <c r="G41" i="24"/>
  <c r="H41" i="24" s="1"/>
  <c r="E41" i="24"/>
  <c r="G154" i="60"/>
  <c r="H154" i="60" s="1"/>
  <c r="C8" i="62"/>
  <c r="G151" i="60"/>
  <c r="H151" i="60" s="1"/>
  <c r="G155" i="60"/>
  <c r="H155" i="60" s="1"/>
  <c r="G150" i="60"/>
  <c r="H150" i="60" s="1"/>
  <c r="G152" i="60"/>
  <c r="H152" i="60" s="1"/>
  <c r="G153" i="60"/>
  <c r="H153" i="60" s="1"/>
  <c r="E26" i="55"/>
  <c r="G26" i="55"/>
  <c r="H26" i="55" s="1"/>
  <c r="B109" i="54" s="1"/>
  <c r="G34" i="21"/>
  <c r="H34" i="21" s="1"/>
  <c r="B131" i="22" s="1"/>
  <c r="E34" i="21"/>
  <c r="L97" i="17"/>
  <c r="H97" i="17"/>
  <c r="J97" i="17"/>
  <c r="M58" i="56"/>
  <c r="H664" i="1"/>
  <c r="C57" i="31" s="1"/>
  <c r="G57" i="31" s="1"/>
  <c r="H57" i="31" s="1"/>
  <c r="E8" i="62"/>
  <c r="M102" i="20"/>
  <c r="M101" i="30"/>
  <c r="G4" i="24"/>
  <c r="E27" i="55"/>
  <c r="G27" i="55"/>
  <c r="H27" i="55" s="1"/>
  <c r="B110" i="54" s="1"/>
  <c r="E31" i="55"/>
  <c r="G31" i="55"/>
  <c r="H31" i="55" s="1"/>
  <c r="B111" i="54" s="1"/>
  <c r="E35" i="57"/>
  <c r="G35" i="57"/>
  <c r="H35" i="57" s="1"/>
  <c r="B132" i="59" s="1"/>
  <c r="E31" i="24"/>
  <c r="G31" i="24"/>
  <c r="H31" i="24" s="1"/>
  <c r="B111" i="25" s="1"/>
  <c r="F35" i="54"/>
  <c r="D35" i="54"/>
  <c r="E32" i="83" s="1"/>
  <c r="E35" i="21"/>
  <c r="G35" i="21"/>
  <c r="H35" i="21" s="1"/>
  <c r="B132" i="22" s="1"/>
  <c r="E35" i="31"/>
  <c r="G35" i="31"/>
  <c r="H35" i="31" s="1"/>
  <c r="B132" i="33" s="1"/>
  <c r="E35" i="18"/>
  <c r="G35" i="18"/>
  <c r="H35" i="18" s="1"/>
  <c r="B132" i="19" s="1"/>
  <c r="H76" i="24"/>
  <c r="F42" i="25"/>
  <c r="D42" i="25"/>
  <c r="F35" i="25"/>
  <c r="D35" i="25"/>
  <c r="E32" i="84" s="1"/>
  <c r="M101" i="20"/>
  <c r="E40" i="24"/>
  <c r="G40" i="24"/>
  <c r="H40" i="24" s="1"/>
  <c r="L97" i="20"/>
  <c r="J97" i="20"/>
  <c r="E163" i="60"/>
  <c r="G163" i="60"/>
  <c r="H163" i="60" s="1"/>
  <c r="H51" i="62"/>
  <c r="F51" i="62"/>
  <c r="D51" i="62"/>
  <c r="H51" i="40"/>
  <c r="F51" i="40"/>
  <c r="D51" i="40"/>
  <c r="E110" i="55"/>
  <c r="G110" i="55"/>
  <c r="H110" i="55" s="1"/>
  <c r="E162" i="31"/>
  <c r="G162" i="31"/>
  <c r="H162" i="31" s="1"/>
  <c r="D39" i="54"/>
  <c r="F39" i="54"/>
  <c r="E161" i="57"/>
  <c r="G161" i="57"/>
  <c r="H161" i="57" s="1"/>
  <c r="D42" i="22"/>
  <c r="E29" i="77" s="1"/>
  <c r="F42" i="22"/>
  <c r="D51" i="22"/>
  <c r="F51" i="22"/>
  <c r="D50" i="33"/>
  <c r="E37" i="78" s="1"/>
  <c r="F50" i="33"/>
  <c r="E163" i="18"/>
  <c r="G163" i="18"/>
  <c r="H163" i="18" s="1"/>
  <c r="D32" i="25"/>
  <c r="E29" i="84" s="1"/>
  <c r="F32" i="25"/>
  <c r="D40" i="25"/>
  <c r="F40" i="25"/>
  <c r="E110" i="24"/>
  <c r="G110" i="24"/>
  <c r="H110" i="24" s="1"/>
  <c r="E162" i="42"/>
  <c r="G162" i="42"/>
  <c r="H162" i="42" s="1"/>
  <c r="E161" i="60"/>
  <c r="G161" i="60"/>
  <c r="H161" i="60" s="1"/>
  <c r="D32" i="54"/>
  <c r="E29" i="83" s="1"/>
  <c r="F32" i="54"/>
  <c r="D31" i="25"/>
  <c r="E28" i="84" s="1"/>
  <c r="F31" i="25"/>
  <c r="H42" i="40"/>
  <c r="F42" i="40"/>
  <c r="D42" i="40"/>
  <c r="G3" i="3"/>
  <c r="G4" i="3" s="1"/>
  <c r="M94" i="56"/>
  <c r="E163" i="21"/>
  <c r="G163" i="21"/>
  <c r="H163" i="21" s="1"/>
  <c r="D50" i="22"/>
  <c r="F50" i="22"/>
  <c r="E160" i="18"/>
  <c r="G160" i="18"/>
  <c r="H160" i="18" s="1"/>
  <c r="E112" i="55"/>
  <c r="G112" i="55"/>
  <c r="H112" i="55" s="1"/>
  <c r="D39" i="25"/>
  <c r="F39" i="25"/>
  <c r="E111" i="55"/>
  <c r="G111" i="55"/>
  <c r="H111" i="55" s="1"/>
  <c r="D50" i="59"/>
  <c r="F50" i="59"/>
  <c r="F46" i="4"/>
  <c r="D46" i="4"/>
  <c r="F52" i="40"/>
  <c r="D52" i="40"/>
  <c r="H52" i="40"/>
  <c r="E163" i="31"/>
  <c r="G163" i="31"/>
  <c r="H163" i="31" s="1"/>
  <c r="H41" i="62"/>
  <c r="F41" i="62"/>
  <c r="D41" i="62"/>
  <c r="E28" i="81" s="1"/>
  <c r="E160" i="21"/>
  <c r="G160" i="21"/>
  <c r="H160" i="21" s="1"/>
  <c r="E162" i="57"/>
  <c r="G162" i="57"/>
  <c r="H162" i="57" s="1"/>
  <c r="D31" i="54"/>
  <c r="E28" i="83" s="1"/>
  <c r="F31" i="54"/>
  <c r="E111" i="24"/>
  <c r="G111" i="24"/>
  <c r="H111" i="24" s="1"/>
  <c r="F51" i="59"/>
  <c r="D51" i="59"/>
  <c r="F52" i="59"/>
  <c r="D52" i="59"/>
  <c r="D51" i="19"/>
  <c r="H20" i="9"/>
  <c r="D41" i="59"/>
  <c r="E28" i="82" s="1"/>
  <c r="F41" i="59"/>
  <c r="E163" i="42"/>
  <c r="G163" i="42"/>
  <c r="H163" i="42" s="1"/>
  <c r="E160" i="31"/>
  <c r="G160" i="31"/>
  <c r="H160" i="31" s="1"/>
  <c r="D41" i="19"/>
  <c r="E28" i="76" s="1"/>
  <c r="E112" i="24"/>
  <c r="G112" i="24"/>
  <c r="H112" i="24" s="1"/>
  <c r="E161" i="18"/>
  <c r="G161" i="18"/>
  <c r="H161" i="18" s="1"/>
  <c r="H42" i="62"/>
  <c r="F42" i="62"/>
  <c r="D42" i="62"/>
  <c r="E29" i="81" s="1"/>
  <c r="D50" i="40"/>
  <c r="F50" i="40"/>
  <c r="H50" i="40"/>
  <c r="F41" i="54"/>
  <c r="D41" i="54"/>
  <c r="E113" i="55"/>
  <c r="G113" i="55"/>
  <c r="H113" i="55" s="1"/>
  <c r="D52" i="22"/>
  <c r="F52" i="22"/>
  <c r="E160" i="42"/>
  <c r="G160" i="42"/>
  <c r="H160" i="42" s="1"/>
  <c r="D42" i="19"/>
  <c r="E29" i="76" s="1"/>
  <c r="F42" i="19"/>
  <c r="E162" i="18"/>
  <c r="G162" i="18"/>
  <c r="H162" i="18" s="1"/>
  <c r="E161" i="21"/>
  <c r="G161" i="21"/>
  <c r="H161" i="21" s="1"/>
  <c r="D49" i="43"/>
  <c r="F49" i="43"/>
  <c r="E113" i="24"/>
  <c r="G113" i="24"/>
  <c r="H113" i="24" s="1"/>
  <c r="H41" i="40"/>
  <c r="F41" i="40"/>
  <c r="D41" i="40"/>
  <c r="E160" i="60"/>
  <c r="G160" i="60"/>
  <c r="H160" i="60" s="1"/>
  <c r="E162" i="60"/>
  <c r="G162" i="60"/>
  <c r="H162" i="60" s="1"/>
  <c r="E161" i="31"/>
  <c r="G161" i="31"/>
  <c r="H161" i="31" s="1"/>
  <c r="D50" i="19"/>
  <c r="D41" i="25"/>
  <c r="F41" i="25"/>
  <c r="D52" i="19"/>
  <c r="D40" i="54"/>
  <c r="F40" i="54"/>
  <c r="F41" i="22"/>
  <c r="D41" i="22"/>
  <c r="E28" i="77" s="1"/>
  <c r="H41" i="22"/>
  <c r="H663" i="1"/>
  <c r="D52" i="62"/>
  <c r="F52" i="62"/>
  <c r="E163" i="57"/>
  <c r="G163" i="57"/>
  <c r="H163" i="57" s="1"/>
  <c r="E160" i="57"/>
  <c r="G160" i="57"/>
  <c r="H160" i="57" s="1"/>
  <c r="E162" i="21"/>
  <c r="G162" i="21"/>
  <c r="H162" i="21" s="1"/>
  <c r="D50" i="62"/>
  <c r="F50" i="62"/>
  <c r="E161" i="42"/>
  <c r="G161" i="42"/>
  <c r="H161" i="42" s="1"/>
  <c r="M102" i="30"/>
  <c r="F42" i="59"/>
  <c r="D42" i="59"/>
  <c r="E29" i="82" s="1"/>
  <c r="G22" i="2"/>
  <c r="H22" i="2" s="1"/>
  <c r="G12" i="14"/>
  <c r="H12" i="14" s="1"/>
  <c r="G12" i="8"/>
  <c r="H12" i="8" s="1"/>
  <c r="G12" i="38"/>
  <c r="H12" i="38" s="1"/>
  <c r="G12" i="5"/>
  <c r="H12" i="5" s="1"/>
  <c r="G12" i="35"/>
  <c r="H12" i="35" s="1"/>
  <c r="G20" i="2"/>
  <c r="H20" i="2" s="1"/>
  <c r="G14" i="11"/>
  <c r="H14" i="11" s="1"/>
  <c r="G14" i="50"/>
  <c r="H14" i="50" s="1"/>
  <c r="G14" i="47"/>
  <c r="H14" i="47" s="1"/>
  <c r="G12" i="44"/>
  <c r="H12" i="44" s="1"/>
  <c r="G12" i="26"/>
  <c r="H12" i="26" s="1"/>
  <c r="G3" i="31"/>
  <c r="G4" i="31" s="1"/>
  <c r="F44" i="13"/>
  <c r="D44" i="13"/>
  <c r="G3" i="18"/>
  <c r="G4" i="18" s="1"/>
  <c r="I155" i="57"/>
  <c r="F48" i="46"/>
  <c r="D48" i="46"/>
  <c r="H23" i="19"/>
  <c r="D23" i="19"/>
  <c r="F23" i="19"/>
  <c r="H69" i="33"/>
  <c r="H29" i="33"/>
  <c r="D15" i="33"/>
  <c r="H33" i="33"/>
  <c r="H38" i="33"/>
  <c r="H64" i="33"/>
  <c r="F15" i="29"/>
  <c r="B15" i="33"/>
  <c r="H31" i="33"/>
  <c r="H41" i="33"/>
  <c r="H51" i="33"/>
  <c r="H52" i="33"/>
  <c r="H37" i="33"/>
  <c r="H43" i="33"/>
  <c r="H27" i="33"/>
  <c r="H32" i="33"/>
  <c r="H28" i="33"/>
  <c r="H42" i="33"/>
  <c r="H50" i="33"/>
  <c r="H53" i="33"/>
  <c r="C8" i="19"/>
  <c r="G151" i="18"/>
  <c r="H151" i="18" s="1"/>
  <c r="G152" i="18"/>
  <c r="H152" i="18" s="1"/>
  <c r="G153" i="18"/>
  <c r="H153" i="18" s="1"/>
  <c r="G150" i="18"/>
  <c r="H150" i="18" s="1"/>
  <c r="D15" i="19"/>
  <c r="F13" i="29"/>
  <c r="B15" i="19"/>
  <c r="H33" i="19"/>
  <c r="H43" i="19"/>
  <c r="H52" i="19"/>
  <c r="H64" i="19"/>
  <c r="H69" i="19"/>
  <c r="G60" i="15"/>
  <c r="H60" i="15" s="1"/>
  <c r="H28" i="19"/>
  <c r="H37" i="19"/>
  <c r="H29" i="19"/>
  <c r="H38" i="19"/>
  <c r="H32" i="19"/>
  <c r="H51" i="19"/>
  <c r="H31" i="19"/>
  <c r="H41" i="19"/>
  <c r="H50" i="19"/>
  <c r="H27" i="19"/>
  <c r="H42" i="19"/>
  <c r="H53" i="19"/>
  <c r="D49" i="28"/>
  <c r="F49" i="28"/>
  <c r="H660" i="1"/>
  <c r="C57" i="18" s="1"/>
  <c r="F42" i="13"/>
  <c r="D42" i="13"/>
  <c r="F42" i="49"/>
  <c r="D42" i="49"/>
  <c r="E8" i="19"/>
  <c r="G154" i="18"/>
  <c r="H154" i="18" s="1"/>
  <c r="G155" i="18"/>
  <c r="H155" i="18" s="1"/>
  <c r="H23" i="33"/>
  <c r="F23" i="33"/>
  <c r="D23" i="33"/>
  <c r="H70" i="59"/>
  <c r="D70" i="59"/>
  <c r="F70" i="59"/>
  <c r="E8" i="33"/>
  <c r="G154" i="31"/>
  <c r="H154" i="31" s="1"/>
  <c r="G155" i="31"/>
  <c r="H155" i="31" s="1"/>
  <c r="D42" i="7"/>
  <c r="F42" i="7"/>
  <c r="F49" i="7"/>
  <c r="D49" i="7"/>
  <c r="B24" i="59"/>
  <c r="G21" i="2"/>
  <c r="H21" i="2" s="1"/>
  <c r="C8" i="33"/>
  <c r="G151" i="31"/>
  <c r="H151" i="31" s="1"/>
  <c r="G152" i="31"/>
  <c r="H152" i="31" s="1"/>
  <c r="G153" i="31"/>
  <c r="H153" i="31" s="1"/>
  <c r="G150" i="31"/>
  <c r="H150" i="31" s="1"/>
  <c r="F42" i="10"/>
  <c r="D42" i="10"/>
  <c r="D48" i="7"/>
  <c r="F48" i="7"/>
  <c r="F42" i="37"/>
  <c r="D42" i="37"/>
  <c r="F133" i="85" l="1"/>
  <c r="E23" i="90"/>
  <c r="E32" i="90"/>
  <c r="B24" i="19"/>
  <c r="H133" i="85"/>
  <c r="D85" i="29"/>
  <c r="B96" i="29"/>
  <c r="M102" i="58"/>
  <c r="M101" i="58"/>
  <c r="E41" i="55"/>
  <c r="F130" i="85"/>
  <c r="H130" i="85"/>
  <c r="D129" i="89"/>
  <c r="F129" i="89"/>
  <c r="H129" i="89"/>
  <c r="D108" i="89"/>
  <c r="B73" i="90" s="1"/>
  <c r="F108" i="89"/>
  <c r="H108" i="89"/>
  <c r="D110" i="89"/>
  <c r="B75" i="90" s="1"/>
  <c r="F110" i="89"/>
  <c r="H110" i="89"/>
  <c r="H113" i="89"/>
  <c r="F113" i="89"/>
  <c r="D113" i="89"/>
  <c r="F107" i="89"/>
  <c r="D107" i="89"/>
  <c r="B72" i="90" s="1"/>
  <c r="H107" i="89"/>
  <c r="D127" i="54"/>
  <c r="I93" i="92"/>
  <c r="B141" i="89" s="1"/>
  <c r="H141" i="89" s="1"/>
  <c r="D135" i="89"/>
  <c r="H135" i="89"/>
  <c r="D30" i="89"/>
  <c r="E26" i="90" s="1"/>
  <c r="H30" i="89"/>
  <c r="H119" i="89"/>
  <c r="N315" i="1"/>
  <c r="F119" i="89"/>
  <c r="E21" i="1"/>
  <c r="F21" i="1" s="1"/>
  <c r="AG21" i="1" s="1"/>
  <c r="G36" i="24"/>
  <c r="H36" i="24" s="1"/>
  <c r="B112" i="25" s="1"/>
  <c r="H112" i="25" s="1"/>
  <c r="E35" i="90"/>
  <c r="M100" i="91"/>
  <c r="N298" i="1"/>
  <c r="N316" i="1"/>
  <c r="N283" i="1"/>
  <c r="D133" i="89"/>
  <c r="F133" i="89"/>
  <c r="H133" i="89"/>
  <c r="N345" i="1"/>
  <c r="N344" i="1"/>
  <c r="N343" i="1"/>
  <c r="B148" i="89"/>
  <c r="B37" i="89"/>
  <c r="N317" i="1"/>
  <c r="N320" i="1"/>
  <c r="N321" i="1"/>
  <c r="N319" i="1"/>
  <c r="N286" i="1"/>
  <c r="N279" i="1"/>
  <c r="N285" i="1"/>
  <c r="N310" i="1"/>
  <c r="N278" i="1"/>
  <c r="N284" i="1"/>
  <c r="N311" i="1"/>
  <c r="N280" i="1"/>
  <c r="N291" i="1"/>
  <c r="N312" i="1"/>
  <c r="N292" i="1"/>
  <c r="D59" i="89"/>
  <c r="F59" i="89"/>
  <c r="H59" i="89"/>
  <c r="AG19" i="1"/>
  <c r="M19" i="1"/>
  <c r="Q19" i="1"/>
  <c r="AI19" i="1"/>
  <c r="AQ19" i="1"/>
  <c r="O19" i="1"/>
  <c r="AM19" i="1"/>
  <c r="I19" i="1"/>
  <c r="G19" i="1"/>
  <c r="N288" i="1"/>
  <c r="M101" i="91"/>
  <c r="D170" i="89"/>
  <c r="F170" i="89"/>
  <c r="H170" i="89"/>
  <c r="D186" i="89"/>
  <c r="D75" i="89"/>
  <c r="Q16" i="95" s="1"/>
  <c r="N282" i="1"/>
  <c r="N289" i="1"/>
  <c r="M102" i="91"/>
  <c r="F27" i="89"/>
  <c r="D27" i="89"/>
  <c r="E21" i="90" s="1"/>
  <c r="H27" i="89"/>
  <c r="B69" i="29"/>
  <c r="H69" i="29" s="1"/>
  <c r="N313" i="1"/>
  <c r="N276" i="1"/>
  <c r="N318" i="1"/>
  <c r="N326" i="1"/>
  <c r="N325" i="1"/>
  <c r="N327" i="1"/>
  <c r="N314" i="1"/>
  <c r="F53" i="4"/>
  <c r="N290" i="1"/>
  <c r="N297" i="1"/>
  <c r="B105" i="54"/>
  <c r="H105" i="54" s="1"/>
  <c r="B105" i="25"/>
  <c r="H105" i="25" s="1"/>
  <c r="N277" i="1"/>
  <c r="N299" i="1"/>
  <c r="H85" i="29"/>
  <c r="L60" i="29"/>
  <c r="N60" i="29"/>
  <c r="H83" i="29"/>
  <c r="F83" i="29"/>
  <c r="H56" i="29"/>
  <c r="H63" i="29"/>
  <c r="H60" i="29"/>
  <c r="H57" i="29"/>
  <c r="H65" i="29"/>
  <c r="H64" i="29"/>
  <c r="H58" i="29"/>
  <c r="H84" i="29"/>
  <c r="F84" i="29"/>
  <c r="F75" i="29"/>
  <c r="H75" i="29"/>
  <c r="H101" i="29"/>
  <c r="F70" i="29"/>
  <c r="H70" i="29"/>
  <c r="H73" i="29"/>
  <c r="F73" i="29"/>
  <c r="H61" i="29"/>
  <c r="H82" i="29"/>
  <c r="F82" i="29"/>
  <c r="H74" i="29"/>
  <c r="F74" i="29"/>
  <c r="H62" i="29"/>
  <c r="H77" i="29"/>
  <c r="F77" i="29"/>
  <c r="B114" i="54"/>
  <c r="D114" i="54" s="1"/>
  <c r="B48" i="85"/>
  <c r="H48" i="85" s="1"/>
  <c r="M32" i="8"/>
  <c r="B45" i="10"/>
  <c r="F45" i="10" s="1"/>
  <c r="E69" i="24"/>
  <c r="H127" i="54"/>
  <c r="I163" i="88"/>
  <c r="B170" i="85"/>
  <c r="H170" i="85" s="1"/>
  <c r="G41" i="92"/>
  <c r="H41" i="92" s="1"/>
  <c r="B117" i="89" s="1"/>
  <c r="F129" i="25"/>
  <c r="I114" i="92"/>
  <c r="G78" i="92"/>
  <c r="H78" i="92" s="1"/>
  <c r="B134" i="89" s="1"/>
  <c r="N286" i="92"/>
  <c r="G4" i="92"/>
  <c r="G36" i="92"/>
  <c r="H36" i="92" s="1"/>
  <c r="G70" i="92"/>
  <c r="H70" i="92" s="1"/>
  <c r="F127" i="62"/>
  <c r="D129" i="25"/>
  <c r="M99" i="61"/>
  <c r="D126" i="33"/>
  <c r="F126" i="33"/>
  <c r="H126" i="33"/>
  <c r="D126" i="22"/>
  <c r="H126" i="22"/>
  <c r="F126" i="22"/>
  <c r="G310" i="1"/>
  <c r="G311" i="1"/>
  <c r="G312" i="1"/>
  <c r="D126" i="59"/>
  <c r="F126" i="59"/>
  <c r="H126" i="59"/>
  <c r="D126" i="19"/>
  <c r="F126" i="19"/>
  <c r="C56" i="42"/>
  <c r="G56" i="42" s="1"/>
  <c r="H56" i="42" s="1"/>
  <c r="C56" i="88"/>
  <c r="D126" i="62"/>
  <c r="F126" i="62"/>
  <c r="H126" i="62"/>
  <c r="F128" i="40"/>
  <c r="D128" i="40"/>
  <c r="D128" i="85"/>
  <c r="F128" i="85"/>
  <c r="H127" i="59"/>
  <c r="D127" i="59"/>
  <c r="B73" i="82" s="1"/>
  <c r="H127" i="62"/>
  <c r="M101" i="17"/>
  <c r="D129" i="54"/>
  <c r="C65" i="57"/>
  <c r="C117" i="57"/>
  <c r="C72" i="57"/>
  <c r="C124" i="57"/>
  <c r="C119" i="57"/>
  <c r="C74" i="57"/>
  <c r="C126" i="57"/>
  <c r="C67" i="57"/>
  <c r="C124" i="88"/>
  <c r="C72" i="88"/>
  <c r="C117" i="88"/>
  <c r="C65" i="88"/>
  <c r="B46" i="85"/>
  <c r="D46" i="85" s="1"/>
  <c r="E33" i="86" s="1"/>
  <c r="C126" i="21"/>
  <c r="C67" i="21"/>
  <c r="C74" i="21"/>
  <c r="M91" i="56"/>
  <c r="D46" i="59"/>
  <c r="E33" i="82" s="1"/>
  <c r="F46" i="59"/>
  <c r="H46" i="59"/>
  <c r="F166" i="59"/>
  <c r="D166" i="59"/>
  <c r="H166" i="59"/>
  <c r="F129" i="54"/>
  <c r="D116" i="25"/>
  <c r="F116" i="25"/>
  <c r="H116" i="54"/>
  <c r="D116" i="54"/>
  <c r="M102" i="17"/>
  <c r="B46" i="19"/>
  <c r="B164" i="19"/>
  <c r="D120" i="54"/>
  <c r="C73" i="83" s="1"/>
  <c r="B166" i="62"/>
  <c r="B46" i="62"/>
  <c r="B168" i="85"/>
  <c r="B46" i="40"/>
  <c r="B168" i="40"/>
  <c r="B164" i="33"/>
  <c r="B46" i="33"/>
  <c r="B164" i="22"/>
  <c r="B46" i="22"/>
  <c r="H140" i="40"/>
  <c r="D140" i="40"/>
  <c r="F140" i="40"/>
  <c r="F109" i="59"/>
  <c r="D44" i="59"/>
  <c r="E31" i="82" s="1"/>
  <c r="F44" i="59"/>
  <c r="M97" i="58"/>
  <c r="B115" i="22"/>
  <c r="H115" i="22" s="1"/>
  <c r="F113" i="59"/>
  <c r="D113" i="59"/>
  <c r="F20" i="59"/>
  <c r="H20" i="59"/>
  <c r="H108" i="22"/>
  <c r="F108" i="22"/>
  <c r="D108" i="22"/>
  <c r="B108" i="22"/>
  <c r="D109" i="22"/>
  <c r="M105" i="61"/>
  <c r="H109" i="85"/>
  <c r="F109" i="85"/>
  <c r="H111" i="22"/>
  <c r="F111" i="22"/>
  <c r="B24" i="22"/>
  <c r="H24" i="22" s="1"/>
  <c r="H17" i="22"/>
  <c r="D17" i="22"/>
  <c r="B17" i="22"/>
  <c r="C117" i="21" s="1"/>
  <c r="D18" i="22"/>
  <c r="F20" i="22"/>
  <c r="H20" i="22"/>
  <c r="B108" i="62"/>
  <c r="F108" i="62"/>
  <c r="H108" i="62"/>
  <c r="D108" i="62"/>
  <c r="D109" i="62"/>
  <c r="H18" i="85"/>
  <c r="F18" i="85"/>
  <c r="B115" i="33"/>
  <c r="H115" i="33" s="1"/>
  <c r="D110" i="33"/>
  <c r="D111" i="33"/>
  <c r="B110" i="33"/>
  <c r="H110" i="33"/>
  <c r="F110" i="33"/>
  <c r="H17" i="33"/>
  <c r="F17" i="33"/>
  <c r="D17" i="33"/>
  <c r="B17" i="33"/>
  <c r="D18" i="33"/>
  <c r="B113" i="85"/>
  <c r="D113" i="85" s="1"/>
  <c r="H110" i="85"/>
  <c r="F110" i="85"/>
  <c r="D110" i="85"/>
  <c r="B110" i="85"/>
  <c r="D111" i="85"/>
  <c r="B115" i="62"/>
  <c r="F115" i="62" s="1"/>
  <c r="F110" i="62"/>
  <c r="D110" i="62"/>
  <c r="B110" i="62"/>
  <c r="H110" i="62"/>
  <c r="D111" i="62"/>
  <c r="B24" i="85"/>
  <c r="H24" i="85" s="1"/>
  <c r="B19" i="85"/>
  <c r="F19" i="85"/>
  <c r="H19" i="85"/>
  <c r="D19" i="85"/>
  <c r="D20" i="85"/>
  <c r="D108" i="33"/>
  <c r="D109" i="33"/>
  <c r="H108" i="33"/>
  <c r="B108" i="33"/>
  <c r="F108" i="33"/>
  <c r="H19" i="33"/>
  <c r="F19" i="33"/>
  <c r="D19" i="33"/>
  <c r="B19" i="33"/>
  <c r="D20" i="33"/>
  <c r="F17" i="62"/>
  <c r="D17" i="62"/>
  <c r="B17" i="62"/>
  <c r="H17" i="62"/>
  <c r="D18" i="62"/>
  <c r="F111" i="59"/>
  <c r="H111" i="59"/>
  <c r="F18" i="59"/>
  <c r="H18" i="59"/>
  <c r="H19" i="62"/>
  <c r="F19" i="62"/>
  <c r="D19" i="62"/>
  <c r="B19" i="62"/>
  <c r="D20" i="62"/>
  <c r="D108" i="19"/>
  <c r="P121" i="85"/>
  <c r="B70" i="62"/>
  <c r="F70" i="62" s="1"/>
  <c r="B108" i="19"/>
  <c r="H108" i="19"/>
  <c r="F108" i="19"/>
  <c r="H111" i="19"/>
  <c r="F111" i="19"/>
  <c r="B113" i="19"/>
  <c r="D113" i="19" s="1"/>
  <c r="H110" i="19"/>
  <c r="F110" i="19"/>
  <c r="D110" i="19"/>
  <c r="B110" i="19"/>
  <c r="H19" i="19"/>
  <c r="F19" i="19"/>
  <c r="H17" i="19"/>
  <c r="F17" i="19"/>
  <c r="D18" i="19"/>
  <c r="D19" i="19"/>
  <c r="B19" i="19"/>
  <c r="D20" i="19"/>
  <c r="M41" i="5"/>
  <c r="G340" i="1"/>
  <c r="H33" i="75" s="1"/>
  <c r="M98" i="23"/>
  <c r="B192" i="40"/>
  <c r="D192" i="40" s="1"/>
  <c r="B59" i="25"/>
  <c r="D59" i="25" s="1"/>
  <c r="D147" i="40"/>
  <c r="C76" i="79" s="1"/>
  <c r="M98" i="56"/>
  <c r="B164" i="25"/>
  <c r="F164" i="25" s="1"/>
  <c r="M105" i="30"/>
  <c r="M102" i="41"/>
  <c r="M105" i="20"/>
  <c r="M105" i="41"/>
  <c r="F147" i="40"/>
  <c r="F40" i="1"/>
  <c r="D58" i="29"/>
  <c r="F47" i="4"/>
  <c r="M99" i="23"/>
  <c r="M101" i="41"/>
  <c r="B188" i="22"/>
  <c r="D188" i="22" s="1"/>
  <c r="B70" i="22"/>
  <c r="H70" i="22" s="1"/>
  <c r="H131" i="40"/>
  <c r="M21" i="2"/>
  <c r="D164" i="54"/>
  <c r="F164" i="54"/>
  <c r="M99" i="56"/>
  <c r="B59" i="54"/>
  <c r="C72" i="83"/>
  <c r="M106" i="61"/>
  <c r="B190" i="62"/>
  <c r="C73" i="81"/>
  <c r="B73" i="81"/>
  <c r="H45" i="85"/>
  <c r="D188" i="33"/>
  <c r="H188" i="33"/>
  <c r="F188" i="33"/>
  <c r="M106" i="30"/>
  <c r="B70" i="33"/>
  <c r="M97" i="87"/>
  <c r="B73" i="78"/>
  <c r="M106" i="20"/>
  <c r="H70" i="19"/>
  <c r="D153" i="85"/>
  <c r="F153" i="85"/>
  <c r="H153" i="85"/>
  <c r="F167" i="85"/>
  <c r="H167" i="85"/>
  <c r="D167" i="85"/>
  <c r="F120" i="25"/>
  <c r="B73" i="76"/>
  <c r="C73" i="77"/>
  <c r="B192" i="85"/>
  <c r="B70" i="85"/>
  <c r="C73" i="82"/>
  <c r="F139" i="85"/>
  <c r="D139" i="85"/>
  <c r="H139" i="85"/>
  <c r="B73" i="77"/>
  <c r="E37" i="77"/>
  <c r="D129" i="40"/>
  <c r="D131" i="40"/>
  <c r="B75" i="86" s="1"/>
  <c r="M99" i="20"/>
  <c r="B72" i="83"/>
  <c r="F162" i="85"/>
  <c r="H162" i="85"/>
  <c r="D162" i="85"/>
  <c r="D40" i="85"/>
  <c r="E27" i="86" s="1"/>
  <c r="F40" i="85"/>
  <c r="B22" i="85"/>
  <c r="D130" i="40"/>
  <c r="B74" i="79" s="1"/>
  <c r="H130" i="40"/>
  <c r="H111" i="88"/>
  <c r="B154" i="85" s="1"/>
  <c r="M44" i="11"/>
  <c r="M32" i="5"/>
  <c r="F50" i="5"/>
  <c r="L50" i="5"/>
  <c r="B50" i="7" s="1"/>
  <c r="D50" i="7" s="1"/>
  <c r="G41" i="57"/>
  <c r="H41" i="57" s="1"/>
  <c r="B134" i="59" s="1"/>
  <c r="I155" i="88"/>
  <c r="M28" i="26"/>
  <c r="M99" i="87"/>
  <c r="M101" i="87"/>
  <c r="E93" i="21"/>
  <c r="H146" i="40"/>
  <c r="F146" i="40"/>
  <c r="M98" i="87"/>
  <c r="D49" i="10"/>
  <c r="E54" i="8"/>
  <c r="M41" i="8"/>
  <c r="G41" i="88"/>
  <c r="H41" i="88" s="1"/>
  <c r="E28" i="79"/>
  <c r="E37" i="79"/>
  <c r="M105" i="87"/>
  <c r="B149" i="40"/>
  <c r="D149" i="40" s="1"/>
  <c r="B132" i="40"/>
  <c r="F132" i="40" s="1"/>
  <c r="F129" i="40"/>
  <c r="B148" i="40"/>
  <c r="F148" i="40" s="1"/>
  <c r="B134" i="40"/>
  <c r="D134" i="40" s="1"/>
  <c r="B153" i="40"/>
  <c r="D153" i="40" s="1"/>
  <c r="H129" i="40"/>
  <c r="B133" i="40"/>
  <c r="F133" i="40" s="1"/>
  <c r="C57" i="88"/>
  <c r="B135" i="40"/>
  <c r="H135" i="40" s="1"/>
  <c r="B162" i="40"/>
  <c r="D162" i="40" s="1"/>
  <c r="B115" i="85"/>
  <c r="E29" i="79"/>
  <c r="G93" i="88"/>
  <c r="H93" i="88" s="1"/>
  <c r="B144" i="40"/>
  <c r="C75" i="79"/>
  <c r="C75" i="86"/>
  <c r="B150" i="40"/>
  <c r="D150" i="40" s="1"/>
  <c r="B145" i="40"/>
  <c r="F145" i="40" s="1"/>
  <c r="M102" i="87"/>
  <c r="M100" i="87"/>
  <c r="F49" i="37"/>
  <c r="M45" i="38"/>
  <c r="M90" i="23"/>
  <c r="B46" i="43"/>
  <c r="F46" i="43" s="1"/>
  <c r="D492" i="1"/>
  <c r="M98" i="30"/>
  <c r="G291" i="1"/>
  <c r="G283" i="1"/>
  <c r="G289" i="1"/>
  <c r="M92" i="23"/>
  <c r="M26" i="35"/>
  <c r="G290" i="1"/>
  <c r="F290" i="1" s="1"/>
  <c r="N337" i="1"/>
  <c r="G337" i="1" s="1"/>
  <c r="G280" i="1"/>
  <c r="G282" i="1"/>
  <c r="N335" i="1"/>
  <c r="G335" i="1" s="1"/>
  <c r="G276" i="1"/>
  <c r="F276" i="1" s="1"/>
  <c r="G288" i="1"/>
  <c r="F288" i="1" s="1"/>
  <c r="G292" i="1"/>
  <c r="F292" i="1" s="1"/>
  <c r="G285" i="1"/>
  <c r="G321" i="1"/>
  <c r="G320" i="1"/>
  <c r="G319" i="1"/>
  <c r="G286" i="1"/>
  <c r="F286" i="1" s="1"/>
  <c r="G284" i="1"/>
  <c r="F284" i="1" s="1"/>
  <c r="G278" i="1"/>
  <c r="M36" i="44"/>
  <c r="B45" i="28"/>
  <c r="F45" i="28" s="1"/>
  <c r="B45" i="36"/>
  <c r="D45" i="36" s="1"/>
  <c r="G13" i="41"/>
  <c r="G13" i="56"/>
  <c r="G13" i="20"/>
  <c r="G13" i="61"/>
  <c r="G13" i="23"/>
  <c r="G13" i="58"/>
  <c r="G13" i="30"/>
  <c r="G13" i="17"/>
  <c r="G279" i="1"/>
  <c r="M99" i="30"/>
  <c r="G277" i="1"/>
  <c r="H106" i="25"/>
  <c r="M39" i="11"/>
  <c r="M99" i="17"/>
  <c r="E93" i="31"/>
  <c r="M29" i="47"/>
  <c r="M98" i="41"/>
  <c r="M91" i="23"/>
  <c r="M98" i="20"/>
  <c r="M98" i="61"/>
  <c r="M99" i="41"/>
  <c r="M98" i="58"/>
  <c r="M98" i="17"/>
  <c r="M92" i="56"/>
  <c r="M99" i="58"/>
  <c r="H107" i="54"/>
  <c r="B45" i="13"/>
  <c r="D45" i="13" s="1"/>
  <c r="H109" i="34"/>
  <c r="H112" i="34" s="1"/>
  <c r="G112" i="34" s="1"/>
  <c r="E49" i="26"/>
  <c r="M69" i="2"/>
  <c r="D129" i="59"/>
  <c r="B75" i="82" s="1"/>
  <c r="E60" i="11"/>
  <c r="G93" i="42"/>
  <c r="H93" i="42" s="1"/>
  <c r="D53" i="4"/>
  <c r="M31" i="44"/>
  <c r="J43" i="47"/>
  <c r="M36" i="50"/>
  <c r="D49" i="46"/>
  <c r="E52" i="35"/>
  <c r="E61" i="38"/>
  <c r="J54" i="38"/>
  <c r="H62" i="39" s="1"/>
  <c r="B23" i="37" s="1"/>
  <c r="F23" i="37" s="1"/>
  <c r="E83" i="2"/>
  <c r="M33" i="8"/>
  <c r="L47" i="8"/>
  <c r="B50" i="10" s="1"/>
  <c r="F50" i="10" s="1"/>
  <c r="E57" i="44"/>
  <c r="F100" i="17"/>
  <c r="H100" i="17" s="1"/>
  <c r="J100" i="17"/>
  <c r="L100" i="17"/>
  <c r="B45" i="37"/>
  <c r="F45" i="37" s="1"/>
  <c r="M93" i="56"/>
  <c r="M57" i="2"/>
  <c r="L45" i="35"/>
  <c r="B50" i="36" s="1"/>
  <c r="F50" i="36" s="1"/>
  <c r="D113" i="40"/>
  <c r="M37" i="38"/>
  <c r="J50" i="5"/>
  <c r="H60" i="6" s="1"/>
  <c r="B23" i="7" s="1"/>
  <c r="M38" i="11"/>
  <c r="M37" i="50"/>
  <c r="F45" i="49"/>
  <c r="D45" i="49"/>
  <c r="E93" i="60"/>
  <c r="B113" i="33"/>
  <c r="F113" i="33" s="1"/>
  <c r="H129" i="59"/>
  <c r="I39" i="39"/>
  <c r="M41" i="44"/>
  <c r="B115" i="40"/>
  <c r="H115" i="40" s="1"/>
  <c r="F43" i="47"/>
  <c r="E57" i="5"/>
  <c r="F115" i="59"/>
  <c r="M56" i="2"/>
  <c r="M42" i="14"/>
  <c r="H129" i="22"/>
  <c r="F49" i="16"/>
  <c r="L51" i="14"/>
  <c r="B50" i="16" s="1"/>
  <c r="D50" i="16" s="1"/>
  <c r="B49" i="4"/>
  <c r="M27" i="35"/>
  <c r="F45" i="35"/>
  <c r="M38" i="38"/>
  <c r="M36" i="35"/>
  <c r="D115" i="59"/>
  <c r="F54" i="38"/>
  <c r="E44" i="45"/>
  <c r="H113" i="40"/>
  <c r="M27" i="26"/>
  <c r="B115" i="19"/>
  <c r="F115" i="19" s="1"/>
  <c r="E93" i="18"/>
  <c r="D129" i="19"/>
  <c r="B75" i="76" s="1"/>
  <c r="D107" i="54"/>
  <c r="B73" i="83" s="1"/>
  <c r="M32" i="14"/>
  <c r="H129" i="19"/>
  <c r="L42" i="26"/>
  <c r="B50" i="28" s="1"/>
  <c r="F50" i="28" s="1"/>
  <c r="B113" i="62"/>
  <c r="H113" i="62" s="1"/>
  <c r="M28" i="47"/>
  <c r="G93" i="57"/>
  <c r="H93" i="57" s="1"/>
  <c r="E58" i="14"/>
  <c r="M34" i="47"/>
  <c r="F129" i="22"/>
  <c r="M33" i="26"/>
  <c r="B45" i="46"/>
  <c r="F45" i="46" s="1"/>
  <c r="G316" i="1"/>
  <c r="H24" i="75" s="1"/>
  <c r="L43" i="47"/>
  <c r="B50" i="46" s="1"/>
  <c r="D50" i="46" s="1"/>
  <c r="G318" i="1"/>
  <c r="H26" i="75" s="1"/>
  <c r="E56" i="57"/>
  <c r="G317" i="1"/>
  <c r="H25" i="75" s="1"/>
  <c r="J42" i="26"/>
  <c r="H42" i="27" s="1"/>
  <c r="B23" i="28" s="1"/>
  <c r="D23" i="28" s="1"/>
  <c r="M93" i="23"/>
  <c r="M100" i="20"/>
  <c r="M100" i="30"/>
  <c r="M22" i="2"/>
  <c r="J76" i="2"/>
  <c r="G56" i="60"/>
  <c r="H56" i="60" s="1"/>
  <c r="B136" i="62" s="1"/>
  <c r="M100" i="61"/>
  <c r="D129" i="62"/>
  <c r="B75" i="81" s="1"/>
  <c r="F129" i="62"/>
  <c r="E40" i="55"/>
  <c r="E36" i="84"/>
  <c r="M100" i="41"/>
  <c r="O47" i="23"/>
  <c r="D77" i="84"/>
  <c r="E36" i="83"/>
  <c r="E37" i="82"/>
  <c r="E37" i="81"/>
  <c r="E37" i="76"/>
  <c r="C56" i="31"/>
  <c r="G56" i="31" s="1"/>
  <c r="H56" i="31" s="1"/>
  <c r="B135" i="33" s="1"/>
  <c r="C56" i="21"/>
  <c r="G56" i="21" s="1"/>
  <c r="H56" i="21" s="1"/>
  <c r="B135" i="22" s="1"/>
  <c r="F135" i="22" s="1"/>
  <c r="F53" i="11"/>
  <c r="M35" i="14"/>
  <c r="D160" i="62"/>
  <c r="I135" i="60"/>
  <c r="B40" i="59"/>
  <c r="D40" i="59" s="1"/>
  <c r="E27" i="82" s="1"/>
  <c r="I135" i="57"/>
  <c r="G41" i="60"/>
  <c r="H41" i="60" s="1"/>
  <c r="B134" i="62" s="1"/>
  <c r="D134" i="62" s="1"/>
  <c r="B79" i="81" s="1"/>
  <c r="H160" i="59"/>
  <c r="F160" i="59"/>
  <c r="B22" i="22"/>
  <c r="I135" i="18"/>
  <c r="D158" i="19"/>
  <c r="H160" i="62"/>
  <c r="B40" i="62"/>
  <c r="D40" i="62" s="1"/>
  <c r="E27" i="81" s="1"/>
  <c r="G41" i="42"/>
  <c r="H41" i="42" s="1"/>
  <c r="B136" i="40" s="1"/>
  <c r="B40" i="33"/>
  <c r="H40" i="33" s="1"/>
  <c r="F43" i="37"/>
  <c r="E28" i="45"/>
  <c r="M97" i="61"/>
  <c r="H128" i="22"/>
  <c r="H158" i="19"/>
  <c r="B40" i="19"/>
  <c r="D70" i="29"/>
  <c r="J47" i="8"/>
  <c r="I135" i="21"/>
  <c r="F47" i="8"/>
  <c r="B40" i="22"/>
  <c r="H40" i="22" s="1"/>
  <c r="F158" i="22"/>
  <c r="H158" i="22"/>
  <c r="L50" i="44"/>
  <c r="B50" i="43" s="1"/>
  <c r="D50" i="43" s="1"/>
  <c r="H135" i="54"/>
  <c r="E20" i="1"/>
  <c r="F20" i="1" s="1"/>
  <c r="T20" i="1" s="1"/>
  <c r="G36" i="55"/>
  <c r="H36" i="55" s="1"/>
  <c r="B112" i="54" s="1"/>
  <c r="H112" i="54" s="1"/>
  <c r="F135" i="54"/>
  <c r="E57" i="60"/>
  <c r="I92" i="55"/>
  <c r="N390" i="1"/>
  <c r="B30" i="54"/>
  <c r="D30" i="54" s="1"/>
  <c r="E27" i="83" s="1"/>
  <c r="D75" i="29"/>
  <c r="F113" i="22"/>
  <c r="C48" i="45"/>
  <c r="G48" i="45" s="1"/>
  <c r="H48" i="45" s="1"/>
  <c r="F158" i="33"/>
  <c r="H158" i="33"/>
  <c r="I135" i="31"/>
  <c r="G41" i="21"/>
  <c r="H41" i="21" s="1"/>
  <c r="B133" i="22" s="1"/>
  <c r="H123" i="25"/>
  <c r="G41" i="18"/>
  <c r="H41" i="18" s="1"/>
  <c r="B133" i="19" s="1"/>
  <c r="H133" i="19" s="1"/>
  <c r="I135" i="42"/>
  <c r="B40" i="40"/>
  <c r="D40" i="40" s="1"/>
  <c r="F120" i="54"/>
  <c r="N389" i="1"/>
  <c r="D128" i="22"/>
  <c r="B74" i="77" s="1"/>
  <c r="H147" i="62"/>
  <c r="F146" i="22"/>
  <c r="H135" i="25"/>
  <c r="I92" i="24"/>
  <c r="F135" i="25"/>
  <c r="B30" i="25"/>
  <c r="D30" i="25" s="1"/>
  <c r="E27" i="84" s="1"/>
  <c r="H133" i="62"/>
  <c r="F123" i="25"/>
  <c r="H143" i="19"/>
  <c r="F143" i="19"/>
  <c r="D133" i="62"/>
  <c r="B78" i="81" s="1"/>
  <c r="F70" i="40"/>
  <c r="D45" i="22"/>
  <c r="E32" i="77" s="1"/>
  <c r="F143" i="22"/>
  <c r="F163" i="22"/>
  <c r="F143" i="33"/>
  <c r="H143" i="33"/>
  <c r="B125" i="25"/>
  <c r="D125" i="25" s="1"/>
  <c r="C78" i="84" s="1"/>
  <c r="I155" i="21"/>
  <c r="H120" i="54"/>
  <c r="H143" i="22"/>
  <c r="E57" i="21"/>
  <c r="G69" i="55"/>
  <c r="H69" i="55" s="1"/>
  <c r="B125" i="54" s="1"/>
  <c r="F125" i="54" s="1"/>
  <c r="H48" i="15"/>
  <c r="B22" i="16" s="1"/>
  <c r="D22" i="16" s="1"/>
  <c r="H144" i="62"/>
  <c r="D120" i="25"/>
  <c r="H120" i="25"/>
  <c r="F144" i="62"/>
  <c r="B133" i="33"/>
  <c r="H133" i="33" s="1"/>
  <c r="E41" i="31"/>
  <c r="G386" i="1" s="1"/>
  <c r="H52" i="75" s="1"/>
  <c r="L51" i="50"/>
  <c r="B50" i="49" s="1"/>
  <c r="F50" i="49" s="1"/>
  <c r="H70" i="40"/>
  <c r="H61" i="39"/>
  <c r="G61" i="39" s="1"/>
  <c r="G87" i="39" s="1"/>
  <c r="H53" i="9"/>
  <c r="G53" i="9" s="1"/>
  <c r="G71" i="9" s="1"/>
  <c r="H146" i="22"/>
  <c r="N388" i="1"/>
  <c r="D147" i="62"/>
  <c r="C78" i="81" s="1"/>
  <c r="H110" i="25"/>
  <c r="F110" i="25"/>
  <c r="F22" i="59"/>
  <c r="F45" i="43"/>
  <c r="D113" i="22"/>
  <c r="H142" i="22"/>
  <c r="F142" i="22"/>
  <c r="D151" i="59"/>
  <c r="G60" i="31"/>
  <c r="H60" i="31" s="1"/>
  <c r="E60" i="31"/>
  <c r="G44" i="24"/>
  <c r="H44" i="24" s="1"/>
  <c r="B115" i="25" s="1"/>
  <c r="E44" i="24"/>
  <c r="D180" i="25" s="1"/>
  <c r="E60" i="42"/>
  <c r="G60" i="42"/>
  <c r="H60" i="42" s="1"/>
  <c r="B139" i="40" s="1"/>
  <c r="E60" i="60"/>
  <c r="G60" i="60"/>
  <c r="H60" i="60" s="1"/>
  <c r="B137" i="62" s="1"/>
  <c r="E44" i="55"/>
  <c r="G44" i="55"/>
  <c r="H44" i="55" s="1"/>
  <c r="B115" i="54" s="1"/>
  <c r="G60" i="57"/>
  <c r="H60" i="57" s="1"/>
  <c r="B137" i="59" s="1"/>
  <c r="E60" i="57"/>
  <c r="G60" i="18"/>
  <c r="H60" i="18" s="1"/>
  <c r="B136" i="19" s="1"/>
  <c r="E60" i="18"/>
  <c r="E60" i="21"/>
  <c r="G60" i="21"/>
  <c r="H60" i="21" s="1"/>
  <c r="B136" i="22" s="1"/>
  <c r="F145" i="59"/>
  <c r="D145" i="59"/>
  <c r="C76" i="82" s="1"/>
  <c r="B149" i="62"/>
  <c r="D149" i="62" s="1"/>
  <c r="C79" i="81" s="1"/>
  <c r="D123" i="54"/>
  <c r="C76" i="83" s="1"/>
  <c r="F123" i="54"/>
  <c r="F131" i="33"/>
  <c r="D45" i="7"/>
  <c r="J50" i="44"/>
  <c r="H50" i="45" s="1"/>
  <c r="G50" i="45" s="1"/>
  <c r="J53" i="11"/>
  <c r="J51" i="50"/>
  <c r="F51" i="50"/>
  <c r="L54" i="38"/>
  <c r="B50" i="37" s="1"/>
  <c r="D50" i="37" s="1"/>
  <c r="L53" i="11"/>
  <c r="B50" i="13" s="1"/>
  <c r="F50" i="13" s="1"/>
  <c r="F50" i="44"/>
  <c r="B22" i="40"/>
  <c r="F22" i="40" s="1"/>
  <c r="H41" i="27"/>
  <c r="G41" i="27" s="1"/>
  <c r="G58" i="27" s="1"/>
  <c r="B21" i="37"/>
  <c r="F21" i="37" s="1"/>
  <c r="H145" i="62"/>
  <c r="F145" i="62"/>
  <c r="F22" i="7"/>
  <c r="F142" i="19"/>
  <c r="H142" i="19"/>
  <c r="L76" i="2"/>
  <c r="B54" i="4" s="1"/>
  <c r="F76" i="2"/>
  <c r="F42" i="26"/>
  <c r="H131" i="33"/>
  <c r="F51" i="14"/>
  <c r="H146" i="19"/>
  <c r="D22" i="49"/>
  <c r="B21" i="16"/>
  <c r="D21" i="16" s="1"/>
  <c r="D106" i="25"/>
  <c r="H143" i="59"/>
  <c r="F143" i="59"/>
  <c r="F146" i="19"/>
  <c r="H148" i="59"/>
  <c r="F148" i="59"/>
  <c r="M35" i="44"/>
  <c r="J338" i="1"/>
  <c r="J339" i="1"/>
  <c r="F130" i="33"/>
  <c r="J51" i="14"/>
  <c r="H49" i="15" s="1"/>
  <c r="I50" i="15" s="1"/>
  <c r="H130" i="33"/>
  <c r="D47" i="4"/>
  <c r="E57" i="31"/>
  <c r="F25" i="4"/>
  <c r="F106" i="25"/>
  <c r="F22" i="13"/>
  <c r="D22" i="13"/>
  <c r="M97" i="41"/>
  <c r="H121" i="54"/>
  <c r="D22" i="46"/>
  <c r="F22" i="46"/>
  <c r="D121" i="54"/>
  <c r="C74" i="83" s="1"/>
  <c r="H109" i="25"/>
  <c r="D128" i="62"/>
  <c r="B74" i="81" s="1"/>
  <c r="F109" i="25"/>
  <c r="H128" i="62"/>
  <c r="H151" i="59"/>
  <c r="D22" i="36"/>
  <c r="F22" i="36"/>
  <c r="I155" i="42"/>
  <c r="F45" i="40"/>
  <c r="I27" i="27"/>
  <c r="D70" i="19"/>
  <c r="D136" i="59"/>
  <c r="F70" i="19"/>
  <c r="I51" i="48"/>
  <c r="I61" i="51"/>
  <c r="G129" i="51"/>
  <c r="H129" i="51"/>
  <c r="H132" i="51" s="1"/>
  <c r="B33" i="49" s="1"/>
  <c r="B147" i="19"/>
  <c r="D147" i="19" s="1"/>
  <c r="C79" i="76" s="1"/>
  <c r="M97" i="30"/>
  <c r="P121" i="40"/>
  <c r="F21" i="7"/>
  <c r="D21" i="7"/>
  <c r="G111" i="48"/>
  <c r="B21" i="46"/>
  <c r="H111" i="48"/>
  <c r="B21" i="36"/>
  <c r="G87" i="3"/>
  <c r="G104" i="3" s="1"/>
  <c r="H104" i="3"/>
  <c r="H107" i="3" s="1"/>
  <c r="H30" i="12"/>
  <c r="G117" i="12"/>
  <c r="I51" i="34"/>
  <c r="B26" i="4"/>
  <c r="F30" i="37"/>
  <c r="D30" i="37"/>
  <c r="G77" i="6"/>
  <c r="B21" i="49"/>
  <c r="B30" i="43"/>
  <c r="I36" i="6"/>
  <c r="G109" i="34"/>
  <c r="H124" i="54"/>
  <c r="F124" i="54"/>
  <c r="H136" i="59"/>
  <c r="F44" i="7"/>
  <c r="D44" i="7"/>
  <c r="D141" i="25"/>
  <c r="F141" i="25"/>
  <c r="F149" i="33"/>
  <c r="I52" i="9"/>
  <c r="B114" i="25"/>
  <c r="H114" i="25" s="1"/>
  <c r="G314" i="1"/>
  <c r="F109" i="19"/>
  <c r="H109" i="19"/>
  <c r="F108" i="25"/>
  <c r="M90" i="56"/>
  <c r="D44" i="49"/>
  <c r="F44" i="49"/>
  <c r="D108" i="25"/>
  <c r="B74" i="84" s="1"/>
  <c r="H149" i="33"/>
  <c r="G315" i="1"/>
  <c r="H23" i="75" s="1"/>
  <c r="G16" i="26"/>
  <c r="H16" i="26" s="1"/>
  <c r="M16" i="26" s="1"/>
  <c r="H167" i="40"/>
  <c r="D167" i="40"/>
  <c r="G16" i="14"/>
  <c r="H16" i="14" s="1"/>
  <c r="M16" i="14" s="1"/>
  <c r="G18" i="11"/>
  <c r="H18" i="11" s="1"/>
  <c r="M18" i="11" s="1"/>
  <c r="G16" i="38"/>
  <c r="H16" i="38" s="1"/>
  <c r="M16" i="38" s="1"/>
  <c r="G17" i="8"/>
  <c r="H17" i="8" s="1"/>
  <c r="M17" i="8" s="1"/>
  <c r="G16" i="5"/>
  <c r="H16" i="5" s="1"/>
  <c r="M16" i="5" s="1"/>
  <c r="G29" i="2"/>
  <c r="H29" i="2" s="1"/>
  <c r="M29" i="2" s="1"/>
  <c r="B147" i="33"/>
  <c r="D147" i="33" s="1"/>
  <c r="C78" i="78" s="1"/>
  <c r="G18" i="50"/>
  <c r="H18" i="50" s="1"/>
  <c r="M18" i="50" s="1"/>
  <c r="G16" i="44"/>
  <c r="H16" i="44" s="1"/>
  <c r="M16" i="44" s="1"/>
  <c r="G30" i="2"/>
  <c r="H30" i="2" s="1"/>
  <c r="M30" i="2" s="1"/>
  <c r="D165" i="59"/>
  <c r="H165" i="59"/>
  <c r="F165" i="59"/>
  <c r="G19" i="11"/>
  <c r="H19" i="11" s="1"/>
  <c r="M19" i="11" s="1"/>
  <c r="G17" i="5"/>
  <c r="H17" i="5" s="1"/>
  <c r="M17" i="5" s="1"/>
  <c r="G17" i="44"/>
  <c r="H17" i="44" s="1"/>
  <c r="M17" i="44" s="1"/>
  <c r="G17" i="14"/>
  <c r="H17" i="14" s="1"/>
  <c r="M17" i="14" s="1"/>
  <c r="G17" i="26"/>
  <c r="H17" i="26" s="1"/>
  <c r="M17" i="26" s="1"/>
  <c r="G18" i="8"/>
  <c r="H18" i="8" s="1"/>
  <c r="M18" i="8" s="1"/>
  <c r="G19" i="50"/>
  <c r="H19" i="50" s="1"/>
  <c r="M19" i="50" s="1"/>
  <c r="G17" i="38"/>
  <c r="H17" i="38" s="1"/>
  <c r="M17" i="38" s="1"/>
  <c r="H151" i="62"/>
  <c r="D151" i="62"/>
  <c r="H128" i="19"/>
  <c r="D128" i="19"/>
  <c r="B74" i="76" s="1"/>
  <c r="D45" i="16"/>
  <c r="B168" i="62"/>
  <c r="H168" i="62" s="1"/>
  <c r="B142" i="54"/>
  <c r="H142" i="54" s="1"/>
  <c r="D147" i="22"/>
  <c r="C79" i="77" s="1"/>
  <c r="F147" i="22"/>
  <c r="H147" i="22"/>
  <c r="D122" i="54"/>
  <c r="C75" i="83" s="1"/>
  <c r="F122" i="54"/>
  <c r="H122" i="54"/>
  <c r="D142" i="33"/>
  <c r="C74" i="78" s="1"/>
  <c r="H142" i="33"/>
  <c r="F142" i="33"/>
  <c r="D127" i="25"/>
  <c r="F127" i="25"/>
  <c r="H127" i="25"/>
  <c r="D132" i="33"/>
  <c r="H132" i="33"/>
  <c r="F132" i="33"/>
  <c r="D131" i="59"/>
  <c r="B77" i="82" s="1"/>
  <c r="F131" i="59"/>
  <c r="H131" i="59"/>
  <c r="B166" i="33"/>
  <c r="B166" i="22"/>
  <c r="F132" i="59"/>
  <c r="D132" i="59"/>
  <c r="H132" i="59"/>
  <c r="F109" i="54"/>
  <c r="D109" i="54"/>
  <c r="B75" i="83" s="1"/>
  <c r="H109" i="54"/>
  <c r="D122" i="25"/>
  <c r="C75" i="84" s="1"/>
  <c r="F122" i="25"/>
  <c r="H122" i="25"/>
  <c r="D145" i="33"/>
  <c r="C77" i="78" s="1"/>
  <c r="H145" i="33"/>
  <c r="F145" i="33"/>
  <c r="F130" i="22"/>
  <c r="D130" i="22"/>
  <c r="B76" i="77" s="1"/>
  <c r="H130" i="22"/>
  <c r="D141" i="33"/>
  <c r="F141" i="33"/>
  <c r="H141" i="33"/>
  <c r="B170" i="40"/>
  <c r="D146" i="62"/>
  <c r="C77" i="81" s="1"/>
  <c r="F146" i="62"/>
  <c r="H146" i="62"/>
  <c r="B142" i="25"/>
  <c r="F132" i="22"/>
  <c r="D132" i="22"/>
  <c r="B78" i="77" s="1"/>
  <c r="H132" i="22"/>
  <c r="F131" i="22"/>
  <c r="H131" i="22"/>
  <c r="D131" i="22"/>
  <c r="B77" i="77" s="1"/>
  <c r="D108" i="54"/>
  <c r="B74" i="83" s="1"/>
  <c r="F108" i="54"/>
  <c r="H108" i="54"/>
  <c r="F128" i="33"/>
  <c r="D128" i="33"/>
  <c r="B74" i="78" s="1"/>
  <c r="H128" i="33"/>
  <c r="F143" i="62"/>
  <c r="D143" i="62"/>
  <c r="C74" i="81" s="1"/>
  <c r="H143" i="62"/>
  <c r="D111" i="25"/>
  <c r="B77" i="84" s="1"/>
  <c r="F111" i="25"/>
  <c r="H111" i="25"/>
  <c r="D111" i="54"/>
  <c r="B77" i="83" s="1"/>
  <c r="E77" i="83" s="1"/>
  <c r="F111" i="54"/>
  <c r="H111" i="54"/>
  <c r="D145" i="22"/>
  <c r="C77" i="77" s="1"/>
  <c r="F145" i="22"/>
  <c r="H145" i="22"/>
  <c r="B21" i="28"/>
  <c r="D21" i="28" s="1"/>
  <c r="D130" i="62"/>
  <c r="B76" i="81" s="1"/>
  <c r="H130" i="62"/>
  <c r="F130" i="62"/>
  <c r="D141" i="54"/>
  <c r="F141" i="54"/>
  <c r="H141" i="54"/>
  <c r="B168" i="59"/>
  <c r="D110" i="54"/>
  <c r="B76" i="83" s="1"/>
  <c r="H110" i="54"/>
  <c r="F110" i="54"/>
  <c r="H131" i="19"/>
  <c r="D131" i="19"/>
  <c r="B77" i="76" s="1"/>
  <c r="F131" i="19"/>
  <c r="D132" i="19"/>
  <c r="B78" i="76" s="1"/>
  <c r="H132" i="19"/>
  <c r="F132" i="19"/>
  <c r="B166" i="19"/>
  <c r="D141" i="19"/>
  <c r="F141" i="19"/>
  <c r="H141" i="19"/>
  <c r="I31" i="15"/>
  <c r="G57" i="42"/>
  <c r="H57" i="42" s="1"/>
  <c r="E57" i="42"/>
  <c r="B24" i="62"/>
  <c r="H24" i="62" s="1"/>
  <c r="H22" i="59"/>
  <c r="M97" i="17"/>
  <c r="I155" i="60"/>
  <c r="G343" i="1"/>
  <c r="H34" i="75" s="1"/>
  <c r="G344" i="1"/>
  <c r="H35" i="75" s="1"/>
  <c r="G345" i="1"/>
  <c r="H36" i="75" s="1"/>
  <c r="B22" i="62"/>
  <c r="M97" i="20"/>
  <c r="N285" i="55"/>
  <c r="N324" i="1"/>
  <c r="N323" i="1"/>
  <c r="N322" i="1"/>
  <c r="H36" i="54"/>
  <c r="F36" i="54"/>
  <c r="D36" i="54"/>
  <c r="D24" i="40"/>
  <c r="F24" i="40"/>
  <c r="H24" i="40"/>
  <c r="F36" i="25"/>
  <c r="D36" i="25"/>
  <c r="H36" i="25"/>
  <c r="B48" i="62"/>
  <c r="I163" i="60"/>
  <c r="B48" i="22"/>
  <c r="I163" i="21"/>
  <c r="B48" i="19"/>
  <c r="B37" i="25"/>
  <c r="I113" i="24"/>
  <c r="I34" i="9"/>
  <c r="B21" i="10"/>
  <c r="I163" i="57"/>
  <c r="B37" i="54"/>
  <c r="I113" i="55"/>
  <c r="D74" i="29"/>
  <c r="B48" i="33"/>
  <c r="I163" i="31"/>
  <c r="B48" i="59"/>
  <c r="D84" i="29"/>
  <c r="I163" i="42"/>
  <c r="B48" i="40"/>
  <c r="I163" i="18"/>
  <c r="D73" i="29"/>
  <c r="D83" i="29"/>
  <c r="D82" i="29"/>
  <c r="B39" i="28"/>
  <c r="M12" i="26"/>
  <c r="B39" i="7"/>
  <c r="M12" i="5"/>
  <c r="B39" i="43"/>
  <c r="M12" i="44"/>
  <c r="B39" i="37"/>
  <c r="M12" i="38"/>
  <c r="B39" i="46"/>
  <c r="M14" i="47"/>
  <c r="B39" i="10"/>
  <c r="M12" i="8"/>
  <c r="G32" i="45"/>
  <c r="E32" i="45"/>
  <c r="E23" i="1"/>
  <c r="F23" i="1" s="1"/>
  <c r="G56" i="18"/>
  <c r="E56" i="18"/>
  <c r="B39" i="49"/>
  <c r="M14" i="50"/>
  <c r="B39" i="16"/>
  <c r="M12" i="14"/>
  <c r="F46" i="16"/>
  <c r="D46" i="16"/>
  <c r="G57" i="18"/>
  <c r="H57" i="18" s="1"/>
  <c r="E57" i="18"/>
  <c r="H111" i="31"/>
  <c r="H59" i="31"/>
  <c r="B39" i="13"/>
  <c r="M14" i="11"/>
  <c r="I155" i="18"/>
  <c r="D17" i="19"/>
  <c r="B17" i="19"/>
  <c r="B22" i="19"/>
  <c r="B43" i="4"/>
  <c r="M20" i="2"/>
  <c r="I155" i="31"/>
  <c r="B24" i="33"/>
  <c r="B22" i="33"/>
  <c r="B30" i="16"/>
  <c r="I66" i="15"/>
  <c r="H24" i="59"/>
  <c r="F24" i="59"/>
  <c r="D24" i="59"/>
  <c r="H45" i="59"/>
  <c r="F45" i="59"/>
  <c r="D45" i="59"/>
  <c r="E32" i="82" s="1"/>
  <c r="B39" i="36"/>
  <c r="M12" i="35"/>
  <c r="E24" i="84" l="1"/>
  <c r="E33" i="84"/>
  <c r="E24" i="83"/>
  <c r="E33" i="83"/>
  <c r="F141" i="89"/>
  <c r="D141" i="89"/>
  <c r="H114" i="54"/>
  <c r="O21" i="1"/>
  <c r="F48" i="85"/>
  <c r="AK21" i="1"/>
  <c r="G21" i="1"/>
  <c r="I21" i="1"/>
  <c r="Q21" i="1"/>
  <c r="T21" i="1"/>
  <c r="T25" i="1" s="1"/>
  <c r="AQ21" i="1"/>
  <c r="D105" i="25"/>
  <c r="F114" i="54"/>
  <c r="F105" i="54"/>
  <c r="D105" i="54"/>
  <c r="D48" i="85"/>
  <c r="E35" i="86" s="1"/>
  <c r="F105" i="25"/>
  <c r="B78" i="29"/>
  <c r="B79" i="29"/>
  <c r="H79" i="29" s="1"/>
  <c r="B80" i="29"/>
  <c r="F54" i="4"/>
  <c r="B115" i="89"/>
  <c r="B24" i="89"/>
  <c r="I44" i="92"/>
  <c r="I44" i="24"/>
  <c r="N383" i="1"/>
  <c r="F69" i="29"/>
  <c r="D69" i="29"/>
  <c r="N387" i="1"/>
  <c r="B53" i="29"/>
  <c r="C23" i="95" s="1"/>
  <c r="I44" i="55"/>
  <c r="B72" i="29"/>
  <c r="N381" i="1"/>
  <c r="N382" i="1"/>
  <c r="D117" i="89"/>
  <c r="H117" i="89"/>
  <c r="F117" i="89"/>
  <c r="D134" i="89"/>
  <c r="F134" i="89"/>
  <c r="H134" i="89"/>
  <c r="N385" i="1"/>
  <c r="D37" i="89"/>
  <c r="E33" i="90" s="1"/>
  <c r="F37" i="89"/>
  <c r="H37" i="89"/>
  <c r="I78" i="92"/>
  <c r="H86" i="92"/>
  <c r="I86" i="92" s="1"/>
  <c r="B131" i="89"/>
  <c r="P60" i="29"/>
  <c r="N386" i="1"/>
  <c r="J386" i="1" s="1"/>
  <c r="D148" i="89"/>
  <c r="H148" i="89"/>
  <c r="F148" i="89"/>
  <c r="B102" i="29"/>
  <c r="F49" i="4"/>
  <c r="D23" i="7"/>
  <c r="D45" i="10"/>
  <c r="H96" i="29"/>
  <c r="F96" i="29"/>
  <c r="F170" i="85"/>
  <c r="D170" i="85"/>
  <c r="E15" i="1"/>
  <c r="F15" i="1" s="1"/>
  <c r="AM15" i="1" s="1"/>
  <c r="E56" i="42"/>
  <c r="D208" i="40" s="1"/>
  <c r="H20" i="75"/>
  <c r="E56" i="88"/>
  <c r="G56" i="88"/>
  <c r="H56" i="88" s="1"/>
  <c r="H21" i="75"/>
  <c r="F312" i="1"/>
  <c r="D115" i="62"/>
  <c r="F46" i="85"/>
  <c r="C126" i="60"/>
  <c r="C67" i="60"/>
  <c r="C74" i="60"/>
  <c r="C119" i="60"/>
  <c r="C117" i="60"/>
  <c r="C72" i="60"/>
  <c r="C65" i="60"/>
  <c r="C124" i="60"/>
  <c r="H46" i="85"/>
  <c r="C119" i="88"/>
  <c r="C67" i="88"/>
  <c r="C74" i="88"/>
  <c r="C126" i="88"/>
  <c r="C126" i="31"/>
  <c r="C67" i="31"/>
  <c r="C74" i="31"/>
  <c r="E74" i="31" s="1"/>
  <c r="C119" i="31"/>
  <c r="C124" i="31"/>
  <c r="C65" i="31"/>
  <c r="C117" i="31"/>
  <c r="C72" i="31"/>
  <c r="C124" i="21"/>
  <c r="C65" i="21"/>
  <c r="C72" i="21"/>
  <c r="J340" i="1"/>
  <c r="H164" i="25"/>
  <c r="D164" i="25"/>
  <c r="B24" i="25"/>
  <c r="H24" i="25" s="1"/>
  <c r="J106" i="25"/>
  <c r="C126" i="18"/>
  <c r="C74" i="18"/>
  <c r="C67" i="18"/>
  <c r="C119" i="18"/>
  <c r="C120" i="18" s="1"/>
  <c r="C117" i="18"/>
  <c r="E117" i="18" s="1"/>
  <c r="C124" i="18"/>
  <c r="C72" i="18"/>
  <c r="C65" i="18"/>
  <c r="H164" i="19"/>
  <c r="D164" i="19"/>
  <c r="F164" i="19"/>
  <c r="D46" i="19"/>
  <c r="E33" i="76" s="1"/>
  <c r="F46" i="19"/>
  <c r="H46" i="19"/>
  <c r="J106" i="54"/>
  <c r="B24" i="54"/>
  <c r="D24" i="54" s="1"/>
  <c r="E19" i="83" s="1"/>
  <c r="D46" i="62"/>
  <c r="E33" i="81" s="1"/>
  <c r="F46" i="62"/>
  <c r="H46" i="62"/>
  <c r="H166" i="62"/>
  <c r="F166" i="62"/>
  <c r="D166" i="62"/>
  <c r="H168" i="85"/>
  <c r="F168" i="85"/>
  <c r="D168" i="85"/>
  <c r="D168" i="40"/>
  <c r="H168" i="40"/>
  <c r="F168" i="40"/>
  <c r="D46" i="40"/>
  <c r="E33" i="79" s="1"/>
  <c r="F46" i="40"/>
  <c r="H46" i="40"/>
  <c r="B136" i="33"/>
  <c r="D46" i="33"/>
  <c r="E33" i="78" s="1"/>
  <c r="F46" i="33"/>
  <c r="H46" i="33"/>
  <c r="F164" i="33"/>
  <c r="D164" i="33"/>
  <c r="H164" i="33"/>
  <c r="D46" i="22"/>
  <c r="E33" i="77" s="1"/>
  <c r="F46" i="22"/>
  <c r="H46" i="22"/>
  <c r="D164" i="22"/>
  <c r="F164" i="22"/>
  <c r="H164" i="22"/>
  <c r="B73" i="86"/>
  <c r="H115" i="62"/>
  <c r="D44" i="62"/>
  <c r="E31" i="81" s="1"/>
  <c r="F44" i="62"/>
  <c r="H44" i="62"/>
  <c r="D164" i="62"/>
  <c r="H164" i="62"/>
  <c r="F164" i="62"/>
  <c r="D44" i="85"/>
  <c r="E31" i="86" s="1"/>
  <c r="F44" i="85"/>
  <c r="H44" i="85"/>
  <c r="D166" i="85"/>
  <c r="F166" i="85"/>
  <c r="H166" i="85"/>
  <c r="H166" i="40"/>
  <c r="D166" i="40"/>
  <c r="F166" i="40"/>
  <c r="H44" i="40"/>
  <c r="F44" i="40"/>
  <c r="D44" i="40"/>
  <c r="E31" i="79" s="1"/>
  <c r="D44" i="33"/>
  <c r="E31" i="78" s="1"/>
  <c r="F44" i="33"/>
  <c r="H44" i="33"/>
  <c r="D162" i="33"/>
  <c r="F162" i="33"/>
  <c r="H162" i="33"/>
  <c r="D44" i="22"/>
  <c r="E31" i="77" s="1"/>
  <c r="H44" i="22"/>
  <c r="F44" i="22"/>
  <c r="D162" i="22"/>
  <c r="H162" i="22"/>
  <c r="F162" i="22"/>
  <c r="D44" i="19"/>
  <c r="E31" i="76" s="1"/>
  <c r="H44" i="19"/>
  <c r="F44" i="19"/>
  <c r="F162" i="19"/>
  <c r="H162" i="19"/>
  <c r="D162" i="19"/>
  <c r="Q20" i="1"/>
  <c r="D115" i="22"/>
  <c r="F115" i="22"/>
  <c r="C125" i="57"/>
  <c r="E125" i="57" s="1"/>
  <c r="E124" i="57"/>
  <c r="E65" i="57"/>
  <c r="C66" i="57"/>
  <c r="E66" i="57" s="1"/>
  <c r="F24" i="22"/>
  <c r="E72" i="57"/>
  <c r="C73" i="57"/>
  <c r="E73" i="57" s="1"/>
  <c r="E126" i="57"/>
  <c r="C127" i="57"/>
  <c r="E127" i="57" s="1"/>
  <c r="E117" i="88"/>
  <c r="C118" i="88"/>
  <c r="E118" i="88" s="1"/>
  <c r="D24" i="22"/>
  <c r="C120" i="57"/>
  <c r="E120" i="57" s="1"/>
  <c r="E119" i="57"/>
  <c r="E124" i="88"/>
  <c r="C125" i="88"/>
  <c r="E125" i="88" s="1"/>
  <c r="E67" i="57"/>
  <c r="C68" i="57"/>
  <c r="E68" i="57" s="1"/>
  <c r="E72" i="88"/>
  <c r="C73" i="88"/>
  <c r="E73" i="88" s="1"/>
  <c r="E74" i="57"/>
  <c r="C75" i="57"/>
  <c r="E75" i="57" s="1"/>
  <c r="E65" i="88"/>
  <c r="C66" i="88"/>
  <c r="E66" i="88" s="1"/>
  <c r="C118" i="57"/>
  <c r="E118" i="57" s="1"/>
  <c r="E117" i="57"/>
  <c r="F115" i="33"/>
  <c r="D115" i="33"/>
  <c r="D24" i="85"/>
  <c r="F24" i="85"/>
  <c r="F113" i="85"/>
  <c r="F59" i="25"/>
  <c r="H59" i="25"/>
  <c r="H113" i="85"/>
  <c r="C127" i="21"/>
  <c r="E126" i="21"/>
  <c r="G126" i="21"/>
  <c r="H126" i="21" s="1"/>
  <c r="H18" i="33"/>
  <c r="F18" i="33"/>
  <c r="H111" i="33"/>
  <c r="F111" i="33"/>
  <c r="H20" i="33"/>
  <c r="F20" i="33"/>
  <c r="H109" i="33"/>
  <c r="F109" i="33"/>
  <c r="H111" i="62"/>
  <c r="F111" i="62"/>
  <c r="C75" i="21"/>
  <c r="E75" i="21" s="1"/>
  <c r="E74" i="21"/>
  <c r="C120" i="21"/>
  <c r="E119" i="21"/>
  <c r="G119" i="21"/>
  <c r="H119" i="21" s="1"/>
  <c r="H109" i="22"/>
  <c r="F109" i="22"/>
  <c r="H111" i="85"/>
  <c r="F111" i="85"/>
  <c r="H20" i="62"/>
  <c r="F20" i="62"/>
  <c r="H20" i="85"/>
  <c r="F20" i="85"/>
  <c r="H70" i="62"/>
  <c r="H18" i="62"/>
  <c r="F18" i="62"/>
  <c r="F18" i="22"/>
  <c r="H18" i="22"/>
  <c r="D70" i="62"/>
  <c r="H109" i="62"/>
  <c r="F109" i="62"/>
  <c r="H113" i="19"/>
  <c r="F113" i="19"/>
  <c r="F192" i="40"/>
  <c r="G388" i="1"/>
  <c r="H54" i="75" s="1"/>
  <c r="G390" i="1"/>
  <c r="H56" i="75" s="1"/>
  <c r="H192" i="40"/>
  <c r="G389" i="1"/>
  <c r="H55" i="75" s="1"/>
  <c r="G324" i="1"/>
  <c r="J324" i="1" s="1"/>
  <c r="H32" i="75"/>
  <c r="G323" i="1"/>
  <c r="J323" i="1" s="1"/>
  <c r="G322" i="1"/>
  <c r="H28" i="75" s="1"/>
  <c r="H20" i="19"/>
  <c r="F20" i="19"/>
  <c r="H18" i="19"/>
  <c r="F18" i="19"/>
  <c r="H27" i="75"/>
  <c r="G327" i="1"/>
  <c r="J327" i="1" s="1"/>
  <c r="G15" i="44"/>
  <c r="H15" i="44" s="1"/>
  <c r="M15" i="44" s="1"/>
  <c r="G313" i="1"/>
  <c r="H22" i="75" s="1"/>
  <c r="G325" i="1"/>
  <c r="J325" i="1" s="1"/>
  <c r="G326" i="1"/>
  <c r="J326" i="1" s="1"/>
  <c r="H11" i="75"/>
  <c r="C76" i="86"/>
  <c r="D70" i="22"/>
  <c r="F70" i="22"/>
  <c r="H150" i="40"/>
  <c r="F150" i="40"/>
  <c r="C81" i="77"/>
  <c r="F45" i="85"/>
  <c r="H134" i="40"/>
  <c r="D45" i="85"/>
  <c r="E32" i="86" s="1"/>
  <c r="B73" i="79"/>
  <c r="H188" i="22"/>
  <c r="D75" i="25"/>
  <c r="Q18" i="95" s="1"/>
  <c r="D75" i="54"/>
  <c r="Q17" i="95" s="1"/>
  <c r="F188" i="22"/>
  <c r="D180" i="54"/>
  <c r="I20" i="1"/>
  <c r="G20" i="1"/>
  <c r="H59" i="54"/>
  <c r="F59" i="54"/>
  <c r="D59" i="54"/>
  <c r="D190" i="62"/>
  <c r="F190" i="62"/>
  <c r="H190" i="62"/>
  <c r="H70" i="33"/>
  <c r="F70" i="33"/>
  <c r="D70" i="33"/>
  <c r="C73" i="78"/>
  <c r="C80" i="78" s="1"/>
  <c r="D22" i="22"/>
  <c r="H40" i="19"/>
  <c r="B75" i="79"/>
  <c r="B136" i="85"/>
  <c r="C73" i="84"/>
  <c r="C80" i="84" s="1"/>
  <c r="D154" i="85"/>
  <c r="H154" i="85"/>
  <c r="F154" i="85"/>
  <c r="C73" i="76"/>
  <c r="C81" i="76" s="1"/>
  <c r="B151" i="85"/>
  <c r="D70" i="85"/>
  <c r="F70" i="85"/>
  <c r="H70" i="85"/>
  <c r="H192" i="85"/>
  <c r="F192" i="85"/>
  <c r="D192" i="85"/>
  <c r="F144" i="40"/>
  <c r="B74" i="86"/>
  <c r="B81" i="81"/>
  <c r="C81" i="81"/>
  <c r="AG20" i="1"/>
  <c r="H22" i="85"/>
  <c r="D22" i="85"/>
  <c r="F22" i="85"/>
  <c r="H115" i="85"/>
  <c r="F115" i="85"/>
  <c r="D115" i="85"/>
  <c r="F134" i="40"/>
  <c r="D46" i="43"/>
  <c r="F50" i="7"/>
  <c r="H132" i="40"/>
  <c r="F149" i="40"/>
  <c r="E57" i="88"/>
  <c r="F135" i="40"/>
  <c r="D135" i="40"/>
  <c r="B78" i="79" s="1"/>
  <c r="D133" i="40"/>
  <c r="B77" i="86" s="1"/>
  <c r="H133" i="40"/>
  <c r="H149" i="40"/>
  <c r="F45" i="36"/>
  <c r="F153" i="40"/>
  <c r="H145" i="40"/>
  <c r="H153" i="40"/>
  <c r="D145" i="40"/>
  <c r="C74" i="86" s="1"/>
  <c r="D132" i="40"/>
  <c r="B76" i="86" s="1"/>
  <c r="H144" i="40"/>
  <c r="D144" i="40"/>
  <c r="I112" i="88"/>
  <c r="H148" i="40"/>
  <c r="D148" i="40"/>
  <c r="C77" i="79" s="1"/>
  <c r="F162" i="40"/>
  <c r="H162" i="40"/>
  <c r="G57" i="88"/>
  <c r="H57" i="88" s="1"/>
  <c r="E27" i="79"/>
  <c r="B151" i="40"/>
  <c r="F151" i="40" s="1"/>
  <c r="C78" i="79"/>
  <c r="C78" i="86"/>
  <c r="D45" i="28"/>
  <c r="H10" i="75"/>
  <c r="H13" i="75"/>
  <c r="F282" i="1"/>
  <c r="F278" i="1"/>
  <c r="G16" i="2" s="1"/>
  <c r="H16" i="2" s="1"/>
  <c r="M16" i="2" s="1"/>
  <c r="H12" i="75"/>
  <c r="F280" i="1"/>
  <c r="H14" i="75"/>
  <c r="G11" i="58"/>
  <c r="G11" i="56"/>
  <c r="G11" i="23"/>
  <c r="G11" i="20"/>
  <c r="G11" i="41"/>
  <c r="G11" i="30"/>
  <c r="G11" i="61"/>
  <c r="G11" i="17"/>
  <c r="B72" i="84"/>
  <c r="F45" i="13"/>
  <c r="H114" i="34"/>
  <c r="D113" i="33"/>
  <c r="B33" i="36"/>
  <c r="D33" i="36" s="1"/>
  <c r="G114" i="34"/>
  <c r="D50" i="10"/>
  <c r="F23" i="7"/>
  <c r="I61" i="6"/>
  <c r="G60" i="6"/>
  <c r="H77" i="6"/>
  <c r="H80" i="6" s="1"/>
  <c r="H82" i="6" s="1"/>
  <c r="G62" i="39"/>
  <c r="I63" i="39"/>
  <c r="D23" i="37"/>
  <c r="D45" i="37"/>
  <c r="F50" i="16"/>
  <c r="M100" i="17"/>
  <c r="D50" i="36"/>
  <c r="D50" i="28"/>
  <c r="H113" i="33"/>
  <c r="D49" i="4"/>
  <c r="D115" i="40"/>
  <c r="F115" i="40"/>
  <c r="H115" i="19"/>
  <c r="F113" i="62"/>
  <c r="G42" i="27"/>
  <c r="F23" i="28"/>
  <c r="F50" i="46"/>
  <c r="D115" i="19"/>
  <c r="D113" i="62"/>
  <c r="B149" i="59"/>
  <c r="D45" i="46"/>
  <c r="E56" i="21"/>
  <c r="E56" i="31"/>
  <c r="H40" i="59"/>
  <c r="F40" i="59"/>
  <c r="E77" i="84"/>
  <c r="O20" i="1"/>
  <c r="AK20" i="1"/>
  <c r="AQ20" i="1"/>
  <c r="H30" i="25"/>
  <c r="H40" i="62"/>
  <c r="F40" i="62"/>
  <c r="F40" i="22"/>
  <c r="D40" i="22"/>
  <c r="E27" i="77" s="1"/>
  <c r="H22" i="22"/>
  <c r="F22" i="22"/>
  <c r="F40" i="33"/>
  <c r="D40" i="33"/>
  <c r="E27" i="78" s="1"/>
  <c r="F112" i="54"/>
  <c r="F40" i="19"/>
  <c r="D40" i="19"/>
  <c r="E27" i="76" s="1"/>
  <c r="D112" i="54"/>
  <c r="B78" i="83" s="1"/>
  <c r="B80" i="83" s="1"/>
  <c r="H30" i="54"/>
  <c r="F30" i="25"/>
  <c r="F30" i="54"/>
  <c r="F50" i="43"/>
  <c r="F133" i="19"/>
  <c r="D133" i="19"/>
  <c r="B79" i="76" s="1"/>
  <c r="B81" i="76" s="1"/>
  <c r="E48" i="45"/>
  <c r="H40" i="40"/>
  <c r="F40" i="40"/>
  <c r="D133" i="33"/>
  <c r="F133" i="33"/>
  <c r="H125" i="25"/>
  <c r="F125" i="25"/>
  <c r="F45" i="22"/>
  <c r="H45" i="22"/>
  <c r="I48" i="15"/>
  <c r="D112" i="25"/>
  <c r="B78" i="84" s="1"/>
  <c r="F112" i="25"/>
  <c r="D50" i="49"/>
  <c r="I41" i="27"/>
  <c r="H125" i="54"/>
  <c r="D125" i="54"/>
  <c r="C78" i="83" s="1"/>
  <c r="C80" i="83" s="1"/>
  <c r="H163" i="22"/>
  <c r="D163" i="22"/>
  <c r="G48" i="15"/>
  <c r="G73" i="15" s="1"/>
  <c r="F22" i="16"/>
  <c r="D135" i="22"/>
  <c r="H135" i="22"/>
  <c r="I61" i="39"/>
  <c r="H71" i="9"/>
  <c r="H74" i="9" s="1"/>
  <c r="H76" i="9" s="1"/>
  <c r="B22" i="10"/>
  <c r="F22" i="10" s="1"/>
  <c r="H22" i="40"/>
  <c r="G383" i="1"/>
  <c r="H50" i="75" s="1"/>
  <c r="G382" i="1"/>
  <c r="H49" i="75" s="1"/>
  <c r="G381" i="1"/>
  <c r="H48" i="75" s="1"/>
  <c r="H87" i="39"/>
  <c r="H90" i="39" s="1"/>
  <c r="H92" i="39" s="1"/>
  <c r="B22" i="37"/>
  <c r="F22" i="37" s="1"/>
  <c r="H58" i="27"/>
  <c r="H61" i="27" s="1"/>
  <c r="H63" i="27" s="1"/>
  <c r="B22" i="28"/>
  <c r="F22" i="28" s="1"/>
  <c r="D96" i="29"/>
  <c r="I60" i="21"/>
  <c r="I60" i="60"/>
  <c r="H149" i="62"/>
  <c r="F114" i="25"/>
  <c r="F149" i="62"/>
  <c r="D22" i="40"/>
  <c r="B23" i="43"/>
  <c r="D23" i="43" s="1"/>
  <c r="D115" i="54"/>
  <c r="F115" i="54"/>
  <c r="H115" i="54"/>
  <c r="P106" i="54" s="1"/>
  <c r="F137" i="62"/>
  <c r="H137" i="62"/>
  <c r="D137" i="62"/>
  <c r="D115" i="25"/>
  <c r="F115" i="25"/>
  <c r="H115" i="25"/>
  <c r="P106" i="25" s="1"/>
  <c r="H139" i="40"/>
  <c r="D139" i="40"/>
  <c r="F139" i="40"/>
  <c r="D137" i="59"/>
  <c r="F137" i="59"/>
  <c r="H137" i="59"/>
  <c r="E112" i="60"/>
  <c r="G112" i="60"/>
  <c r="H112" i="60" s="1"/>
  <c r="B152" i="62" s="1"/>
  <c r="I60" i="57"/>
  <c r="G112" i="42"/>
  <c r="H112" i="42" s="1"/>
  <c r="B154" i="40" s="1"/>
  <c r="E112" i="42"/>
  <c r="G112" i="31"/>
  <c r="H112" i="31" s="1"/>
  <c r="B150" i="33" s="1"/>
  <c r="E112" i="31"/>
  <c r="G112" i="18"/>
  <c r="H112" i="18" s="1"/>
  <c r="E112" i="18"/>
  <c r="E112" i="57"/>
  <c r="G112" i="57"/>
  <c r="H112" i="57" s="1"/>
  <c r="B152" i="59" s="1"/>
  <c r="E77" i="55"/>
  <c r="G77" i="55"/>
  <c r="H77" i="55" s="1"/>
  <c r="B128" i="54" s="1"/>
  <c r="J119" i="54" s="1"/>
  <c r="E112" i="21"/>
  <c r="G112" i="21"/>
  <c r="H112" i="21" s="1"/>
  <c r="E77" i="24"/>
  <c r="G77" i="24"/>
  <c r="H77" i="24" s="1"/>
  <c r="F50" i="37"/>
  <c r="B23" i="16"/>
  <c r="D23" i="16" s="1"/>
  <c r="D50" i="13"/>
  <c r="G49" i="15"/>
  <c r="H73" i="15"/>
  <c r="H76" i="15" s="1"/>
  <c r="H78" i="15" s="1"/>
  <c r="D54" i="4"/>
  <c r="D45" i="40"/>
  <c r="F21" i="16"/>
  <c r="D21" i="37"/>
  <c r="D114" i="25"/>
  <c r="D133" i="22"/>
  <c r="B79" i="77" s="1"/>
  <c r="B81" i="77" s="1"/>
  <c r="H133" i="22"/>
  <c r="F133" i="22"/>
  <c r="H134" i="62"/>
  <c r="H134" i="51"/>
  <c r="F168" i="62"/>
  <c r="H45" i="40"/>
  <c r="F134" i="62"/>
  <c r="H147" i="19"/>
  <c r="F147" i="19"/>
  <c r="G132" i="51"/>
  <c r="G134" i="51" s="1"/>
  <c r="F136" i="62"/>
  <c r="H136" i="62"/>
  <c r="D136" i="62"/>
  <c r="D21" i="46"/>
  <c r="F21" i="46"/>
  <c r="D30" i="43"/>
  <c r="F30" i="43"/>
  <c r="F21" i="49"/>
  <c r="D21" i="49"/>
  <c r="B34" i="49"/>
  <c r="I55" i="12"/>
  <c r="B21" i="13"/>
  <c r="H117" i="12"/>
  <c r="H120" i="12" s="1"/>
  <c r="H109" i="3"/>
  <c r="B37" i="4"/>
  <c r="G107" i="3"/>
  <c r="G109" i="3" s="1"/>
  <c r="D33" i="49"/>
  <c r="F33" i="49"/>
  <c r="D21" i="36"/>
  <c r="F21" i="36"/>
  <c r="F26" i="4"/>
  <c r="D26" i="4"/>
  <c r="H114" i="48"/>
  <c r="H116" i="48" s="1"/>
  <c r="G28" i="2"/>
  <c r="H28" i="2" s="1"/>
  <c r="M28" i="2" s="1"/>
  <c r="G17" i="11"/>
  <c r="H17" i="11" s="1"/>
  <c r="M17" i="11" s="1"/>
  <c r="G15" i="14"/>
  <c r="H15" i="14" s="1"/>
  <c r="M15" i="14" s="1"/>
  <c r="G17" i="50"/>
  <c r="H17" i="50" s="1"/>
  <c r="M17" i="50" s="1"/>
  <c r="G15" i="26"/>
  <c r="H15" i="26" s="1"/>
  <c r="M15" i="26" s="1"/>
  <c r="G16" i="8"/>
  <c r="H16" i="8" s="1"/>
  <c r="M16" i="8" s="1"/>
  <c r="G15" i="5"/>
  <c r="H15" i="5" s="1"/>
  <c r="M15" i="5" s="1"/>
  <c r="G15" i="38"/>
  <c r="H15" i="38" s="1"/>
  <c r="M15" i="38" s="1"/>
  <c r="D168" i="62"/>
  <c r="F147" i="33"/>
  <c r="H147" i="33"/>
  <c r="F142" i="54"/>
  <c r="D142" i="54"/>
  <c r="G27" i="14"/>
  <c r="H27" i="14" s="1"/>
  <c r="B44" i="16" s="1"/>
  <c r="G27" i="44"/>
  <c r="H27" i="44" s="1"/>
  <c r="M27" i="44" s="1"/>
  <c r="D165" i="62"/>
  <c r="F165" i="62"/>
  <c r="H165" i="62"/>
  <c r="F163" i="33"/>
  <c r="H163" i="33"/>
  <c r="G28" i="44"/>
  <c r="H28" i="44" s="1"/>
  <c r="M28" i="44" s="1"/>
  <c r="G15" i="1"/>
  <c r="D168" i="59"/>
  <c r="F168" i="59"/>
  <c r="H168" i="59"/>
  <c r="D166" i="33"/>
  <c r="H166" i="33"/>
  <c r="F166" i="33"/>
  <c r="B138" i="40"/>
  <c r="D136" i="40"/>
  <c r="H136" i="40"/>
  <c r="F136" i="40"/>
  <c r="F21" i="28"/>
  <c r="D166" i="22"/>
  <c r="F166" i="22"/>
  <c r="H166" i="22"/>
  <c r="F134" i="59"/>
  <c r="D134" i="59"/>
  <c r="H134" i="59"/>
  <c r="F142" i="25"/>
  <c r="D142" i="25"/>
  <c r="H142" i="25"/>
  <c r="H170" i="40"/>
  <c r="D170" i="40"/>
  <c r="F170" i="40"/>
  <c r="F135" i="33"/>
  <c r="D135" i="33"/>
  <c r="H135" i="33"/>
  <c r="D163" i="19"/>
  <c r="H163" i="19"/>
  <c r="F163" i="19"/>
  <c r="D166" i="19"/>
  <c r="F166" i="19"/>
  <c r="H166" i="19"/>
  <c r="F24" i="62"/>
  <c r="D24" i="62"/>
  <c r="I60" i="42"/>
  <c r="F45" i="62"/>
  <c r="D45" i="62"/>
  <c r="E32" i="81" s="1"/>
  <c r="H45" i="62"/>
  <c r="H22" i="62"/>
  <c r="D22" i="62"/>
  <c r="F22" i="62"/>
  <c r="G21" i="26"/>
  <c r="H21" i="26" s="1"/>
  <c r="G9" i="11"/>
  <c r="H9" i="11" s="1"/>
  <c r="M9" i="11" s="1"/>
  <c r="G9" i="14"/>
  <c r="H9" i="14" s="1"/>
  <c r="G9" i="5"/>
  <c r="H9" i="5" s="1"/>
  <c r="G9" i="35"/>
  <c r="H9" i="35" s="1"/>
  <c r="G9" i="44"/>
  <c r="H9" i="44" s="1"/>
  <c r="G9" i="50"/>
  <c r="H9" i="50" s="1"/>
  <c r="M9" i="50" s="1"/>
  <c r="G9" i="2"/>
  <c r="H9" i="2" s="1"/>
  <c r="M9" i="2" s="1"/>
  <c r="G9" i="47"/>
  <c r="H9" i="47" s="1"/>
  <c r="M9" i="47" s="1"/>
  <c r="G9" i="26"/>
  <c r="H9" i="26" s="1"/>
  <c r="G9" i="38"/>
  <c r="H9" i="38" s="1"/>
  <c r="G9" i="8"/>
  <c r="H9" i="8" s="1"/>
  <c r="G10" i="11"/>
  <c r="H10" i="11" s="1"/>
  <c r="G10" i="50"/>
  <c r="H10" i="50" s="1"/>
  <c r="G12" i="2"/>
  <c r="H12" i="2" s="1"/>
  <c r="M12" i="2" s="1"/>
  <c r="G10" i="47"/>
  <c r="H10" i="47" s="1"/>
  <c r="G11" i="11"/>
  <c r="H11" i="11" s="1"/>
  <c r="M11" i="11" s="1"/>
  <c r="G11" i="50"/>
  <c r="H11" i="50" s="1"/>
  <c r="M11" i="50" s="1"/>
  <c r="G13" i="2"/>
  <c r="H13" i="2" s="1"/>
  <c r="M13" i="2" s="1"/>
  <c r="G11" i="47"/>
  <c r="H11" i="47" s="1"/>
  <c r="M11" i="47" s="1"/>
  <c r="M47" i="23"/>
  <c r="G31" i="2"/>
  <c r="H31" i="2" s="1"/>
  <c r="M31" i="2" s="1"/>
  <c r="G10" i="2"/>
  <c r="H10" i="2" s="1"/>
  <c r="M48" i="23"/>
  <c r="M48" i="56"/>
  <c r="M49" i="23"/>
  <c r="M49" i="56"/>
  <c r="G17" i="2"/>
  <c r="H17" i="2" s="1"/>
  <c r="M17" i="2" s="1"/>
  <c r="F48" i="33"/>
  <c r="D48" i="33"/>
  <c r="E35" i="78" s="1"/>
  <c r="H48" i="33"/>
  <c r="D21" i="10"/>
  <c r="F21" i="10"/>
  <c r="H48" i="62"/>
  <c r="D48" i="62"/>
  <c r="E35" i="81" s="1"/>
  <c r="F48" i="62"/>
  <c r="D48" i="19"/>
  <c r="E35" i="76" s="1"/>
  <c r="F48" i="19"/>
  <c r="H48" i="19"/>
  <c r="H48" i="59"/>
  <c r="F48" i="59"/>
  <c r="D48" i="59"/>
  <c r="E35" i="82" s="1"/>
  <c r="D37" i="25"/>
  <c r="E34" i="84" s="1"/>
  <c r="H37" i="25"/>
  <c r="F37" i="25"/>
  <c r="F48" i="22"/>
  <c r="D48" i="22"/>
  <c r="E35" i="77" s="1"/>
  <c r="H48" i="22"/>
  <c r="H48" i="40"/>
  <c r="D48" i="40"/>
  <c r="E35" i="79" s="1"/>
  <c r="F48" i="40"/>
  <c r="H37" i="54"/>
  <c r="D37" i="54"/>
  <c r="E34" i="83" s="1"/>
  <c r="F37" i="54"/>
  <c r="D39" i="36"/>
  <c r="F39" i="36"/>
  <c r="H24" i="19"/>
  <c r="F24" i="19"/>
  <c r="D24" i="19"/>
  <c r="H32" i="45"/>
  <c r="F30" i="16"/>
  <c r="D30" i="16"/>
  <c r="H24" i="33"/>
  <c r="F24" i="33"/>
  <c r="D24" i="33"/>
  <c r="F39" i="16"/>
  <c r="D39" i="16"/>
  <c r="H56" i="18"/>
  <c r="B135" i="19" s="1"/>
  <c r="D39" i="37"/>
  <c r="F39" i="37"/>
  <c r="H45" i="19"/>
  <c r="D45" i="19"/>
  <c r="E32" i="76" s="1"/>
  <c r="F45" i="19"/>
  <c r="H45" i="33"/>
  <c r="F45" i="33"/>
  <c r="D45" i="33"/>
  <c r="E32" i="78" s="1"/>
  <c r="D43" i="4"/>
  <c r="F43" i="4"/>
  <c r="H22" i="19"/>
  <c r="F22" i="19"/>
  <c r="D22" i="19"/>
  <c r="F39" i="49"/>
  <c r="D39" i="49"/>
  <c r="F39" i="10"/>
  <c r="D39" i="10"/>
  <c r="F39" i="43"/>
  <c r="D39" i="43"/>
  <c r="H22" i="33"/>
  <c r="D22" i="33"/>
  <c r="F22" i="33"/>
  <c r="I60" i="31"/>
  <c r="F39" i="46"/>
  <c r="D39" i="46"/>
  <c r="H49" i="45"/>
  <c r="G49" i="45" s="1"/>
  <c r="G74" i="45" s="1"/>
  <c r="F39" i="7"/>
  <c r="D39" i="7"/>
  <c r="D39" i="13"/>
  <c r="F39" i="13"/>
  <c r="D39" i="28"/>
  <c r="F39" i="28"/>
  <c r="O15" i="1" l="1"/>
  <c r="M15" i="1"/>
  <c r="Q15" i="1"/>
  <c r="AG15" i="1"/>
  <c r="AI15" i="1"/>
  <c r="AQ15" i="1"/>
  <c r="AE15" i="1"/>
  <c r="I15" i="1"/>
  <c r="AK25" i="1"/>
  <c r="AL21" i="1" s="1"/>
  <c r="N106" i="54"/>
  <c r="F79" i="29"/>
  <c r="D86" i="40"/>
  <c r="Q12" i="95" s="1"/>
  <c r="G86" i="92"/>
  <c r="B136" i="89"/>
  <c r="B25" i="89"/>
  <c r="H85" i="55"/>
  <c r="B25" i="54" s="1"/>
  <c r="H25" i="54" s="1"/>
  <c r="D131" i="89"/>
  <c r="C77" i="90" s="1"/>
  <c r="C79" i="90" s="1"/>
  <c r="F131" i="89"/>
  <c r="H131" i="89"/>
  <c r="F53" i="29"/>
  <c r="G23" i="95" s="1"/>
  <c r="H53" i="29"/>
  <c r="I23" i="95" s="1"/>
  <c r="F24" i="89"/>
  <c r="D24" i="89"/>
  <c r="E18" i="90" s="1"/>
  <c r="H24" i="89"/>
  <c r="D115" i="89"/>
  <c r="B77" i="90" s="1"/>
  <c r="B79" i="90" s="1"/>
  <c r="F115" i="89"/>
  <c r="H115" i="89"/>
  <c r="H85" i="24"/>
  <c r="B25" i="25" s="1"/>
  <c r="F25" i="25" s="1"/>
  <c r="I77" i="24"/>
  <c r="I77" i="55"/>
  <c r="F80" i="29"/>
  <c r="H80" i="29"/>
  <c r="F102" i="29"/>
  <c r="H102" i="29"/>
  <c r="H76" i="29"/>
  <c r="F76" i="29"/>
  <c r="F78" i="29"/>
  <c r="H78" i="29"/>
  <c r="F72" i="29"/>
  <c r="H72" i="29"/>
  <c r="J390" i="1"/>
  <c r="J389" i="1"/>
  <c r="D24" i="25"/>
  <c r="E19" i="84" s="1"/>
  <c r="B138" i="85"/>
  <c r="H138" i="85" s="1"/>
  <c r="J388" i="1"/>
  <c r="C75" i="31"/>
  <c r="E75" i="31" s="1"/>
  <c r="F24" i="25"/>
  <c r="N106" i="25"/>
  <c r="L106" i="54"/>
  <c r="L106" i="25"/>
  <c r="J322" i="1"/>
  <c r="B128" i="25"/>
  <c r="J119" i="25" s="1"/>
  <c r="D78" i="29"/>
  <c r="B78" i="78"/>
  <c r="B80" i="78" s="1"/>
  <c r="B79" i="82"/>
  <c r="B81" i="82" s="1"/>
  <c r="D76" i="29"/>
  <c r="C127" i="60"/>
  <c r="E127" i="60" s="1"/>
  <c r="E126" i="60"/>
  <c r="C120" i="88"/>
  <c r="E120" i="88" s="1"/>
  <c r="E119" i="88"/>
  <c r="C125" i="60"/>
  <c r="E125" i="60" s="1"/>
  <c r="E124" i="60"/>
  <c r="C68" i="60"/>
  <c r="E68" i="60" s="1"/>
  <c r="E67" i="60"/>
  <c r="C127" i="88"/>
  <c r="E127" i="88" s="1"/>
  <c r="E126" i="88"/>
  <c r="E117" i="60"/>
  <c r="C118" i="60"/>
  <c r="E118" i="60" s="1"/>
  <c r="E72" i="31"/>
  <c r="C73" i="31"/>
  <c r="E73" i="31" s="1"/>
  <c r="E74" i="60"/>
  <c r="C75" i="60"/>
  <c r="E75" i="60" s="1"/>
  <c r="E124" i="31"/>
  <c r="C125" i="31"/>
  <c r="E125" i="31" s="1"/>
  <c r="C68" i="88"/>
  <c r="E67" i="88"/>
  <c r="E65" i="60"/>
  <c r="C66" i="60"/>
  <c r="E66" i="60" s="1"/>
  <c r="E117" i="31"/>
  <c r="C118" i="31"/>
  <c r="E118" i="31" s="1"/>
  <c r="C120" i="60"/>
  <c r="E120" i="60" s="1"/>
  <c r="E119" i="60"/>
  <c r="C75" i="88"/>
  <c r="E75" i="88" s="1"/>
  <c r="E74" i="88"/>
  <c r="E72" i="60"/>
  <c r="C73" i="60"/>
  <c r="E73" i="60" s="1"/>
  <c r="C120" i="31"/>
  <c r="E120" i="31" s="1"/>
  <c r="E119" i="31"/>
  <c r="C66" i="31"/>
  <c r="E66" i="31" s="1"/>
  <c r="E65" i="31"/>
  <c r="E126" i="31"/>
  <c r="C127" i="31"/>
  <c r="E127" i="31" s="1"/>
  <c r="C68" i="31"/>
  <c r="E68" i="31" s="1"/>
  <c r="E67" i="31"/>
  <c r="C68" i="21"/>
  <c r="E68" i="21" s="1"/>
  <c r="E67" i="21"/>
  <c r="C118" i="21"/>
  <c r="E117" i="21"/>
  <c r="G117" i="21"/>
  <c r="H117" i="21" s="1"/>
  <c r="E124" i="21"/>
  <c r="G124" i="21"/>
  <c r="H124" i="21" s="1"/>
  <c r="C125" i="21"/>
  <c r="E72" i="21"/>
  <c r="C73" i="21"/>
  <c r="E73" i="21" s="1"/>
  <c r="C66" i="21"/>
  <c r="E66" i="21" s="1"/>
  <c r="E65" i="21"/>
  <c r="E127" i="21"/>
  <c r="G127" i="21"/>
  <c r="H127" i="21" s="1"/>
  <c r="G120" i="21"/>
  <c r="H120" i="21" s="1"/>
  <c r="E120" i="21"/>
  <c r="G72" i="88"/>
  <c r="H72" i="88" s="1"/>
  <c r="G117" i="88"/>
  <c r="H117" i="88" s="1"/>
  <c r="G65" i="57"/>
  <c r="H65" i="57" s="1"/>
  <c r="E18" i="1"/>
  <c r="F18" i="1" s="1"/>
  <c r="G65" i="42"/>
  <c r="H65" i="42" s="1"/>
  <c r="G117" i="57"/>
  <c r="H117" i="57" s="1"/>
  <c r="G65" i="88"/>
  <c r="H65" i="88" s="1"/>
  <c r="G65" i="31"/>
  <c r="H65" i="31" s="1"/>
  <c r="G65" i="21"/>
  <c r="H65" i="21" s="1"/>
  <c r="G117" i="60"/>
  <c r="H117" i="60" s="1"/>
  <c r="G72" i="31"/>
  <c r="H72" i="31" s="1"/>
  <c r="G65" i="60"/>
  <c r="H65" i="60" s="1"/>
  <c r="G124" i="88"/>
  <c r="H124" i="88" s="1"/>
  <c r="G124" i="60"/>
  <c r="H124" i="60" s="1"/>
  <c r="G72" i="42"/>
  <c r="H72" i="42" s="1"/>
  <c r="G72" i="57"/>
  <c r="H72" i="57" s="1"/>
  <c r="G124" i="57"/>
  <c r="H124" i="57" s="1"/>
  <c r="G72" i="21"/>
  <c r="H72" i="21" s="1"/>
  <c r="G117" i="31"/>
  <c r="H117" i="31" s="1"/>
  <c r="G124" i="42"/>
  <c r="H124" i="42" s="1"/>
  <c r="G72" i="60"/>
  <c r="H72" i="60" s="1"/>
  <c r="G124" i="31"/>
  <c r="H124" i="31" s="1"/>
  <c r="G117" i="42"/>
  <c r="H117" i="42" s="1"/>
  <c r="G67" i="31"/>
  <c r="H67" i="31" s="1"/>
  <c r="G119" i="42"/>
  <c r="H119" i="42" s="1"/>
  <c r="G126" i="31"/>
  <c r="H126" i="31" s="1"/>
  <c r="G67" i="42"/>
  <c r="H67" i="42" s="1"/>
  <c r="G67" i="21"/>
  <c r="H67" i="21" s="1"/>
  <c r="G126" i="60"/>
  <c r="H126" i="60" s="1"/>
  <c r="G74" i="42"/>
  <c r="H74" i="42" s="1"/>
  <c r="G67" i="57"/>
  <c r="H67" i="57" s="1"/>
  <c r="G74" i="21"/>
  <c r="H74" i="21" s="1"/>
  <c r="G119" i="60"/>
  <c r="H119" i="60" s="1"/>
  <c r="G74" i="60"/>
  <c r="H74" i="60" s="1"/>
  <c r="G67" i="88"/>
  <c r="H67" i="88" s="1"/>
  <c r="G126" i="88"/>
  <c r="H126" i="88" s="1"/>
  <c r="G67" i="60"/>
  <c r="H67" i="60" s="1"/>
  <c r="G119" i="57"/>
  <c r="H119" i="57" s="1"/>
  <c r="G119" i="88"/>
  <c r="H119" i="88" s="1"/>
  <c r="G74" i="31"/>
  <c r="H74" i="31" s="1"/>
  <c r="G119" i="31"/>
  <c r="H119" i="31" s="1"/>
  <c r="G126" i="57"/>
  <c r="H126" i="57" s="1"/>
  <c r="G74" i="88"/>
  <c r="H74" i="88" s="1"/>
  <c r="G126" i="42"/>
  <c r="H126" i="42" s="1"/>
  <c r="G74" i="57"/>
  <c r="H74" i="57" s="1"/>
  <c r="H29" i="75"/>
  <c r="G119" i="18"/>
  <c r="H119" i="18" s="1"/>
  <c r="C118" i="18"/>
  <c r="E118" i="18" s="1"/>
  <c r="E119" i="18"/>
  <c r="G117" i="18"/>
  <c r="H117" i="18" s="1"/>
  <c r="C125" i="18"/>
  <c r="E124" i="18"/>
  <c r="G124" i="18"/>
  <c r="H124" i="18" s="1"/>
  <c r="G65" i="18"/>
  <c r="H65" i="18" s="1"/>
  <c r="E65" i="18"/>
  <c r="C66" i="18"/>
  <c r="E67" i="18"/>
  <c r="G67" i="18"/>
  <c r="H67" i="18" s="1"/>
  <c r="C68" i="18"/>
  <c r="C73" i="18"/>
  <c r="E72" i="18"/>
  <c r="G72" i="18"/>
  <c r="H72" i="18" s="1"/>
  <c r="E126" i="18"/>
  <c r="C127" i="18"/>
  <c r="G126" i="18"/>
  <c r="H126" i="18" s="1"/>
  <c r="E74" i="18"/>
  <c r="C75" i="18"/>
  <c r="G74" i="18"/>
  <c r="H74" i="18" s="1"/>
  <c r="H30" i="75"/>
  <c r="G120" i="18"/>
  <c r="H120" i="18" s="1"/>
  <c r="E120" i="18"/>
  <c r="B40" i="43"/>
  <c r="D40" i="43" s="1"/>
  <c r="G385" i="1"/>
  <c r="H51" i="75" s="1"/>
  <c r="G387" i="1"/>
  <c r="H53" i="75" s="1"/>
  <c r="D102" i="29"/>
  <c r="B78" i="86"/>
  <c r="C73" i="79"/>
  <c r="F149" i="59"/>
  <c r="B76" i="79"/>
  <c r="D136" i="85"/>
  <c r="H136" i="85"/>
  <c r="F136" i="85"/>
  <c r="F151" i="85"/>
  <c r="H151" i="85"/>
  <c r="D151" i="85"/>
  <c r="B77" i="79"/>
  <c r="C77" i="86"/>
  <c r="C74" i="79"/>
  <c r="C73" i="86"/>
  <c r="B80" i="84"/>
  <c r="I60" i="88"/>
  <c r="E32" i="79"/>
  <c r="D151" i="40"/>
  <c r="H151" i="40"/>
  <c r="B79" i="79"/>
  <c r="B79" i="86"/>
  <c r="F33" i="36"/>
  <c r="B34" i="36"/>
  <c r="B56" i="36" s="1"/>
  <c r="B65" i="36" s="1"/>
  <c r="D149" i="59"/>
  <c r="G80" i="6"/>
  <c r="G82" i="6" s="1"/>
  <c r="B33" i="7"/>
  <c r="F33" i="7" s="1"/>
  <c r="H149" i="59"/>
  <c r="H24" i="54"/>
  <c r="F24" i="54"/>
  <c r="AL20" i="1"/>
  <c r="D69" i="56" s="1"/>
  <c r="D72" i="29"/>
  <c r="D22" i="37"/>
  <c r="D22" i="10"/>
  <c r="D22" i="28"/>
  <c r="G61" i="27"/>
  <c r="G63" i="27" s="1"/>
  <c r="B33" i="28"/>
  <c r="B34" i="28" s="1"/>
  <c r="B56" i="28" s="1"/>
  <c r="B65" i="28" s="1"/>
  <c r="F150" i="33"/>
  <c r="H150" i="33"/>
  <c r="D150" i="33"/>
  <c r="I112" i="31"/>
  <c r="F23" i="43"/>
  <c r="I112" i="42"/>
  <c r="B150" i="22"/>
  <c r="I112" i="21"/>
  <c r="B150" i="19"/>
  <c r="I112" i="18"/>
  <c r="I112" i="60"/>
  <c r="I112" i="57"/>
  <c r="F23" i="16"/>
  <c r="B33" i="46"/>
  <c r="G114" i="48"/>
  <c r="G116" i="48" s="1"/>
  <c r="B61" i="49"/>
  <c r="D61" i="49"/>
  <c r="B56" i="49"/>
  <c r="B65" i="49" s="1"/>
  <c r="F61" i="49"/>
  <c r="B38" i="4"/>
  <c r="F37" i="4"/>
  <c r="D37" i="4"/>
  <c r="H122" i="12"/>
  <c r="B33" i="13"/>
  <c r="B34" i="13" s="1"/>
  <c r="G120" i="12"/>
  <c r="G122" i="12" s="1"/>
  <c r="F21" i="13"/>
  <c r="D21" i="13"/>
  <c r="B40" i="28"/>
  <c r="F40" i="28" s="1"/>
  <c r="B40" i="16"/>
  <c r="D40" i="16" s="1"/>
  <c r="B40" i="37"/>
  <c r="D40" i="37" s="1"/>
  <c r="B40" i="49"/>
  <c r="F40" i="49" s="1"/>
  <c r="B40" i="10"/>
  <c r="D40" i="10" s="1"/>
  <c r="B40" i="13"/>
  <c r="F40" i="13" s="1"/>
  <c r="B40" i="7"/>
  <c r="F40" i="7" s="1"/>
  <c r="M27" i="14"/>
  <c r="B44" i="43"/>
  <c r="F44" i="43" s="1"/>
  <c r="D138" i="40"/>
  <c r="H138" i="40"/>
  <c r="F138" i="40"/>
  <c r="F135" i="19"/>
  <c r="H135" i="19"/>
  <c r="D135" i="19"/>
  <c r="D165" i="19"/>
  <c r="F165" i="19"/>
  <c r="H165" i="19"/>
  <c r="B44" i="4"/>
  <c r="H76" i="2"/>
  <c r="B41" i="28"/>
  <c r="M21" i="26"/>
  <c r="H45" i="35"/>
  <c r="M9" i="35"/>
  <c r="M45" i="35" s="1"/>
  <c r="B38" i="36"/>
  <c r="H47" i="8"/>
  <c r="B38" i="10"/>
  <c r="M9" i="8"/>
  <c r="M47" i="8" s="1"/>
  <c r="H50" i="5"/>
  <c r="M9" i="5"/>
  <c r="M50" i="5" s="1"/>
  <c r="B38" i="7"/>
  <c r="H51" i="14"/>
  <c r="M9" i="14"/>
  <c r="B38" i="16"/>
  <c r="M9" i="38"/>
  <c r="M54" i="38" s="1"/>
  <c r="B38" i="37"/>
  <c r="H54" i="38"/>
  <c r="B38" i="28"/>
  <c r="M9" i="26"/>
  <c r="H42" i="26"/>
  <c r="B38" i="43"/>
  <c r="H50" i="44"/>
  <c r="M9" i="44"/>
  <c r="M50" i="44" s="1"/>
  <c r="M10" i="50"/>
  <c r="M51" i="50" s="1"/>
  <c r="B38" i="49"/>
  <c r="H51" i="50"/>
  <c r="M10" i="2"/>
  <c r="M76" i="2" s="1"/>
  <c r="B42" i="4"/>
  <c r="M10" i="11"/>
  <c r="M53" i="11" s="1"/>
  <c r="H53" i="11"/>
  <c r="B38" i="13"/>
  <c r="M47" i="56"/>
  <c r="M10" i="47"/>
  <c r="M43" i="47" s="1"/>
  <c r="B38" i="46"/>
  <c r="H43" i="47"/>
  <c r="B22" i="43"/>
  <c r="D80" i="29"/>
  <c r="B33" i="37"/>
  <c r="G90" i="39"/>
  <c r="G92" i="39" s="1"/>
  <c r="I49" i="45"/>
  <c r="B33" i="10"/>
  <c r="G74" i="9"/>
  <c r="G76" i="9" s="1"/>
  <c r="F44" i="16"/>
  <c r="D44" i="16"/>
  <c r="H47" i="19"/>
  <c r="D47" i="19"/>
  <c r="F47" i="19"/>
  <c r="B33" i="16"/>
  <c r="G76" i="15"/>
  <c r="G78" i="15" s="1"/>
  <c r="B21" i="43"/>
  <c r="H74" i="45"/>
  <c r="I32" i="45"/>
  <c r="D77" i="29"/>
  <c r="I60" i="18"/>
  <c r="D53" i="29"/>
  <c r="E23" i="95" s="1"/>
  <c r="D71" i="23" l="1"/>
  <c r="E71" i="23" s="1"/>
  <c r="D69" i="23"/>
  <c r="E69" i="23" s="1"/>
  <c r="J69" i="23" s="1"/>
  <c r="E24" i="76"/>
  <c r="E34" i="76"/>
  <c r="G85" i="55"/>
  <c r="D70" i="23"/>
  <c r="E70" i="23" s="1"/>
  <c r="J70" i="23" s="1"/>
  <c r="B130" i="54"/>
  <c r="F130" i="54" s="1"/>
  <c r="I85" i="55"/>
  <c r="B130" i="25"/>
  <c r="G85" i="24"/>
  <c r="I85" i="24"/>
  <c r="F25" i="89"/>
  <c r="D25" i="89"/>
  <c r="E19" i="90" s="1"/>
  <c r="H25" i="89"/>
  <c r="D138" i="85"/>
  <c r="D136" i="89"/>
  <c r="F136" i="89"/>
  <c r="H136" i="89"/>
  <c r="D22" i="43"/>
  <c r="F138" i="85"/>
  <c r="H25" i="25"/>
  <c r="D25" i="25"/>
  <c r="E20" i="84" s="1"/>
  <c r="J387" i="1"/>
  <c r="J385" i="1"/>
  <c r="E68" i="88"/>
  <c r="E16" i="1"/>
  <c r="F16" i="1" s="1"/>
  <c r="E14" i="1"/>
  <c r="F14" i="1" s="1"/>
  <c r="M14" i="1" s="1"/>
  <c r="E17" i="1"/>
  <c r="F17" i="1" s="1"/>
  <c r="M17" i="1" s="1"/>
  <c r="AM18" i="1"/>
  <c r="AG18" i="1"/>
  <c r="Q18" i="1"/>
  <c r="G18" i="1"/>
  <c r="AE18" i="1"/>
  <c r="O18" i="1"/>
  <c r="I18" i="1"/>
  <c r="AQ18" i="1"/>
  <c r="AI18" i="1"/>
  <c r="M18" i="1"/>
  <c r="G125" i="21"/>
  <c r="H125" i="21" s="1"/>
  <c r="E125" i="21"/>
  <c r="E118" i="21"/>
  <c r="G118" i="21"/>
  <c r="H118" i="21" s="1"/>
  <c r="G125" i="42"/>
  <c r="H125" i="42" s="1"/>
  <c r="G125" i="57"/>
  <c r="H125" i="57" s="1"/>
  <c r="G118" i="42"/>
  <c r="H118" i="42" s="1"/>
  <c r="G66" i="21"/>
  <c r="H66" i="21" s="1"/>
  <c r="G125" i="60"/>
  <c r="H125" i="60" s="1"/>
  <c r="G118" i="88"/>
  <c r="H118" i="88" s="1"/>
  <c r="G66" i="31"/>
  <c r="H66" i="31" s="1"/>
  <c r="G118" i="31"/>
  <c r="H118" i="31" s="1"/>
  <c r="G73" i="31"/>
  <c r="H73" i="31" s="1"/>
  <c r="G125" i="31"/>
  <c r="H125" i="31" s="1"/>
  <c r="G73" i="57"/>
  <c r="H73" i="57" s="1"/>
  <c r="G118" i="57"/>
  <c r="H118" i="57" s="1"/>
  <c r="G66" i="42"/>
  <c r="H66" i="42" s="1"/>
  <c r="G73" i="88"/>
  <c r="H73" i="88" s="1"/>
  <c r="G73" i="60"/>
  <c r="H73" i="60" s="1"/>
  <c r="G125" i="88"/>
  <c r="H125" i="88" s="1"/>
  <c r="G73" i="21"/>
  <c r="H73" i="21" s="1"/>
  <c r="G73" i="42"/>
  <c r="H73" i="42" s="1"/>
  <c r="G66" i="60"/>
  <c r="H66" i="60" s="1"/>
  <c r="G118" i="60"/>
  <c r="H118" i="60" s="1"/>
  <c r="G66" i="88"/>
  <c r="H66" i="88" s="1"/>
  <c r="G66" i="57"/>
  <c r="H66" i="57" s="1"/>
  <c r="G127" i="42"/>
  <c r="H127" i="42" s="1"/>
  <c r="G127" i="57"/>
  <c r="H127" i="57" s="1"/>
  <c r="G127" i="88"/>
  <c r="H127" i="88" s="1"/>
  <c r="G68" i="57"/>
  <c r="H68" i="57" s="1"/>
  <c r="G127" i="31"/>
  <c r="H127" i="31" s="1"/>
  <c r="G75" i="57"/>
  <c r="H75" i="57" s="1"/>
  <c r="G75" i="60"/>
  <c r="H75" i="60" s="1"/>
  <c r="G120" i="60"/>
  <c r="H120" i="60" s="1"/>
  <c r="G68" i="21"/>
  <c r="H68" i="21" s="1"/>
  <c r="E13" i="1"/>
  <c r="F13" i="1" s="1"/>
  <c r="G120" i="42"/>
  <c r="H120" i="42" s="1"/>
  <c r="G120" i="31"/>
  <c r="H120" i="31" s="1"/>
  <c r="G120" i="57"/>
  <c r="H120" i="57" s="1"/>
  <c r="G75" i="42"/>
  <c r="H75" i="42" s="1"/>
  <c r="G75" i="88"/>
  <c r="H75" i="88" s="1"/>
  <c r="G68" i="88"/>
  <c r="H68" i="88" s="1"/>
  <c r="G120" i="88"/>
  <c r="H120" i="88" s="1"/>
  <c r="G127" i="60"/>
  <c r="H127" i="60" s="1"/>
  <c r="G75" i="31"/>
  <c r="H75" i="31" s="1"/>
  <c r="G68" i="60"/>
  <c r="H68" i="60" s="1"/>
  <c r="G68" i="42"/>
  <c r="H68" i="42" s="1"/>
  <c r="G68" i="31"/>
  <c r="H68" i="31" s="1"/>
  <c r="G75" i="21"/>
  <c r="H75" i="21" s="1"/>
  <c r="E12" i="1"/>
  <c r="F12" i="1" s="1"/>
  <c r="AQ12" i="1" s="1"/>
  <c r="G118" i="18"/>
  <c r="H118" i="18" s="1"/>
  <c r="G127" i="18"/>
  <c r="H127" i="18" s="1"/>
  <c r="E127" i="18"/>
  <c r="E66" i="18"/>
  <c r="G66" i="18"/>
  <c r="H66" i="18" s="1"/>
  <c r="G73" i="18"/>
  <c r="H73" i="18" s="1"/>
  <c r="E73" i="18"/>
  <c r="G75" i="18"/>
  <c r="H75" i="18" s="1"/>
  <c r="E75" i="18"/>
  <c r="E68" i="18"/>
  <c r="G68" i="18"/>
  <c r="H68" i="18" s="1"/>
  <c r="G125" i="18"/>
  <c r="H125" i="18" s="1"/>
  <c r="E125" i="18"/>
  <c r="F40" i="43"/>
  <c r="B81" i="79"/>
  <c r="C79" i="82"/>
  <c r="C81" i="82" s="1"/>
  <c r="B81" i="86"/>
  <c r="B34" i="7"/>
  <c r="B61" i="7" s="1"/>
  <c r="D33" i="7"/>
  <c r="C79" i="79"/>
  <c r="C81" i="79" s="1"/>
  <c r="C79" i="86"/>
  <c r="C81" i="86" s="1"/>
  <c r="D61" i="36"/>
  <c r="B61" i="36"/>
  <c r="F61" i="36"/>
  <c r="J71" i="23"/>
  <c r="F71" i="23"/>
  <c r="H71" i="23" s="1"/>
  <c r="D71" i="56"/>
  <c r="E71" i="56" s="1"/>
  <c r="D70" i="56"/>
  <c r="E70" i="56" s="1"/>
  <c r="E69" i="56"/>
  <c r="D25" i="54"/>
  <c r="E20" i="83" s="1"/>
  <c r="F25" i="54"/>
  <c r="AL25" i="1"/>
  <c r="F61" i="28"/>
  <c r="B61" i="28"/>
  <c r="F33" i="28"/>
  <c r="D61" i="28"/>
  <c r="D33" i="28"/>
  <c r="H152" i="59"/>
  <c r="D152" i="59"/>
  <c r="F152" i="59"/>
  <c r="D150" i="19"/>
  <c r="H150" i="19"/>
  <c r="F150" i="19"/>
  <c r="F152" i="62"/>
  <c r="H152" i="62"/>
  <c r="D152" i="62"/>
  <c r="D150" i="22"/>
  <c r="H150" i="22"/>
  <c r="F150" i="22"/>
  <c r="H128" i="25"/>
  <c r="P119" i="25" s="1"/>
  <c r="F128" i="25"/>
  <c r="N119" i="25" s="1"/>
  <c r="D128" i="25"/>
  <c r="L119" i="25" s="1"/>
  <c r="D128" i="54"/>
  <c r="L119" i="54" s="1"/>
  <c r="H128" i="54"/>
  <c r="P119" i="54" s="1"/>
  <c r="F128" i="54"/>
  <c r="N119" i="54" s="1"/>
  <c r="H154" i="40"/>
  <c r="F154" i="40"/>
  <c r="D154" i="40"/>
  <c r="L71" i="23"/>
  <c r="D40" i="28"/>
  <c r="F33" i="13"/>
  <c r="D33" i="13"/>
  <c r="F65" i="4"/>
  <c r="D65" i="4"/>
  <c r="B60" i="4"/>
  <c r="B69" i="4" s="1"/>
  <c r="B65" i="4"/>
  <c r="B61" i="13"/>
  <c r="D61" i="13"/>
  <c r="F61" i="13"/>
  <c r="B56" i="13"/>
  <c r="B65" i="13" s="1"/>
  <c r="F33" i="46"/>
  <c r="D33" i="46"/>
  <c r="B34" i="46"/>
  <c r="D40" i="13"/>
  <c r="F40" i="10"/>
  <c r="B51" i="16"/>
  <c r="D40" i="49"/>
  <c r="F40" i="16"/>
  <c r="F40" i="37"/>
  <c r="D40" i="7"/>
  <c r="M51" i="14"/>
  <c r="D44" i="43"/>
  <c r="F22" i="43"/>
  <c r="F44" i="4"/>
  <c r="D44" i="4"/>
  <c r="M42" i="26"/>
  <c r="D41" i="28"/>
  <c r="F41" i="28"/>
  <c r="B51" i="43"/>
  <c r="F38" i="43"/>
  <c r="D38" i="43"/>
  <c r="H39" i="43"/>
  <c r="F38" i="16"/>
  <c r="D38" i="16"/>
  <c r="H39" i="10"/>
  <c r="B51" i="10"/>
  <c r="D38" i="10"/>
  <c r="F38" i="10"/>
  <c r="D38" i="28"/>
  <c r="H39" i="28"/>
  <c r="F38" i="28"/>
  <c r="B51" i="28"/>
  <c r="B53" i="28" s="1"/>
  <c r="B51" i="36"/>
  <c r="B53" i="36" s="1"/>
  <c r="D38" i="36"/>
  <c r="F38" i="36"/>
  <c r="H39" i="36"/>
  <c r="H39" i="16"/>
  <c r="H39" i="7"/>
  <c r="D38" i="7"/>
  <c r="B51" i="7"/>
  <c r="F38" i="7"/>
  <c r="H39" i="37"/>
  <c r="B51" i="37"/>
  <c r="D38" i="37"/>
  <c r="F38" i="37"/>
  <c r="F38" i="46"/>
  <c r="H39" i="46"/>
  <c r="B51" i="46"/>
  <c r="D38" i="46"/>
  <c r="B51" i="49"/>
  <c r="B53" i="49" s="1"/>
  <c r="H39" i="49"/>
  <c r="D38" i="49"/>
  <c r="F38" i="49"/>
  <c r="H39" i="13"/>
  <c r="B51" i="13"/>
  <c r="B53" i="13" s="1"/>
  <c r="D38" i="13"/>
  <c r="F38" i="13"/>
  <c r="D42" i="4"/>
  <c r="H43" i="4"/>
  <c r="F42" i="4"/>
  <c r="B55" i="4"/>
  <c r="B57" i="4" s="1"/>
  <c r="D33" i="37"/>
  <c r="B34" i="37"/>
  <c r="F33" i="37"/>
  <c r="D33" i="10"/>
  <c r="F33" i="10"/>
  <c r="B34" i="10"/>
  <c r="H77" i="45"/>
  <c r="H79" i="45" s="1"/>
  <c r="D21" i="43"/>
  <c r="F21" i="43"/>
  <c r="D33" i="16"/>
  <c r="F33" i="16"/>
  <c r="B34" i="16"/>
  <c r="F69" i="23" l="1"/>
  <c r="H69" i="23" s="1"/>
  <c r="M69" i="23" s="1"/>
  <c r="L69" i="23"/>
  <c r="H130" i="54"/>
  <c r="D130" i="54"/>
  <c r="F70" i="23"/>
  <c r="H70" i="23" s="1"/>
  <c r="L70" i="23"/>
  <c r="N303" i="1"/>
  <c r="N300" i="1"/>
  <c r="H128" i="31"/>
  <c r="D118" i="29"/>
  <c r="M23" i="95" s="1"/>
  <c r="K23" i="95" s="1"/>
  <c r="D130" i="25"/>
  <c r="H130" i="25"/>
  <c r="F130" i="25"/>
  <c r="H128" i="18"/>
  <c r="G128" i="18" s="1"/>
  <c r="H128" i="21"/>
  <c r="H128" i="42"/>
  <c r="H128" i="88"/>
  <c r="H128" i="60"/>
  <c r="N106" i="89"/>
  <c r="H128" i="57"/>
  <c r="I128" i="57" s="1"/>
  <c r="J106" i="89"/>
  <c r="P106" i="89"/>
  <c r="B34" i="62"/>
  <c r="H34" i="62" s="1"/>
  <c r="B34" i="85"/>
  <c r="F34" i="85" s="1"/>
  <c r="B138" i="33"/>
  <c r="D138" i="33" s="1"/>
  <c r="B152" i="22"/>
  <c r="F152" i="22" s="1"/>
  <c r="N141" i="22" s="1"/>
  <c r="N302" i="1"/>
  <c r="B154" i="59"/>
  <c r="H154" i="59" s="1"/>
  <c r="P142" i="59" s="1"/>
  <c r="B34" i="59"/>
  <c r="F34" i="59" s="1"/>
  <c r="B139" i="59"/>
  <c r="J127" i="59" s="1"/>
  <c r="B154" i="62"/>
  <c r="H154" i="62" s="1"/>
  <c r="P142" i="62" s="1"/>
  <c r="B139" i="62"/>
  <c r="D139" i="62" s="1"/>
  <c r="L127" i="62" s="1"/>
  <c r="B156" i="85"/>
  <c r="H156" i="85" s="1"/>
  <c r="P144" i="85" s="1"/>
  <c r="B156" i="40"/>
  <c r="J144" i="40" s="1"/>
  <c r="B152" i="33"/>
  <c r="H152" i="33" s="1"/>
  <c r="P141" i="33" s="1"/>
  <c r="B138" i="19"/>
  <c r="D138" i="19" s="1"/>
  <c r="N301" i="1"/>
  <c r="B138" i="22"/>
  <c r="F138" i="22" s="1"/>
  <c r="B34" i="40"/>
  <c r="B141" i="40"/>
  <c r="B141" i="85"/>
  <c r="Q14" i="1"/>
  <c r="AG14" i="1"/>
  <c r="I14" i="1"/>
  <c r="AI16" i="1"/>
  <c r="AG16" i="1"/>
  <c r="AQ16" i="1"/>
  <c r="AM16" i="1"/>
  <c r="AE16" i="1"/>
  <c r="M16" i="1"/>
  <c r="G16" i="1"/>
  <c r="Q16" i="1"/>
  <c r="O16" i="1"/>
  <c r="I16" i="1"/>
  <c r="D86" i="85"/>
  <c r="Q13" i="95" s="1"/>
  <c r="D208" i="85"/>
  <c r="I75" i="42"/>
  <c r="I127" i="42"/>
  <c r="AM14" i="1"/>
  <c r="AE14" i="1"/>
  <c r="O14" i="1"/>
  <c r="AQ14" i="1"/>
  <c r="AI14" i="1"/>
  <c r="G14" i="1"/>
  <c r="H165" i="22"/>
  <c r="AE17" i="1"/>
  <c r="I75" i="21"/>
  <c r="I75" i="60"/>
  <c r="I127" i="31"/>
  <c r="I75" i="57"/>
  <c r="AG17" i="1"/>
  <c r="AM17" i="1"/>
  <c r="I17" i="1"/>
  <c r="I127" i="57"/>
  <c r="G17" i="1"/>
  <c r="Q17" i="1"/>
  <c r="AI17" i="1"/>
  <c r="I127" i="88"/>
  <c r="AQ17" i="1"/>
  <c r="O17" i="1"/>
  <c r="I75" i="31"/>
  <c r="I127" i="60"/>
  <c r="I75" i="88"/>
  <c r="D86" i="59"/>
  <c r="Q15" i="95" s="1"/>
  <c r="D206" i="59"/>
  <c r="D86" i="62"/>
  <c r="Q14" i="95" s="1"/>
  <c r="D206" i="62"/>
  <c r="B34" i="33"/>
  <c r="F34" i="33" s="1"/>
  <c r="D86" i="33"/>
  <c r="Q11" i="95" s="1"/>
  <c r="D204" i="33"/>
  <c r="I127" i="21"/>
  <c r="AQ13" i="1"/>
  <c r="M13" i="1"/>
  <c r="AM13" i="1"/>
  <c r="O13" i="1"/>
  <c r="AE13" i="1"/>
  <c r="AG13" i="1"/>
  <c r="AI13" i="1"/>
  <c r="I13" i="1"/>
  <c r="Q13" i="1"/>
  <c r="G13" i="1"/>
  <c r="D204" i="22"/>
  <c r="D86" i="22"/>
  <c r="Q10" i="95" s="1"/>
  <c r="B34" i="22"/>
  <c r="I75" i="18"/>
  <c r="I127" i="18"/>
  <c r="AI12" i="1"/>
  <c r="I12" i="1"/>
  <c r="F25" i="1"/>
  <c r="M12" i="1"/>
  <c r="AM12" i="1"/>
  <c r="O12" i="1"/>
  <c r="AE12" i="1"/>
  <c r="Q12" i="1"/>
  <c r="G12" i="1"/>
  <c r="AG12" i="1"/>
  <c r="E25" i="1"/>
  <c r="B152" i="19"/>
  <c r="B34" i="19"/>
  <c r="D204" i="19"/>
  <c r="D86" i="19"/>
  <c r="Q9" i="95" s="1"/>
  <c r="D61" i="7"/>
  <c r="B53" i="7"/>
  <c r="F60" i="7" s="1"/>
  <c r="B56" i="7"/>
  <c r="B65" i="7" s="1"/>
  <c r="F61" i="7"/>
  <c r="F69" i="56"/>
  <c r="H69" i="56" s="1"/>
  <c r="J70" i="56"/>
  <c r="F70" i="56"/>
  <c r="H70" i="56" s="1"/>
  <c r="J71" i="56"/>
  <c r="F71" i="56"/>
  <c r="H71" i="56" s="1"/>
  <c r="L70" i="56"/>
  <c r="L69" i="56"/>
  <c r="J69" i="56"/>
  <c r="L71" i="56"/>
  <c r="M71" i="23"/>
  <c r="B53" i="46"/>
  <c r="D60" i="46" s="1"/>
  <c r="B56" i="46"/>
  <c r="B65" i="46" s="1"/>
  <c r="F61" i="46"/>
  <c r="D61" i="46"/>
  <c r="B61" i="46"/>
  <c r="B53" i="16"/>
  <c r="F60" i="16" s="1"/>
  <c r="F60" i="28"/>
  <c r="D60" i="28"/>
  <c r="B60" i="28"/>
  <c r="B55" i="28"/>
  <c r="B64" i="28" s="1"/>
  <c r="J39" i="16"/>
  <c r="D51" i="16"/>
  <c r="D53" i="16" s="1"/>
  <c r="D55" i="16" s="1"/>
  <c r="L39" i="28"/>
  <c r="F51" i="28"/>
  <c r="F53" i="28" s="1"/>
  <c r="F55" i="28" s="1"/>
  <c r="L39" i="16"/>
  <c r="F51" i="16"/>
  <c r="F53" i="16" s="1"/>
  <c r="F55" i="16" s="1"/>
  <c r="L39" i="36"/>
  <c r="F51" i="36"/>
  <c r="F53" i="36" s="1"/>
  <c r="F55" i="36" s="1"/>
  <c r="F51" i="7"/>
  <c r="F53" i="7" s="1"/>
  <c r="F55" i="7" s="1"/>
  <c r="L39" i="7"/>
  <c r="J39" i="36"/>
  <c r="D51" i="36"/>
  <c r="D53" i="36" s="1"/>
  <c r="D55" i="36" s="1"/>
  <c r="J39" i="28"/>
  <c r="D51" i="28"/>
  <c r="D53" i="28" s="1"/>
  <c r="D55" i="28" s="1"/>
  <c r="D51" i="43"/>
  <c r="D53" i="43" s="1"/>
  <c r="D55" i="43" s="1"/>
  <c r="J39" i="43"/>
  <c r="F51" i="37"/>
  <c r="F53" i="37" s="1"/>
  <c r="F55" i="37" s="1"/>
  <c r="L39" i="37"/>
  <c r="B55" i="36"/>
  <c r="B64" i="36" s="1"/>
  <c r="D60" i="36"/>
  <c r="B60" i="36"/>
  <c r="F60" i="36"/>
  <c r="F51" i="10"/>
  <c r="F53" i="10" s="1"/>
  <c r="F55" i="10" s="1"/>
  <c r="L39" i="10"/>
  <c r="L39" i="43"/>
  <c r="F51" i="43"/>
  <c r="F53" i="43" s="1"/>
  <c r="F55" i="43" s="1"/>
  <c r="D51" i="37"/>
  <c r="D53" i="37" s="1"/>
  <c r="D55" i="37" s="1"/>
  <c r="J39" i="37"/>
  <c r="J39" i="7"/>
  <c r="D51" i="7"/>
  <c r="D53" i="7" s="1"/>
  <c r="D55" i="7" s="1"/>
  <c r="D51" i="10"/>
  <c r="D53" i="10" s="1"/>
  <c r="D55" i="10" s="1"/>
  <c r="J39" i="10"/>
  <c r="D51" i="13"/>
  <c r="D53" i="13" s="1"/>
  <c r="D55" i="13" s="1"/>
  <c r="J39" i="13"/>
  <c r="D64" i="4"/>
  <c r="B64" i="4"/>
  <c r="F64" i="4"/>
  <c r="B59" i="4"/>
  <c r="B68" i="4" s="1"/>
  <c r="B60" i="13"/>
  <c r="D60" i="13"/>
  <c r="F60" i="13"/>
  <c r="B55" i="13"/>
  <c r="B64" i="13" s="1"/>
  <c r="F55" i="4"/>
  <c r="F57" i="4" s="1"/>
  <c r="F59" i="4" s="1"/>
  <c r="L43" i="4"/>
  <c r="L39" i="49"/>
  <c r="F51" i="49"/>
  <c r="F53" i="49" s="1"/>
  <c r="F55" i="49" s="1"/>
  <c r="D51" i="46"/>
  <c r="D53" i="46" s="1"/>
  <c r="D55" i="46" s="1"/>
  <c r="J39" i="46"/>
  <c r="D55" i="4"/>
  <c r="D57" i="4" s="1"/>
  <c r="D59" i="4" s="1"/>
  <c r="J43" i="4"/>
  <c r="J39" i="49"/>
  <c r="D51" i="49"/>
  <c r="D53" i="49" s="1"/>
  <c r="D55" i="49" s="1"/>
  <c r="B55" i="49"/>
  <c r="B64" i="49" s="1"/>
  <c r="F60" i="49"/>
  <c r="D60" i="49"/>
  <c r="B60" i="49"/>
  <c r="L39" i="46"/>
  <c r="F51" i="46"/>
  <c r="F53" i="46" s="1"/>
  <c r="F55" i="46" s="1"/>
  <c r="L39" i="13"/>
  <c r="F51" i="13"/>
  <c r="F53" i="13" s="1"/>
  <c r="F55" i="13" s="1"/>
  <c r="F61" i="10"/>
  <c r="B61" i="10"/>
  <c r="D61" i="10"/>
  <c r="B53" i="10"/>
  <c r="B56" i="10"/>
  <c r="B65" i="10" s="1"/>
  <c r="B56" i="37"/>
  <c r="B65" i="37" s="1"/>
  <c r="B61" i="37"/>
  <c r="F61" i="37"/>
  <c r="B53" i="37"/>
  <c r="D61" i="37"/>
  <c r="B33" i="43"/>
  <c r="G77" i="45"/>
  <c r="G79" i="45" s="1"/>
  <c r="F61" i="16"/>
  <c r="B61" i="16"/>
  <c r="D61" i="16"/>
  <c r="B56" i="16"/>
  <c r="B65" i="16" s="1"/>
  <c r="M70" i="23" l="1"/>
  <c r="I128" i="60"/>
  <c r="G128" i="60"/>
  <c r="I128" i="88"/>
  <c r="G128" i="88"/>
  <c r="I128" i="42"/>
  <c r="G128" i="42"/>
  <c r="I128" i="31"/>
  <c r="G128" i="31"/>
  <c r="I128" i="21"/>
  <c r="G128" i="21"/>
  <c r="B35" i="33"/>
  <c r="D35" i="33" s="1"/>
  <c r="E20" i="78" s="1"/>
  <c r="B153" i="33"/>
  <c r="H153" i="33" s="1"/>
  <c r="B35" i="85"/>
  <c r="F35" i="85" s="1"/>
  <c r="M24" i="95"/>
  <c r="B66" i="29"/>
  <c r="B35" i="62"/>
  <c r="H35" i="62" s="1"/>
  <c r="B35" i="59"/>
  <c r="H35" i="59" s="1"/>
  <c r="B35" i="22"/>
  <c r="H35" i="22" s="1"/>
  <c r="B155" i="62"/>
  <c r="H155" i="62" s="1"/>
  <c r="B35" i="40"/>
  <c r="F35" i="40" s="1"/>
  <c r="B155" i="59"/>
  <c r="H155" i="59" s="1"/>
  <c r="B157" i="85"/>
  <c r="D157" i="85" s="1"/>
  <c r="G128" i="57"/>
  <c r="L106" i="89"/>
  <c r="B153" i="19"/>
  <c r="D153" i="19" s="1"/>
  <c r="B35" i="19"/>
  <c r="H35" i="19" s="1"/>
  <c r="I128" i="18"/>
  <c r="B153" i="22"/>
  <c r="D153" i="22" s="1"/>
  <c r="B157" i="40"/>
  <c r="F157" i="40" s="1"/>
  <c r="L122" i="89"/>
  <c r="N122" i="89"/>
  <c r="J122" i="89"/>
  <c r="P122" i="89"/>
  <c r="H138" i="33"/>
  <c r="H34" i="85"/>
  <c r="J127" i="33"/>
  <c r="F138" i="33"/>
  <c r="J141" i="22"/>
  <c r="F138" i="19"/>
  <c r="H139" i="59"/>
  <c r="P127" i="59" s="1"/>
  <c r="F139" i="59"/>
  <c r="N127" i="59" s="1"/>
  <c r="D34" i="62"/>
  <c r="E19" i="81" s="1"/>
  <c r="F34" i="62"/>
  <c r="D34" i="85"/>
  <c r="E19" i="86" s="1"/>
  <c r="H152" i="22"/>
  <c r="P141" i="22" s="1"/>
  <c r="D152" i="22"/>
  <c r="L141" i="22" s="1"/>
  <c r="J142" i="59"/>
  <c r="D154" i="59"/>
  <c r="L142" i="59" s="1"/>
  <c r="F154" i="59"/>
  <c r="N142" i="59" s="1"/>
  <c r="D139" i="59"/>
  <c r="L127" i="59" s="1"/>
  <c r="H34" i="59"/>
  <c r="D34" i="59"/>
  <c r="E19" i="82" s="1"/>
  <c r="D154" i="62"/>
  <c r="L142" i="62" s="1"/>
  <c r="J142" i="62"/>
  <c r="F154" i="62"/>
  <c r="N142" i="62" s="1"/>
  <c r="H139" i="62"/>
  <c r="P127" i="62" s="1"/>
  <c r="J127" i="62"/>
  <c r="F139" i="62"/>
  <c r="N127" i="62" s="1"/>
  <c r="H138" i="19"/>
  <c r="J144" i="85"/>
  <c r="D156" i="85"/>
  <c r="L144" i="85" s="1"/>
  <c r="F156" i="85"/>
  <c r="N144" i="85" s="1"/>
  <c r="F156" i="40"/>
  <c r="N144" i="40" s="1"/>
  <c r="H156" i="40"/>
  <c r="P144" i="40" s="1"/>
  <c r="D156" i="40"/>
  <c r="L144" i="40" s="1"/>
  <c r="J141" i="33"/>
  <c r="F152" i="33"/>
  <c r="N141" i="33" s="1"/>
  <c r="D152" i="33"/>
  <c r="L141" i="33" s="1"/>
  <c r="J127" i="19"/>
  <c r="J127" i="22"/>
  <c r="H138" i="22"/>
  <c r="D138" i="22"/>
  <c r="D34" i="40"/>
  <c r="E19" i="79" s="1"/>
  <c r="F34" i="40"/>
  <c r="H34" i="40"/>
  <c r="H152" i="19"/>
  <c r="P141" i="19" s="1"/>
  <c r="J141" i="19"/>
  <c r="D141" i="85"/>
  <c r="L129" i="85" s="1"/>
  <c r="H141" i="85"/>
  <c r="P129" i="85" s="1"/>
  <c r="F141" i="85"/>
  <c r="N129" i="85" s="1"/>
  <c r="J129" i="85"/>
  <c r="H141" i="40"/>
  <c r="P129" i="40" s="1"/>
  <c r="D141" i="40"/>
  <c r="L129" i="40" s="1"/>
  <c r="F141" i="40"/>
  <c r="N129" i="40" s="1"/>
  <c r="J129" i="40"/>
  <c r="AQ25" i="1"/>
  <c r="D165" i="22"/>
  <c r="F165" i="22"/>
  <c r="H167" i="59"/>
  <c r="D167" i="59"/>
  <c r="F167" i="59"/>
  <c r="F47" i="59"/>
  <c r="H47" i="59"/>
  <c r="D47" i="59"/>
  <c r="F47" i="62"/>
  <c r="D47" i="62"/>
  <c r="H47" i="62"/>
  <c r="D167" i="62"/>
  <c r="H167" i="62"/>
  <c r="F167" i="62"/>
  <c r="H169" i="85"/>
  <c r="F169" i="85"/>
  <c r="D169" i="85"/>
  <c r="D47" i="85"/>
  <c r="F47" i="85"/>
  <c r="H47" i="85"/>
  <c r="D169" i="40"/>
  <c r="H169" i="40"/>
  <c r="F169" i="40"/>
  <c r="H47" i="40"/>
  <c r="F47" i="40"/>
  <c r="D47" i="40"/>
  <c r="F47" i="33"/>
  <c r="D47" i="33"/>
  <c r="H47" i="33"/>
  <c r="H165" i="33"/>
  <c r="F165" i="33"/>
  <c r="D165" i="33"/>
  <c r="H34" i="33"/>
  <c r="D34" i="33"/>
  <c r="E19" i="78" s="1"/>
  <c r="F136" i="33"/>
  <c r="H136" i="33"/>
  <c r="P127" i="33" s="1"/>
  <c r="D136" i="33"/>
  <c r="L127" i="33" s="1"/>
  <c r="H47" i="22"/>
  <c r="F47" i="22"/>
  <c r="D47" i="22"/>
  <c r="M25" i="1"/>
  <c r="G25" i="1"/>
  <c r="H19" i="1" s="1"/>
  <c r="Q25" i="1"/>
  <c r="R19" i="1" s="1"/>
  <c r="AG25" i="1"/>
  <c r="AH19" i="1" s="1"/>
  <c r="O25" i="1"/>
  <c r="P19" i="1" s="1"/>
  <c r="I25" i="1"/>
  <c r="J19" i="1" s="1"/>
  <c r="AE25" i="1"/>
  <c r="AF14" i="1" s="1"/>
  <c r="D77" i="30" s="1"/>
  <c r="E77" i="30" s="1"/>
  <c r="F77" i="30" s="1"/>
  <c r="H77" i="30" s="1"/>
  <c r="AM25" i="1"/>
  <c r="D34" i="22"/>
  <c r="H34" i="22"/>
  <c r="F34" i="22"/>
  <c r="F136" i="22"/>
  <c r="N127" i="22" s="1"/>
  <c r="H136" i="22"/>
  <c r="D136" i="22"/>
  <c r="AI25" i="1"/>
  <c r="D152" i="19"/>
  <c r="L141" i="19" s="1"/>
  <c r="F152" i="19"/>
  <c r="N141" i="19" s="1"/>
  <c r="F34" i="19"/>
  <c r="D34" i="19"/>
  <c r="E19" i="76" s="1"/>
  <c r="H34" i="19"/>
  <c r="D136" i="19"/>
  <c r="L127" i="19" s="1"/>
  <c r="F136" i="19"/>
  <c r="H136" i="19"/>
  <c r="B55" i="7"/>
  <c r="B64" i="7" s="1"/>
  <c r="D60" i="7"/>
  <c r="B60" i="7"/>
  <c r="M70" i="56"/>
  <c r="M69" i="56"/>
  <c r="M71" i="56"/>
  <c r="B55" i="46"/>
  <c r="B64" i="46" s="1"/>
  <c r="B60" i="46"/>
  <c r="F60" i="46"/>
  <c r="D60" i="16"/>
  <c r="B55" i="16"/>
  <c r="B64" i="16" s="1"/>
  <c r="B60" i="16"/>
  <c r="F60" i="10"/>
  <c r="B55" i="10"/>
  <c r="B64" i="10" s="1"/>
  <c r="D60" i="10"/>
  <c r="B60" i="10"/>
  <c r="B55" i="37"/>
  <c r="B64" i="37" s="1"/>
  <c r="B60" i="37"/>
  <c r="F60" i="37"/>
  <c r="D60" i="37"/>
  <c r="F33" i="43"/>
  <c r="D33" i="43"/>
  <c r="B34" i="43"/>
  <c r="D26" i="91" l="1"/>
  <c r="D29" i="91"/>
  <c r="D47" i="91"/>
  <c r="D44" i="91"/>
  <c r="D41" i="91"/>
  <c r="D64" i="91"/>
  <c r="D35" i="91"/>
  <c r="D38" i="91"/>
  <c r="D72" i="91"/>
  <c r="D96" i="91"/>
  <c r="D83" i="91"/>
  <c r="D12" i="91"/>
  <c r="D11" i="91"/>
  <c r="D10" i="91"/>
  <c r="D91" i="91"/>
  <c r="D84" i="91"/>
  <c r="D13" i="91"/>
  <c r="D9" i="91"/>
  <c r="E19" i="77"/>
  <c r="N127" i="33"/>
  <c r="E24" i="77"/>
  <c r="E34" i="77"/>
  <c r="E24" i="82"/>
  <c r="E34" i="82"/>
  <c r="E24" i="78"/>
  <c r="E34" i="78"/>
  <c r="E24" i="79"/>
  <c r="E34" i="79"/>
  <c r="E24" i="86"/>
  <c r="E34" i="86"/>
  <c r="E24" i="81"/>
  <c r="E34" i="81"/>
  <c r="P127" i="22"/>
  <c r="F35" i="33"/>
  <c r="H35" i="33"/>
  <c r="D35" i="85"/>
  <c r="E20" i="86" s="1"/>
  <c r="F153" i="33"/>
  <c r="H35" i="85"/>
  <c r="D153" i="33"/>
  <c r="D35" i="62"/>
  <c r="E20" i="81" s="1"/>
  <c r="D35" i="59"/>
  <c r="E20" i="82" s="1"/>
  <c r="F35" i="19"/>
  <c r="D35" i="19"/>
  <c r="E20" i="76" s="1"/>
  <c r="F35" i="22"/>
  <c r="F35" i="62"/>
  <c r="D35" i="22"/>
  <c r="E20" i="77" s="1"/>
  <c r="D155" i="62"/>
  <c r="F155" i="62"/>
  <c r="F153" i="19"/>
  <c r="F35" i="59"/>
  <c r="H35" i="40"/>
  <c r="N127" i="19"/>
  <c r="D155" i="59"/>
  <c r="F155" i="59"/>
  <c r="D157" i="40"/>
  <c r="D35" i="40"/>
  <c r="E20" i="79" s="1"/>
  <c r="B67" i="29"/>
  <c r="F67" i="29" s="1"/>
  <c r="F157" i="85"/>
  <c r="H157" i="85"/>
  <c r="H153" i="22"/>
  <c r="F153" i="22"/>
  <c r="H153" i="19"/>
  <c r="H66" i="29"/>
  <c r="F66" i="29"/>
  <c r="H157" i="40"/>
  <c r="AR20" i="1"/>
  <c r="AR19" i="1"/>
  <c r="D59" i="91" s="1"/>
  <c r="D88" i="91"/>
  <c r="D17" i="91"/>
  <c r="D16" i="91"/>
  <c r="D115" i="91"/>
  <c r="D87" i="91"/>
  <c r="D114" i="91"/>
  <c r="D86" i="91"/>
  <c r="D23" i="91"/>
  <c r="D15" i="91"/>
  <c r="D113" i="91"/>
  <c r="D85" i="91"/>
  <c r="D22" i="91"/>
  <c r="D14" i="91"/>
  <c r="D21" i="91"/>
  <c r="D19" i="91"/>
  <c r="D18" i="91"/>
  <c r="D93" i="91"/>
  <c r="D20" i="91"/>
  <c r="D92" i="91"/>
  <c r="AN14" i="1"/>
  <c r="D96" i="30" s="1"/>
  <c r="E96" i="30" s="1"/>
  <c r="L96" i="30" s="1"/>
  <c r="AN19" i="1"/>
  <c r="D99" i="91" s="1"/>
  <c r="N14" i="1"/>
  <c r="N19" i="1"/>
  <c r="D27" i="91"/>
  <c r="D32" i="91"/>
  <c r="D28" i="91"/>
  <c r="D31" i="91"/>
  <c r="D30" i="91"/>
  <c r="AJ14" i="1"/>
  <c r="AJ19" i="1"/>
  <c r="D75" i="91" s="1"/>
  <c r="D65" i="91"/>
  <c r="D45" i="91"/>
  <c r="D37" i="91"/>
  <c r="D36" i="91"/>
  <c r="D43" i="91"/>
  <c r="D42" i="91"/>
  <c r="D39" i="91"/>
  <c r="D49" i="91"/>
  <c r="D46" i="91"/>
  <c r="D48" i="91"/>
  <c r="D40" i="91"/>
  <c r="D66" i="91"/>
  <c r="D98" i="91"/>
  <c r="D97" i="91"/>
  <c r="D74" i="91"/>
  <c r="D73" i="91"/>
  <c r="L127" i="22"/>
  <c r="P127" i="19"/>
  <c r="AR17" i="1"/>
  <c r="AR12" i="1"/>
  <c r="AR21" i="1"/>
  <c r="AR18" i="1"/>
  <c r="D59" i="58" s="1"/>
  <c r="AR15" i="1"/>
  <c r="AR16" i="1"/>
  <c r="AR14" i="1"/>
  <c r="AR13" i="1"/>
  <c r="H14" i="1"/>
  <c r="H20" i="1"/>
  <c r="J16" i="1"/>
  <c r="J20" i="1"/>
  <c r="AH16" i="1"/>
  <c r="AH20" i="1"/>
  <c r="P16" i="1"/>
  <c r="P20" i="1"/>
  <c r="R14" i="1"/>
  <c r="R20" i="1"/>
  <c r="H18" i="1"/>
  <c r="R16" i="1"/>
  <c r="R18" i="1"/>
  <c r="H15" i="1"/>
  <c r="R13" i="1"/>
  <c r="R17" i="1"/>
  <c r="R21" i="1"/>
  <c r="R12" i="1"/>
  <c r="H12" i="1"/>
  <c r="R15" i="1"/>
  <c r="H13" i="1"/>
  <c r="H16" i="1"/>
  <c r="H21" i="1"/>
  <c r="H17" i="1"/>
  <c r="D79" i="29"/>
  <c r="N12" i="1"/>
  <c r="N16" i="1"/>
  <c r="N17" i="1"/>
  <c r="N18" i="1"/>
  <c r="N13" i="1"/>
  <c r="AH13" i="1"/>
  <c r="AH15" i="1"/>
  <c r="AH21" i="1"/>
  <c r="AH18" i="1"/>
  <c r="AH17" i="1"/>
  <c r="AH12" i="1"/>
  <c r="AH14" i="1"/>
  <c r="N15" i="1"/>
  <c r="AF15" i="1"/>
  <c r="D77" i="41" s="1"/>
  <c r="E77" i="41" s="1"/>
  <c r="L77" i="41" s="1"/>
  <c r="D66" i="29"/>
  <c r="L77" i="30"/>
  <c r="AF16" i="1"/>
  <c r="D77" i="87" s="1"/>
  <c r="E77" i="87" s="1"/>
  <c r="F77" i="87" s="1"/>
  <c r="H77" i="87" s="1"/>
  <c r="AF17" i="1"/>
  <c r="D76" i="61" s="1"/>
  <c r="E76" i="61" s="1"/>
  <c r="L76" i="61" s="1"/>
  <c r="J77" i="30"/>
  <c r="AF18" i="1"/>
  <c r="D76" i="30"/>
  <c r="E76" i="30" s="1"/>
  <c r="J76" i="30" s="1"/>
  <c r="AF12" i="1"/>
  <c r="D75" i="17" s="1"/>
  <c r="E75" i="17" s="1"/>
  <c r="J75" i="17" s="1"/>
  <c r="D75" i="30"/>
  <c r="E75" i="30" s="1"/>
  <c r="F75" i="30" s="1"/>
  <c r="H75" i="30" s="1"/>
  <c r="AJ15" i="1"/>
  <c r="AN15" i="1"/>
  <c r="D96" i="41" s="1"/>
  <c r="E96" i="41" s="1"/>
  <c r="L96" i="41" s="1"/>
  <c r="AJ13" i="1"/>
  <c r="AN16" i="1"/>
  <c r="D96" i="87" s="1"/>
  <c r="E96" i="87" s="1"/>
  <c r="F96" i="87" s="1"/>
  <c r="H96" i="87" s="1"/>
  <c r="AN18" i="1"/>
  <c r="P18" i="1"/>
  <c r="P13" i="1"/>
  <c r="AF13" i="1"/>
  <c r="D77" i="20" s="1"/>
  <c r="E77" i="20" s="1"/>
  <c r="J77" i="20" s="1"/>
  <c r="P17" i="1"/>
  <c r="AN13" i="1"/>
  <c r="D96" i="20" s="1"/>
  <c r="E96" i="20" s="1"/>
  <c r="J96" i="20" s="1"/>
  <c r="P21" i="1"/>
  <c r="P14" i="1"/>
  <c r="P12" i="1"/>
  <c r="AN17" i="1"/>
  <c r="D96" i="61" s="1"/>
  <c r="E96" i="61" s="1"/>
  <c r="J96" i="61" s="1"/>
  <c r="P15" i="1"/>
  <c r="AN12" i="1"/>
  <c r="D96" i="17" s="1"/>
  <c r="E96" i="17" s="1"/>
  <c r="F96" i="17" s="1"/>
  <c r="H96" i="17" s="1"/>
  <c r="AJ16" i="1"/>
  <c r="J12" i="1"/>
  <c r="J18" i="1"/>
  <c r="J17" i="1"/>
  <c r="J15" i="1"/>
  <c r="J21" i="1"/>
  <c r="J14" i="1"/>
  <c r="J13" i="1"/>
  <c r="AJ12" i="1"/>
  <c r="AJ18" i="1"/>
  <c r="D72" i="58" s="1"/>
  <c r="AJ17" i="1"/>
  <c r="F61" i="43"/>
  <c r="B56" i="43"/>
  <c r="B65" i="43" s="1"/>
  <c r="D61" i="43"/>
  <c r="B61" i="43"/>
  <c r="B53" i="43"/>
  <c r="D65" i="17" l="1"/>
  <c r="E65" i="17" s="1"/>
  <c r="J65" i="17" s="1"/>
  <c r="D44" i="17"/>
  <c r="D41" i="17"/>
  <c r="E41" i="17" s="1"/>
  <c r="J41" i="17" s="1"/>
  <c r="D38" i="17"/>
  <c r="E38" i="17" s="1"/>
  <c r="F38" i="17" s="1"/>
  <c r="H38" i="17" s="1"/>
  <c r="D64" i="17"/>
  <c r="E64" i="17" s="1"/>
  <c r="F64" i="17" s="1"/>
  <c r="H64" i="17" s="1"/>
  <c r="D47" i="17"/>
  <c r="E47" i="17" s="1"/>
  <c r="J47" i="17" s="1"/>
  <c r="D35" i="17"/>
  <c r="E35" i="17" s="1"/>
  <c r="L35" i="17" s="1"/>
  <c r="D84" i="20"/>
  <c r="E84" i="20" s="1"/>
  <c r="J84" i="20" s="1"/>
  <c r="D13" i="20"/>
  <c r="D12" i="20"/>
  <c r="D88" i="20"/>
  <c r="E88" i="20" s="1"/>
  <c r="F88" i="20" s="1"/>
  <c r="H88" i="20" s="1"/>
  <c r="D11" i="20"/>
  <c r="E11" i="20" s="1"/>
  <c r="L11" i="20" s="1"/>
  <c r="D80" i="20"/>
  <c r="E80" i="20" s="1"/>
  <c r="J80" i="20" s="1"/>
  <c r="D9" i="20"/>
  <c r="E9" i="20" s="1"/>
  <c r="J9" i="20" s="1"/>
  <c r="D81" i="20"/>
  <c r="E81" i="20" s="1"/>
  <c r="F81" i="20" s="1"/>
  <c r="H81" i="20" s="1"/>
  <c r="D10" i="20"/>
  <c r="E10" i="20" s="1"/>
  <c r="F10" i="20" s="1"/>
  <c r="H10" i="20" s="1"/>
  <c r="D93" i="17"/>
  <c r="E93" i="17" s="1"/>
  <c r="D69" i="17"/>
  <c r="D74" i="61"/>
  <c r="E74" i="61" s="1"/>
  <c r="J74" i="61" s="1"/>
  <c r="D72" i="61"/>
  <c r="E72" i="61" s="1"/>
  <c r="F72" i="61" s="1"/>
  <c r="H72" i="61" s="1"/>
  <c r="D29" i="58"/>
  <c r="E29" i="58" s="1"/>
  <c r="J29" i="58" s="1"/>
  <c r="D26" i="58"/>
  <c r="E26" i="58" s="1"/>
  <c r="J26" i="58" s="1"/>
  <c r="D37" i="23"/>
  <c r="E37" i="23" s="1"/>
  <c r="F37" i="23" s="1"/>
  <c r="H37" i="23" s="1"/>
  <c r="D50" i="23"/>
  <c r="E50" i="23" s="1"/>
  <c r="D44" i="23"/>
  <c r="D41" i="23"/>
  <c r="D38" i="23"/>
  <c r="E38" i="23" s="1"/>
  <c r="L38" i="23" s="1"/>
  <c r="D35" i="23"/>
  <c r="E35" i="23" s="1"/>
  <c r="J35" i="23" s="1"/>
  <c r="D61" i="23"/>
  <c r="E61" i="23" s="1"/>
  <c r="D73" i="20"/>
  <c r="E73" i="20" s="1"/>
  <c r="F73" i="20" s="1"/>
  <c r="H73" i="20" s="1"/>
  <c r="D72" i="20"/>
  <c r="E72" i="20" s="1"/>
  <c r="F72" i="20" s="1"/>
  <c r="H72" i="20" s="1"/>
  <c r="D69" i="61"/>
  <c r="E69" i="61" s="1"/>
  <c r="D93" i="61"/>
  <c r="D52" i="87"/>
  <c r="E52" i="87" s="1"/>
  <c r="J52" i="87" s="1"/>
  <c r="D53" i="87"/>
  <c r="E53" i="87" s="1"/>
  <c r="J53" i="87" s="1"/>
  <c r="O53" i="87" s="1"/>
  <c r="D56" i="87"/>
  <c r="E56" i="87" s="1"/>
  <c r="L56" i="87" s="1"/>
  <c r="D82" i="17"/>
  <c r="E82" i="17" s="1"/>
  <c r="F82" i="17" s="1"/>
  <c r="H82" i="17" s="1"/>
  <c r="D88" i="17"/>
  <c r="E88" i="17" s="1"/>
  <c r="J88" i="17" s="1"/>
  <c r="D13" i="17"/>
  <c r="E13" i="17" s="1"/>
  <c r="F13" i="17" s="1"/>
  <c r="D80" i="17"/>
  <c r="E80" i="17" s="1"/>
  <c r="F80" i="17" s="1"/>
  <c r="D11" i="17"/>
  <c r="D10" i="17"/>
  <c r="D81" i="17"/>
  <c r="E81" i="17" s="1"/>
  <c r="F81" i="17" s="1"/>
  <c r="D12" i="17"/>
  <c r="E12" i="17" s="1"/>
  <c r="F12" i="17" s="1"/>
  <c r="H12" i="17" s="1"/>
  <c r="D9" i="17"/>
  <c r="E9" i="17" s="1"/>
  <c r="F9" i="17" s="1"/>
  <c r="D80" i="58"/>
  <c r="E80" i="58" s="1"/>
  <c r="J80" i="58" s="1"/>
  <c r="D11" i="58"/>
  <c r="E11" i="58" s="1"/>
  <c r="L11" i="58" s="1"/>
  <c r="D10" i="58"/>
  <c r="E10" i="58" s="1"/>
  <c r="L10" i="58" s="1"/>
  <c r="D9" i="58"/>
  <c r="D81" i="58"/>
  <c r="D12" i="58"/>
  <c r="E12" i="58" s="1"/>
  <c r="F12" i="58" s="1"/>
  <c r="H12" i="58" s="1"/>
  <c r="D88" i="58"/>
  <c r="E88" i="58" s="1"/>
  <c r="L88" i="58" s="1"/>
  <c r="D13" i="58"/>
  <c r="E13" i="58" s="1"/>
  <c r="F13" i="58" s="1"/>
  <c r="H13" i="58" s="1"/>
  <c r="D28" i="87"/>
  <c r="E28" i="87" s="1"/>
  <c r="L28" i="87" s="1"/>
  <c r="D29" i="87"/>
  <c r="E29" i="87" s="1"/>
  <c r="L29" i="87" s="1"/>
  <c r="D26" i="87"/>
  <c r="E26" i="87" s="1"/>
  <c r="L26" i="87" s="1"/>
  <c r="D55" i="23"/>
  <c r="E55" i="23" s="1"/>
  <c r="D74" i="30"/>
  <c r="E74" i="30" s="1"/>
  <c r="L74" i="30" s="1"/>
  <c r="D72" i="30"/>
  <c r="E72" i="30" s="1"/>
  <c r="L72" i="30" s="1"/>
  <c r="D69" i="58"/>
  <c r="E69" i="58" s="1"/>
  <c r="L69" i="58" s="1"/>
  <c r="D93" i="58"/>
  <c r="E93" i="58" s="1"/>
  <c r="J93" i="58" s="1"/>
  <c r="D56" i="17"/>
  <c r="E56" i="17" s="1"/>
  <c r="F56" i="17" s="1"/>
  <c r="H56" i="17" s="1"/>
  <c r="D53" i="17"/>
  <c r="E53" i="17" s="1"/>
  <c r="D75" i="56"/>
  <c r="E75" i="56" s="1"/>
  <c r="D11" i="56"/>
  <c r="D74" i="56"/>
  <c r="D10" i="56"/>
  <c r="E10" i="56" s="1"/>
  <c r="D9" i="56"/>
  <c r="E9" i="56" s="1"/>
  <c r="D12" i="56"/>
  <c r="E12" i="56" s="1"/>
  <c r="D13" i="56"/>
  <c r="E13" i="56" s="1"/>
  <c r="D82" i="56"/>
  <c r="E82" i="56" s="1"/>
  <c r="E59" i="17"/>
  <c r="J59" i="17" s="1"/>
  <c r="D59" i="17"/>
  <c r="D44" i="30"/>
  <c r="E44" i="30" s="1"/>
  <c r="F44" i="30" s="1"/>
  <c r="H44" i="30" s="1"/>
  <c r="D38" i="30"/>
  <c r="E38" i="30" s="1"/>
  <c r="L38" i="30" s="1"/>
  <c r="D41" i="30"/>
  <c r="E41" i="30" s="1"/>
  <c r="F41" i="30" s="1"/>
  <c r="H41" i="30" s="1"/>
  <c r="D47" i="30"/>
  <c r="E47" i="30" s="1"/>
  <c r="J47" i="30" s="1"/>
  <c r="D64" i="30"/>
  <c r="E64" i="30" s="1"/>
  <c r="J64" i="30" s="1"/>
  <c r="D35" i="30"/>
  <c r="E35" i="30" s="1"/>
  <c r="E72" i="17"/>
  <c r="F72" i="17" s="1"/>
  <c r="H72" i="17" s="1"/>
  <c r="D72" i="17"/>
  <c r="D65" i="61"/>
  <c r="E65" i="61" s="1"/>
  <c r="J65" i="61" s="1"/>
  <c r="D41" i="61"/>
  <c r="E41" i="61" s="1"/>
  <c r="L41" i="61" s="1"/>
  <c r="D38" i="61"/>
  <c r="E38" i="61" s="1"/>
  <c r="F38" i="61" s="1"/>
  <c r="H38" i="61" s="1"/>
  <c r="D64" i="61"/>
  <c r="E64" i="61" s="1"/>
  <c r="J64" i="61" s="1"/>
  <c r="D35" i="61"/>
  <c r="E35" i="61" s="1"/>
  <c r="L35" i="61" s="1"/>
  <c r="D44" i="61"/>
  <c r="E44" i="61" s="1"/>
  <c r="L44" i="61" s="1"/>
  <c r="D47" i="61"/>
  <c r="E47" i="61" s="1"/>
  <c r="F47" i="61" s="1"/>
  <c r="H47" i="61" s="1"/>
  <c r="D72" i="41"/>
  <c r="E72" i="41" s="1"/>
  <c r="D88" i="23"/>
  <c r="E88" i="23" s="1"/>
  <c r="F88" i="23" s="1"/>
  <c r="H88" i="23" s="1"/>
  <c r="D87" i="23"/>
  <c r="E87" i="23" s="1"/>
  <c r="F87" i="23" s="1"/>
  <c r="H87" i="23" s="1"/>
  <c r="D66" i="23"/>
  <c r="E66" i="23" s="1"/>
  <c r="F66" i="23" s="1"/>
  <c r="H66" i="23" s="1"/>
  <c r="D112" i="30"/>
  <c r="E112" i="30" s="1"/>
  <c r="F112" i="30" s="1"/>
  <c r="H112" i="30" s="1"/>
  <c r="D88" i="30"/>
  <c r="E88" i="30" s="1"/>
  <c r="L88" i="30" s="1"/>
  <c r="D13" i="30"/>
  <c r="E13" i="30" s="1"/>
  <c r="F13" i="30" s="1"/>
  <c r="H13" i="30" s="1"/>
  <c r="D80" i="30"/>
  <c r="E80" i="30" s="1"/>
  <c r="F80" i="30" s="1"/>
  <c r="H80" i="30" s="1"/>
  <c r="D11" i="30"/>
  <c r="D10" i="30"/>
  <c r="D9" i="30"/>
  <c r="E9" i="30" s="1"/>
  <c r="F9" i="30" s="1"/>
  <c r="H9" i="30" s="1"/>
  <c r="D81" i="30"/>
  <c r="E81" i="30" s="1"/>
  <c r="F81" i="30" s="1"/>
  <c r="H81" i="30" s="1"/>
  <c r="D12" i="30"/>
  <c r="E12" i="30" s="1"/>
  <c r="L12" i="30" s="1"/>
  <c r="D59" i="61"/>
  <c r="E59" i="61" s="1"/>
  <c r="D94" i="87"/>
  <c r="E94" i="87" s="1"/>
  <c r="J94" i="87" s="1"/>
  <c r="D69" i="87"/>
  <c r="E69" i="87" s="1"/>
  <c r="F69" i="87" s="1"/>
  <c r="H69" i="87" s="1"/>
  <c r="D93" i="87"/>
  <c r="D29" i="17"/>
  <c r="E29" i="17" s="1"/>
  <c r="D26" i="17"/>
  <c r="E26" i="17" s="1"/>
  <c r="F26" i="17" s="1"/>
  <c r="D73" i="87"/>
  <c r="E73" i="87" s="1"/>
  <c r="F73" i="87" s="1"/>
  <c r="H73" i="87" s="1"/>
  <c r="D72" i="87"/>
  <c r="E72" i="87" s="1"/>
  <c r="J72" i="87" s="1"/>
  <c r="O72" i="87" s="1"/>
  <c r="D32" i="20"/>
  <c r="E32" i="20" s="1"/>
  <c r="L32" i="20" s="1"/>
  <c r="D29" i="20"/>
  <c r="E29" i="20" s="1"/>
  <c r="L29" i="20" s="1"/>
  <c r="D26" i="20"/>
  <c r="E26" i="20" s="1"/>
  <c r="F26" i="20" s="1"/>
  <c r="H26" i="20" s="1"/>
  <c r="D95" i="41"/>
  <c r="E95" i="41" s="1"/>
  <c r="J95" i="41" s="1"/>
  <c r="D93" i="41"/>
  <c r="D69" i="41"/>
  <c r="E69" i="41" s="1"/>
  <c r="J69" i="41" s="1"/>
  <c r="O69" i="41" s="1"/>
  <c r="D82" i="61"/>
  <c r="E82" i="61" s="1"/>
  <c r="F82" i="61" s="1"/>
  <c r="H82" i="61" s="1"/>
  <c r="D10" i="61"/>
  <c r="E10" i="61" s="1"/>
  <c r="F10" i="61" s="1"/>
  <c r="H10" i="61" s="1"/>
  <c r="D9" i="61"/>
  <c r="E9" i="61" s="1"/>
  <c r="F9" i="61" s="1"/>
  <c r="H9" i="61" s="1"/>
  <c r="D81" i="61"/>
  <c r="E81" i="61" s="1"/>
  <c r="J81" i="61" s="1"/>
  <c r="D12" i="61"/>
  <c r="E12" i="61" s="1"/>
  <c r="J12" i="61" s="1"/>
  <c r="D88" i="61"/>
  <c r="D13" i="61"/>
  <c r="D80" i="61"/>
  <c r="E80" i="61" s="1"/>
  <c r="F80" i="61" s="1"/>
  <c r="H80" i="61" s="1"/>
  <c r="D11" i="61"/>
  <c r="E11" i="61" s="1"/>
  <c r="F11" i="61" s="1"/>
  <c r="H11" i="61" s="1"/>
  <c r="D44" i="56"/>
  <c r="E44" i="56" s="1"/>
  <c r="D41" i="56"/>
  <c r="E41" i="56" s="1"/>
  <c r="D38" i="56"/>
  <c r="E38" i="56" s="1"/>
  <c r="D61" i="56"/>
  <c r="E61" i="56" s="1"/>
  <c r="D50" i="56"/>
  <c r="D35" i="56"/>
  <c r="D61" i="20"/>
  <c r="E61" i="20" s="1"/>
  <c r="J61" i="20" s="1"/>
  <c r="D59" i="20"/>
  <c r="E59" i="20" s="1"/>
  <c r="F59" i="20" s="1"/>
  <c r="H59" i="20" s="1"/>
  <c r="D31" i="41"/>
  <c r="E31" i="41" s="1"/>
  <c r="F31" i="41" s="1"/>
  <c r="H31" i="41" s="1"/>
  <c r="D29" i="41"/>
  <c r="E29" i="41" s="1"/>
  <c r="L29" i="41" s="1"/>
  <c r="D26" i="41"/>
  <c r="E26" i="41" s="1"/>
  <c r="J26" i="41" s="1"/>
  <c r="O26" i="41" s="1"/>
  <c r="D93" i="30"/>
  <c r="E93" i="30" s="1"/>
  <c r="D69" i="30"/>
  <c r="D59" i="41"/>
  <c r="E59" i="41" s="1"/>
  <c r="D29" i="56"/>
  <c r="E29" i="56" s="1"/>
  <c r="D26" i="56"/>
  <c r="E26" i="56" s="1"/>
  <c r="D29" i="30"/>
  <c r="E29" i="30" s="1"/>
  <c r="J29" i="30" s="1"/>
  <c r="D26" i="30"/>
  <c r="E26" i="30" s="1"/>
  <c r="J26" i="30" s="1"/>
  <c r="D64" i="41"/>
  <c r="E64" i="41" s="1"/>
  <c r="F64" i="41" s="1"/>
  <c r="H64" i="41" s="1"/>
  <c r="D35" i="41"/>
  <c r="E35" i="41" s="1"/>
  <c r="D47" i="41"/>
  <c r="D38" i="41"/>
  <c r="D44" i="41"/>
  <c r="E44" i="41" s="1"/>
  <c r="L44" i="41" s="1"/>
  <c r="D41" i="41"/>
  <c r="E41" i="41" s="1"/>
  <c r="F41" i="41" s="1"/>
  <c r="H41" i="41" s="1"/>
  <c r="D36" i="20"/>
  <c r="E36" i="20" s="1"/>
  <c r="F36" i="20" s="1"/>
  <c r="H36" i="20" s="1"/>
  <c r="D47" i="20"/>
  <c r="E47" i="20" s="1"/>
  <c r="F47" i="20" s="1"/>
  <c r="H47" i="20" s="1"/>
  <c r="D44" i="20"/>
  <c r="E44" i="20" s="1"/>
  <c r="F44" i="20" s="1"/>
  <c r="H44" i="20" s="1"/>
  <c r="D38" i="20"/>
  <c r="E38" i="20" s="1"/>
  <c r="F38" i="20" s="1"/>
  <c r="H38" i="20" s="1"/>
  <c r="D64" i="20"/>
  <c r="D35" i="20"/>
  <c r="D41" i="20"/>
  <c r="E41" i="20" s="1"/>
  <c r="L41" i="20" s="1"/>
  <c r="D71" i="20"/>
  <c r="E71" i="20" s="1"/>
  <c r="J71" i="20" s="1"/>
  <c r="D93" i="20"/>
  <c r="E93" i="20" s="1"/>
  <c r="F93" i="20" s="1"/>
  <c r="H93" i="20" s="1"/>
  <c r="D69" i="20"/>
  <c r="E69" i="20" s="1"/>
  <c r="J69" i="20" s="1"/>
  <c r="D13" i="23"/>
  <c r="E13" i="23" s="1"/>
  <c r="F13" i="23" s="1"/>
  <c r="H13" i="23" s="1"/>
  <c r="D82" i="23"/>
  <c r="E82" i="23" s="1"/>
  <c r="D12" i="23"/>
  <c r="D75" i="23"/>
  <c r="E75" i="23" s="1"/>
  <c r="L75" i="23" s="1"/>
  <c r="D11" i="23"/>
  <c r="E11" i="23" s="1"/>
  <c r="F11" i="23" s="1"/>
  <c r="H11" i="23" s="1"/>
  <c r="D74" i="23"/>
  <c r="E74" i="23" s="1"/>
  <c r="F74" i="23" s="1"/>
  <c r="H74" i="23" s="1"/>
  <c r="D10" i="23"/>
  <c r="E10" i="23" s="1"/>
  <c r="F10" i="23" s="1"/>
  <c r="H10" i="23" s="1"/>
  <c r="D9" i="23"/>
  <c r="E9" i="23" s="1"/>
  <c r="L9" i="23" s="1"/>
  <c r="D37" i="87"/>
  <c r="E37" i="87" s="1"/>
  <c r="F37" i="87" s="1"/>
  <c r="H37" i="87" s="1"/>
  <c r="D38" i="87"/>
  <c r="E38" i="87" s="1"/>
  <c r="J38" i="87" s="1"/>
  <c r="O38" i="87" s="1"/>
  <c r="D64" i="87"/>
  <c r="D35" i="87"/>
  <c r="E35" i="87" s="1"/>
  <c r="L35" i="87" s="1"/>
  <c r="D44" i="87"/>
  <c r="E44" i="87" s="1"/>
  <c r="F44" i="87" s="1"/>
  <c r="H44" i="87" s="1"/>
  <c r="D47" i="87"/>
  <c r="E47" i="87" s="1"/>
  <c r="F47" i="87" s="1"/>
  <c r="H47" i="87" s="1"/>
  <c r="D41" i="87"/>
  <c r="E41" i="87" s="1"/>
  <c r="L41" i="87" s="1"/>
  <c r="D61" i="30"/>
  <c r="E61" i="30" s="1"/>
  <c r="F61" i="30" s="1"/>
  <c r="H61" i="30" s="1"/>
  <c r="D59" i="30"/>
  <c r="E59" i="30" s="1"/>
  <c r="J59" i="30" s="1"/>
  <c r="D53" i="91"/>
  <c r="E53" i="91" s="1"/>
  <c r="D56" i="91"/>
  <c r="D56" i="56"/>
  <c r="E56" i="56" s="1"/>
  <c r="F56" i="56" s="1"/>
  <c r="H56" i="56" s="1"/>
  <c r="D55" i="56"/>
  <c r="E55" i="56" s="1"/>
  <c r="J55" i="56" s="1"/>
  <c r="D53" i="58"/>
  <c r="E53" i="58" s="1"/>
  <c r="J53" i="58" s="1"/>
  <c r="D56" i="58"/>
  <c r="E56" i="58" s="1"/>
  <c r="J56" i="58" s="1"/>
  <c r="D26" i="61"/>
  <c r="E26" i="61" s="1"/>
  <c r="J26" i="61" s="1"/>
  <c r="D29" i="61"/>
  <c r="E29" i="61" s="1"/>
  <c r="D58" i="61"/>
  <c r="E58" i="61" s="1"/>
  <c r="F58" i="61" s="1"/>
  <c r="H58" i="61" s="1"/>
  <c r="D56" i="61"/>
  <c r="E56" i="61" s="1"/>
  <c r="F56" i="61" s="1"/>
  <c r="H56" i="61" s="1"/>
  <c r="D53" i="61"/>
  <c r="D30" i="23"/>
  <c r="E30" i="23" s="1"/>
  <c r="J30" i="23" s="1"/>
  <c r="D29" i="23"/>
  <c r="D26" i="23"/>
  <c r="E26" i="23" s="1"/>
  <c r="D44" i="58"/>
  <c r="E44" i="58" s="1"/>
  <c r="F44" i="58" s="1"/>
  <c r="H44" i="58" s="1"/>
  <c r="D41" i="58"/>
  <c r="E41" i="58" s="1"/>
  <c r="L41" i="58" s="1"/>
  <c r="D38" i="58"/>
  <c r="E38" i="58" s="1"/>
  <c r="F38" i="58" s="1"/>
  <c r="H38" i="58" s="1"/>
  <c r="D47" i="58"/>
  <c r="E47" i="58" s="1"/>
  <c r="F47" i="58" s="1"/>
  <c r="H47" i="58" s="1"/>
  <c r="D64" i="58"/>
  <c r="D35" i="58"/>
  <c r="E35" i="58" s="1"/>
  <c r="F35" i="58" s="1"/>
  <c r="H35" i="58" s="1"/>
  <c r="D54" i="41"/>
  <c r="E54" i="41" s="1"/>
  <c r="J54" i="41" s="1"/>
  <c r="O54" i="41" s="1"/>
  <c r="D56" i="41"/>
  <c r="E56" i="41" s="1"/>
  <c r="J56" i="41" s="1"/>
  <c r="O56" i="41" s="1"/>
  <c r="D53" i="41"/>
  <c r="E53" i="41" s="1"/>
  <c r="L53" i="41" s="1"/>
  <c r="D54" i="20"/>
  <c r="E54" i="20" s="1"/>
  <c r="F54" i="20" s="1"/>
  <c r="H54" i="20" s="1"/>
  <c r="D53" i="20"/>
  <c r="E53" i="20" s="1"/>
  <c r="L53" i="20" s="1"/>
  <c r="D56" i="20"/>
  <c r="E56" i="20" s="1"/>
  <c r="L56" i="20" s="1"/>
  <c r="D110" i="87"/>
  <c r="E110" i="87" s="1"/>
  <c r="L110" i="87" s="1"/>
  <c r="D9" i="87"/>
  <c r="E9" i="87" s="1"/>
  <c r="J9" i="87" s="1"/>
  <c r="D88" i="87"/>
  <c r="E88" i="87" s="1"/>
  <c r="F88" i="87" s="1"/>
  <c r="H88" i="87" s="1"/>
  <c r="D13" i="87"/>
  <c r="E13" i="87" s="1"/>
  <c r="F13" i="87" s="1"/>
  <c r="H13" i="87" s="1"/>
  <c r="D10" i="87"/>
  <c r="E10" i="87" s="1"/>
  <c r="L10" i="87" s="1"/>
  <c r="D81" i="87"/>
  <c r="E81" i="87" s="1"/>
  <c r="L81" i="87" s="1"/>
  <c r="D12" i="87"/>
  <c r="E12" i="87" s="1"/>
  <c r="F12" i="87" s="1"/>
  <c r="H12" i="87" s="1"/>
  <c r="D80" i="87"/>
  <c r="D11" i="87"/>
  <c r="D85" i="41"/>
  <c r="E85" i="41" s="1"/>
  <c r="L85" i="41" s="1"/>
  <c r="D81" i="41"/>
  <c r="E81" i="41" s="1"/>
  <c r="J81" i="41" s="1"/>
  <c r="D12" i="41"/>
  <c r="E12" i="41" s="1"/>
  <c r="J12" i="41" s="1"/>
  <c r="D10" i="41"/>
  <c r="E10" i="41" s="1"/>
  <c r="L10" i="41" s="1"/>
  <c r="D80" i="41"/>
  <c r="E80" i="41" s="1"/>
  <c r="J80" i="41" s="1"/>
  <c r="D11" i="41"/>
  <c r="E11" i="41" s="1"/>
  <c r="J11" i="41" s="1"/>
  <c r="D9" i="41"/>
  <c r="E9" i="41" s="1"/>
  <c r="L9" i="41" s="1"/>
  <c r="D13" i="41"/>
  <c r="D88" i="41"/>
  <c r="E88" i="41" s="1"/>
  <c r="J88" i="41" s="1"/>
  <c r="D66" i="56"/>
  <c r="E66" i="56" s="1"/>
  <c r="D87" i="56"/>
  <c r="E87" i="56" s="1"/>
  <c r="D60" i="87"/>
  <c r="E60" i="87" s="1"/>
  <c r="L60" i="87" s="1"/>
  <c r="D59" i="87"/>
  <c r="E59" i="87" s="1"/>
  <c r="J59" i="87" s="1"/>
  <c r="O59" i="87" s="1"/>
  <c r="D55" i="30"/>
  <c r="E55" i="30" s="1"/>
  <c r="F55" i="30" s="1"/>
  <c r="H55" i="30" s="1"/>
  <c r="D56" i="30"/>
  <c r="E56" i="30" s="1"/>
  <c r="F56" i="30" s="1"/>
  <c r="H56" i="30" s="1"/>
  <c r="D53" i="30"/>
  <c r="E53" i="30" s="1"/>
  <c r="F53" i="30" s="1"/>
  <c r="H53" i="30" s="1"/>
  <c r="D67" i="29"/>
  <c r="D73" i="30"/>
  <c r="E73" i="30" s="1"/>
  <c r="F73" i="30" s="1"/>
  <c r="H73" i="30" s="1"/>
  <c r="J74" i="30"/>
  <c r="H67" i="29"/>
  <c r="D57" i="56"/>
  <c r="E57" i="56" s="1"/>
  <c r="F57" i="56" s="1"/>
  <c r="H57" i="56" s="1"/>
  <c r="F74" i="30"/>
  <c r="H74" i="30" s="1"/>
  <c r="J96" i="30"/>
  <c r="F96" i="30"/>
  <c r="H96" i="30" s="1"/>
  <c r="D57" i="30"/>
  <c r="E57" i="30" s="1"/>
  <c r="F57" i="30" s="1"/>
  <c r="H57" i="30" s="1"/>
  <c r="D58" i="30"/>
  <c r="E58" i="30" s="1"/>
  <c r="F58" i="30" s="1"/>
  <c r="H58" i="30" s="1"/>
  <c r="D54" i="30"/>
  <c r="E54" i="30" s="1"/>
  <c r="L54" i="30" s="1"/>
  <c r="D52" i="30"/>
  <c r="E52" i="30" s="1"/>
  <c r="F52" i="30" s="1"/>
  <c r="H52" i="30" s="1"/>
  <c r="D77" i="91"/>
  <c r="E77" i="91" s="1"/>
  <c r="D76" i="91"/>
  <c r="E76" i="91" s="1"/>
  <c r="E75" i="91"/>
  <c r="D61" i="91"/>
  <c r="E61" i="91" s="1"/>
  <c r="D60" i="91"/>
  <c r="E60" i="91" s="1"/>
  <c r="E59" i="91"/>
  <c r="D55" i="91"/>
  <c r="E55" i="91" s="1"/>
  <c r="D54" i="91"/>
  <c r="E54" i="91" s="1"/>
  <c r="D52" i="91"/>
  <c r="E52" i="91" s="1"/>
  <c r="E56" i="91"/>
  <c r="D57" i="91"/>
  <c r="E57" i="91" s="1"/>
  <c r="D58" i="91"/>
  <c r="E58" i="91" s="1"/>
  <c r="D96" i="58"/>
  <c r="E96" i="58" s="1"/>
  <c r="F96" i="58" s="1"/>
  <c r="H96" i="58" s="1"/>
  <c r="E99" i="91"/>
  <c r="D60" i="58"/>
  <c r="E60" i="58" s="1"/>
  <c r="J60" i="58" s="1"/>
  <c r="D74" i="58"/>
  <c r="E74" i="58" s="1"/>
  <c r="J74" i="58" s="1"/>
  <c r="D94" i="58"/>
  <c r="E94" i="58" s="1"/>
  <c r="J94" i="58" s="1"/>
  <c r="E97" i="91"/>
  <c r="E96" i="91"/>
  <c r="E73" i="91"/>
  <c r="E72" i="91"/>
  <c r="E74" i="91"/>
  <c r="E98" i="91"/>
  <c r="D77" i="58"/>
  <c r="E77" i="58" s="1"/>
  <c r="L77" i="58" s="1"/>
  <c r="E78" i="91"/>
  <c r="E79" i="91"/>
  <c r="E80" i="91"/>
  <c r="D42" i="58"/>
  <c r="E42" i="58" s="1"/>
  <c r="F42" i="58" s="1"/>
  <c r="H42" i="58" s="1"/>
  <c r="E65" i="91"/>
  <c r="E38" i="91"/>
  <c r="E36" i="91"/>
  <c r="E35" i="91"/>
  <c r="E47" i="91"/>
  <c r="E49" i="91"/>
  <c r="E66" i="91"/>
  <c r="E39" i="91"/>
  <c r="E37" i="91"/>
  <c r="E40" i="91"/>
  <c r="E44" i="91"/>
  <c r="E43" i="91"/>
  <c r="E42" i="91"/>
  <c r="E41" i="91"/>
  <c r="E46" i="91"/>
  <c r="E45" i="91"/>
  <c r="E48" i="91"/>
  <c r="E64" i="91"/>
  <c r="D55" i="58"/>
  <c r="E55" i="58" s="1"/>
  <c r="F55" i="58" s="1"/>
  <c r="H55" i="58" s="1"/>
  <c r="D28" i="58"/>
  <c r="E28" i="58" s="1"/>
  <c r="J28" i="58" s="1"/>
  <c r="E27" i="91"/>
  <c r="E31" i="91"/>
  <c r="E28" i="91"/>
  <c r="E26" i="91"/>
  <c r="E29" i="91"/>
  <c r="E30" i="91"/>
  <c r="E32" i="91"/>
  <c r="D85" i="58"/>
  <c r="E85" i="58" s="1"/>
  <c r="L85" i="58" s="1"/>
  <c r="E83" i="91"/>
  <c r="E23" i="91"/>
  <c r="E88" i="91"/>
  <c r="E22" i="91"/>
  <c r="E84" i="91"/>
  <c r="E10" i="91"/>
  <c r="E9" i="91"/>
  <c r="E11" i="91"/>
  <c r="E91" i="91"/>
  <c r="E18" i="91"/>
  <c r="E21" i="91"/>
  <c r="E86" i="91"/>
  <c r="E85" i="91"/>
  <c r="E17" i="91"/>
  <c r="E87" i="91"/>
  <c r="E16" i="91"/>
  <c r="E15" i="91"/>
  <c r="E14" i="91"/>
  <c r="E13" i="91"/>
  <c r="E12" i="91"/>
  <c r="E113" i="91"/>
  <c r="E92" i="91"/>
  <c r="E20" i="91"/>
  <c r="E19" i="91"/>
  <c r="E114" i="91"/>
  <c r="E93" i="91"/>
  <c r="E115" i="91"/>
  <c r="D60" i="61"/>
  <c r="E60" i="61" s="1"/>
  <c r="F60" i="61" s="1"/>
  <c r="H60" i="61" s="1"/>
  <c r="D85" i="30"/>
  <c r="E85" i="30" s="1"/>
  <c r="L85" i="30" s="1"/>
  <c r="D61" i="61"/>
  <c r="E61" i="61" s="1"/>
  <c r="L61" i="61" s="1"/>
  <c r="E59" i="58"/>
  <c r="L59" i="58" s="1"/>
  <c r="D30" i="87"/>
  <c r="E30" i="87" s="1"/>
  <c r="F30" i="87" s="1"/>
  <c r="H30" i="87" s="1"/>
  <c r="D60" i="41"/>
  <c r="E60" i="41" s="1"/>
  <c r="F60" i="41" s="1"/>
  <c r="H60" i="41" s="1"/>
  <c r="D57" i="23"/>
  <c r="E57" i="23" s="1"/>
  <c r="L57" i="23" s="1"/>
  <c r="D60" i="17"/>
  <c r="E60" i="17" s="1"/>
  <c r="J60" i="17" s="1"/>
  <c r="D32" i="87"/>
  <c r="E32" i="87" s="1"/>
  <c r="L32" i="87" s="1"/>
  <c r="D56" i="23"/>
  <c r="E56" i="23" s="1"/>
  <c r="F56" i="23" s="1"/>
  <c r="H56" i="23" s="1"/>
  <c r="D61" i="87"/>
  <c r="E61" i="87" s="1"/>
  <c r="J61" i="87" s="1"/>
  <c r="O61" i="87" s="1"/>
  <c r="D61" i="41"/>
  <c r="E61" i="41" s="1"/>
  <c r="F61" i="41" s="1"/>
  <c r="H61" i="41" s="1"/>
  <c r="D60" i="20"/>
  <c r="E60" i="20" s="1"/>
  <c r="F60" i="20" s="1"/>
  <c r="H60" i="20" s="1"/>
  <c r="D61" i="58"/>
  <c r="E61" i="58" s="1"/>
  <c r="J61" i="58" s="1"/>
  <c r="D61" i="17"/>
  <c r="E61" i="17" s="1"/>
  <c r="F61" i="17" s="1"/>
  <c r="H61" i="17" s="1"/>
  <c r="D84" i="30"/>
  <c r="E84" i="30" s="1"/>
  <c r="J84" i="30" s="1"/>
  <c r="D18" i="30"/>
  <c r="E18" i="30" s="1"/>
  <c r="J18" i="30" s="1"/>
  <c r="D39" i="87"/>
  <c r="E39" i="87" s="1"/>
  <c r="J39" i="87" s="1"/>
  <c r="O39" i="87" s="1"/>
  <c r="AR25" i="1"/>
  <c r="D14" i="30"/>
  <c r="E14" i="30" s="1"/>
  <c r="F14" i="30" s="1"/>
  <c r="H14" i="30" s="1"/>
  <c r="D43" i="87"/>
  <c r="E43" i="87" s="1"/>
  <c r="F43" i="87" s="1"/>
  <c r="H43" i="87" s="1"/>
  <c r="D40" i="87"/>
  <c r="E40" i="87" s="1"/>
  <c r="L40" i="87" s="1"/>
  <c r="D45" i="87"/>
  <c r="E45" i="87" s="1"/>
  <c r="F45" i="87" s="1"/>
  <c r="H45" i="87" s="1"/>
  <c r="D48" i="87"/>
  <c r="E48" i="87" s="1"/>
  <c r="F48" i="87" s="1"/>
  <c r="H48" i="87" s="1"/>
  <c r="D66" i="87"/>
  <c r="E66" i="87" s="1"/>
  <c r="L66" i="87" s="1"/>
  <c r="D60" i="30"/>
  <c r="E60" i="30" s="1"/>
  <c r="L60" i="30" s="1"/>
  <c r="D49" i="87"/>
  <c r="E49" i="87" s="1"/>
  <c r="J49" i="87" s="1"/>
  <c r="O49" i="87" s="1"/>
  <c r="D65" i="87"/>
  <c r="E65" i="87" s="1"/>
  <c r="J65" i="87" s="1"/>
  <c r="D27" i="87"/>
  <c r="E27" i="87" s="1"/>
  <c r="J27" i="87" s="1"/>
  <c r="O27" i="87" s="1"/>
  <c r="D31" i="87"/>
  <c r="E31" i="87" s="1"/>
  <c r="F31" i="87" s="1"/>
  <c r="H31" i="87" s="1"/>
  <c r="D36" i="87"/>
  <c r="E36" i="87" s="1"/>
  <c r="L36" i="87" s="1"/>
  <c r="E64" i="87"/>
  <c r="F64" i="87" s="1"/>
  <c r="H64" i="87" s="1"/>
  <c r="D46" i="87"/>
  <c r="E46" i="87" s="1"/>
  <c r="L46" i="87" s="1"/>
  <c r="D42" i="87"/>
  <c r="E42" i="87" s="1"/>
  <c r="L42" i="87" s="1"/>
  <c r="D19" i="30"/>
  <c r="E19" i="30" s="1"/>
  <c r="J19" i="30" s="1"/>
  <c r="D21" i="30"/>
  <c r="E21" i="30" s="1"/>
  <c r="J21" i="30" s="1"/>
  <c r="D90" i="30"/>
  <c r="E90" i="30" s="1"/>
  <c r="F90" i="30" s="1"/>
  <c r="H90" i="30" s="1"/>
  <c r="E93" i="87"/>
  <c r="J93" i="87" s="1"/>
  <c r="D95" i="87"/>
  <c r="E95" i="87" s="1"/>
  <c r="F95" i="87" s="1"/>
  <c r="H95" i="87" s="1"/>
  <c r="D70" i="87"/>
  <c r="E70" i="87" s="1"/>
  <c r="L70" i="87" s="1"/>
  <c r="D71" i="87"/>
  <c r="E71" i="87" s="1"/>
  <c r="J71" i="87" s="1"/>
  <c r="O71" i="87" s="1"/>
  <c r="D17" i="30"/>
  <c r="E17" i="30" s="1"/>
  <c r="L17" i="30" s="1"/>
  <c r="D111" i="30"/>
  <c r="E111" i="30" s="1"/>
  <c r="F111" i="30" s="1"/>
  <c r="H111" i="30" s="1"/>
  <c r="E10" i="30"/>
  <c r="L10" i="30" s="1"/>
  <c r="D22" i="30"/>
  <c r="E22" i="30" s="1"/>
  <c r="L22" i="30" s="1"/>
  <c r="D82" i="30"/>
  <c r="E82" i="30" s="1"/>
  <c r="F82" i="30" s="1"/>
  <c r="H82" i="30" s="1"/>
  <c r="D15" i="30"/>
  <c r="E15" i="30" s="1"/>
  <c r="J15" i="30" s="1"/>
  <c r="D110" i="30"/>
  <c r="E110" i="30" s="1"/>
  <c r="F110" i="30" s="1"/>
  <c r="H110" i="30" s="1"/>
  <c r="E50" i="56"/>
  <c r="D40" i="56"/>
  <c r="E40" i="56" s="1"/>
  <c r="D42" i="56"/>
  <c r="E42" i="56" s="1"/>
  <c r="D36" i="56"/>
  <c r="E36" i="56" s="1"/>
  <c r="D39" i="56"/>
  <c r="E39" i="56" s="1"/>
  <c r="D51" i="56"/>
  <c r="E51" i="56" s="1"/>
  <c r="E35" i="56"/>
  <c r="D46" i="56"/>
  <c r="E46" i="56" s="1"/>
  <c r="D45" i="56"/>
  <c r="E45" i="56" s="1"/>
  <c r="D37" i="56"/>
  <c r="E37" i="56" s="1"/>
  <c r="D43" i="56"/>
  <c r="E43" i="56" s="1"/>
  <c r="D52" i="56"/>
  <c r="E52" i="56" s="1"/>
  <c r="D63" i="56"/>
  <c r="E63" i="56" s="1"/>
  <c r="D62" i="56"/>
  <c r="E62" i="56" s="1"/>
  <c r="D23" i="30"/>
  <c r="E23" i="30" s="1"/>
  <c r="F23" i="30" s="1"/>
  <c r="H23" i="30" s="1"/>
  <c r="D88" i="56"/>
  <c r="E88" i="56" s="1"/>
  <c r="D67" i="56"/>
  <c r="E67" i="56" s="1"/>
  <c r="D68" i="56"/>
  <c r="E68" i="56" s="1"/>
  <c r="D89" i="56"/>
  <c r="E89" i="56" s="1"/>
  <c r="D83" i="30"/>
  <c r="E83" i="30" s="1"/>
  <c r="F83" i="30" s="1"/>
  <c r="H83" i="30" s="1"/>
  <c r="E11" i="30"/>
  <c r="F11" i="30" s="1"/>
  <c r="H11" i="30" s="1"/>
  <c r="D28" i="56"/>
  <c r="E28" i="56" s="1"/>
  <c r="D27" i="56"/>
  <c r="E27" i="56" s="1"/>
  <c r="D32" i="56"/>
  <c r="E32" i="56" s="1"/>
  <c r="D31" i="56"/>
  <c r="E31" i="56" s="1"/>
  <c r="D30" i="56"/>
  <c r="E30" i="56" s="1"/>
  <c r="D16" i="30"/>
  <c r="E16" i="30" s="1"/>
  <c r="L16" i="30" s="1"/>
  <c r="D20" i="30"/>
  <c r="E20" i="30" s="1"/>
  <c r="L20" i="30" s="1"/>
  <c r="D89" i="30"/>
  <c r="E89" i="30" s="1"/>
  <c r="L89" i="30" s="1"/>
  <c r="D78" i="56"/>
  <c r="E78" i="56" s="1"/>
  <c r="D76" i="56"/>
  <c r="E76" i="56" s="1"/>
  <c r="D83" i="56"/>
  <c r="E83" i="56" s="1"/>
  <c r="D16" i="56"/>
  <c r="E16" i="56" s="1"/>
  <c r="D15" i="56"/>
  <c r="E15" i="56" s="1"/>
  <c r="D103" i="56"/>
  <c r="E103" i="56" s="1"/>
  <c r="E74" i="56"/>
  <c r="D79" i="56"/>
  <c r="E79" i="56" s="1"/>
  <c r="D20" i="56"/>
  <c r="E20" i="56" s="1"/>
  <c r="S20" i="1"/>
  <c r="D77" i="56"/>
  <c r="E77" i="56" s="1"/>
  <c r="D105" i="56"/>
  <c r="E105" i="56" s="1"/>
  <c r="D18" i="56"/>
  <c r="E18" i="56" s="1"/>
  <c r="D23" i="56"/>
  <c r="E23" i="56" s="1"/>
  <c r="D104" i="56"/>
  <c r="E104" i="56" s="1"/>
  <c r="D17" i="56"/>
  <c r="E17" i="56" s="1"/>
  <c r="D84" i="56"/>
  <c r="E84" i="56" s="1"/>
  <c r="D19" i="56"/>
  <c r="E19" i="56" s="1"/>
  <c r="D21" i="56"/>
  <c r="E21" i="56" s="1"/>
  <c r="D22" i="56"/>
  <c r="E22" i="56" s="1"/>
  <c r="D14" i="56"/>
  <c r="E14" i="56" s="1"/>
  <c r="E11" i="56"/>
  <c r="R25" i="1"/>
  <c r="D89" i="17"/>
  <c r="E89" i="17" s="1"/>
  <c r="F89" i="17" s="1"/>
  <c r="H89" i="17" s="1"/>
  <c r="D14" i="58"/>
  <c r="E14" i="58" s="1"/>
  <c r="F14" i="58" s="1"/>
  <c r="H14" i="58" s="1"/>
  <c r="D20" i="58"/>
  <c r="E20" i="58" s="1"/>
  <c r="L20" i="58" s="1"/>
  <c r="D16" i="58"/>
  <c r="E16" i="58" s="1"/>
  <c r="F16" i="58" s="1"/>
  <c r="H16" i="58" s="1"/>
  <c r="D22" i="17"/>
  <c r="E22" i="17" s="1"/>
  <c r="F22" i="17" s="1"/>
  <c r="H22" i="17" s="1"/>
  <c r="D18" i="17"/>
  <c r="E18" i="17" s="1"/>
  <c r="L18" i="17" s="1"/>
  <c r="D14" i="17"/>
  <c r="E14" i="17" s="1"/>
  <c r="L14" i="17" s="1"/>
  <c r="E11" i="17"/>
  <c r="F11" i="17" s="1"/>
  <c r="D112" i="17"/>
  <c r="E112" i="17" s="1"/>
  <c r="F112" i="17" s="1"/>
  <c r="H112" i="17" s="1"/>
  <c r="D23" i="17"/>
  <c r="E23" i="17" s="1"/>
  <c r="L23" i="17" s="1"/>
  <c r="H25" i="1"/>
  <c r="D15" i="17"/>
  <c r="E15" i="17" s="1"/>
  <c r="F15" i="17" s="1"/>
  <c r="H15" i="17" s="1"/>
  <c r="D84" i="17"/>
  <c r="E84" i="17" s="1"/>
  <c r="F84" i="17" s="1"/>
  <c r="H84" i="17" s="1"/>
  <c r="D83" i="17"/>
  <c r="E83" i="17" s="1"/>
  <c r="F83" i="17" s="1"/>
  <c r="H83" i="17" s="1"/>
  <c r="D20" i="17"/>
  <c r="E20" i="17" s="1"/>
  <c r="J20" i="17" s="1"/>
  <c r="D85" i="17"/>
  <c r="E85" i="17" s="1"/>
  <c r="L85" i="17" s="1"/>
  <c r="D17" i="17"/>
  <c r="E17" i="17" s="1"/>
  <c r="F17" i="17" s="1"/>
  <c r="H17" i="17" s="1"/>
  <c r="D21" i="17"/>
  <c r="E21" i="17" s="1"/>
  <c r="L21" i="17" s="1"/>
  <c r="D90" i="17"/>
  <c r="E90" i="17" s="1"/>
  <c r="J90" i="17" s="1"/>
  <c r="D111" i="17"/>
  <c r="E111" i="17" s="1"/>
  <c r="L111" i="17" s="1"/>
  <c r="E10" i="17"/>
  <c r="F10" i="17" s="1"/>
  <c r="D110" i="17"/>
  <c r="E110" i="17" s="1"/>
  <c r="F110" i="17" s="1"/>
  <c r="H110" i="17" s="1"/>
  <c r="D16" i="17"/>
  <c r="E16" i="17" s="1"/>
  <c r="J16" i="17" s="1"/>
  <c r="D19" i="17"/>
  <c r="E19" i="17" s="1"/>
  <c r="L19" i="17" s="1"/>
  <c r="J76" i="61"/>
  <c r="D84" i="58"/>
  <c r="E84" i="58" s="1"/>
  <c r="J84" i="58" s="1"/>
  <c r="D112" i="58"/>
  <c r="E112" i="58" s="1"/>
  <c r="L112" i="58" s="1"/>
  <c r="E9" i="58"/>
  <c r="F9" i="58" s="1"/>
  <c r="H9" i="58" s="1"/>
  <c r="D19" i="58"/>
  <c r="E19" i="58" s="1"/>
  <c r="F19" i="58" s="1"/>
  <c r="H19" i="58" s="1"/>
  <c r="D23" i="58"/>
  <c r="E23" i="58" s="1"/>
  <c r="F23" i="58" s="1"/>
  <c r="H23" i="58" s="1"/>
  <c r="D83" i="58"/>
  <c r="E83" i="58" s="1"/>
  <c r="L83" i="58" s="1"/>
  <c r="D111" i="58"/>
  <c r="E111" i="58" s="1"/>
  <c r="J111" i="58" s="1"/>
  <c r="D21" i="58"/>
  <c r="E21" i="58" s="1"/>
  <c r="F21" i="58" s="1"/>
  <c r="H21" i="58" s="1"/>
  <c r="E81" i="58"/>
  <c r="F81" i="58" s="1"/>
  <c r="H81" i="58" s="1"/>
  <c r="D110" i="58"/>
  <c r="E110" i="58" s="1"/>
  <c r="F110" i="58" s="1"/>
  <c r="H110" i="58" s="1"/>
  <c r="D22" i="58"/>
  <c r="E22" i="58" s="1"/>
  <c r="F22" i="58" s="1"/>
  <c r="H22" i="58" s="1"/>
  <c r="D104" i="23"/>
  <c r="E104" i="23" s="1"/>
  <c r="L104" i="23" s="1"/>
  <c r="D15" i="58"/>
  <c r="E15" i="58" s="1"/>
  <c r="J15" i="58" s="1"/>
  <c r="D17" i="58"/>
  <c r="E17" i="58" s="1"/>
  <c r="L17" i="58" s="1"/>
  <c r="D82" i="58"/>
  <c r="E82" i="58" s="1"/>
  <c r="F82" i="58" s="1"/>
  <c r="H82" i="58" s="1"/>
  <c r="D78" i="23"/>
  <c r="E78" i="23" s="1"/>
  <c r="L78" i="23" s="1"/>
  <c r="D89" i="58"/>
  <c r="E89" i="58" s="1"/>
  <c r="F89" i="58" s="1"/>
  <c r="H89" i="58" s="1"/>
  <c r="D90" i="58"/>
  <c r="E90" i="58" s="1"/>
  <c r="J90" i="58" s="1"/>
  <c r="D18" i="58"/>
  <c r="E18" i="58" s="1"/>
  <c r="F18" i="58" s="1"/>
  <c r="H18" i="58" s="1"/>
  <c r="D19" i="23"/>
  <c r="E19" i="23" s="1"/>
  <c r="F19" i="23" s="1"/>
  <c r="H19" i="23" s="1"/>
  <c r="D18" i="41"/>
  <c r="E18" i="41" s="1"/>
  <c r="J18" i="41" s="1"/>
  <c r="D15" i="41"/>
  <c r="E15" i="41" s="1"/>
  <c r="J15" i="41" s="1"/>
  <c r="E13" i="41"/>
  <c r="F13" i="41" s="1"/>
  <c r="H13" i="41" s="1"/>
  <c r="D22" i="41"/>
  <c r="E22" i="41" s="1"/>
  <c r="L22" i="41" s="1"/>
  <c r="D16" i="41"/>
  <c r="E16" i="41" s="1"/>
  <c r="F16" i="41" s="1"/>
  <c r="H16" i="41" s="1"/>
  <c r="D17" i="41"/>
  <c r="E17" i="41" s="1"/>
  <c r="F17" i="41" s="1"/>
  <c r="H17" i="41" s="1"/>
  <c r="J88" i="23"/>
  <c r="D111" i="41"/>
  <c r="E111" i="41" s="1"/>
  <c r="L111" i="41" s="1"/>
  <c r="D89" i="41"/>
  <c r="E89" i="41" s="1"/>
  <c r="J89" i="41" s="1"/>
  <c r="D84" i="41"/>
  <c r="E84" i="41" s="1"/>
  <c r="F84" i="41" s="1"/>
  <c r="H84" i="41" s="1"/>
  <c r="D83" i="41"/>
  <c r="E83" i="41" s="1"/>
  <c r="L83" i="41" s="1"/>
  <c r="E80" i="87"/>
  <c r="J80" i="87" s="1"/>
  <c r="F85" i="41"/>
  <c r="H85" i="41" s="1"/>
  <c r="D82" i="41"/>
  <c r="E82" i="41" s="1"/>
  <c r="L82" i="41" s="1"/>
  <c r="D52" i="41"/>
  <c r="E52" i="41" s="1"/>
  <c r="J52" i="41" s="1"/>
  <c r="D112" i="41"/>
  <c r="E112" i="41" s="1"/>
  <c r="J112" i="41" s="1"/>
  <c r="D110" i="41"/>
  <c r="E110" i="41" s="1"/>
  <c r="J110" i="41" s="1"/>
  <c r="D19" i="41"/>
  <c r="E19" i="41" s="1"/>
  <c r="F19" i="41" s="1"/>
  <c r="H19" i="41" s="1"/>
  <c r="D14" i="41"/>
  <c r="E14" i="41" s="1"/>
  <c r="J14" i="41" s="1"/>
  <c r="D21" i="41"/>
  <c r="E21" i="41" s="1"/>
  <c r="J21" i="41" s="1"/>
  <c r="D23" i="41"/>
  <c r="E23" i="41" s="1"/>
  <c r="F23" i="41" s="1"/>
  <c r="H23" i="41" s="1"/>
  <c r="D20" i="41"/>
  <c r="E20" i="41" s="1"/>
  <c r="L20" i="41" s="1"/>
  <c r="D90" i="41"/>
  <c r="E90" i="41" s="1"/>
  <c r="F90" i="41" s="1"/>
  <c r="H90" i="41" s="1"/>
  <c r="D111" i="20"/>
  <c r="E111" i="20" s="1"/>
  <c r="J111" i="20" s="1"/>
  <c r="D17" i="20"/>
  <c r="E17" i="20" s="1"/>
  <c r="F17" i="20" s="1"/>
  <c r="H17" i="20" s="1"/>
  <c r="D21" i="20"/>
  <c r="E21" i="20" s="1"/>
  <c r="J21" i="20" s="1"/>
  <c r="D89" i="20"/>
  <c r="E89" i="20" s="1"/>
  <c r="L89" i="20" s="1"/>
  <c r="D110" i="20"/>
  <c r="E110" i="20" s="1"/>
  <c r="D83" i="20"/>
  <c r="E83" i="20" s="1"/>
  <c r="J83" i="20" s="1"/>
  <c r="D76" i="23"/>
  <c r="E76" i="23" s="1"/>
  <c r="F76" i="23" s="1"/>
  <c r="H76" i="23" s="1"/>
  <c r="D82" i="87"/>
  <c r="E82" i="87" s="1"/>
  <c r="F82" i="87" s="1"/>
  <c r="H82" i="87" s="1"/>
  <c r="D23" i="87"/>
  <c r="E23" i="87" s="1"/>
  <c r="F23" i="87" s="1"/>
  <c r="H23" i="87" s="1"/>
  <c r="J110" i="87"/>
  <c r="D20" i="87"/>
  <c r="E20" i="87" s="1"/>
  <c r="F20" i="87" s="1"/>
  <c r="H20" i="87" s="1"/>
  <c r="D111" i="87"/>
  <c r="E111" i="87" s="1"/>
  <c r="F111" i="87" s="1"/>
  <c r="H111" i="87" s="1"/>
  <c r="D89" i="87"/>
  <c r="E89" i="87" s="1"/>
  <c r="F89" i="87" s="1"/>
  <c r="H89" i="87" s="1"/>
  <c r="N25" i="1"/>
  <c r="D55" i="17"/>
  <c r="E55" i="17" s="1"/>
  <c r="F55" i="17" s="1"/>
  <c r="H55" i="17" s="1"/>
  <c r="D84" i="87"/>
  <c r="E84" i="87" s="1"/>
  <c r="J84" i="87" s="1"/>
  <c r="D90" i="87"/>
  <c r="E90" i="87" s="1"/>
  <c r="F90" i="87" s="1"/>
  <c r="H90" i="87" s="1"/>
  <c r="D19" i="87"/>
  <c r="E19" i="87" s="1"/>
  <c r="L19" i="87" s="1"/>
  <c r="D58" i="17"/>
  <c r="E58" i="17" s="1"/>
  <c r="F58" i="17" s="1"/>
  <c r="H58" i="17" s="1"/>
  <c r="D22" i="87"/>
  <c r="E22" i="87" s="1"/>
  <c r="L22" i="87" s="1"/>
  <c r="D17" i="87"/>
  <c r="E17" i="87" s="1"/>
  <c r="J17" i="87" s="1"/>
  <c r="E11" i="87"/>
  <c r="L11" i="87" s="1"/>
  <c r="D16" i="87"/>
  <c r="E16" i="87" s="1"/>
  <c r="F16" i="87" s="1"/>
  <c r="H16" i="87" s="1"/>
  <c r="D18" i="87"/>
  <c r="E18" i="87" s="1"/>
  <c r="L18" i="87" s="1"/>
  <c r="D21" i="87"/>
  <c r="E21" i="87" s="1"/>
  <c r="F21" i="87" s="1"/>
  <c r="H21" i="87" s="1"/>
  <c r="D15" i="87"/>
  <c r="E15" i="87" s="1"/>
  <c r="J15" i="87" s="1"/>
  <c r="D52" i="17"/>
  <c r="E52" i="17" s="1"/>
  <c r="F52" i="17" s="1"/>
  <c r="H52" i="17" s="1"/>
  <c r="D83" i="87"/>
  <c r="E83" i="87" s="1"/>
  <c r="L83" i="87" s="1"/>
  <c r="F110" i="87"/>
  <c r="H110" i="87" s="1"/>
  <c r="D112" i="87"/>
  <c r="E112" i="87" s="1"/>
  <c r="F112" i="87" s="1"/>
  <c r="H112" i="87" s="1"/>
  <c r="D14" i="87"/>
  <c r="E14" i="87" s="1"/>
  <c r="L14" i="87" s="1"/>
  <c r="D85" i="87"/>
  <c r="E85" i="87" s="1"/>
  <c r="J85" i="87" s="1"/>
  <c r="D57" i="17"/>
  <c r="E57" i="17" s="1"/>
  <c r="J57" i="17" s="1"/>
  <c r="F77" i="41"/>
  <c r="H77" i="41" s="1"/>
  <c r="F76" i="61"/>
  <c r="H76" i="61" s="1"/>
  <c r="D90" i="20"/>
  <c r="E90" i="20" s="1"/>
  <c r="J90" i="20" s="1"/>
  <c r="D82" i="20"/>
  <c r="E82" i="20" s="1"/>
  <c r="L82" i="20" s="1"/>
  <c r="D85" i="20"/>
  <c r="E85" i="20" s="1"/>
  <c r="F85" i="20" s="1"/>
  <c r="H85" i="20" s="1"/>
  <c r="D75" i="61"/>
  <c r="E75" i="61" s="1"/>
  <c r="L75" i="61" s="1"/>
  <c r="D23" i="20"/>
  <c r="E23" i="20" s="1"/>
  <c r="F23" i="20" s="1"/>
  <c r="H23" i="20" s="1"/>
  <c r="D112" i="20"/>
  <c r="E112" i="20" s="1"/>
  <c r="L112" i="20" s="1"/>
  <c r="D14" i="20"/>
  <c r="E14" i="20" s="1"/>
  <c r="J14" i="20" s="1"/>
  <c r="D22" i="20"/>
  <c r="E22" i="20" s="1"/>
  <c r="J22" i="20" s="1"/>
  <c r="D20" i="20"/>
  <c r="E20" i="20" s="1"/>
  <c r="F20" i="20" s="1"/>
  <c r="H20" i="20" s="1"/>
  <c r="D18" i="20"/>
  <c r="E18" i="20" s="1"/>
  <c r="L18" i="20" s="1"/>
  <c r="D15" i="20"/>
  <c r="E15" i="20" s="1"/>
  <c r="L15" i="20" s="1"/>
  <c r="D16" i="20"/>
  <c r="E16" i="20" s="1"/>
  <c r="F16" i="20" s="1"/>
  <c r="H16" i="20" s="1"/>
  <c r="L88" i="23"/>
  <c r="D19" i="20"/>
  <c r="E19" i="20" s="1"/>
  <c r="J19" i="20" s="1"/>
  <c r="E12" i="20"/>
  <c r="L12" i="20" s="1"/>
  <c r="E13" i="20"/>
  <c r="F13" i="20" s="1"/>
  <c r="H13" i="20" s="1"/>
  <c r="D19" i="61"/>
  <c r="E19" i="61" s="1"/>
  <c r="J19" i="61" s="1"/>
  <c r="D17" i="23"/>
  <c r="E17" i="23" s="1"/>
  <c r="J17" i="23" s="1"/>
  <c r="E12" i="23"/>
  <c r="F12" i="23" s="1"/>
  <c r="H12" i="23" s="1"/>
  <c r="D15" i="23"/>
  <c r="E15" i="23" s="1"/>
  <c r="F15" i="23" s="1"/>
  <c r="H15" i="23" s="1"/>
  <c r="D21" i="23"/>
  <c r="E21" i="23" s="1"/>
  <c r="F21" i="23" s="1"/>
  <c r="H21" i="23" s="1"/>
  <c r="D77" i="23"/>
  <c r="E77" i="23" s="1"/>
  <c r="F77" i="23" s="1"/>
  <c r="H77" i="23" s="1"/>
  <c r="D14" i="23"/>
  <c r="E14" i="23" s="1"/>
  <c r="L14" i="23" s="1"/>
  <c r="D18" i="23"/>
  <c r="E18" i="23" s="1"/>
  <c r="J18" i="23" s="1"/>
  <c r="D22" i="23"/>
  <c r="E22" i="23" s="1"/>
  <c r="F22" i="23" s="1"/>
  <c r="H22" i="23" s="1"/>
  <c r="D84" i="23"/>
  <c r="E84" i="23" s="1"/>
  <c r="F84" i="23" s="1"/>
  <c r="H84" i="23" s="1"/>
  <c r="D103" i="23"/>
  <c r="E103" i="23" s="1"/>
  <c r="F103" i="23" s="1"/>
  <c r="H103" i="23" s="1"/>
  <c r="D79" i="23"/>
  <c r="E79" i="23" s="1"/>
  <c r="F79" i="23" s="1"/>
  <c r="H79" i="23" s="1"/>
  <c r="D105" i="23"/>
  <c r="E105" i="23" s="1"/>
  <c r="F105" i="23" s="1"/>
  <c r="H105" i="23" s="1"/>
  <c r="D16" i="23"/>
  <c r="E16" i="23" s="1"/>
  <c r="J16" i="23" s="1"/>
  <c r="S21" i="1"/>
  <c r="D20" i="23"/>
  <c r="E20" i="23" s="1"/>
  <c r="L20" i="23" s="1"/>
  <c r="D23" i="23"/>
  <c r="E23" i="23" s="1"/>
  <c r="F23" i="23" s="1"/>
  <c r="H23" i="23" s="1"/>
  <c r="D83" i="23"/>
  <c r="E83" i="23" s="1"/>
  <c r="J83" i="23" s="1"/>
  <c r="D20" i="61"/>
  <c r="E20" i="61" s="1"/>
  <c r="J20" i="61" s="1"/>
  <c r="D17" i="61"/>
  <c r="E17" i="61" s="1"/>
  <c r="L17" i="61" s="1"/>
  <c r="E13" i="61"/>
  <c r="F13" i="61" s="1"/>
  <c r="H13" i="61" s="1"/>
  <c r="D85" i="61"/>
  <c r="E85" i="61" s="1"/>
  <c r="L85" i="61" s="1"/>
  <c r="D90" i="61"/>
  <c r="E90" i="61" s="1"/>
  <c r="F90" i="61" s="1"/>
  <c r="H90" i="61" s="1"/>
  <c r="D15" i="61"/>
  <c r="E15" i="61" s="1"/>
  <c r="J15" i="61" s="1"/>
  <c r="D21" i="61"/>
  <c r="E21" i="61" s="1"/>
  <c r="J21" i="61" s="1"/>
  <c r="D16" i="61"/>
  <c r="E16" i="61" s="1"/>
  <c r="J16" i="61" s="1"/>
  <c r="D111" i="61"/>
  <c r="E111" i="61" s="1"/>
  <c r="L111" i="61" s="1"/>
  <c r="E88" i="61"/>
  <c r="F88" i="61" s="1"/>
  <c r="H88" i="61" s="1"/>
  <c r="D84" i="61"/>
  <c r="E84" i="61" s="1"/>
  <c r="F84" i="61" s="1"/>
  <c r="H84" i="61" s="1"/>
  <c r="D18" i="61"/>
  <c r="E18" i="61" s="1"/>
  <c r="F18" i="61" s="1"/>
  <c r="H18" i="61" s="1"/>
  <c r="D14" i="61"/>
  <c r="E14" i="61" s="1"/>
  <c r="F14" i="61" s="1"/>
  <c r="H14" i="61" s="1"/>
  <c r="D110" i="61"/>
  <c r="E110" i="61" s="1"/>
  <c r="F110" i="61" s="1"/>
  <c r="H110" i="61" s="1"/>
  <c r="D83" i="61"/>
  <c r="E83" i="61" s="1"/>
  <c r="F83" i="61" s="1"/>
  <c r="H83" i="61" s="1"/>
  <c r="D23" i="61"/>
  <c r="E23" i="61" s="1"/>
  <c r="L23" i="61" s="1"/>
  <c r="D112" i="61"/>
  <c r="E112" i="61" s="1"/>
  <c r="J112" i="61" s="1"/>
  <c r="D89" i="61"/>
  <c r="E89" i="61" s="1"/>
  <c r="F89" i="61" s="1"/>
  <c r="H89" i="61" s="1"/>
  <c r="D22" i="61"/>
  <c r="E22" i="61" s="1"/>
  <c r="J22" i="61" s="1"/>
  <c r="D54" i="17"/>
  <c r="E54" i="17" s="1"/>
  <c r="F54" i="17" s="1"/>
  <c r="H54" i="17" s="1"/>
  <c r="D55" i="87"/>
  <c r="E55" i="87" s="1"/>
  <c r="L55" i="87" s="1"/>
  <c r="D76" i="41"/>
  <c r="E76" i="41" s="1"/>
  <c r="F76" i="41" s="1"/>
  <c r="H76" i="41" s="1"/>
  <c r="D95" i="61"/>
  <c r="E95" i="61" s="1"/>
  <c r="L95" i="61" s="1"/>
  <c r="L52" i="87"/>
  <c r="D58" i="87"/>
  <c r="E58" i="87" s="1"/>
  <c r="L58" i="87" s="1"/>
  <c r="F52" i="87"/>
  <c r="H52" i="87" s="1"/>
  <c r="J77" i="41"/>
  <c r="D70" i="61"/>
  <c r="E70" i="61" s="1"/>
  <c r="F70" i="61" s="1"/>
  <c r="H70" i="61" s="1"/>
  <c r="D94" i="61"/>
  <c r="E94" i="61" s="1"/>
  <c r="J94" i="61" s="1"/>
  <c r="D54" i="87"/>
  <c r="E54" i="87" s="1"/>
  <c r="J54" i="87" s="1"/>
  <c r="O54" i="87" s="1"/>
  <c r="D75" i="41"/>
  <c r="E75" i="41" s="1"/>
  <c r="L75" i="41" s="1"/>
  <c r="E93" i="61"/>
  <c r="J93" i="61" s="1"/>
  <c r="D71" i="61"/>
  <c r="E71" i="61" s="1"/>
  <c r="J71" i="61" s="1"/>
  <c r="D57" i="87"/>
  <c r="E57" i="87" s="1"/>
  <c r="L57" i="87" s="1"/>
  <c r="D68" i="23"/>
  <c r="E68" i="23" s="1"/>
  <c r="F68" i="23" s="1"/>
  <c r="H68" i="23" s="1"/>
  <c r="D89" i="23"/>
  <c r="E89" i="23" s="1"/>
  <c r="F89" i="23" s="1"/>
  <c r="H89" i="23" s="1"/>
  <c r="D77" i="61"/>
  <c r="E77" i="61" s="1"/>
  <c r="J77" i="61" s="1"/>
  <c r="D57" i="20"/>
  <c r="E57" i="20" s="1"/>
  <c r="J57" i="20" s="1"/>
  <c r="D52" i="20"/>
  <c r="E52" i="20" s="1"/>
  <c r="J52" i="20" s="1"/>
  <c r="D55" i="20"/>
  <c r="E55" i="20" s="1"/>
  <c r="F55" i="20" s="1"/>
  <c r="H55" i="20" s="1"/>
  <c r="D58" i="20"/>
  <c r="E58" i="20" s="1"/>
  <c r="J58" i="20" s="1"/>
  <c r="D67" i="23"/>
  <c r="E67" i="23" s="1"/>
  <c r="F67" i="23" s="1"/>
  <c r="H67" i="23" s="1"/>
  <c r="D57" i="61"/>
  <c r="E57" i="61" s="1"/>
  <c r="L57" i="61" s="1"/>
  <c r="D94" i="17"/>
  <c r="E94" i="17" s="1"/>
  <c r="F94" i="17" s="1"/>
  <c r="H94" i="17" s="1"/>
  <c r="E69" i="17"/>
  <c r="J69" i="17" s="1"/>
  <c r="D54" i="61"/>
  <c r="E54" i="61" s="1"/>
  <c r="J54" i="61" s="1"/>
  <c r="AH25" i="1"/>
  <c r="D52" i="58"/>
  <c r="E52" i="58" s="1"/>
  <c r="F52" i="58" s="1"/>
  <c r="H52" i="58" s="1"/>
  <c r="D65" i="30"/>
  <c r="E65" i="30" s="1"/>
  <c r="F65" i="30" s="1"/>
  <c r="H65" i="30" s="1"/>
  <c r="D74" i="20"/>
  <c r="E74" i="20" s="1"/>
  <c r="L74" i="20" s="1"/>
  <c r="D54" i="58"/>
  <c r="E54" i="58" s="1"/>
  <c r="J54" i="58" s="1"/>
  <c r="D48" i="30"/>
  <c r="E48" i="30" s="1"/>
  <c r="F48" i="30" s="1"/>
  <c r="H48" i="30" s="1"/>
  <c r="L95" i="41"/>
  <c r="D57" i="58"/>
  <c r="E57" i="58" s="1"/>
  <c r="J57" i="58" s="1"/>
  <c r="D58" i="58"/>
  <c r="E58" i="58" s="1"/>
  <c r="F58" i="58" s="1"/>
  <c r="H58" i="58" s="1"/>
  <c r="D70" i="20"/>
  <c r="E70" i="20" s="1"/>
  <c r="F70" i="20" s="1"/>
  <c r="H70" i="20" s="1"/>
  <c r="F76" i="30"/>
  <c r="H76" i="30" s="1"/>
  <c r="D52" i="61"/>
  <c r="E52" i="61" s="1"/>
  <c r="J52" i="61" s="1"/>
  <c r="D95" i="17"/>
  <c r="E95" i="17" s="1"/>
  <c r="J95" i="17" s="1"/>
  <c r="D70" i="17"/>
  <c r="E70" i="17" s="1"/>
  <c r="F70" i="17" s="1"/>
  <c r="H70" i="17" s="1"/>
  <c r="D71" i="17"/>
  <c r="E71" i="17" s="1"/>
  <c r="J71" i="17" s="1"/>
  <c r="D55" i="61"/>
  <c r="E55" i="61" s="1"/>
  <c r="F55" i="61" s="1"/>
  <c r="H55" i="61" s="1"/>
  <c r="E53" i="61"/>
  <c r="L53" i="61" s="1"/>
  <c r="E93" i="41"/>
  <c r="J93" i="41" s="1"/>
  <c r="D71" i="41"/>
  <c r="E71" i="41" s="1"/>
  <c r="F71" i="41" s="1"/>
  <c r="H71" i="41" s="1"/>
  <c r="D94" i="20"/>
  <c r="E94" i="20" s="1"/>
  <c r="F94" i="20" s="1"/>
  <c r="H94" i="20" s="1"/>
  <c r="D70" i="41"/>
  <c r="E70" i="41" s="1"/>
  <c r="L70" i="41" s="1"/>
  <c r="F95" i="41"/>
  <c r="H95" i="41" s="1"/>
  <c r="D95" i="20"/>
  <c r="E95" i="20" s="1"/>
  <c r="L95" i="20" s="1"/>
  <c r="L77" i="87"/>
  <c r="D94" i="41"/>
  <c r="E94" i="41" s="1"/>
  <c r="J94" i="41" s="1"/>
  <c r="D28" i="30"/>
  <c r="E28" i="30" s="1"/>
  <c r="F28" i="30" s="1"/>
  <c r="H28" i="30" s="1"/>
  <c r="F77" i="20"/>
  <c r="H77" i="20" s="1"/>
  <c r="J96" i="41"/>
  <c r="F96" i="41"/>
  <c r="H96" i="41" s="1"/>
  <c r="D76" i="20"/>
  <c r="E76" i="20" s="1"/>
  <c r="J76" i="20" s="1"/>
  <c r="D70" i="30"/>
  <c r="E70" i="30" s="1"/>
  <c r="F70" i="30" s="1"/>
  <c r="H70" i="30" s="1"/>
  <c r="D55" i="41"/>
  <c r="E55" i="41" s="1"/>
  <c r="L55" i="41" s="1"/>
  <c r="L96" i="17"/>
  <c r="D95" i="30"/>
  <c r="E95" i="30" s="1"/>
  <c r="F95" i="30" s="1"/>
  <c r="H95" i="30" s="1"/>
  <c r="D71" i="58"/>
  <c r="E71" i="58" s="1"/>
  <c r="L71" i="58" s="1"/>
  <c r="D32" i="30"/>
  <c r="E32" i="30" s="1"/>
  <c r="J32" i="30" s="1"/>
  <c r="D51" i="23"/>
  <c r="E51" i="23" s="1"/>
  <c r="F51" i="23" s="1"/>
  <c r="H51" i="23" s="1"/>
  <c r="E69" i="30"/>
  <c r="F69" i="30" s="1"/>
  <c r="H69" i="30" s="1"/>
  <c r="D70" i="58"/>
  <c r="E70" i="58" s="1"/>
  <c r="F70" i="58" s="1"/>
  <c r="H70" i="58" s="1"/>
  <c r="J75" i="30"/>
  <c r="D58" i="41"/>
  <c r="E58" i="41" s="1"/>
  <c r="F58" i="41" s="1"/>
  <c r="H58" i="41" s="1"/>
  <c r="J96" i="87"/>
  <c r="F96" i="20"/>
  <c r="H96" i="20" s="1"/>
  <c r="L96" i="87"/>
  <c r="D94" i="30"/>
  <c r="E94" i="30" s="1"/>
  <c r="L94" i="30" s="1"/>
  <c r="D71" i="30"/>
  <c r="E71" i="30" s="1"/>
  <c r="F71" i="30" s="1"/>
  <c r="H71" i="30" s="1"/>
  <c r="D95" i="58"/>
  <c r="E95" i="58" s="1"/>
  <c r="L95" i="58" s="1"/>
  <c r="D57" i="41"/>
  <c r="E57" i="41" s="1"/>
  <c r="F57" i="41" s="1"/>
  <c r="H57" i="41" s="1"/>
  <c r="L75" i="30"/>
  <c r="J77" i="87"/>
  <c r="AF25" i="1"/>
  <c r="L75" i="17"/>
  <c r="D76" i="17"/>
  <c r="E76" i="17" s="1"/>
  <c r="F76" i="17" s="1"/>
  <c r="H76" i="17" s="1"/>
  <c r="F75" i="17"/>
  <c r="H75" i="17" s="1"/>
  <c r="D76" i="87"/>
  <c r="E76" i="87" s="1"/>
  <c r="F76" i="87" s="1"/>
  <c r="H76" i="87" s="1"/>
  <c r="D75" i="87"/>
  <c r="E75" i="87" s="1"/>
  <c r="J75" i="87" s="1"/>
  <c r="D77" i="17"/>
  <c r="E77" i="17" s="1"/>
  <c r="J77" i="17" s="1"/>
  <c r="D36" i="58"/>
  <c r="E36" i="58" s="1"/>
  <c r="J36" i="58" s="1"/>
  <c r="M77" i="30"/>
  <c r="D32" i="23"/>
  <c r="E32" i="23" s="1"/>
  <c r="J32" i="23" s="1"/>
  <c r="D43" i="58"/>
  <c r="E43" i="58" s="1"/>
  <c r="F43" i="58" s="1"/>
  <c r="H43" i="58" s="1"/>
  <c r="D46" i="17"/>
  <c r="E46" i="17" s="1"/>
  <c r="F46" i="17" s="1"/>
  <c r="H46" i="17" s="1"/>
  <c r="AJ25" i="1"/>
  <c r="D42" i="17"/>
  <c r="E42" i="17" s="1"/>
  <c r="F42" i="17" s="1"/>
  <c r="H42" i="17" s="1"/>
  <c r="D46" i="58"/>
  <c r="E46" i="58" s="1"/>
  <c r="J46" i="58" s="1"/>
  <c r="D45" i="41"/>
  <c r="E45" i="41" s="1"/>
  <c r="J45" i="41" s="1"/>
  <c r="O45" i="41" s="1"/>
  <c r="D37" i="58"/>
  <c r="E37" i="58" s="1"/>
  <c r="F37" i="58" s="1"/>
  <c r="H37" i="58" s="1"/>
  <c r="D28" i="41"/>
  <c r="E28" i="41" s="1"/>
  <c r="L28" i="41" s="1"/>
  <c r="D27" i="41"/>
  <c r="E27" i="41" s="1"/>
  <c r="F27" i="41" s="1"/>
  <c r="H27" i="41" s="1"/>
  <c r="D75" i="58"/>
  <c r="E75" i="58" s="1"/>
  <c r="J75" i="58" s="1"/>
  <c r="D30" i="41"/>
  <c r="E30" i="41" s="1"/>
  <c r="L30" i="41" s="1"/>
  <c r="D31" i="23"/>
  <c r="E31" i="23" s="1"/>
  <c r="J31" i="23" s="1"/>
  <c r="D76" i="58"/>
  <c r="E76" i="58" s="1"/>
  <c r="J76" i="58" s="1"/>
  <c r="L73" i="87"/>
  <c r="D74" i="41"/>
  <c r="E74" i="41" s="1"/>
  <c r="F74" i="41" s="1"/>
  <c r="H74" i="41" s="1"/>
  <c r="D73" i="41"/>
  <c r="E73" i="41" s="1"/>
  <c r="J73" i="41" s="1"/>
  <c r="O73" i="41" s="1"/>
  <c r="L77" i="20"/>
  <c r="D75" i="20"/>
  <c r="E75" i="20" s="1"/>
  <c r="L75" i="20" s="1"/>
  <c r="L76" i="30"/>
  <c r="D74" i="87"/>
  <c r="E74" i="87" s="1"/>
  <c r="L74" i="87" s="1"/>
  <c r="D30" i="30"/>
  <c r="E30" i="30" s="1"/>
  <c r="L30" i="30" s="1"/>
  <c r="D43" i="41"/>
  <c r="E43" i="41" s="1"/>
  <c r="J43" i="41" s="1"/>
  <c r="O43" i="41" s="1"/>
  <c r="J96" i="17"/>
  <c r="L96" i="61"/>
  <c r="F96" i="61"/>
  <c r="H96" i="61" s="1"/>
  <c r="D39" i="17"/>
  <c r="E39" i="17" s="1"/>
  <c r="J39" i="17" s="1"/>
  <c r="D27" i="17"/>
  <c r="E27" i="17" s="1"/>
  <c r="F27" i="17" s="1"/>
  <c r="H27" i="17" s="1"/>
  <c r="D48" i="17"/>
  <c r="E48" i="17" s="1"/>
  <c r="J48" i="17" s="1"/>
  <c r="D40" i="23"/>
  <c r="E40" i="23" s="1"/>
  <c r="F40" i="23" s="1"/>
  <c r="H40" i="23" s="1"/>
  <c r="E44" i="17"/>
  <c r="J44" i="17" s="1"/>
  <c r="D46" i="20"/>
  <c r="E46" i="20" s="1"/>
  <c r="F46" i="20" s="1"/>
  <c r="H46" i="20" s="1"/>
  <c r="D49" i="41"/>
  <c r="E49" i="41" s="1"/>
  <c r="F49" i="41" s="1"/>
  <c r="H49" i="41" s="1"/>
  <c r="E47" i="41"/>
  <c r="J47" i="41" s="1"/>
  <c r="O47" i="41" s="1"/>
  <c r="D30" i="17"/>
  <c r="E30" i="17" s="1"/>
  <c r="L30" i="17" s="1"/>
  <c r="D43" i="17"/>
  <c r="E43" i="17" s="1"/>
  <c r="F43" i="17" s="1"/>
  <c r="H43" i="17" s="1"/>
  <c r="D36" i="17"/>
  <c r="E36" i="17" s="1"/>
  <c r="F36" i="17" s="1"/>
  <c r="H36" i="17" s="1"/>
  <c r="D48" i="58"/>
  <c r="E48" i="58" s="1"/>
  <c r="L48" i="58" s="1"/>
  <c r="D31" i="30"/>
  <c r="E31" i="30" s="1"/>
  <c r="J31" i="30" s="1"/>
  <c r="D49" i="20"/>
  <c r="E49" i="20" s="1"/>
  <c r="L49" i="20" s="1"/>
  <c r="D39" i="20"/>
  <c r="E39" i="20" s="1"/>
  <c r="J39" i="20" s="1"/>
  <c r="D66" i="41"/>
  <c r="E66" i="41" s="1"/>
  <c r="F66" i="41" s="1"/>
  <c r="H66" i="41" s="1"/>
  <c r="D65" i="41"/>
  <c r="E65" i="41" s="1"/>
  <c r="J65" i="41" s="1"/>
  <c r="L65" i="17"/>
  <c r="F65" i="17"/>
  <c r="H65" i="17" s="1"/>
  <c r="J25" i="1"/>
  <c r="D28" i="17"/>
  <c r="E28" i="17" s="1"/>
  <c r="F28" i="17" s="1"/>
  <c r="H28" i="17" s="1"/>
  <c r="E64" i="58"/>
  <c r="F64" i="58" s="1"/>
  <c r="H64" i="58" s="1"/>
  <c r="D40" i="17"/>
  <c r="E40" i="17" s="1"/>
  <c r="F40" i="17" s="1"/>
  <c r="H40" i="17" s="1"/>
  <c r="D52" i="23"/>
  <c r="E52" i="23" s="1"/>
  <c r="L52" i="23" s="1"/>
  <c r="D37" i="41"/>
  <c r="E37" i="41" s="1"/>
  <c r="F37" i="41" s="1"/>
  <c r="H37" i="41" s="1"/>
  <c r="D46" i="41"/>
  <c r="E46" i="41" s="1"/>
  <c r="F46" i="41" s="1"/>
  <c r="H46" i="41" s="1"/>
  <c r="D65" i="58"/>
  <c r="E65" i="58" s="1"/>
  <c r="F65" i="58" s="1"/>
  <c r="H65" i="58" s="1"/>
  <c r="D39" i="58"/>
  <c r="E39" i="58" s="1"/>
  <c r="F39" i="58" s="1"/>
  <c r="H39" i="58" s="1"/>
  <c r="D37" i="17"/>
  <c r="E37" i="17" s="1"/>
  <c r="L37" i="17" s="1"/>
  <c r="D45" i="58"/>
  <c r="E45" i="58" s="1"/>
  <c r="F45" i="58" s="1"/>
  <c r="H45" i="58" s="1"/>
  <c r="D27" i="30"/>
  <c r="E27" i="30" s="1"/>
  <c r="F27" i="30" s="1"/>
  <c r="H27" i="30" s="1"/>
  <c r="D63" i="23"/>
  <c r="E63" i="23" s="1"/>
  <c r="L63" i="23" s="1"/>
  <c r="E38" i="41"/>
  <c r="D40" i="41"/>
  <c r="E40" i="41" s="1"/>
  <c r="J40" i="41" s="1"/>
  <c r="O40" i="41" s="1"/>
  <c r="D42" i="41"/>
  <c r="E42" i="41" s="1"/>
  <c r="D31" i="17"/>
  <c r="E31" i="17" s="1"/>
  <c r="F31" i="17" s="1"/>
  <c r="H31" i="17" s="1"/>
  <c r="D36" i="23"/>
  <c r="E36" i="23" s="1"/>
  <c r="J36" i="23" s="1"/>
  <c r="D49" i="17"/>
  <c r="E49" i="17" s="1"/>
  <c r="L49" i="17" s="1"/>
  <c r="D40" i="58"/>
  <c r="E40" i="58" s="1"/>
  <c r="F40" i="58" s="1"/>
  <c r="H40" i="58" s="1"/>
  <c r="D46" i="23"/>
  <c r="E46" i="23" s="1"/>
  <c r="J46" i="23" s="1"/>
  <c r="D39" i="23"/>
  <c r="E39" i="23" s="1"/>
  <c r="F39" i="23" s="1"/>
  <c r="H39" i="23" s="1"/>
  <c r="D36" i="41"/>
  <c r="E36" i="41" s="1"/>
  <c r="F36" i="41" s="1"/>
  <c r="H36" i="41" s="1"/>
  <c r="D48" i="41"/>
  <c r="E48" i="41" s="1"/>
  <c r="D32" i="17"/>
  <c r="E32" i="17" s="1"/>
  <c r="J32" i="17" s="1"/>
  <c r="D49" i="58"/>
  <c r="E49" i="58" s="1"/>
  <c r="L49" i="58" s="1"/>
  <c r="P25" i="1"/>
  <c r="AN25" i="1"/>
  <c r="D66" i="58"/>
  <c r="E66" i="58" s="1"/>
  <c r="L66" i="58" s="1"/>
  <c r="D42" i="23"/>
  <c r="E42" i="23" s="1"/>
  <c r="F42" i="23" s="1"/>
  <c r="H42" i="23" s="1"/>
  <c r="D45" i="17"/>
  <c r="E45" i="17" s="1"/>
  <c r="L45" i="17" s="1"/>
  <c r="D66" i="17"/>
  <c r="E66" i="17" s="1"/>
  <c r="F66" i="17" s="1"/>
  <c r="H66" i="17" s="1"/>
  <c r="D39" i="41"/>
  <c r="E39" i="41" s="1"/>
  <c r="F39" i="41" s="1"/>
  <c r="H39" i="41" s="1"/>
  <c r="D66" i="20"/>
  <c r="E66" i="20" s="1"/>
  <c r="F66" i="20" s="1"/>
  <c r="H66" i="20" s="1"/>
  <c r="D62" i="23"/>
  <c r="E62" i="23" s="1"/>
  <c r="J62" i="23" s="1"/>
  <c r="E41" i="23"/>
  <c r="F41" i="23" s="1"/>
  <c r="H41" i="23" s="1"/>
  <c r="E35" i="20"/>
  <c r="L35" i="20" s="1"/>
  <c r="D45" i="23"/>
  <c r="E45" i="23" s="1"/>
  <c r="D43" i="20"/>
  <c r="E43" i="20" s="1"/>
  <c r="F43" i="20" s="1"/>
  <c r="H43" i="20" s="1"/>
  <c r="D65" i="20"/>
  <c r="E65" i="20" s="1"/>
  <c r="F65" i="20" s="1"/>
  <c r="H65" i="20" s="1"/>
  <c r="D40" i="20"/>
  <c r="E40" i="20" s="1"/>
  <c r="J40" i="20" s="1"/>
  <c r="D42" i="20"/>
  <c r="E42" i="20" s="1"/>
  <c r="L42" i="20" s="1"/>
  <c r="E64" i="20"/>
  <c r="J64" i="20" s="1"/>
  <c r="D37" i="20"/>
  <c r="E37" i="20" s="1"/>
  <c r="F37" i="20" s="1"/>
  <c r="H37" i="20" s="1"/>
  <c r="D43" i="23"/>
  <c r="E43" i="23" s="1"/>
  <c r="J43" i="23" s="1"/>
  <c r="D45" i="20"/>
  <c r="E45" i="20" s="1"/>
  <c r="F45" i="20" s="1"/>
  <c r="H45" i="20" s="1"/>
  <c r="D48" i="20"/>
  <c r="E48" i="20" s="1"/>
  <c r="E44" i="23"/>
  <c r="L44" i="23" s="1"/>
  <c r="D40" i="61"/>
  <c r="E40" i="61" s="1"/>
  <c r="L40" i="61" s="1"/>
  <c r="D43" i="30"/>
  <c r="E43" i="30" s="1"/>
  <c r="L43" i="30" s="1"/>
  <c r="D36" i="30"/>
  <c r="E36" i="30" s="1"/>
  <c r="F36" i="30" s="1"/>
  <c r="H36" i="30" s="1"/>
  <c r="D36" i="61"/>
  <c r="E36" i="61" s="1"/>
  <c r="F36" i="61" s="1"/>
  <c r="H36" i="61" s="1"/>
  <c r="D46" i="61"/>
  <c r="E46" i="61" s="1"/>
  <c r="L46" i="61" s="1"/>
  <c r="D31" i="58"/>
  <c r="E31" i="58" s="1"/>
  <c r="F31" i="58" s="1"/>
  <c r="H31" i="58" s="1"/>
  <c r="D39" i="61"/>
  <c r="E39" i="61" s="1"/>
  <c r="L39" i="61" s="1"/>
  <c r="D49" i="61"/>
  <c r="E49" i="61" s="1"/>
  <c r="L49" i="61" s="1"/>
  <c r="D45" i="30"/>
  <c r="E45" i="30" s="1"/>
  <c r="F45" i="30" s="1"/>
  <c r="H45" i="30" s="1"/>
  <c r="D37" i="30"/>
  <c r="E37" i="30" s="1"/>
  <c r="F37" i="30" s="1"/>
  <c r="H37" i="30" s="1"/>
  <c r="D49" i="30"/>
  <c r="E49" i="30" s="1"/>
  <c r="L49" i="30" s="1"/>
  <c r="D43" i="61"/>
  <c r="E43" i="61" s="1"/>
  <c r="J43" i="61" s="1"/>
  <c r="D66" i="61"/>
  <c r="E66" i="61" s="1"/>
  <c r="F66" i="61" s="1"/>
  <c r="H66" i="61" s="1"/>
  <c r="D45" i="61"/>
  <c r="E45" i="61" s="1"/>
  <c r="J45" i="61" s="1"/>
  <c r="D48" i="61"/>
  <c r="E48" i="61" s="1"/>
  <c r="F48" i="61" s="1"/>
  <c r="H48" i="61" s="1"/>
  <c r="D27" i="58"/>
  <c r="E27" i="58" s="1"/>
  <c r="F27" i="58" s="1"/>
  <c r="H27" i="58" s="1"/>
  <c r="D30" i="58"/>
  <c r="E30" i="58" s="1"/>
  <c r="L30" i="58" s="1"/>
  <c r="D40" i="30"/>
  <c r="E40" i="30" s="1"/>
  <c r="L40" i="30" s="1"/>
  <c r="D66" i="30"/>
  <c r="E66" i="30" s="1"/>
  <c r="L66" i="30" s="1"/>
  <c r="D42" i="30"/>
  <c r="E42" i="30" s="1"/>
  <c r="F42" i="30" s="1"/>
  <c r="H42" i="30" s="1"/>
  <c r="D32" i="58"/>
  <c r="E32" i="58" s="1"/>
  <c r="L32" i="58" s="1"/>
  <c r="D46" i="30"/>
  <c r="E46" i="30" s="1"/>
  <c r="J46" i="30" s="1"/>
  <c r="D42" i="61"/>
  <c r="E42" i="61" s="1"/>
  <c r="F42" i="61" s="1"/>
  <c r="H42" i="61" s="1"/>
  <c r="D39" i="30"/>
  <c r="E39" i="30" s="1"/>
  <c r="J39" i="30" s="1"/>
  <c r="D37" i="61"/>
  <c r="E37" i="61" s="1"/>
  <c r="J37" i="61" s="1"/>
  <c r="D73" i="61"/>
  <c r="E73" i="61" s="1"/>
  <c r="L73" i="61" s="1"/>
  <c r="D32" i="41"/>
  <c r="E32" i="41" s="1"/>
  <c r="L32" i="41" s="1"/>
  <c r="L96" i="20"/>
  <c r="D32" i="61"/>
  <c r="E32" i="61" s="1"/>
  <c r="F32" i="61" s="1"/>
  <c r="H32" i="61" s="1"/>
  <c r="D28" i="61"/>
  <c r="E28" i="61" s="1"/>
  <c r="L28" i="61" s="1"/>
  <c r="D31" i="20"/>
  <c r="E31" i="20" s="1"/>
  <c r="F31" i="20" s="1"/>
  <c r="H31" i="20" s="1"/>
  <c r="D27" i="61"/>
  <c r="E27" i="61" s="1"/>
  <c r="F27" i="61" s="1"/>
  <c r="H27" i="61" s="1"/>
  <c r="D73" i="17"/>
  <c r="E73" i="17" s="1"/>
  <c r="F73" i="17" s="1"/>
  <c r="H73" i="17" s="1"/>
  <c r="D74" i="17"/>
  <c r="E74" i="17" s="1"/>
  <c r="F74" i="17" s="1"/>
  <c r="H74" i="17" s="1"/>
  <c r="E29" i="23"/>
  <c r="D27" i="23"/>
  <c r="E27" i="23" s="1"/>
  <c r="D28" i="23"/>
  <c r="E28" i="23" s="1"/>
  <c r="D31" i="61"/>
  <c r="E31" i="61" s="1"/>
  <c r="F31" i="61" s="1"/>
  <c r="H31" i="61" s="1"/>
  <c r="D30" i="20"/>
  <c r="E30" i="20" s="1"/>
  <c r="J30" i="20" s="1"/>
  <c r="D28" i="20"/>
  <c r="E28" i="20" s="1"/>
  <c r="J28" i="20" s="1"/>
  <c r="D27" i="20"/>
  <c r="E27" i="20" s="1"/>
  <c r="L27" i="20" s="1"/>
  <c r="D30" i="61"/>
  <c r="E30" i="61" s="1"/>
  <c r="F30" i="61" s="1"/>
  <c r="H30" i="61" s="1"/>
  <c r="E72" i="58"/>
  <c r="J72" i="58" s="1"/>
  <c r="D73" i="58"/>
  <c r="E73" i="58" s="1"/>
  <c r="D60" i="43"/>
  <c r="B55" i="43"/>
  <c r="B64" i="43" s="1"/>
  <c r="B60" i="43"/>
  <c r="F60" i="43"/>
  <c r="L54" i="41" l="1"/>
  <c r="L71" i="20"/>
  <c r="L30" i="23"/>
  <c r="J82" i="61"/>
  <c r="F71" i="20"/>
  <c r="H71" i="20" s="1"/>
  <c r="M71" i="20" s="1"/>
  <c r="F54" i="41"/>
  <c r="H54" i="41" s="1"/>
  <c r="J73" i="87"/>
  <c r="O73" i="87" s="1"/>
  <c r="L82" i="61"/>
  <c r="M82" i="61" s="1"/>
  <c r="L112" i="30"/>
  <c r="J85" i="41"/>
  <c r="M85" i="41" s="1"/>
  <c r="J36" i="20"/>
  <c r="F61" i="20"/>
  <c r="H61" i="20" s="1"/>
  <c r="F30" i="23"/>
  <c r="H30" i="23" s="1"/>
  <c r="L74" i="61"/>
  <c r="F74" i="61"/>
  <c r="H74" i="61" s="1"/>
  <c r="L61" i="20"/>
  <c r="L31" i="41"/>
  <c r="J58" i="61"/>
  <c r="J28" i="87"/>
  <c r="O28" i="87" s="1"/>
  <c r="L54" i="20"/>
  <c r="J60" i="87"/>
  <c r="O60" i="87" s="1"/>
  <c r="J37" i="87"/>
  <c r="O37" i="87" s="1"/>
  <c r="F28" i="87"/>
  <c r="H28" i="87" s="1"/>
  <c r="J112" i="30"/>
  <c r="J61" i="30"/>
  <c r="J55" i="30"/>
  <c r="L58" i="61"/>
  <c r="J32" i="20"/>
  <c r="L61" i="30"/>
  <c r="F60" i="87"/>
  <c r="H60" i="87" s="1"/>
  <c r="F32" i="20"/>
  <c r="H32" i="20" s="1"/>
  <c r="J37" i="23"/>
  <c r="J31" i="41"/>
  <c r="L37" i="23"/>
  <c r="J54" i="20"/>
  <c r="L37" i="87"/>
  <c r="L55" i="30"/>
  <c r="F93" i="30"/>
  <c r="H93" i="30" s="1"/>
  <c r="J93" i="30"/>
  <c r="L93" i="30"/>
  <c r="J59" i="61"/>
  <c r="L59" i="61"/>
  <c r="F59" i="61"/>
  <c r="H59" i="61" s="1"/>
  <c r="J72" i="17"/>
  <c r="L72" i="17"/>
  <c r="F84" i="20"/>
  <c r="H84" i="20" s="1"/>
  <c r="L84" i="20"/>
  <c r="F59" i="17"/>
  <c r="H59" i="17" s="1"/>
  <c r="F94" i="87"/>
  <c r="H94" i="87" s="1"/>
  <c r="L36" i="20"/>
  <c r="L59" i="17"/>
  <c r="L94" i="87"/>
  <c r="F69" i="61"/>
  <c r="H69" i="61" s="1"/>
  <c r="J69" i="61"/>
  <c r="L69" i="61"/>
  <c r="L35" i="30"/>
  <c r="J35" i="30"/>
  <c r="F35" i="30"/>
  <c r="H35" i="30" s="1"/>
  <c r="J53" i="17"/>
  <c r="F53" i="17"/>
  <c r="H53" i="17" s="1"/>
  <c r="L53" i="17"/>
  <c r="J59" i="41"/>
  <c r="O59" i="41" s="1"/>
  <c r="F59" i="41"/>
  <c r="H59" i="41" s="1"/>
  <c r="L59" i="41"/>
  <c r="F82" i="23"/>
  <c r="H82" i="23" s="1"/>
  <c r="J82" i="23"/>
  <c r="L82" i="23"/>
  <c r="F35" i="41"/>
  <c r="H35" i="41" s="1"/>
  <c r="L35" i="41"/>
  <c r="J35" i="41"/>
  <c r="O35" i="41" s="1"/>
  <c r="L29" i="17"/>
  <c r="F29" i="17"/>
  <c r="H29" i="17" s="1"/>
  <c r="J29" i="17"/>
  <c r="L29" i="61"/>
  <c r="J29" i="61"/>
  <c r="F29" i="61"/>
  <c r="H29" i="61" s="1"/>
  <c r="L72" i="41"/>
  <c r="F72" i="41"/>
  <c r="H72" i="41" s="1"/>
  <c r="J72" i="41"/>
  <c r="O72" i="41" s="1"/>
  <c r="F55" i="23"/>
  <c r="H55" i="23" s="1"/>
  <c r="J55" i="23"/>
  <c r="L55" i="23"/>
  <c r="L93" i="17"/>
  <c r="F93" i="17"/>
  <c r="H93" i="17" s="1"/>
  <c r="J93" i="17"/>
  <c r="F65" i="61"/>
  <c r="H65" i="61" s="1"/>
  <c r="L82" i="17"/>
  <c r="L56" i="56"/>
  <c r="L29" i="30"/>
  <c r="L73" i="20"/>
  <c r="F29" i="30"/>
  <c r="H29" i="30" s="1"/>
  <c r="J73" i="20"/>
  <c r="J56" i="56"/>
  <c r="J82" i="17"/>
  <c r="L65" i="61"/>
  <c r="F72" i="30"/>
  <c r="H72" i="30" s="1"/>
  <c r="B65" i="33" s="1"/>
  <c r="H65" i="33" s="1"/>
  <c r="J72" i="30"/>
  <c r="J77" i="58"/>
  <c r="L57" i="30"/>
  <c r="L73" i="30"/>
  <c r="J73" i="30"/>
  <c r="L52" i="30"/>
  <c r="L55" i="58"/>
  <c r="J55" i="58"/>
  <c r="L55" i="56"/>
  <c r="F55" i="56"/>
  <c r="H55" i="56" s="1"/>
  <c r="B51" i="54" s="1"/>
  <c r="D51" i="54" s="1"/>
  <c r="M74" i="30"/>
  <c r="L57" i="56"/>
  <c r="J57" i="56"/>
  <c r="M96" i="30"/>
  <c r="L56" i="30"/>
  <c r="J56" i="30"/>
  <c r="F77" i="58"/>
  <c r="H77" i="58" s="1"/>
  <c r="J57" i="30"/>
  <c r="L28" i="58"/>
  <c r="J58" i="30"/>
  <c r="B189" i="85"/>
  <c r="B67" i="85"/>
  <c r="L58" i="30"/>
  <c r="B187" i="62"/>
  <c r="B67" i="62"/>
  <c r="L38" i="87"/>
  <c r="L53" i="30"/>
  <c r="F85" i="58"/>
  <c r="H85" i="58" s="1"/>
  <c r="J53" i="30"/>
  <c r="J85" i="58"/>
  <c r="F28" i="58"/>
  <c r="H28" i="58" s="1"/>
  <c r="J42" i="58"/>
  <c r="L42" i="58"/>
  <c r="L96" i="58"/>
  <c r="J54" i="30"/>
  <c r="F54" i="30"/>
  <c r="H54" i="30" s="1"/>
  <c r="J96" i="58"/>
  <c r="F74" i="58"/>
  <c r="H74" i="58" s="1"/>
  <c r="L74" i="58"/>
  <c r="L60" i="58"/>
  <c r="J52" i="30"/>
  <c r="L94" i="58"/>
  <c r="F94" i="58"/>
  <c r="H94" i="58" s="1"/>
  <c r="F60" i="58"/>
  <c r="H60" i="58" s="1"/>
  <c r="L99" i="91"/>
  <c r="F99" i="91"/>
  <c r="H99" i="91" s="1"/>
  <c r="J99" i="91"/>
  <c r="F59" i="91"/>
  <c r="H59" i="91" s="1"/>
  <c r="L59" i="91"/>
  <c r="J59" i="91"/>
  <c r="L60" i="91"/>
  <c r="F60" i="91"/>
  <c r="H60" i="91" s="1"/>
  <c r="J60" i="91"/>
  <c r="F61" i="91"/>
  <c r="H61" i="91" s="1"/>
  <c r="L61" i="91"/>
  <c r="J61" i="91"/>
  <c r="L75" i="91"/>
  <c r="J75" i="91"/>
  <c r="F75" i="91"/>
  <c r="H75" i="91" s="1"/>
  <c r="J77" i="91"/>
  <c r="F77" i="91"/>
  <c r="H77" i="91" s="1"/>
  <c r="L77" i="91"/>
  <c r="F76" i="91"/>
  <c r="H76" i="91" s="1"/>
  <c r="L76" i="91"/>
  <c r="J76" i="91"/>
  <c r="L98" i="91"/>
  <c r="J98" i="91"/>
  <c r="F98" i="91"/>
  <c r="H98" i="91" s="1"/>
  <c r="J74" i="91"/>
  <c r="F74" i="91"/>
  <c r="H74" i="91" s="1"/>
  <c r="L74" i="91"/>
  <c r="L72" i="91"/>
  <c r="J72" i="91"/>
  <c r="F72" i="91"/>
  <c r="H72" i="91" s="1"/>
  <c r="L73" i="91"/>
  <c r="F73" i="91"/>
  <c r="H73" i="91" s="1"/>
  <c r="J73" i="91"/>
  <c r="J96" i="91"/>
  <c r="L96" i="91"/>
  <c r="F96" i="91"/>
  <c r="H96" i="91" s="1"/>
  <c r="J97" i="91"/>
  <c r="L97" i="91"/>
  <c r="F97" i="91"/>
  <c r="H97" i="91" s="1"/>
  <c r="L80" i="91"/>
  <c r="J80" i="91"/>
  <c r="F80" i="91"/>
  <c r="H80" i="91" s="1"/>
  <c r="F79" i="91"/>
  <c r="H79" i="91" s="1"/>
  <c r="J79" i="91"/>
  <c r="L79" i="91"/>
  <c r="F78" i="91"/>
  <c r="H78" i="91" s="1"/>
  <c r="J78" i="91"/>
  <c r="L78" i="91"/>
  <c r="L42" i="91"/>
  <c r="J42" i="91"/>
  <c r="F42" i="91"/>
  <c r="H42" i="91" s="1"/>
  <c r="F43" i="91"/>
  <c r="H43" i="91" s="1"/>
  <c r="J43" i="91"/>
  <c r="L43" i="91"/>
  <c r="F35" i="91"/>
  <c r="H35" i="91" s="1"/>
  <c r="L35" i="91"/>
  <c r="J35" i="91"/>
  <c r="L66" i="91"/>
  <c r="J66" i="91"/>
  <c r="F66" i="91"/>
  <c r="H66" i="91" s="1"/>
  <c r="L47" i="91"/>
  <c r="J47" i="91"/>
  <c r="F47" i="91"/>
  <c r="H47" i="91" s="1"/>
  <c r="J44" i="91"/>
  <c r="L44" i="91"/>
  <c r="F44" i="91"/>
  <c r="H44" i="91" s="1"/>
  <c r="L36" i="91"/>
  <c r="J36" i="91"/>
  <c r="F36" i="91"/>
  <c r="H36" i="91" s="1"/>
  <c r="J41" i="91"/>
  <c r="F41" i="91"/>
  <c r="H41" i="91" s="1"/>
  <c r="L41" i="91"/>
  <c r="L64" i="91"/>
  <c r="J64" i="91"/>
  <c r="F64" i="91"/>
  <c r="H64" i="91" s="1"/>
  <c r="L40" i="91"/>
  <c r="F40" i="91"/>
  <c r="H40" i="91" s="1"/>
  <c r="J40" i="91"/>
  <c r="L38" i="91"/>
  <c r="J38" i="91"/>
  <c r="F38" i="91"/>
  <c r="H38" i="91" s="1"/>
  <c r="F46" i="91"/>
  <c r="H46" i="91" s="1"/>
  <c r="L46" i="91"/>
  <c r="J46" i="91"/>
  <c r="F48" i="91"/>
  <c r="H48" i="91" s="1"/>
  <c r="L48" i="91"/>
  <c r="J48" i="91"/>
  <c r="L37" i="91"/>
  <c r="F37" i="91"/>
  <c r="H37" i="91" s="1"/>
  <c r="J37" i="91"/>
  <c r="F65" i="91"/>
  <c r="H65" i="91" s="1"/>
  <c r="L65" i="91"/>
  <c r="J65" i="91"/>
  <c r="J49" i="91"/>
  <c r="F49" i="91"/>
  <c r="H49" i="91" s="1"/>
  <c r="L49" i="91"/>
  <c r="F45" i="91"/>
  <c r="H45" i="91" s="1"/>
  <c r="J45" i="91"/>
  <c r="L45" i="91"/>
  <c r="L39" i="91"/>
  <c r="J39" i="91"/>
  <c r="F39" i="91"/>
  <c r="H39" i="91" s="1"/>
  <c r="L53" i="91"/>
  <c r="F53" i="91"/>
  <c r="H53" i="91" s="1"/>
  <c r="J53" i="91"/>
  <c r="F55" i="91"/>
  <c r="H55" i="91" s="1"/>
  <c r="L55" i="91"/>
  <c r="J55" i="91"/>
  <c r="L54" i="91"/>
  <c r="F54" i="91"/>
  <c r="H54" i="91" s="1"/>
  <c r="J54" i="91"/>
  <c r="F56" i="91"/>
  <c r="H56" i="91" s="1"/>
  <c r="J56" i="91"/>
  <c r="L56" i="91"/>
  <c r="L52" i="91"/>
  <c r="J52" i="91"/>
  <c r="F52" i="91"/>
  <c r="H52" i="91" s="1"/>
  <c r="L57" i="91"/>
  <c r="J57" i="91"/>
  <c r="F57" i="91"/>
  <c r="H57" i="91" s="1"/>
  <c r="L58" i="91"/>
  <c r="J58" i="91"/>
  <c r="F58" i="91"/>
  <c r="H58" i="91" s="1"/>
  <c r="L32" i="91"/>
  <c r="F32" i="91"/>
  <c r="H32" i="91" s="1"/>
  <c r="J32" i="91"/>
  <c r="L30" i="91"/>
  <c r="F30" i="91"/>
  <c r="H30" i="91" s="1"/>
  <c r="J30" i="91"/>
  <c r="L29" i="91"/>
  <c r="J29" i="91"/>
  <c r="F29" i="91"/>
  <c r="H29" i="91" s="1"/>
  <c r="F26" i="91"/>
  <c r="H26" i="91" s="1"/>
  <c r="L26" i="91"/>
  <c r="J26" i="91"/>
  <c r="F28" i="91"/>
  <c r="H28" i="91" s="1"/>
  <c r="J28" i="91"/>
  <c r="L28" i="91"/>
  <c r="J31" i="91"/>
  <c r="L31" i="91"/>
  <c r="F31" i="91"/>
  <c r="H31" i="91" s="1"/>
  <c r="F27" i="91"/>
  <c r="H27" i="91" s="1"/>
  <c r="L27" i="91"/>
  <c r="J27" i="91"/>
  <c r="E128" i="91"/>
  <c r="J9" i="91"/>
  <c r="F9" i="91"/>
  <c r="E124" i="91"/>
  <c r="L9" i="91"/>
  <c r="F113" i="91"/>
  <c r="H113" i="91" s="1"/>
  <c r="E130" i="91"/>
  <c r="L113" i="91"/>
  <c r="J113" i="91"/>
  <c r="F12" i="91"/>
  <c r="H12" i="91" s="1"/>
  <c r="L12" i="91"/>
  <c r="J12" i="91"/>
  <c r="F86" i="91"/>
  <c r="H86" i="91" s="1"/>
  <c r="L86" i="91"/>
  <c r="J86" i="91"/>
  <c r="L22" i="91"/>
  <c r="J22" i="91"/>
  <c r="F22" i="91"/>
  <c r="H22" i="91" s="1"/>
  <c r="J87" i="91"/>
  <c r="L87" i="91"/>
  <c r="F87" i="91"/>
  <c r="H87" i="91" s="1"/>
  <c r="J85" i="91"/>
  <c r="L85" i="91"/>
  <c r="F85" i="91"/>
  <c r="H85" i="91" s="1"/>
  <c r="L115" i="91"/>
  <c r="J115" i="91"/>
  <c r="F115" i="91"/>
  <c r="H115" i="91" s="1"/>
  <c r="J13" i="91"/>
  <c r="L13" i="91"/>
  <c r="F13" i="91"/>
  <c r="H13" i="91" s="1"/>
  <c r="F21" i="91"/>
  <c r="H21" i="91" s="1"/>
  <c r="L21" i="91"/>
  <c r="J21" i="91"/>
  <c r="F88" i="91"/>
  <c r="H88" i="91" s="1"/>
  <c r="L88" i="91"/>
  <c r="J88" i="91"/>
  <c r="L92" i="91"/>
  <c r="J92" i="91"/>
  <c r="F92" i="91"/>
  <c r="H92" i="91" s="1"/>
  <c r="J84" i="91"/>
  <c r="L84" i="91"/>
  <c r="F84" i="91"/>
  <c r="H84" i="91" s="1"/>
  <c r="L93" i="91"/>
  <c r="F93" i="91"/>
  <c r="H93" i="91" s="1"/>
  <c r="J93" i="91"/>
  <c r="L14" i="91"/>
  <c r="F14" i="91"/>
  <c r="H14" i="91" s="1"/>
  <c r="J14" i="91"/>
  <c r="J18" i="91"/>
  <c r="L18" i="91"/>
  <c r="F18" i="91"/>
  <c r="H18" i="91" s="1"/>
  <c r="F23" i="91"/>
  <c r="H23" i="91" s="1"/>
  <c r="J23" i="91"/>
  <c r="L23" i="91"/>
  <c r="F20" i="91"/>
  <c r="H20" i="91" s="1"/>
  <c r="L20" i="91"/>
  <c r="J20" i="91"/>
  <c r="F17" i="91"/>
  <c r="H17" i="91" s="1"/>
  <c r="L17" i="91"/>
  <c r="J17" i="91"/>
  <c r="F114" i="91"/>
  <c r="H114" i="91" s="1"/>
  <c r="L114" i="91"/>
  <c r="J114" i="91"/>
  <c r="F15" i="91"/>
  <c r="H15" i="91" s="1"/>
  <c r="L15" i="91"/>
  <c r="J15" i="91"/>
  <c r="J91" i="91"/>
  <c r="F91" i="91"/>
  <c r="H91" i="91" s="1"/>
  <c r="L91" i="91"/>
  <c r="F83" i="91"/>
  <c r="H83" i="91" s="1"/>
  <c r="L83" i="91"/>
  <c r="J83" i="91"/>
  <c r="F10" i="91"/>
  <c r="H10" i="91" s="1"/>
  <c r="J10" i="91"/>
  <c r="L10" i="91"/>
  <c r="L19" i="91"/>
  <c r="J19" i="91"/>
  <c r="F19" i="91"/>
  <c r="H19" i="91" s="1"/>
  <c r="J16" i="91"/>
  <c r="L16" i="91"/>
  <c r="F16" i="91"/>
  <c r="H16" i="91" s="1"/>
  <c r="L11" i="91"/>
  <c r="F11" i="91"/>
  <c r="H11" i="91" s="1"/>
  <c r="J11" i="91"/>
  <c r="L60" i="61"/>
  <c r="J60" i="61"/>
  <c r="J43" i="87"/>
  <c r="O43" i="87" s="1"/>
  <c r="F61" i="61"/>
  <c r="H61" i="61" s="1"/>
  <c r="F40" i="87"/>
  <c r="H40" i="87" s="1"/>
  <c r="J85" i="30"/>
  <c r="F85" i="30"/>
  <c r="H85" i="30" s="1"/>
  <c r="J61" i="61"/>
  <c r="L30" i="87"/>
  <c r="F49" i="87"/>
  <c r="H49" i="87" s="1"/>
  <c r="J30" i="87"/>
  <c r="F60" i="30"/>
  <c r="H60" i="30" s="1"/>
  <c r="L56" i="23"/>
  <c r="F38" i="87"/>
  <c r="H38" i="87" s="1"/>
  <c r="F59" i="87"/>
  <c r="H59" i="87" s="1"/>
  <c r="J36" i="87"/>
  <c r="O36" i="87" s="1"/>
  <c r="L59" i="87"/>
  <c r="J80" i="30"/>
  <c r="J40" i="87"/>
  <c r="O40" i="87" s="1"/>
  <c r="L80" i="30"/>
  <c r="L110" i="30"/>
  <c r="F36" i="87"/>
  <c r="H36" i="87" s="1"/>
  <c r="J110" i="30"/>
  <c r="F39" i="87"/>
  <c r="H39" i="87" s="1"/>
  <c r="J56" i="23"/>
  <c r="L60" i="41"/>
  <c r="J61" i="41"/>
  <c r="O61" i="41" s="1"/>
  <c r="L49" i="87"/>
  <c r="L39" i="87"/>
  <c r="L31" i="87"/>
  <c r="L61" i="58"/>
  <c r="J31" i="87"/>
  <c r="J57" i="23"/>
  <c r="F57" i="23"/>
  <c r="H57" i="23" s="1"/>
  <c r="J60" i="41"/>
  <c r="O60" i="41" s="1"/>
  <c r="F60" i="17"/>
  <c r="H60" i="17" s="1"/>
  <c r="F59" i="58"/>
  <c r="H59" i="58" s="1"/>
  <c r="J59" i="58"/>
  <c r="L60" i="17"/>
  <c r="L61" i="41"/>
  <c r="J81" i="30"/>
  <c r="L84" i="30"/>
  <c r="F32" i="87"/>
  <c r="H32" i="87" s="1"/>
  <c r="J32" i="87"/>
  <c r="F61" i="58"/>
  <c r="H61" i="58" s="1"/>
  <c r="J47" i="87"/>
  <c r="O47" i="87" s="1"/>
  <c r="F61" i="87"/>
  <c r="H61" i="87" s="1"/>
  <c r="L61" i="87"/>
  <c r="L65" i="87"/>
  <c r="F35" i="87"/>
  <c r="H35" i="87" s="1"/>
  <c r="J35" i="87"/>
  <c r="O35" i="87" s="1"/>
  <c r="L82" i="30"/>
  <c r="F70" i="87"/>
  <c r="H70" i="87" s="1"/>
  <c r="J60" i="20"/>
  <c r="L60" i="20"/>
  <c r="J70" i="87"/>
  <c r="O70" i="87" s="1"/>
  <c r="P73" i="87" s="1"/>
  <c r="L59" i="20"/>
  <c r="J14" i="30"/>
  <c r="L14" i="30"/>
  <c r="L19" i="30"/>
  <c r="J26" i="87"/>
  <c r="O26" i="87" s="1"/>
  <c r="J13" i="30"/>
  <c r="J82" i="30"/>
  <c r="L13" i="30"/>
  <c r="J60" i="30"/>
  <c r="F26" i="87"/>
  <c r="H26" i="87" s="1"/>
  <c r="F19" i="30"/>
  <c r="H19" i="30" s="1"/>
  <c r="J59" i="20"/>
  <c r="L48" i="87"/>
  <c r="L47" i="87"/>
  <c r="J45" i="87"/>
  <c r="O45" i="87" s="1"/>
  <c r="F59" i="30"/>
  <c r="H59" i="30" s="1"/>
  <c r="L64" i="87"/>
  <c r="L59" i="30"/>
  <c r="F88" i="30"/>
  <c r="H88" i="30" s="1"/>
  <c r="J61" i="17"/>
  <c r="L61" i="17"/>
  <c r="J42" i="87"/>
  <c r="O42" i="87" s="1"/>
  <c r="F84" i="30"/>
  <c r="H84" i="30" s="1"/>
  <c r="F18" i="30"/>
  <c r="H18" i="30" s="1"/>
  <c r="L18" i="30"/>
  <c r="L84" i="17"/>
  <c r="F27" i="87"/>
  <c r="H27" i="87" s="1"/>
  <c r="J95" i="87"/>
  <c r="F46" i="87"/>
  <c r="H46" i="87" s="1"/>
  <c r="L81" i="30"/>
  <c r="F41" i="87"/>
  <c r="H41" i="87" s="1"/>
  <c r="J41" i="87"/>
  <c r="O41" i="87" s="1"/>
  <c r="J84" i="17"/>
  <c r="F42" i="87"/>
  <c r="H42" i="87" s="1"/>
  <c r="L27" i="87"/>
  <c r="J46" i="87"/>
  <c r="O46" i="87" s="1"/>
  <c r="F66" i="87"/>
  <c r="H66" i="87" s="1"/>
  <c r="J66" i="87"/>
  <c r="J89" i="17"/>
  <c r="L89" i="17"/>
  <c r="L43" i="87"/>
  <c r="J48" i="87"/>
  <c r="O48" i="87" s="1"/>
  <c r="F65" i="87"/>
  <c r="H65" i="87" s="1"/>
  <c r="J90" i="30"/>
  <c r="F17" i="30"/>
  <c r="H17" i="30" s="1"/>
  <c r="J17" i="30"/>
  <c r="L90" i="30"/>
  <c r="J9" i="30"/>
  <c r="L45" i="87"/>
  <c r="J64" i="87"/>
  <c r="L9" i="30"/>
  <c r="J88" i="30"/>
  <c r="B189" i="33"/>
  <c r="H189" i="33" s="1"/>
  <c r="F29" i="87"/>
  <c r="H29" i="87" s="1"/>
  <c r="J29" i="87"/>
  <c r="J83" i="30"/>
  <c r="J111" i="30"/>
  <c r="L93" i="87"/>
  <c r="L44" i="87"/>
  <c r="J44" i="87"/>
  <c r="O44" i="87" s="1"/>
  <c r="F93" i="87"/>
  <c r="H93" i="87" s="1"/>
  <c r="L111" i="30"/>
  <c r="L83" i="30"/>
  <c r="E127" i="30"/>
  <c r="J13" i="17"/>
  <c r="F12" i="30"/>
  <c r="H12" i="30" s="1"/>
  <c r="J12" i="30"/>
  <c r="L71" i="87"/>
  <c r="L80" i="17"/>
  <c r="J69" i="87"/>
  <c r="O69" i="87" s="1"/>
  <c r="L69" i="87"/>
  <c r="H80" i="17"/>
  <c r="J80" i="17"/>
  <c r="F21" i="30"/>
  <c r="H21" i="30" s="1"/>
  <c r="L21" i="30"/>
  <c r="L95" i="87"/>
  <c r="F20" i="30"/>
  <c r="H20" i="30" s="1"/>
  <c r="S25" i="1"/>
  <c r="F22" i="30"/>
  <c r="H22" i="30" s="1"/>
  <c r="J89" i="30"/>
  <c r="F71" i="87"/>
  <c r="H71" i="87" s="1"/>
  <c r="F89" i="30"/>
  <c r="H89" i="30" s="1"/>
  <c r="E127" i="87"/>
  <c r="F10" i="30"/>
  <c r="H10" i="30" s="1"/>
  <c r="L11" i="30"/>
  <c r="J20" i="30"/>
  <c r="J11" i="30"/>
  <c r="F16" i="30"/>
  <c r="H16" i="30" s="1"/>
  <c r="L23" i="30"/>
  <c r="B71" i="33"/>
  <c r="D71" i="33" s="1"/>
  <c r="J10" i="30"/>
  <c r="J22" i="30"/>
  <c r="J16" i="30"/>
  <c r="J23" i="30"/>
  <c r="F15" i="30"/>
  <c r="H15" i="30" s="1"/>
  <c r="L15" i="30"/>
  <c r="L21" i="56"/>
  <c r="J21" i="56"/>
  <c r="F21" i="56"/>
  <c r="H21" i="56" s="1"/>
  <c r="J105" i="56"/>
  <c r="F105" i="56"/>
  <c r="H105" i="56" s="1"/>
  <c r="L105" i="56"/>
  <c r="L103" i="56"/>
  <c r="E120" i="56"/>
  <c r="J103" i="56"/>
  <c r="F103" i="56"/>
  <c r="H103" i="56" s="1"/>
  <c r="L32" i="56"/>
  <c r="J32" i="56"/>
  <c r="F32" i="56"/>
  <c r="H32" i="56" s="1"/>
  <c r="L87" i="56"/>
  <c r="F87" i="56"/>
  <c r="H87" i="56" s="1"/>
  <c r="J87" i="56"/>
  <c r="L43" i="56"/>
  <c r="F43" i="56"/>
  <c r="H43" i="56" s="1"/>
  <c r="J43" i="56"/>
  <c r="F36" i="56"/>
  <c r="H36" i="56" s="1"/>
  <c r="J36" i="56"/>
  <c r="L36" i="56"/>
  <c r="F19" i="56"/>
  <c r="H19" i="56" s="1"/>
  <c r="L19" i="56"/>
  <c r="J19" i="56"/>
  <c r="J77" i="56"/>
  <c r="L77" i="56"/>
  <c r="F77" i="56"/>
  <c r="H77" i="56" s="1"/>
  <c r="L75" i="56"/>
  <c r="F75" i="56"/>
  <c r="H75" i="56" s="1"/>
  <c r="J75" i="56"/>
  <c r="L27" i="56"/>
  <c r="F27" i="56"/>
  <c r="H27" i="56" s="1"/>
  <c r="J27" i="56"/>
  <c r="L67" i="56"/>
  <c r="F67" i="56"/>
  <c r="H67" i="56" s="1"/>
  <c r="J67" i="56"/>
  <c r="J38" i="56"/>
  <c r="F38" i="56"/>
  <c r="H38" i="56" s="1"/>
  <c r="L38" i="56"/>
  <c r="L42" i="56"/>
  <c r="F42" i="56"/>
  <c r="H42" i="56" s="1"/>
  <c r="J42" i="56"/>
  <c r="F84" i="56"/>
  <c r="H84" i="56" s="1"/>
  <c r="J84" i="56"/>
  <c r="L84" i="56"/>
  <c r="L12" i="56"/>
  <c r="F12" i="56"/>
  <c r="H12" i="56" s="1"/>
  <c r="J12" i="56"/>
  <c r="L28" i="56"/>
  <c r="J28" i="56"/>
  <c r="F28" i="56"/>
  <c r="H28" i="56" s="1"/>
  <c r="F88" i="56"/>
  <c r="H88" i="56" s="1"/>
  <c r="J88" i="56"/>
  <c r="L88" i="56"/>
  <c r="J37" i="56"/>
  <c r="L37" i="56"/>
  <c r="F37" i="56"/>
  <c r="H37" i="56" s="1"/>
  <c r="L40" i="56"/>
  <c r="J40" i="56"/>
  <c r="F40" i="56"/>
  <c r="H40" i="56" s="1"/>
  <c r="F17" i="56"/>
  <c r="H17" i="56" s="1"/>
  <c r="J17" i="56"/>
  <c r="L17" i="56"/>
  <c r="J20" i="56"/>
  <c r="L20" i="56"/>
  <c r="F20" i="56"/>
  <c r="H20" i="56" s="1"/>
  <c r="F15" i="56"/>
  <c r="H15" i="56" s="1"/>
  <c r="J15" i="56"/>
  <c r="L15" i="56"/>
  <c r="L45" i="56"/>
  <c r="J45" i="56"/>
  <c r="F45" i="56"/>
  <c r="H45" i="56" s="1"/>
  <c r="F61" i="56"/>
  <c r="H61" i="56" s="1"/>
  <c r="L61" i="56"/>
  <c r="J61" i="56"/>
  <c r="F11" i="56"/>
  <c r="H11" i="56" s="1"/>
  <c r="L11" i="56"/>
  <c r="J11" i="56"/>
  <c r="F104" i="56"/>
  <c r="H104" i="56" s="1"/>
  <c r="L104" i="56"/>
  <c r="J104" i="56"/>
  <c r="F79" i="56"/>
  <c r="H79" i="56" s="1"/>
  <c r="L79" i="56"/>
  <c r="J79" i="56"/>
  <c r="F16" i="56"/>
  <c r="H16" i="56" s="1"/>
  <c r="L16" i="56"/>
  <c r="J16" i="56"/>
  <c r="L29" i="56"/>
  <c r="J29" i="56"/>
  <c r="F29" i="56"/>
  <c r="H29" i="56" s="1"/>
  <c r="F44" i="56"/>
  <c r="H44" i="56" s="1"/>
  <c r="J44" i="56"/>
  <c r="L44" i="56"/>
  <c r="F46" i="56"/>
  <c r="H46" i="56" s="1"/>
  <c r="J46" i="56"/>
  <c r="L46" i="56"/>
  <c r="F50" i="56"/>
  <c r="H50" i="56" s="1"/>
  <c r="J50" i="56"/>
  <c r="L50" i="56"/>
  <c r="F14" i="56"/>
  <c r="H14" i="56" s="1"/>
  <c r="L14" i="56"/>
  <c r="J14" i="56"/>
  <c r="F10" i="56"/>
  <c r="H10" i="56" s="1"/>
  <c r="L10" i="56"/>
  <c r="J10" i="56"/>
  <c r="L74" i="56"/>
  <c r="F74" i="56"/>
  <c r="H74" i="56" s="1"/>
  <c r="J74" i="56"/>
  <c r="J83" i="56"/>
  <c r="L83" i="56"/>
  <c r="F83" i="56"/>
  <c r="H83" i="56" s="1"/>
  <c r="J30" i="56"/>
  <c r="L30" i="56"/>
  <c r="F30" i="56"/>
  <c r="H30" i="56" s="1"/>
  <c r="F89" i="56"/>
  <c r="H89" i="56" s="1"/>
  <c r="J89" i="56"/>
  <c r="L89" i="56"/>
  <c r="J62" i="56"/>
  <c r="L62" i="56"/>
  <c r="F62" i="56"/>
  <c r="H62" i="56" s="1"/>
  <c r="F35" i="56"/>
  <c r="H35" i="56" s="1"/>
  <c r="J35" i="56"/>
  <c r="L35" i="56"/>
  <c r="J41" i="56"/>
  <c r="L41" i="56"/>
  <c r="F41" i="56"/>
  <c r="H41" i="56" s="1"/>
  <c r="J82" i="56"/>
  <c r="L82" i="56"/>
  <c r="F82" i="56"/>
  <c r="H82" i="56" s="1"/>
  <c r="L23" i="56"/>
  <c r="J23" i="56"/>
  <c r="F23" i="56"/>
  <c r="H23" i="56" s="1"/>
  <c r="F9" i="56"/>
  <c r="L9" i="56"/>
  <c r="E114" i="56"/>
  <c r="E118" i="56"/>
  <c r="J9" i="56"/>
  <c r="F76" i="56"/>
  <c r="H76" i="56" s="1"/>
  <c r="J76" i="56"/>
  <c r="L76" i="56"/>
  <c r="F26" i="56"/>
  <c r="H26" i="56" s="1"/>
  <c r="J26" i="56"/>
  <c r="L26" i="56"/>
  <c r="J68" i="56"/>
  <c r="L68" i="56"/>
  <c r="F68" i="56"/>
  <c r="H68" i="56" s="1"/>
  <c r="L63" i="56"/>
  <c r="F63" i="56"/>
  <c r="H63" i="56" s="1"/>
  <c r="J63" i="56"/>
  <c r="L51" i="56"/>
  <c r="F51" i="56"/>
  <c r="H51" i="56" s="1"/>
  <c r="J51" i="56"/>
  <c r="F22" i="56"/>
  <c r="H22" i="56" s="1"/>
  <c r="J22" i="56"/>
  <c r="L22" i="56"/>
  <c r="L18" i="56"/>
  <c r="J18" i="56"/>
  <c r="F18" i="56"/>
  <c r="H18" i="56" s="1"/>
  <c r="F13" i="56"/>
  <c r="H13" i="56" s="1"/>
  <c r="L13" i="56"/>
  <c r="J13" i="56"/>
  <c r="F78" i="56"/>
  <c r="H78" i="56" s="1"/>
  <c r="J78" i="56"/>
  <c r="L78" i="56"/>
  <c r="J31" i="56"/>
  <c r="F31" i="56"/>
  <c r="H31" i="56" s="1"/>
  <c r="L31" i="56"/>
  <c r="F66" i="56"/>
  <c r="H66" i="56" s="1"/>
  <c r="J66" i="56"/>
  <c r="L66" i="56"/>
  <c r="L52" i="56"/>
  <c r="F52" i="56"/>
  <c r="H52" i="56" s="1"/>
  <c r="J52" i="56"/>
  <c r="J39" i="56"/>
  <c r="L39" i="56"/>
  <c r="F39" i="56"/>
  <c r="H39" i="56" s="1"/>
  <c r="L13" i="17"/>
  <c r="H13" i="17"/>
  <c r="B71" i="85"/>
  <c r="D71" i="85" s="1"/>
  <c r="J23" i="58"/>
  <c r="J12" i="17"/>
  <c r="L12" i="17"/>
  <c r="H9" i="17"/>
  <c r="L81" i="17"/>
  <c r="B162" i="25"/>
  <c r="H162" i="25" s="1"/>
  <c r="E127" i="20"/>
  <c r="E125" i="30"/>
  <c r="B63" i="19"/>
  <c r="B159" i="25"/>
  <c r="H159" i="25" s="1"/>
  <c r="E121" i="30"/>
  <c r="L74" i="23"/>
  <c r="J74" i="23"/>
  <c r="L112" i="17"/>
  <c r="J112" i="17"/>
  <c r="H81" i="17"/>
  <c r="L14" i="58"/>
  <c r="J14" i="58"/>
  <c r="J81" i="17"/>
  <c r="L9" i="17"/>
  <c r="L88" i="17"/>
  <c r="E121" i="17"/>
  <c r="J9" i="17"/>
  <c r="F88" i="17"/>
  <c r="H88" i="17" s="1"/>
  <c r="E125" i="17"/>
  <c r="L16" i="58"/>
  <c r="J16" i="58"/>
  <c r="J111" i="17"/>
  <c r="F90" i="58"/>
  <c r="H90" i="58" s="1"/>
  <c r="L19" i="58"/>
  <c r="F20" i="58"/>
  <c r="H20" i="58" s="1"/>
  <c r="J20" i="58"/>
  <c r="F23" i="17"/>
  <c r="H23" i="17" s="1"/>
  <c r="H11" i="17"/>
  <c r="F85" i="61"/>
  <c r="H85" i="61" s="1"/>
  <c r="F90" i="17"/>
  <c r="H90" i="17" s="1"/>
  <c r="L90" i="17"/>
  <c r="J19" i="17"/>
  <c r="J17" i="17"/>
  <c r="J18" i="17"/>
  <c r="F19" i="17"/>
  <c r="H19" i="17" s="1"/>
  <c r="L17" i="17"/>
  <c r="F18" i="17"/>
  <c r="H18" i="17" s="1"/>
  <c r="J83" i="17"/>
  <c r="F14" i="87"/>
  <c r="H14" i="87" s="1"/>
  <c r="J88" i="58"/>
  <c r="F18" i="41"/>
  <c r="H18" i="41" s="1"/>
  <c r="L83" i="17"/>
  <c r="J14" i="87"/>
  <c r="L18" i="41"/>
  <c r="L81" i="58"/>
  <c r="J81" i="58"/>
  <c r="F14" i="17"/>
  <c r="H14" i="17" s="1"/>
  <c r="J12" i="58"/>
  <c r="J14" i="17"/>
  <c r="L112" i="41"/>
  <c r="J21" i="17"/>
  <c r="F112" i="58"/>
  <c r="H112" i="58" s="1"/>
  <c r="L17" i="41"/>
  <c r="L12" i="58"/>
  <c r="F88" i="58"/>
  <c r="H88" i="58" s="1"/>
  <c r="J18" i="87"/>
  <c r="J55" i="17"/>
  <c r="M76" i="61"/>
  <c r="E125" i="20"/>
  <c r="J111" i="41"/>
  <c r="L58" i="17"/>
  <c r="F9" i="20"/>
  <c r="H9" i="20" s="1"/>
  <c r="F21" i="17"/>
  <c r="H21" i="17" s="1"/>
  <c r="F80" i="87"/>
  <c r="H80" i="87" s="1"/>
  <c r="F22" i="87"/>
  <c r="H22" i="87" s="1"/>
  <c r="J89" i="58"/>
  <c r="L13" i="87"/>
  <c r="L17" i="20"/>
  <c r="F89" i="41"/>
  <c r="H89" i="41" s="1"/>
  <c r="E127" i="58"/>
  <c r="J15" i="17"/>
  <c r="F21" i="41"/>
  <c r="H21" i="41" s="1"/>
  <c r="L11" i="17"/>
  <c r="L15" i="17"/>
  <c r="F22" i="20"/>
  <c r="H22" i="20" s="1"/>
  <c r="L89" i="41"/>
  <c r="J17" i="41"/>
  <c r="J11" i="17"/>
  <c r="J22" i="17"/>
  <c r="L89" i="58"/>
  <c r="J85" i="17"/>
  <c r="J10" i="41"/>
  <c r="F85" i="17"/>
  <c r="H85" i="17" s="1"/>
  <c r="J112" i="58"/>
  <c r="L110" i="58"/>
  <c r="L16" i="17"/>
  <c r="L22" i="17"/>
  <c r="J110" i="58"/>
  <c r="J83" i="61"/>
  <c r="F16" i="17"/>
  <c r="H16" i="17" s="1"/>
  <c r="L22" i="58"/>
  <c r="F111" i="17"/>
  <c r="H111" i="17" s="1"/>
  <c r="B189" i="19" s="1"/>
  <c r="D189" i="19" s="1"/>
  <c r="E127" i="17"/>
  <c r="L110" i="17"/>
  <c r="L90" i="58"/>
  <c r="J22" i="58"/>
  <c r="J19" i="58"/>
  <c r="J10" i="17"/>
  <c r="F111" i="58"/>
  <c r="H111" i="58" s="1"/>
  <c r="F12" i="41"/>
  <c r="H12" i="41" s="1"/>
  <c r="L111" i="58"/>
  <c r="J17" i="58"/>
  <c r="L20" i="17"/>
  <c r="J13" i="58"/>
  <c r="L13" i="58"/>
  <c r="F17" i="58"/>
  <c r="H17" i="58" s="1"/>
  <c r="J23" i="17"/>
  <c r="L10" i="17"/>
  <c r="J110" i="17"/>
  <c r="F20" i="17"/>
  <c r="H20" i="17" s="1"/>
  <c r="F21" i="20"/>
  <c r="H21" i="20" s="1"/>
  <c r="H10" i="17"/>
  <c r="J90" i="41"/>
  <c r="F104" i="23"/>
  <c r="H104" i="23" s="1"/>
  <c r="B60" i="25" s="1"/>
  <c r="D60" i="25" s="1"/>
  <c r="J18" i="58"/>
  <c r="J104" i="23"/>
  <c r="J23" i="23"/>
  <c r="L22" i="20"/>
  <c r="L28" i="30"/>
  <c r="J12" i="20"/>
  <c r="J103" i="23"/>
  <c r="L21" i="41"/>
  <c r="F15" i="58"/>
  <c r="H15" i="58" s="1"/>
  <c r="J19" i="23"/>
  <c r="L15" i="58"/>
  <c r="J83" i="58"/>
  <c r="L18" i="58"/>
  <c r="L23" i="58"/>
  <c r="L19" i="23"/>
  <c r="F83" i="58"/>
  <c r="H83" i="58" s="1"/>
  <c r="J11" i="58"/>
  <c r="F80" i="58"/>
  <c r="H80" i="58" s="1"/>
  <c r="L82" i="58"/>
  <c r="F10" i="58"/>
  <c r="H10" i="58" s="1"/>
  <c r="L21" i="87"/>
  <c r="J13" i="87"/>
  <c r="F81" i="87"/>
  <c r="H81" i="87" s="1"/>
  <c r="J11" i="61"/>
  <c r="L13" i="61"/>
  <c r="F110" i="20"/>
  <c r="H110" i="20" s="1"/>
  <c r="L23" i="23"/>
  <c r="J13" i="61"/>
  <c r="L11" i="61"/>
  <c r="J17" i="20"/>
  <c r="L77" i="23"/>
  <c r="F56" i="58"/>
  <c r="H56" i="58" s="1"/>
  <c r="L54" i="87"/>
  <c r="J110" i="20"/>
  <c r="L83" i="61"/>
  <c r="F10" i="41"/>
  <c r="H10" i="41" s="1"/>
  <c r="J54" i="17"/>
  <c r="L56" i="58"/>
  <c r="J77" i="23"/>
  <c r="J53" i="20"/>
  <c r="F52" i="20"/>
  <c r="H52" i="20" s="1"/>
  <c r="F54" i="87"/>
  <c r="H54" i="87" s="1"/>
  <c r="J22" i="87"/>
  <c r="J21" i="87"/>
  <c r="J81" i="87"/>
  <c r="L52" i="20"/>
  <c r="F53" i="20"/>
  <c r="H53" i="20" s="1"/>
  <c r="E120" i="23"/>
  <c r="L54" i="17"/>
  <c r="F12" i="20"/>
  <c r="H12" i="20" s="1"/>
  <c r="J28" i="30"/>
  <c r="L110" i="20"/>
  <c r="L103" i="23"/>
  <c r="F84" i="58"/>
  <c r="H84" i="58" s="1"/>
  <c r="E121" i="58"/>
  <c r="J9" i="58"/>
  <c r="L21" i="58"/>
  <c r="J21" i="58"/>
  <c r="J78" i="23"/>
  <c r="L9" i="58"/>
  <c r="F11" i="58"/>
  <c r="H11" i="58" s="1"/>
  <c r="F78" i="23"/>
  <c r="H78" i="23" s="1"/>
  <c r="L84" i="58"/>
  <c r="E125" i="58"/>
  <c r="L80" i="58"/>
  <c r="J10" i="58"/>
  <c r="J82" i="58"/>
  <c r="J111" i="61"/>
  <c r="J10" i="20"/>
  <c r="L15" i="41"/>
  <c r="F15" i="41"/>
  <c r="H15" i="41" s="1"/>
  <c r="J84" i="41"/>
  <c r="F110" i="41"/>
  <c r="H110" i="41" s="1"/>
  <c r="L12" i="41"/>
  <c r="L16" i="20"/>
  <c r="J90" i="87"/>
  <c r="L110" i="41"/>
  <c r="L21" i="20"/>
  <c r="L81" i="41"/>
  <c r="J16" i="20"/>
  <c r="E127" i="41"/>
  <c r="L90" i="87"/>
  <c r="L111" i="87"/>
  <c r="J111" i="87"/>
  <c r="F81" i="41"/>
  <c r="H81" i="41" s="1"/>
  <c r="L90" i="41"/>
  <c r="L47" i="61"/>
  <c r="L88" i="41"/>
  <c r="J19" i="41"/>
  <c r="J82" i="87"/>
  <c r="J52" i="58"/>
  <c r="F22" i="41"/>
  <c r="H22" i="41" s="1"/>
  <c r="F83" i="41"/>
  <c r="H83" i="41" s="1"/>
  <c r="J22" i="41"/>
  <c r="L19" i="41"/>
  <c r="F88" i="41"/>
  <c r="H88" i="41" s="1"/>
  <c r="J89" i="20"/>
  <c r="L13" i="41"/>
  <c r="L82" i="87"/>
  <c r="J13" i="41"/>
  <c r="F89" i="20"/>
  <c r="H89" i="20" s="1"/>
  <c r="L110" i="61"/>
  <c r="F18" i="87"/>
  <c r="H18" i="87" s="1"/>
  <c r="F32" i="30"/>
  <c r="H32" i="30" s="1"/>
  <c r="L32" i="30"/>
  <c r="L80" i="87"/>
  <c r="J110" i="61"/>
  <c r="L111" i="20"/>
  <c r="L21" i="61"/>
  <c r="L16" i="41"/>
  <c r="F111" i="41"/>
  <c r="H111" i="41" s="1"/>
  <c r="J58" i="17"/>
  <c r="M52" i="87"/>
  <c r="J16" i="41"/>
  <c r="F112" i="41"/>
  <c r="H112" i="41" s="1"/>
  <c r="F69" i="58"/>
  <c r="H69" i="58" s="1"/>
  <c r="L55" i="17"/>
  <c r="J84" i="23"/>
  <c r="F14" i="20"/>
  <c r="H14" i="20" s="1"/>
  <c r="F111" i="20"/>
  <c r="H111" i="20" s="1"/>
  <c r="F21" i="61"/>
  <c r="H21" i="61" s="1"/>
  <c r="E121" i="87"/>
  <c r="E121" i="20"/>
  <c r="J69" i="58"/>
  <c r="L14" i="20"/>
  <c r="J21" i="23"/>
  <c r="L21" i="23"/>
  <c r="M88" i="23"/>
  <c r="F94" i="61"/>
  <c r="H94" i="61" s="1"/>
  <c r="F20" i="23"/>
  <c r="H20" i="23" s="1"/>
  <c r="L80" i="41"/>
  <c r="E127" i="61"/>
  <c r="L9" i="20"/>
  <c r="L94" i="61"/>
  <c r="L68" i="23"/>
  <c r="J20" i="23"/>
  <c r="L84" i="23"/>
  <c r="J68" i="23"/>
  <c r="F9" i="87"/>
  <c r="H9" i="87" s="1"/>
  <c r="E125" i="87"/>
  <c r="L9" i="87"/>
  <c r="J70" i="17"/>
  <c r="L85" i="87"/>
  <c r="J23" i="20"/>
  <c r="J75" i="23"/>
  <c r="E125" i="41"/>
  <c r="F80" i="41"/>
  <c r="H80" i="41" s="1"/>
  <c r="L88" i="87"/>
  <c r="F83" i="20"/>
  <c r="H83" i="20" s="1"/>
  <c r="J13" i="23"/>
  <c r="F11" i="41"/>
  <c r="H11" i="41" s="1"/>
  <c r="J23" i="41"/>
  <c r="J9" i="41"/>
  <c r="J55" i="20"/>
  <c r="J18" i="20"/>
  <c r="L23" i="41"/>
  <c r="F9" i="41"/>
  <c r="H9" i="41" s="1"/>
  <c r="J88" i="20"/>
  <c r="J23" i="61"/>
  <c r="E121" i="41"/>
  <c r="J88" i="87"/>
  <c r="J12" i="87"/>
  <c r="J94" i="17"/>
  <c r="L93" i="41"/>
  <c r="F75" i="41"/>
  <c r="H75" i="41" s="1"/>
  <c r="J52" i="17"/>
  <c r="J9" i="23"/>
  <c r="L11" i="41"/>
  <c r="E118" i="23"/>
  <c r="L55" i="20"/>
  <c r="L94" i="17"/>
  <c r="J75" i="41"/>
  <c r="L10" i="23"/>
  <c r="L72" i="20"/>
  <c r="F9" i="23"/>
  <c r="H9" i="23" s="1"/>
  <c r="L15" i="87"/>
  <c r="F85" i="87"/>
  <c r="H85" i="87" s="1"/>
  <c r="J11" i="23"/>
  <c r="F18" i="20"/>
  <c r="H18" i="20" s="1"/>
  <c r="M18" i="20" s="1"/>
  <c r="J85" i="61"/>
  <c r="E121" i="61"/>
  <c r="E114" i="23"/>
  <c r="F15" i="87"/>
  <c r="H15" i="87" s="1"/>
  <c r="L88" i="20"/>
  <c r="L52" i="17"/>
  <c r="J79" i="23"/>
  <c r="L79" i="23"/>
  <c r="J87" i="23"/>
  <c r="L83" i="20"/>
  <c r="L23" i="20"/>
  <c r="J56" i="17"/>
  <c r="L13" i="23"/>
  <c r="F111" i="61"/>
  <c r="H111" i="61" s="1"/>
  <c r="L12" i="87"/>
  <c r="L70" i="17"/>
  <c r="F93" i="41"/>
  <c r="H93" i="41" s="1"/>
  <c r="F75" i="23"/>
  <c r="H75" i="23" s="1"/>
  <c r="F23" i="61"/>
  <c r="H23" i="61" s="1"/>
  <c r="J10" i="23"/>
  <c r="F20" i="41"/>
  <c r="H20" i="41" s="1"/>
  <c r="L112" i="61"/>
  <c r="J76" i="23"/>
  <c r="J105" i="23"/>
  <c r="L84" i="87"/>
  <c r="J82" i="41"/>
  <c r="J83" i="87"/>
  <c r="L20" i="87"/>
  <c r="F82" i="41"/>
  <c r="H82" i="41" s="1"/>
  <c r="L76" i="23"/>
  <c r="F15" i="20"/>
  <c r="H15" i="20" s="1"/>
  <c r="F17" i="87"/>
  <c r="H17" i="87" s="1"/>
  <c r="J20" i="87"/>
  <c r="L84" i="41"/>
  <c r="J12" i="23"/>
  <c r="L17" i="87"/>
  <c r="J20" i="41"/>
  <c r="F84" i="87"/>
  <c r="H84" i="87" s="1"/>
  <c r="L12" i="23"/>
  <c r="L105" i="23"/>
  <c r="F83" i="87"/>
  <c r="H83" i="87" s="1"/>
  <c r="L10" i="20"/>
  <c r="J15" i="20"/>
  <c r="F18" i="23"/>
  <c r="H18" i="23" s="1"/>
  <c r="L18" i="23"/>
  <c r="J11" i="20"/>
  <c r="F57" i="17"/>
  <c r="H57" i="17" s="1"/>
  <c r="F14" i="41"/>
  <c r="H14" i="41" s="1"/>
  <c r="L112" i="87"/>
  <c r="J23" i="87"/>
  <c r="J112" i="87"/>
  <c r="J37" i="58"/>
  <c r="F52" i="41"/>
  <c r="H52" i="41" s="1"/>
  <c r="J16" i="87"/>
  <c r="L14" i="41"/>
  <c r="L26" i="41"/>
  <c r="J43" i="58"/>
  <c r="J70" i="61"/>
  <c r="L16" i="87"/>
  <c r="F11" i="20"/>
  <c r="H11" i="20" s="1"/>
  <c r="F26" i="41"/>
  <c r="H26" i="41" s="1"/>
  <c r="L57" i="17"/>
  <c r="L37" i="58"/>
  <c r="L23" i="87"/>
  <c r="J83" i="41"/>
  <c r="L52" i="41"/>
  <c r="L57" i="58"/>
  <c r="M77" i="41"/>
  <c r="F95" i="20"/>
  <c r="H95" i="20" s="1"/>
  <c r="B68" i="22" s="1"/>
  <c r="D68" i="22" s="1"/>
  <c r="J13" i="20"/>
  <c r="F16" i="23"/>
  <c r="H16" i="23" s="1"/>
  <c r="L13" i="20"/>
  <c r="L10" i="61"/>
  <c r="J10" i="61"/>
  <c r="F112" i="20"/>
  <c r="H112" i="20" s="1"/>
  <c r="J66" i="23"/>
  <c r="F90" i="20"/>
  <c r="H90" i="20" s="1"/>
  <c r="J112" i="20"/>
  <c r="L52" i="58"/>
  <c r="F53" i="87"/>
  <c r="H53" i="87" s="1"/>
  <c r="L90" i="20"/>
  <c r="J90" i="61"/>
  <c r="L88" i="61"/>
  <c r="F55" i="87"/>
  <c r="H55" i="87" s="1"/>
  <c r="F112" i="61"/>
  <c r="H112" i="61" s="1"/>
  <c r="J55" i="87"/>
  <c r="O55" i="87" s="1"/>
  <c r="F93" i="61"/>
  <c r="H93" i="61" s="1"/>
  <c r="F77" i="61"/>
  <c r="H77" i="61" s="1"/>
  <c r="L93" i="61"/>
  <c r="L12" i="61"/>
  <c r="F12" i="61"/>
  <c r="H12" i="61" s="1"/>
  <c r="L77" i="61"/>
  <c r="L90" i="61"/>
  <c r="J88" i="61"/>
  <c r="F10" i="87"/>
  <c r="H10" i="87" s="1"/>
  <c r="J89" i="87"/>
  <c r="L19" i="61"/>
  <c r="F82" i="20"/>
  <c r="H82" i="20" s="1"/>
  <c r="J82" i="20"/>
  <c r="J11" i="87"/>
  <c r="J10" i="87"/>
  <c r="L89" i="87"/>
  <c r="F19" i="87"/>
  <c r="H19" i="87" s="1"/>
  <c r="M110" i="87"/>
  <c r="F11" i="87"/>
  <c r="H11" i="87" s="1"/>
  <c r="J19" i="87"/>
  <c r="L89" i="61"/>
  <c r="B193" i="85"/>
  <c r="H193" i="85" s="1"/>
  <c r="F19" i="61"/>
  <c r="H19" i="61" s="1"/>
  <c r="J81" i="20"/>
  <c r="M76" i="30"/>
  <c r="L81" i="20"/>
  <c r="L76" i="41"/>
  <c r="M77" i="87"/>
  <c r="L19" i="20"/>
  <c r="F57" i="87"/>
  <c r="H57" i="87" s="1"/>
  <c r="F31" i="30"/>
  <c r="H31" i="30" s="1"/>
  <c r="L70" i="61"/>
  <c r="J57" i="87"/>
  <c r="O57" i="87" s="1"/>
  <c r="F80" i="20"/>
  <c r="H80" i="20" s="1"/>
  <c r="F22" i="61"/>
  <c r="H22" i="61" s="1"/>
  <c r="J95" i="20"/>
  <c r="L16" i="61"/>
  <c r="L51" i="23"/>
  <c r="L80" i="20"/>
  <c r="L11" i="23"/>
  <c r="J89" i="23"/>
  <c r="F56" i="20"/>
  <c r="H56" i="20" s="1"/>
  <c r="J85" i="20"/>
  <c r="L85" i="20"/>
  <c r="F17" i="23"/>
  <c r="H17" i="23" s="1"/>
  <c r="J20" i="20"/>
  <c r="F75" i="61"/>
  <c r="H75" i="61" s="1"/>
  <c r="F95" i="61"/>
  <c r="H95" i="61" s="1"/>
  <c r="F14" i="23"/>
  <c r="H14" i="23" s="1"/>
  <c r="J22" i="23"/>
  <c r="L17" i="23"/>
  <c r="L48" i="30"/>
  <c r="L20" i="20"/>
  <c r="F19" i="20"/>
  <c r="H19" i="20" s="1"/>
  <c r="F81" i="61"/>
  <c r="H81" i="61" s="1"/>
  <c r="J95" i="61"/>
  <c r="L81" i="61"/>
  <c r="L15" i="23"/>
  <c r="L83" i="23"/>
  <c r="L14" i="61"/>
  <c r="J14" i="61"/>
  <c r="B57" i="25"/>
  <c r="H57" i="25" s="1"/>
  <c r="J48" i="30"/>
  <c r="F16" i="61"/>
  <c r="H16" i="61" s="1"/>
  <c r="J47" i="61"/>
  <c r="L56" i="17"/>
  <c r="L22" i="23"/>
  <c r="F83" i="23"/>
  <c r="H83" i="23" s="1"/>
  <c r="J56" i="20"/>
  <c r="D73" i="77" s="1"/>
  <c r="E73" i="77" s="1"/>
  <c r="J9" i="61"/>
  <c r="E125" i="61"/>
  <c r="L87" i="23"/>
  <c r="F69" i="17"/>
  <c r="H69" i="17" s="1"/>
  <c r="L69" i="17"/>
  <c r="L22" i="61"/>
  <c r="J14" i="23"/>
  <c r="J15" i="23"/>
  <c r="L70" i="58"/>
  <c r="J75" i="61"/>
  <c r="J51" i="23"/>
  <c r="L9" i="61"/>
  <c r="L52" i="61"/>
  <c r="F52" i="61"/>
  <c r="H52" i="61" s="1"/>
  <c r="B54" i="25"/>
  <c r="D54" i="25" s="1"/>
  <c r="L53" i="87"/>
  <c r="L80" i="61"/>
  <c r="J89" i="61"/>
  <c r="L58" i="58"/>
  <c r="J84" i="61"/>
  <c r="F15" i="61"/>
  <c r="H15" i="61" s="1"/>
  <c r="F58" i="20"/>
  <c r="H58" i="20" s="1"/>
  <c r="L66" i="23"/>
  <c r="F71" i="61"/>
  <c r="H71" i="61" s="1"/>
  <c r="J76" i="41"/>
  <c r="F20" i="61"/>
  <c r="H20" i="61" s="1"/>
  <c r="L20" i="61"/>
  <c r="L71" i="61"/>
  <c r="L58" i="20"/>
  <c r="J17" i="61"/>
  <c r="L69" i="41"/>
  <c r="L15" i="61"/>
  <c r="L18" i="61"/>
  <c r="J18" i="61"/>
  <c r="F17" i="61"/>
  <c r="H17" i="61" s="1"/>
  <c r="J80" i="61"/>
  <c r="L16" i="23"/>
  <c r="L84" i="61"/>
  <c r="L48" i="17"/>
  <c r="L43" i="58"/>
  <c r="F57" i="58"/>
  <c r="H57" i="58" s="1"/>
  <c r="J36" i="61"/>
  <c r="F56" i="87"/>
  <c r="H56" i="87" s="1"/>
  <c r="J56" i="87"/>
  <c r="O56" i="87" s="1"/>
  <c r="J58" i="87"/>
  <c r="O58" i="87" s="1"/>
  <c r="F74" i="20"/>
  <c r="H74" i="20" s="1"/>
  <c r="F58" i="87"/>
  <c r="H58" i="87" s="1"/>
  <c r="L89" i="23"/>
  <c r="M95" i="41"/>
  <c r="L94" i="41"/>
  <c r="F94" i="41"/>
  <c r="H94" i="41" s="1"/>
  <c r="F71" i="17"/>
  <c r="H71" i="17" s="1"/>
  <c r="J65" i="30"/>
  <c r="J71" i="41"/>
  <c r="O71" i="41" s="1"/>
  <c r="L57" i="20"/>
  <c r="L65" i="30"/>
  <c r="J58" i="58"/>
  <c r="D73" i="82" s="1"/>
  <c r="E73" i="82" s="1"/>
  <c r="L71" i="41"/>
  <c r="L67" i="23"/>
  <c r="F54" i="58"/>
  <c r="H54" i="58" s="1"/>
  <c r="F57" i="20"/>
  <c r="H57" i="20" s="1"/>
  <c r="L71" i="17"/>
  <c r="J67" i="23"/>
  <c r="L54" i="58"/>
  <c r="L55" i="61"/>
  <c r="J55" i="61"/>
  <c r="L54" i="61"/>
  <c r="F54" i="61"/>
  <c r="H54" i="61" s="1"/>
  <c r="F57" i="61"/>
  <c r="H57" i="61" s="1"/>
  <c r="J57" i="61"/>
  <c r="L39" i="41"/>
  <c r="J74" i="20"/>
  <c r="F47" i="41"/>
  <c r="H47" i="41" s="1"/>
  <c r="F53" i="58"/>
  <c r="H53" i="58" s="1"/>
  <c r="L53" i="58"/>
  <c r="F71" i="58"/>
  <c r="H71" i="58" s="1"/>
  <c r="L69" i="30"/>
  <c r="L74" i="41"/>
  <c r="L46" i="58"/>
  <c r="L70" i="20"/>
  <c r="F69" i="41"/>
  <c r="H69" i="41" s="1"/>
  <c r="J70" i="20"/>
  <c r="J56" i="61"/>
  <c r="M54" i="41"/>
  <c r="F95" i="17"/>
  <c r="H95" i="17" s="1"/>
  <c r="J70" i="41"/>
  <c r="O70" i="41" s="1"/>
  <c r="F70" i="41"/>
  <c r="H70" i="41" s="1"/>
  <c r="L95" i="17"/>
  <c r="J53" i="61"/>
  <c r="F53" i="61"/>
  <c r="H53" i="61" s="1"/>
  <c r="L56" i="61"/>
  <c r="J94" i="20"/>
  <c r="L94" i="20"/>
  <c r="L69" i="20"/>
  <c r="F69" i="20"/>
  <c r="H69" i="20" s="1"/>
  <c r="M77" i="20"/>
  <c r="M75" i="17"/>
  <c r="L95" i="30"/>
  <c r="J26" i="17"/>
  <c r="L26" i="17"/>
  <c r="L93" i="20"/>
  <c r="L76" i="58"/>
  <c r="F77" i="17"/>
  <c r="H77" i="17" s="1"/>
  <c r="B181" i="19"/>
  <c r="D181" i="19" s="1"/>
  <c r="J93" i="20"/>
  <c r="J72" i="20"/>
  <c r="J70" i="58"/>
  <c r="J35" i="17"/>
  <c r="J76" i="17"/>
  <c r="F74" i="87"/>
  <c r="H74" i="87" s="1"/>
  <c r="J94" i="30"/>
  <c r="M96" i="17"/>
  <c r="J74" i="87"/>
  <c r="O74" i="87" s="1"/>
  <c r="P74" i="87" s="1"/>
  <c r="F35" i="17"/>
  <c r="H35" i="17" s="1"/>
  <c r="J40" i="23"/>
  <c r="L40" i="23"/>
  <c r="F94" i="30"/>
  <c r="H94" i="30" s="1"/>
  <c r="L76" i="17"/>
  <c r="J71" i="58"/>
  <c r="F46" i="58"/>
  <c r="H46" i="58" s="1"/>
  <c r="L46" i="41"/>
  <c r="F44" i="41"/>
  <c r="H44" i="41" s="1"/>
  <c r="L65" i="41"/>
  <c r="J69" i="30"/>
  <c r="M75" i="30"/>
  <c r="F26" i="30"/>
  <c r="H26" i="30" s="1"/>
  <c r="J46" i="41"/>
  <c r="O46" i="41" s="1"/>
  <c r="M96" i="20"/>
  <c r="L35" i="58"/>
  <c r="F49" i="17"/>
  <c r="H49" i="17" s="1"/>
  <c r="F76" i="20"/>
  <c r="H76" i="20" s="1"/>
  <c r="F36" i="58"/>
  <c r="H36" i="58" s="1"/>
  <c r="F66" i="58"/>
  <c r="H66" i="58" s="1"/>
  <c r="B183" i="59" s="1"/>
  <c r="M96" i="61"/>
  <c r="L44" i="58"/>
  <c r="J27" i="30"/>
  <c r="J35" i="58"/>
  <c r="L27" i="30"/>
  <c r="L26" i="30"/>
  <c r="J47" i="20"/>
  <c r="J66" i="58"/>
  <c r="L76" i="20"/>
  <c r="J44" i="58"/>
  <c r="L36" i="58"/>
  <c r="L43" i="41"/>
  <c r="L47" i="20"/>
  <c r="J49" i="17"/>
  <c r="D78" i="76" s="1"/>
  <c r="E78" i="76" s="1"/>
  <c r="J35" i="20"/>
  <c r="J49" i="58"/>
  <c r="M96" i="41"/>
  <c r="L43" i="17"/>
  <c r="F75" i="87"/>
  <c r="H75" i="87" s="1"/>
  <c r="J70" i="30"/>
  <c r="L70" i="30"/>
  <c r="F53" i="41"/>
  <c r="H53" i="41" s="1"/>
  <c r="L47" i="30"/>
  <c r="J41" i="61"/>
  <c r="F42" i="20"/>
  <c r="H42" i="20" s="1"/>
  <c r="L57" i="41"/>
  <c r="L75" i="87"/>
  <c r="L66" i="17"/>
  <c r="J57" i="41"/>
  <c r="O57" i="41" s="1"/>
  <c r="J53" i="41"/>
  <c r="O53" i="41" s="1"/>
  <c r="L31" i="61"/>
  <c r="J30" i="61"/>
  <c r="J31" i="61"/>
  <c r="L76" i="87"/>
  <c r="L38" i="17"/>
  <c r="J73" i="17"/>
  <c r="F30" i="17"/>
  <c r="H30" i="17" s="1"/>
  <c r="L44" i="30"/>
  <c r="F49" i="30"/>
  <c r="H49" i="30" s="1"/>
  <c r="J45" i="17"/>
  <c r="F93" i="58"/>
  <c r="H93" i="58" s="1"/>
  <c r="J40" i="17"/>
  <c r="J30" i="17"/>
  <c r="L40" i="58"/>
  <c r="J38" i="17"/>
  <c r="J95" i="58"/>
  <c r="F45" i="17"/>
  <c r="H45" i="17" s="1"/>
  <c r="L27" i="61"/>
  <c r="F49" i="20"/>
  <c r="H49" i="20" s="1"/>
  <c r="L93" i="58"/>
  <c r="F32" i="17"/>
  <c r="H32" i="17" s="1"/>
  <c r="J28" i="41"/>
  <c r="O28" i="41" s="1"/>
  <c r="F95" i="58"/>
  <c r="H95" i="58" s="1"/>
  <c r="L41" i="30"/>
  <c r="F28" i="41"/>
  <c r="H28" i="41" s="1"/>
  <c r="J44" i="30"/>
  <c r="L44" i="17"/>
  <c r="L32" i="17"/>
  <c r="F39" i="61"/>
  <c r="H39" i="61" s="1"/>
  <c r="J30" i="41"/>
  <c r="J40" i="58"/>
  <c r="J39" i="61"/>
  <c r="F40" i="30"/>
  <c r="H40" i="30" s="1"/>
  <c r="L38" i="20"/>
  <c r="F30" i="41"/>
  <c r="H30" i="41" s="1"/>
  <c r="J76" i="87"/>
  <c r="J49" i="20"/>
  <c r="L40" i="20"/>
  <c r="J42" i="23"/>
  <c r="L42" i="23"/>
  <c r="F36" i="23"/>
  <c r="H36" i="23" s="1"/>
  <c r="L45" i="58"/>
  <c r="M96" i="87"/>
  <c r="L66" i="61"/>
  <c r="J42" i="30"/>
  <c r="F55" i="41"/>
  <c r="H55" i="41" s="1"/>
  <c r="J42" i="20"/>
  <c r="J74" i="41"/>
  <c r="O74" i="41" s="1"/>
  <c r="L36" i="17"/>
  <c r="L36" i="61"/>
  <c r="L77" i="17"/>
  <c r="L56" i="41"/>
  <c r="J64" i="41"/>
  <c r="L32" i="23"/>
  <c r="F76" i="58"/>
  <c r="H76" i="58" s="1"/>
  <c r="L75" i="58"/>
  <c r="L64" i="17"/>
  <c r="L64" i="41"/>
  <c r="J36" i="17"/>
  <c r="F75" i="58"/>
  <c r="H75" i="58" s="1"/>
  <c r="F37" i="61"/>
  <c r="H37" i="61" s="1"/>
  <c r="L66" i="41"/>
  <c r="J66" i="41"/>
  <c r="L65" i="58"/>
  <c r="J65" i="58"/>
  <c r="F30" i="30"/>
  <c r="H30" i="30" s="1"/>
  <c r="J66" i="61"/>
  <c r="J42" i="17"/>
  <c r="H26" i="17"/>
  <c r="J39" i="23"/>
  <c r="J30" i="30"/>
  <c r="L42" i="17"/>
  <c r="J64" i="17"/>
  <c r="J39" i="41"/>
  <c r="O39" i="41" s="1"/>
  <c r="J55" i="41"/>
  <c r="O55" i="41" s="1"/>
  <c r="L49" i="41"/>
  <c r="F56" i="41"/>
  <c r="H56" i="41" s="1"/>
  <c r="F32" i="23"/>
  <c r="H32" i="23" s="1"/>
  <c r="J49" i="41"/>
  <c r="O49" i="41" s="1"/>
  <c r="L42" i="61"/>
  <c r="L46" i="17"/>
  <c r="L41" i="23"/>
  <c r="F40" i="20"/>
  <c r="H40" i="20" s="1"/>
  <c r="J36" i="30"/>
  <c r="F29" i="58"/>
  <c r="H29" i="58" s="1"/>
  <c r="J46" i="17"/>
  <c r="F41" i="58"/>
  <c r="H41" i="58" s="1"/>
  <c r="J47" i="58"/>
  <c r="L58" i="41"/>
  <c r="L38" i="58"/>
  <c r="J38" i="23"/>
  <c r="L47" i="58"/>
  <c r="J42" i="61"/>
  <c r="L26" i="61"/>
  <c r="L37" i="30"/>
  <c r="J63" i="23"/>
  <c r="F63" i="23"/>
  <c r="H63" i="23" s="1"/>
  <c r="J41" i="23"/>
  <c r="L36" i="30"/>
  <c r="L71" i="30"/>
  <c r="J38" i="58"/>
  <c r="L29" i="58"/>
  <c r="F26" i="61"/>
  <c r="H26" i="61" s="1"/>
  <c r="F38" i="23"/>
  <c r="H38" i="23" s="1"/>
  <c r="F30" i="58"/>
  <c r="H30" i="58" s="1"/>
  <c r="J41" i="58"/>
  <c r="J58" i="41"/>
  <c r="O58" i="41" s="1"/>
  <c r="J71" i="30"/>
  <c r="J30" i="58"/>
  <c r="J37" i="30"/>
  <c r="J95" i="30"/>
  <c r="F73" i="61"/>
  <c r="H73" i="61" s="1"/>
  <c r="F30" i="20"/>
  <c r="H30" i="20" s="1"/>
  <c r="J46" i="61"/>
  <c r="L45" i="30"/>
  <c r="L47" i="41"/>
  <c r="L72" i="58"/>
  <c r="F45" i="61"/>
  <c r="H45" i="61" s="1"/>
  <c r="L30" i="61"/>
  <c r="J38" i="20"/>
  <c r="D74" i="77" s="1"/>
  <c r="E74" i="77" s="1"/>
  <c r="L42" i="30"/>
  <c r="F44" i="17"/>
  <c r="H44" i="17" s="1"/>
  <c r="L39" i="58"/>
  <c r="J74" i="17"/>
  <c r="F41" i="20"/>
  <c r="H41" i="20" s="1"/>
  <c r="J41" i="20"/>
  <c r="F72" i="58"/>
  <c r="H72" i="58" s="1"/>
  <c r="F46" i="61"/>
  <c r="H46" i="61" s="1"/>
  <c r="J32" i="58"/>
  <c r="L45" i="61"/>
  <c r="F39" i="17"/>
  <c r="H39" i="17" s="1"/>
  <c r="L72" i="87"/>
  <c r="L64" i="20"/>
  <c r="J39" i="58"/>
  <c r="F72" i="87"/>
  <c r="H72" i="87" s="1"/>
  <c r="F43" i="41"/>
  <c r="H43" i="41" s="1"/>
  <c r="J44" i="41"/>
  <c r="L39" i="23"/>
  <c r="J44" i="23"/>
  <c r="F32" i="58"/>
  <c r="H32" i="58" s="1"/>
  <c r="F73" i="41"/>
  <c r="H73" i="41" s="1"/>
  <c r="L30" i="20"/>
  <c r="L74" i="17"/>
  <c r="F64" i="20"/>
  <c r="H64" i="20" s="1"/>
  <c r="B63" i="22" s="1"/>
  <c r="H63" i="22" s="1"/>
  <c r="J45" i="30"/>
  <c r="L40" i="17"/>
  <c r="F65" i="41"/>
  <c r="H65" i="41" s="1"/>
  <c r="B185" i="40" s="1"/>
  <c r="L73" i="41"/>
  <c r="L39" i="17"/>
  <c r="F44" i="23"/>
  <c r="H44" i="23" s="1"/>
  <c r="M65" i="17"/>
  <c r="J37" i="41"/>
  <c r="O37" i="41" s="1"/>
  <c r="L31" i="30"/>
  <c r="F48" i="17"/>
  <c r="H48" i="17" s="1"/>
  <c r="L43" i="23"/>
  <c r="L64" i="58"/>
  <c r="L36" i="23"/>
  <c r="J43" i="20"/>
  <c r="J64" i="58"/>
  <c r="L37" i="41"/>
  <c r="J45" i="58"/>
  <c r="F29" i="20"/>
  <c r="H29" i="20" s="1"/>
  <c r="L73" i="17"/>
  <c r="L36" i="41"/>
  <c r="J36" i="41"/>
  <c r="O36" i="41" s="1"/>
  <c r="L45" i="41"/>
  <c r="J31" i="17"/>
  <c r="J66" i="20"/>
  <c r="J37" i="17"/>
  <c r="F37" i="17"/>
  <c r="H37" i="17" s="1"/>
  <c r="L66" i="20"/>
  <c r="J26" i="20"/>
  <c r="J41" i="41"/>
  <c r="F45" i="41"/>
  <c r="H45" i="41" s="1"/>
  <c r="F44" i="61"/>
  <c r="H44" i="61" s="1"/>
  <c r="F40" i="61"/>
  <c r="H40" i="61" s="1"/>
  <c r="J40" i="61"/>
  <c r="L41" i="41"/>
  <c r="J73" i="61"/>
  <c r="L27" i="17"/>
  <c r="J44" i="61"/>
  <c r="F41" i="17"/>
  <c r="H41" i="17" s="1"/>
  <c r="J29" i="20"/>
  <c r="L37" i="20"/>
  <c r="L31" i="58"/>
  <c r="L26" i="20"/>
  <c r="J28" i="17"/>
  <c r="L31" i="17"/>
  <c r="L28" i="17"/>
  <c r="J27" i="17"/>
  <c r="L41" i="17"/>
  <c r="J37" i="20"/>
  <c r="J31" i="58"/>
  <c r="F47" i="17"/>
  <c r="H47" i="17" s="1"/>
  <c r="L47" i="17"/>
  <c r="J40" i="30"/>
  <c r="F28" i="20"/>
  <c r="H28" i="20" s="1"/>
  <c r="J41" i="30"/>
  <c r="L28" i="20"/>
  <c r="J49" i="61"/>
  <c r="J66" i="30"/>
  <c r="J44" i="20"/>
  <c r="J43" i="17"/>
  <c r="L35" i="23"/>
  <c r="J66" i="17"/>
  <c r="L46" i="20"/>
  <c r="J75" i="20"/>
  <c r="F39" i="20"/>
  <c r="H39" i="20" s="1"/>
  <c r="F43" i="61"/>
  <c r="H43" i="61" s="1"/>
  <c r="J46" i="20"/>
  <c r="L44" i="20"/>
  <c r="F49" i="58"/>
  <c r="H49" i="58" s="1"/>
  <c r="F75" i="20"/>
  <c r="H75" i="20" s="1"/>
  <c r="F49" i="61"/>
  <c r="H49" i="61" s="1"/>
  <c r="F66" i="30"/>
  <c r="H66" i="30" s="1"/>
  <c r="F35" i="23"/>
  <c r="H35" i="23" s="1"/>
  <c r="F39" i="30"/>
  <c r="H39" i="30" s="1"/>
  <c r="L39" i="30"/>
  <c r="L31" i="23"/>
  <c r="F31" i="23"/>
  <c r="H31" i="23" s="1"/>
  <c r="J27" i="41"/>
  <c r="O27" i="41" s="1"/>
  <c r="L39" i="20"/>
  <c r="F47" i="30"/>
  <c r="H47" i="30" s="1"/>
  <c r="F41" i="61"/>
  <c r="H41" i="61" s="1"/>
  <c r="F35" i="20"/>
  <c r="H35" i="20" s="1"/>
  <c r="L27" i="41"/>
  <c r="F52" i="23"/>
  <c r="H52" i="23" s="1"/>
  <c r="L46" i="23"/>
  <c r="L43" i="61"/>
  <c r="J52" i="23"/>
  <c r="F46" i="23"/>
  <c r="H46" i="23" s="1"/>
  <c r="J27" i="61"/>
  <c r="F28" i="61"/>
  <c r="H28" i="61" s="1"/>
  <c r="F32" i="41"/>
  <c r="H32" i="41" s="1"/>
  <c r="L46" i="30"/>
  <c r="F46" i="30"/>
  <c r="H46" i="30" s="1"/>
  <c r="J38" i="61"/>
  <c r="L48" i="41"/>
  <c r="F48" i="41"/>
  <c r="H48" i="41" s="1"/>
  <c r="J48" i="41"/>
  <c r="O48" i="41" s="1"/>
  <c r="J32" i="41"/>
  <c r="L38" i="61"/>
  <c r="L45" i="20"/>
  <c r="F38" i="30"/>
  <c r="H38" i="30" s="1"/>
  <c r="F48" i="58"/>
  <c r="H48" i="58" s="1"/>
  <c r="J48" i="58"/>
  <c r="J28" i="61"/>
  <c r="F35" i="61"/>
  <c r="H35" i="61" s="1"/>
  <c r="J45" i="20"/>
  <c r="F42" i="41"/>
  <c r="H42" i="41" s="1"/>
  <c r="J42" i="41"/>
  <c r="O42" i="41" s="1"/>
  <c r="L42" i="41"/>
  <c r="L65" i="20"/>
  <c r="L37" i="61"/>
  <c r="F40" i="41"/>
  <c r="H40" i="41" s="1"/>
  <c r="L40" i="41"/>
  <c r="J38" i="30"/>
  <c r="J35" i="61"/>
  <c r="J65" i="20"/>
  <c r="F38" i="41"/>
  <c r="H38" i="41" s="1"/>
  <c r="J38" i="41"/>
  <c r="O38" i="41" s="1"/>
  <c r="L38" i="41"/>
  <c r="L48" i="61"/>
  <c r="F61" i="23"/>
  <c r="H61" i="23" s="1"/>
  <c r="J61" i="23"/>
  <c r="L61" i="23"/>
  <c r="J43" i="30"/>
  <c r="F43" i="23"/>
  <c r="H43" i="23" s="1"/>
  <c r="F26" i="58"/>
  <c r="H26" i="58" s="1"/>
  <c r="L64" i="61"/>
  <c r="L43" i="20"/>
  <c r="F64" i="61"/>
  <c r="H64" i="61" s="1"/>
  <c r="L26" i="58"/>
  <c r="L48" i="20"/>
  <c r="F48" i="20"/>
  <c r="H48" i="20" s="1"/>
  <c r="J48" i="20"/>
  <c r="F43" i="30"/>
  <c r="H43" i="30" s="1"/>
  <c r="L62" i="23"/>
  <c r="F62" i="23"/>
  <c r="H62" i="23" s="1"/>
  <c r="J29" i="41"/>
  <c r="F29" i="41"/>
  <c r="H29" i="41" s="1"/>
  <c r="J48" i="61"/>
  <c r="J45" i="23"/>
  <c r="L45" i="23"/>
  <c r="F45" i="23"/>
  <c r="H45" i="23" s="1"/>
  <c r="J49" i="30"/>
  <c r="J27" i="58"/>
  <c r="D80" i="82" s="1"/>
  <c r="E80" i="82" s="1"/>
  <c r="L27" i="58"/>
  <c r="L64" i="30"/>
  <c r="F64" i="30"/>
  <c r="H64" i="30" s="1"/>
  <c r="J31" i="20"/>
  <c r="L31" i="20"/>
  <c r="L50" i="23"/>
  <c r="J50" i="23"/>
  <c r="F50" i="23"/>
  <c r="H50" i="23" s="1"/>
  <c r="L32" i="61"/>
  <c r="J32" i="61"/>
  <c r="F27" i="20"/>
  <c r="H27" i="20" s="1"/>
  <c r="J27" i="20"/>
  <c r="F28" i="23"/>
  <c r="H28" i="23" s="1"/>
  <c r="J28" i="23"/>
  <c r="L28" i="23"/>
  <c r="F26" i="23"/>
  <c r="H26" i="23" s="1"/>
  <c r="J26" i="23"/>
  <c r="L26" i="23"/>
  <c r="L27" i="23"/>
  <c r="J27" i="23"/>
  <c r="F27" i="23"/>
  <c r="H27" i="23" s="1"/>
  <c r="L29" i="23"/>
  <c r="F29" i="23"/>
  <c r="H29" i="23" s="1"/>
  <c r="J29" i="23"/>
  <c r="F73" i="58"/>
  <c r="H73" i="58" s="1"/>
  <c r="L73" i="58"/>
  <c r="J73" i="58"/>
  <c r="L72" i="61"/>
  <c r="J72" i="61"/>
  <c r="B183" i="62" l="1"/>
  <c r="D183" i="62" s="1"/>
  <c r="M73" i="87"/>
  <c r="M30" i="23"/>
  <c r="M31" i="41"/>
  <c r="M74" i="61"/>
  <c r="M84" i="20"/>
  <c r="M56" i="56"/>
  <c r="M60" i="87"/>
  <c r="M58" i="61"/>
  <c r="M112" i="30"/>
  <c r="M61" i="20"/>
  <c r="B68" i="33"/>
  <c r="H68" i="33" s="1"/>
  <c r="M36" i="20"/>
  <c r="M54" i="20"/>
  <c r="M65" i="61"/>
  <c r="M82" i="17"/>
  <c r="M28" i="87"/>
  <c r="M93" i="30"/>
  <c r="M29" i="17"/>
  <c r="M61" i="30"/>
  <c r="B68" i="85"/>
  <c r="H68" i="85" s="1"/>
  <c r="M59" i="41"/>
  <c r="M37" i="23"/>
  <c r="D77" i="78"/>
  <c r="E77" i="78" s="1"/>
  <c r="M72" i="41"/>
  <c r="M69" i="61"/>
  <c r="M55" i="30"/>
  <c r="M73" i="20"/>
  <c r="M94" i="87"/>
  <c r="M37" i="87"/>
  <c r="M32" i="20"/>
  <c r="B51" i="25"/>
  <c r="D51" i="25" s="1"/>
  <c r="M59" i="17"/>
  <c r="M55" i="23"/>
  <c r="M35" i="30"/>
  <c r="M82" i="23"/>
  <c r="M59" i="61"/>
  <c r="M29" i="61"/>
  <c r="M35" i="41"/>
  <c r="M72" i="17"/>
  <c r="M29" i="30"/>
  <c r="M93" i="17"/>
  <c r="M53" i="17"/>
  <c r="B186" i="19"/>
  <c r="D186" i="19" s="1"/>
  <c r="D75" i="83"/>
  <c r="E75" i="83" s="1"/>
  <c r="M77" i="58"/>
  <c r="B183" i="33"/>
  <c r="H183" i="33" s="1"/>
  <c r="M72" i="30"/>
  <c r="M73" i="30"/>
  <c r="M52" i="30"/>
  <c r="M55" i="58"/>
  <c r="M57" i="56"/>
  <c r="B156" i="54"/>
  <c r="D156" i="54" s="1"/>
  <c r="M32" i="23"/>
  <c r="M58" i="30"/>
  <c r="M55" i="56"/>
  <c r="D73" i="78"/>
  <c r="E73" i="78" s="1"/>
  <c r="M57" i="30"/>
  <c r="M28" i="58"/>
  <c r="M56" i="30"/>
  <c r="M53" i="30"/>
  <c r="M54" i="30"/>
  <c r="M94" i="58"/>
  <c r="H51" i="54"/>
  <c r="F51" i="54"/>
  <c r="M96" i="58"/>
  <c r="B66" i="22"/>
  <c r="F66" i="22" s="1"/>
  <c r="B185" i="22"/>
  <c r="F185" i="22" s="1"/>
  <c r="M85" i="58"/>
  <c r="M38" i="87"/>
  <c r="B163" i="89"/>
  <c r="B161" i="54"/>
  <c r="B56" i="54"/>
  <c r="B185" i="33"/>
  <c r="B67" i="33"/>
  <c r="H67" i="62"/>
  <c r="D67" i="62"/>
  <c r="F67" i="62"/>
  <c r="H187" i="62"/>
  <c r="F187" i="62"/>
  <c r="D187" i="62"/>
  <c r="B67" i="19"/>
  <c r="B185" i="19"/>
  <c r="B166" i="89"/>
  <c r="B171" i="89"/>
  <c r="B60" i="89"/>
  <c r="B161" i="89"/>
  <c r="H67" i="85"/>
  <c r="F67" i="85"/>
  <c r="D67" i="85"/>
  <c r="B189" i="40"/>
  <c r="B67" i="40"/>
  <c r="D76" i="90"/>
  <c r="E76" i="90" s="1"/>
  <c r="B165" i="89"/>
  <c r="H189" i="85"/>
  <c r="F189" i="85"/>
  <c r="D189" i="85"/>
  <c r="B161" i="25"/>
  <c r="B56" i="25"/>
  <c r="B167" i="89"/>
  <c r="B56" i="89"/>
  <c r="B160" i="89"/>
  <c r="B162" i="89"/>
  <c r="D77" i="90"/>
  <c r="E77" i="90" s="1"/>
  <c r="B67" i="22"/>
  <c r="B67" i="59"/>
  <c r="B187" i="59"/>
  <c r="B168" i="89"/>
  <c r="B57" i="89"/>
  <c r="M42" i="58"/>
  <c r="M74" i="58"/>
  <c r="D72" i="90"/>
  <c r="E72" i="90" s="1"/>
  <c r="M60" i="58"/>
  <c r="B52" i="89"/>
  <c r="D71" i="90"/>
  <c r="E71" i="90" s="1"/>
  <c r="D74" i="90"/>
  <c r="E74" i="90" s="1"/>
  <c r="M60" i="91"/>
  <c r="B55" i="89"/>
  <c r="D78" i="90"/>
  <c r="E78" i="90" s="1"/>
  <c r="B50" i="89"/>
  <c r="D73" i="90"/>
  <c r="E73" i="90" s="1"/>
  <c r="B54" i="89"/>
  <c r="D75" i="90"/>
  <c r="E75" i="90" s="1"/>
  <c r="B49" i="89"/>
  <c r="B51" i="89"/>
  <c r="M39" i="91"/>
  <c r="M78" i="91"/>
  <c r="M58" i="91"/>
  <c r="M55" i="91"/>
  <c r="M42" i="91"/>
  <c r="M59" i="91"/>
  <c r="M28" i="91"/>
  <c r="M80" i="91"/>
  <c r="M17" i="91"/>
  <c r="M44" i="91"/>
  <c r="M22" i="91"/>
  <c r="M32" i="91"/>
  <c r="M54" i="91"/>
  <c r="M96" i="91"/>
  <c r="M41" i="91"/>
  <c r="M47" i="91"/>
  <c r="M83" i="91"/>
  <c r="M92" i="91"/>
  <c r="M88" i="91"/>
  <c r="M77" i="91"/>
  <c r="M73" i="91"/>
  <c r="M66" i="91"/>
  <c r="M48" i="91"/>
  <c r="M36" i="91"/>
  <c r="M31" i="91"/>
  <c r="M15" i="91"/>
  <c r="M99" i="91"/>
  <c r="M61" i="91"/>
  <c r="D77" i="82"/>
  <c r="E77" i="82" s="1"/>
  <c r="M76" i="91"/>
  <c r="M75" i="91"/>
  <c r="M74" i="91"/>
  <c r="M97" i="91"/>
  <c r="M98" i="91"/>
  <c r="M72" i="91"/>
  <c r="M79" i="91"/>
  <c r="M45" i="91"/>
  <c r="M40" i="91"/>
  <c r="M49" i="91"/>
  <c r="M37" i="91"/>
  <c r="M65" i="91"/>
  <c r="M43" i="91"/>
  <c r="M46" i="91"/>
  <c r="M35" i="91"/>
  <c r="M38" i="91"/>
  <c r="M64" i="91"/>
  <c r="M52" i="91"/>
  <c r="M56" i="91"/>
  <c r="M53" i="91"/>
  <c r="M57" i="91"/>
  <c r="M27" i="91"/>
  <c r="M30" i="91"/>
  <c r="M26" i="91"/>
  <c r="M29" i="91"/>
  <c r="M87" i="91"/>
  <c r="M84" i="91"/>
  <c r="M11" i="91"/>
  <c r="M91" i="91"/>
  <c r="M23" i="91"/>
  <c r="M85" i="91"/>
  <c r="M13" i="91"/>
  <c r="M20" i="91"/>
  <c r="M12" i="91"/>
  <c r="M114" i="91"/>
  <c r="M16" i="91"/>
  <c r="M10" i="91"/>
  <c r="M14" i="91"/>
  <c r="M115" i="91"/>
  <c r="L124" i="91"/>
  <c r="H9" i="91"/>
  <c r="F124" i="91"/>
  <c r="M19" i="91"/>
  <c r="M93" i="91"/>
  <c r="M113" i="91"/>
  <c r="J124" i="91"/>
  <c r="H87" i="92" s="1"/>
  <c r="B137" i="89" s="1"/>
  <c r="M18" i="91"/>
  <c r="M21" i="91"/>
  <c r="M86" i="91"/>
  <c r="E131" i="91"/>
  <c r="M60" i="61"/>
  <c r="B156" i="25"/>
  <c r="H156" i="25" s="1"/>
  <c r="D77" i="81"/>
  <c r="E77" i="81" s="1"/>
  <c r="M43" i="87"/>
  <c r="D63" i="19"/>
  <c r="M61" i="61"/>
  <c r="D75" i="84"/>
  <c r="E75" i="84" s="1"/>
  <c r="M85" i="30"/>
  <c r="B190" i="85"/>
  <c r="D190" i="85" s="1"/>
  <c r="B184" i="33"/>
  <c r="D184" i="33" s="1"/>
  <c r="M49" i="87"/>
  <c r="M80" i="30"/>
  <c r="B62" i="19"/>
  <c r="M30" i="87"/>
  <c r="B62" i="33"/>
  <c r="D62" i="33" s="1"/>
  <c r="M56" i="23"/>
  <c r="M59" i="87"/>
  <c r="M36" i="87"/>
  <c r="M10" i="30"/>
  <c r="M40" i="87"/>
  <c r="M39" i="87"/>
  <c r="M110" i="30"/>
  <c r="M61" i="41"/>
  <c r="F162" i="25"/>
  <c r="M57" i="23"/>
  <c r="M60" i="20"/>
  <c r="M59" i="58"/>
  <c r="M31" i="87"/>
  <c r="M61" i="58"/>
  <c r="D77" i="79"/>
  <c r="E77" i="79" s="1"/>
  <c r="M60" i="17"/>
  <c r="D77" i="86"/>
  <c r="E77" i="86" s="1"/>
  <c r="M60" i="41"/>
  <c r="M81" i="30"/>
  <c r="M17" i="30"/>
  <c r="M61" i="87"/>
  <c r="M42" i="87"/>
  <c r="M70" i="87"/>
  <c r="M32" i="87"/>
  <c r="M84" i="30"/>
  <c r="M35" i="87"/>
  <c r="M76" i="41"/>
  <c r="M26" i="87"/>
  <c r="M47" i="87"/>
  <c r="M19" i="30"/>
  <c r="M14" i="30"/>
  <c r="M13" i="30"/>
  <c r="M12" i="30"/>
  <c r="M82" i="30"/>
  <c r="M45" i="87"/>
  <c r="P72" i="87"/>
  <c r="M60" i="30"/>
  <c r="M84" i="17"/>
  <c r="M48" i="87"/>
  <c r="M27" i="87"/>
  <c r="D77" i="77"/>
  <c r="E77" i="77" s="1"/>
  <c r="M18" i="30"/>
  <c r="M64" i="87"/>
  <c r="M59" i="20"/>
  <c r="B182" i="85"/>
  <c r="F182" i="85" s="1"/>
  <c r="M89" i="17"/>
  <c r="M41" i="87"/>
  <c r="B66" i="33"/>
  <c r="F66" i="33" s="1"/>
  <c r="F71" i="85"/>
  <c r="B180" i="33"/>
  <c r="D180" i="33" s="1"/>
  <c r="M21" i="30"/>
  <c r="M61" i="17"/>
  <c r="H71" i="85"/>
  <c r="M29" i="87"/>
  <c r="M59" i="30"/>
  <c r="M88" i="30"/>
  <c r="M44" i="87"/>
  <c r="D77" i="76"/>
  <c r="E77" i="76" s="1"/>
  <c r="B183" i="85"/>
  <c r="F183" i="85" s="1"/>
  <c r="F159" i="25"/>
  <c r="B61" i="85"/>
  <c r="D61" i="85" s="1"/>
  <c r="D159" i="25"/>
  <c r="M95" i="87"/>
  <c r="F63" i="19"/>
  <c r="M66" i="87"/>
  <c r="B63" i="85"/>
  <c r="H63" i="85" s="1"/>
  <c r="M65" i="87"/>
  <c r="M46" i="87"/>
  <c r="B185" i="85"/>
  <c r="F185" i="85" s="1"/>
  <c r="M14" i="58"/>
  <c r="M71" i="87"/>
  <c r="M93" i="87"/>
  <c r="D73" i="83"/>
  <c r="E73" i="83" s="1"/>
  <c r="M9" i="30"/>
  <c r="M11" i="30"/>
  <c r="M90" i="30"/>
  <c r="M11" i="20"/>
  <c r="M15" i="87"/>
  <c r="B60" i="85"/>
  <c r="M69" i="87"/>
  <c r="F189" i="33"/>
  <c r="D189" i="33"/>
  <c r="M111" i="17"/>
  <c r="M22" i="30"/>
  <c r="M83" i="30"/>
  <c r="M111" i="30"/>
  <c r="M13" i="17"/>
  <c r="E128" i="17"/>
  <c r="E128" i="30"/>
  <c r="D68" i="85"/>
  <c r="M20" i="30"/>
  <c r="M80" i="17"/>
  <c r="M23" i="30"/>
  <c r="E128" i="58"/>
  <c r="E128" i="87"/>
  <c r="M12" i="17"/>
  <c r="M89" i="30"/>
  <c r="B71" i="19"/>
  <c r="D78" i="83"/>
  <c r="E78" i="83" s="1"/>
  <c r="M42" i="56"/>
  <c r="M43" i="56"/>
  <c r="M15" i="30"/>
  <c r="M16" i="30"/>
  <c r="M82" i="56"/>
  <c r="E128" i="41"/>
  <c r="E121" i="56"/>
  <c r="B59" i="33"/>
  <c r="B177" i="33"/>
  <c r="H71" i="33"/>
  <c r="D162" i="25"/>
  <c r="F71" i="33"/>
  <c r="M23" i="58"/>
  <c r="M89" i="56"/>
  <c r="M44" i="56"/>
  <c r="M15" i="56"/>
  <c r="M31" i="56"/>
  <c r="M38" i="56"/>
  <c r="M52" i="56"/>
  <c r="M63" i="56"/>
  <c r="M22" i="56"/>
  <c r="M50" i="56"/>
  <c r="M37" i="56"/>
  <c r="B66" i="19"/>
  <c r="M21" i="56"/>
  <c r="D79" i="83"/>
  <c r="E79" i="83" s="1"/>
  <c r="M46" i="56"/>
  <c r="M19" i="56"/>
  <c r="M23" i="56"/>
  <c r="M14" i="56"/>
  <c r="D74" i="83"/>
  <c r="E74" i="83" s="1"/>
  <c r="M11" i="56"/>
  <c r="M40" i="56"/>
  <c r="M32" i="56"/>
  <c r="M105" i="56"/>
  <c r="M28" i="56"/>
  <c r="M84" i="56"/>
  <c r="M13" i="56"/>
  <c r="M51" i="56"/>
  <c r="M83" i="56"/>
  <c r="M10" i="56"/>
  <c r="M104" i="56"/>
  <c r="M12" i="56"/>
  <c r="M18" i="56"/>
  <c r="L114" i="56"/>
  <c r="M41" i="56"/>
  <c r="B57" i="54"/>
  <c r="B162" i="54"/>
  <c r="M87" i="56"/>
  <c r="B49" i="54"/>
  <c r="B154" i="54"/>
  <c r="M26" i="56"/>
  <c r="H9" i="56"/>
  <c r="F114" i="56"/>
  <c r="M16" i="56"/>
  <c r="M17" i="56"/>
  <c r="D72" i="83"/>
  <c r="M75" i="56"/>
  <c r="M88" i="56"/>
  <c r="M74" i="56"/>
  <c r="B160" i="54"/>
  <c r="B55" i="54"/>
  <c r="M67" i="56"/>
  <c r="M77" i="56"/>
  <c r="M36" i="56"/>
  <c r="M78" i="56"/>
  <c r="M68" i="56"/>
  <c r="M76" i="56"/>
  <c r="M30" i="56"/>
  <c r="D76" i="83"/>
  <c r="E76" i="83" s="1"/>
  <c r="M29" i="56"/>
  <c r="M79" i="56"/>
  <c r="M20" i="56"/>
  <c r="J114" i="56"/>
  <c r="M35" i="56"/>
  <c r="B50" i="54"/>
  <c r="B155" i="54"/>
  <c r="B52" i="54"/>
  <c r="B157" i="54"/>
  <c r="M61" i="56"/>
  <c r="B165" i="54"/>
  <c r="M103" i="56"/>
  <c r="B60" i="54"/>
  <c r="M39" i="56"/>
  <c r="B159" i="54"/>
  <c r="B54" i="54"/>
  <c r="M66" i="56"/>
  <c r="M62" i="56"/>
  <c r="M45" i="56"/>
  <c r="M27" i="56"/>
  <c r="B184" i="19"/>
  <c r="D184" i="19" s="1"/>
  <c r="E128" i="61"/>
  <c r="B186" i="22"/>
  <c r="F186" i="22" s="1"/>
  <c r="B191" i="59"/>
  <c r="F191" i="59" s="1"/>
  <c r="D79" i="86"/>
  <c r="E79" i="86" s="1"/>
  <c r="M9" i="17"/>
  <c r="B180" i="19"/>
  <c r="H180" i="19" s="1"/>
  <c r="M112" i="61"/>
  <c r="M11" i="58"/>
  <c r="B186" i="62"/>
  <c r="D186" i="62" s="1"/>
  <c r="D73" i="86"/>
  <c r="E73" i="86" s="1"/>
  <c r="M74" i="23"/>
  <c r="B63" i="59"/>
  <c r="H63" i="59" s="1"/>
  <c r="D74" i="78"/>
  <c r="E74" i="78" s="1"/>
  <c r="B68" i="19"/>
  <c r="D76" i="81"/>
  <c r="E76" i="81" s="1"/>
  <c r="D75" i="76"/>
  <c r="E75" i="76" s="1"/>
  <c r="B179" i="59"/>
  <c r="H179" i="59" s="1"/>
  <c r="D78" i="81"/>
  <c r="E78" i="81" s="1"/>
  <c r="D73" i="76"/>
  <c r="E73" i="76" s="1"/>
  <c r="B178" i="19"/>
  <c r="H178" i="19" s="1"/>
  <c r="B165" i="25"/>
  <c r="F165" i="25" s="1"/>
  <c r="E128" i="20"/>
  <c r="D76" i="76"/>
  <c r="E76" i="76" s="1"/>
  <c r="B182" i="59"/>
  <c r="F182" i="59" s="1"/>
  <c r="P72" i="41"/>
  <c r="B62" i="85"/>
  <c r="F62" i="85" s="1"/>
  <c r="J121" i="87"/>
  <c r="H129" i="88" s="1"/>
  <c r="G129" i="88" s="1"/>
  <c r="B59" i="59"/>
  <c r="D59" i="59" s="1"/>
  <c r="D73" i="79"/>
  <c r="E73" i="79" s="1"/>
  <c r="B179" i="62"/>
  <c r="F179" i="62" s="1"/>
  <c r="D80" i="86"/>
  <c r="E80" i="86" s="1"/>
  <c r="D79" i="78"/>
  <c r="E79" i="78" s="1"/>
  <c r="M56" i="17"/>
  <c r="M112" i="17"/>
  <c r="D80" i="81"/>
  <c r="E80" i="81" s="1"/>
  <c r="H121" i="61"/>
  <c r="B65" i="85"/>
  <c r="D65" i="85" s="1"/>
  <c r="M66" i="61"/>
  <c r="D79" i="76"/>
  <c r="E79" i="76" s="1"/>
  <c r="D80" i="79"/>
  <c r="E80" i="79" s="1"/>
  <c r="J121" i="20"/>
  <c r="H129" i="21" s="1"/>
  <c r="B36" i="22" s="1"/>
  <c r="F36" i="22" s="1"/>
  <c r="B60" i="59"/>
  <c r="D60" i="59" s="1"/>
  <c r="B181" i="59"/>
  <c r="D181" i="59" s="1"/>
  <c r="B61" i="59"/>
  <c r="D61" i="59" s="1"/>
  <c r="L114" i="23"/>
  <c r="B61" i="25" s="1"/>
  <c r="D61" i="25" s="1"/>
  <c r="B59" i="19"/>
  <c r="J121" i="17"/>
  <c r="H129" i="18" s="1"/>
  <c r="G129" i="18" s="1"/>
  <c r="H121" i="17"/>
  <c r="B184" i="85"/>
  <c r="F184" i="85" s="1"/>
  <c r="B188" i="59"/>
  <c r="D188" i="59" s="1"/>
  <c r="L121" i="41"/>
  <c r="B194" i="40" s="1"/>
  <c r="D194" i="40" s="1"/>
  <c r="B160" i="25"/>
  <c r="F160" i="25" s="1"/>
  <c r="B185" i="62"/>
  <c r="F185" i="62" s="1"/>
  <c r="D74" i="81"/>
  <c r="E74" i="81" s="1"/>
  <c r="H121" i="30"/>
  <c r="L121" i="30"/>
  <c r="B72" i="33" s="1"/>
  <c r="F72" i="33" s="1"/>
  <c r="B187" i="85"/>
  <c r="D187" i="85" s="1"/>
  <c r="B60" i="22"/>
  <c r="D60" i="22" s="1"/>
  <c r="L121" i="17"/>
  <c r="B190" i="19" s="1"/>
  <c r="D190" i="19" s="1"/>
  <c r="J121" i="30"/>
  <c r="H129" i="31" s="1"/>
  <c r="B154" i="33" s="1"/>
  <c r="F154" i="33" s="1"/>
  <c r="H121" i="58"/>
  <c r="D79" i="79"/>
  <c r="E79" i="79" s="1"/>
  <c r="B186" i="33"/>
  <c r="F186" i="33" s="1"/>
  <c r="D76" i="79"/>
  <c r="E76" i="79" s="1"/>
  <c r="D72" i="84"/>
  <c r="E72" i="84" s="1"/>
  <c r="P73" i="41"/>
  <c r="D80" i="76"/>
  <c r="E80" i="76" s="1"/>
  <c r="B59" i="62"/>
  <c r="H59" i="62" s="1"/>
  <c r="B52" i="25"/>
  <c r="D52" i="25" s="1"/>
  <c r="B61" i="62"/>
  <c r="F61" i="62" s="1"/>
  <c r="B61" i="33"/>
  <c r="D61" i="33" s="1"/>
  <c r="B183" i="40"/>
  <c r="H183" i="40" s="1"/>
  <c r="D73" i="84"/>
  <c r="E73" i="84" s="1"/>
  <c r="B183" i="19"/>
  <c r="D183" i="19" s="1"/>
  <c r="D183" i="59"/>
  <c r="F183" i="59"/>
  <c r="H183" i="59"/>
  <c r="D185" i="40"/>
  <c r="F185" i="40"/>
  <c r="H185" i="40"/>
  <c r="D74" i="84"/>
  <c r="E74" i="84" s="1"/>
  <c r="F121" i="17"/>
  <c r="B71" i="62"/>
  <c r="H71" i="62" s="1"/>
  <c r="B66" i="62"/>
  <c r="D66" i="62" s="1"/>
  <c r="B55" i="25"/>
  <c r="D55" i="25" s="1"/>
  <c r="H63" i="19"/>
  <c r="F121" i="61"/>
  <c r="B177" i="19"/>
  <c r="D177" i="19" s="1"/>
  <c r="B65" i="62"/>
  <c r="D65" i="62" s="1"/>
  <c r="B61" i="40"/>
  <c r="H61" i="40" s="1"/>
  <c r="D74" i="82"/>
  <c r="E74" i="82" s="1"/>
  <c r="D76" i="78"/>
  <c r="E76" i="78" s="1"/>
  <c r="D73" i="81"/>
  <c r="E73" i="81" s="1"/>
  <c r="B189" i="22"/>
  <c r="F189" i="22" s="1"/>
  <c r="B177" i="22"/>
  <c r="H177" i="22" s="1"/>
  <c r="H121" i="41"/>
  <c r="B62" i="22"/>
  <c r="F121" i="30"/>
  <c r="B178" i="22"/>
  <c r="D178" i="22" s="1"/>
  <c r="D79" i="84"/>
  <c r="E79" i="84" s="1"/>
  <c r="B181" i="33"/>
  <c r="H181" i="33" s="1"/>
  <c r="D80" i="77"/>
  <c r="E80" i="77" s="1"/>
  <c r="B179" i="19"/>
  <c r="D179" i="19" s="1"/>
  <c r="P74" i="41"/>
  <c r="B182" i="62"/>
  <c r="D182" i="62" s="1"/>
  <c r="J121" i="61"/>
  <c r="H129" i="60" s="1"/>
  <c r="I130" i="60" s="1"/>
  <c r="B65" i="59"/>
  <c r="F65" i="59" s="1"/>
  <c r="B63" i="40"/>
  <c r="F63" i="40" s="1"/>
  <c r="B186" i="59"/>
  <c r="F186" i="59" s="1"/>
  <c r="B179" i="33"/>
  <c r="H179" i="33" s="1"/>
  <c r="F121" i="20"/>
  <c r="B49" i="25"/>
  <c r="H49" i="25" s="1"/>
  <c r="D74" i="76"/>
  <c r="E74" i="76" s="1"/>
  <c r="D75" i="81"/>
  <c r="E75" i="81" s="1"/>
  <c r="B60" i="33"/>
  <c r="H60" i="33" s="1"/>
  <c r="L121" i="87"/>
  <c r="B72" i="85" s="1"/>
  <c r="F72" i="85" s="1"/>
  <c r="L121" i="58"/>
  <c r="F121" i="58"/>
  <c r="D76" i="77"/>
  <c r="E76" i="77" s="1"/>
  <c r="D76" i="82"/>
  <c r="E76" i="82" s="1"/>
  <c r="D79" i="77"/>
  <c r="E79" i="77" s="1"/>
  <c r="D78" i="84"/>
  <c r="E78" i="84" s="1"/>
  <c r="B62" i="59"/>
  <c r="F62" i="59" s="1"/>
  <c r="B193" i="40"/>
  <c r="H193" i="40" s="1"/>
  <c r="M81" i="17"/>
  <c r="B179" i="22"/>
  <c r="H179" i="22" s="1"/>
  <c r="D76" i="84"/>
  <c r="E76" i="84" s="1"/>
  <c r="B50" i="25"/>
  <c r="H50" i="25" s="1"/>
  <c r="E121" i="23"/>
  <c r="J121" i="41"/>
  <c r="H129" i="42" s="1"/>
  <c r="B36" i="40" s="1"/>
  <c r="H36" i="40" s="1"/>
  <c r="B71" i="59"/>
  <c r="H71" i="59" s="1"/>
  <c r="B191" i="62"/>
  <c r="F191" i="62" s="1"/>
  <c r="D79" i="81"/>
  <c r="E79" i="81" s="1"/>
  <c r="B60" i="62"/>
  <c r="H60" i="62" s="1"/>
  <c r="D78" i="78"/>
  <c r="E78" i="78" s="1"/>
  <c r="B65" i="22"/>
  <c r="F65" i="22" s="1"/>
  <c r="L121" i="61"/>
  <c r="B192" i="62" s="1"/>
  <c r="F192" i="62" s="1"/>
  <c r="B188" i="62"/>
  <c r="H188" i="62" s="1"/>
  <c r="B60" i="40"/>
  <c r="F60" i="40" s="1"/>
  <c r="B59" i="85"/>
  <c r="F59" i="85" s="1"/>
  <c r="B66" i="85"/>
  <c r="D66" i="85" s="1"/>
  <c r="D75" i="86"/>
  <c r="E75" i="86" s="1"/>
  <c r="D78" i="82"/>
  <c r="E78" i="82" s="1"/>
  <c r="B62" i="40"/>
  <c r="H62" i="40" s="1"/>
  <c r="H114" i="23"/>
  <c r="J114" i="23"/>
  <c r="H86" i="24" s="1"/>
  <c r="B131" i="25" s="1"/>
  <c r="D131" i="25" s="1"/>
  <c r="D79" i="82"/>
  <c r="E79" i="82" s="1"/>
  <c r="J121" i="58"/>
  <c r="H129" i="57" s="1"/>
  <c r="M12" i="58"/>
  <c r="H121" i="20"/>
  <c r="B59" i="22"/>
  <c r="D59" i="22" s="1"/>
  <c r="M9" i="20"/>
  <c r="M16" i="58"/>
  <c r="M88" i="58"/>
  <c r="M88" i="17"/>
  <c r="M89" i="41"/>
  <c r="M19" i="58"/>
  <c r="M21" i="17"/>
  <c r="M20" i="58"/>
  <c r="M85" i="61"/>
  <c r="M90" i="58"/>
  <c r="M23" i="17"/>
  <c r="M110" i="58"/>
  <c r="M19" i="17"/>
  <c r="M14" i="17"/>
  <c r="M17" i="41"/>
  <c r="M90" i="17"/>
  <c r="M17" i="20"/>
  <c r="M16" i="17"/>
  <c r="M77" i="23"/>
  <c r="M18" i="41"/>
  <c r="M112" i="41"/>
  <c r="M18" i="17"/>
  <c r="B188" i="85"/>
  <c r="H188" i="85" s="1"/>
  <c r="M18" i="58"/>
  <c r="M22" i="17"/>
  <c r="M22" i="58"/>
  <c r="M11" i="17"/>
  <c r="M17" i="17"/>
  <c r="M112" i="58"/>
  <c r="M83" i="17"/>
  <c r="M14" i="87"/>
  <c r="M81" i="58"/>
  <c r="M58" i="17"/>
  <c r="M22" i="87"/>
  <c r="M18" i="87"/>
  <c r="M15" i="17"/>
  <c r="M55" i="17"/>
  <c r="M10" i="17"/>
  <c r="M85" i="17"/>
  <c r="M22" i="20"/>
  <c r="M13" i="87"/>
  <c r="M13" i="58"/>
  <c r="M80" i="87"/>
  <c r="M89" i="58"/>
  <c r="M10" i="41"/>
  <c r="M111" i="41"/>
  <c r="M17" i="58"/>
  <c r="M20" i="17"/>
  <c r="M21" i="41"/>
  <c r="M110" i="17"/>
  <c r="M12" i="41"/>
  <c r="M83" i="61"/>
  <c r="M78" i="23"/>
  <c r="M52" i="20"/>
  <c r="B180" i="22"/>
  <c r="H180" i="22" s="1"/>
  <c r="M103" i="23"/>
  <c r="M111" i="58"/>
  <c r="B66" i="59"/>
  <c r="D66" i="59" s="1"/>
  <c r="M21" i="20"/>
  <c r="M104" i="23"/>
  <c r="M90" i="41"/>
  <c r="M110" i="41"/>
  <c r="M56" i="58"/>
  <c r="M19" i="23"/>
  <c r="M12" i="20"/>
  <c r="M28" i="30"/>
  <c r="M19" i="41"/>
  <c r="M23" i="23"/>
  <c r="M16" i="20"/>
  <c r="F60" i="25"/>
  <c r="M53" i="20"/>
  <c r="B185" i="59"/>
  <c r="D185" i="59" s="1"/>
  <c r="M49" i="61"/>
  <c r="M21" i="87"/>
  <c r="M32" i="30"/>
  <c r="H60" i="25"/>
  <c r="M84" i="23"/>
  <c r="M54" i="87"/>
  <c r="M110" i="20"/>
  <c r="B71" i="22"/>
  <c r="H71" i="22" s="1"/>
  <c r="M10" i="58"/>
  <c r="M84" i="58"/>
  <c r="M82" i="58"/>
  <c r="M15" i="58"/>
  <c r="M66" i="30"/>
  <c r="M80" i="58"/>
  <c r="M13" i="61"/>
  <c r="M83" i="58"/>
  <c r="M81" i="41"/>
  <c r="M15" i="41"/>
  <c r="M21" i="58"/>
  <c r="M54" i="17"/>
  <c r="M11" i="61"/>
  <c r="M52" i="58"/>
  <c r="M9" i="58"/>
  <c r="M81" i="87"/>
  <c r="M82" i="87"/>
  <c r="M13" i="23"/>
  <c r="M88" i="20"/>
  <c r="M111" i="87"/>
  <c r="M90" i="87"/>
  <c r="M10" i="20"/>
  <c r="M111" i="61"/>
  <c r="M70" i="17"/>
  <c r="M84" i="41"/>
  <c r="B71" i="40"/>
  <c r="F71" i="40" s="1"/>
  <c r="F41" i="1"/>
  <c r="M47" i="61"/>
  <c r="M111" i="20"/>
  <c r="M22" i="41"/>
  <c r="M88" i="41"/>
  <c r="B181" i="85"/>
  <c r="D181" i="85" s="1"/>
  <c r="M9" i="87"/>
  <c r="M21" i="61"/>
  <c r="M89" i="20"/>
  <c r="M110" i="61"/>
  <c r="L121" i="20"/>
  <c r="B72" i="22" s="1"/>
  <c r="F72" i="22" s="1"/>
  <c r="F39" i="1"/>
  <c r="M82" i="41"/>
  <c r="M16" i="41"/>
  <c r="M83" i="41"/>
  <c r="M68" i="23"/>
  <c r="B153" i="25"/>
  <c r="D153" i="25" s="1"/>
  <c r="M83" i="87"/>
  <c r="M13" i="41"/>
  <c r="H121" i="87"/>
  <c r="M80" i="41"/>
  <c r="F121" i="87"/>
  <c r="M88" i="61"/>
  <c r="M14" i="20"/>
  <c r="M94" i="61"/>
  <c r="M12" i="61"/>
  <c r="F114" i="23"/>
  <c r="M69" i="58"/>
  <c r="B184" i="40"/>
  <c r="F184" i="40" s="1"/>
  <c r="M20" i="23"/>
  <c r="M105" i="23"/>
  <c r="M75" i="23"/>
  <c r="M84" i="87"/>
  <c r="M10" i="23"/>
  <c r="M9" i="41"/>
  <c r="M21" i="23"/>
  <c r="D193" i="85"/>
  <c r="M12" i="87"/>
  <c r="M36" i="61"/>
  <c r="M85" i="87"/>
  <c r="M9" i="23"/>
  <c r="M16" i="23"/>
  <c r="M52" i="41"/>
  <c r="M75" i="41"/>
  <c r="M90" i="20"/>
  <c r="M23" i="87"/>
  <c r="M15" i="20"/>
  <c r="M12" i="23"/>
  <c r="M94" i="17"/>
  <c r="B48" i="25"/>
  <c r="F48" i="25" s="1"/>
  <c r="M10" i="61"/>
  <c r="M23" i="61"/>
  <c r="M11" i="41"/>
  <c r="M23" i="20"/>
  <c r="M14" i="41"/>
  <c r="M55" i="20"/>
  <c r="B188" i="40"/>
  <c r="F188" i="40" s="1"/>
  <c r="B66" i="40"/>
  <c r="F66" i="40" s="1"/>
  <c r="M82" i="20"/>
  <c r="M18" i="23"/>
  <c r="M17" i="87"/>
  <c r="M20" i="87"/>
  <c r="M20" i="41"/>
  <c r="M79" i="23"/>
  <c r="M23" i="41"/>
  <c r="M88" i="87"/>
  <c r="B59" i="40"/>
  <c r="H59" i="40" s="1"/>
  <c r="F121" i="41"/>
  <c r="F57" i="25"/>
  <c r="D57" i="25"/>
  <c r="B62" i="62"/>
  <c r="H62" i="62" s="1"/>
  <c r="M31" i="30"/>
  <c r="B181" i="40"/>
  <c r="F181" i="40" s="1"/>
  <c r="M43" i="58"/>
  <c r="M87" i="23"/>
  <c r="M95" i="61"/>
  <c r="M11" i="23"/>
  <c r="M19" i="61"/>
  <c r="M13" i="20"/>
  <c r="M76" i="23"/>
  <c r="M93" i="41"/>
  <c r="M83" i="20"/>
  <c r="M52" i="17"/>
  <c r="B190" i="40"/>
  <c r="D190" i="40" s="1"/>
  <c r="M19" i="20"/>
  <c r="M90" i="61"/>
  <c r="M37" i="58"/>
  <c r="M57" i="58"/>
  <c r="B68" i="40"/>
  <c r="F68" i="40" s="1"/>
  <c r="M55" i="87"/>
  <c r="F54" i="25"/>
  <c r="M14" i="61"/>
  <c r="M93" i="61"/>
  <c r="M58" i="58"/>
  <c r="M66" i="23"/>
  <c r="M48" i="30"/>
  <c r="M11" i="87"/>
  <c r="M70" i="61"/>
  <c r="M112" i="87"/>
  <c r="F193" i="85"/>
  <c r="M95" i="20"/>
  <c r="B182" i="40"/>
  <c r="D182" i="40" s="1"/>
  <c r="M26" i="41"/>
  <c r="M89" i="87"/>
  <c r="M57" i="17"/>
  <c r="M16" i="87"/>
  <c r="M57" i="20"/>
  <c r="M77" i="61"/>
  <c r="M22" i="61"/>
  <c r="M75" i="61"/>
  <c r="H54" i="25"/>
  <c r="M112" i="20"/>
  <c r="M19" i="87"/>
  <c r="M10" i="87"/>
  <c r="M53" i="87"/>
  <c r="M65" i="30"/>
  <c r="M51" i="23"/>
  <c r="M81" i="61"/>
  <c r="M80" i="20"/>
  <c r="M81" i="20"/>
  <c r="M17" i="61"/>
  <c r="M57" i="87"/>
  <c r="M9" i="61"/>
  <c r="M84" i="61"/>
  <c r="B65" i="19"/>
  <c r="B68" i="62"/>
  <c r="H68" i="62" s="1"/>
  <c r="B184" i="22"/>
  <c r="F184" i="22" s="1"/>
  <c r="M48" i="17"/>
  <c r="M52" i="61"/>
  <c r="M14" i="23"/>
  <c r="M20" i="20"/>
  <c r="M16" i="61"/>
  <c r="M89" i="61"/>
  <c r="F65" i="33"/>
  <c r="M72" i="20"/>
  <c r="M70" i="58"/>
  <c r="M58" i="20"/>
  <c r="M67" i="23"/>
  <c r="M15" i="23"/>
  <c r="M56" i="20"/>
  <c r="M80" i="61"/>
  <c r="M15" i="61"/>
  <c r="M70" i="20"/>
  <c r="M55" i="61"/>
  <c r="M56" i="87"/>
  <c r="M94" i="41"/>
  <c r="M69" i="41"/>
  <c r="M89" i="23"/>
  <c r="M18" i="61"/>
  <c r="M20" i="61"/>
  <c r="M69" i="17"/>
  <c r="M22" i="23"/>
  <c r="M83" i="23"/>
  <c r="M17" i="23"/>
  <c r="M85" i="20"/>
  <c r="M58" i="87"/>
  <c r="M71" i="61"/>
  <c r="M75" i="87"/>
  <c r="F181" i="19"/>
  <c r="H181" i="19"/>
  <c r="B187" i="40"/>
  <c r="H187" i="40" s="1"/>
  <c r="D65" i="33"/>
  <c r="B65" i="40"/>
  <c r="H65" i="40" s="1"/>
  <c r="M43" i="17"/>
  <c r="M31" i="58"/>
  <c r="M74" i="20"/>
  <c r="M30" i="61"/>
  <c r="M46" i="58"/>
  <c r="M47" i="41"/>
  <c r="M71" i="17"/>
  <c r="M71" i="41"/>
  <c r="M54" i="61"/>
  <c r="M44" i="17"/>
  <c r="M64" i="17"/>
  <c r="M76" i="20"/>
  <c r="M53" i="58"/>
  <c r="M54" i="58"/>
  <c r="F68" i="22"/>
  <c r="M56" i="61"/>
  <c r="M40" i="23"/>
  <c r="M71" i="30"/>
  <c r="M53" i="61"/>
  <c r="M57" i="61"/>
  <c r="M71" i="58"/>
  <c r="M30" i="17"/>
  <c r="M95" i="17"/>
  <c r="M69" i="30"/>
  <c r="M56" i="41"/>
  <c r="M70" i="41"/>
  <c r="B180" i="62"/>
  <c r="D180" i="62" s="1"/>
  <c r="M30" i="41"/>
  <c r="M69" i="20"/>
  <c r="M65" i="41"/>
  <c r="B183" i="22"/>
  <c r="H183" i="22" s="1"/>
  <c r="M38" i="17"/>
  <c r="M36" i="58"/>
  <c r="M42" i="30"/>
  <c r="M42" i="20"/>
  <c r="M41" i="61"/>
  <c r="H68" i="22"/>
  <c r="M44" i="58"/>
  <c r="M94" i="30"/>
  <c r="M66" i="17"/>
  <c r="D78" i="77"/>
  <c r="E78" i="77" s="1"/>
  <c r="M73" i="61"/>
  <c r="M95" i="30"/>
  <c r="M93" i="20"/>
  <c r="M45" i="30"/>
  <c r="M46" i="61"/>
  <c r="M44" i="23"/>
  <c r="D78" i="86"/>
  <c r="E78" i="86" s="1"/>
  <c r="M26" i="61"/>
  <c r="M53" i="41"/>
  <c r="D78" i="79"/>
  <c r="E78" i="79" s="1"/>
  <c r="M43" i="41"/>
  <c r="M70" i="30"/>
  <c r="M94" i="20"/>
  <c r="M76" i="17"/>
  <c r="M47" i="30"/>
  <c r="M74" i="87"/>
  <c r="M76" i="58"/>
  <c r="M66" i="58"/>
  <c r="M77" i="17"/>
  <c r="M32" i="58"/>
  <c r="M43" i="23"/>
  <c r="M46" i="30"/>
  <c r="M42" i="61"/>
  <c r="M65" i="58"/>
  <c r="M42" i="23"/>
  <c r="M44" i="41"/>
  <c r="O44" i="41"/>
  <c r="M41" i="58"/>
  <c r="M45" i="58"/>
  <c r="M27" i="30"/>
  <c r="M35" i="58"/>
  <c r="M35" i="17"/>
  <c r="D76" i="86"/>
  <c r="E76" i="86" s="1"/>
  <c r="M46" i="41"/>
  <c r="B61" i="19"/>
  <c r="M36" i="17"/>
  <c r="M40" i="17"/>
  <c r="M93" i="58"/>
  <c r="D75" i="82"/>
  <c r="E75" i="82" s="1"/>
  <c r="M45" i="17"/>
  <c r="M31" i="61"/>
  <c r="B178" i="33"/>
  <c r="F178" i="33" s="1"/>
  <c r="M37" i="61"/>
  <c r="M76" i="87"/>
  <c r="M40" i="58"/>
  <c r="M95" i="58"/>
  <c r="M44" i="30"/>
  <c r="M57" i="41"/>
  <c r="M49" i="17"/>
  <c r="M47" i="20"/>
  <c r="M49" i="58"/>
  <c r="M26" i="30"/>
  <c r="B68" i="59"/>
  <c r="D68" i="59" s="1"/>
  <c r="D74" i="86"/>
  <c r="E74" i="86" s="1"/>
  <c r="M26" i="17"/>
  <c r="M49" i="30"/>
  <c r="M63" i="23"/>
  <c r="M32" i="17"/>
  <c r="B60" i="19"/>
  <c r="M41" i="30"/>
  <c r="M66" i="41"/>
  <c r="M27" i="61"/>
  <c r="M37" i="41"/>
  <c r="M45" i="41"/>
  <c r="M49" i="20"/>
  <c r="M40" i="20"/>
  <c r="M38" i="58"/>
  <c r="M73" i="17"/>
  <c r="M72" i="58"/>
  <c r="M29" i="58"/>
  <c r="M39" i="61"/>
  <c r="F63" i="22"/>
  <c r="M75" i="20"/>
  <c r="M37" i="17"/>
  <c r="M37" i="30"/>
  <c r="M38" i="61"/>
  <c r="M28" i="41"/>
  <c r="M39" i="30"/>
  <c r="M40" i="30"/>
  <c r="M39" i="17"/>
  <c r="M39" i="58"/>
  <c r="M43" i="61"/>
  <c r="M55" i="41"/>
  <c r="M72" i="87"/>
  <c r="M38" i="23"/>
  <c r="M36" i="23"/>
  <c r="M38" i="20"/>
  <c r="M39" i="23"/>
  <c r="M30" i="58"/>
  <c r="M27" i="17"/>
  <c r="M36" i="30"/>
  <c r="M42" i="17"/>
  <c r="M75" i="58"/>
  <c r="M49" i="41"/>
  <c r="B181" i="22"/>
  <c r="F181" i="22" s="1"/>
  <c r="D63" i="22"/>
  <c r="M74" i="41"/>
  <c r="M45" i="61"/>
  <c r="M74" i="17"/>
  <c r="M30" i="30"/>
  <c r="M64" i="41"/>
  <c r="M46" i="17"/>
  <c r="M30" i="20"/>
  <c r="M37" i="20"/>
  <c r="M39" i="41"/>
  <c r="M38" i="30"/>
  <c r="M47" i="17"/>
  <c r="M41" i="20"/>
  <c r="M47" i="58"/>
  <c r="M41" i="23"/>
  <c r="M31" i="17"/>
  <c r="M64" i="58"/>
  <c r="M58" i="41"/>
  <c r="M26" i="20"/>
  <c r="M31" i="20"/>
  <c r="M44" i="20"/>
  <c r="B155" i="25"/>
  <c r="D155" i="25" s="1"/>
  <c r="O41" i="41"/>
  <c r="D75" i="79"/>
  <c r="E75" i="79" s="1"/>
  <c r="M41" i="41"/>
  <c r="M43" i="20"/>
  <c r="M73" i="41"/>
  <c r="M64" i="20"/>
  <c r="D75" i="77"/>
  <c r="E75" i="77" s="1"/>
  <c r="M46" i="20"/>
  <c r="M36" i="41"/>
  <c r="M27" i="41"/>
  <c r="M66" i="20"/>
  <c r="M35" i="23"/>
  <c r="M41" i="17"/>
  <c r="M29" i="20"/>
  <c r="B180" i="59"/>
  <c r="D180" i="59" s="1"/>
  <c r="M45" i="20"/>
  <c r="M31" i="23"/>
  <c r="D75" i="78"/>
  <c r="E75" i="78" s="1"/>
  <c r="M48" i="58"/>
  <c r="M28" i="17"/>
  <c r="M32" i="41"/>
  <c r="M48" i="61"/>
  <c r="M43" i="30"/>
  <c r="M28" i="20"/>
  <c r="D74" i="79"/>
  <c r="E74" i="79" s="1"/>
  <c r="M65" i="20"/>
  <c r="M28" i="61"/>
  <c r="B181" i="62"/>
  <c r="D181" i="62" s="1"/>
  <c r="M46" i="23"/>
  <c r="M32" i="61"/>
  <c r="M52" i="23"/>
  <c r="M44" i="61"/>
  <c r="M39" i="20"/>
  <c r="M40" i="61"/>
  <c r="B63" i="62"/>
  <c r="H63" i="62" s="1"/>
  <c r="M62" i="23"/>
  <c r="M35" i="20"/>
  <c r="B61" i="22"/>
  <c r="H61" i="22" s="1"/>
  <c r="M29" i="41"/>
  <c r="M35" i="61"/>
  <c r="B154" i="25"/>
  <c r="F154" i="25" s="1"/>
  <c r="M26" i="58"/>
  <c r="H183" i="62"/>
  <c r="M64" i="61"/>
  <c r="F183" i="62"/>
  <c r="B157" i="25"/>
  <c r="F157" i="25" s="1"/>
  <c r="M48" i="41"/>
  <c r="M42" i="41"/>
  <c r="M40" i="41"/>
  <c r="M38" i="41"/>
  <c r="M48" i="20"/>
  <c r="M61" i="23"/>
  <c r="M45" i="23"/>
  <c r="M27" i="58"/>
  <c r="M27" i="20"/>
  <c r="M64" i="30"/>
  <c r="B63" i="33"/>
  <c r="M50" i="23"/>
  <c r="M72" i="61"/>
  <c r="M26" i="23"/>
  <c r="M28" i="23"/>
  <c r="M29" i="23"/>
  <c r="M27" i="23"/>
  <c r="M73" i="58"/>
  <c r="F189" i="19"/>
  <c r="H189" i="19"/>
  <c r="F68" i="33" l="1"/>
  <c r="D68" i="33"/>
  <c r="F68" i="85"/>
  <c r="H51" i="25"/>
  <c r="F51" i="25"/>
  <c r="F186" i="19"/>
  <c r="H186" i="19"/>
  <c r="D183" i="33"/>
  <c r="F183" i="33"/>
  <c r="H156" i="54"/>
  <c r="F156" i="54"/>
  <c r="B95" i="29"/>
  <c r="B99" i="29"/>
  <c r="F71" i="19"/>
  <c r="B103" i="29"/>
  <c r="D68" i="19"/>
  <c r="B100" i="29"/>
  <c r="H65" i="19"/>
  <c r="B97" i="29"/>
  <c r="F62" i="19"/>
  <c r="B94" i="29"/>
  <c r="D59" i="19"/>
  <c r="B92" i="29"/>
  <c r="H61" i="19"/>
  <c r="B93" i="29"/>
  <c r="D66" i="19"/>
  <c r="B98" i="29"/>
  <c r="H185" i="22"/>
  <c r="D185" i="22"/>
  <c r="D137" i="89"/>
  <c r="F137" i="89"/>
  <c r="H137" i="89"/>
  <c r="F187" i="59"/>
  <c r="H187" i="59"/>
  <c r="D187" i="59"/>
  <c r="H56" i="25"/>
  <c r="F56" i="25"/>
  <c r="D56" i="25"/>
  <c r="H189" i="40"/>
  <c r="F189" i="40"/>
  <c r="D189" i="40"/>
  <c r="H185" i="19"/>
  <c r="F185" i="19"/>
  <c r="D185" i="19"/>
  <c r="H67" i="33"/>
  <c r="D67" i="33"/>
  <c r="F67" i="33"/>
  <c r="F67" i="59"/>
  <c r="H67" i="59"/>
  <c r="D67" i="59"/>
  <c r="H161" i="25"/>
  <c r="F161" i="25"/>
  <c r="D161" i="25"/>
  <c r="H67" i="19"/>
  <c r="F67" i="19"/>
  <c r="D67" i="19"/>
  <c r="H185" i="33"/>
  <c r="F185" i="33"/>
  <c r="D185" i="33"/>
  <c r="H67" i="22"/>
  <c r="D67" i="22"/>
  <c r="F67" i="22"/>
  <c r="H56" i="54"/>
  <c r="D56" i="54"/>
  <c r="F56" i="54"/>
  <c r="F161" i="54"/>
  <c r="D161" i="54"/>
  <c r="H161" i="54"/>
  <c r="D162" i="89"/>
  <c r="F162" i="89"/>
  <c r="H162" i="89"/>
  <c r="D161" i="89"/>
  <c r="F161" i="89"/>
  <c r="H161" i="89"/>
  <c r="D163" i="89"/>
  <c r="F163" i="89"/>
  <c r="H163" i="89"/>
  <c r="B48" i="89"/>
  <c r="D48" i="89" s="1"/>
  <c r="B159" i="89"/>
  <c r="J160" i="89" s="1"/>
  <c r="D160" i="89"/>
  <c r="F160" i="89"/>
  <c r="H160" i="89"/>
  <c r="D165" i="89"/>
  <c r="F165" i="89"/>
  <c r="H165" i="89"/>
  <c r="B172" i="89"/>
  <c r="B61" i="89"/>
  <c r="D56" i="89"/>
  <c r="F56" i="89"/>
  <c r="H56" i="89"/>
  <c r="D171" i="89"/>
  <c r="H171" i="89"/>
  <c r="F171" i="89"/>
  <c r="D168" i="89"/>
  <c r="F168" i="89"/>
  <c r="H168" i="89"/>
  <c r="D167" i="89"/>
  <c r="F167" i="89"/>
  <c r="H167" i="89"/>
  <c r="H67" i="40"/>
  <c r="D67" i="40"/>
  <c r="F67" i="40"/>
  <c r="D166" i="89"/>
  <c r="H166" i="89"/>
  <c r="F166" i="89"/>
  <c r="G87" i="92"/>
  <c r="B26" i="89"/>
  <c r="D55" i="89"/>
  <c r="F55" i="89"/>
  <c r="H55" i="89"/>
  <c r="D57" i="89"/>
  <c r="F57" i="89"/>
  <c r="H57" i="89"/>
  <c r="F60" i="89"/>
  <c r="H60" i="89"/>
  <c r="D60" i="89"/>
  <c r="H52" i="89"/>
  <c r="D52" i="89"/>
  <c r="F52" i="89"/>
  <c r="F49" i="89"/>
  <c r="H49" i="89"/>
  <c r="D49" i="89"/>
  <c r="F51" i="89"/>
  <c r="H51" i="89"/>
  <c r="D51" i="89"/>
  <c r="H54" i="89"/>
  <c r="D54" i="89"/>
  <c r="F54" i="89"/>
  <c r="F50" i="89"/>
  <c r="H50" i="89"/>
  <c r="D50" i="89"/>
  <c r="D79" i="90"/>
  <c r="E79" i="90" s="1"/>
  <c r="M9" i="91"/>
  <c r="M124" i="91" s="1"/>
  <c r="H124" i="91"/>
  <c r="B72" i="59"/>
  <c r="F72" i="59" s="1"/>
  <c r="G129" i="57"/>
  <c r="H86" i="55"/>
  <c r="B131" i="54" s="1"/>
  <c r="I88" i="92"/>
  <c r="D156" i="25"/>
  <c r="F156" i="25"/>
  <c r="F190" i="85"/>
  <c r="H190" i="85"/>
  <c r="F184" i="33"/>
  <c r="H184" i="33"/>
  <c r="H62" i="19"/>
  <c r="D62" i="19"/>
  <c r="H62" i="33"/>
  <c r="F62" i="33"/>
  <c r="D182" i="85"/>
  <c r="H183" i="85"/>
  <c r="H182" i="85"/>
  <c r="D183" i="85"/>
  <c r="F179" i="59"/>
  <c r="F181" i="59"/>
  <c r="D66" i="33"/>
  <c r="D177" i="22"/>
  <c r="H66" i="33"/>
  <c r="H59" i="19"/>
  <c r="F180" i="33"/>
  <c r="H180" i="33"/>
  <c r="H61" i="85"/>
  <c r="F61" i="85"/>
  <c r="H185" i="85"/>
  <c r="D185" i="85"/>
  <c r="F63" i="85"/>
  <c r="D63" i="85"/>
  <c r="H55" i="25"/>
  <c r="H179" i="62"/>
  <c r="D179" i="59"/>
  <c r="B192" i="59"/>
  <c r="D192" i="59" s="1"/>
  <c r="D60" i="85"/>
  <c r="F60" i="85"/>
  <c r="H60" i="85"/>
  <c r="D186" i="22"/>
  <c r="H183" i="19"/>
  <c r="H59" i="59"/>
  <c r="D71" i="19"/>
  <c r="H71" i="19"/>
  <c r="H181" i="59"/>
  <c r="H60" i="22"/>
  <c r="H194" i="40"/>
  <c r="D63" i="59"/>
  <c r="F66" i="19"/>
  <c r="D62" i="85"/>
  <c r="D180" i="19"/>
  <c r="D49" i="25"/>
  <c r="H186" i="22"/>
  <c r="D177" i="33"/>
  <c r="H177" i="33"/>
  <c r="F177" i="33"/>
  <c r="D59" i="33"/>
  <c r="H59" i="33"/>
  <c r="F59" i="33"/>
  <c r="F66" i="62"/>
  <c r="H66" i="19"/>
  <c r="D191" i="59"/>
  <c r="H191" i="59"/>
  <c r="F159" i="54"/>
  <c r="H159" i="54"/>
  <c r="D159" i="54"/>
  <c r="F155" i="54"/>
  <c r="D155" i="54"/>
  <c r="H155" i="54"/>
  <c r="H160" i="54"/>
  <c r="F160" i="54"/>
  <c r="D160" i="54"/>
  <c r="B48" i="54"/>
  <c r="H114" i="56"/>
  <c r="M9" i="56"/>
  <c r="M114" i="56" s="1"/>
  <c r="B153" i="54"/>
  <c r="B166" i="54"/>
  <c r="B61" i="54"/>
  <c r="D50" i="54"/>
  <c r="H50" i="54"/>
  <c r="F50" i="54"/>
  <c r="F60" i="54"/>
  <c r="H60" i="54"/>
  <c r="D60" i="54"/>
  <c r="F154" i="54"/>
  <c r="H154" i="54"/>
  <c r="D154" i="54"/>
  <c r="H49" i="54"/>
  <c r="D49" i="54"/>
  <c r="F49" i="54"/>
  <c r="H165" i="54"/>
  <c r="D165" i="54"/>
  <c r="F165" i="54"/>
  <c r="E72" i="83"/>
  <c r="D80" i="83"/>
  <c r="E80" i="83" s="1"/>
  <c r="D162" i="54"/>
  <c r="F162" i="54"/>
  <c r="H162" i="54"/>
  <c r="F157" i="54"/>
  <c r="D157" i="54"/>
  <c r="H157" i="54"/>
  <c r="H57" i="54"/>
  <c r="D57" i="54"/>
  <c r="F57" i="54"/>
  <c r="H54" i="54"/>
  <c r="F54" i="54"/>
  <c r="D54" i="54"/>
  <c r="H52" i="54"/>
  <c r="D52" i="54"/>
  <c r="F52" i="54"/>
  <c r="D55" i="54"/>
  <c r="H55" i="54"/>
  <c r="F55" i="54"/>
  <c r="H61" i="33"/>
  <c r="H62" i="85"/>
  <c r="H184" i="19"/>
  <c r="F61" i="33"/>
  <c r="D186" i="33"/>
  <c r="H59" i="22"/>
  <c r="F59" i="22"/>
  <c r="H186" i="33"/>
  <c r="H179" i="19"/>
  <c r="F184" i="19"/>
  <c r="F179" i="19"/>
  <c r="F180" i="19"/>
  <c r="F177" i="22"/>
  <c r="H188" i="59"/>
  <c r="H60" i="59"/>
  <c r="F178" i="19"/>
  <c r="D179" i="33"/>
  <c r="H189" i="22"/>
  <c r="D61" i="62"/>
  <c r="H192" i="62"/>
  <c r="D178" i="19"/>
  <c r="I130" i="18"/>
  <c r="B154" i="19"/>
  <c r="F154" i="19" s="1"/>
  <c r="H61" i="62"/>
  <c r="F188" i="59"/>
  <c r="F63" i="59"/>
  <c r="B36" i="19"/>
  <c r="F60" i="22"/>
  <c r="D60" i="40"/>
  <c r="F59" i="59"/>
  <c r="F179" i="33"/>
  <c r="F68" i="19"/>
  <c r="D189" i="22"/>
  <c r="F60" i="59"/>
  <c r="D165" i="25"/>
  <c r="D62" i="59"/>
  <c r="D71" i="62"/>
  <c r="H178" i="22"/>
  <c r="H165" i="25"/>
  <c r="F190" i="19"/>
  <c r="H68" i="19"/>
  <c r="H187" i="85"/>
  <c r="F60" i="62"/>
  <c r="F194" i="40"/>
  <c r="B72" i="40"/>
  <c r="H72" i="40" s="1"/>
  <c r="D188" i="85"/>
  <c r="F183" i="19"/>
  <c r="F187" i="85"/>
  <c r="H60" i="40"/>
  <c r="D71" i="59"/>
  <c r="F71" i="62"/>
  <c r="F71" i="59"/>
  <c r="D65" i="59"/>
  <c r="H65" i="59"/>
  <c r="H186" i="62"/>
  <c r="F183" i="40"/>
  <c r="I130" i="21"/>
  <c r="F178" i="22"/>
  <c r="D60" i="33"/>
  <c r="F62" i="40"/>
  <c r="J60" i="33"/>
  <c r="F186" i="62"/>
  <c r="H36" i="22"/>
  <c r="F60" i="33"/>
  <c r="H62" i="59"/>
  <c r="J178" i="19"/>
  <c r="H72" i="85"/>
  <c r="D72" i="85"/>
  <c r="E43" i="86" s="1"/>
  <c r="D63" i="40"/>
  <c r="H66" i="62"/>
  <c r="F193" i="40"/>
  <c r="B194" i="85"/>
  <c r="H194" i="85" s="1"/>
  <c r="H154" i="33"/>
  <c r="B36" i="59"/>
  <c r="H36" i="59" s="1"/>
  <c r="B166" i="25"/>
  <c r="H166" i="25" s="1"/>
  <c r="D179" i="22"/>
  <c r="F179" i="22"/>
  <c r="D60" i="62"/>
  <c r="H185" i="62"/>
  <c r="D179" i="62"/>
  <c r="J60" i="85"/>
  <c r="F61" i="25"/>
  <c r="B158" i="40"/>
  <c r="H158" i="40" s="1"/>
  <c r="H61" i="25"/>
  <c r="D193" i="40"/>
  <c r="F61" i="59"/>
  <c r="F59" i="19"/>
  <c r="D59" i="62"/>
  <c r="B73" i="85"/>
  <c r="H59" i="85"/>
  <c r="F65" i="85"/>
  <c r="H182" i="59"/>
  <c r="H65" i="85"/>
  <c r="D182" i="59"/>
  <c r="I130" i="31"/>
  <c r="B36" i="33"/>
  <c r="F36" i="33" s="1"/>
  <c r="D81" i="77"/>
  <c r="E81" i="77" s="1"/>
  <c r="B158" i="85"/>
  <c r="H158" i="85" s="1"/>
  <c r="B191" i="19"/>
  <c r="H72" i="33"/>
  <c r="B156" i="59"/>
  <c r="H156" i="59" s="1"/>
  <c r="F177" i="19"/>
  <c r="F181" i="33"/>
  <c r="I130" i="88"/>
  <c r="B36" i="85"/>
  <c r="F36" i="85" s="1"/>
  <c r="I130" i="57"/>
  <c r="D184" i="85"/>
  <c r="D181" i="33"/>
  <c r="H61" i="59"/>
  <c r="F55" i="25"/>
  <c r="B154" i="22"/>
  <c r="H154" i="22" s="1"/>
  <c r="D81" i="82"/>
  <c r="E81" i="82" s="1"/>
  <c r="D62" i="40"/>
  <c r="B190" i="33"/>
  <c r="D190" i="33" s="1"/>
  <c r="H190" i="19"/>
  <c r="F49" i="25"/>
  <c r="D59" i="85"/>
  <c r="H184" i="85"/>
  <c r="F50" i="25"/>
  <c r="D160" i="25"/>
  <c r="B72" i="19"/>
  <c r="H63" i="40"/>
  <c r="H186" i="59"/>
  <c r="F66" i="85"/>
  <c r="D186" i="59"/>
  <c r="H177" i="19"/>
  <c r="D50" i="25"/>
  <c r="H191" i="62"/>
  <c r="D183" i="40"/>
  <c r="D191" i="62"/>
  <c r="G129" i="21"/>
  <c r="D36" i="22"/>
  <c r="H66" i="85"/>
  <c r="J60" i="22"/>
  <c r="D72" i="33"/>
  <c r="E43" i="78" s="1"/>
  <c r="H160" i="25"/>
  <c r="H65" i="22"/>
  <c r="D65" i="22"/>
  <c r="F42" i="1"/>
  <c r="M121" i="20"/>
  <c r="J60" i="19"/>
  <c r="B73" i="22"/>
  <c r="F36" i="40"/>
  <c r="B73" i="33"/>
  <c r="H65" i="62"/>
  <c r="D185" i="62"/>
  <c r="F52" i="25"/>
  <c r="M121" i="30"/>
  <c r="M121" i="17"/>
  <c r="F182" i="62"/>
  <c r="H52" i="25"/>
  <c r="J178" i="33"/>
  <c r="D81" i="76"/>
  <c r="E81" i="76" s="1"/>
  <c r="F65" i="62"/>
  <c r="I87" i="24"/>
  <c r="F61" i="40"/>
  <c r="D81" i="79"/>
  <c r="E81" i="79" s="1"/>
  <c r="J60" i="62"/>
  <c r="D36" i="40"/>
  <c r="E21" i="79" s="1"/>
  <c r="E25" i="79" s="1"/>
  <c r="H131" i="25"/>
  <c r="G129" i="60"/>
  <c r="F59" i="62"/>
  <c r="G129" i="31"/>
  <c r="B26" i="25"/>
  <c r="H26" i="25" s="1"/>
  <c r="D61" i="40"/>
  <c r="F188" i="62"/>
  <c r="J60" i="59"/>
  <c r="F131" i="25"/>
  <c r="G129" i="42"/>
  <c r="B156" i="62"/>
  <c r="D156" i="62" s="1"/>
  <c r="G86" i="24"/>
  <c r="B36" i="62"/>
  <c r="D36" i="62" s="1"/>
  <c r="E21" i="81" s="1"/>
  <c r="E25" i="81" s="1"/>
  <c r="D80" i="84"/>
  <c r="E80" i="84" s="1"/>
  <c r="I130" i="42"/>
  <c r="D81" i="81"/>
  <c r="E81" i="81" s="1"/>
  <c r="D154" i="33"/>
  <c r="B193" i="62"/>
  <c r="D188" i="62"/>
  <c r="D192" i="62"/>
  <c r="H62" i="22"/>
  <c r="D62" i="22"/>
  <c r="M114" i="23"/>
  <c r="H182" i="62"/>
  <c r="F62" i="22"/>
  <c r="M121" i="87"/>
  <c r="J180" i="62"/>
  <c r="M121" i="58"/>
  <c r="M121" i="41"/>
  <c r="J180" i="59"/>
  <c r="D81" i="86"/>
  <c r="E81" i="86" s="1"/>
  <c r="B72" i="62"/>
  <c r="B73" i="62" s="1"/>
  <c r="J178" i="22"/>
  <c r="D80" i="78"/>
  <c r="E80" i="78" s="1"/>
  <c r="M121" i="61"/>
  <c r="F188" i="85"/>
  <c r="D71" i="22"/>
  <c r="F185" i="59"/>
  <c r="F71" i="22"/>
  <c r="H185" i="59"/>
  <c r="F66" i="59"/>
  <c r="H66" i="59"/>
  <c r="D180" i="22"/>
  <c r="F180" i="22"/>
  <c r="H184" i="40"/>
  <c r="D71" i="40"/>
  <c r="H71" i="40"/>
  <c r="J154" i="25"/>
  <c r="H153" i="25"/>
  <c r="D184" i="40"/>
  <c r="D66" i="40"/>
  <c r="H66" i="40"/>
  <c r="H181" i="85"/>
  <c r="J182" i="85"/>
  <c r="F181" i="85"/>
  <c r="B190" i="22"/>
  <c r="B191" i="22" s="1"/>
  <c r="D72" i="22"/>
  <c r="E43" i="77" s="1"/>
  <c r="H72" i="22"/>
  <c r="F153" i="25"/>
  <c r="H184" i="22"/>
  <c r="H182" i="40"/>
  <c r="B62" i="25"/>
  <c r="H181" i="40"/>
  <c r="B195" i="40"/>
  <c r="D48" i="25"/>
  <c r="H188" i="40"/>
  <c r="H68" i="40"/>
  <c r="H48" i="25"/>
  <c r="D188" i="40"/>
  <c r="J49" i="25"/>
  <c r="D181" i="40"/>
  <c r="H190" i="40"/>
  <c r="D59" i="40"/>
  <c r="J60" i="40"/>
  <c r="F59" i="40"/>
  <c r="F190" i="40"/>
  <c r="F62" i="62"/>
  <c r="F68" i="62"/>
  <c r="J182" i="40"/>
  <c r="D68" i="40"/>
  <c r="D62" i="62"/>
  <c r="F182" i="40"/>
  <c r="F65" i="19"/>
  <c r="D65" i="19"/>
  <c r="D187" i="40"/>
  <c r="F187" i="40"/>
  <c r="D184" i="22"/>
  <c r="D68" i="62"/>
  <c r="H66" i="22"/>
  <c r="D66" i="22"/>
  <c r="D183" i="22"/>
  <c r="F183" i="22"/>
  <c r="D65" i="40"/>
  <c r="F65" i="40"/>
  <c r="H60" i="19"/>
  <c r="H180" i="62"/>
  <c r="F180" i="62"/>
  <c r="D60" i="19"/>
  <c r="F61" i="19"/>
  <c r="F60" i="19"/>
  <c r="D61" i="19"/>
  <c r="H181" i="22"/>
  <c r="D181" i="22"/>
  <c r="H178" i="33"/>
  <c r="D178" i="33"/>
  <c r="H68" i="59"/>
  <c r="F68" i="59"/>
  <c r="H154" i="25"/>
  <c r="F181" i="62"/>
  <c r="D154" i="25"/>
  <c r="H180" i="59"/>
  <c r="F180" i="59"/>
  <c r="H181" i="62"/>
  <c r="F155" i="25"/>
  <c r="H155" i="25"/>
  <c r="F61" i="22"/>
  <c r="D63" i="62"/>
  <c r="F63" i="62"/>
  <c r="D61" i="22"/>
  <c r="H157" i="25"/>
  <c r="D157" i="25"/>
  <c r="H63" i="33"/>
  <c r="D63" i="33"/>
  <c r="F63" i="33"/>
  <c r="E42" i="84"/>
  <c r="E21" i="77" l="1"/>
  <c r="E25" i="77" s="1"/>
  <c r="G86" i="55"/>
  <c r="H72" i="19"/>
  <c r="H73" i="19" s="1"/>
  <c r="B104" i="29"/>
  <c r="F100" i="29"/>
  <c r="H100" i="29"/>
  <c r="D100" i="29"/>
  <c r="D99" i="29"/>
  <c r="F99" i="29"/>
  <c r="H99" i="29"/>
  <c r="B91" i="29"/>
  <c r="H36" i="19"/>
  <c r="J49" i="89"/>
  <c r="H48" i="89"/>
  <c r="P49" i="89" s="1"/>
  <c r="F97" i="29"/>
  <c r="H97" i="29"/>
  <c r="F98" i="29"/>
  <c r="H98" i="29"/>
  <c r="H95" i="29"/>
  <c r="F95" i="29"/>
  <c r="H92" i="29"/>
  <c r="F92" i="29"/>
  <c r="D93" i="29"/>
  <c r="H93" i="29"/>
  <c r="F93" i="29"/>
  <c r="H94" i="29"/>
  <c r="F94" i="29"/>
  <c r="H103" i="29"/>
  <c r="F103" i="29"/>
  <c r="F48" i="89"/>
  <c r="N49" i="89" s="1"/>
  <c r="D159" i="89"/>
  <c r="L160" i="89" s="1"/>
  <c r="F159" i="89"/>
  <c r="H159" i="89"/>
  <c r="D172" i="89"/>
  <c r="F172" i="89"/>
  <c r="H172" i="89"/>
  <c r="D26" i="89"/>
  <c r="E20" i="90" s="1"/>
  <c r="F26" i="89"/>
  <c r="H26" i="89"/>
  <c r="B62" i="89"/>
  <c r="H61" i="89"/>
  <c r="D61" i="89"/>
  <c r="F61" i="89"/>
  <c r="E40" i="90"/>
  <c r="I87" i="55"/>
  <c r="B73" i="59"/>
  <c r="L49" i="89"/>
  <c r="H72" i="59"/>
  <c r="H73" i="59" s="1"/>
  <c r="B173" i="89"/>
  <c r="B26" i="54"/>
  <c r="F26" i="54" s="1"/>
  <c r="D72" i="59"/>
  <c r="D73" i="59" s="1"/>
  <c r="J49" i="54"/>
  <c r="F192" i="59"/>
  <c r="F193" i="59" s="1"/>
  <c r="B193" i="59"/>
  <c r="D191" i="19"/>
  <c r="H192" i="59"/>
  <c r="H193" i="59" s="1"/>
  <c r="D36" i="19"/>
  <c r="E21" i="76" s="1"/>
  <c r="E25" i="76" s="1"/>
  <c r="P49" i="25"/>
  <c r="D36" i="59"/>
  <c r="P60" i="19"/>
  <c r="P60" i="33"/>
  <c r="L60" i="85"/>
  <c r="H154" i="19"/>
  <c r="N178" i="33"/>
  <c r="F36" i="59"/>
  <c r="F26" i="25"/>
  <c r="H36" i="85"/>
  <c r="H191" i="19"/>
  <c r="N180" i="59"/>
  <c r="P178" i="19"/>
  <c r="L178" i="19"/>
  <c r="L182" i="85"/>
  <c r="H36" i="62"/>
  <c r="F166" i="25"/>
  <c r="F167" i="25" s="1"/>
  <c r="F36" i="19"/>
  <c r="D154" i="19"/>
  <c r="D26" i="25"/>
  <c r="E21" i="84" s="1"/>
  <c r="E25" i="84" s="1"/>
  <c r="H195" i="85"/>
  <c r="E42" i="82"/>
  <c r="D73" i="85"/>
  <c r="F36" i="62"/>
  <c r="H61" i="54"/>
  <c r="D61" i="54"/>
  <c r="E42" i="83" s="1"/>
  <c r="F61" i="54"/>
  <c r="B167" i="54"/>
  <c r="F166" i="54"/>
  <c r="D166" i="54"/>
  <c r="H166" i="54"/>
  <c r="D153" i="54"/>
  <c r="L154" i="54" s="1"/>
  <c r="F153" i="54"/>
  <c r="N154" i="54" s="1"/>
  <c r="J154" i="54"/>
  <c r="H153" i="54"/>
  <c r="P154" i="54" s="1"/>
  <c r="D131" i="54"/>
  <c r="F131" i="54"/>
  <c r="H131" i="54"/>
  <c r="F48" i="54"/>
  <c r="N49" i="54" s="1"/>
  <c r="H48" i="54"/>
  <c r="P49" i="54" s="1"/>
  <c r="D48" i="54"/>
  <c r="B62" i="54"/>
  <c r="P178" i="33"/>
  <c r="N178" i="19"/>
  <c r="B195" i="85"/>
  <c r="F72" i="40"/>
  <c r="F73" i="40" s="1"/>
  <c r="B73" i="40"/>
  <c r="H36" i="33"/>
  <c r="F73" i="33"/>
  <c r="D194" i="85"/>
  <c r="D195" i="85" s="1"/>
  <c r="D36" i="33"/>
  <c r="E21" i="78" s="1"/>
  <c r="E25" i="78" s="1"/>
  <c r="D72" i="40"/>
  <c r="E43" i="79" s="1"/>
  <c r="P60" i="62"/>
  <c r="F194" i="85"/>
  <c r="F195" i="85" s="1"/>
  <c r="D154" i="22"/>
  <c r="D166" i="25"/>
  <c r="D167" i="25" s="1"/>
  <c r="B167" i="25"/>
  <c r="F62" i="25"/>
  <c r="E42" i="78"/>
  <c r="E44" i="78" s="1"/>
  <c r="L60" i="59"/>
  <c r="N60" i="62"/>
  <c r="P60" i="85"/>
  <c r="H193" i="62"/>
  <c r="F158" i="85"/>
  <c r="D158" i="85"/>
  <c r="D36" i="85"/>
  <c r="E21" i="86" s="1"/>
  <c r="E25" i="86" s="1"/>
  <c r="F72" i="62"/>
  <c r="F73" i="62" s="1"/>
  <c r="H72" i="62"/>
  <c r="H73" i="62" s="1"/>
  <c r="D72" i="62"/>
  <c r="D73" i="62" s="1"/>
  <c r="D158" i="40"/>
  <c r="E42" i="77"/>
  <c r="E44" i="77" s="1"/>
  <c r="F158" i="40"/>
  <c r="F190" i="33"/>
  <c r="F191" i="33" s="1"/>
  <c r="F195" i="40"/>
  <c r="B191" i="33"/>
  <c r="N178" i="22"/>
  <c r="D193" i="59"/>
  <c r="F73" i="59"/>
  <c r="N60" i="85"/>
  <c r="D191" i="33"/>
  <c r="H73" i="85"/>
  <c r="H190" i="33"/>
  <c r="H191" i="33" s="1"/>
  <c r="H156" i="62"/>
  <c r="F156" i="59"/>
  <c r="E42" i="86"/>
  <c r="E44" i="86" s="1"/>
  <c r="P60" i="22"/>
  <c r="D156" i="59"/>
  <c r="H73" i="40"/>
  <c r="E42" i="81"/>
  <c r="F73" i="85"/>
  <c r="D92" i="29"/>
  <c r="N182" i="85"/>
  <c r="N60" i="59"/>
  <c r="F191" i="19"/>
  <c r="L180" i="59"/>
  <c r="L178" i="33"/>
  <c r="N182" i="40"/>
  <c r="P180" i="59"/>
  <c r="B73" i="19"/>
  <c r="H73" i="22"/>
  <c r="D72" i="19"/>
  <c r="E43" i="76" s="1"/>
  <c r="F72" i="19"/>
  <c r="F73" i="19" s="1"/>
  <c r="F193" i="62"/>
  <c r="P178" i="22"/>
  <c r="L60" i="19"/>
  <c r="N49" i="25"/>
  <c r="F154" i="22"/>
  <c r="N60" i="22"/>
  <c r="D62" i="25"/>
  <c r="N60" i="19"/>
  <c r="L178" i="22"/>
  <c r="D193" i="62"/>
  <c r="P60" i="40"/>
  <c r="L60" i="62"/>
  <c r="L154" i="25"/>
  <c r="L60" i="22"/>
  <c r="L60" i="33"/>
  <c r="D73" i="33"/>
  <c r="D73" i="22"/>
  <c r="F73" i="22"/>
  <c r="P180" i="62"/>
  <c r="N60" i="33"/>
  <c r="L180" i="62"/>
  <c r="F156" i="62"/>
  <c r="P60" i="59"/>
  <c r="N180" i="62"/>
  <c r="E42" i="76"/>
  <c r="N60" i="40"/>
  <c r="N154" i="25"/>
  <c r="H73" i="33"/>
  <c r="E42" i="79"/>
  <c r="H167" i="25"/>
  <c r="L182" i="40"/>
  <c r="H195" i="40"/>
  <c r="L60" i="40"/>
  <c r="L49" i="25"/>
  <c r="D103" i="29"/>
  <c r="D195" i="40"/>
  <c r="D190" i="22"/>
  <c r="D191" i="22" s="1"/>
  <c r="P154" i="25"/>
  <c r="H190" i="22"/>
  <c r="H191" i="22" s="1"/>
  <c r="F190" i="22"/>
  <c r="F191" i="22" s="1"/>
  <c r="E41" i="84"/>
  <c r="E43" i="84" s="1"/>
  <c r="P182" i="85"/>
  <c r="P182" i="40"/>
  <c r="D98" i="29"/>
  <c r="H62" i="25"/>
  <c r="D94" i="29"/>
  <c r="D97" i="29"/>
  <c r="D95" i="29"/>
  <c r="H62" i="89" l="1"/>
  <c r="D173" i="89"/>
  <c r="B68" i="29"/>
  <c r="F62" i="89"/>
  <c r="H104" i="29"/>
  <c r="F104" i="29"/>
  <c r="F173" i="89"/>
  <c r="F91" i="29"/>
  <c r="H91" i="29"/>
  <c r="H173" i="89"/>
  <c r="P160" i="89"/>
  <c r="N160" i="89"/>
  <c r="D62" i="89"/>
  <c r="E41" i="90"/>
  <c r="E42" i="90" s="1"/>
  <c r="D26" i="54"/>
  <c r="E21" i="83" s="1"/>
  <c r="E25" i="83" s="1"/>
  <c r="H26" i="54"/>
  <c r="E21" i="82"/>
  <c r="E25" i="82" s="1"/>
  <c r="E24" i="90"/>
  <c r="E43" i="82"/>
  <c r="E44" i="82" s="1"/>
  <c r="D91" i="29"/>
  <c r="B105" i="29"/>
  <c r="C25" i="95" s="1"/>
  <c r="K25" i="95" s="1"/>
  <c r="D73" i="40"/>
  <c r="E44" i="79"/>
  <c r="D167" i="54"/>
  <c r="F62" i="54"/>
  <c r="H62" i="54"/>
  <c r="H167" i="54"/>
  <c r="E41" i="83"/>
  <c r="E43" i="83" s="1"/>
  <c r="L49" i="54"/>
  <c r="D62" i="54"/>
  <c r="F167" i="54"/>
  <c r="E43" i="81"/>
  <c r="E44" i="81" s="1"/>
  <c r="D73" i="19"/>
  <c r="D104" i="29"/>
  <c r="E44" i="76"/>
  <c r="P113" i="1"/>
  <c r="B116" i="92" s="1"/>
  <c r="F105" i="29" l="1"/>
  <c r="G25" i="95" s="1"/>
  <c r="F68" i="29"/>
  <c r="H68" i="29"/>
  <c r="D68" i="29"/>
  <c r="H105" i="29"/>
  <c r="I25" i="95" s="1"/>
  <c r="D105" i="29"/>
  <c r="E25" i="95" s="1"/>
  <c r="B165" i="60"/>
  <c r="B165" i="88"/>
  <c r="B165" i="42"/>
  <c r="B115" i="24"/>
  <c r="O272" i="1"/>
  <c r="P272" i="1" s="1"/>
  <c r="Q113" i="1"/>
  <c r="B115" i="55"/>
  <c r="B165" i="31"/>
  <c r="B165" i="18"/>
  <c r="B165" i="57"/>
  <c r="B165" i="21"/>
  <c r="C165" i="88" l="1"/>
  <c r="E165" i="88" s="1"/>
  <c r="C116" i="92"/>
  <c r="E116" i="92" s="1"/>
  <c r="C165" i="18"/>
  <c r="C165" i="60"/>
  <c r="C165" i="31"/>
  <c r="C115" i="24"/>
  <c r="C165" i="21"/>
  <c r="C165" i="57"/>
  <c r="C165" i="42"/>
  <c r="C115" i="55"/>
  <c r="G165" i="88" l="1"/>
  <c r="H165" i="88" s="1"/>
  <c r="G116" i="92"/>
  <c r="H116" i="92" s="1"/>
  <c r="E165" i="31"/>
  <c r="G165" i="31"/>
  <c r="G165" i="60"/>
  <c r="E165" i="60"/>
  <c r="G165" i="18"/>
  <c r="E165" i="18"/>
  <c r="G115" i="24"/>
  <c r="E115" i="24"/>
  <c r="E115" i="55"/>
  <c r="G115" i="55"/>
  <c r="G165" i="42"/>
  <c r="E165" i="42"/>
  <c r="E165" i="57"/>
  <c r="G165" i="57"/>
  <c r="G165" i="21"/>
  <c r="E165" i="21"/>
  <c r="G172" i="88" l="1"/>
  <c r="B149" i="89"/>
  <c r="B38" i="89"/>
  <c r="G123" i="92"/>
  <c r="H165" i="21"/>
  <c r="B167" i="22" s="1"/>
  <c r="G172" i="21"/>
  <c r="H165" i="31"/>
  <c r="B49" i="33" s="1"/>
  <c r="G172" i="31"/>
  <c r="H165" i="42"/>
  <c r="H172" i="42" s="1"/>
  <c r="G172" i="42"/>
  <c r="H165" i="60"/>
  <c r="B169" i="62" s="1"/>
  <c r="G172" i="60"/>
  <c r="H115" i="55"/>
  <c r="H122" i="55" s="1"/>
  <c r="G122" i="55"/>
  <c r="I165" i="88"/>
  <c r="B49" i="85"/>
  <c r="B171" i="85"/>
  <c r="H172" i="88"/>
  <c r="H175" i="88" s="1"/>
  <c r="G175" i="88" s="1"/>
  <c r="G123" i="24"/>
  <c r="H115" i="24"/>
  <c r="G172" i="57"/>
  <c r="H165" i="57"/>
  <c r="G172" i="18"/>
  <c r="H165" i="18"/>
  <c r="D38" i="89" l="1"/>
  <c r="E34" i="90" s="1"/>
  <c r="F38" i="89"/>
  <c r="H38" i="89"/>
  <c r="D149" i="89"/>
  <c r="H149" i="89"/>
  <c r="F149" i="89"/>
  <c r="I116" i="92"/>
  <c r="H123" i="92"/>
  <c r="H126" i="92" s="1"/>
  <c r="B154" i="89" s="1"/>
  <c r="I165" i="31"/>
  <c r="H172" i="31"/>
  <c r="H175" i="31" s="1"/>
  <c r="B167" i="33"/>
  <c r="H167" i="33" s="1"/>
  <c r="B49" i="62"/>
  <c r="F49" i="62" s="1"/>
  <c r="B49" i="22"/>
  <c r="F49" i="22" s="1"/>
  <c r="H172" i="21"/>
  <c r="H175" i="21" s="1"/>
  <c r="I165" i="21"/>
  <c r="I165" i="60"/>
  <c r="H172" i="60"/>
  <c r="H175" i="60" s="1"/>
  <c r="B171" i="40"/>
  <c r="F171" i="40" s="1"/>
  <c r="B49" i="40"/>
  <c r="D49" i="40" s="1"/>
  <c r="E36" i="79" s="1"/>
  <c r="I165" i="42"/>
  <c r="B38" i="54"/>
  <c r="D38" i="54" s="1"/>
  <c r="E35" i="83" s="1"/>
  <c r="B143" i="54"/>
  <c r="D143" i="54" s="1"/>
  <c r="I115" i="55"/>
  <c r="B176" i="85"/>
  <c r="B54" i="85"/>
  <c r="D171" i="85"/>
  <c r="F171" i="85"/>
  <c r="H171" i="85"/>
  <c r="D49" i="85"/>
  <c r="E36" i="86" s="1"/>
  <c r="F49" i="85"/>
  <c r="H49" i="85"/>
  <c r="G177" i="88"/>
  <c r="H177" i="88"/>
  <c r="H175" i="42"/>
  <c r="G175" i="42" s="1"/>
  <c r="H49" i="33"/>
  <c r="D49" i="33"/>
  <c r="E36" i="78" s="1"/>
  <c r="F49" i="33"/>
  <c r="H125" i="55"/>
  <c r="G125" i="55" s="1"/>
  <c r="F169" i="62"/>
  <c r="D169" i="62"/>
  <c r="H169" i="62"/>
  <c r="I165" i="18"/>
  <c r="H172" i="18"/>
  <c r="B49" i="19"/>
  <c r="B167" i="19"/>
  <c r="B143" i="25"/>
  <c r="I115" i="24"/>
  <c r="H123" i="24"/>
  <c r="B38" i="25"/>
  <c r="I165" i="57"/>
  <c r="H172" i="57"/>
  <c r="B169" i="59"/>
  <c r="B49" i="59"/>
  <c r="D167" i="22"/>
  <c r="F167" i="22"/>
  <c r="H167" i="22"/>
  <c r="B81" i="29" l="1"/>
  <c r="D154" i="89"/>
  <c r="F154" i="89"/>
  <c r="H154" i="89"/>
  <c r="G126" i="92"/>
  <c r="G128" i="92" s="1"/>
  <c r="B43" i="89"/>
  <c r="H128" i="92"/>
  <c r="H177" i="60"/>
  <c r="G175" i="60"/>
  <c r="G177" i="60" s="1"/>
  <c r="H177" i="31"/>
  <c r="G175" i="31"/>
  <c r="G177" i="31" s="1"/>
  <c r="H177" i="21"/>
  <c r="G175" i="21"/>
  <c r="G177" i="21" s="1"/>
  <c r="H49" i="22"/>
  <c r="F167" i="33"/>
  <c r="D167" i="33"/>
  <c r="D49" i="62"/>
  <c r="E36" i="81" s="1"/>
  <c r="H49" i="62"/>
  <c r="D49" i="22"/>
  <c r="F49" i="40"/>
  <c r="H49" i="40"/>
  <c r="F38" i="54"/>
  <c r="F143" i="54"/>
  <c r="H143" i="54"/>
  <c r="H38" i="54"/>
  <c r="H171" i="40"/>
  <c r="D171" i="40"/>
  <c r="D54" i="85"/>
  <c r="F54" i="85"/>
  <c r="F55" i="85" s="1"/>
  <c r="H54" i="85"/>
  <c r="H55" i="85" s="1"/>
  <c r="H176" i="85"/>
  <c r="H177" i="85" s="1"/>
  <c r="F176" i="85"/>
  <c r="F177" i="85" s="1"/>
  <c r="D176" i="85"/>
  <c r="D177" i="85" s="1"/>
  <c r="H177" i="42"/>
  <c r="G127" i="55"/>
  <c r="B148" i="54"/>
  <c r="B43" i="54"/>
  <c r="B174" i="62"/>
  <c r="B54" i="62"/>
  <c r="H49" i="19"/>
  <c r="D49" i="19"/>
  <c r="E36" i="76" s="1"/>
  <c r="F49" i="19"/>
  <c r="H127" i="55"/>
  <c r="H167" i="19"/>
  <c r="F167" i="19"/>
  <c r="D167" i="19"/>
  <c r="H175" i="18"/>
  <c r="B54" i="33"/>
  <c r="B172" i="33"/>
  <c r="H49" i="59"/>
  <c r="D49" i="59"/>
  <c r="E36" i="82" s="1"/>
  <c r="F49" i="59"/>
  <c r="H38" i="25"/>
  <c r="D38" i="25"/>
  <c r="E35" i="84" s="1"/>
  <c r="F38" i="25"/>
  <c r="B172" i="22"/>
  <c r="B54" i="22"/>
  <c r="F169" i="59"/>
  <c r="D169" i="59"/>
  <c r="H169" i="59"/>
  <c r="H126" i="24"/>
  <c r="H175" i="57"/>
  <c r="F143" i="25"/>
  <c r="H143" i="25"/>
  <c r="D143" i="25"/>
  <c r="B54" i="40"/>
  <c r="G177" i="42"/>
  <c r="B176" i="40"/>
  <c r="E36" i="77" l="1"/>
  <c r="J72" i="29"/>
  <c r="H81" i="29"/>
  <c r="P72" i="29" s="1"/>
  <c r="F81" i="29"/>
  <c r="H128" i="24"/>
  <c r="G126" i="24"/>
  <c r="G128" i="24" s="1"/>
  <c r="H177" i="18"/>
  <c r="G175" i="18"/>
  <c r="G177" i="18" s="1"/>
  <c r="H177" i="57"/>
  <c r="G175" i="57"/>
  <c r="G177" i="57" s="1"/>
  <c r="D55" i="85"/>
  <c r="D75" i="85" s="1"/>
  <c r="D77" i="85" s="1"/>
  <c r="F13" i="95" s="1"/>
  <c r="E38" i="86"/>
  <c r="E39" i="86" s="1"/>
  <c r="F78" i="85"/>
  <c r="J13" i="95" s="1"/>
  <c r="F75" i="85"/>
  <c r="F77" i="85" s="1"/>
  <c r="I13" i="95" s="1"/>
  <c r="D200" i="85"/>
  <c r="D197" i="85"/>
  <c r="D199" i="85" s="1"/>
  <c r="H78" i="85"/>
  <c r="M13" i="95" s="1"/>
  <c r="H75" i="85"/>
  <c r="H77" i="85" s="1"/>
  <c r="L13" i="95" s="1"/>
  <c r="F200" i="85"/>
  <c r="F197" i="85"/>
  <c r="F199" i="85" s="1"/>
  <c r="H200" i="85"/>
  <c r="H197" i="85"/>
  <c r="H199" i="85" s="1"/>
  <c r="B177" i="85"/>
  <c r="B55" i="85"/>
  <c r="B54" i="59"/>
  <c r="B174" i="59"/>
  <c r="F54" i="22"/>
  <c r="F55" i="22" s="1"/>
  <c r="H54" i="22"/>
  <c r="H55" i="22" s="1"/>
  <c r="D54" i="22"/>
  <c r="D55" i="22" s="1"/>
  <c r="B55" i="22"/>
  <c r="H176" i="40"/>
  <c r="H177" i="40" s="1"/>
  <c r="F176" i="40"/>
  <c r="F177" i="40" s="1"/>
  <c r="D176" i="40"/>
  <c r="D177" i="40" s="1"/>
  <c r="B177" i="40"/>
  <c r="F172" i="22"/>
  <c r="F173" i="22" s="1"/>
  <c r="H172" i="22"/>
  <c r="H173" i="22" s="1"/>
  <c r="D172" i="22"/>
  <c r="D173" i="22" s="1"/>
  <c r="B173" i="22"/>
  <c r="H54" i="62"/>
  <c r="H55" i="62" s="1"/>
  <c r="F54" i="62"/>
  <c r="F55" i="62" s="1"/>
  <c r="D54" i="62"/>
  <c r="B55" i="62"/>
  <c r="H54" i="40"/>
  <c r="H55" i="40" s="1"/>
  <c r="F54" i="40"/>
  <c r="F55" i="40" s="1"/>
  <c r="D54" i="40"/>
  <c r="D55" i="40" s="1"/>
  <c r="B55" i="40"/>
  <c r="F174" i="62"/>
  <c r="F175" i="62" s="1"/>
  <c r="H174" i="62"/>
  <c r="H175" i="62" s="1"/>
  <c r="D174" i="62"/>
  <c r="D175" i="62" s="1"/>
  <c r="B175" i="62"/>
  <c r="B148" i="25"/>
  <c r="B43" i="25"/>
  <c r="D172" i="33"/>
  <c r="D173" i="33" s="1"/>
  <c r="H172" i="33"/>
  <c r="H173" i="33" s="1"/>
  <c r="F172" i="33"/>
  <c r="F173" i="33" s="1"/>
  <c r="B173" i="33"/>
  <c r="D54" i="33"/>
  <c r="F54" i="33"/>
  <c r="F55" i="33" s="1"/>
  <c r="H54" i="33"/>
  <c r="H55" i="33" s="1"/>
  <c r="B55" i="33"/>
  <c r="D81" i="29"/>
  <c r="L72" i="29" s="1"/>
  <c r="F43" i="54"/>
  <c r="F44" i="54" s="1"/>
  <c r="D43" i="54"/>
  <c r="H43" i="54"/>
  <c r="H44" i="54" s="1"/>
  <c r="B44" i="54"/>
  <c r="B54" i="19"/>
  <c r="B172" i="19"/>
  <c r="D148" i="54"/>
  <c r="D149" i="54" s="1"/>
  <c r="H148" i="54"/>
  <c r="H149" i="54" s="1"/>
  <c r="F148" i="54"/>
  <c r="F149" i="54" s="1"/>
  <c r="B149" i="54"/>
  <c r="B86" i="29" l="1"/>
  <c r="H43" i="89"/>
  <c r="H44" i="89" s="1"/>
  <c r="D43" i="89"/>
  <c r="F43" i="89"/>
  <c r="F44" i="89" s="1"/>
  <c r="B44" i="89"/>
  <c r="F155" i="89"/>
  <c r="D155" i="89"/>
  <c r="H155" i="89"/>
  <c r="B155" i="89"/>
  <c r="D78" i="85"/>
  <c r="G13" i="95" s="1"/>
  <c r="D196" i="22"/>
  <c r="D193" i="22"/>
  <c r="D195" i="22" s="1"/>
  <c r="E38" i="77"/>
  <c r="E39" i="77" s="1"/>
  <c r="E40" i="77" s="1"/>
  <c r="H196" i="22"/>
  <c r="H193" i="22"/>
  <c r="H195" i="22" s="1"/>
  <c r="H75" i="22"/>
  <c r="H77" i="22" s="1"/>
  <c r="L10" i="95" s="1"/>
  <c r="H78" i="22"/>
  <c r="M10" i="95" s="1"/>
  <c r="F193" i="22"/>
  <c r="F195" i="22" s="1"/>
  <c r="F196" i="22"/>
  <c r="F75" i="22"/>
  <c r="F77" i="22" s="1"/>
  <c r="I10" i="95" s="1"/>
  <c r="F78" i="22"/>
  <c r="J10" i="95" s="1"/>
  <c r="E38" i="78"/>
  <c r="D55" i="33"/>
  <c r="F196" i="33"/>
  <c r="F193" i="33"/>
  <c r="F195" i="33" s="1"/>
  <c r="H196" i="33"/>
  <c r="H193" i="33"/>
  <c r="H195" i="33" s="1"/>
  <c r="D193" i="33"/>
  <c r="D195" i="33" s="1"/>
  <c r="D196" i="33"/>
  <c r="H78" i="33"/>
  <c r="M11" i="95" s="1"/>
  <c r="H75" i="33"/>
  <c r="H77" i="33" s="1"/>
  <c r="L11" i="95" s="1"/>
  <c r="F78" i="33"/>
  <c r="J11" i="95" s="1"/>
  <c r="F75" i="33"/>
  <c r="F77" i="33" s="1"/>
  <c r="I11" i="95" s="1"/>
  <c r="D197" i="40"/>
  <c r="D199" i="40" s="1"/>
  <c r="D200" i="40"/>
  <c r="F197" i="40"/>
  <c r="F199" i="40" s="1"/>
  <c r="F200" i="40"/>
  <c r="H197" i="40"/>
  <c r="H199" i="40" s="1"/>
  <c r="H200" i="40"/>
  <c r="D78" i="40"/>
  <c r="G12" i="95" s="1"/>
  <c r="D75" i="40"/>
  <c r="D77" i="40" s="1"/>
  <c r="F12" i="95" s="1"/>
  <c r="F75" i="40"/>
  <c r="F77" i="40" s="1"/>
  <c r="I12" i="95" s="1"/>
  <c r="F78" i="40"/>
  <c r="J12" i="95" s="1"/>
  <c r="H75" i="40"/>
  <c r="H77" i="40" s="1"/>
  <c r="L12" i="95" s="1"/>
  <c r="H78" i="40"/>
  <c r="M12" i="95" s="1"/>
  <c r="H195" i="62"/>
  <c r="H197" i="62" s="1"/>
  <c r="H198" i="62"/>
  <c r="F75" i="62"/>
  <c r="F77" i="62" s="1"/>
  <c r="I14" i="95" s="1"/>
  <c r="F78" i="62"/>
  <c r="J14" i="95" s="1"/>
  <c r="H75" i="62"/>
  <c r="H77" i="62" s="1"/>
  <c r="L14" i="95" s="1"/>
  <c r="H78" i="62"/>
  <c r="M14" i="95" s="1"/>
  <c r="D198" i="62"/>
  <c r="D195" i="62"/>
  <c r="D197" i="62" s="1"/>
  <c r="F195" i="62"/>
  <c r="F197" i="62" s="1"/>
  <c r="F198" i="62"/>
  <c r="E38" i="81"/>
  <c r="D55" i="62"/>
  <c r="F64" i="54"/>
  <c r="F66" i="54" s="1"/>
  <c r="I17" i="95" s="1"/>
  <c r="F67" i="54"/>
  <c r="J17" i="95" s="1"/>
  <c r="D172" i="54"/>
  <c r="D169" i="54"/>
  <c r="D171" i="54" s="1"/>
  <c r="F169" i="54"/>
  <c r="F171" i="54" s="1"/>
  <c r="F172" i="54"/>
  <c r="D205" i="85"/>
  <c r="H205" i="85"/>
  <c r="F205" i="85"/>
  <c r="H169" i="54"/>
  <c r="H171" i="54" s="1"/>
  <c r="H172" i="54"/>
  <c r="H64" i="54"/>
  <c r="H66" i="54" s="1"/>
  <c r="L17" i="95" s="1"/>
  <c r="H67" i="54"/>
  <c r="M17" i="95" s="1"/>
  <c r="E37" i="83"/>
  <c r="D44" i="54"/>
  <c r="H83" i="85"/>
  <c r="D83" i="85"/>
  <c r="F83" i="85"/>
  <c r="E38" i="79"/>
  <c r="E40" i="86"/>
  <c r="B200" i="85"/>
  <c r="B209" i="85" s="1"/>
  <c r="B205" i="85"/>
  <c r="B197" i="85"/>
  <c r="B78" i="85"/>
  <c r="D13" i="95" s="1"/>
  <c r="B83" i="85"/>
  <c r="B75" i="85"/>
  <c r="H72" i="54"/>
  <c r="F72" i="54"/>
  <c r="B67" i="54"/>
  <c r="D17" i="95" s="1"/>
  <c r="B64" i="54"/>
  <c r="B72" i="54"/>
  <c r="D72" i="54"/>
  <c r="D172" i="19"/>
  <c r="D173" i="19" s="1"/>
  <c r="F172" i="19"/>
  <c r="F173" i="19" s="1"/>
  <c r="H172" i="19"/>
  <c r="H173" i="19" s="1"/>
  <c r="B173" i="19"/>
  <c r="F54" i="19"/>
  <c r="F55" i="19" s="1"/>
  <c r="H54" i="19"/>
  <c r="H55" i="19" s="1"/>
  <c r="D54" i="19"/>
  <c r="B55" i="19"/>
  <c r="B169" i="54"/>
  <c r="H177" i="54"/>
  <c r="B177" i="54"/>
  <c r="B172" i="54"/>
  <c r="B181" i="54" s="1"/>
  <c r="D177" i="54"/>
  <c r="F177" i="54"/>
  <c r="B75" i="22"/>
  <c r="B78" i="22"/>
  <c r="D10" i="95" s="1"/>
  <c r="D83" i="22"/>
  <c r="H83" i="22"/>
  <c r="F83" i="22"/>
  <c r="B83" i="22"/>
  <c r="B78" i="40"/>
  <c r="D12" i="95" s="1"/>
  <c r="B83" i="40"/>
  <c r="D83" i="40"/>
  <c r="H83" i="40"/>
  <c r="B75" i="40"/>
  <c r="F83" i="40"/>
  <c r="D205" i="40"/>
  <c r="B200" i="40"/>
  <c r="B209" i="40" s="1"/>
  <c r="H205" i="40"/>
  <c r="B205" i="40"/>
  <c r="F205" i="40"/>
  <c r="B197" i="40"/>
  <c r="H43" i="25"/>
  <c r="H44" i="25" s="1"/>
  <c r="F43" i="25"/>
  <c r="F44" i="25" s="1"/>
  <c r="D43" i="25"/>
  <c r="B44" i="25"/>
  <c r="D148" i="25"/>
  <c r="D149" i="25" s="1"/>
  <c r="F148" i="25"/>
  <c r="F149" i="25" s="1"/>
  <c r="H148" i="25"/>
  <c r="H149" i="25" s="1"/>
  <c r="B149" i="25"/>
  <c r="D201" i="22"/>
  <c r="H201" i="22"/>
  <c r="B201" i="22"/>
  <c r="F201" i="22"/>
  <c r="B193" i="22"/>
  <c r="B196" i="22"/>
  <c r="B205" i="22" s="1"/>
  <c r="D203" i="62"/>
  <c r="B195" i="62"/>
  <c r="H203" i="62"/>
  <c r="F203" i="62"/>
  <c r="B203" i="62"/>
  <c r="B198" i="62"/>
  <c r="B207" i="62" s="1"/>
  <c r="N72" i="29"/>
  <c r="D201" i="33"/>
  <c r="B193" i="33"/>
  <c r="H201" i="33"/>
  <c r="B196" i="33"/>
  <c r="B205" i="33" s="1"/>
  <c r="F201" i="33"/>
  <c r="B201" i="33"/>
  <c r="H83" i="62"/>
  <c r="D83" i="62"/>
  <c r="B78" i="62"/>
  <c r="D14" i="95" s="1"/>
  <c r="F83" i="62"/>
  <c r="B83" i="62"/>
  <c r="B75" i="62"/>
  <c r="D174" i="59"/>
  <c r="D175" i="59" s="1"/>
  <c r="F174" i="59"/>
  <c r="F175" i="59" s="1"/>
  <c r="H174" i="59"/>
  <c r="H175" i="59" s="1"/>
  <c r="B175" i="59"/>
  <c r="F83" i="33"/>
  <c r="H83" i="33"/>
  <c r="B78" i="33"/>
  <c r="D11" i="95" s="1"/>
  <c r="D83" i="33"/>
  <c r="B83" i="33"/>
  <c r="B75" i="33"/>
  <c r="H54" i="59"/>
  <c r="H55" i="59" s="1"/>
  <c r="D54" i="59"/>
  <c r="F54" i="59"/>
  <c r="F55" i="59" s="1"/>
  <c r="B55" i="59"/>
  <c r="E38" i="83" l="1"/>
  <c r="E39" i="83" s="1"/>
  <c r="E39" i="81"/>
  <c r="E40" i="81" s="1"/>
  <c r="E39" i="79"/>
  <c r="E40" i="79" s="1"/>
  <c r="E39" i="78"/>
  <c r="E40" i="78" s="1"/>
  <c r="D50" i="86"/>
  <c r="E49" i="86"/>
  <c r="E50" i="86"/>
  <c r="D50" i="77"/>
  <c r="E50" i="77"/>
  <c r="E49" i="77"/>
  <c r="H86" i="29"/>
  <c r="H87" i="29" s="1"/>
  <c r="I24" i="95" s="1"/>
  <c r="F86" i="29"/>
  <c r="F87" i="29" s="1"/>
  <c r="G24" i="95" s="1"/>
  <c r="F183" i="89"/>
  <c r="D183" i="89"/>
  <c r="H183" i="89"/>
  <c r="D72" i="89"/>
  <c r="H72" i="89"/>
  <c r="F72" i="89"/>
  <c r="D44" i="89"/>
  <c r="D67" i="89" s="1"/>
  <c r="G16" i="95" s="1"/>
  <c r="E36" i="90"/>
  <c r="B183" i="89"/>
  <c r="B178" i="89"/>
  <c r="B187" i="89" s="1"/>
  <c r="B175" i="89"/>
  <c r="H178" i="89"/>
  <c r="H175" i="89"/>
  <c r="H177" i="89" s="1"/>
  <c r="D175" i="89"/>
  <c r="D177" i="89" s="1"/>
  <c r="D178" i="89"/>
  <c r="F178" i="89"/>
  <c r="F175" i="89"/>
  <c r="F177" i="89" s="1"/>
  <c r="B72" i="89"/>
  <c r="B67" i="89"/>
  <c r="D16" i="95" s="1"/>
  <c r="B64" i="89"/>
  <c r="H67" i="89"/>
  <c r="M16" i="95" s="1"/>
  <c r="H64" i="89"/>
  <c r="H66" i="89" s="1"/>
  <c r="L16" i="95" s="1"/>
  <c r="F67" i="89"/>
  <c r="J16" i="95" s="1"/>
  <c r="F64" i="89"/>
  <c r="F66" i="89" s="1"/>
  <c r="I16" i="95" s="1"/>
  <c r="B87" i="85"/>
  <c r="P13" i="95" s="1"/>
  <c r="D78" i="22"/>
  <c r="G10" i="95" s="1"/>
  <c r="D75" i="22"/>
  <c r="D77" i="22" s="1"/>
  <c r="F10" i="95" s="1"/>
  <c r="D54" i="77"/>
  <c r="E54" i="77" s="1"/>
  <c r="E46" i="77"/>
  <c r="B87" i="22"/>
  <c r="P10" i="95" s="1"/>
  <c r="B87" i="33"/>
  <c r="P11" i="95" s="1"/>
  <c r="D78" i="33"/>
  <c r="G11" i="95" s="1"/>
  <c r="D75" i="33"/>
  <c r="D77" i="33" s="1"/>
  <c r="F11" i="95" s="1"/>
  <c r="B87" i="40"/>
  <c r="P12" i="95" s="1"/>
  <c r="D54" i="86"/>
  <c r="E54" i="86" s="1"/>
  <c r="E46" i="86"/>
  <c r="D78" i="62"/>
  <c r="G14" i="95" s="1"/>
  <c r="D75" i="62"/>
  <c r="D77" i="62" s="1"/>
  <c r="F14" i="95" s="1"/>
  <c r="B87" i="62"/>
  <c r="P14" i="95" s="1"/>
  <c r="D204" i="85"/>
  <c r="H204" i="85"/>
  <c r="F204" i="85"/>
  <c r="D67" i="54"/>
  <c r="G17" i="95" s="1"/>
  <c r="D64" i="54"/>
  <c r="D66" i="54" s="1"/>
  <c r="F17" i="95" s="1"/>
  <c r="B76" i="54"/>
  <c r="P17" i="95" s="1"/>
  <c r="H82" i="85"/>
  <c r="F82" i="85"/>
  <c r="D82" i="85"/>
  <c r="B82" i="85"/>
  <c r="B77" i="85"/>
  <c r="B199" i="85"/>
  <c r="B208" i="85" s="1"/>
  <c r="B204" i="85"/>
  <c r="E38" i="82"/>
  <c r="D55" i="59"/>
  <c r="H75" i="59"/>
  <c r="H77" i="59" s="1"/>
  <c r="L15" i="95" s="1"/>
  <c r="H78" i="59"/>
  <c r="M15" i="95" s="1"/>
  <c r="H198" i="59"/>
  <c r="H195" i="59"/>
  <c r="H197" i="59" s="1"/>
  <c r="D200" i="22"/>
  <c r="H200" i="22"/>
  <c r="B200" i="22"/>
  <c r="F200" i="22"/>
  <c r="B195" i="22"/>
  <c r="B204" i="22" s="1"/>
  <c r="D169" i="25"/>
  <c r="D171" i="25" s="1"/>
  <c r="D172" i="25"/>
  <c r="D176" i="54"/>
  <c r="H176" i="54"/>
  <c r="B176" i="54"/>
  <c r="F176" i="54"/>
  <c r="B171" i="54"/>
  <c r="B180" i="54" s="1"/>
  <c r="F193" i="19"/>
  <c r="F195" i="19" s="1"/>
  <c r="F196" i="19"/>
  <c r="H83" i="59"/>
  <c r="B75" i="59"/>
  <c r="B83" i="59"/>
  <c r="F83" i="59"/>
  <c r="B78" i="59"/>
  <c r="D15" i="95" s="1"/>
  <c r="D83" i="59"/>
  <c r="B82" i="33"/>
  <c r="B77" i="33"/>
  <c r="H82" i="33"/>
  <c r="D82" i="33"/>
  <c r="F82" i="33"/>
  <c r="F198" i="59"/>
  <c r="F195" i="59"/>
  <c r="F197" i="59" s="1"/>
  <c r="B64" i="25"/>
  <c r="B67" i="25"/>
  <c r="D18" i="95" s="1"/>
  <c r="B72" i="25"/>
  <c r="D72" i="25"/>
  <c r="F72" i="25"/>
  <c r="H72" i="25"/>
  <c r="H83" i="19"/>
  <c r="D83" i="19"/>
  <c r="F83" i="19"/>
  <c r="B75" i="19"/>
  <c r="B78" i="19"/>
  <c r="D9" i="95" s="1"/>
  <c r="B83" i="19"/>
  <c r="D193" i="19"/>
  <c r="D195" i="19" s="1"/>
  <c r="D196" i="19"/>
  <c r="H82" i="22"/>
  <c r="B77" i="22"/>
  <c r="B82" i="22"/>
  <c r="D82" i="22"/>
  <c r="F82" i="22"/>
  <c r="D86" i="29"/>
  <c r="D87" i="29" s="1"/>
  <c r="E24" i="95" s="1"/>
  <c r="B87" i="29"/>
  <c r="C24" i="95" s="1"/>
  <c r="K24" i="95" s="1"/>
  <c r="E37" i="84"/>
  <c r="D44" i="25"/>
  <c r="B82" i="62"/>
  <c r="F82" i="62"/>
  <c r="B77" i="62"/>
  <c r="H82" i="62"/>
  <c r="D82" i="62"/>
  <c r="F64" i="25"/>
  <c r="F66" i="25" s="1"/>
  <c r="I18" i="95" s="1"/>
  <c r="F67" i="25"/>
  <c r="J18" i="95" s="1"/>
  <c r="E38" i="76"/>
  <c r="D55" i="19"/>
  <c r="H67" i="25"/>
  <c r="M18" i="95" s="1"/>
  <c r="H64" i="25"/>
  <c r="H66" i="25" s="1"/>
  <c r="L18" i="95" s="1"/>
  <c r="H78" i="19"/>
  <c r="M9" i="95" s="1"/>
  <c r="H75" i="19"/>
  <c r="H77" i="19" s="1"/>
  <c r="L9" i="95" s="1"/>
  <c r="B71" i="54"/>
  <c r="F71" i="54"/>
  <c r="H71" i="54"/>
  <c r="B66" i="54"/>
  <c r="D71" i="54"/>
  <c r="B197" i="62"/>
  <c r="B206" i="62" s="1"/>
  <c r="D202" i="62"/>
  <c r="B202" i="62"/>
  <c r="H202" i="62"/>
  <c r="F202" i="62"/>
  <c r="D177" i="25"/>
  <c r="H177" i="25"/>
  <c r="F177" i="25"/>
  <c r="B172" i="25"/>
  <c r="B181" i="25" s="1"/>
  <c r="B177" i="25"/>
  <c r="B169" i="25"/>
  <c r="F78" i="19"/>
  <c r="J9" i="95" s="1"/>
  <c r="F75" i="19"/>
  <c r="F77" i="19" s="1"/>
  <c r="I9" i="95" s="1"/>
  <c r="D195" i="59"/>
  <c r="D197" i="59" s="1"/>
  <c r="D198" i="59"/>
  <c r="B200" i="33"/>
  <c r="D200" i="33"/>
  <c r="B195" i="33"/>
  <c r="B204" i="33" s="1"/>
  <c r="H200" i="33"/>
  <c r="F200" i="33"/>
  <c r="F78" i="59"/>
  <c r="J15" i="95" s="1"/>
  <c r="F75" i="59"/>
  <c r="F77" i="59" s="1"/>
  <c r="I15" i="95" s="1"/>
  <c r="H172" i="25"/>
  <c r="H169" i="25"/>
  <c r="H171" i="25" s="1"/>
  <c r="D82" i="40"/>
  <c r="B82" i="40"/>
  <c r="H82" i="40"/>
  <c r="F82" i="40"/>
  <c r="B77" i="40"/>
  <c r="C12" i="95" s="1"/>
  <c r="D201" i="19"/>
  <c r="F201" i="19"/>
  <c r="B201" i="19"/>
  <c r="B193" i="19"/>
  <c r="B196" i="19"/>
  <c r="B205" i="19" s="1"/>
  <c r="H201" i="19"/>
  <c r="D203" i="59"/>
  <c r="B203" i="59"/>
  <c r="B195" i="59"/>
  <c r="B198" i="59"/>
  <c r="B207" i="59" s="1"/>
  <c r="H203" i="59"/>
  <c r="F203" i="59"/>
  <c r="F172" i="25"/>
  <c r="F169" i="25"/>
  <c r="F171" i="25" s="1"/>
  <c r="B199" i="40"/>
  <c r="B208" i="40" s="1"/>
  <c r="D204" i="40"/>
  <c r="F204" i="40"/>
  <c r="B204" i="40"/>
  <c r="H204" i="40"/>
  <c r="H193" i="19"/>
  <c r="H195" i="19" s="1"/>
  <c r="H196" i="19"/>
  <c r="E38" i="84" l="1"/>
  <c r="E39" i="84" s="1"/>
  <c r="D49" i="83"/>
  <c r="E45" i="83"/>
  <c r="D52" i="83" s="1"/>
  <c r="E52" i="83" s="1"/>
  <c r="E49" i="83"/>
  <c r="D53" i="83"/>
  <c r="E53" i="83" s="1"/>
  <c r="E48" i="83"/>
  <c r="E37" i="90"/>
  <c r="E38" i="90" s="1"/>
  <c r="D54" i="81"/>
  <c r="E54" i="81" s="1"/>
  <c r="E46" i="81"/>
  <c r="D49" i="81" s="1"/>
  <c r="D50" i="81"/>
  <c r="E49" i="81"/>
  <c r="E50" i="81"/>
  <c r="D54" i="79"/>
  <c r="E54" i="79" s="1"/>
  <c r="D50" i="79"/>
  <c r="E46" i="79"/>
  <c r="D53" i="79" s="1"/>
  <c r="E53" i="79" s="1"/>
  <c r="E50" i="79"/>
  <c r="E49" i="79"/>
  <c r="E39" i="82"/>
  <c r="E40" i="82" s="1"/>
  <c r="E46" i="78"/>
  <c r="D53" i="78" s="1"/>
  <c r="E53" i="78" s="1"/>
  <c r="D50" i="78"/>
  <c r="E50" i="78"/>
  <c r="E49" i="78"/>
  <c r="D54" i="78"/>
  <c r="E54" i="78" s="1"/>
  <c r="E39" i="76"/>
  <c r="E40" i="76" s="1"/>
  <c r="B75" i="54"/>
  <c r="O17" i="95" s="1"/>
  <c r="C17" i="95"/>
  <c r="B86" i="62"/>
  <c r="O14" i="95" s="1"/>
  <c r="C14" i="95"/>
  <c r="B86" i="85"/>
  <c r="O13" i="95" s="1"/>
  <c r="C13" i="95"/>
  <c r="B86" i="33"/>
  <c r="O11" i="95" s="1"/>
  <c r="C11" i="95"/>
  <c r="B86" i="22"/>
  <c r="O10" i="95" s="1"/>
  <c r="C10" i="95"/>
  <c r="F115" i="29"/>
  <c r="H115" i="29"/>
  <c r="B76" i="89"/>
  <c r="P16" i="95" s="1"/>
  <c r="H182" i="89"/>
  <c r="D182" i="89"/>
  <c r="F182" i="89"/>
  <c r="D71" i="89"/>
  <c r="H71" i="89"/>
  <c r="F71" i="89"/>
  <c r="D64" i="89"/>
  <c r="D66" i="89" s="1"/>
  <c r="F16" i="95" s="1"/>
  <c r="B71" i="89"/>
  <c r="B66" i="89"/>
  <c r="C16" i="95" s="1"/>
  <c r="B177" i="89"/>
  <c r="B186" i="89" s="1"/>
  <c r="B182" i="89"/>
  <c r="D53" i="86"/>
  <c r="E53" i="86" s="1"/>
  <c r="D49" i="86"/>
  <c r="D53" i="77"/>
  <c r="E53" i="77" s="1"/>
  <c r="D49" i="77"/>
  <c r="B86" i="40"/>
  <c r="O12" i="95" s="1"/>
  <c r="B115" i="29"/>
  <c r="B107" i="29"/>
  <c r="B110" i="29"/>
  <c r="C26" i="95" s="1"/>
  <c r="D115" i="29"/>
  <c r="B176" i="25"/>
  <c r="B171" i="25"/>
  <c r="B180" i="25" s="1"/>
  <c r="H176" i="25"/>
  <c r="D176" i="25"/>
  <c r="F176" i="25"/>
  <c r="F110" i="29"/>
  <c r="G26" i="95" s="1"/>
  <c r="F107" i="29"/>
  <c r="F109" i="29" s="1"/>
  <c r="G27" i="95" s="1"/>
  <c r="H107" i="29"/>
  <c r="H109" i="29" s="1"/>
  <c r="I27" i="95" s="1"/>
  <c r="H110" i="29"/>
  <c r="I26" i="95" s="1"/>
  <c r="B77" i="59"/>
  <c r="F82" i="59"/>
  <c r="B82" i="59"/>
  <c r="H82" i="59"/>
  <c r="D82" i="59"/>
  <c r="B200" i="19"/>
  <c r="F200" i="19"/>
  <c r="D200" i="19"/>
  <c r="B195" i="19"/>
  <c r="B204" i="19" s="1"/>
  <c r="H200" i="19"/>
  <c r="D110" i="29"/>
  <c r="E26" i="95" s="1"/>
  <c r="D107" i="29"/>
  <c r="D109" i="29" s="1"/>
  <c r="E27" i="95" s="1"/>
  <c r="B87" i="19"/>
  <c r="P9" i="95" s="1"/>
  <c r="D75" i="19"/>
  <c r="D77" i="19" s="1"/>
  <c r="F9" i="95" s="1"/>
  <c r="D78" i="19"/>
  <c r="G9" i="95" s="1"/>
  <c r="F82" i="19"/>
  <c r="B82" i="19"/>
  <c r="H82" i="19"/>
  <c r="D82" i="19"/>
  <c r="B77" i="19"/>
  <c r="B76" i="25"/>
  <c r="P18" i="95" s="1"/>
  <c r="F202" i="59"/>
  <c r="H202" i="59"/>
  <c r="B197" i="59"/>
  <c r="B206" i="59" s="1"/>
  <c r="B202" i="59"/>
  <c r="D202" i="59"/>
  <c r="D67" i="25"/>
  <c r="G18" i="95" s="1"/>
  <c r="D64" i="25"/>
  <c r="D66" i="25" s="1"/>
  <c r="F18" i="95" s="1"/>
  <c r="B66" i="25"/>
  <c r="H71" i="25"/>
  <c r="B71" i="25"/>
  <c r="D71" i="25"/>
  <c r="F71" i="25"/>
  <c r="D78" i="59"/>
  <c r="G15" i="95" s="1"/>
  <c r="D75" i="59"/>
  <c r="D77" i="59" s="1"/>
  <c r="F15" i="95" s="1"/>
  <c r="B87" i="59"/>
  <c r="P15" i="95" s="1"/>
  <c r="D53" i="81" l="1"/>
  <c r="E53" i="81" s="1"/>
  <c r="E49" i="84"/>
  <c r="D53" i="84"/>
  <c r="E53" i="84" s="1"/>
  <c r="D49" i="84"/>
  <c r="E45" i="84"/>
  <c r="D52" i="84" s="1"/>
  <c r="E52" i="84" s="1"/>
  <c r="E48" i="84"/>
  <c r="D52" i="90"/>
  <c r="E52" i="90" s="1"/>
  <c r="D48" i="90"/>
  <c r="E44" i="90"/>
  <c r="D51" i="90" s="1"/>
  <c r="E51" i="90" s="1"/>
  <c r="E48" i="90"/>
  <c r="E47" i="90"/>
  <c r="D48" i="83"/>
  <c r="D49" i="79"/>
  <c r="D49" i="78"/>
  <c r="E50" i="82"/>
  <c r="E49" i="82"/>
  <c r="E46" i="82"/>
  <c r="D53" i="82" s="1"/>
  <c r="E53" i="82" s="1"/>
  <c r="D54" i="82"/>
  <c r="E54" i="82" s="1"/>
  <c r="D50" i="82"/>
  <c r="E49" i="76"/>
  <c r="D50" i="76"/>
  <c r="E50" i="76"/>
  <c r="D54" i="76"/>
  <c r="E54" i="76" s="1"/>
  <c r="E46" i="76"/>
  <c r="D49" i="76" s="1"/>
  <c r="B86" i="59"/>
  <c r="O15" i="95" s="1"/>
  <c r="C15" i="95"/>
  <c r="B75" i="25"/>
  <c r="O18" i="95" s="1"/>
  <c r="C18" i="95"/>
  <c r="B86" i="19"/>
  <c r="O9" i="95" s="1"/>
  <c r="C9" i="95"/>
  <c r="B119" i="29"/>
  <c r="K26" i="95" s="1"/>
  <c r="H114" i="29"/>
  <c r="F114" i="29"/>
  <c r="B75" i="89"/>
  <c r="O16" i="95" s="1"/>
  <c r="D114" i="29"/>
  <c r="B114" i="29"/>
  <c r="B109" i="29"/>
  <c r="C27" i="95" s="1"/>
  <c r="D48" i="84" l="1"/>
  <c r="D47" i="90"/>
  <c r="D53" i="76"/>
  <c r="E53" i="76" s="1"/>
  <c r="D49" i="82"/>
  <c r="B118" i="29"/>
  <c r="K27" i="95" s="1"/>
</calcChain>
</file>

<file path=xl/comments1.xml><?xml version="1.0" encoding="utf-8"?>
<comments xmlns="http://schemas.openxmlformats.org/spreadsheetml/2006/main">
  <authors>
    <author>Sensei</author>
  </authors>
  <commentList>
    <comment ref="E15" authorId="0" shapeId="0">
      <text>
        <r>
          <rPr>
            <b/>
            <sz val="9"/>
            <color indexed="81"/>
            <rFont val="Tahoma"/>
            <family val="2"/>
          </rPr>
          <t>Default:
42
=Data!B181</t>
        </r>
      </text>
    </comment>
    <comment ref="G15" authorId="0" shapeId="0">
      <text>
        <r>
          <rPr>
            <b/>
            <sz val="9"/>
            <color indexed="81"/>
            <rFont val="Tahoma"/>
            <family val="2"/>
          </rPr>
          <t>Enter price you are paid ($/bu)
Default:
Food price = $13.20/bu
Feed price = $10.71/bu</t>
        </r>
      </text>
    </comment>
    <comment ref="L15" authorId="0" shapeId="0">
      <text>
        <r>
          <rPr>
            <b/>
            <sz val="9"/>
            <color indexed="81"/>
            <rFont val="Tahoma"/>
            <family val="2"/>
          </rPr>
          <t xml:space="preserve">Default:
48
</t>
        </r>
      </text>
    </comment>
    <comment ref="E16" authorId="0" shapeId="0">
      <text>
        <r>
          <rPr>
            <b/>
            <sz val="9"/>
            <color indexed="81"/>
            <rFont val="Tahoma"/>
            <family val="2"/>
          </rPr>
          <t>Default:
62
=Data!B189</t>
        </r>
      </text>
    </comment>
    <comment ref="G16" authorId="0" shapeId="0">
      <text>
        <r>
          <rPr>
            <b/>
            <sz val="9"/>
            <color indexed="81"/>
            <rFont val="Tahoma"/>
            <family val="2"/>
          </rPr>
          <t>Enter price you are paid ($/bu)
Default:
Food price = $5.50/bu
Feed price = $5.875bu</t>
        </r>
      </text>
    </comment>
    <comment ref="L16" authorId="0" shapeId="0">
      <text>
        <r>
          <rPr>
            <b/>
            <sz val="9"/>
            <color indexed="81"/>
            <rFont val="Tahoma"/>
            <family val="2"/>
          </rPr>
          <t xml:space="preserve">Default:
32
</t>
        </r>
      </text>
    </comment>
    <comment ref="E17" authorId="0" shapeId="0">
      <text>
        <r>
          <rPr>
            <b/>
            <sz val="9"/>
            <color indexed="81"/>
            <rFont val="Tahoma"/>
            <family val="2"/>
          </rPr>
          <t>Default:
28
=Data!B197</t>
        </r>
      </text>
    </comment>
    <comment ref="G17" authorId="0" shapeId="0">
      <text>
        <r>
          <rPr>
            <b/>
            <sz val="9"/>
            <color indexed="81"/>
            <rFont val="Tahoma"/>
            <family val="2"/>
          </rPr>
          <t>Enter price you are paid ($/bu)
Default:
Food price = $16.80/bu
Feed price = $11.20/bu</t>
        </r>
      </text>
    </comment>
    <comment ref="L17" authorId="0" shapeId="0">
      <text>
        <r>
          <rPr>
            <b/>
            <sz val="9"/>
            <color indexed="81"/>
            <rFont val="Tahoma"/>
            <family val="2"/>
          </rPr>
          <t xml:space="preserve">Default:
56
</t>
        </r>
      </text>
    </comment>
    <comment ref="E18" authorId="0" shapeId="0">
      <text>
        <r>
          <rPr>
            <b/>
            <sz val="9"/>
            <color indexed="81"/>
            <rFont val="Tahoma"/>
            <family val="2"/>
          </rPr>
          <t>Default:
34
=Data!B205</t>
        </r>
      </text>
    </comment>
    <comment ref="G18" authorId="0" shapeId="0">
      <text>
        <r>
          <rPr>
            <b/>
            <sz val="9"/>
            <color indexed="81"/>
            <rFont val="Tahoma"/>
            <family val="2"/>
          </rPr>
          <t>Enter price you are paid ($/bu)
Default:
Food price = $16.24/bu
Feed price = $10.32/bu</t>
        </r>
      </text>
    </comment>
    <comment ref="L18" authorId="0" shapeId="0">
      <text>
        <r>
          <rPr>
            <b/>
            <sz val="9"/>
            <color indexed="81"/>
            <rFont val="Tahoma"/>
            <family val="2"/>
          </rPr>
          <t xml:space="preserve">Default:
60
</t>
        </r>
      </text>
    </comment>
    <comment ref="E19" authorId="0" shapeId="0">
      <text>
        <r>
          <rPr>
            <b/>
            <sz val="9"/>
            <color indexed="81"/>
            <rFont val="Tahoma"/>
            <family val="2"/>
          </rPr>
          <t>Default:
42
=Data!B213</t>
        </r>
      </text>
    </comment>
    <comment ref="G19" authorId="0" shapeId="0">
      <text>
        <r>
          <rPr>
            <b/>
            <sz val="9"/>
            <color indexed="81"/>
            <rFont val="Tahoma"/>
            <family val="2"/>
          </rPr>
          <t>Enter price you are paid ($/bu)
Default:
Food price = $16.24/bu
Feed price = $10.32/bu</t>
        </r>
      </text>
    </comment>
    <comment ref="L19" authorId="0" shapeId="0">
      <text>
        <r>
          <rPr>
            <b/>
            <sz val="9"/>
            <color indexed="81"/>
            <rFont val="Tahoma"/>
            <family val="2"/>
          </rPr>
          <t xml:space="preserve">Default:
60
</t>
        </r>
      </text>
    </comment>
    <comment ref="B20" authorId="0" shapeId="0">
      <text>
        <r>
          <rPr>
            <b/>
            <sz val="9"/>
            <color indexed="81"/>
            <rFont val="Tahoma"/>
            <family val="2"/>
          </rPr>
          <t>Assume this is a winter grain (not spring planted).</t>
        </r>
      </text>
    </comment>
    <comment ref="E20" authorId="0" shapeId="0">
      <text>
        <r>
          <rPr>
            <b/>
            <sz val="9"/>
            <color indexed="81"/>
            <rFont val="Tahoma"/>
            <family val="2"/>
          </rPr>
          <t>Default:
45
Assume 45 bu/acre for winter grain and not 36 bu/acre for spring grain
=Data!B221</t>
        </r>
      </text>
    </comment>
    <comment ref="G20" authorId="0" shapeId="0">
      <text>
        <r>
          <rPr>
            <b/>
            <sz val="9"/>
            <color indexed="81"/>
            <rFont val="Tahoma"/>
            <family val="2"/>
          </rPr>
          <t>Enter price you are paid ($/bu)
Default:
Food price = $16.80/bu
Feed price = $10.71/bu</t>
        </r>
      </text>
    </comment>
    <comment ref="K20" authorId="0" shapeId="0">
      <text>
        <r>
          <rPr>
            <b/>
            <sz val="9"/>
            <color indexed="81"/>
            <rFont val="Tahoma"/>
            <family val="2"/>
          </rPr>
          <t>Assume this is a winter grain (not spring planted).</t>
        </r>
      </text>
    </comment>
    <comment ref="L20" authorId="0" shapeId="0">
      <text>
        <r>
          <rPr>
            <b/>
            <sz val="9"/>
            <color indexed="81"/>
            <rFont val="Tahoma"/>
            <family val="2"/>
          </rPr>
          <t xml:space="preserve">Default:
56
</t>
        </r>
      </text>
    </comment>
    <comment ref="B21" authorId="0" shapeId="0">
      <text>
        <r>
          <rPr>
            <b/>
            <sz val="9"/>
            <color indexed="81"/>
            <rFont val="Tahoma"/>
            <family val="2"/>
          </rPr>
          <t>Assume this is a winter grain (not spring planted).</t>
        </r>
      </text>
    </comment>
    <comment ref="E21" authorId="0" shapeId="0">
      <text>
        <r>
          <rPr>
            <b/>
            <sz val="9"/>
            <color indexed="81"/>
            <rFont val="Tahoma"/>
            <family val="2"/>
          </rPr>
          <t>Default:
42
Assume 42 bu/acre for winter grain and not 34 bu/acre for spring grain
=Data!B229</t>
        </r>
      </text>
    </comment>
    <comment ref="G21" authorId="0" shapeId="0">
      <text>
        <r>
          <rPr>
            <b/>
            <sz val="9"/>
            <color indexed="81"/>
            <rFont val="Tahoma"/>
            <family val="2"/>
          </rPr>
          <t>Enter price you are paid ($/bu)
Default:
Food price = $24/bu
Feed price = N/A</t>
        </r>
      </text>
    </comment>
    <comment ref="K21" authorId="0" shapeId="0">
      <text>
        <r>
          <rPr>
            <b/>
            <sz val="9"/>
            <color indexed="81"/>
            <rFont val="Tahoma"/>
            <family val="2"/>
          </rPr>
          <t>Assume this is a winter grain (not spring planted).</t>
        </r>
      </text>
    </comment>
    <comment ref="L21" authorId="0" shapeId="0">
      <text>
        <r>
          <rPr>
            <b/>
            <sz val="9"/>
            <color indexed="81"/>
            <rFont val="Tahoma"/>
            <family val="2"/>
          </rPr>
          <t xml:space="preserve">Default:
60
</t>
        </r>
      </text>
    </comment>
    <comment ref="E22" authorId="0" shapeId="0">
      <text>
        <r>
          <rPr>
            <b/>
            <sz val="9"/>
            <color indexed="81"/>
            <rFont val="Tahoma"/>
            <family val="2"/>
          </rPr>
          <t>Default value:
15
http://www.hort.cornell.edu/bjorkman/lab/buck/guide/yields.php
=Data!B237</t>
        </r>
      </text>
    </comment>
    <comment ref="G22" authorId="0" shapeId="0">
      <text>
        <r>
          <rPr>
            <b/>
            <sz val="9"/>
            <color indexed="81"/>
            <rFont val="Tahoma"/>
            <family val="2"/>
          </rPr>
          <t>Default value:
30
https://www.agmrc.org/commodities-products/specialty-crops/buckwheat-profile/</t>
        </r>
      </text>
    </comment>
    <comment ref="L22" authorId="0" shapeId="0">
      <text>
        <r>
          <rPr>
            <b/>
            <sz val="9"/>
            <color indexed="81"/>
            <rFont val="Tahoma"/>
            <family val="2"/>
          </rPr>
          <t>https://www.agmrc.org/commodities-products/specialty-crops/buckwheat-profile/</t>
        </r>
      </text>
    </comment>
    <comment ref="E23" authorId="0" shapeId="0">
      <text>
        <r>
          <rPr>
            <b/>
            <sz val="9"/>
            <color indexed="81"/>
            <rFont val="Tahoma"/>
            <family val="2"/>
          </rPr>
          <t>Default:
34
=Data!B245</t>
        </r>
      </text>
    </comment>
    <comment ref="G23" authorId="0" shapeId="0">
      <text>
        <r>
          <rPr>
            <b/>
            <sz val="9"/>
            <color indexed="81"/>
            <rFont val="Tahoma"/>
            <family val="2"/>
          </rPr>
          <t>Enter price you are paid ($/bu)
Default:
Food price = N/A
Feed price = $15/bu</t>
        </r>
      </text>
    </comment>
    <comment ref="L23" authorId="0" shapeId="0">
      <text>
        <r>
          <rPr>
            <b/>
            <sz val="9"/>
            <color indexed="81"/>
            <rFont val="Tahoma"/>
            <family val="2"/>
          </rPr>
          <t>http://www.ers.usda.gov/media/935958/ah697_002.pdf</t>
        </r>
        <r>
          <rPr>
            <sz val="9"/>
            <color indexed="81"/>
            <rFont val="Tahoma"/>
            <family val="2"/>
          </rPr>
          <t xml:space="preserve">
</t>
        </r>
      </text>
    </comment>
    <comment ref="E24" authorId="0" shapeId="0">
      <text>
        <r>
          <rPr>
            <b/>
            <sz val="9"/>
            <color indexed="81"/>
            <rFont val="Tahoma"/>
            <family val="2"/>
          </rPr>
          <t>Default:
25
=Data!B253</t>
        </r>
      </text>
    </comment>
    <comment ref="G24" authorId="0" shapeId="0">
      <text>
        <r>
          <rPr>
            <b/>
            <sz val="9"/>
            <color indexed="81"/>
            <rFont val="Tahoma"/>
            <family val="2"/>
          </rPr>
          <t>Enter price you are paid ($/bu)
Default:
Food price = $28.98/bu
Feed price = $23.79/bu</t>
        </r>
      </text>
    </comment>
  </commentList>
</comments>
</file>

<file path=xl/comments10.xml><?xml version="1.0" encoding="utf-8"?>
<comments xmlns="http://schemas.openxmlformats.org/spreadsheetml/2006/main">
  <authors>
    <author>aaron hoshide</author>
  </authors>
  <commentList>
    <comment ref="A29" authorId="0" shapeId="0">
      <text>
        <r>
          <rPr>
            <sz val="8"/>
            <color indexed="81"/>
            <rFont val="Tahoma"/>
            <family val="2"/>
          </rPr>
          <t>Includes promotion tax and leased land.</t>
        </r>
      </text>
    </comment>
    <comment ref="A140" authorId="0" shapeId="0">
      <text>
        <r>
          <rPr>
            <sz val="8"/>
            <color indexed="81"/>
            <rFont val="Tahoma"/>
            <family val="2"/>
          </rPr>
          <t>Includes promotion tax and leased land.</t>
        </r>
      </text>
    </comment>
  </commentList>
</comments>
</file>

<file path=xl/comments11.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59" authorId="0" shapeId="0">
      <text>
        <r>
          <rPr>
            <sz val="8"/>
            <color indexed="81"/>
            <rFont val="Tahoma"/>
            <family val="2"/>
          </rPr>
          <t>Includes promotion tax and leased land.</t>
        </r>
      </text>
    </comment>
  </commentList>
</comments>
</file>

<file path=xl/comments12.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59" authorId="0" shapeId="0">
      <text>
        <r>
          <rPr>
            <sz val="8"/>
            <color indexed="81"/>
            <rFont val="Tahoma"/>
            <family val="2"/>
          </rPr>
          <t>Includes promotion tax and leased land.</t>
        </r>
      </text>
    </comment>
  </commentList>
</comments>
</file>

<file path=xl/comments13.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61" authorId="0" shapeId="0">
      <text>
        <r>
          <rPr>
            <sz val="8"/>
            <color indexed="81"/>
            <rFont val="Tahoma"/>
            <family val="2"/>
          </rPr>
          <t>Includes promotion tax and leased land.</t>
        </r>
      </text>
    </comment>
  </commentList>
</comments>
</file>

<file path=xl/comments14.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61" authorId="0" shapeId="0">
      <text>
        <r>
          <rPr>
            <sz val="8"/>
            <color indexed="81"/>
            <rFont val="Tahoma"/>
            <family val="2"/>
          </rPr>
          <t>Includes promotion tax and leased land.</t>
        </r>
      </text>
    </comment>
  </commentList>
</comments>
</file>

<file path=xl/comments15.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57" authorId="0" shapeId="0">
      <text>
        <r>
          <rPr>
            <sz val="8"/>
            <color indexed="81"/>
            <rFont val="Tahoma"/>
            <family val="2"/>
          </rPr>
          <t>Includes promotion tax and leased land</t>
        </r>
      </text>
    </comment>
  </commentList>
</comments>
</file>

<file path=xl/comments16.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57" authorId="0" shapeId="0">
      <text>
        <r>
          <rPr>
            <sz val="8"/>
            <color indexed="81"/>
            <rFont val="Tahoma"/>
            <family val="2"/>
          </rPr>
          <t>Includes promotion tax and leased land</t>
        </r>
      </text>
    </comment>
  </commentList>
</comments>
</file>

<file path=xl/comments17.xml><?xml version="1.0" encoding="utf-8"?>
<comments xmlns="http://schemas.openxmlformats.org/spreadsheetml/2006/main">
  <authors>
    <author>aaron hoshide</author>
  </authors>
  <commentList>
    <comment ref="A39" authorId="0" shapeId="0">
      <text>
        <r>
          <rPr>
            <sz val="8"/>
            <color indexed="81"/>
            <rFont val="Tahoma"/>
            <family val="2"/>
          </rPr>
          <t>Includes promotion tax and leased land</t>
        </r>
      </text>
    </comment>
    <comment ref="A157" authorId="0" shapeId="0">
      <text>
        <r>
          <rPr>
            <sz val="8"/>
            <color indexed="81"/>
            <rFont val="Tahoma"/>
            <family val="2"/>
          </rPr>
          <t>Includes promotion tax and leased land</t>
        </r>
      </text>
    </comment>
  </commentList>
</comments>
</file>

<file path=xl/comments18.xml><?xml version="1.0" encoding="utf-8"?>
<comments xmlns="http://schemas.openxmlformats.org/spreadsheetml/2006/main">
  <authors>
    <author>aaron hoshide</author>
  </authors>
  <commentList>
    <comment ref="A71" authorId="0" shapeId="0">
      <text>
        <r>
          <rPr>
            <sz val="8"/>
            <color indexed="81"/>
            <rFont val="Tahoma"/>
            <family val="2"/>
          </rPr>
          <t>Includes promotion tax and leased land</t>
        </r>
      </text>
    </comment>
  </commentList>
</comments>
</file>

<file path=xl/comments19.xml><?xml version="1.0" encoding="utf-8"?>
<comments xmlns="http://schemas.openxmlformats.org/spreadsheetml/2006/main">
  <authors>
    <author>Sensei</author>
    <author xml:space="preserve"> </author>
    <author>REP</author>
    <author>aaron hoshide</author>
  </authors>
  <commentList>
    <comment ref="C9" authorId="0" shapeId="0">
      <text>
        <r>
          <rPr>
            <b/>
            <sz val="9"/>
            <color indexed="81"/>
            <rFont val="Tahoma"/>
            <family val="2"/>
          </rPr>
          <t>Old value of 120 lb/acre</t>
        </r>
      </text>
    </comment>
    <comment ref="F9" authorId="1" shapeId="0">
      <text>
        <r>
          <rPr>
            <b/>
            <sz val="8"/>
            <color indexed="81"/>
            <rFont val="Tahoma"/>
            <family val="2"/>
          </rPr>
          <t>=26.5/48
0.552083333333333
Use 2007-09 US average price:
0.187916666666667
Old value of 0.0792</t>
        </r>
      </text>
    </comment>
    <comment ref="F10" authorId="1" shapeId="0">
      <text>
        <r>
          <rPr>
            <sz val="8"/>
            <color indexed="81"/>
            <rFont val="Tahoma"/>
            <family val="2"/>
          </rPr>
          <t>Use 2007-09 US average price for red clover:
1.31333333333333
Old value of 1.2</t>
        </r>
      </text>
    </comment>
    <comment ref="L10" authorId="1" shapeId="0">
      <text>
        <r>
          <rPr>
            <sz val="8"/>
            <color indexed="81"/>
            <rFont val="Tahoma"/>
            <family val="2"/>
          </rPr>
          <t>Use 2007-09 US average price for red clover:
1.31333333333333
Old value of 1.2</t>
        </r>
      </text>
    </comment>
    <comment ref="F11" authorId="0" shapeId="0">
      <text>
        <r>
          <rPr>
            <b/>
            <sz val="9"/>
            <color indexed="81"/>
            <rFont val="Tahoma"/>
            <family val="2"/>
          </rPr>
          <t>From Tom Molloy</t>
        </r>
      </text>
    </comment>
    <comment ref="L11" authorId="0" shapeId="0">
      <text>
        <r>
          <rPr>
            <b/>
            <sz val="9"/>
            <color indexed="81"/>
            <rFont val="Tahoma"/>
            <family val="2"/>
          </rPr>
          <t>From Tom Molloy</t>
        </r>
      </text>
    </comment>
    <comment ref="C14" authorId="2" shapeId="0">
      <text>
        <r>
          <rPr>
            <sz val="8"/>
            <color indexed="81"/>
            <rFont val="Tahoma"/>
            <family val="2"/>
          </rPr>
          <t>Coupled model assumes need 37 lb/acre of urea 34-0-0 based on MPEP data for long term integrated (147 lb/acre for short term integrated)</t>
        </r>
      </text>
    </comment>
    <comment ref="F14" authorId="2" shapeId="0">
      <text>
        <r>
          <rPr>
            <sz val="8"/>
            <color indexed="81"/>
            <rFont val="Tahoma"/>
            <family val="2"/>
          </rPr>
          <t>Assume percent increase in price for this. Old price of urea side dress for conventional dairy at $230/ton.
Old value:
=230+(230*'Key Data'!$F$71)</t>
        </r>
      </text>
    </comment>
    <comment ref="C15" authorId="2" shapeId="0">
      <text>
        <r>
          <rPr>
            <sz val="8"/>
            <color indexed="81"/>
            <rFont val="Tahoma"/>
            <family val="2"/>
          </rPr>
          <t>Coupled model assumes need 5 lb/acre of urea 34-0-0 based on MPEP data for long term integrated (46 lb/acre for short term integrated)</t>
        </r>
      </text>
    </comment>
    <comment ref="F15" authorId="2" shapeId="0">
      <text>
        <r>
          <rPr>
            <sz val="8"/>
            <color indexed="81"/>
            <rFont val="Tahoma"/>
            <family val="2"/>
          </rPr>
          <t>Assume percent increase in price for this. Old price of urea side dress for conventional dairy at $230/ton.
Old value:
=230+(230*'Key Data'!$F$71)</t>
        </r>
      </text>
    </comment>
    <comment ref="A16" authorId="0" shapeId="0">
      <text>
        <r>
          <rPr>
            <b/>
            <sz val="9"/>
            <color indexed="81"/>
            <rFont val="Tahoma"/>
            <family val="2"/>
          </rPr>
          <t>Chicken Manure - 60lb of N per acre</t>
        </r>
        <r>
          <rPr>
            <sz val="9"/>
            <color indexed="81"/>
            <rFont val="Tahoma"/>
            <family val="2"/>
          </rPr>
          <t xml:space="preserve">
</t>
        </r>
      </text>
    </comment>
    <comment ref="C16" authorId="0" shapeId="0">
      <text>
        <r>
          <rPr>
            <b/>
            <sz val="9"/>
            <color indexed="81"/>
            <rFont val="Tahoma"/>
            <family val="2"/>
          </rPr>
          <t>From Tom Molloy</t>
        </r>
      </text>
    </comment>
    <comment ref="F16" authorId="0" shapeId="0">
      <text>
        <r>
          <rPr>
            <b/>
            <sz val="9"/>
            <color indexed="81"/>
            <rFont val="Tahoma"/>
            <family val="2"/>
          </rPr>
          <t>From Tom Molloy</t>
        </r>
      </text>
    </comment>
    <comment ref="B19" authorId="0"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0" shapeId="0">
      <text>
        <r>
          <rPr>
            <b/>
            <sz val="9"/>
            <color indexed="81"/>
            <rFont val="Tahoma"/>
            <family val="2"/>
          </rPr>
          <t>Old value:
=lime</t>
        </r>
      </text>
    </comment>
    <comment ref="B26" authorId="0" shapeId="0">
      <text>
        <r>
          <rPr>
            <b/>
            <sz val="9"/>
            <color indexed="81"/>
            <rFont val="Tahoma"/>
            <family val="2"/>
          </rPr>
          <t>Default:
1</t>
        </r>
      </text>
    </comment>
    <comment ref="B27" authorId="0" shapeId="0">
      <text>
        <r>
          <rPr>
            <b/>
            <sz val="9"/>
            <color indexed="81"/>
            <rFont val="Tahoma"/>
            <family val="2"/>
          </rPr>
          <t>Default:
1</t>
        </r>
      </text>
    </comment>
    <comment ref="B28" authorId="0" shapeId="0">
      <text>
        <r>
          <rPr>
            <b/>
            <sz val="9"/>
            <color indexed="81"/>
            <rFont val="Tahoma"/>
            <family val="2"/>
          </rPr>
          <t>Default:
1</t>
        </r>
      </text>
    </comment>
    <comment ref="B29" authorId="0"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C32" authorId="3" shapeId="0">
      <text>
        <r>
          <rPr>
            <sz val="8"/>
            <color indexed="81"/>
            <rFont val="Tahoma"/>
            <family val="2"/>
          </rPr>
          <t>Old value of 0.44 hours.</t>
        </r>
      </text>
    </comment>
    <comment ref="B33" authorId="0"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0" shapeId="0">
      <text>
        <r>
          <rPr>
            <b/>
            <sz val="9"/>
            <color indexed="81"/>
            <rFont val="Tahoma"/>
            <family val="2"/>
          </rPr>
          <t>Default:
1</t>
        </r>
      </text>
    </comment>
    <comment ref="B35" authorId="0" shapeId="0">
      <text>
        <r>
          <rPr>
            <b/>
            <sz val="9"/>
            <color indexed="81"/>
            <rFont val="Tahoma"/>
            <family val="2"/>
          </rPr>
          <t>Default:
2</t>
        </r>
      </text>
    </comment>
    <comment ref="I35" authorId="0" shapeId="0">
      <text>
        <r>
          <rPr>
            <b/>
            <sz val="9"/>
            <color indexed="81"/>
            <rFont val="Tahoma"/>
            <charset val="1"/>
          </rPr>
          <t>Assumed as default number</t>
        </r>
      </text>
    </comment>
    <comment ref="B36" authorId="0" shapeId="0">
      <text>
        <r>
          <rPr>
            <b/>
            <sz val="9"/>
            <color indexed="81"/>
            <rFont val="Tahoma"/>
            <family val="2"/>
          </rPr>
          <t>Default:
0</t>
        </r>
      </text>
    </comment>
    <comment ref="B37" authorId="0" shapeId="0">
      <text>
        <r>
          <rPr>
            <b/>
            <sz val="9"/>
            <color indexed="81"/>
            <rFont val="Tahoma"/>
            <family val="2"/>
          </rPr>
          <t>Default:
0</t>
        </r>
      </text>
    </comment>
    <comment ref="B39" authorId="0" shapeId="0">
      <text>
        <r>
          <rPr>
            <b/>
            <sz val="9"/>
            <color indexed="81"/>
            <rFont val="Tahoma"/>
            <family val="2"/>
          </rPr>
          <t>Default:
0</t>
        </r>
      </text>
    </comment>
    <comment ref="B40" authorId="0"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0" shapeId="0">
      <text>
        <r>
          <rPr>
            <b/>
            <sz val="9"/>
            <color indexed="81"/>
            <rFont val="Tahoma"/>
            <family val="2"/>
          </rPr>
          <t>Default:
1</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0"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0" shapeId="0">
      <text>
        <r>
          <rPr>
            <b/>
            <sz val="9"/>
            <color indexed="81"/>
            <rFont val="Tahoma"/>
            <family val="2"/>
          </rPr>
          <t>Default:
500</t>
        </r>
      </text>
    </comment>
    <comment ref="B59" authorId="0" shapeId="0">
      <text>
        <r>
          <rPr>
            <b/>
            <sz val="9"/>
            <color indexed="81"/>
            <rFont val="Tahoma"/>
            <family val="2"/>
          </rPr>
          <t>Default:
1</t>
        </r>
      </text>
    </comment>
    <comment ref="C59" authorId="0" shapeId="0">
      <text>
        <r>
          <rPr>
            <b/>
            <sz val="9"/>
            <color indexed="81"/>
            <rFont val="Tahoma"/>
            <family val="2"/>
          </rPr>
          <t>Base hours to dry 3,300 bu of grain on Iowa State calculator ($422/$12.29). Adjust to total bushels produced.
=((422/12.29)*(BarBudget!B13/3300))/barley</t>
        </r>
      </text>
    </comment>
    <comment ref="J59" authorId="1" shapeId="0">
      <text>
        <r>
          <rPr>
            <b/>
            <sz val="8"/>
            <color indexed="81"/>
            <rFont val="Tahoma"/>
            <family val="2"/>
          </rPr>
          <t>Calculate this for wheat baseline of 1000 bu x 60 lb/bu = 60,000 lb capacity.</t>
        </r>
      </text>
    </comment>
    <comment ref="N59" authorId="0"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0" shapeId="0">
      <text>
        <r>
          <rPr>
            <b/>
            <sz val="9"/>
            <color indexed="81"/>
            <rFont val="Tahoma"/>
            <family val="2"/>
          </rPr>
          <t>Consistent with old value of 1
Assume NOT close enough to not use truck</t>
        </r>
      </text>
    </comment>
    <comment ref="P63" authorId="0" shapeId="0">
      <text>
        <r>
          <rPr>
            <b/>
            <sz val="9"/>
            <color indexed="81"/>
            <rFont val="Tahoma"/>
            <family val="2"/>
          </rPr>
          <t>Default:
20</t>
        </r>
      </text>
    </comment>
    <comment ref="Q63" authorId="0" shapeId="0">
      <text>
        <r>
          <rPr>
            <b/>
            <sz val="9"/>
            <color indexed="81"/>
            <rFont val="Tahoma"/>
            <family val="2"/>
          </rPr>
          <t xml:space="preserve">Default:
40
</t>
        </r>
      </text>
    </comment>
    <comment ref="P64" authorId="0" shapeId="0">
      <text>
        <r>
          <rPr>
            <b/>
            <sz val="9"/>
            <color indexed="81"/>
            <rFont val="Tahoma"/>
            <family val="2"/>
          </rPr>
          <t>Default:
20</t>
        </r>
      </text>
    </comment>
    <comment ref="Q64" authorId="0" shapeId="0">
      <text>
        <r>
          <rPr>
            <b/>
            <sz val="9"/>
            <color indexed="81"/>
            <rFont val="Tahoma"/>
            <family val="2"/>
          </rPr>
          <t xml:space="preserve">Default:
40
</t>
        </r>
      </text>
    </comment>
    <comment ref="U64" authorId="0" shapeId="0">
      <text>
        <r>
          <rPr>
            <b/>
            <sz val="9"/>
            <color indexed="81"/>
            <rFont val="Tahoma"/>
            <family val="2"/>
          </rPr>
          <t>Default:
8</t>
        </r>
      </text>
    </comment>
    <comment ref="P65" authorId="0" shapeId="0">
      <text>
        <r>
          <rPr>
            <b/>
            <sz val="9"/>
            <color indexed="81"/>
            <rFont val="Tahoma"/>
            <family val="2"/>
          </rPr>
          <t>Default:
20</t>
        </r>
      </text>
    </comment>
    <comment ref="Q65" authorId="0"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0" shapeId="0">
      <text>
        <r>
          <rPr>
            <b/>
            <sz val="9"/>
            <color indexed="81"/>
            <rFont val="Tahoma"/>
            <family val="2"/>
          </rPr>
          <t>Default:
20</t>
        </r>
      </text>
    </comment>
    <comment ref="Q68" authorId="0" shapeId="0">
      <text>
        <r>
          <rPr>
            <b/>
            <sz val="9"/>
            <color indexed="81"/>
            <rFont val="Tahoma"/>
            <family val="2"/>
          </rPr>
          <t>Default:
40</t>
        </r>
      </text>
    </comment>
    <comment ref="P69" authorId="0" shapeId="0">
      <text>
        <r>
          <rPr>
            <b/>
            <sz val="9"/>
            <color indexed="81"/>
            <rFont val="Tahoma"/>
            <family val="2"/>
          </rPr>
          <t>Default:
20</t>
        </r>
      </text>
    </comment>
    <comment ref="Q69" authorId="0"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0" shapeId="0">
      <text>
        <r>
          <rPr>
            <b/>
            <sz val="9"/>
            <color indexed="81"/>
            <rFont val="Tahoma"/>
            <family val="2"/>
          </rPr>
          <t>Old value of 1
Assume close enough to not use truck</t>
        </r>
      </text>
    </comment>
    <comment ref="P70" authorId="0" shapeId="0">
      <text>
        <r>
          <rPr>
            <b/>
            <sz val="9"/>
            <color indexed="81"/>
            <rFont val="Tahoma"/>
            <family val="2"/>
          </rPr>
          <t>Default:
20</t>
        </r>
      </text>
    </comment>
    <comment ref="Q70" authorId="0" shapeId="0">
      <text>
        <r>
          <rPr>
            <b/>
            <sz val="9"/>
            <color indexed="81"/>
            <rFont val="Tahoma"/>
            <family val="2"/>
          </rPr>
          <t>Default:
40</t>
        </r>
      </text>
    </comment>
    <comment ref="P73" authorId="0" shapeId="0">
      <text>
        <r>
          <rPr>
            <b/>
            <sz val="9"/>
            <color indexed="81"/>
            <rFont val="Tahoma"/>
            <family val="2"/>
          </rPr>
          <t>Default:
S: 100%
M: 100%
L: 0%</t>
        </r>
      </text>
    </comment>
    <comment ref="Q73" authorId="0" shapeId="0">
      <text>
        <r>
          <rPr>
            <b/>
            <sz val="9"/>
            <color indexed="81"/>
            <rFont val="Tahoma"/>
            <family val="2"/>
          </rPr>
          <t>Default:
S: 0%
M: 0%
L: 100%</t>
        </r>
      </text>
    </comment>
    <comment ref="P74" authorId="0" shapeId="0">
      <text>
        <r>
          <rPr>
            <b/>
            <sz val="9"/>
            <color indexed="81"/>
            <rFont val="Tahoma"/>
            <family val="2"/>
          </rPr>
          <t>Default:
S: 100%
M: 100%
L: 0%</t>
        </r>
      </text>
    </comment>
    <comment ref="Q74" authorId="0" shapeId="0">
      <text>
        <r>
          <rPr>
            <b/>
            <sz val="9"/>
            <color indexed="81"/>
            <rFont val="Tahoma"/>
            <family val="2"/>
          </rPr>
          <t>Default:
S: 0%
M: 0%
L: 100%</t>
        </r>
      </text>
    </comment>
    <comment ref="P75" authorId="0" shapeId="0">
      <text>
        <r>
          <rPr>
            <b/>
            <sz val="9"/>
            <color indexed="81"/>
            <rFont val="Tahoma"/>
            <family val="2"/>
          </rPr>
          <t>Default:
S: 100%
M: 100%
L: 0%</t>
        </r>
      </text>
    </comment>
    <comment ref="Q75" authorId="0" shapeId="0">
      <text>
        <r>
          <rPr>
            <b/>
            <sz val="9"/>
            <color indexed="81"/>
            <rFont val="Tahoma"/>
            <family val="2"/>
          </rPr>
          <t>Default:
S: 0%
M: 0%
L: 100%</t>
        </r>
      </text>
    </comment>
    <comment ref="C84" authorId="3" shapeId="0">
      <text>
        <r>
          <rPr>
            <sz val="8"/>
            <color indexed="81"/>
            <rFont val="Tahoma"/>
            <family val="2"/>
          </rPr>
          <t>Old value of 0.44 gallons.</t>
        </r>
      </text>
    </comment>
    <comment ref="B93" authorId="1" shapeId="0">
      <text>
        <r>
          <rPr>
            <sz val="8"/>
            <color indexed="81"/>
            <rFont val="Tahoma"/>
            <family val="2"/>
          </rPr>
          <t>Assume that there is no change for this since it takes the same time to pass over the field.</t>
        </r>
      </text>
    </comment>
    <comment ref="C96" authorId="2" shapeId="0">
      <text>
        <r>
          <rPr>
            <sz val="8"/>
            <color indexed="81"/>
            <rFont val="Tahoma"/>
            <family val="2"/>
          </rPr>
          <t>Assume this is 10% of small dairy.  Old value of 0.05 gal.</t>
        </r>
      </text>
    </comment>
    <comment ref="C97" authorId="2"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2"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2"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0"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0"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0" shapeId="0">
      <text>
        <r>
          <rPr>
            <b/>
            <sz val="9"/>
            <color indexed="81"/>
            <rFont val="Tahoma"/>
            <family val="2"/>
          </rPr>
          <t>Consistent with old value of 1
Assume NOT close enough to not use truck</t>
        </r>
      </text>
    </comment>
    <comment ref="P115" authorId="0" shapeId="0">
      <text>
        <r>
          <rPr>
            <b/>
            <sz val="9"/>
            <color indexed="81"/>
            <rFont val="Tahoma"/>
            <family val="2"/>
          </rPr>
          <t>Default:
20</t>
        </r>
      </text>
    </comment>
    <comment ref="Q115" authorId="0" shapeId="0">
      <text>
        <r>
          <rPr>
            <b/>
            <sz val="9"/>
            <color indexed="81"/>
            <rFont val="Tahoma"/>
            <family val="2"/>
          </rPr>
          <t>Default:
15</t>
        </r>
      </text>
    </comment>
    <comment ref="P116" authorId="0" shapeId="0">
      <text>
        <r>
          <rPr>
            <b/>
            <sz val="9"/>
            <color indexed="81"/>
            <rFont val="Tahoma"/>
            <family val="2"/>
          </rPr>
          <t>Default:
20</t>
        </r>
      </text>
    </comment>
    <comment ref="Q116" authorId="0" shapeId="0">
      <text>
        <r>
          <rPr>
            <b/>
            <sz val="9"/>
            <color indexed="81"/>
            <rFont val="Tahoma"/>
            <family val="2"/>
          </rPr>
          <t>Default:
15</t>
        </r>
      </text>
    </comment>
    <comment ref="S116" authorId="0" shapeId="0">
      <text>
        <r>
          <rPr>
            <b/>
            <sz val="9"/>
            <color indexed="81"/>
            <rFont val="Tahoma"/>
            <family val="2"/>
          </rPr>
          <t>Default:
8</t>
        </r>
      </text>
    </comment>
    <comment ref="P117" authorId="0" shapeId="0">
      <text>
        <r>
          <rPr>
            <b/>
            <sz val="9"/>
            <color indexed="81"/>
            <rFont val="Tahoma"/>
            <family val="2"/>
          </rPr>
          <t>Default:
20</t>
        </r>
      </text>
    </comment>
    <comment ref="Q117" authorId="0"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0" shapeId="0">
      <text>
        <r>
          <rPr>
            <b/>
            <sz val="9"/>
            <color indexed="81"/>
            <rFont val="Tahoma"/>
            <family val="2"/>
          </rPr>
          <t>Default:
20</t>
        </r>
      </text>
    </comment>
    <comment ref="Q120" authorId="0" shapeId="0">
      <text>
        <r>
          <rPr>
            <b/>
            <sz val="9"/>
            <color indexed="81"/>
            <rFont val="Tahoma"/>
            <family val="2"/>
          </rPr>
          <t>Default:
7</t>
        </r>
      </text>
    </comment>
    <comment ref="P121" authorId="0" shapeId="0">
      <text>
        <r>
          <rPr>
            <b/>
            <sz val="9"/>
            <color indexed="81"/>
            <rFont val="Tahoma"/>
            <family val="2"/>
          </rPr>
          <t>Default:
20</t>
        </r>
      </text>
    </comment>
    <comment ref="Q121" authorId="0"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0" shapeId="0">
      <text>
        <r>
          <rPr>
            <b/>
            <sz val="9"/>
            <color indexed="81"/>
            <rFont val="Tahoma"/>
            <family val="2"/>
          </rPr>
          <t>Old value of 1
Assume close enough to not use truck</t>
        </r>
      </text>
    </comment>
    <comment ref="P122" authorId="0" shapeId="0">
      <text>
        <r>
          <rPr>
            <b/>
            <sz val="9"/>
            <color indexed="81"/>
            <rFont val="Tahoma"/>
            <family val="2"/>
          </rPr>
          <t>Default:
20</t>
        </r>
      </text>
    </comment>
    <comment ref="Q122" authorId="0" shapeId="0">
      <text>
        <r>
          <rPr>
            <b/>
            <sz val="9"/>
            <color indexed="81"/>
            <rFont val="Tahoma"/>
            <family val="2"/>
          </rPr>
          <t>Default:
7</t>
        </r>
      </text>
    </comment>
    <comment ref="P125" authorId="0" shapeId="0">
      <text>
        <r>
          <rPr>
            <b/>
            <sz val="9"/>
            <color indexed="81"/>
            <rFont val="Tahoma"/>
            <family val="2"/>
          </rPr>
          <t>Default:
S: 100%
M: 100%
L: 0%</t>
        </r>
      </text>
    </comment>
    <comment ref="Q125" authorId="0" shapeId="0">
      <text>
        <r>
          <rPr>
            <b/>
            <sz val="9"/>
            <color indexed="81"/>
            <rFont val="Tahoma"/>
            <family val="2"/>
          </rPr>
          <t>Default:
S: 0%
M: 0%
L: 100%</t>
        </r>
      </text>
    </comment>
    <comment ref="P126" authorId="0" shapeId="0">
      <text>
        <r>
          <rPr>
            <b/>
            <sz val="9"/>
            <color indexed="81"/>
            <rFont val="Tahoma"/>
            <family val="2"/>
          </rPr>
          <t>Default:
S: 100%
M: 100%
L: 0%</t>
        </r>
      </text>
    </comment>
    <comment ref="Q126" authorId="0" shapeId="0">
      <text>
        <r>
          <rPr>
            <b/>
            <sz val="9"/>
            <color indexed="81"/>
            <rFont val="Tahoma"/>
            <family val="2"/>
          </rPr>
          <t>Default:
S: 0%
M: 0%
L: 100%</t>
        </r>
      </text>
    </comment>
    <comment ref="P127" authorId="0" shapeId="0">
      <text>
        <r>
          <rPr>
            <b/>
            <sz val="9"/>
            <color indexed="81"/>
            <rFont val="Tahoma"/>
            <family val="2"/>
          </rPr>
          <t>Default:
S: 100%
M: 100%
L: 0%</t>
        </r>
      </text>
    </comment>
    <comment ref="Q127" authorId="0" shapeId="0">
      <text>
        <r>
          <rPr>
            <b/>
            <sz val="9"/>
            <color indexed="81"/>
            <rFont val="Tahoma"/>
            <family val="2"/>
          </rPr>
          <t>Default:
S: 0%
M: 0%
L: 100%</t>
        </r>
      </text>
    </comment>
    <comment ref="G130" authorId="2" shapeId="0">
      <text>
        <r>
          <rPr>
            <sz val="8"/>
            <color indexed="81"/>
            <rFont val="Tahoma"/>
            <family val="2"/>
          </rPr>
          <t>Assume this is zero.  Old value of $16.97/acre assumes  that this is in proportion to total equipment cost for barley compared to grain corn (In rotation with potatoes).</t>
        </r>
      </text>
    </comment>
    <comment ref="B131" authorId="0" shapeId="0">
      <text>
        <r>
          <rPr>
            <b/>
            <sz val="9"/>
            <color indexed="81"/>
            <rFont val="Tahoma"/>
            <family val="2"/>
          </rPr>
          <t>Default:
0</t>
        </r>
      </text>
    </comment>
    <comment ref="G131" authorId="3" shapeId="0">
      <text>
        <r>
          <rPr>
            <b/>
            <sz val="8"/>
            <color indexed="81"/>
            <rFont val="Tahoma"/>
            <family val="2"/>
          </rPr>
          <t>Old value:
=supplies
Assume $10/acre of supplies</t>
        </r>
      </text>
    </comment>
    <comment ref="H131" authorId="2" shapeId="0">
      <text>
        <r>
          <rPr>
            <sz val="8"/>
            <color indexed="81"/>
            <rFont val="Tahoma"/>
            <family val="2"/>
          </rPr>
          <t>Old equation (=E48*barley*G3).</t>
        </r>
      </text>
    </comment>
    <comment ref="A132" authorId="2" shapeId="0">
      <text>
        <r>
          <rPr>
            <sz val="8"/>
            <color indexed="81"/>
            <rFont val="Tahoma"/>
            <family val="2"/>
          </rPr>
          <t>No crop insurance</t>
        </r>
      </text>
    </comment>
    <comment ref="B132" authorId="0" shapeId="0">
      <text>
        <r>
          <rPr>
            <b/>
            <sz val="9"/>
            <color indexed="81"/>
            <rFont val="Tahoma"/>
            <family val="2"/>
          </rPr>
          <t>Default:
1</t>
        </r>
      </text>
    </comment>
    <comment ref="F132" authorId="3" shapeId="0">
      <text>
        <r>
          <rPr>
            <b/>
            <sz val="8"/>
            <color indexed="81"/>
            <rFont val="Tahoma"/>
            <family val="2"/>
          </rPr>
          <t>Old value:
=cropins
Assume same as enterprise budget for potatoes</t>
        </r>
      </text>
    </comment>
    <comment ref="G132" authorId="0" shapeId="0">
      <text>
        <r>
          <rPr>
            <b/>
            <sz val="9"/>
            <color indexed="81"/>
            <rFont val="Tahoma"/>
            <family val="2"/>
          </rPr>
          <t>Old value:
=F100
Old value assumed same as enterprise budget for potatoes</t>
        </r>
      </text>
    </comment>
    <comment ref="G133" authorId="3" shapeId="0">
      <text>
        <r>
          <rPr>
            <sz val="8"/>
            <color indexed="81"/>
            <rFont val="Tahoma"/>
            <family val="2"/>
          </rPr>
          <t>Assume this is zero.  Old value of $55.07/acre assumes that this is same cost of insurance as 2001 Farm Credit budget including calculated crop insurance.</t>
        </r>
      </text>
    </comment>
    <comment ref="G135" authorId="3"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0" shapeId="0">
      <text>
        <r>
          <rPr>
            <b/>
            <sz val="9"/>
            <color indexed="81"/>
            <rFont val="Tahoma"/>
            <charset val="1"/>
          </rPr>
          <t>Default assumption is for 2 cell phones</t>
        </r>
      </text>
    </comment>
    <comment ref="B142" authorId="0" shapeId="0">
      <text>
        <r>
          <rPr>
            <b/>
            <sz val="9"/>
            <color indexed="81"/>
            <rFont val="Tahoma"/>
            <family val="2"/>
          </rPr>
          <t>Apply every 5 years so this is annualized</t>
        </r>
      </text>
    </comment>
    <comment ref="F142" authorId="3"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B145" authorId="0" shapeId="0">
      <text>
        <r>
          <rPr>
            <b/>
            <sz val="9"/>
            <color indexed="81"/>
            <rFont val="Tahoma"/>
            <family val="2"/>
          </rPr>
          <t>Old value of 0</t>
        </r>
      </text>
    </comment>
    <comment ref="G145" authorId="2" shapeId="0">
      <text>
        <r>
          <rPr>
            <b/>
            <sz val="8"/>
            <color indexed="81"/>
            <rFont val="Tahoma"/>
            <family val="2"/>
          </rPr>
          <t>Old value of $0 assumed no other rental</t>
        </r>
      </text>
    </comment>
    <comment ref="G147" authorId="3"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3" shapeId="0">
      <text>
        <r>
          <rPr>
            <b/>
            <sz val="8"/>
            <color indexed="81"/>
            <rFont val="Tahoma"/>
            <family val="2"/>
          </rPr>
          <t>Assume this is 0
Old value assumed $5/acre for other variable miscellaneous expenses</t>
        </r>
      </text>
    </comment>
    <comment ref="A170" authorId="3" shapeId="0">
      <text>
        <r>
          <rPr>
            <sz val="8"/>
            <color indexed="81"/>
            <rFont val="Tahoma"/>
            <family val="2"/>
          </rPr>
          <t>Assume no promotion tax on barley</t>
        </r>
      </text>
    </comment>
    <comment ref="H171" authorId="2" shapeId="0">
      <text>
        <r>
          <rPr>
            <sz val="8"/>
            <color indexed="81"/>
            <rFont val="Tahoma"/>
            <family val="2"/>
          </rPr>
          <t>Assume this is zero</t>
        </r>
      </text>
    </comment>
  </commentList>
</comments>
</file>

<file path=xl/comments2.xml><?xml version="1.0" encoding="utf-8"?>
<comments xmlns="http://schemas.openxmlformats.org/spreadsheetml/2006/main">
  <authors>
    <author>Sensei</author>
    <author>School of Economics</author>
  </authors>
  <commentList>
    <comment ref="B5" authorId="0" shapeId="0">
      <text>
        <r>
          <rPr>
            <b/>
            <sz val="9"/>
            <color indexed="81"/>
            <rFont val="Tahoma"/>
            <family val="2"/>
          </rPr>
          <t>Default:
12.29</t>
        </r>
      </text>
    </comment>
    <comment ref="F5" authorId="0" shapeId="0">
      <text>
        <r>
          <rPr>
            <b/>
            <sz val="9"/>
            <color indexed="81"/>
            <rFont val="Tahoma"/>
            <family val="2"/>
          </rPr>
          <t>Default:
2.56</t>
        </r>
      </text>
    </comment>
    <comment ref="I5" authorId="1" shapeId="0">
      <text>
        <r>
          <rPr>
            <b/>
            <sz val="8"/>
            <color indexed="81"/>
            <rFont val="Tahoma"/>
            <family val="2"/>
          </rPr>
          <t>Assume 0% if assume no loan else need to specify
Default value:
4.7341710603787%</t>
        </r>
      </text>
    </comment>
    <comment ref="D8" authorId="1" shapeId="0">
      <text>
        <r>
          <rPr>
            <b/>
            <sz val="8"/>
            <color indexed="81"/>
            <rFont val="Tahoma"/>
            <family val="2"/>
          </rPr>
          <t>Default value: 
1000</t>
        </r>
      </text>
    </comment>
    <comment ref="I8" authorId="1" shapeId="0">
      <text>
        <r>
          <rPr>
            <b/>
            <sz val="8"/>
            <color indexed="81"/>
            <rFont val="Tahoma"/>
            <family val="2"/>
          </rPr>
          <t>Default value: 
50</t>
        </r>
      </text>
    </comment>
    <comment ref="E11" authorId="1" shapeId="0">
      <text>
        <r>
          <rPr>
            <b/>
            <sz val="8"/>
            <color indexed="81"/>
            <rFont val="Tahoma"/>
            <family val="2"/>
          </rPr>
          <t>Assume small does not take out loans and purchases capital through cash flow so set this to as close to 0% as possible
Default value: 0.00000000001%</t>
        </r>
      </text>
    </comment>
    <comment ref="G11" authorId="1" shapeId="0">
      <text>
        <r>
          <rPr>
            <b/>
            <sz val="8"/>
            <color indexed="81"/>
            <rFont val="Tahoma"/>
            <family val="2"/>
          </rPr>
          <t>Assume dropped to 1.8%
http://www.extension.umn.edu/agriculture/business/farm-financial-management/rising-interest-rates/
Old default value: 
5.70393190353036%</t>
        </r>
      </text>
    </comment>
    <comment ref="I11" authorId="1" shapeId="0">
      <text>
        <r>
          <rPr>
            <b/>
            <sz val="8"/>
            <color indexed="81"/>
            <rFont val="Tahoma"/>
            <family val="2"/>
          </rPr>
          <t>Assume dropped to 1.8%
http://www.extension.umn.edu/agriculture/business/farm-financial-management/rising-interest-rates/
Old default value: 
5.70393190353036%</t>
        </r>
      </text>
    </comment>
    <comment ref="C17" authorId="0" shapeId="0">
      <text>
        <r>
          <rPr>
            <b/>
            <sz val="9"/>
            <color indexed="81"/>
            <rFont val="Tahoma"/>
            <family val="2"/>
          </rPr>
          <t>Default:
125</t>
        </r>
        <r>
          <rPr>
            <sz val="9"/>
            <color indexed="81"/>
            <rFont val="Tahoma"/>
            <family val="2"/>
          </rPr>
          <t xml:space="preserve">
</t>
        </r>
      </text>
    </comment>
    <comment ref="D17" authorId="0" shapeId="0">
      <text>
        <r>
          <rPr>
            <b/>
            <sz val="9"/>
            <color indexed="81"/>
            <rFont val="Tahoma"/>
            <family val="2"/>
          </rPr>
          <t xml:space="preserve">Default:
100
</t>
        </r>
        <r>
          <rPr>
            <sz val="9"/>
            <color indexed="81"/>
            <rFont val="Tahoma"/>
            <family val="2"/>
          </rPr>
          <t xml:space="preserve">
</t>
        </r>
      </text>
    </comment>
    <comment ref="E17" authorId="0" shapeId="0">
      <text>
        <r>
          <rPr>
            <b/>
            <sz val="9"/>
            <color indexed="81"/>
            <rFont val="Tahoma"/>
            <family val="2"/>
          </rPr>
          <t xml:space="preserve">Default:
120
</t>
        </r>
        <r>
          <rPr>
            <sz val="9"/>
            <color indexed="81"/>
            <rFont val="Tahoma"/>
            <family val="2"/>
          </rPr>
          <t xml:space="preserve">
</t>
        </r>
      </text>
    </comment>
    <comment ref="F17" authorId="0" shapeId="0">
      <text>
        <r>
          <rPr>
            <b/>
            <sz val="9"/>
            <color indexed="81"/>
            <rFont val="Tahoma"/>
            <family val="2"/>
          </rPr>
          <t xml:space="preserve">Default:
140
</t>
        </r>
        <r>
          <rPr>
            <sz val="9"/>
            <color indexed="81"/>
            <rFont val="Tahoma"/>
            <family val="2"/>
          </rPr>
          <t xml:space="preserve">
</t>
        </r>
      </text>
    </comment>
    <comment ref="G17" authorId="0" shapeId="0">
      <text>
        <r>
          <rPr>
            <b/>
            <sz val="9"/>
            <color indexed="81"/>
            <rFont val="Tahoma"/>
            <family val="2"/>
          </rPr>
          <t xml:space="preserve">Default:
140
</t>
        </r>
        <r>
          <rPr>
            <sz val="9"/>
            <color indexed="81"/>
            <rFont val="Tahoma"/>
            <family val="2"/>
          </rPr>
          <t xml:space="preserve">
</t>
        </r>
      </text>
    </comment>
    <comment ref="H17" authorId="0" shapeId="0">
      <text>
        <r>
          <rPr>
            <b/>
            <sz val="9"/>
            <color indexed="81"/>
            <rFont val="Tahoma"/>
            <family val="2"/>
          </rPr>
          <t xml:space="preserve">Default:
140
</t>
        </r>
        <r>
          <rPr>
            <sz val="9"/>
            <color indexed="81"/>
            <rFont val="Tahoma"/>
            <family val="2"/>
          </rPr>
          <t xml:space="preserve">
</t>
        </r>
      </text>
    </comment>
    <comment ref="I17" authorId="0" shapeId="0">
      <text>
        <r>
          <rPr>
            <b/>
            <sz val="9"/>
            <color indexed="81"/>
            <rFont val="Tahoma"/>
            <family val="2"/>
          </rPr>
          <t xml:space="preserve">Default:
140
</t>
        </r>
        <r>
          <rPr>
            <sz val="9"/>
            <color indexed="81"/>
            <rFont val="Tahoma"/>
            <family val="2"/>
          </rPr>
          <t xml:space="preserve">
</t>
        </r>
      </text>
    </comment>
    <comment ref="J17" authorId="0" shapeId="0">
      <text>
        <r>
          <rPr>
            <b/>
            <sz val="9"/>
            <color indexed="81"/>
            <rFont val="Tahoma"/>
            <family val="2"/>
          </rPr>
          <t>Default:
70
https://hort.purdue.edu/newcrop/afcm/buckwheat.html
36 to 72 lb/acre</t>
        </r>
      </text>
    </comment>
    <comment ref="K17" authorId="0" shapeId="0">
      <text>
        <r>
          <rPr>
            <b/>
            <sz val="9"/>
            <color indexed="81"/>
            <rFont val="Tahoma"/>
            <family val="2"/>
          </rPr>
          <t xml:space="preserve">Default:
200
</t>
        </r>
        <r>
          <rPr>
            <sz val="9"/>
            <color indexed="81"/>
            <rFont val="Tahoma"/>
            <family val="2"/>
          </rPr>
          <t xml:space="preserve">
</t>
        </r>
      </text>
    </comment>
    <comment ref="L17" authorId="0" shapeId="0">
      <text>
        <r>
          <rPr>
            <b/>
            <sz val="9"/>
            <color indexed="81"/>
            <rFont val="Tahoma"/>
            <family val="2"/>
          </rPr>
          <t xml:space="preserve">Default:
74
</t>
        </r>
        <r>
          <rPr>
            <sz val="9"/>
            <color indexed="81"/>
            <rFont val="Tahoma"/>
            <family val="2"/>
          </rPr>
          <t xml:space="preserve">
</t>
        </r>
      </text>
    </comment>
    <comment ref="C18" authorId="0" shapeId="0">
      <text>
        <r>
          <rPr>
            <b/>
            <sz val="9"/>
            <color indexed="81"/>
            <rFont val="Tahoma"/>
            <family val="2"/>
          </rPr>
          <t xml:space="preserve">Default:
=26.5/48
0.552083333333333
</t>
        </r>
        <r>
          <rPr>
            <sz val="9"/>
            <color indexed="81"/>
            <rFont val="Tahoma"/>
            <family val="2"/>
          </rPr>
          <t xml:space="preserve">
</t>
        </r>
      </text>
    </comment>
    <comment ref="D18" authorId="0" shapeId="0">
      <text>
        <r>
          <rPr>
            <b/>
            <sz val="9"/>
            <color indexed="81"/>
            <rFont val="Tahoma"/>
            <family val="2"/>
          </rPr>
          <t xml:space="preserve">Default:
=26/48
0.541666666666667
</t>
        </r>
        <r>
          <rPr>
            <sz val="9"/>
            <color indexed="81"/>
            <rFont val="Tahoma"/>
            <family val="2"/>
          </rPr>
          <t xml:space="preserve">
</t>
        </r>
      </text>
    </comment>
    <comment ref="E18" authorId="0" shapeId="0">
      <text>
        <r>
          <rPr>
            <b/>
            <sz val="9"/>
            <color indexed="81"/>
            <rFont val="Tahoma"/>
            <family val="2"/>
          </rPr>
          <t xml:space="preserve">Default:
=28/50
0.56
</t>
        </r>
        <r>
          <rPr>
            <sz val="9"/>
            <color indexed="81"/>
            <rFont val="Tahoma"/>
            <family val="2"/>
          </rPr>
          <t xml:space="preserve">
</t>
        </r>
      </text>
    </comment>
    <comment ref="F18" authorId="0" shapeId="0">
      <text>
        <r>
          <rPr>
            <b/>
            <sz val="9"/>
            <color indexed="81"/>
            <rFont val="Tahoma"/>
            <family val="2"/>
          </rPr>
          <t xml:space="preserve">Default:
=30/50
0.60
</t>
        </r>
        <r>
          <rPr>
            <sz val="9"/>
            <color indexed="81"/>
            <rFont val="Tahoma"/>
            <family val="2"/>
          </rPr>
          <t xml:space="preserve">
</t>
        </r>
      </text>
    </comment>
    <comment ref="G18" authorId="0" shapeId="0">
      <text>
        <r>
          <rPr>
            <b/>
            <sz val="9"/>
            <color indexed="81"/>
            <rFont val="Tahoma"/>
            <family val="2"/>
          </rPr>
          <t xml:space="preserve">Default:
=30/50
0.60
</t>
        </r>
        <r>
          <rPr>
            <sz val="9"/>
            <color indexed="81"/>
            <rFont val="Tahoma"/>
            <family val="2"/>
          </rPr>
          <t xml:space="preserve">
</t>
        </r>
      </text>
    </comment>
    <comment ref="H18" authorId="0" shapeId="0">
      <text>
        <r>
          <rPr>
            <b/>
            <sz val="9"/>
            <color indexed="81"/>
            <rFont val="Tahoma"/>
            <family val="2"/>
          </rPr>
          <t xml:space="preserve">Default:
=28/50
0.56
</t>
        </r>
        <r>
          <rPr>
            <sz val="9"/>
            <color indexed="81"/>
            <rFont val="Tahoma"/>
            <family val="2"/>
          </rPr>
          <t xml:space="preserve">
</t>
        </r>
      </text>
    </comment>
    <comment ref="I18" authorId="0" shapeId="0">
      <text>
        <r>
          <rPr>
            <b/>
            <sz val="9"/>
            <color indexed="81"/>
            <rFont val="Tahoma"/>
            <family val="2"/>
          </rPr>
          <t xml:space="preserve">Default:
=35/50
0.70
</t>
        </r>
        <r>
          <rPr>
            <sz val="9"/>
            <color indexed="81"/>
            <rFont val="Tahoma"/>
            <family val="2"/>
          </rPr>
          <t xml:space="preserve">
</t>
        </r>
      </text>
    </comment>
    <comment ref="J18" authorId="0" shapeId="0">
      <text>
        <r>
          <rPr>
            <b/>
            <sz val="9"/>
            <color indexed="81"/>
            <rFont val="Tahoma"/>
            <charset val="1"/>
          </rPr>
          <t>http://www.johnnyseeds.com/farm-seed/grains/buckwheat/buckwheat-cover-crop-seed-966.39.html?utm_source=bing&amp;utm_medium=cpc&amp;utm_campaign=NB_PLA_BING&amp;zmam=80483139&amp;zmas=1&amp;zmac=11&amp;zmap=966.39&amp;source=bing_johnny_seeds&amp;utm_content=ZWSnyvXk_dc|pcrid|9342607877|pkw||pmt||
=53/50
$1.06/lb</t>
        </r>
      </text>
    </comment>
    <comment ref="K18" authorId="0" shapeId="0">
      <text>
        <r>
          <rPr>
            <b/>
            <sz val="9"/>
            <color indexed="81"/>
            <rFont val="Tahoma"/>
            <family val="2"/>
          </rPr>
          <t xml:space="preserve">Default:
=32/50
0.64
</t>
        </r>
        <r>
          <rPr>
            <sz val="9"/>
            <color indexed="81"/>
            <rFont val="Tahoma"/>
            <family val="2"/>
          </rPr>
          <t xml:space="preserve">
</t>
        </r>
      </text>
    </comment>
    <comment ref="L18" authorId="0" shapeId="0">
      <text>
        <r>
          <rPr>
            <b/>
            <sz val="9"/>
            <color indexed="81"/>
            <rFont val="Tahoma"/>
            <family val="2"/>
          </rPr>
          <t xml:space="preserve">Default:
=40/50
0.80
</t>
        </r>
        <r>
          <rPr>
            <sz val="9"/>
            <color indexed="81"/>
            <rFont val="Tahoma"/>
            <family val="2"/>
          </rPr>
          <t xml:space="preserve">
</t>
        </r>
      </text>
    </comment>
    <comment ref="C21" authorId="0" shapeId="0">
      <text>
        <r>
          <rPr>
            <b/>
            <sz val="9"/>
            <color indexed="81"/>
            <rFont val="Tahoma"/>
            <charset val="1"/>
          </rPr>
          <t>Default:
0</t>
        </r>
      </text>
    </comment>
    <comment ref="D21" authorId="0" shapeId="0">
      <text>
        <r>
          <rPr>
            <b/>
            <sz val="9"/>
            <color indexed="81"/>
            <rFont val="Tahoma"/>
            <charset val="1"/>
          </rPr>
          <t>Default:
0</t>
        </r>
      </text>
    </comment>
    <comment ref="E21" authorId="0" shapeId="0">
      <text>
        <r>
          <rPr>
            <b/>
            <sz val="9"/>
            <color indexed="81"/>
            <rFont val="Tahoma"/>
            <charset val="1"/>
          </rPr>
          <t>Default:
0</t>
        </r>
      </text>
    </comment>
    <comment ref="F21" authorId="0" shapeId="0">
      <text>
        <r>
          <rPr>
            <b/>
            <sz val="9"/>
            <color indexed="81"/>
            <rFont val="Tahoma"/>
            <charset val="1"/>
          </rPr>
          <t>Default:
0</t>
        </r>
      </text>
    </comment>
    <comment ref="G21" authorId="0" shapeId="0">
      <text>
        <r>
          <rPr>
            <b/>
            <sz val="9"/>
            <color indexed="81"/>
            <rFont val="Tahoma"/>
            <charset val="1"/>
          </rPr>
          <t>Default:
0</t>
        </r>
      </text>
    </comment>
    <comment ref="H21" authorId="0" shapeId="0">
      <text>
        <r>
          <rPr>
            <b/>
            <sz val="9"/>
            <color indexed="81"/>
            <rFont val="Tahoma"/>
            <charset val="1"/>
          </rPr>
          <t>Default:
0</t>
        </r>
      </text>
    </comment>
    <comment ref="I21" authorId="0" shapeId="0">
      <text>
        <r>
          <rPr>
            <b/>
            <sz val="9"/>
            <color indexed="81"/>
            <rFont val="Tahoma"/>
            <charset val="1"/>
          </rPr>
          <t>Default:
0</t>
        </r>
      </text>
    </comment>
    <comment ref="J21" authorId="0" shapeId="0">
      <text>
        <r>
          <rPr>
            <b/>
            <sz val="9"/>
            <color indexed="81"/>
            <rFont val="Tahoma"/>
            <charset val="1"/>
          </rPr>
          <t>Default:
0</t>
        </r>
      </text>
    </comment>
    <comment ref="K21" authorId="0" shapeId="0">
      <text>
        <r>
          <rPr>
            <b/>
            <sz val="9"/>
            <color indexed="81"/>
            <rFont val="Tahoma"/>
            <charset val="1"/>
          </rPr>
          <t>Default:
0</t>
        </r>
      </text>
    </comment>
    <comment ref="L21" authorId="0" shapeId="0">
      <text>
        <r>
          <rPr>
            <b/>
            <sz val="9"/>
            <color indexed="81"/>
            <rFont val="Tahoma"/>
            <charset val="1"/>
          </rPr>
          <t>Default:
0</t>
        </r>
      </text>
    </comment>
    <comment ref="C22" authorId="0" shapeId="0">
      <text>
        <r>
          <rPr>
            <b/>
            <sz val="9"/>
            <color indexed="81"/>
            <rFont val="Tahoma"/>
            <charset val="1"/>
          </rPr>
          <t>Default:
0</t>
        </r>
      </text>
    </comment>
    <comment ref="D22" authorId="0" shapeId="0">
      <text>
        <r>
          <rPr>
            <b/>
            <sz val="9"/>
            <color indexed="81"/>
            <rFont val="Tahoma"/>
            <charset val="1"/>
          </rPr>
          <t>Default:
0</t>
        </r>
      </text>
    </comment>
    <comment ref="E22" authorId="0" shapeId="0">
      <text>
        <r>
          <rPr>
            <b/>
            <sz val="9"/>
            <color indexed="81"/>
            <rFont val="Tahoma"/>
            <charset val="1"/>
          </rPr>
          <t>Default:
0</t>
        </r>
      </text>
    </comment>
    <comment ref="F22" authorId="0" shapeId="0">
      <text>
        <r>
          <rPr>
            <b/>
            <sz val="9"/>
            <color indexed="81"/>
            <rFont val="Tahoma"/>
            <charset val="1"/>
          </rPr>
          <t>Default:
0</t>
        </r>
      </text>
    </comment>
    <comment ref="G22" authorId="0" shapeId="0">
      <text>
        <r>
          <rPr>
            <b/>
            <sz val="9"/>
            <color indexed="81"/>
            <rFont val="Tahoma"/>
            <charset val="1"/>
          </rPr>
          <t>Default:
0</t>
        </r>
      </text>
    </comment>
    <comment ref="H22" authorId="0" shapeId="0">
      <text>
        <r>
          <rPr>
            <b/>
            <sz val="9"/>
            <color indexed="81"/>
            <rFont val="Tahoma"/>
            <charset val="1"/>
          </rPr>
          <t>Default:
0</t>
        </r>
      </text>
    </comment>
    <comment ref="I22" authorId="0" shapeId="0">
      <text>
        <r>
          <rPr>
            <b/>
            <sz val="9"/>
            <color indexed="81"/>
            <rFont val="Tahoma"/>
            <charset val="1"/>
          </rPr>
          <t>Default:
0</t>
        </r>
      </text>
    </comment>
    <comment ref="J22" authorId="0" shapeId="0">
      <text>
        <r>
          <rPr>
            <b/>
            <sz val="9"/>
            <color indexed="81"/>
            <rFont val="Tahoma"/>
            <charset val="1"/>
          </rPr>
          <t>Default:
0</t>
        </r>
      </text>
    </comment>
    <comment ref="K22" authorId="0" shapeId="0">
      <text>
        <r>
          <rPr>
            <b/>
            <sz val="9"/>
            <color indexed="81"/>
            <rFont val="Tahoma"/>
            <charset val="1"/>
          </rPr>
          <t>Default:
0</t>
        </r>
      </text>
    </comment>
    <comment ref="L22" authorId="0" shapeId="0">
      <text>
        <r>
          <rPr>
            <b/>
            <sz val="9"/>
            <color indexed="81"/>
            <rFont val="Tahoma"/>
            <charset val="1"/>
          </rPr>
          <t>Default:
0</t>
        </r>
      </text>
    </comment>
    <comment ref="K24" authorId="0" shapeId="0">
      <text>
        <r>
          <rPr>
            <b/>
            <sz val="9"/>
            <color indexed="81"/>
            <rFont val="Tahoma"/>
            <charset val="1"/>
          </rPr>
          <t>Default:
1</t>
        </r>
      </text>
    </comment>
    <comment ref="L24" authorId="0" shapeId="0">
      <text>
        <r>
          <rPr>
            <b/>
            <sz val="9"/>
            <color indexed="81"/>
            <rFont val="Tahoma"/>
            <charset val="1"/>
          </rPr>
          <t>Default:
1</t>
        </r>
      </text>
    </comment>
    <comment ref="K26" authorId="0" shapeId="0">
      <text>
        <r>
          <rPr>
            <b/>
            <sz val="9"/>
            <color indexed="81"/>
            <rFont val="Tahoma"/>
            <charset val="1"/>
          </rPr>
          <t>Default:
0</t>
        </r>
      </text>
    </comment>
    <comment ref="L26" authorId="0" shapeId="0">
      <text>
        <r>
          <rPr>
            <b/>
            <sz val="9"/>
            <color indexed="81"/>
            <rFont val="Tahoma"/>
            <charset val="1"/>
          </rPr>
          <t>Default:
0</t>
        </r>
      </text>
    </comment>
    <comment ref="K27" authorId="0" shapeId="0">
      <text>
        <r>
          <rPr>
            <b/>
            <sz val="9"/>
            <color indexed="81"/>
            <rFont val="Tahoma"/>
            <charset val="1"/>
          </rPr>
          <t>Default:
5</t>
        </r>
      </text>
    </comment>
    <comment ref="L27" authorId="0" shapeId="0">
      <text>
        <r>
          <rPr>
            <b/>
            <sz val="9"/>
            <color indexed="81"/>
            <rFont val="Tahoma"/>
            <charset val="1"/>
          </rPr>
          <t>Default:
5</t>
        </r>
      </text>
    </comment>
    <comment ref="C32" authorId="0" shapeId="0">
      <text>
        <r>
          <rPr>
            <b/>
            <sz val="9"/>
            <color indexed="81"/>
            <rFont val="Tahoma"/>
            <family val="2"/>
          </rPr>
          <t>Default:
3</t>
        </r>
        <r>
          <rPr>
            <sz val="9"/>
            <color indexed="81"/>
            <rFont val="Tahoma"/>
            <family val="2"/>
          </rPr>
          <t xml:space="preserve">
</t>
        </r>
      </text>
    </comment>
    <comment ref="D32" authorId="0" shapeId="0">
      <text>
        <r>
          <rPr>
            <b/>
            <sz val="9"/>
            <color indexed="81"/>
            <rFont val="Tahoma"/>
            <family val="2"/>
          </rPr>
          <t>Default:
1</t>
        </r>
        <r>
          <rPr>
            <sz val="9"/>
            <color indexed="81"/>
            <rFont val="Tahoma"/>
            <family val="2"/>
          </rPr>
          <t xml:space="preserve">
</t>
        </r>
      </text>
    </comment>
    <comment ref="E32" authorId="0" shapeId="0">
      <text>
        <r>
          <rPr>
            <b/>
            <sz val="9"/>
            <color indexed="81"/>
            <rFont val="Tahoma"/>
            <family val="2"/>
          </rPr>
          <t>Default:
3</t>
        </r>
        <r>
          <rPr>
            <sz val="9"/>
            <color indexed="81"/>
            <rFont val="Tahoma"/>
            <family val="2"/>
          </rPr>
          <t xml:space="preserve">
</t>
        </r>
      </text>
    </comment>
    <comment ref="F32" authorId="0" shapeId="0">
      <text>
        <r>
          <rPr>
            <b/>
            <sz val="9"/>
            <color indexed="81"/>
            <rFont val="Tahoma"/>
            <family val="2"/>
          </rPr>
          <t>Default:
3</t>
        </r>
        <r>
          <rPr>
            <sz val="9"/>
            <color indexed="81"/>
            <rFont val="Tahoma"/>
            <family val="2"/>
          </rPr>
          <t xml:space="preserve">
</t>
        </r>
      </text>
    </comment>
    <comment ref="G32" authorId="0" shapeId="0">
      <text>
        <r>
          <rPr>
            <b/>
            <sz val="9"/>
            <color indexed="81"/>
            <rFont val="Tahoma"/>
            <family val="2"/>
          </rPr>
          <t>Default:
3</t>
        </r>
        <r>
          <rPr>
            <sz val="9"/>
            <color indexed="81"/>
            <rFont val="Tahoma"/>
            <family val="2"/>
          </rPr>
          <t xml:space="preserve">
</t>
        </r>
      </text>
    </comment>
    <comment ref="H32" authorId="0" shapeId="0">
      <text>
        <r>
          <rPr>
            <b/>
            <sz val="9"/>
            <color indexed="81"/>
            <rFont val="Tahoma"/>
            <family val="2"/>
          </rPr>
          <t>Default:
3</t>
        </r>
        <r>
          <rPr>
            <sz val="9"/>
            <color indexed="81"/>
            <rFont val="Tahoma"/>
            <family val="2"/>
          </rPr>
          <t xml:space="preserve">
</t>
        </r>
      </text>
    </comment>
    <comment ref="I32" authorId="0" shapeId="0">
      <text>
        <r>
          <rPr>
            <b/>
            <sz val="9"/>
            <color indexed="81"/>
            <rFont val="Tahoma"/>
            <family val="2"/>
          </rPr>
          <t>Default:
3</t>
        </r>
        <r>
          <rPr>
            <sz val="9"/>
            <color indexed="81"/>
            <rFont val="Tahoma"/>
            <family val="2"/>
          </rPr>
          <t xml:space="preserve">
</t>
        </r>
      </text>
    </comment>
    <comment ref="J32" authorId="0" shapeId="0">
      <text>
        <r>
          <rPr>
            <b/>
            <sz val="9"/>
            <color indexed="81"/>
            <rFont val="Tahoma"/>
            <charset val="1"/>
          </rPr>
          <t>Default:
0</t>
        </r>
      </text>
    </comment>
    <comment ref="K32" authorId="0" shapeId="0">
      <text>
        <r>
          <rPr>
            <b/>
            <sz val="9"/>
            <color indexed="81"/>
            <rFont val="Tahoma"/>
            <charset val="1"/>
          </rPr>
          <t>Default:
0</t>
        </r>
      </text>
    </comment>
    <comment ref="L32" authorId="0" shapeId="0">
      <text>
        <r>
          <rPr>
            <b/>
            <sz val="9"/>
            <color indexed="81"/>
            <rFont val="Tahoma"/>
            <charset val="1"/>
          </rPr>
          <t>Default:
0</t>
        </r>
      </text>
    </comment>
    <comment ref="C33" authorId="0" shapeId="0">
      <text>
        <r>
          <rPr>
            <b/>
            <sz val="9"/>
            <color indexed="81"/>
            <rFont val="Tahoma"/>
            <family val="2"/>
          </rPr>
          <t>Default:
35</t>
        </r>
      </text>
    </comment>
    <comment ref="D33" authorId="0" shapeId="0">
      <text>
        <r>
          <rPr>
            <b/>
            <sz val="9"/>
            <color indexed="81"/>
            <rFont val="Tahoma"/>
            <family val="2"/>
          </rPr>
          <t>Default:
35</t>
        </r>
      </text>
    </comment>
    <comment ref="E33" authorId="0" shapeId="0">
      <text>
        <r>
          <rPr>
            <b/>
            <sz val="9"/>
            <color indexed="81"/>
            <rFont val="Tahoma"/>
            <family val="2"/>
          </rPr>
          <t>Default:
35</t>
        </r>
      </text>
    </comment>
    <comment ref="F33" authorId="0" shapeId="0">
      <text>
        <r>
          <rPr>
            <b/>
            <sz val="9"/>
            <color indexed="81"/>
            <rFont val="Tahoma"/>
            <family val="2"/>
          </rPr>
          <t>Default:
35</t>
        </r>
      </text>
    </comment>
    <comment ref="G33" authorId="0" shapeId="0">
      <text>
        <r>
          <rPr>
            <b/>
            <sz val="9"/>
            <color indexed="81"/>
            <rFont val="Tahoma"/>
            <family val="2"/>
          </rPr>
          <t>Default:
35</t>
        </r>
      </text>
    </comment>
    <comment ref="H33" authorId="0" shapeId="0">
      <text>
        <r>
          <rPr>
            <b/>
            <sz val="9"/>
            <color indexed="81"/>
            <rFont val="Tahoma"/>
            <family val="2"/>
          </rPr>
          <t>Default:
35</t>
        </r>
      </text>
    </comment>
    <comment ref="I33" authorId="0" shapeId="0">
      <text>
        <r>
          <rPr>
            <b/>
            <sz val="9"/>
            <color indexed="81"/>
            <rFont val="Tahoma"/>
            <family val="2"/>
          </rPr>
          <t>Default:
35</t>
        </r>
      </text>
    </comment>
    <comment ref="J33" authorId="0" shapeId="0">
      <text>
        <r>
          <rPr>
            <b/>
            <sz val="9"/>
            <color indexed="81"/>
            <rFont val="Tahoma"/>
            <family val="2"/>
          </rPr>
          <t>Default:
35</t>
        </r>
      </text>
    </comment>
    <comment ref="K33" authorId="0" shapeId="0">
      <text>
        <r>
          <rPr>
            <b/>
            <sz val="9"/>
            <color indexed="81"/>
            <rFont val="Tahoma"/>
            <family val="2"/>
          </rPr>
          <t>Default:
35</t>
        </r>
      </text>
    </comment>
    <comment ref="L33" authorId="0" shapeId="0">
      <text>
        <r>
          <rPr>
            <b/>
            <sz val="9"/>
            <color indexed="81"/>
            <rFont val="Tahoma"/>
            <family val="2"/>
          </rPr>
          <t>Default:
35</t>
        </r>
      </text>
    </comment>
    <comment ref="C38" authorId="0" shapeId="0">
      <text>
        <r>
          <rPr>
            <b/>
            <sz val="9"/>
            <color indexed="81"/>
            <rFont val="Tahoma"/>
            <charset val="1"/>
          </rPr>
          <t>Default:
0</t>
        </r>
      </text>
    </comment>
    <comment ref="D38" authorId="0" shapeId="0">
      <text>
        <r>
          <rPr>
            <b/>
            <sz val="9"/>
            <color indexed="81"/>
            <rFont val="Tahoma"/>
            <charset val="1"/>
          </rPr>
          <t>Default:
0</t>
        </r>
      </text>
    </comment>
    <comment ref="E38" authorId="0" shapeId="0">
      <text>
        <r>
          <rPr>
            <b/>
            <sz val="9"/>
            <color indexed="81"/>
            <rFont val="Tahoma"/>
            <charset val="1"/>
          </rPr>
          <t>Default:
0</t>
        </r>
      </text>
    </comment>
    <comment ref="F38" authorId="0" shapeId="0">
      <text>
        <r>
          <rPr>
            <b/>
            <sz val="9"/>
            <color indexed="81"/>
            <rFont val="Tahoma"/>
            <charset val="1"/>
          </rPr>
          <t>Default:
0</t>
        </r>
      </text>
    </comment>
    <comment ref="G38" authorId="0" shapeId="0">
      <text>
        <r>
          <rPr>
            <b/>
            <sz val="9"/>
            <color indexed="81"/>
            <rFont val="Tahoma"/>
            <charset val="1"/>
          </rPr>
          <t>Default:
0</t>
        </r>
      </text>
    </comment>
    <comment ref="H38" authorId="0" shapeId="0">
      <text>
        <r>
          <rPr>
            <b/>
            <sz val="9"/>
            <color indexed="81"/>
            <rFont val="Tahoma"/>
            <charset val="1"/>
          </rPr>
          <t>Default:
0</t>
        </r>
      </text>
    </comment>
    <comment ref="I38" authorId="0" shapeId="0">
      <text>
        <r>
          <rPr>
            <b/>
            <sz val="9"/>
            <color indexed="81"/>
            <rFont val="Tahoma"/>
            <charset val="1"/>
          </rPr>
          <t>Default:
0</t>
        </r>
      </text>
    </comment>
    <comment ref="J38" authorId="0" shapeId="0">
      <text>
        <r>
          <rPr>
            <b/>
            <sz val="9"/>
            <color indexed="81"/>
            <rFont val="Tahoma"/>
            <charset val="1"/>
          </rPr>
          <t>Default:
0</t>
        </r>
      </text>
    </comment>
    <comment ref="K38" authorId="0" shapeId="0">
      <text>
        <r>
          <rPr>
            <b/>
            <sz val="9"/>
            <color indexed="81"/>
            <rFont val="Tahoma"/>
            <charset val="1"/>
          </rPr>
          <t>Default:
0</t>
        </r>
      </text>
    </comment>
    <comment ref="L38" authorId="0" shapeId="0">
      <text>
        <r>
          <rPr>
            <b/>
            <sz val="9"/>
            <color indexed="81"/>
            <rFont val="Tahoma"/>
            <charset val="1"/>
          </rPr>
          <t>Default:
0</t>
        </r>
      </text>
    </comment>
    <comment ref="C39" authorId="0" shapeId="0">
      <text>
        <r>
          <rPr>
            <b/>
            <sz val="9"/>
            <color indexed="81"/>
            <rFont val="Tahoma"/>
            <charset val="1"/>
          </rPr>
          <t>Default:
0.60</t>
        </r>
      </text>
    </comment>
    <comment ref="D39" authorId="0" shapeId="0">
      <text>
        <r>
          <rPr>
            <b/>
            <sz val="9"/>
            <color indexed="81"/>
            <rFont val="Tahoma"/>
            <charset val="1"/>
          </rPr>
          <t>Default:
0.60</t>
        </r>
      </text>
    </comment>
    <comment ref="E39" authorId="0" shapeId="0">
      <text>
        <r>
          <rPr>
            <b/>
            <sz val="9"/>
            <color indexed="81"/>
            <rFont val="Tahoma"/>
            <charset val="1"/>
          </rPr>
          <t>Default:
0.60</t>
        </r>
      </text>
    </comment>
    <comment ref="F39" authorId="0" shapeId="0">
      <text>
        <r>
          <rPr>
            <b/>
            <sz val="9"/>
            <color indexed="81"/>
            <rFont val="Tahoma"/>
            <charset val="1"/>
          </rPr>
          <t>Default:
0.60</t>
        </r>
      </text>
    </comment>
    <comment ref="G39" authorId="0" shapeId="0">
      <text>
        <r>
          <rPr>
            <b/>
            <sz val="9"/>
            <color indexed="81"/>
            <rFont val="Tahoma"/>
            <charset val="1"/>
          </rPr>
          <t>Default:
0.60</t>
        </r>
      </text>
    </comment>
    <comment ref="H39" authorId="0" shapeId="0">
      <text>
        <r>
          <rPr>
            <b/>
            <sz val="9"/>
            <color indexed="81"/>
            <rFont val="Tahoma"/>
            <charset val="1"/>
          </rPr>
          <t>Default:
0.60</t>
        </r>
      </text>
    </comment>
    <comment ref="I39" authorId="0" shapeId="0">
      <text>
        <r>
          <rPr>
            <b/>
            <sz val="9"/>
            <color indexed="81"/>
            <rFont val="Tahoma"/>
            <charset val="1"/>
          </rPr>
          <t>Default:
0.60</t>
        </r>
      </text>
    </comment>
    <comment ref="J39" authorId="0" shapeId="0">
      <text>
        <r>
          <rPr>
            <b/>
            <sz val="9"/>
            <color indexed="81"/>
            <rFont val="Tahoma"/>
            <charset val="1"/>
          </rPr>
          <t>Default:
0.60</t>
        </r>
      </text>
    </comment>
    <comment ref="K39" authorId="0" shapeId="0">
      <text>
        <r>
          <rPr>
            <b/>
            <sz val="9"/>
            <color indexed="81"/>
            <rFont val="Tahoma"/>
            <charset val="1"/>
          </rPr>
          <t>Default:
0.60</t>
        </r>
      </text>
    </comment>
    <comment ref="L39" authorId="0" shapeId="0">
      <text>
        <r>
          <rPr>
            <b/>
            <sz val="9"/>
            <color indexed="81"/>
            <rFont val="Tahoma"/>
            <charset val="1"/>
          </rPr>
          <t>Default:
0.60</t>
        </r>
      </text>
    </comment>
    <comment ref="C41" authorId="0" shapeId="0">
      <text>
        <r>
          <rPr>
            <b/>
            <sz val="9"/>
            <color indexed="81"/>
            <rFont val="Tahoma"/>
            <charset val="1"/>
          </rPr>
          <t>Default:
0</t>
        </r>
      </text>
    </comment>
    <comment ref="D41" authorId="0" shapeId="0">
      <text>
        <r>
          <rPr>
            <b/>
            <sz val="9"/>
            <color indexed="81"/>
            <rFont val="Tahoma"/>
            <charset val="1"/>
          </rPr>
          <t>Default:
0</t>
        </r>
      </text>
    </comment>
    <comment ref="E41" authorId="0" shapeId="0">
      <text>
        <r>
          <rPr>
            <b/>
            <sz val="9"/>
            <color indexed="81"/>
            <rFont val="Tahoma"/>
            <charset val="1"/>
          </rPr>
          <t>Default:
0</t>
        </r>
      </text>
    </comment>
    <comment ref="F41" authorId="0" shapeId="0">
      <text>
        <r>
          <rPr>
            <b/>
            <sz val="9"/>
            <color indexed="81"/>
            <rFont val="Tahoma"/>
            <charset val="1"/>
          </rPr>
          <t>Default:
0</t>
        </r>
      </text>
    </comment>
    <comment ref="G41" authorId="0" shapeId="0">
      <text>
        <r>
          <rPr>
            <b/>
            <sz val="9"/>
            <color indexed="81"/>
            <rFont val="Tahoma"/>
            <charset val="1"/>
          </rPr>
          <t>Default:
0</t>
        </r>
      </text>
    </comment>
    <comment ref="H41" authorId="0" shapeId="0">
      <text>
        <r>
          <rPr>
            <b/>
            <sz val="9"/>
            <color indexed="81"/>
            <rFont val="Tahoma"/>
            <charset val="1"/>
          </rPr>
          <t>Default:
0</t>
        </r>
      </text>
    </comment>
    <comment ref="I41" authorId="0" shapeId="0">
      <text>
        <r>
          <rPr>
            <b/>
            <sz val="9"/>
            <color indexed="81"/>
            <rFont val="Tahoma"/>
            <charset val="1"/>
          </rPr>
          <t>Default:
0</t>
        </r>
      </text>
    </comment>
    <comment ref="J41" authorId="0" shapeId="0">
      <text>
        <r>
          <rPr>
            <b/>
            <sz val="9"/>
            <color indexed="81"/>
            <rFont val="Tahoma"/>
            <charset val="1"/>
          </rPr>
          <t>Default:
0</t>
        </r>
      </text>
    </comment>
    <comment ref="K41" authorId="0" shapeId="0">
      <text>
        <r>
          <rPr>
            <b/>
            <sz val="9"/>
            <color indexed="81"/>
            <rFont val="Tahoma"/>
            <charset val="1"/>
          </rPr>
          <t>Default:
0</t>
        </r>
      </text>
    </comment>
    <comment ref="L41" authorId="0" shapeId="0">
      <text>
        <r>
          <rPr>
            <b/>
            <sz val="9"/>
            <color indexed="81"/>
            <rFont val="Tahoma"/>
            <charset val="1"/>
          </rPr>
          <t>Default:
0</t>
        </r>
      </text>
    </comment>
    <comment ref="C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D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E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F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G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H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I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J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K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L43" authorId="0" shapeId="0">
      <text>
        <r>
          <rPr>
            <b/>
            <sz val="9"/>
            <color indexed="81"/>
            <rFont val="Tahoma"/>
            <family val="2"/>
          </rPr>
          <t>Assume 5 years so:
1 ton/acre divided by 5 years so 0.20 ton/year
Old value of 0.20 ton/acre</t>
        </r>
        <r>
          <rPr>
            <sz val="9"/>
            <color indexed="81"/>
            <rFont val="Tahoma"/>
            <family val="2"/>
          </rPr>
          <t xml:space="preserve">
</t>
        </r>
      </text>
    </comment>
    <comment ref="C45" authorId="0" shapeId="0">
      <text>
        <r>
          <rPr>
            <b/>
            <sz val="9"/>
            <color indexed="81"/>
            <rFont val="Tahoma"/>
            <family val="2"/>
          </rPr>
          <t>Default:
38.2608695652174</t>
        </r>
      </text>
    </comment>
    <comment ref="D45" authorId="0" shapeId="0">
      <text>
        <r>
          <rPr>
            <b/>
            <sz val="9"/>
            <color indexed="81"/>
            <rFont val="Tahoma"/>
            <family val="2"/>
          </rPr>
          <t>Default:
38.2608695652174</t>
        </r>
      </text>
    </comment>
    <comment ref="E45" authorId="0" shapeId="0">
      <text>
        <r>
          <rPr>
            <b/>
            <sz val="9"/>
            <color indexed="81"/>
            <rFont val="Tahoma"/>
            <family val="2"/>
          </rPr>
          <t>Default:
38.2608695652174</t>
        </r>
      </text>
    </comment>
    <comment ref="F45" authorId="0" shapeId="0">
      <text>
        <r>
          <rPr>
            <b/>
            <sz val="9"/>
            <color indexed="81"/>
            <rFont val="Tahoma"/>
            <family val="2"/>
          </rPr>
          <t>Default:
38.2608695652174</t>
        </r>
      </text>
    </comment>
    <comment ref="G45" authorId="0" shapeId="0">
      <text>
        <r>
          <rPr>
            <b/>
            <sz val="9"/>
            <color indexed="81"/>
            <rFont val="Tahoma"/>
            <family val="2"/>
          </rPr>
          <t>Default:
38.2608695652174</t>
        </r>
      </text>
    </comment>
    <comment ref="H45" authorId="0" shapeId="0">
      <text>
        <r>
          <rPr>
            <b/>
            <sz val="9"/>
            <color indexed="81"/>
            <rFont val="Tahoma"/>
            <family val="2"/>
          </rPr>
          <t>Default:
38.2608695652174</t>
        </r>
      </text>
    </comment>
    <comment ref="I45" authorId="0" shapeId="0">
      <text>
        <r>
          <rPr>
            <b/>
            <sz val="9"/>
            <color indexed="81"/>
            <rFont val="Tahoma"/>
            <family val="2"/>
          </rPr>
          <t>Default:
38.2608695652174</t>
        </r>
      </text>
    </comment>
    <comment ref="J45" authorId="0" shapeId="0">
      <text>
        <r>
          <rPr>
            <b/>
            <sz val="9"/>
            <color indexed="81"/>
            <rFont val="Tahoma"/>
            <family val="2"/>
          </rPr>
          <t>Default:
38.2608695652174</t>
        </r>
      </text>
    </comment>
    <comment ref="K45" authorId="0" shapeId="0">
      <text>
        <r>
          <rPr>
            <b/>
            <sz val="9"/>
            <color indexed="81"/>
            <rFont val="Tahoma"/>
            <family val="2"/>
          </rPr>
          <t>Default:
38.2608695652174</t>
        </r>
      </text>
    </comment>
    <comment ref="L45" authorId="0" shapeId="0">
      <text>
        <r>
          <rPr>
            <b/>
            <sz val="9"/>
            <color indexed="81"/>
            <rFont val="Tahoma"/>
            <family val="2"/>
          </rPr>
          <t>Default:
38.2608695652174</t>
        </r>
      </text>
    </comment>
    <comment ref="C47" authorId="0" shapeId="0">
      <text>
        <r>
          <rPr>
            <b/>
            <sz val="9"/>
            <color indexed="81"/>
            <rFont val="Tahoma"/>
            <charset val="1"/>
          </rPr>
          <t>Default:
0</t>
        </r>
      </text>
    </comment>
    <comment ref="D47" authorId="0" shapeId="0">
      <text>
        <r>
          <rPr>
            <b/>
            <sz val="9"/>
            <color indexed="81"/>
            <rFont val="Tahoma"/>
            <charset val="1"/>
          </rPr>
          <t>Default:
0</t>
        </r>
      </text>
    </comment>
    <comment ref="E47" authorId="0" shapeId="0">
      <text>
        <r>
          <rPr>
            <b/>
            <sz val="9"/>
            <color indexed="81"/>
            <rFont val="Tahoma"/>
            <charset val="1"/>
          </rPr>
          <t>Default:
0</t>
        </r>
      </text>
    </comment>
    <comment ref="F47" authorId="0" shapeId="0">
      <text>
        <r>
          <rPr>
            <b/>
            <sz val="9"/>
            <color indexed="81"/>
            <rFont val="Tahoma"/>
            <charset val="1"/>
          </rPr>
          <t>Default:
0</t>
        </r>
      </text>
    </comment>
    <comment ref="G47" authorId="0" shapeId="0">
      <text>
        <r>
          <rPr>
            <b/>
            <sz val="9"/>
            <color indexed="81"/>
            <rFont val="Tahoma"/>
            <charset val="1"/>
          </rPr>
          <t>Default:
0</t>
        </r>
      </text>
    </comment>
    <comment ref="H47" authorId="0" shapeId="0">
      <text>
        <r>
          <rPr>
            <b/>
            <sz val="9"/>
            <color indexed="81"/>
            <rFont val="Tahoma"/>
            <charset val="1"/>
          </rPr>
          <t>Default:
0</t>
        </r>
      </text>
    </comment>
    <comment ref="I47" authorId="0" shapeId="0">
      <text>
        <r>
          <rPr>
            <b/>
            <sz val="9"/>
            <color indexed="81"/>
            <rFont val="Tahoma"/>
            <charset val="1"/>
          </rPr>
          <t>Default:
0</t>
        </r>
      </text>
    </comment>
    <comment ref="J47" authorId="0" shapeId="0">
      <text>
        <r>
          <rPr>
            <b/>
            <sz val="9"/>
            <color indexed="81"/>
            <rFont val="Tahoma"/>
            <charset val="1"/>
          </rPr>
          <t>Default:
0</t>
        </r>
      </text>
    </comment>
    <comment ref="K47" authorId="0" shapeId="0">
      <text>
        <r>
          <rPr>
            <b/>
            <sz val="9"/>
            <color indexed="81"/>
            <rFont val="Tahoma"/>
            <charset val="1"/>
          </rPr>
          <t>Default:
0</t>
        </r>
      </text>
    </comment>
    <comment ref="L47" authorId="0" shapeId="0">
      <text>
        <r>
          <rPr>
            <b/>
            <sz val="9"/>
            <color indexed="81"/>
            <rFont val="Tahoma"/>
            <charset val="1"/>
          </rPr>
          <t>Default:
0</t>
        </r>
      </text>
    </comment>
    <comment ref="C49" authorId="0" shapeId="0">
      <text>
        <r>
          <rPr>
            <b/>
            <sz val="9"/>
            <color indexed="81"/>
            <rFont val="Tahoma"/>
            <charset val="1"/>
          </rPr>
          <t>Default:
0</t>
        </r>
      </text>
    </comment>
    <comment ref="D49" authorId="0" shapeId="0">
      <text>
        <r>
          <rPr>
            <b/>
            <sz val="9"/>
            <color indexed="81"/>
            <rFont val="Tahoma"/>
            <charset val="1"/>
          </rPr>
          <t>Default:
0</t>
        </r>
      </text>
    </comment>
    <comment ref="E49" authorId="0" shapeId="0">
      <text>
        <r>
          <rPr>
            <b/>
            <sz val="9"/>
            <color indexed="81"/>
            <rFont val="Tahoma"/>
            <charset val="1"/>
          </rPr>
          <t>Default:
0</t>
        </r>
      </text>
    </comment>
    <comment ref="F49" authorId="0" shapeId="0">
      <text>
        <r>
          <rPr>
            <b/>
            <sz val="9"/>
            <color indexed="81"/>
            <rFont val="Tahoma"/>
            <charset val="1"/>
          </rPr>
          <t>Default:
0</t>
        </r>
      </text>
    </comment>
    <comment ref="G49" authorId="0" shapeId="0">
      <text>
        <r>
          <rPr>
            <b/>
            <sz val="9"/>
            <color indexed="81"/>
            <rFont val="Tahoma"/>
            <charset val="1"/>
          </rPr>
          <t>Default:
0</t>
        </r>
      </text>
    </comment>
    <comment ref="H49" authorId="0" shapeId="0">
      <text>
        <r>
          <rPr>
            <b/>
            <sz val="9"/>
            <color indexed="81"/>
            <rFont val="Tahoma"/>
            <charset val="1"/>
          </rPr>
          <t>Default:
0</t>
        </r>
      </text>
    </comment>
    <comment ref="I49" authorId="0" shapeId="0">
      <text>
        <r>
          <rPr>
            <b/>
            <sz val="9"/>
            <color indexed="81"/>
            <rFont val="Tahoma"/>
            <charset val="1"/>
          </rPr>
          <t>Default:
0</t>
        </r>
      </text>
    </comment>
    <comment ref="J49" authorId="0" shapeId="0">
      <text>
        <r>
          <rPr>
            <b/>
            <sz val="9"/>
            <color indexed="81"/>
            <rFont val="Tahoma"/>
            <charset val="1"/>
          </rPr>
          <t>Default:
0</t>
        </r>
      </text>
    </comment>
    <comment ref="K49" authorId="0" shapeId="0">
      <text>
        <r>
          <rPr>
            <b/>
            <sz val="9"/>
            <color indexed="81"/>
            <rFont val="Tahoma"/>
            <charset val="1"/>
          </rPr>
          <t>Default:
0</t>
        </r>
      </text>
    </comment>
    <comment ref="L49" authorId="0" shapeId="0">
      <text>
        <r>
          <rPr>
            <b/>
            <sz val="9"/>
            <color indexed="81"/>
            <rFont val="Tahoma"/>
            <charset val="1"/>
          </rPr>
          <t>Default:
0</t>
        </r>
      </text>
    </comment>
    <comment ref="C50" authorId="0" shapeId="0">
      <text>
        <r>
          <rPr>
            <b/>
            <sz val="9"/>
            <color indexed="81"/>
            <rFont val="Tahoma"/>
            <charset val="1"/>
          </rPr>
          <t>Default:
0</t>
        </r>
      </text>
    </comment>
    <comment ref="D50" authorId="0" shapeId="0">
      <text>
        <r>
          <rPr>
            <b/>
            <sz val="9"/>
            <color indexed="81"/>
            <rFont val="Tahoma"/>
            <charset val="1"/>
          </rPr>
          <t>Default:
0</t>
        </r>
      </text>
    </comment>
    <comment ref="E50" authorId="0" shapeId="0">
      <text>
        <r>
          <rPr>
            <b/>
            <sz val="9"/>
            <color indexed="81"/>
            <rFont val="Tahoma"/>
            <charset val="1"/>
          </rPr>
          <t>Default:
0</t>
        </r>
      </text>
    </comment>
    <comment ref="F50" authorId="0" shapeId="0">
      <text>
        <r>
          <rPr>
            <b/>
            <sz val="9"/>
            <color indexed="81"/>
            <rFont val="Tahoma"/>
            <charset val="1"/>
          </rPr>
          <t>Default:
0</t>
        </r>
      </text>
    </comment>
    <comment ref="G50" authorId="0" shapeId="0">
      <text>
        <r>
          <rPr>
            <b/>
            <sz val="9"/>
            <color indexed="81"/>
            <rFont val="Tahoma"/>
            <charset val="1"/>
          </rPr>
          <t>Default:
0</t>
        </r>
      </text>
    </comment>
    <comment ref="H50" authorId="0" shapeId="0">
      <text>
        <r>
          <rPr>
            <b/>
            <sz val="9"/>
            <color indexed="81"/>
            <rFont val="Tahoma"/>
            <charset val="1"/>
          </rPr>
          <t>Default:
0</t>
        </r>
      </text>
    </comment>
    <comment ref="I50" authorId="0" shapeId="0">
      <text>
        <r>
          <rPr>
            <b/>
            <sz val="9"/>
            <color indexed="81"/>
            <rFont val="Tahoma"/>
            <charset val="1"/>
          </rPr>
          <t>Default:
0</t>
        </r>
      </text>
    </comment>
    <comment ref="J50" authorId="0" shapeId="0">
      <text>
        <r>
          <rPr>
            <b/>
            <sz val="9"/>
            <color indexed="81"/>
            <rFont val="Tahoma"/>
            <charset val="1"/>
          </rPr>
          <t>Default:
0</t>
        </r>
      </text>
    </comment>
    <comment ref="K50" authorId="0" shapeId="0">
      <text>
        <r>
          <rPr>
            <b/>
            <sz val="9"/>
            <color indexed="81"/>
            <rFont val="Tahoma"/>
            <charset val="1"/>
          </rPr>
          <t>Default:
0</t>
        </r>
      </text>
    </comment>
    <comment ref="L50" authorId="0" shapeId="0">
      <text>
        <r>
          <rPr>
            <b/>
            <sz val="9"/>
            <color indexed="81"/>
            <rFont val="Tahoma"/>
            <charset val="1"/>
          </rPr>
          <t>Default:
0</t>
        </r>
      </text>
    </comment>
  </commentList>
</comments>
</file>

<file path=xl/comments20.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$141,000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$141,000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$141,000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$29,464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$29,464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$29,464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21.xml><?xml version="1.0" encoding="utf-8"?>
<comments xmlns="http://schemas.openxmlformats.org/spreadsheetml/2006/main">
  <authors>
    <author>aaron hoshide</author>
    <author xml:space="preserve"> </author>
    <author>Sensei</author>
    <author>REP</author>
  </authors>
  <commentList>
    <comment ref="C9" authorId="0" shapeId="0">
      <text>
        <r>
          <rPr>
            <b/>
            <sz val="8"/>
            <color indexed="81"/>
            <rFont val="Tahoma"/>
            <family val="2"/>
          </rPr>
          <t>Assume same seeding rate as barley on conventional potato farms from IFAFS project.  Consistent with FEDCO 2006 catalog seeding recommendation of 110 lb/acre. Old value of 120 lb/acre.
From Tom Molloy</t>
        </r>
      </text>
    </comment>
    <comment ref="F9" authorId="0" shapeId="0">
      <text>
        <r>
          <rPr>
            <b/>
            <sz val="8"/>
            <color indexed="81"/>
            <rFont val="Tahoma"/>
            <family val="2"/>
          </rPr>
          <t>=26/48
0.541666666666667
Use 2007-09 US average price.
Old value (=(6.109375/100)*K1) of $0.15/lb assumes same cost as what oats are sold for in conventional markets adjusted by difference in barley seed and sale prices.  Agway price of about $10/50 lb bag ($0.20/lb). 
Old value:
0.2415625
From Tom Molloy</t>
        </r>
      </text>
    </comment>
    <comment ref="F10" authorId="1" shapeId="0">
      <text>
        <r>
          <rPr>
            <sz val="8"/>
            <color indexed="81"/>
            <rFont val="Tahoma"/>
            <family val="2"/>
          </rPr>
          <t>Use 2007-09 US average price for red clover:
1.31333333333333
Old value of 1.2</t>
        </r>
      </text>
    </comment>
    <comment ref="K10" authorId="0"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2" shapeId="0">
      <text>
        <r>
          <rPr>
            <b/>
            <sz val="9"/>
            <color indexed="81"/>
            <rFont val="Tahoma"/>
            <family val="2"/>
          </rPr>
          <t>From Tom Molloy</t>
        </r>
      </text>
    </comment>
    <comment ref="L11" authorId="2" shapeId="0">
      <text>
        <r>
          <rPr>
            <b/>
            <sz val="9"/>
            <color indexed="81"/>
            <rFont val="Tahoma"/>
            <family val="2"/>
          </rPr>
          <t>From Tom Molloy</t>
        </r>
      </text>
    </comment>
    <comment ref="C14" authorId="3" shapeId="0">
      <text>
        <r>
          <rPr>
            <sz val="8"/>
            <color indexed="81"/>
            <rFont val="Tahoma"/>
            <family val="2"/>
          </rPr>
          <t>Assume same as barley. Coupled model assumes need 37 lb/acre of urea 34-0-0 based on MPEP data for long term integrated (147 lb/acre for short term integrated)</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2" shapeId="0">
      <text>
        <r>
          <rPr>
            <b/>
            <sz val="9"/>
            <color indexed="81"/>
            <rFont val="Tahoma"/>
            <family val="2"/>
          </rPr>
          <t>Chicken Manure - 60lb of N per acre</t>
        </r>
        <r>
          <rPr>
            <sz val="9"/>
            <color indexed="81"/>
            <rFont val="Tahoma"/>
            <family val="2"/>
          </rPr>
          <t xml:space="preserve">
</t>
        </r>
      </text>
    </comment>
    <comment ref="C16" authorId="2" shapeId="0">
      <text>
        <r>
          <rPr>
            <b/>
            <sz val="9"/>
            <color indexed="81"/>
            <rFont val="Tahoma"/>
            <family val="2"/>
          </rPr>
          <t>From Tom Molloy</t>
        </r>
      </text>
    </comment>
    <comment ref="F16" authorId="2" shapeId="0">
      <text>
        <r>
          <rPr>
            <b/>
            <sz val="9"/>
            <color indexed="81"/>
            <rFont val="Tahoma"/>
            <family val="2"/>
          </rPr>
          <t>From Tom Molloy</t>
        </r>
      </text>
    </comment>
    <comment ref="B19" authorId="2"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2" shapeId="0">
      <text>
        <r>
          <rPr>
            <b/>
            <sz val="9"/>
            <color indexed="81"/>
            <rFont val="Tahoma"/>
            <family val="2"/>
          </rPr>
          <t>Old value:
=lime</t>
        </r>
      </text>
    </comment>
    <comment ref="B26" authorId="2" shapeId="0">
      <text>
        <r>
          <rPr>
            <b/>
            <sz val="9"/>
            <color indexed="81"/>
            <rFont val="Tahoma"/>
            <family val="2"/>
          </rPr>
          <t>Default:
1</t>
        </r>
      </text>
    </comment>
    <comment ref="B27" authorId="2" shapeId="0">
      <text>
        <r>
          <rPr>
            <b/>
            <sz val="9"/>
            <color indexed="81"/>
            <rFont val="Tahoma"/>
            <family val="2"/>
          </rPr>
          <t>Default:
1</t>
        </r>
      </text>
    </comment>
    <comment ref="B28" authorId="2" shapeId="0">
      <text>
        <r>
          <rPr>
            <b/>
            <sz val="9"/>
            <color indexed="81"/>
            <rFont val="Tahoma"/>
            <family val="2"/>
          </rPr>
          <t>Default:
1</t>
        </r>
      </text>
    </comment>
    <comment ref="B29" authorId="2"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2"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2" shapeId="0">
      <text>
        <r>
          <rPr>
            <b/>
            <sz val="9"/>
            <color indexed="81"/>
            <rFont val="Tahoma"/>
            <family val="2"/>
          </rPr>
          <t>Default:
1</t>
        </r>
      </text>
    </comment>
    <comment ref="B35" authorId="2" shapeId="0">
      <text>
        <r>
          <rPr>
            <b/>
            <sz val="9"/>
            <color indexed="81"/>
            <rFont val="Tahoma"/>
            <family val="2"/>
          </rPr>
          <t>Default:
2</t>
        </r>
      </text>
    </comment>
    <comment ref="I35" authorId="2" shapeId="0">
      <text>
        <r>
          <rPr>
            <b/>
            <sz val="9"/>
            <color indexed="81"/>
            <rFont val="Tahoma"/>
            <charset val="1"/>
          </rPr>
          <t>Assumed as default number</t>
        </r>
      </text>
    </comment>
    <comment ref="B36" authorId="2" shapeId="0">
      <text>
        <r>
          <rPr>
            <b/>
            <sz val="9"/>
            <color indexed="81"/>
            <rFont val="Tahoma"/>
            <family val="2"/>
          </rPr>
          <t>Default:
0</t>
        </r>
      </text>
    </comment>
    <comment ref="B37" authorId="2" shapeId="0">
      <text>
        <r>
          <rPr>
            <b/>
            <sz val="9"/>
            <color indexed="81"/>
            <rFont val="Tahoma"/>
            <family val="2"/>
          </rPr>
          <t>Default:
0</t>
        </r>
      </text>
    </comment>
    <comment ref="B39" authorId="2" shapeId="0">
      <text>
        <r>
          <rPr>
            <b/>
            <sz val="9"/>
            <color indexed="81"/>
            <rFont val="Tahoma"/>
            <family val="2"/>
          </rPr>
          <t>Default:
0</t>
        </r>
      </text>
    </comment>
    <comment ref="B40" authorId="2"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2"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2"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2" shapeId="0">
      <text>
        <r>
          <rPr>
            <b/>
            <sz val="9"/>
            <color indexed="81"/>
            <rFont val="Tahoma"/>
            <family val="2"/>
          </rPr>
          <t>Default:
500</t>
        </r>
      </text>
    </comment>
    <comment ref="B59" authorId="2" shapeId="0">
      <text>
        <r>
          <rPr>
            <b/>
            <sz val="9"/>
            <color indexed="81"/>
            <rFont val="Tahoma"/>
            <family val="2"/>
          </rPr>
          <t>Default:
1</t>
        </r>
      </text>
    </comment>
    <comment ref="C59" authorId="2" shapeId="0">
      <text>
        <r>
          <rPr>
            <b/>
            <sz val="9"/>
            <color indexed="81"/>
            <rFont val="Tahoma"/>
            <family val="2"/>
          </rPr>
          <t>Base hours to dry 3,300 bu of grain on Iowa State calculator ($422/$12.29). Adjust to total bushels produced.
=((422/12.29)*(OatBudget!B13/3300))/oats</t>
        </r>
      </text>
    </comment>
    <comment ref="J59" authorId="1" shapeId="0">
      <text>
        <r>
          <rPr>
            <b/>
            <sz val="8"/>
            <color indexed="81"/>
            <rFont val="Tahoma"/>
            <family val="2"/>
          </rPr>
          <t>Calculate this for wheat baseline of 1000 bu x 60 lb/bu = 60,000 lb capacity.</t>
        </r>
      </text>
    </comment>
    <comment ref="N59" authorId="2"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2" shapeId="0">
      <text>
        <r>
          <rPr>
            <b/>
            <sz val="9"/>
            <color indexed="81"/>
            <rFont val="Tahoma"/>
            <family val="2"/>
          </rPr>
          <t>Consistent with old value of 1
Assume NOT close enough to not use truck</t>
        </r>
      </text>
    </comment>
    <comment ref="P63" authorId="2" shapeId="0">
      <text>
        <r>
          <rPr>
            <b/>
            <sz val="9"/>
            <color indexed="81"/>
            <rFont val="Tahoma"/>
            <family val="2"/>
          </rPr>
          <t>Default:
20</t>
        </r>
      </text>
    </comment>
    <comment ref="Q63" authorId="2" shapeId="0">
      <text>
        <r>
          <rPr>
            <b/>
            <sz val="9"/>
            <color indexed="81"/>
            <rFont val="Tahoma"/>
            <family val="2"/>
          </rPr>
          <t xml:space="preserve">Default:
40
</t>
        </r>
      </text>
    </comment>
    <comment ref="P64" authorId="2" shapeId="0">
      <text>
        <r>
          <rPr>
            <b/>
            <sz val="9"/>
            <color indexed="81"/>
            <rFont val="Tahoma"/>
            <family val="2"/>
          </rPr>
          <t>Default:
20</t>
        </r>
      </text>
    </comment>
    <comment ref="Q64" authorId="2" shapeId="0">
      <text>
        <r>
          <rPr>
            <b/>
            <sz val="9"/>
            <color indexed="81"/>
            <rFont val="Tahoma"/>
            <family val="2"/>
          </rPr>
          <t xml:space="preserve">Default:
40
</t>
        </r>
      </text>
    </comment>
    <comment ref="U64" authorId="2" shapeId="0">
      <text>
        <r>
          <rPr>
            <b/>
            <sz val="9"/>
            <color indexed="81"/>
            <rFont val="Tahoma"/>
            <family val="2"/>
          </rPr>
          <t>Default:
8</t>
        </r>
      </text>
    </comment>
    <comment ref="P65" authorId="2" shapeId="0">
      <text>
        <r>
          <rPr>
            <b/>
            <sz val="9"/>
            <color indexed="81"/>
            <rFont val="Tahoma"/>
            <family val="2"/>
          </rPr>
          <t>Default:
20</t>
        </r>
      </text>
    </comment>
    <comment ref="Q65" authorId="2"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2" shapeId="0">
      <text>
        <r>
          <rPr>
            <b/>
            <sz val="9"/>
            <color indexed="81"/>
            <rFont val="Tahoma"/>
            <family val="2"/>
          </rPr>
          <t>Default:
20</t>
        </r>
      </text>
    </comment>
    <comment ref="Q68" authorId="2" shapeId="0">
      <text>
        <r>
          <rPr>
            <b/>
            <sz val="9"/>
            <color indexed="81"/>
            <rFont val="Tahoma"/>
            <family val="2"/>
          </rPr>
          <t>Default:
40</t>
        </r>
      </text>
    </comment>
    <comment ref="P69" authorId="2" shapeId="0">
      <text>
        <r>
          <rPr>
            <b/>
            <sz val="9"/>
            <color indexed="81"/>
            <rFont val="Tahoma"/>
            <family val="2"/>
          </rPr>
          <t>Default:
20</t>
        </r>
      </text>
    </comment>
    <comment ref="Q69" authorId="2"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2" shapeId="0">
      <text>
        <r>
          <rPr>
            <b/>
            <sz val="9"/>
            <color indexed="81"/>
            <rFont val="Tahoma"/>
            <family val="2"/>
          </rPr>
          <t>Old value of 1
Assume close enough to not use truck</t>
        </r>
      </text>
    </comment>
    <comment ref="P70" authorId="2" shapeId="0">
      <text>
        <r>
          <rPr>
            <b/>
            <sz val="9"/>
            <color indexed="81"/>
            <rFont val="Tahoma"/>
            <family val="2"/>
          </rPr>
          <t>Default:
20</t>
        </r>
      </text>
    </comment>
    <comment ref="Q70" authorId="2" shapeId="0">
      <text>
        <r>
          <rPr>
            <b/>
            <sz val="9"/>
            <color indexed="81"/>
            <rFont val="Tahoma"/>
            <family val="2"/>
          </rPr>
          <t>Default:
40</t>
        </r>
      </text>
    </comment>
    <comment ref="P73" authorId="2" shapeId="0">
      <text>
        <r>
          <rPr>
            <b/>
            <sz val="9"/>
            <color indexed="81"/>
            <rFont val="Tahoma"/>
            <family val="2"/>
          </rPr>
          <t>Default:
S: 100%
M: 100%
L: 0%</t>
        </r>
      </text>
    </comment>
    <comment ref="Q73" authorId="2" shapeId="0">
      <text>
        <r>
          <rPr>
            <b/>
            <sz val="9"/>
            <color indexed="81"/>
            <rFont val="Tahoma"/>
            <family val="2"/>
          </rPr>
          <t>Default:
S: 0%
M: 0%
L: 100%</t>
        </r>
      </text>
    </comment>
    <comment ref="P74" authorId="2" shapeId="0">
      <text>
        <r>
          <rPr>
            <b/>
            <sz val="9"/>
            <color indexed="81"/>
            <rFont val="Tahoma"/>
            <family val="2"/>
          </rPr>
          <t>Default:
S: 100%
M: 100%
L: 0%</t>
        </r>
      </text>
    </comment>
    <comment ref="Q74" authorId="2" shapeId="0">
      <text>
        <r>
          <rPr>
            <b/>
            <sz val="9"/>
            <color indexed="81"/>
            <rFont val="Tahoma"/>
            <family val="2"/>
          </rPr>
          <t>Default:
S: 0%
M: 0%
L: 100%</t>
        </r>
      </text>
    </comment>
    <comment ref="P75" authorId="2" shapeId="0">
      <text>
        <r>
          <rPr>
            <b/>
            <sz val="9"/>
            <color indexed="81"/>
            <rFont val="Tahoma"/>
            <family val="2"/>
          </rPr>
          <t>Default:
S: 100%
M: 100%
L: 0%</t>
        </r>
      </text>
    </comment>
    <comment ref="Q75" authorId="2"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t>
        </r>
      </text>
    </comment>
    <comment ref="C96" authorId="3" shapeId="0">
      <text>
        <r>
          <rPr>
            <sz val="8"/>
            <color indexed="81"/>
            <rFont val="Tahoma"/>
            <family val="2"/>
          </rPr>
          <t>Assume this is 10% of small dairy.  Old value of 0.05 gal.</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2"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2"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2" shapeId="0">
      <text>
        <r>
          <rPr>
            <b/>
            <sz val="9"/>
            <color indexed="81"/>
            <rFont val="Tahoma"/>
            <family val="2"/>
          </rPr>
          <t>Consistent with old value of 1
Assume NOT close enough to not use truck</t>
        </r>
      </text>
    </comment>
    <comment ref="P115" authorId="2" shapeId="0">
      <text>
        <r>
          <rPr>
            <b/>
            <sz val="9"/>
            <color indexed="81"/>
            <rFont val="Tahoma"/>
            <family val="2"/>
          </rPr>
          <t>Default:
20</t>
        </r>
      </text>
    </comment>
    <comment ref="Q115" authorId="2" shapeId="0">
      <text>
        <r>
          <rPr>
            <b/>
            <sz val="9"/>
            <color indexed="81"/>
            <rFont val="Tahoma"/>
            <family val="2"/>
          </rPr>
          <t>Default:
15</t>
        </r>
      </text>
    </comment>
    <comment ref="P116" authorId="2" shapeId="0">
      <text>
        <r>
          <rPr>
            <b/>
            <sz val="9"/>
            <color indexed="81"/>
            <rFont val="Tahoma"/>
            <family val="2"/>
          </rPr>
          <t>Default:
20</t>
        </r>
      </text>
    </comment>
    <comment ref="Q116" authorId="2" shapeId="0">
      <text>
        <r>
          <rPr>
            <b/>
            <sz val="9"/>
            <color indexed="81"/>
            <rFont val="Tahoma"/>
            <family val="2"/>
          </rPr>
          <t>Default:
15</t>
        </r>
      </text>
    </comment>
    <comment ref="S116" authorId="2" shapeId="0">
      <text>
        <r>
          <rPr>
            <b/>
            <sz val="9"/>
            <color indexed="81"/>
            <rFont val="Tahoma"/>
            <family val="2"/>
          </rPr>
          <t>Default:
8</t>
        </r>
      </text>
    </comment>
    <comment ref="P117" authorId="2" shapeId="0">
      <text>
        <r>
          <rPr>
            <b/>
            <sz val="9"/>
            <color indexed="81"/>
            <rFont val="Tahoma"/>
            <family val="2"/>
          </rPr>
          <t>Default:
20</t>
        </r>
      </text>
    </comment>
    <comment ref="Q117" authorId="2"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2" shapeId="0">
      <text>
        <r>
          <rPr>
            <b/>
            <sz val="9"/>
            <color indexed="81"/>
            <rFont val="Tahoma"/>
            <family val="2"/>
          </rPr>
          <t>Default:
20</t>
        </r>
      </text>
    </comment>
    <comment ref="Q120" authorId="2" shapeId="0">
      <text>
        <r>
          <rPr>
            <b/>
            <sz val="9"/>
            <color indexed="81"/>
            <rFont val="Tahoma"/>
            <family val="2"/>
          </rPr>
          <t>Default:
7</t>
        </r>
      </text>
    </comment>
    <comment ref="P121" authorId="2" shapeId="0">
      <text>
        <r>
          <rPr>
            <b/>
            <sz val="9"/>
            <color indexed="81"/>
            <rFont val="Tahoma"/>
            <family val="2"/>
          </rPr>
          <t>Default:
20</t>
        </r>
      </text>
    </comment>
    <comment ref="Q121" authorId="2"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2" shapeId="0">
      <text>
        <r>
          <rPr>
            <b/>
            <sz val="9"/>
            <color indexed="81"/>
            <rFont val="Tahoma"/>
            <family val="2"/>
          </rPr>
          <t>Old value of 1
Assume close enough to not use truck</t>
        </r>
      </text>
    </comment>
    <comment ref="P122" authorId="2" shapeId="0">
      <text>
        <r>
          <rPr>
            <b/>
            <sz val="9"/>
            <color indexed="81"/>
            <rFont val="Tahoma"/>
            <family val="2"/>
          </rPr>
          <t>Default:
20</t>
        </r>
      </text>
    </comment>
    <comment ref="Q122" authorId="2" shapeId="0">
      <text>
        <r>
          <rPr>
            <b/>
            <sz val="9"/>
            <color indexed="81"/>
            <rFont val="Tahoma"/>
            <family val="2"/>
          </rPr>
          <t>Default:
7</t>
        </r>
      </text>
    </comment>
    <comment ref="P125" authorId="2" shapeId="0">
      <text>
        <r>
          <rPr>
            <b/>
            <sz val="9"/>
            <color indexed="81"/>
            <rFont val="Tahoma"/>
            <family val="2"/>
          </rPr>
          <t>Default:
S: 100%
M: 100%
L: 0%</t>
        </r>
      </text>
    </comment>
    <comment ref="Q125" authorId="2" shapeId="0">
      <text>
        <r>
          <rPr>
            <b/>
            <sz val="9"/>
            <color indexed="81"/>
            <rFont val="Tahoma"/>
            <family val="2"/>
          </rPr>
          <t>Default:
S: 0%
M: 0%
L: 100%</t>
        </r>
      </text>
    </comment>
    <comment ref="P126" authorId="2" shapeId="0">
      <text>
        <r>
          <rPr>
            <b/>
            <sz val="9"/>
            <color indexed="81"/>
            <rFont val="Tahoma"/>
            <family val="2"/>
          </rPr>
          <t>Default:
S: 100%
M: 100%
L: 0%</t>
        </r>
      </text>
    </comment>
    <comment ref="Q126" authorId="2" shapeId="0">
      <text>
        <r>
          <rPr>
            <b/>
            <sz val="9"/>
            <color indexed="81"/>
            <rFont val="Tahoma"/>
            <family val="2"/>
          </rPr>
          <t>Default:
S: 0%
M: 0%
L: 100%</t>
        </r>
      </text>
    </comment>
    <comment ref="P127" authorId="2" shapeId="0">
      <text>
        <r>
          <rPr>
            <b/>
            <sz val="9"/>
            <color indexed="81"/>
            <rFont val="Tahoma"/>
            <family val="2"/>
          </rPr>
          <t>Default:
S: 100%
M: 100%
L: 0%</t>
        </r>
      </text>
    </comment>
    <comment ref="Q127" authorId="2"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2" shapeId="0">
      <text>
        <r>
          <rPr>
            <b/>
            <sz val="9"/>
            <color indexed="81"/>
            <rFont val="Tahoma"/>
            <family val="2"/>
          </rPr>
          <t>Default:
0</t>
        </r>
      </text>
    </comment>
    <comment ref="G131" authorId="0"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2" shapeId="0">
      <text>
        <r>
          <rPr>
            <b/>
            <sz val="9"/>
            <color indexed="81"/>
            <rFont val="Tahoma"/>
            <family val="2"/>
          </rPr>
          <t>Default:
1</t>
        </r>
      </text>
    </comment>
    <comment ref="F132" authorId="0" shapeId="0">
      <text>
        <r>
          <rPr>
            <b/>
            <sz val="8"/>
            <color indexed="81"/>
            <rFont val="Tahoma"/>
            <family val="2"/>
          </rPr>
          <t>Old value:
=cropins
Assume same as enterprise budget for potatoes</t>
        </r>
      </text>
    </comment>
    <comment ref="G132" authorId="2" shapeId="0">
      <text>
        <r>
          <rPr>
            <b/>
            <sz val="9"/>
            <color indexed="81"/>
            <rFont val="Tahoma"/>
            <family val="2"/>
          </rPr>
          <t>Old value:
=F100
Old value assumed same as enterprise budget for potatoes</t>
        </r>
      </text>
    </comment>
    <comment ref="G133" authorId="0" shapeId="0">
      <text>
        <r>
          <rPr>
            <sz val="8"/>
            <color indexed="81"/>
            <rFont val="Tahoma"/>
            <family val="2"/>
          </rPr>
          <t>Assume this is zero.  Coupled potato model old value of $55.07/acre assumes same cost of insurance as 2001 Farm Credit budget including calculated crop insurance.</t>
        </r>
      </text>
    </comment>
    <comment ref="G135" authorId="0"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2" shapeId="0">
      <text>
        <r>
          <rPr>
            <b/>
            <sz val="9"/>
            <color indexed="81"/>
            <rFont val="Tahoma"/>
            <charset val="1"/>
          </rPr>
          <t>Default assumption is for 2 cell phones</t>
        </r>
      </text>
    </comment>
    <comment ref="B142" authorId="2" shapeId="0">
      <text>
        <r>
          <rPr>
            <b/>
            <sz val="9"/>
            <color indexed="81"/>
            <rFont val="Tahoma"/>
            <family val="2"/>
          </rPr>
          <t>Apply every 5 years so this is annualized</t>
        </r>
      </text>
    </comment>
    <comment ref="F142" authorId="0"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0" shapeId="0">
      <text>
        <r>
          <rPr>
            <sz val="8"/>
            <color indexed="81"/>
            <rFont val="Tahoma"/>
            <family val="2"/>
          </rPr>
          <t>Assume 25% of land is leased.</t>
        </r>
      </text>
    </comment>
    <comment ref="B145" authorId="2"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0"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0" shapeId="0">
      <text>
        <r>
          <rPr>
            <b/>
            <sz val="8"/>
            <color indexed="81"/>
            <rFont val="Tahoma"/>
            <family val="2"/>
          </rPr>
          <t>Assume this is 0
Old value assumed $5/acre for other variable miscellaneous expenses</t>
        </r>
      </text>
    </comment>
    <comment ref="A170" authorId="0" shapeId="0">
      <text>
        <r>
          <rPr>
            <sz val="8"/>
            <color indexed="81"/>
            <rFont val="Tahoma"/>
            <family val="2"/>
          </rPr>
          <t>Assume no promotion tax on barley.</t>
        </r>
      </text>
    </comment>
    <comment ref="H171" authorId="3" shapeId="0">
      <text>
        <r>
          <rPr>
            <sz val="8"/>
            <color indexed="81"/>
            <rFont val="Tahoma"/>
            <family val="2"/>
          </rPr>
          <t>Assume this is zero.</t>
        </r>
      </text>
    </comment>
  </commentList>
</comments>
</file>

<file path=xl/comments22.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23.xml><?xml version="1.0" encoding="utf-8"?>
<comments xmlns="http://schemas.openxmlformats.org/spreadsheetml/2006/main">
  <authors>
    <author>aaron hoshide</author>
    <author xml:space="preserve"> </author>
    <author>Sensei</author>
    <author>REP</author>
  </authors>
  <commentList>
    <comment ref="C9" authorId="0" shapeId="0">
      <text>
        <r>
          <rPr>
            <b/>
            <sz val="8"/>
            <color indexed="81"/>
            <rFont val="Tahoma"/>
            <family val="2"/>
          </rPr>
          <t>Assume 2 bushels per acre http://www.uvm.edu/vtvegandberry/factsheets/winterrye.html
http://plants.usda.gov/factsheet/pdf/fs_sece.pdf
Old value of 120 lb/acre assumed same seeding rate as barley on conventional potato farms from IFAFS project.  Consistent with FEDCO 2006 catalog seeding recommendation of 110 lb/acre.
Old value:
=2*'Key Data'!K56</t>
        </r>
      </text>
    </comment>
    <comment ref="F9" authorId="0" shapeId="0">
      <text>
        <r>
          <rPr>
            <b/>
            <sz val="8"/>
            <color indexed="81"/>
            <rFont val="Tahoma"/>
            <family val="2"/>
          </rPr>
          <t>=28/50
0.56
Old value consistent with UC Davis website. This assumed same cost as what oats are sold for in conventional markets adjusted by difference in barley seed and sale prices.  Agway price of about $10/50 lb bag ($0.20/lb). This old value of $0.15/lb (=(6.109375/100)*K1).
Old value:
=K10</t>
        </r>
      </text>
    </comment>
    <comment ref="N9" authorId="1" shapeId="0">
      <text>
        <r>
          <rPr>
            <sz val="8"/>
            <color indexed="81"/>
            <rFont val="Tahoma"/>
            <family val="2"/>
          </rPr>
          <t>Assume this is from around 2002:
http://www.sarep.ucdavis.edu/cgi-bin/ccrop.exe/show_crop_12</t>
        </r>
      </text>
    </comment>
    <comment ref="F10" authorId="1" shapeId="0">
      <text>
        <r>
          <rPr>
            <sz val="8"/>
            <color indexed="81"/>
            <rFont val="Tahoma"/>
            <family val="2"/>
          </rPr>
          <t>Use 2007-09 US average price for red clover:
1.31333333333333
Old value of 1.2</t>
        </r>
      </text>
    </comment>
    <comment ref="K10" authorId="0"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2" shapeId="0">
      <text>
        <r>
          <rPr>
            <b/>
            <sz val="9"/>
            <color indexed="81"/>
            <rFont val="Tahoma"/>
            <family val="2"/>
          </rPr>
          <t>From Tom Molloy</t>
        </r>
      </text>
    </comment>
    <comment ref="L11" authorId="2" shapeId="0">
      <text>
        <r>
          <rPr>
            <b/>
            <sz val="9"/>
            <color indexed="81"/>
            <rFont val="Tahoma"/>
            <family val="2"/>
          </rPr>
          <t>From Tom Molloy</t>
        </r>
      </text>
    </comment>
    <comment ref="C14" authorId="3" shapeId="0">
      <text>
        <r>
          <rPr>
            <sz val="8"/>
            <color indexed="81"/>
            <rFont val="Tahoma"/>
            <family val="2"/>
          </rPr>
          <t>Assume same as barley. Coupled model assumes need 37 lb/acre of urea 34-0-0 based on MPEP data for long term integrated (147 lb/acre for short term integrated)</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2" shapeId="0">
      <text>
        <r>
          <rPr>
            <b/>
            <sz val="9"/>
            <color indexed="81"/>
            <rFont val="Tahoma"/>
            <family val="2"/>
          </rPr>
          <t>Chicken Manure - 60lb of N per acre</t>
        </r>
        <r>
          <rPr>
            <sz val="9"/>
            <color indexed="81"/>
            <rFont val="Tahoma"/>
            <family val="2"/>
          </rPr>
          <t xml:space="preserve">
</t>
        </r>
      </text>
    </comment>
    <comment ref="C16" authorId="2" shapeId="0">
      <text>
        <r>
          <rPr>
            <b/>
            <sz val="9"/>
            <color indexed="81"/>
            <rFont val="Tahoma"/>
            <family val="2"/>
          </rPr>
          <t>From Tom Molloy</t>
        </r>
      </text>
    </comment>
    <comment ref="F16" authorId="2" shapeId="0">
      <text>
        <r>
          <rPr>
            <b/>
            <sz val="9"/>
            <color indexed="81"/>
            <rFont val="Tahoma"/>
            <family val="2"/>
          </rPr>
          <t>From Tom Molloy</t>
        </r>
      </text>
    </comment>
    <comment ref="B19" authorId="2"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2" shapeId="0">
      <text>
        <r>
          <rPr>
            <b/>
            <sz val="9"/>
            <color indexed="81"/>
            <rFont val="Tahoma"/>
            <family val="2"/>
          </rPr>
          <t>Old value:
=lime</t>
        </r>
      </text>
    </comment>
    <comment ref="B26" authorId="2" shapeId="0">
      <text>
        <r>
          <rPr>
            <b/>
            <sz val="9"/>
            <color indexed="81"/>
            <rFont val="Tahoma"/>
            <family val="2"/>
          </rPr>
          <t>Default:
1</t>
        </r>
      </text>
    </comment>
    <comment ref="B27" authorId="2" shapeId="0">
      <text>
        <r>
          <rPr>
            <b/>
            <sz val="9"/>
            <color indexed="81"/>
            <rFont val="Tahoma"/>
            <family val="2"/>
          </rPr>
          <t>Default:
1</t>
        </r>
      </text>
    </comment>
    <comment ref="B28" authorId="2" shapeId="0">
      <text>
        <r>
          <rPr>
            <b/>
            <sz val="9"/>
            <color indexed="81"/>
            <rFont val="Tahoma"/>
            <family val="2"/>
          </rPr>
          <t>Default:
1</t>
        </r>
      </text>
    </comment>
    <comment ref="B29" authorId="2"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2"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2" shapeId="0">
      <text>
        <r>
          <rPr>
            <b/>
            <sz val="9"/>
            <color indexed="81"/>
            <rFont val="Tahoma"/>
            <family val="2"/>
          </rPr>
          <t>Default:
1</t>
        </r>
      </text>
    </comment>
    <comment ref="B35" authorId="2" shapeId="0">
      <text>
        <r>
          <rPr>
            <b/>
            <sz val="9"/>
            <color indexed="81"/>
            <rFont val="Tahoma"/>
            <family val="2"/>
          </rPr>
          <t>Default:
0</t>
        </r>
      </text>
    </comment>
    <comment ref="I35" authorId="2" shapeId="0">
      <text>
        <r>
          <rPr>
            <b/>
            <sz val="9"/>
            <color indexed="81"/>
            <rFont val="Tahoma"/>
            <charset val="1"/>
          </rPr>
          <t>Assumed as default number</t>
        </r>
      </text>
    </comment>
    <comment ref="B36" authorId="2" shapeId="0">
      <text>
        <r>
          <rPr>
            <b/>
            <sz val="9"/>
            <color indexed="81"/>
            <rFont val="Tahoma"/>
            <family val="2"/>
          </rPr>
          <t>Default:
0</t>
        </r>
      </text>
    </comment>
    <comment ref="B37" authorId="2" shapeId="0">
      <text>
        <r>
          <rPr>
            <b/>
            <sz val="9"/>
            <color indexed="81"/>
            <rFont val="Tahoma"/>
            <family val="2"/>
          </rPr>
          <t>Default:
0</t>
        </r>
      </text>
    </comment>
    <comment ref="B39" authorId="2" shapeId="0">
      <text>
        <r>
          <rPr>
            <b/>
            <sz val="9"/>
            <color indexed="81"/>
            <rFont val="Tahoma"/>
            <family val="2"/>
          </rPr>
          <t>Default:
0</t>
        </r>
      </text>
    </comment>
    <comment ref="B40" authorId="2"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2"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2"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2" shapeId="0">
      <text>
        <r>
          <rPr>
            <b/>
            <sz val="9"/>
            <color indexed="81"/>
            <rFont val="Tahoma"/>
            <family val="2"/>
          </rPr>
          <t>Default:
500</t>
        </r>
      </text>
    </comment>
    <comment ref="B59" authorId="2" shapeId="0">
      <text>
        <r>
          <rPr>
            <b/>
            <sz val="9"/>
            <color indexed="81"/>
            <rFont val="Tahoma"/>
            <family val="2"/>
          </rPr>
          <t>Default:
1</t>
        </r>
      </text>
    </comment>
    <comment ref="C59" authorId="2" shapeId="0">
      <text>
        <r>
          <rPr>
            <b/>
            <sz val="9"/>
            <color indexed="81"/>
            <rFont val="Tahoma"/>
            <family val="2"/>
          </rPr>
          <t>Base hours to dry 3,300 bu of grain on Iowa State calculator ($422/$12.29). Adjust to total bushels produced.
=((422/12.29)*(RyeBudget!B13/3300))/rye</t>
        </r>
      </text>
    </comment>
    <comment ref="J59" authorId="1" shapeId="0">
      <text>
        <r>
          <rPr>
            <b/>
            <sz val="8"/>
            <color indexed="81"/>
            <rFont val="Tahoma"/>
            <family val="2"/>
          </rPr>
          <t>Calculate this for wheat baseline of 1000 bu x 60 lb/bu = 60,000 lb capacity.</t>
        </r>
      </text>
    </comment>
    <comment ref="N59" authorId="2"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2" shapeId="0">
      <text>
        <r>
          <rPr>
            <b/>
            <sz val="9"/>
            <color indexed="81"/>
            <rFont val="Tahoma"/>
            <family val="2"/>
          </rPr>
          <t>Consistent with old value of 1
Assume NOT close enough to not use truck</t>
        </r>
      </text>
    </comment>
    <comment ref="P63" authorId="2" shapeId="0">
      <text>
        <r>
          <rPr>
            <b/>
            <sz val="9"/>
            <color indexed="81"/>
            <rFont val="Tahoma"/>
            <family val="2"/>
          </rPr>
          <t>Default:
20</t>
        </r>
      </text>
    </comment>
    <comment ref="Q63" authorId="2" shapeId="0">
      <text>
        <r>
          <rPr>
            <b/>
            <sz val="9"/>
            <color indexed="81"/>
            <rFont val="Tahoma"/>
            <family val="2"/>
          </rPr>
          <t xml:space="preserve">Default:
40
</t>
        </r>
      </text>
    </comment>
    <comment ref="P64" authorId="2" shapeId="0">
      <text>
        <r>
          <rPr>
            <b/>
            <sz val="9"/>
            <color indexed="81"/>
            <rFont val="Tahoma"/>
            <family val="2"/>
          </rPr>
          <t>Default:
20</t>
        </r>
      </text>
    </comment>
    <comment ref="Q64" authorId="2" shapeId="0">
      <text>
        <r>
          <rPr>
            <b/>
            <sz val="9"/>
            <color indexed="81"/>
            <rFont val="Tahoma"/>
            <family val="2"/>
          </rPr>
          <t xml:space="preserve">Default:
40
</t>
        </r>
      </text>
    </comment>
    <comment ref="U64" authorId="2" shapeId="0">
      <text>
        <r>
          <rPr>
            <b/>
            <sz val="9"/>
            <color indexed="81"/>
            <rFont val="Tahoma"/>
            <family val="2"/>
          </rPr>
          <t>Default:
8</t>
        </r>
      </text>
    </comment>
    <comment ref="P65" authorId="2" shapeId="0">
      <text>
        <r>
          <rPr>
            <b/>
            <sz val="9"/>
            <color indexed="81"/>
            <rFont val="Tahoma"/>
            <family val="2"/>
          </rPr>
          <t>Default:
20</t>
        </r>
      </text>
    </comment>
    <comment ref="Q65" authorId="2"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2" shapeId="0">
      <text>
        <r>
          <rPr>
            <b/>
            <sz val="9"/>
            <color indexed="81"/>
            <rFont val="Tahoma"/>
            <family val="2"/>
          </rPr>
          <t>Default:
20</t>
        </r>
      </text>
    </comment>
    <comment ref="Q68" authorId="2" shapeId="0">
      <text>
        <r>
          <rPr>
            <b/>
            <sz val="9"/>
            <color indexed="81"/>
            <rFont val="Tahoma"/>
            <family val="2"/>
          </rPr>
          <t>Default:
40</t>
        </r>
      </text>
    </comment>
    <comment ref="P69" authorId="2" shapeId="0">
      <text>
        <r>
          <rPr>
            <b/>
            <sz val="9"/>
            <color indexed="81"/>
            <rFont val="Tahoma"/>
            <family val="2"/>
          </rPr>
          <t>Default:
20</t>
        </r>
      </text>
    </comment>
    <comment ref="Q69" authorId="2"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2" shapeId="0">
      <text>
        <r>
          <rPr>
            <b/>
            <sz val="9"/>
            <color indexed="81"/>
            <rFont val="Tahoma"/>
            <family val="2"/>
          </rPr>
          <t>Old value of 1
Assume close enough to not use truck</t>
        </r>
      </text>
    </comment>
    <comment ref="P70" authorId="2" shapeId="0">
      <text>
        <r>
          <rPr>
            <b/>
            <sz val="9"/>
            <color indexed="81"/>
            <rFont val="Tahoma"/>
            <family val="2"/>
          </rPr>
          <t>Default:
20</t>
        </r>
      </text>
    </comment>
    <comment ref="Q70" authorId="2" shapeId="0">
      <text>
        <r>
          <rPr>
            <b/>
            <sz val="9"/>
            <color indexed="81"/>
            <rFont val="Tahoma"/>
            <family val="2"/>
          </rPr>
          <t>Default:
40</t>
        </r>
      </text>
    </comment>
    <comment ref="P73" authorId="2" shapeId="0">
      <text>
        <r>
          <rPr>
            <b/>
            <sz val="9"/>
            <color indexed="81"/>
            <rFont val="Tahoma"/>
            <family val="2"/>
          </rPr>
          <t>Default:
S: 100%
M: 100%
L: 0%</t>
        </r>
      </text>
    </comment>
    <comment ref="Q73" authorId="2" shapeId="0">
      <text>
        <r>
          <rPr>
            <b/>
            <sz val="9"/>
            <color indexed="81"/>
            <rFont val="Tahoma"/>
            <family val="2"/>
          </rPr>
          <t>Default:
S: 0%
M: 0%
L: 100%</t>
        </r>
      </text>
    </comment>
    <comment ref="P74" authorId="2" shapeId="0">
      <text>
        <r>
          <rPr>
            <b/>
            <sz val="9"/>
            <color indexed="81"/>
            <rFont val="Tahoma"/>
            <family val="2"/>
          </rPr>
          <t>Default:
S: 100%
M: 100%
L: 0%</t>
        </r>
      </text>
    </comment>
    <comment ref="Q74" authorId="2" shapeId="0">
      <text>
        <r>
          <rPr>
            <b/>
            <sz val="9"/>
            <color indexed="81"/>
            <rFont val="Tahoma"/>
            <family val="2"/>
          </rPr>
          <t>Default:
S: 0%
M: 0%
L: 100%</t>
        </r>
      </text>
    </comment>
    <comment ref="P75" authorId="2" shapeId="0">
      <text>
        <r>
          <rPr>
            <b/>
            <sz val="9"/>
            <color indexed="81"/>
            <rFont val="Tahoma"/>
            <family val="2"/>
          </rPr>
          <t>Default:
S: 100%
M: 100%
L: 0%</t>
        </r>
      </text>
    </comment>
    <comment ref="Q75" authorId="2"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
=0.185081813771226*(('Key Data'!B163*'Key Data'!K53)/('Key Data'!B153*'Key Data'!K51))</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2"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2"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2" shapeId="0">
      <text>
        <r>
          <rPr>
            <b/>
            <sz val="9"/>
            <color indexed="81"/>
            <rFont val="Tahoma"/>
            <family val="2"/>
          </rPr>
          <t>Consistent with old value of 1
Assume NOT close enough to not use truck</t>
        </r>
      </text>
    </comment>
    <comment ref="P115" authorId="2" shapeId="0">
      <text>
        <r>
          <rPr>
            <b/>
            <sz val="9"/>
            <color indexed="81"/>
            <rFont val="Tahoma"/>
            <family val="2"/>
          </rPr>
          <t>Default:
20</t>
        </r>
      </text>
    </comment>
    <comment ref="Q115" authorId="2" shapeId="0">
      <text>
        <r>
          <rPr>
            <b/>
            <sz val="9"/>
            <color indexed="81"/>
            <rFont val="Tahoma"/>
            <family val="2"/>
          </rPr>
          <t>Default:
15</t>
        </r>
      </text>
    </comment>
    <comment ref="P116" authorId="2" shapeId="0">
      <text>
        <r>
          <rPr>
            <b/>
            <sz val="9"/>
            <color indexed="81"/>
            <rFont val="Tahoma"/>
            <family val="2"/>
          </rPr>
          <t>Default:
20</t>
        </r>
      </text>
    </comment>
    <comment ref="Q116" authorId="2" shapeId="0">
      <text>
        <r>
          <rPr>
            <b/>
            <sz val="9"/>
            <color indexed="81"/>
            <rFont val="Tahoma"/>
            <family val="2"/>
          </rPr>
          <t>Default:
15</t>
        </r>
      </text>
    </comment>
    <comment ref="S116" authorId="2" shapeId="0">
      <text>
        <r>
          <rPr>
            <b/>
            <sz val="9"/>
            <color indexed="81"/>
            <rFont val="Tahoma"/>
            <family val="2"/>
          </rPr>
          <t>Default:
8</t>
        </r>
      </text>
    </comment>
    <comment ref="P117" authorId="2" shapeId="0">
      <text>
        <r>
          <rPr>
            <b/>
            <sz val="9"/>
            <color indexed="81"/>
            <rFont val="Tahoma"/>
            <family val="2"/>
          </rPr>
          <t>Default:
20</t>
        </r>
      </text>
    </comment>
    <comment ref="Q117" authorId="2"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2" shapeId="0">
      <text>
        <r>
          <rPr>
            <b/>
            <sz val="9"/>
            <color indexed="81"/>
            <rFont val="Tahoma"/>
            <family val="2"/>
          </rPr>
          <t>Default:
20</t>
        </r>
      </text>
    </comment>
    <comment ref="Q120" authorId="2" shapeId="0">
      <text>
        <r>
          <rPr>
            <b/>
            <sz val="9"/>
            <color indexed="81"/>
            <rFont val="Tahoma"/>
            <family val="2"/>
          </rPr>
          <t>Default:
7</t>
        </r>
      </text>
    </comment>
    <comment ref="P121" authorId="2" shapeId="0">
      <text>
        <r>
          <rPr>
            <b/>
            <sz val="9"/>
            <color indexed="81"/>
            <rFont val="Tahoma"/>
            <family val="2"/>
          </rPr>
          <t>Default:
20</t>
        </r>
      </text>
    </comment>
    <comment ref="Q121" authorId="2"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2" shapeId="0">
      <text>
        <r>
          <rPr>
            <b/>
            <sz val="9"/>
            <color indexed="81"/>
            <rFont val="Tahoma"/>
            <family val="2"/>
          </rPr>
          <t>Old value of 1
Assume close enough to not use truck</t>
        </r>
      </text>
    </comment>
    <comment ref="P122" authorId="2" shapeId="0">
      <text>
        <r>
          <rPr>
            <b/>
            <sz val="9"/>
            <color indexed="81"/>
            <rFont val="Tahoma"/>
            <family val="2"/>
          </rPr>
          <t>Default:
20</t>
        </r>
      </text>
    </comment>
    <comment ref="Q122" authorId="2" shapeId="0">
      <text>
        <r>
          <rPr>
            <b/>
            <sz val="9"/>
            <color indexed="81"/>
            <rFont val="Tahoma"/>
            <family val="2"/>
          </rPr>
          <t>Default:
7</t>
        </r>
      </text>
    </comment>
    <comment ref="P125" authorId="2" shapeId="0">
      <text>
        <r>
          <rPr>
            <b/>
            <sz val="9"/>
            <color indexed="81"/>
            <rFont val="Tahoma"/>
            <family val="2"/>
          </rPr>
          <t>Default:
S: 100%
M: 100%
L: 0%</t>
        </r>
      </text>
    </comment>
    <comment ref="Q125" authorId="2" shapeId="0">
      <text>
        <r>
          <rPr>
            <b/>
            <sz val="9"/>
            <color indexed="81"/>
            <rFont val="Tahoma"/>
            <family val="2"/>
          </rPr>
          <t>Default:
S: 0%
M: 0%
L: 100%</t>
        </r>
      </text>
    </comment>
    <comment ref="P126" authorId="2" shapeId="0">
      <text>
        <r>
          <rPr>
            <b/>
            <sz val="9"/>
            <color indexed="81"/>
            <rFont val="Tahoma"/>
            <family val="2"/>
          </rPr>
          <t>Default:
S: 100%
M: 100%
L: 0%</t>
        </r>
      </text>
    </comment>
    <comment ref="Q126" authorId="2" shapeId="0">
      <text>
        <r>
          <rPr>
            <b/>
            <sz val="9"/>
            <color indexed="81"/>
            <rFont val="Tahoma"/>
            <family val="2"/>
          </rPr>
          <t>Default:
S: 0%
M: 0%
L: 100%</t>
        </r>
      </text>
    </comment>
    <comment ref="P127" authorId="2" shapeId="0">
      <text>
        <r>
          <rPr>
            <b/>
            <sz val="9"/>
            <color indexed="81"/>
            <rFont val="Tahoma"/>
            <family val="2"/>
          </rPr>
          <t>Default:
S: 100%
M: 100%
L: 0%</t>
        </r>
      </text>
    </comment>
    <comment ref="Q127" authorId="2"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2" shapeId="0">
      <text>
        <r>
          <rPr>
            <b/>
            <sz val="9"/>
            <color indexed="81"/>
            <rFont val="Tahoma"/>
            <family val="2"/>
          </rPr>
          <t>Default:
0</t>
        </r>
      </text>
    </comment>
    <comment ref="G131" authorId="0"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2" shapeId="0">
      <text>
        <r>
          <rPr>
            <b/>
            <sz val="9"/>
            <color indexed="81"/>
            <rFont val="Tahoma"/>
            <family val="2"/>
          </rPr>
          <t>Default:
1</t>
        </r>
      </text>
    </comment>
    <comment ref="F132" authorId="0" shapeId="0">
      <text>
        <r>
          <rPr>
            <b/>
            <sz val="8"/>
            <color indexed="81"/>
            <rFont val="Tahoma"/>
            <family val="2"/>
          </rPr>
          <t>Old value:
=cropins
Assume same as enterprise budget for potatoes</t>
        </r>
      </text>
    </comment>
    <comment ref="G132" authorId="2" shapeId="0">
      <text>
        <r>
          <rPr>
            <b/>
            <sz val="9"/>
            <color indexed="81"/>
            <rFont val="Tahoma"/>
            <family val="2"/>
          </rPr>
          <t>Old value:
=F100
Old value assumed same as enterprise budget for potatoes</t>
        </r>
      </text>
    </comment>
    <comment ref="G133" authorId="0" shapeId="0">
      <text>
        <r>
          <rPr>
            <sz val="8"/>
            <color indexed="81"/>
            <rFont val="Tahoma"/>
            <family val="2"/>
          </rPr>
          <t>Assume this is zero.  Coupled potato model old value of $55.07/acre assumes same cost of insurance as 2001 Farm Credit budget including calculated crop insurance.</t>
        </r>
      </text>
    </comment>
    <comment ref="G135" authorId="0"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2" shapeId="0">
      <text>
        <r>
          <rPr>
            <b/>
            <sz val="9"/>
            <color indexed="81"/>
            <rFont val="Tahoma"/>
            <charset val="1"/>
          </rPr>
          <t>Default assumption is for 2 cell phones</t>
        </r>
      </text>
    </comment>
    <comment ref="B142" authorId="2" shapeId="0">
      <text>
        <r>
          <rPr>
            <b/>
            <sz val="9"/>
            <color indexed="81"/>
            <rFont val="Tahoma"/>
            <family val="2"/>
          </rPr>
          <t>Apply every 5 years so this is annualized</t>
        </r>
      </text>
    </comment>
    <comment ref="F142" authorId="0"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0" shapeId="0">
      <text>
        <r>
          <rPr>
            <sz val="8"/>
            <color indexed="81"/>
            <rFont val="Tahoma"/>
            <family val="2"/>
          </rPr>
          <t>Assume 25% of land is leased.</t>
        </r>
      </text>
    </comment>
    <comment ref="B145" authorId="2"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0"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0" shapeId="0">
      <text>
        <r>
          <rPr>
            <b/>
            <sz val="8"/>
            <color indexed="81"/>
            <rFont val="Tahoma"/>
            <family val="2"/>
          </rPr>
          <t>Assume this is 0
Old value assumed $5/acre for other variable miscellaneous expenses</t>
        </r>
      </text>
    </comment>
    <comment ref="A170" authorId="0" shapeId="0">
      <text>
        <r>
          <rPr>
            <sz val="8"/>
            <color indexed="81"/>
            <rFont val="Tahoma"/>
            <family val="2"/>
          </rPr>
          <t>Assume no promotion tax on barley.</t>
        </r>
      </text>
    </comment>
  </commentList>
</comments>
</file>

<file path=xl/comments24.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25.xml><?xml version="1.0" encoding="utf-8"?>
<comments xmlns="http://schemas.openxmlformats.org/spreadsheetml/2006/main">
  <authors>
    <author>aaron hoshide</author>
    <author xml:space="preserve"> </author>
    <author>Sensei</author>
    <author>REP</author>
  </authors>
  <commentList>
    <comment ref="C9" authorId="0" shapeId="0">
      <text>
        <r>
          <rPr>
            <b/>
            <sz val="8"/>
            <color indexed="81"/>
            <rFont val="Tahoma"/>
            <family val="2"/>
          </rPr>
          <t>Assume same seeding rate as barley on conventional potato farms from IFAFS project.  Recommended seeding rate in Johnny's is 120-140 lb/acre.
Old value:
=120</t>
        </r>
      </text>
    </comment>
    <comment ref="F9" authorId="0" shapeId="0">
      <text>
        <r>
          <rPr>
            <b/>
            <sz val="8"/>
            <color indexed="81"/>
            <rFont val="Tahoma"/>
            <family val="2"/>
          </rPr>
          <t xml:space="preserve">=30/50
0.6
Assume average from two sources.  Second source assumes seeding rate of 120 lb/acre:
http://www.omafra.gov.on.ca/english/busdev/bear2000/Budgets/Crops/Grains/hrswheat_static.htm (2010)
Spring Wheat PP (2008)
Old value:
=AVERAGE((56/130),(70/120))
</t>
        </r>
      </text>
    </comment>
    <comment ref="F10" authorId="1" shapeId="0">
      <text>
        <r>
          <rPr>
            <sz val="8"/>
            <color indexed="81"/>
            <rFont val="Tahoma"/>
            <family val="2"/>
          </rPr>
          <t>Use 2007-09 US average price for red clover:
1.31333333333333
Old value of 1.2</t>
        </r>
      </text>
    </comment>
    <comment ref="K10" authorId="0"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2" shapeId="0">
      <text>
        <r>
          <rPr>
            <b/>
            <sz val="9"/>
            <color indexed="81"/>
            <rFont val="Tahoma"/>
            <family val="2"/>
          </rPr>
          <t>From Tom Molloy</t>
        </r>
      </text>
    </comment>
    <comment ref="L11" authorId="2" shapeId="0">
      <text>
        <r>
          <rPr>
            <b/>
            <sz val="9"/>
            <color indexed="81"/>
            <rFont val="Tahoma"/>
            <family val="2"/>
          </rPr>
          <t>From Tom Molloy</t>
        </r>
      </text>
    </comment>
    <comment ref="C14" authorId="3" shapeId="0">
      <text>
        <r>
          <rPr>
            <sz val="8"/>
            <color indexed="81"/>
            <rFont val="Tahoma"/>
            <family val="2"/>
          </rPr>
          <t xml:space="preserve">Old value from IFAFS (=IF('Key Data'!G104=0, 37/2000, 146.67/2000)).
Assume same as barley. Coupled model assumes need 37 lb/acre of urea 34-0-0 based on MPEP data for long term integrated (147 lb/acre for short term integrated)
</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2" shapeId="0">
      <text>
        <r>
          <rPr>
            <b/>
            <sz val="9"/>
            <color indexed="81"/>
            <rFont val="Tahoma"/>
            <family val="2"/>
          </rPr>
          <t>Chicken Manure - 60lb of N per acre</t>
        </r>
        <r>
          <rPr>
            <sz val="9"/>
            <color indexed="81"/>
            <rFont val="Tahoma"/>
            <family val="2"/>
          </rPr>
          <t xml:space="preserve">
</t>
        </r>
      </text>
    </comment>
    <comment ref="B16" authorId="2" shapeId="0">
      <text>
        <r>
          <rPr>
            <b/>
            <sz val="9"/>
            <color indexed="81"/>
            <rFont val="Tahoma"/>
            <family val="2"/>
          </rPr>
          <t>Spring and winter grains ALL get chicken manure just different time of application</t>
        </r>
      </text>
    </comment>
    <comment ref="C16" authorId="2" shapeId="0">
      <text>
        <r>
          <rPr>
            <b/>
            <sz val="9"/>
            <color indexed="81"/>
            <rFont val="Tahoma"/>
            <family val="2"/>
          </rPr>
          <t>From Tom Molloy</t>
        </r>
        <r>
          <rPr>
            <sz val="9"/>
            <color indexed="81"/>
            <rFont val="Tahoma"/>
            <family val="2"/>
          </rPr>
          <t xml:space="preserve">
</t>
        </r>
      </text>
    </comment>
    <comment ref="F16" authorId="2" shapeId="0">
      <text>
        <r>
          <rPr>
            <b/>
            <sz val="9"/>
            <color indexed="81"/>
            <rFont val="Tahoma"/>
            <family val="2"/>
          </rPr>
          <t>From Tom Molloy</t>
        </r>
      </text>
    </comment>
    <comment ref="F18" authorId="2" shapeId="0">
      <text>
        <r>
          <rPr>
            <b/>
            <sz val="9"/>
            <color indexed="81"/>
            <rFont val="Tahoma"/>
            <family val="2"/>
          </rPr>
          <t>Pay $1,200 for 1 ton (2,000 lb)
=1200/2000
0.60</t>
        </r>
      </text>
    </comment>
    <comment ref="B19" authorId="2"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2" shapeId="0">
      <text>
        <r>
          <rPr>
            <b/>
            <sz val="9"/>
            <color indexed="81"/>
            <rFont val="Tahoma"/>
            <family val="2"/>
          </rPr>
          <t>Old value:
=lime</t>
        </r>
      </text>
    </comment>
    <comment ref="B26" authorId="2" shapeId="0">
      <text>
        <r>
          <rPr>
            <b/>
            <sz val="9"/>
            <color indexed="81"/>
            <rFont val="Tahoma"/>
            <family val="2"/>
          </rPr>
          <t>Default:
1</t>
        </r>
      </text>
    </comment>
    <comment ref="B27" authorId="2" shapeId="0">
      <text>
        <r>
          <rPr>
            <b/>
            <sz val="9"/>
            <color indexed="81"/>
            <rFont val="Tahoma"/>
            <family val="2"/>
          </rPr>
          <t>Default:
1</t>
        </r>
      </text>
    </comment>
    <comment ref="B28" authorId="2" shapeId="0">
      <text>
        <r>
          <rPr>
            <b/>
            <sz val="9"/>
            <color indexed="81"/>
            <rFont val="Tahoma"/>
            <family val="2"/>
          </rPr>
          <t>Default:
1</t>
        </r>
      </text>
    </comment>
    <comment ref="B29" authorId="2"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2"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2" shapeId="0">
      <text>
        <r>
          <rPr>
            <b/>
            <sz val="9"/>
            <color indexed="81"/>
            <rFont val="Tahoma"/>
            <family val="2"/>
          </rPr>
          <t>Default:
1</t>
        </r>
      </text>
    </comment>
    <comment ref="B35" authorId="2" shapeId="0">
      <text>
        <r>
          <rPr>
            <b/>
            <sz val="9"/>
            <color indexed="81"/>
            <rFont val="Tahoma"/>
            <family val="2"/>
          </rPr>
          <t>Default:
2 if spring wheat
0 if winter wheat</t>
        </r>
      </text>
    </comment>
    <comment ref="I35" authorId="2" shapeId="0">
      <text>
        <r>
          <rPr>
            <b/>
            <sz val="9"/>
            <color indexed="81"/>
            <rFont val="Tahoma"/>
            <charset val="1"/>
          </rPr>
          <t>Assumed as default number</t>
        </r>
      </text>
    </comment>
    <comment ref="B36" authorId="2" shapeId="0">
      <text>
        <r>
          <rPr>
            <b/>
            <sz val="9"/>
            <color indexed="81"/>
            <rFont val="Tahoma"/>
            <family val="2"/>
          </rPr>
          <t>Default:
0</t>
        </r>
      </text>
    </comment>
    <comment ref="B37" authorId="2" shapeId="0">
      <text>
        <r>
          <rPr>
            <b/>
            <sz val="9"/>
            <color indexed="81"/>
            <rFont val="Tahoma"/>
            <family val="2"/>
          </rPr>
          <t>Default:
0</t>
        </r>
      </text>
    </comment>
    <comment ref="B39" authorId="2" shapeId="0">
      <text>
        <r>
          <rPr>
            <b/>
            <sz val="9"/>
            <color indexed="81"/>
            <rFont val="Tahoma"/>
            <family val="2"/>
          </rPr>
          <t>Default:
0</t>
        </r>
      </text>
    </comment>
    <comment ref="B40" authorId="2"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2"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2"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2" shapeId="0">
      <text>
        <r>
          <rPr>
            <b/>
            <sz val="9"/>
            <color indexed="81"/>
            <rFont val="Tahoma"/>
            <family val="2"/>
          </rPr>
          <t>Default:
500</t>
        </r>
      </text>
    </comment>
    <comment ref="B59" authorId="2" shapeId="0">
      <text>
        <r>
          <rPr>
            <b/>
            <sz val="9"/>
            <color indexed="81"/>
            <rFont val="Tahoma"/>
            <family val="2"/>
          </rPr>
          <t>Default:
1</t>
        </r>
      </text>
    </comment>
    <comment ref="C59" authorId="2" shapeId="0">
      <text>
        <r>
          <rPr>
            <b/>
            <sz val="9"/>
            <color indexed="81"/>
            <rFont val="Tahoma"/>
            <family val="2"/>
          </rPr>
          <t>Base hours to dry 3,300 bu of grain on Iowa State calculator ($422/$12.29). Adjust to total bushels produced.
=((422/12.29)*(WhtBudget!B13/3300))/wheat</t>
        </r>
      </text>
    </comment>
    <comment ref="J59" authorId="1" shapeId="0">
      <text>
        <r>
          <rPr>
            <b/>
            <sz val="8"/>
            <color indexed="81"/>
            <rFont val="Tahoma"/>
            <family val="2"/>
          </rPr>
          <t>Calculate this for wheat baseline of 1000 bu x 60 lb/bu = 60,000 lb capacity.</t>
        </r>
      </text>
    </comment>
    <comment ref="N59" authorId="2"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2" shapeId="0">
      <text>
        <r>
          <rPr>
            <b/>
            <sz val="9"/>
            <color indexed="81"/>
            <rFont val="Tahoma"/>
            <family val="2"/>
          </rPr>
          <t>Consistent with old value of 1
Assume NOT close enough to not use truck</t>
        </r>
      </text>
    </comment>
    <comment ref="P63" authorId="2" shapeId="0">
      <text>
        <r>
          <rPr>
            <b/>
            <sz val="9"/>
            <color indexed="81"/>
            <rFont val="Tahoma"/>
            <family val="2"/>
          </rPr>
          <t>Default:
20</t>
        </r>
      </text>
    </comment>
    <comment ref="Q63" authorId="2" shapeId="0">
      <text>
        <r>
          <rPr>
            <b/>
            <sz val="9"/>
            <color indexed="81"/>
            <rFont val="Tahoma"/>
            <family val="2"/>
          </rPr>
          <t xml:space="preserve">Default:
40
</t>
        </r>
      </text>
    </comment>
    <comment ref="P64" authorId="2" shapeId="0">
      <text>
        <r>
          <rPr>
            <b/>
            <sz val="9"/>
            <color indexed="81"/>
            <rFont val="Tahoma"/>
            <family val="2"/>
          </rPr>
          <t>Default:
20</t>
        </r>
      </text>
    </comment>
    <comment ref="Q64" authorId="2" shapeId="0">
      <text>
        <r>
          <rPr>
            <b/>
            <sz val="9"/>
            <color indexed="81"/>
            <rFont val="Tahoma"/>
            <family val="2"/>
          </rPr>
          <t xml:space="preserve">Default:
40
</t>
        </r>
      </text>
    </comment>
    <comment ref="U64" authorId="2" shapeId="0">
      <text>
        <r>
          <rPr>
            <b/>
            <sz val="9"/>
            <color indexed="81"/>
            <rFont val="Tahoma"/>
            <family val="2"/>
          </rPr>
          <t>Default:
8</t>
        </r>
      </text>
    </comment>
    <comment ref="P65" authorId="2" shapeId="0">
      <text>
        <r>
          <rPr>
            <b/>
            <sz val="9"/>
            <color indexed="81"/>
            <rFont val="Tahoma"/>
            <family val="2"/>
          </rPr>
          <t>Default:
20</t>
        </r>
      </text>
    </comment>
    <comment ref="Q65" authorId="2"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2" shapeId="0">
      <text>
        <r>
          <rPr>
            <b/>
            <sz val="9"/>
            <color indexed="81"/>
            <rFont val="Tahoma"/>
            <family val="2"/>
          </rPr>
          <t>Default:
20</t>
        </r>
      </text>
    </comment>
    <comment ref="Q68" authorId="2" shapeId="0">
      <text>
        <r>
          <rPr>
            <b/>
            <sz val="9"/>
            <color indexed="81"/>
            <rFont val="Tahoma"/>
            <family val="2"/>
          </rPr>
          <t>Default:
40</t>
        </r>
      </text>
    </comment>
    <comment ref="P69" authorId="2" shapeId="0">
      <text>
        <r>
          <rPr>
            <b/>
            <sz val="9"/>
            <color indexed="81"/>
            <rFont val="Tahoma"/>
            <family val="2"/>
          </rPr>
          <t>Default:
20</t>
        </r>
      </text>
    </comment>
    <comment ref="Q69" authorId="2"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2" shapeId="0">
      <text>
        <r>
          <rPr>
            <b/>
            <sz val="9"/>
            <color indexed="81"/>
            <rFont val="Tahoma"/>
            <family val="2"/>
          </rPr>
          <t>Old value of 1
Assume close enough to not use truck</t>
        </r>
      </text>
    </comment>
    <comment ref="P70" authorId="2" shapeId="0">
      <text>
        <r>
          <rPr>
            <b/>
            <sz val="9"/>
            <color indexed="81"/>
            <rFont val="Tahoma"/>
            <family val="2"/>
          </rPr>
          <t>Default:
20</t>
        </r>
      </text>
    </comment>
    <comment ref="Q70" authorId="2" shapeId="0">
      <text>
        <r>
          <rPr>
            <b/>
            <sz val="9"/>
            <color indexed="81"/>
            <rFont val="Tahoma"/>
            <family val="2"/>
          </rPr>
          <t>Default:
40</t>
        </r>
      </text>
    </comment>
    <comment ref="P73" authorId="2" shapeId="0">
      <text>
        <r>
          <rPr>
            <b/>
            <sz val="9"/>
            <color indexed="81"/>
            <rFont val="Tahoma"/>
            <family val="2"/>
          </rPr>
          <t>Default:
S: 100%
M: 100%
L: 0%</t>
        </r>
      </text>
    </comment>
    <comment ref="Q73" authorId="2" shapeId="0">
      <text>
        <r>
          <rPr>
            <b/>
            <sz val="9"/>
            <color indexed="81"/>
            <rFont val="Tahoma"/>
            <family val="2"/>
          </rPr>
          <t>Default:
S: 0%
M: 0%
L: 100%</t>
        </r>
      </text>
    </comment>
    <comment ref="P74" authorId="2" shapeId="0">
      <text>
        <r>
          <rPr>
            <b/>
            <sz val="9"/>
            <color indexed="81"/>
            <rFont val="Tahoma"/>
            <family val="2"/>
          </rPr>
          <t>Default:
S: 100%
M: 100%
L: 0%</t>
        </r>
      </text>
    </comment>
    <comment ref="Q74" authorId="2" shapeId="0">
      <text>
        <r>
          <rPr>
            <b/>
            <sz val="9"/>
            <color indexed="81"/>
            <rFont val="Tahoma"/>
            <family val="2"/>
          </rPr>
          <t>Default:
S: 0%
M: 0%
L: 100%</t>
        </r>
      </text>
    </comment>
    <comment ref="P75" authorId="2" shapeId="0">
      <text>
        <r>
          <rPr>
            <b/>
            <sz val="9"/>
            <color indexed="81"/>
            <rFont val="Tahoma"/>
            <family val="2"/>
          </rPr>
          <t>Default:
S: 100%
M: 100%
L: 0%</t>
        </r>
      </text>
    </comment>
    <comment ref="Q75" authorId="2"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t>
        </r>
      </text>
    </comment>
    <comment ref="C96" authorId="3" shapeId="0">
      <text>
        <r>
          <rPr>
            <sz val="8"/>
            <color indexed="81"/>
            <rFont val="Tahoma"/>
            <family val="2"/>
          </rPr>
          <t>Assume this is 10% of small dairy.  Old value of 0.05 gal.</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2"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2"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2" shapeId="0">
      <text>
        <r>
          <rPr>
            <b/>
            <sz val="9"/>
            <color indexed="81"/>
            <rFont val="Tahoma"/>
            <family val="2"/>
          </rPr>
          <t>Consistent with old value of 1
Assume NOT close enough to not use truck</t>
        </r>
      </text>
    </comment>
    <comment ref="P115" authorId="2" shapeId="0">
      <text>
        <r>
          <rPr>
            <b/>
            <sz val="9"/>
            <color indexed="81"/>
            <rFont val="Tahoma"/>
            <family val="2"/>
          </rPr>
          <t>Default:
20</t>
        </r>
      </text>
    </comment>
    <comment ref="Q115" authorId="2" shapeId="0">
      <text>
        <r>
          <rPr>
            <b/>
            <sz val="9"/>
            <color indexed="81"/>
            <rFont val="Tahoma"/>
            <family val="2"/>
          </rPr>
          <t>Default:
15</t>
        </r>
      </text>
    </comment>
    <comment ref="P116" authorId="2" shapeId="0">
      <text>
        <r>
          <rPr>
            <b/>
            <sz val="9"/>
            <color indexed="81"/>
            <rFont val="Tahoma"/>
            <family val="2"/>
          </rPr>
          <t>Default:
20</t>
        </r>
      </text>
    </comment>
    <comment ref="Q116" authorId="2" shapeId="0">
      <text>
        <r>
          <rPr>
            <b/>
            <sz val="9"/>
            <color indexed="81"/>
            <rFont val="Tahoma"/>
            <family val="2"/>
          </rPr>
          <t>Default:
15</t>
        </r>
      </text>
    </comment>
    <comment ref="S116" authorId="2" shapeId="0">
      <text>
        <r>
          <rPr>
            <b/>
            <sz val="9"/>
            <color indexed="81"/>
            <rFont val="Tahoma"/>
            <family val="2"/>
          </rPr>
          <t>Default:
8</t>
        </r>
      </text>
    </comment>
    <comment ref="P117" authorId="2" shapeId="0">
      <text>
        <r>
          <rPr>
            <b/>
            <sz val="9"/>
            <color indexed="81"/>
            <rFont val="Tahoma"/>
            <family val="2"/>
          </rPr>
          <t>Default:
20</t>
        </r>
      </text>
    </comment>
    <comment ref="Q117" authorId="2"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2" shapeId="0">
      <text>
        <r>
          <rPr>
            <b/>
            <sz val="9"/>
            <color indexed="81"/>
            <rFont val="Tahoma"/>
            <family val="2"/>
          </rPr>
          <t>Default:
20</t>
        </r>
      </text>
    </comment>
    <comment ref="Q120" authorId="2" shapeId="0">
      <text>
        <r>
          <rPr>
            <b/>
            <sz val="9"/>
            <color indexed="81"/>
            <rFont val="Tahoma"/>
            <family val="2"/>
          </rPr>
          <t>Default:
7</t>
        </r>
      </text>
    </comment>
    <comment ref="P121" authorId="2" shapeId="0">
      <text>
        <r>
          <rPr>
            <b/>
            <sz val="9"/>
            <color indexed="81"/>
            <rFont val="Tahoma"/>
            <family val="2"/>
          </rPr>
          <t>Default:
20</t>
        </r>
      </text>
    </comment>
    <comment ref="Q121" authorId="2"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2" shapeId="0">
      <text>
        <r>
          <rPr>
            <b/>
            <sz val="9"/>
            <color indexed="81"/>
            <rFont val="Tahoma"/>
            <family val="2"/>
          </rPr>
          <t>Old value of 1
Assume close enough to not use truck</t>
        </r>
      </text>
    </comment>
    <comment ref="P122" authorId="2" shapeId="0">
      <text>
        <r>
          <rPr>
            <b/>
            <sz val="9"/>
            <color indexed="81"/>
            <rFont val="Tahoma"/>
            <family val="2"/>
          </rPr>
          <t>Default:
20</t>
        </r>
      </text>
    </comment>
    <comment ref="Q122" authorId="2" shapeId="0">
      <text>
        <r>
          <rPr>
            <b/>
            <sz val="9"/>
            <color indexed="81"/>
            <rFont val="Tahoma"/>
            <family val="2"/>
          </rPr>
          <t>Default:
7</t>
        </r>
      </text>
    </comment>
    <comment ref="P125" authorId="2" shapeId="0">
      <text>
        <r>
          <rPr>
            <b/>
            <sz val="9"/>
            <color indexed="81"/>
            <rFont val="Tahoma"/>
            <family val="2"/>
          </rPr>
          <t>Default:
S: 100%
M: 100%
L: 0%</t>
        </r>
      </text>
    </comment>
    <comment ref="Q125" authorId="2" shapeId="0">
      <text>
        <r>
          <rPr>
            <b/>
            <sz val="9"/>
            <color indexed="81"/>
            <rFont val="Tahoma"/>
            <family val="2"/>
          </rPr>
          <t>Default:
S: 0%
M: 0%
L: 100%</t>
        </r>
      </text>
    </comment>
    <comment ref="P126" authorId="2" shapeId="0">
      <text>
        <r>
          <rPr>
            <b/>
            <sz val="9"/>
            <color indexed="81"/>
            <rFont val="Tahoma"/>
            <family val="2"/>
          </rPr>
          <t>Default:
S: 100%
M: 100%
L: 0%</t>
        </r>
      </text>
    </comment>
    <comment ref="Q126" authorId="2" shapeId="0">
      <text>
        <r>
          <rPr>
            <b/>
            <sz val="9"/>
            <color indexed="81"/>
            <rFont val="Tahoma"/>
            <family val="2"/>
          </rPr>
          <t>Default:
S: 0%
M: 0%
L: 100%</t>
        </r>
      </text>
    </comment>
    <comment ref="P127" authorId="2" shapeId="0">
      <text>
        <r>
          <rPr>
            <b/>
            <sz val="9"/>
            <color indexed="81"/>
            <rFont val="Tahoma"/>
            <family val="2"/>
          </rPr>
          <t>Default:
S: 100%
M: 100%
L: 0%</t>
        </r>
      </text>
    </comment>
    <comment ref="Q127" authorId="2"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2" shapeId="0">
      <text>
        <r>
          <rPr>
            <b/>
            <sz val="9"/>
            <color indexed="81"/>
            <rFont val="Tahoma"/>
            <family val="2"/>
          </rPr>
          <t>Default:
0</t>
        </r>
      </text>
    </comment>
    <comment ref="G131" authorId="0"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2" shapeId="0">
      <text>
        <r>
          <rPr>
            <b/>
            <sz val="9"/>
            <color indexed="81"/>
            <rFont val="Tahoma"/>
            <family val="2"/>
          </rPr>
          <t>Default:
1</t>
        </r>
      </text>
    </comment>
    <comment ref="F132" authorId="0" shapeId="0">
      <text>
        <r>
          <rPr>
            <b/>
            <sz val="8"/>
            <color indexed="81"/>
            <rFont val="Tahoma"/>
            <family val="2"/>
          </rPr>
          <t>Old value:
=cropins
Assume same as enterprise budget for potatoes</t>
        </r>
      </text>
    </comment>
    <comment ref="G132" authorId="2" shapeId="0">
      <text>
        <r>
          <rPr>
            <b/>
            <sz val="9"/>
            <color indexed="81"/>
            <rFont val="Tahoma"/>
            <family val="2"/>
          </rPr>
          <t>Old value:
=F100
Old value assumed same as enterprise budget for potatoes</t>
        </r>
      </text>
    </comment>
    <comment ref="G133" authorId="0" shapeId="0">
      <text>
        <r>
          <rPr>
            <sz val="8"/>
            <color indexed="81"/>
            <rFont val="Tahoma"/>
            <family val="2"/>
          </rPr>
          <t>Assume no additional insurance.</t>
        </r>
      </text>
    </comment>
    <comment ref="G135" authorId="0"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2" shapeId="0">
      <text>
        <r>
          <rPr>
            <b/>
            <sz val="9"/>
            <color indexed="81"/>
            <rFont val="Tahoma"/>
            <charset val="1"/>
          </rPr>
          <t>Default assumption is for 2 cell phones</t>
        </r>
      </text>
    </comment>
    <comment ref="B142" authorId="2" shapeId="0">
      <text>
        <r>
          <rPr>
            <b/>
            <sz val="9"/>
            <color indexed="81"/>
            <rFont val="Tahoma"/>
            <family val="2"/>
          </rPr>
          <t>Apply every 5 years so this is annualized</t>
        </r>
      </text>
    </comment>
    <comment ref="F142" authorId="0"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0" shapeId="0">
      <text>
        <r>
          <rPr>
            <sz val="8"/>
            <color indexed="81"/>
            <rFont val="Tahoma"/>
            <family val="2"/>
          </rPr>
          <t>Assume 25% of land is leased.</t>
        </r>
      </text>
    </comment>
    <comment ref="B145" authorId="2"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0"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0" shapeId="0">
      <text>
        <r>
          <rPr>
            <b/>
            <sz val="8"/>
            <color indexed="81"/>
            <rFont val="Tahoma"/>
            <family val="2"/>
          </rPr>
          <t>Assume this is 0
Old value assumed $5/acre for other variable miscellaneous expenses</t>
        </r>
      </text>
    </comment>
    <comment ref="A170" authorId="0" shapeId="0">
      <text>
        <r>
          <rPr>
            <sz val="8"/>
            <color indexed="81"/>
            <rFont val="Tahoma"/>
            <family val="2"/>
          </rPr>
          <t>Assume no promotion tax on wheat.</t>
        </r>
      </text>
    </comment>
    <comment ref="H171" authorId="3" shapeId="0">
      <text>
        <r>
          <rPr>
            <sz val="8"/>
            <color indexed="81"/>
            <rFont val="Tahoma"/>
            <family val="2"/>
          </rPr>
          <t>Assume this is zero.</t>
        </r>
      </text>
    </comment>
  </commentList>
</comments>
</file>

<file path=xl/comments26.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27.xml><?xml version="1.0" encoding="utf-8"?>
<comments xmlns="http://schemas.openxmlformats.org/spreadsheetml/2006/main">
  <authors>
    <author>aaron hoshide</author>
    <author xml:space="preserve"> </author>
    <author>Sensei</author>
    <author>REP</author>
  </authors>
  <commentList>
    <comment ref="C9" authorId="0" shapeId="0">
      <text>
        <r>
          <rPr>
            <b/>
            <sz val="8"/>
            <color indexed="81"/>
            <rFont val="Tahoma"/>
            <family val="2"/>
          </rPr>
          <t>Assume same seeding rate as barley on conventional potato farms from IFAFS project.  Recommended seeding rate in Johnny's is 120-140 lb/acre.
Old value:
=120</t>
        </r>
      </text>
    </comment>
    <comment ref="F9" authorId="0" shapeId="0">
      <text>
        <r>
          <rPr>
            <b/>
            <sz val="8"/>
            <color indexed="81"/>
            <rFont val="Tahoma"/>
            <family val="2"/>
          </rPr>
          <t xml:space="preserve">=30/50
0.6
Assume average from two sources.  Second source assumes seeding rate of 120 lb/acre:
http://www.omafra.gov.on.ca/english/busdev/bear2000/Budgets/Crops/Grains/hrswheat_static.htm (2010)
Spring Wheat PP (2008)
Old value:
=AVERAGE((56/130),(70/120))
</t>
        </r>
      </text>
    </comment>
    <comment ref="F10" authorId="1" shapeId="0">
      <text>
        <r>
          <rPr>
            <sz val="8"/>
            <color indexed="81"/>
            <rFont val="Tahoma"/>
            <family val="2"/>
          </rPr>
          <t>Use 2007-09 US average price for red clover:
1.31333333333333
Old value of 1.2</t>
        </r>
      </text>
    </comment>
    <comment ref="K10" authorId="0"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2" shapeId="0">
      <text>
        <r>
          <rPr>
            <b/>
            <sz val="9"/>
            <color indexed="81"/>
            <rFont val="Tahoma"/>
            <family val="2"/>
          </rPr>
          <t>From Tom Molloy</t>
        </r>
      </text>
    </comment>
    <comment ref="L11" authorId="2" shapeId="0">
      <text>
        <r>
          <rPr>
            <b/>
            <sz val="9"/>
            <color indexed="81"/>
            <rFont val="Tahoma"/>
            <family val="2"/>
          </rPr>
          <t>From Tom Molloy</t>
        </r>
      </text>
    </comment>
    <comment ref="C14" authorId="3" shapeId="0">
      <text>
        <r>
          <rPr>
            <sz val="8"/>
            <color indexed="81"/>
            <rFont val="Tahoma"/>
            <family val="2"/>
          </rPr>
          <t xml:space="preserve">Old value from IFAFS (=IF('Key Data'!G104=0, 37/2000, 146.67/2000)).
Assume same as barley. Coupled model assumes need 37 lb/acre of urea 34-0-0 based on MPEP data for long term integrated (147 lb/acre for short term integrated)
</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2" shapeId="0">
      <text>
        <r>
          <rPr>
            <b/>
            <sz val="9"/>
            <color indexed="81"/>
            <rFont val="Tahoma"/>
            <family val="2"/>
          </rPr>
          <t>Chicken Manure - 60lb of N per acre</t>
        </r>
        <r>
          <rPr>
            <sz val="9"/>
            <color indexed="81"/>
            <rFont val="Tahoma"/>
            <family val="2"/>
          </rPr>
          <t xml:space="preserve">
</t>
        </r>
      </text>
    </comment>
    <comment ref="B16" authorId="2" shapeId="0">
      <text>
        <r>
          <rPr>
            <b/>
            <sz val="9"/>
            <color indexed="81"/>
            <rFont val="Tahoma"/>
            <family val="2"/>
          </rPr>
          <t>Spring and winter grains ALL get chicken manure just different time of application</t>
        </r>
      </text>
    </comment>
    <comment ref="C16" authorId="2" shapeId="0">
      <text>
        <r>
          <rPr>
            <b/>
            <sz val="9"/>
            <color indexed="81"/>
            <rFont val="Tahoma"/>
            <family val="2"/>
          </rPr>
          <t>From Tom Molloy</t>
        </r>
        <r>
          <rPr>
            <sz val="9"/>
            <color indexed="81"/>
            <rFont val="Tahoma"/>
            <family val="2"/>
          </rPr>
          <t xml:space="preserve">
</t>
        </r>
      </text>
    </comment>
    <comment ref="F16" authorId="2" shapeId="0">
      <text>
        <r>
          <rPr>
            <b/>
            <sz val="9"/>
            <color indexed="81"/>
            <rFont val="Tahoma"/>
            <family val="2"/>
          </rPr>
          <t>From Tom Molloy</t>
        </r>
      </text>
    </comment>
    <comment ref="F18" authorId="2" shapeId="0">
      <text>
        <r>
          <rPr>
            <b/>
            <sz val="9"/>
            <color indexed="81"/>
            <rFont val="Tahoma"/>
            <family val="2"/>
          </rPr>
          <t>Pay $1,200 for 1 ton (2,000 lb)
=1200/2000
0.60</t>
        </r>
      </text>
    </comment>
    <comment ref="B19" authorId="2"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2" shapeId="0">
      <text>
        <r>
          <rPr>
            <b/>
            <sz val="9"/>
            <color indexed="81"/>
            <rFont val="Tahoma"/>
            <family val="2"/>
          </rPr>
          <t>Old value:
=lime</t>
        </r>
      </text>
    </comment>
    <comment ref="B26" authorId="2" shapeId="0">
      <text>
        <r>
          <rPr>
            <b/>
            <sz val="9"/>
            <color indexed="81"/>
            <rFont val="Tahoma"/>
            <family val="2"/>
          </rPr>
          <t>Default:
1</t>
        </r>
      </text>
    </comment>
    <comment ref="B27" authorId="2" shapeId="0">
      <text>
        <r>
          <rPr>
            <b/>
            <sz val="9"/>
            <color indexed="81"/>
            <rFont val="Tahoma"/>
            <family val="2"/>
          </rPr>
          <t>Default:
1</t>
        </r>
      </text>
    </comment>
    <comment ref="B28" authorId="2" shapeId="0">
      <text>
        <r>
          <rPr>
            <b/>
            <sz val="9"/>
            <color indexed="81"/>
            <rFont val="Tahoma"/>
            <family val="2"/>
          </rPr>
          <t>Default:
1</t>
        </r>
      </text>
    </comment>
    <comment ref="B29" authorId="2"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2"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2" shapeId="0">
      <text>
        <r>
          <rPr>
            <b/>
            <sz val="9"/>
            <color indexed="81"/>
            <rFont val="Tahoma"/>
            <family val="2"/>
          </rPr>
          <t>Default:
1</t>
        </r>
      </text>
    </comment>
    <comment ref="B35" authorId="2" shapeId="0">
      <text>
        <r>
          <rPr>
            <b/>
            <sz val="9"/>
            <color indexed="81"/>
            <rFont val="Tahoma"/>
            <family val="2"/>
          </rPr>
          <t>Default:
2 if spring wheat
0 if winter wheat</t>
        </r>
      </text>
    </comment>
    <comment ref="I35" authorId="2" shapeId="0">
      <text>
        <r>
          <rPr>
            <b/>
            <sz val="9"/>
            <color indexed="81"/>
            <rFont val="Tahoma"/>
            <charset val="1"/>
          </rPr>
          <t>Assumed as default number</t>
        </r>
      </text>
    </comment>
    <comment ref="B36" authorId="2" shapeId="0">
      <text>
        <r>
          <rPr>
            <b/>
            <sz val="9"/>
            <color indexed="81"/>
            <rFont val="Tahoma"/>
            <family val="2"/>
          </rPr>
          <t>Default:
0</t>
        </r>
      </text>
    </comment>
    <comment ref="B37" authorId="2" shapeId="0">
      <text>
        <r>
          <rPr>
            <b/>
            <sz val="9"/>
            <color indexed="81"/>
            <rFont val="Tahoma"/>
            <family val="2"/>
          </rPr>
          <t>Default:
0</t>
        </r>
      </text>
    </comment>
    <comment ref="B39" authorId="2" shapeId="0">
      <text>
        <r>
          <rPr>
            <b/>
            <sz val="9"/>
            <color indexed="81"/>
            <rFont val="Tahoma"/>
            <family val="2"/>
          </rPr>
          <t>Default:
0</t>
        </r>
      </text>
    </comment>
    <comment ref="B40" authorId="2"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2"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2"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2" shapeId="0">
      <text>
        <r>
          <rPr>
            <b/>
            <sz val="9"/>
            <color indexed="81"/>
            <rFont val="Tahoma"/>
            <family val="2"/>
          </rPr>
          <t>Default:
500</t>
        </r>
      </text>
    </comment>
    <comment ref="B59" authorId="2" shapeId="0">
      <text>
        <r>
          <rPr>
            <b/>
            <sz val="9"/>
            <color indexed="81"/>
            <rFont val="Tahoma"/>
            <family val="2"/>
          </rPr>
          <t>Default:
1</t>
        </r>
      </text>
    </comment>
    <comment ref="C59" authorId="2" shapeId="0">
      <text>
        <r>
          <rPr>
            <b/>
            <sz val="9"/>
            <color indexed="81"/>
            <rFont val="Tahoma"/>
            <family val="2"/>
          </rPr>
          <t>Base hours to dry 3,300 bu of grain on Iowa State calculator ($422/$12.29). Adjust to total bushels produced.
=((422/12.29)*(WhtBudget!B13/3300))/wheat</t>
        </r>
      </text>
    </comment>
    <comment ref="J59" authorId="1" shapeId="0">
      <text>
        <r>
          <rPr>
            <b/>
            <sz val="8"/>
            <color indexed="81"/>
            <rFont val="Tahoma"/>
            <family val="2"/>
          </rPr>
          <t>Calculate this for wheat baseline of 1000 bu x 60 lb/bu = 60,000 lb capacity.</t>
        </r>
      </text>
    </comment>
    <comment ref="N59" authorId="2"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2" shapeId="0">
      <text>
        <r>
          <rPr>
            <b/>
            <sz val="9"/>
            <color indexed="81"/>
            <rFont val="Tahoma"/>
            <family val="2"/>
          </rPr>
          <t>Consistent with old value of 1
Assume NOT close enough to not use truck</t>
        </r>
      </text>
    </comment>
    <comment ref="P63" authorId="2" shapeId="0">
      <text>
        <r>
          <rPr>
            <b/>
            <sz val="9"/>
            <color indexed="81"/>
            <rFont val="Tahoma"/>
            <family val="2"/>
          </rPr>
          <t>Default:
20</t>
        </r>
      </text>
    </comment>
    <comment ref="Q63" authorId="2" shapeId="0">
      <text>
        <r>
          <rPr>
            <b/>
            <sz val="9"/>
            <color indexed="81"/>
            <rFont val="Tahoma"/>
            <family val="2"/>
          </rPr>
          <t xml:space="preserve">Default:
40
</t>
        </r>
      </text>
    </comment>
    <comment ref="P64" authorId="2" shapeId="0">
      <text>
        <r>
          <rPr>
            <b/>
            <sz val="9"/>
            <color indexed="81"/>
            <rFont val="Tahoma"/>
            <family val="2"/>
          </rPr>
          <t>Default:
20</t>
        </r>
      </text>
    </comment>
    <comment ref="Q64" authorId="2" shapeId="0">
      <text>
        <r>
          <rPr>
            <b/>
            <sz val="9"/>
            <color indexed="81"/>
            <rFont val="Tahoma"/>
            <family val="2"/>
          </rPr>
          <t xml:space="preserve">Default:
40
</t>
        </r>
      </text>
    </comment>
    <comment ref="U64" authorId="2" shapeId="0">
      <text>
        <r>
          <rPr>
            <b/>
            <sz val="9"/>
            <color indexed="81"/>
            <rFont val="Tahoma"/>
            <family val="2"/>
          </rPr>
          <t>Default:
8</t>
        </r>
      </text>
    </comment>
    <comment ref="P65" authorId="2" shapeId="0">
      <text>
        <r>
          <rPr>
            <b/>
            <sz val="9"/>
            <color indexed="81"/>
            <rFont val="Tahoma"/>
            <family val="2"/>
          </rPr>
          <t>Default:
20</t>
        </r>
      </text>
    </comment>
    <comment ref="Q65" authorId="2"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2" shapeId="0">
      <text>
        <r>
          <rPr>
            <b/>
            <sz val="9"/>
            <color indexed="81"/>
            <rFont val="Tahoma"/>
            <family val="2"/>
          </rPr>
          <t>Default:
20</t>
        </r>
      </text>
    </comment>
    <comment ref="Q68" authorId="2" shapeId="0">
      <text>
        <r>
          <rPr>
            <b/>
            <sz val="9"/>
            <color indexed="81"/>
            <rFont val="Tahoma"/>
            <family val="2"/>
          </rPr>
          <t>Default:
40</t>
        </r>
      </text>
    </comment>
    <comment ref="P69" authorId="2" shapeId="0">
      <text>
        <r>
          <rPr>
            <b/>
            <sz val="9"/>
            <color indexed="81"/>
            <rFont val="Tahoma"/>
            <family val="2"/>
          </rPr>
          <t>Default:
20</t>
        </r>
      </text>
    </comment>
    <comment ref="Q69" authorId="2"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2" shapeId="0">
      <text>
        <r>
          <rPr>
            <b/>
            <sz val="9"/>
            <color indexed="81"/>
            <rFont val="Tahoma"/>
            <family val="2"/>
          </rPr>
          <t>Old value of 1
Assume close enough to not use truck</t>
        </r>
      </text>
    </comment>
    <comment ref="P70" authorId="2" shapeId="0">
      <text>
        <r>
          <rPr>
            <b/>
            <sz val="9"/>
            <color indexed="81"/>
            <rFont val="Tahoma"/>
            <family val="2"/>
          </rPr>
          <t>Default:
20</t>
        </r>
      </text>
    </comment>
    <comment ref="Q70" authorId="2" shapeId="0">
      <text>
        <r>
          <rPr>
            <b/>
            <sz val="9"/>
            <color indexed="81"/>
            <rFont val="Tahoma"/>
            <family val="2"/>
          </rPr>
          <t>Default:
40</t>
        </r>
      </text>
    </comment>
    <comment ref="P73" authorId="2" shapeId="0">
      <text>
        <r>
          <rPr>
            <b/>
            <sz val="9"/>
            <color indexed="81"/>
            <rFont val="Tahoma"/>
            <family val="2"/>
          </rPr>
          <t>Default:
S: 100%
M: 100%
L: 0%</t>
        </r>
      </text>
    </comment>
    <comment ref="Q73" authorId="2" shapeId="0">
      <text>
        <r>
          <rPr>
            <b/>
            <sz val="9"/>
            <color indexed="81"/>
            <rFont val="Tahoma"/>
            <family val="2"/>
          </rPr>
          <t>Default:
S: 0%
M: 0%
L: 100%</t>
        </r>
      </text>
    </comment>
    <comment ref="P74" authorId="2" shapeId="0">
      <text>
        <r>
          <rPr>
            <b/>
            <sz val="9"/>
            <color indexed="81"/>
            <rFont val="Tahoma"/>
            <family val="2"/>
          </rPr>
          <t>Default:
S: 100%
M: 100%
L: 0%</t>
        </r>
      </text>
    </comment>
    <comment ref="Q74" authorId="2" shapeId="0">
      <text>
        <r>
          <rPr>
            <b/>
            <sz val="9"/>
            <color indexed="81"/>
            <rFont val="Tahoma"/>
            <family val="2"/>
          </rPr>
          <t>Default:
S: 0%
M: 0%
L: 100%</t>
        </r>
      </text>
    </comment>
    <comment ref="P75" authorId="2" shapeId="0">
      <text>
        <r>
          <rPr>
            <b/>
            <sz val="9"/>
            <color indexed="81"/>
            <rFont val="Tahoma"/>
            <family val="2"/>
          </rPr>
          <t>Default:
S: 100%
M: 100%
L: 0%</t>
        </r>
      </text>
    </comment>
    <comment ref="Q75" authorId="2"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t>
        </r>
      </text>
    </comment>
    <comment ref="C96" authorId="3" shapeId="0">
      <text>
        <r>
          <rPr>
            <sz val="8"/>
            <color indexed="81"/>
            <rFont val="Tahoma"/>
            <family val="2"/>
          </rPr>
          <t>Assume this is 10% of small dairy.  Old value of 0.05 gal.</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2"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2"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2" shapeId="0">
      <text>
        <r>
          <rPr>
            <b/>
            <sz val="9"/>
            <color indexed="81"/>
            <rFont val="Tahoma"/>
            <family val="2"/>
          </rPr>
          <t>Consistent with old value of 1
Assume NOT close enough to not use truck</t>
        </r>
      </text>
    </comment>
    <comment ref="P115" authorId="2" shapeId="0">
      <text>
        <r>
          <rPr>
            <b/>
            <sz val="9"/>
            <color indexed="81"/>
            <rFont val="Tahoma"/>
            <family val="2"/>
          </rPr>
          <t>Default:
20</t>
        </r>
      </text>
    </comment>
    <comment ref="Q115" authorId="2" shapeId="0">
      <text>
        <r>
          <rPr>
            <b/>
            <sz val="9"/>
            <color indexed="81"/>
            <rFont val="Tahoma"/>
            <family val="2"/>
          </rPr>
          <t>Default:
15</t>
        </r>
      </text>
    </comment>
    <comment ref="P116" authorId="2" shapeId="0">
      <text>
        <r>
          <rPr>
            <b/>
            <sz val="9"/>
            <color indexed="81"/>
            <rFont val="Tahoma"/>
            <family val="2"/>
          </rPr>
          <t>Default:
20</t>
        </r>
      </text>
    </comment>
    <comment ref="Q116" authorId="2" shapeId="0">
      <text>
        <r>
          <rPr>
            <b/>
            <sz val="9"/>
            <color indexed="81"/>
            <rFont val="Tahoma"/>
            <family val="2"/>
          </rPr>
          <t>Default:
15</t>
        </r>
      </text>
    </comment>
    <comment ref="S116" authorId="2" shapeId="0">
      <text>
        <r>
          <rPr>
            <b/>
            <sz val="9"/>
            <color indexed="81"/>
            <rFont val="Tahoma"/>
            <family val="2"/>
          </rPr>
          <t>Default:
8</t>
        </r>
      </text>
    </comment>
    <comment ref="P117" authorId="2" shapeId="0">
      <text>
        <r>
          <rPr>
            <b/>
            <sz val="9"/>
            <color indexed="81"/>
            <rFont val="Tahoma"/>
            <family val="2"/>
          </rPr>
          <t>Default:
20</t>
        </r>
      </text>
    </comment>
    <comment ref="Q117" authorId="2"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2" shapeId="0">
      <text>
        <r>
          <rPr>
            <b/>
            <sz val="9"/>
            <color indexed="81"/>
            <rFont val="Tahoma"/>
            <family val="2"/>
          </rPr>
          <t>Default:
20</t>
        </r>
      </text>
    </comment>
    <comment ref="Q120" authorId="2" shapeId="0">
      <text>
        <r>
          <rPr>
            <b/>
            <sz val="9"/>
            <color indexed="81"/>
            <rFont val="Tahoma"/>
            <family val="2"/>
          </rPr>
          <t>Default:
7</t>
        </r>
      </text>
    </comment>
    <comment ref="P121" authorId="2" shapeId="0">
      <text>
        <r>
          <rPr>
            <b/>
            <sz val="9"/>
            <color indexed="81"/>
            <rFont val="Tahoma"/>
            <family val="2"/>
          </rPr>
          <t>Default:
20</t>
        </r>
      </text>
    </comment>
    <comment ref="Q121" authorId="2"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2" shapeId="0">
      <text>
        <r>
          <rPr>
            <b/>
            <sz val="9"/>
            <color indexed="81"/>
            <rFont val="Tahoma"/>
            <family val="2"/>
          </rPr>
          <t>Old value of 1
Assume close enough to not use truck</t>
        </r>
      </text>
    </comment>
    <comment ref="P122" authorId="2" shapeId="0">
      <text>
        <r>
          <rPr>
            <b/>
            <sz val="9"/>
            <color indexed="81"/>
            <rFont val="Tahoma"/>
            <family val="2"/>
          </rPr>
          <t>Default:
20</t>
        </r>
      </text>
    </comment>
    <comment ref="Q122" authorId="2" shapeId="0">
      <text>
        <r>
          <rPr>
            <b/>
            <sz val="9"/>
            <color indexed="81"/>
            <rFont val="Tahoma"/>
            <family val="2"/>
          </rPr>
          <t>Default:
7</t>
        </r>
      </text>
    </comment>
    <comment ref="P125" authorId="2" shapeId="0">
      <text>
        <r>
          <rPr>
            <b/>
            <sz val="9"/>
            <color indexed="81"/>
            <rFont val="Tahoma"/>
            <family val="2"/>
          </rPr>
          <t>Default:
S: 100%
M: 100%
L: 0%</t>
        </r>
      </text>
    </comment>
    <comment ref="Q125" authorId="2" shapeId="0">
      <text>
        <r>
          <rPr>
            <b/>
            <sz val="9"/>
            <color indexed="81"/>
            <rFont val="Tahoma"/>
            <family val="2"/>
          </rPr>
          <t>Default:
S: 0%
M: 0%
L: 100%</t>
        </r>
      </text>
    </comment>
    <comment ref="P126" authorId="2" shapeId="0">
      <text>
        <r>
          <rPr>
            <b/>
            <sz val="9"/>
            <color indexed="81"/>
            <rFont val="Tahoma"/>
            <family val="2"/>
          </rPr>
          <t>Default:
S: 100%
M: 100%
L: 0%</t>
        </r>
      </text>
    </comment>
    <comment ref="Q126" authorId="2" shapeId="0">
      <text>
        <r>
          <rPr>
            <b/>
            <sz val="9"/>
            <color indexed="81"/>
            <rFont val="Tahoma"/>
            <family val="2"/>
          </rPr>
          <t>Default:
S: 0%
M: 0%
L: 100%</t>
        </r>
      </text>
    </comment>
    <comment ref="P127" authorId="2" shapeId="0">
      <text>
        <r>
          <rPr>
            <b/>
            <sz val="9"/>
            <color indexed="81"/>
            <rFont val="Tahoma"/>
            <family val="2"/>
          </rPr>
          <t>Default:
S: 100%
M: 100%
L: 0%</t>
        </r>
      </text>
    </comment>
    <comment ref="Q127" authorId="2"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2" shapeId="0">
      <text>
        <r>
          <rPr>
            <b/>
            <sz val="9"/>
            <color indexed="81"/>
            <rFont val="Tahoma"/>
            <family val="2"/>
          </rPr>
          <t>Default:
0</t>
        </r>
      </text>
    </comment>
    <comment ref="G131" authorId="0"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2" shapeId="0">
      <text>
        <r>
          <rPr>
            <b/>
            <sz val="9"/>
            <color indexed="81"/>
            <rFont val="Tahoma"/>
            <family val="2"/>
          </rPr>
          <t>Default:
1</t>
        </r>
      </text>
    </comment>
    <comment ref="F132" authorId="0" shapeId="0">
      <text>
        <r>
          <rPr>
            <b/>
            <sz val="8"/>
            <color indexed="81"/>
            <rFont val="Tahoma"/>
            <family val="2"/>
          </rPr>
          <t>Old value:
=cropins
Assume same as enterprise budget for potatoes</t>
        </r>
      </text>
    </comment>
    <comment ref="G132" authorId="2" shapeId="0">
      <text>
        <r>
          <rPr>
            <b/>
            <sz val="9"/>
            <color indexed="81"/>
            <rFont val="Tahoma"/>
            <family val="2"/>
          </rPr>
          <t>Old value:
=F100
Old value assumed same as enterprise budget for potatoes</t>
        </r>
      </text>
    </comment>
    <comment ref="G133" authorId="0" shapeId="0">
      <text>
        <r>
          <rPr>
            <sz val="8"/>
            <color indexed="81"/>
            <rFont val="Tahoma"/>
            <family val="2"/>
          </rPr>
          <t>Assume no additional insurance.</t>
        </r>
      </text>
    </comment>
    <comment ref="G135" authorId="0"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2" shapeId="0">
      <text>
        <r>
          <rPr>
            <b/>
            <sz val="9"/>
            <color indexed="81"/>
            <rFont val="Tahoma"/>
            <charset val="1"/>
          </rPr>
          <t>Default assumption is for 2 cell phones</t>
        </r>
      </text>
    </comment>
    <comment ref="B142" authorId="2" shapeId="0">
      <text>
        <r>
          <rPr>
            <b/>
            <sz val="9"/>
            <color indexed="81"/>
            <rFont val="Tahoma"/>
            <family val="2"/>
          </rPr>
          <t>Apply every 5 years so this is annualized</t>
        </r>
      </text>
    </comment>
    <comment ref="F142" authorId="0"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0" shapeId="0">
      <text>
        <r>
          <rPr>
            <sz val="8"/>
            <color indexed="81"/>
            <rFont val="Tahoma"/>
            <family val="2"/>
          </rPr>
          <t>Assume 25% of land is leased.</t>
        </r>
      </text>
    </comment>
    <comment ref="B145" authorId="2"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0"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0" shapeId="0">
      <text>
        <r>
          <rPr>
            <b/>
            <sz val="8"/>
            <color indexed="81"/>
            <rFont val="Tahoma"/>
            <family val="2"/>
          </rPr>
          <t>Assume this is 0
Old value assumed $5/acre for other variable miscellaneous expenses</t>
        </r>
      </text>
    </comment>
    <comment ref="A170" authorId="0" shapeId="0">
      <text>
        <r>
          <rPr>
            <sz val="8"/>
            <color indexed="81"/>
            <rFont val="Tahoma"/>
            <family val="2"/>
          </rPr>
          <t>Assume no promotion tax on wheat.</t>
        </r>
      </text>
    </comment>
    <comment ref="H171" authorId="3" shapeId="0">
      <text>
        <r>
          <rPr>
            <sz val="8"/>
            <color indexed="81"/>
            <rFont val="Tahoma"/>
            <family val="2"/>
          </rPr>
          <t>Assume this is zero.</t>
        </r>
      </text>
    </comment>
  </commentList>
</comments>
</file>

<file path=xl/comments28.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29.xml><?xml version="1.0" encoding="utf-8"?>
<comments xmlns="http://schemas.openxmlformats.org/spreadsheetml/2006/main">
  <authors>
    <author>Sensei</author>
    <author xml:space="preserve"> </author>
    <author>aaron hoshide</author>
    <author>REP</author>
  </authors>
  <commentList>
    <comment ref="C9" authorId="0" shapeId="0">
      <text>
        <r>
          <rPr>
            <b/>
            <sz val="9"/>
            <color indexed="81"/>
            <rFont val="Tahoma"/>
            <family val="2"/>
          </rPr>
          <t>Same as wheat according to Tom Molloy</t>
        </r>
      </text>
    </comment>
    <comment ref="F9" authorId="0" shapeId="0">
      <text>
        <r>
          <rPr>
            <b/>
            <sz val="9"/>
            <color indexed="81"/>
            <rFont val="Tahoma"/>
            <family val="2"/>
          </rPr>
          <t>From Tom Molloy
=28/50
0.56</t>
        </r>
      </text>
    </comment>
    <comment ref="F10" authorId="1" shapeId="0">
      <text>
        <r>
          <rPr>
            <sz val="8"/>
            <color indexed="81"/>
            <rFont val="Tahoma"/>
            <family val="2"/>
          </rPr>
          <t>Use 2007-09 US average price for red clover:
1.31333333333333
Old value of 1.2</t>
        </r>
      </text>
    </comment>
    <comment ref="K10" authorId="2"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0" shapeId="0">
      <text>
        <r>
          <rPr>
            <b/>
            <sz val="9"/>
            <color indexed="81"/>
            <rFont val="Tahoma"/>
            <family val="2"/>
          </rPr>
          <t>From Tom Molloy</t>
        </r>
      </text>
    </comment>
    <comment ref="L11" authorId="0" shapeId="0">
      <text>
        <r>
          <rPr>
            <b/>
            <sz val="9"/>
            <color indexed="81"/>
            <rFont val="Tahoma"/>
            <family val="2"/>
          </rPr>
          <t>From Tom Molloy</t>
        </r>
      </text>
    </comment>
    <comment ref="C14" authorId="3" shapeId="0">
      <text>
        <r>
          <rPr>
            <sz val="8"/>
            <color indexed="81"/>
            <rFont val="Tahoma"/>
            <family val="2"/>
          </rPr>
          <t xml:space="preserve">Old value from IFAFS (=IF('Key Data'!G104=0, 37/2000, 146.67/2000)).
Assume same as barley. Coupled model assumes need 37 lb/acre of urea 34-0-0 based on MPEP data for long term integrated (147 lb/acre for short term integrated)
</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0" shapeId="0">
      <text>
        <r>
          <rPr>
            <b/>
            <sz val="9"/>
            <color indexed="81"/>
            <rFont val="Tahoma"/>
            <family val="2"/>
          </rPr>
          <t>Chicken Manure - 60lb of N per acre</t>
        </r>
        <r>
          <rPr>
            <sz val="9"/>
            <color indexed="81"/>
            <rFont val="Tahoma"/>
            <family val="2"/>
          </rPr>
          <t xml:space="preserve">
</t>
        </r>
      </text>
    </comment>
    <comment ref="B16" authorId="0" shapeId="0">
      <text>
        <r>
          <rPr>
            <b/>
            <sz val="9"/>
            <color indexed="81"/>
            <rFont val="Tahoma"/>
            <family val="2"/>
          </rPr>
          <t>Spring and winter grains ALL get chicken manure just different time of application</t>
        </r>
      </text>
    </comment>
    <comment ref="C16" authorId="0" shapeId="0">
      <text>
        <r>
          <rPr>
            <b/>
            <sz val="9"/>
            <color indexed="81"/>
            <rFont val="Tahoma"/>
            <family val="2"/>
          </rPr>
          <t>From Tom Molloy</t>
        </r>
        <r>
          <rPr>
            <sz val="9"/>
            <color indexed="81"/>
            <rFont val="Tahoma"/>
            <family val="2"/>
          </rPr>
          <t xml:space="preserve">
</t>
        </r>
      </text>
    </comment>
    <comment ref="F16" authorId="0" shapeId="0">
      <text>
        <r>
          <rPr>
            <b/>
            <sz val="9"/>
            <color indexed="81"/>
            <rFont val="Tahoma"/>
            <family val="2"/>
          </rPr>
          <t>From Tom Molloy</t>
        </r>
      </text>
    </comment>
    <comment ref="B18" authorId="0" shapeId="0">
      <text>
        <r>
          <rPr>
            <b/>
            <sz val="9"/>
            <color indexed="81"/>
            <rFont val="Tahoma"/>
            <family val="2"/>
          </rPr>
          <t>Only used for winter wheat. Possible to use this for this crop but unlikely.</t>
        </r>
      </text>
    </comment>
    <comment ref="F18" authorId="0" shapeId="0">
      <text>
        <r>
          <rPr>
            <b/>
            <sz val="9"/>
            <color indexed="81"/>
            <rFont val="Tahoma"/>
            <family val="2"/>
          </rPr>
          <t>Pay $1,200 for 1 ton (2,000 lb)
=1200/2000
0.60</t>
        </r>
      </text>
    </comment>
    <comment ref="B19" authorId="0"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0" shapeId="0">
      <text>
        <r>
          <rPr>
            <b/>
            <sz val="9"/>
            <color indexed="81"/>
            <rFont val="Tahoma"/>
            <family val="2"/>
          </rPr>
          <t>Old value:
=lime</t>
        </r>
      </text>
    </comment>
    <comment ref="B26" authorId="0" shapeId="0">
      <text>
        <r>
          <rPr>
            <b/>
            <sz val="9"/>
            <color indexed="81"/>
            <rFont val="Tahoma"/>
            <family val="2"/>
          </rPr>
          <t>Default:
1</t>
        </r>
      </text>
    </comment>
    <comment ref="B27" authorId="0" shapeId="0">
      <text>
        <r>
          <rPr>
            <b/>
            <sz val="9"/>
            <color indexed="81"/>
            <rFont val="Tahoma"/>
            <family val="2"/>
          </rPr>
          <t>Default:
1</t>
        </r>
      </text>
    </comment>
    <comment ref="B28" authorId="0" shapeId="0">
      <text>
        <r>
          <rPr>
            <b/>
            <sz val="9"/>
            <color indexed="81"/>
            <rFont val="Tahoma"/>
            <family val="2"/>
          </rPr>
          <t>Default:
1</t>
        </r>
      </text>
    </comment>
    <comment ref="B29" authorId="0"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0"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0" shapeId="0">
      <text>
        <r>
          <rPr>
            <b/>
            <sz val="9"/>
            <color indexed="81"/>
            <rFont val="Tahoma"/>
            <family val="2"/>
          </rPr>
          <t>Default:
1</t>
        </r>
      </text>
    </comment>
    <comment ref="B35" authorId="0" shapeId="0">
      <text>
        <r>
          <rPr>
            <b/>
            <sz val="9"/>
            <color indexed="81"/>
            <rFont val="Tahoma"/>
            <family val="2"/>
          </rPr>
          <t>Default:
2 if spring triticale
0 if winter triticale</t>
        </r>
      </text>
    </comment>
    <comment ref="I35" authorId="0" shapeId="0">
      <text>
        <r>
          <rPr>
            <b/>
            <sz val="9"/>
            <color indexed="81"/>
            <rFont val="Tahoma"/>
            <charset val="1"/>
          </rPr>
          <t>Assumed as default number</t>
        </r>
      </text>
    </comment>
    <comment ref="B36" authorId="0" shapeId="0">
      <text>
        <r>
          <rPr>
            <b/>
            <sz val="9"/>
            <color indexed="81"/>
            <rFont val="Tahoma"/>
            <family val="2"/>
          </rPr>
          <t>Default:
0</t>
        </r>
      </text>
    </comment>
    <comment ref="B37" authorId="0" shapeId="0">
      <text>
        <r>
          <rPr>
            <b/>
            <sz val="9"/>
            <color indexed="81"/>
            <rFont val="Tahoma"/>
            <family val="2"/>
          </rPr>
          <t>Default:
1</t>
        </r>
      </text>
    </comment>
    <comment ref="B39" authorId="0" shapeId="0">
      <text>
        <r>
          <rPr>
            <b/>
            <sz val="9"/>
            <color indexed="81"/>
            <rFont val="Tahoma"/>
            <family val="2"/>
          </rPr>
          <t>Default:
0</t>
        </r>
      </text>
    </comment>
    <comment ref="B40" authorId="0"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0"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0"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0" shapeId="0">
      <text>
        <r>
          <rPr>
            <b/>
            <sz val="9"/>
            <color indexed="81"/>
            <rFont val="Tahoma"/>
            <family val="2"/>
          </rPr>
          <t>Default:
500</t>
        </r>
      </text>
    </comment>
    <comment ref="B59" authorId="0" shapeId="0">
      <text>
        <r>
          <rPr>
            <b/>
            <sz val="9"/>
            <color indexed="81"/>
            <rFont val="Tahoma"/>
            <family val="2"/>
          </rPr>
          <t>Default:
1</t>
        </r>
      </text>
    </comment>
    <comment ref="C59" authorId="0" shapeId="0">
      <text>
        <r>
          <rPr>
            <b/>
            <sz val="9"/>
            <color indexed="81"/>
            <rFont val="Tahoma"/>
            <family val="2"/>
          </rPr>
          <t>Base hours to dry 3,300 bu of grain on Iowa State calculator ($422/$12.29). Adjust to total bushels produced.
=((422/12.29)*(TrtBudget!B13/3300))/triticale</t>
        </r>
      </text>
    </comment>
    <comment ref="J59" authorId="1" shapeId="0">
      <text>
        <r>
          <rPr>
            <b/>
            <sz val="8"/>
            <color indexed="81"/>
            <rFont val="Tahoma"/>
            <family val="2"/>
          </rPr>
          <t>Calculate this for wheat baseline of 1000 bu x 60 lb/bu = 60,000 lb capacity.</t>
        </r>
      </text>
    </comment>
    <comment ref="N59" authorId="0"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0" shapeId="0">
      <text>
        <r>
          <rPr>
            <b/>
            <sz val="9"/>
            <color indexed="81"/>
            <rFont val="Tahoma"/>
            <family val="2"/>
          </rPr>
          <t>Consistent with old value of 1
Assume NOT close enough to not use truck</t>
        </r>
      </text>
    </comment>
    <comment ref="P63" authorId="0" shapeId="0">
      <text>
        <r>
          <rPr>
            <b/>
            <sz val="9"/>
            <color indexed="81"/>
            <rFont val="Tahoma"/>
            <family val="2"/>
          </rPr>
          <t>Default:
20</t>
        </r>
      </text>
    </comment>
    <comment ref="Q63" authorId="0" shapeId="0">
      <text>
        <r>
          <rPr>
            <b/>
            <sz val="9"/>
            <color indexed="81"/>
            <rFont val="Tahoma"/>
            <family val="2"/>
          </rPr>
          <t xml:space="preserve">Default:
40
</t>
        </r>
      </text>
    </comment>
    <comment ref="P64" authorId="0" shapeId="0">
      <text>
        <r>
          <rPr>
            <b/>
            <sz val="9"/>
            <color indexed="81"/>
            <rFont val="Tahoma"/>
            <family val="2"/>
          </rPr>
          <t>Default:
20</t>
        </r>
      </text>
    </comment>
    <comment ref="Q64" authorId="0" shapeId="0">
      <text>
        <r>
          <rPr>
            <b/>
            <sz val="9"/>
            <color indexed="81"/>
            <rFont val="Tahoma"/>
            <family val="2"/>
          </rPr>
          <t xml:space="preserve">Default:
40
</t>
        </r>
      </text>
    </comment>
    <comment ref="U64" authorId="0" shapeId="0">
      <text>
        <r>
          <rPr>
            <b/>
            <sz val="9"/>
            <color indexed="81"/>
            <rFont val="Tahoma"/>
            <family val="2"/>
          </rPr>
          <t>Default:
8</t>
        </r>
      </text>
    </comment>
    <comment ref="P65" authorId="0" shapeId="0">
      <text>
        <r>
          <rPr>
            <b/>
            <sz val="9"/>
            <color indexed="81"/>
            <rFont val="Tahoma"/>
            <family val="2"/>
          </rPr>
          <t>Default:
20</t>
        </r>
      </text>
    </comment>
    <comment ref="Q65" authorId="0"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0" shapeId="0">
      <text>
        <r>
          <rPr>
            <b/>
            <sz val="9"/>
            <color indexed="81"/>
            <rFont val="Tahoma"/>
            <family val="2"/>
          </rPr>
          <t>Default:
20</t>
        </r>
      </text>
    </comment>
    <comment ref="Q68" authorId="0" shapeId="0">
      <text>
        <r>
          <rPr>
            <b/>
            <sz val="9"/>
            <color indexed="81"/>
            <rFont val="Tahoma"/>
            <family val="2"/>
          </rPr>
          <t>Default:
40</t>
        </r>
      </text>
    </comment>
    <comment ref="P69" authorId="0" shapeId="0">
      <text>
        <r>
          <rPr>
            <b/>
            <sz val="9"/>
            <color indexed="81"/>
            <rFont val="Tahoma"/>
            <family val="2"/>
          </rPr>
          <t>Default:
20</t>
        </r>
      </text>
    </comment>
    <comment ref="Q69" authorId="0"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0" shapeId="0">
      <text>
        <r>
          <rPr>
            <b/>
            <sz val="9"/>
            <color indexed="81"/>
            <rFont val="Tahoma"/>
            <family val="2"/>
          </rPr>
          <t>Old value of 1
Assume close enough to not use truck</t>
        </r>
      </text>
    </comment>
    <comment ref="P70" authorId="0" shapeId="0">
      <text>
        <r>
          <rPr>
            <b/>
            <sz val="9"/>
            <color indexed="81"/>
            <rFont val="Tahoma"/>
            <family val="2"/>
          </rPr>
          <t>Default:
20</t>
        </r>
      </text>
    </comment>
    <comment ref="Q70" authorId="0" shapeId="0">
      <text>
        <r>
          <rPr>
            <b/>
            <sz val="9"/>
            <color indexed="81"/>
            <rFont val="Tahoma"/>
            <family val="2"/>
          </rPr>
          <t>Default:
40</t>
        </r>
      </text>
    </comment>
    <comment ref="P73" authorId="0" shapeId="0">
      <text>
        <r>
          <rPr>
            <b/>
            <sz val="9"/>
            <color indexed="81"/>
            <rFont val="Tahoma"/>
            <family val="2"/>
          </rPr>
          <t>Default:
S: 100%
M: 100%
L: 0%</t>
        </r>
      </text>
    </comment>
    <comment ref="Q73" authorId="0" shapeId="0">
      <text>
        <r>
          <rPr>
            <b/>
            <sz val="9"/>
            <color indexed="81"/>
            <rFont val="Tahoma"/>
            <family val="2"/>
          </rPr>
          <t>Default:
S: 0%
M: 0%
L: 100%</t>
        </r>
      </text>
    </comment>
    <comment ref="P74" authorId="0" shapeId="0">
      <text>
        <r>
          <rPr>
            <b/>
            <sz val="9"/>
            <color indexed="81"/>
            <rFont val="Tahoma"/>
            <family val="2"/>
          </rPr>
          <t>Default:
S: 100%
M: 100%
L: 0%</t>
        </r>
      </text>
    </comment>
    <comment ref="Q74" authorId="0" shapeId="0">
      <text>
        <r>
          <rPr>
            <b/>
            <sz val="9"/>
            <color indexed="81"/>
            <rFont val="Tahoma"/>
            <family val="2"/>
          </rPr>
          <t>Default:
S: 0%
M: 0%
L: 100%</t>
        </r>
      </text>
    </comment>
    <comment ref="P75" authorId="0" shapeId="0">
      <text>
        <r>
          <rPr>
            <b/>
            <sz val="9"/>
            <color indexed="81"/>
            <rFont val="Tahoma"/>
            <family val="2"/>
          </rPr>
          <t>Default:
S: 100%
M: 100%
L: 0%</t>
        </r>
      </text>
    </comment>
    <comment ref="Q75" authorId="0"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t>
        </r>
      </text>
    </comment>
    <comment ref="C96" authorId="3" shapeId="0">
      <text>
        <r>
          <rPr>
            <sz val="8"/>
            <color indexed="81"/>
            <rFont val="Tahoma"/>
            <family val="2"/>
          </rPr>
          <t>Assume this is 10% of small dairy.  Old value of 0.05 gal.</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0"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0"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0" shapeId="0">
      <text>
        <r>
          <rPr>
            <b/>
            <sz val="9"/>
            <color indexed="81"/>
            <rFont val="Tahoma"/>
            <family val="2"/>
          </rPr>
          <t>Consistent with old value of 1
Assume NOT close enough to not use truck</t>
        </r>
      </text>
    </comment>
    <comment ref="P115" authorId="0" shapeId="0">
      <text>
        <r>
          <rPr>
            <b/>
            <sz val="9"/>
            <color indexed="81"/>
            <rFont val="Tahoma"/>
            <family val="2"/>
          </rPr>
          <t>Default:
20</t>
        </r>
      </text>
    </comment>
    <comment ref="Q115" authorId="0" shapeId="0">
      <text>
        <r>
          <rPr>
            <b/>
            <sz val="9"/>
            <color indexed="81"/>
            <rFont val="Tahoma"/>
            <family val="2"/>
          </rPr>
          <t>Default:
15</t>
        </r>
      </text>
    </comment>
    <comment ref="P116" authorId="0" shapeId="0">
      <text>
        <r>
          <rPr>
            <b/>
            <sz val="9"/>
            <color indexed="81"/>
            <rFont val="Tahoma"/>
            <family val="2"/>
          </rPr>
          <t>Default:
20</t>
        </r>
      </text>
    </comment>
    <comment ref="Q116" authorId="0" shapeId="0">
      <text>
        <r>
          <rPr>
            <b/>
            <sz val="9"/>
            <color indexed="81"/>
            <rFont val="Tahoma"/>
            <family val="2"/>
          </rPr>
          <t>Default:
15</t>
        </r>
      </text>
    </comment>
    <comment ref="S116" authorId="0" shapeId="0">
      <text>
        <r>
          <rPr>
            <b/>
            <sz val="9"/>
            <color indexed="81"/>
            <rFont val="Tahoma"/>
            <family val="2"/>
          </rPr>
          <t>Default:
8</t>
        </r>
      </text>
    </comment>
    <comment ref="P117" authorId="0" shapeId="0">
      <text>
        <r>
          <rPr>
            <b/>
            <sz val="9"/>
            <color indexed="81"/>
            <rFont val="Tahoma"/>
            <family val="2"/>
          </rPr>
          <t>Default:
20</t>
        </r>
      </text>
    </comment>
    <comment ref="Q117" authorId="0"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0" shapeId="0">
      <text>
        <r>
          <rPr>
            <b/>
            <sz val="9"/>
            <color indexed="81"/>
            <rFont val="Tahoma"/>
            <family val="2"/>
          </rPr>
          <t>Default:
20</t>
        </r>
      </text>
    </comment>
    <comment ref="Q120" authorId="0" shapeId="0">
      <text>
        <r>
          <rPr>
            <b/>
            <sz val="9"/>
            <color indexed="81"/>
            <rFont val="Tahoma"/>
            <family val="2"/>
          </rPr>
          <t>Default:
7</t>
        </r>
      </text>
    </comment>
    <comment ref="P121" authorId="0" shapeId="0">
      <text>
        <r>
          <rPr>
            <b/>
            <sz val="9"/>
            <color indexed="81"/>
            <rFont val="Tahoma"/>
            <family val="2"/>
          </rPr>
          <t>Default:
20</t>
        </r>
      </text>
    </comment>
    <comment ref="Q121" authorId="0"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0" shapeId="0">
      <text>
        <r>
          <rPr>
            <b/>
            <sz val="9"/>
            <color indexed="81"/>
            <rFont val="Tahoma"/>
            <family val="2"/>
          </rPr>
          <t>Old value of 1
Assume close enough to not use truck</t>
        </r>
      </text>
    </comment>
    <comment ref="P122" authorId="0" shapeId="0">
      <text>
        <r>
          <rPr>
            <b/>
            <sz val="9"/>
            <color indexed="81"/>
            <rFont val="Tahoma"/>
            <family val="2"/>
          </rPr>
          <t>Default:
20</t>
        </r>
      </text>
    </comment>
    <comment ref="Q122" authorId="0" shapeId="0">
      <text>
        <r>
          <rPr>
            <b/>
            <sz val="9"/>
            <color indexed="81"/>
            <rFont val="Tahoma"/>
            <family val="2"/>
          </rPr>
          <t>Default:
7</t>
        </r>
      </text>
    </comment>
    <comment ref="P125" authorId="0" shapeId="0">
      <text>
        <r>
          <rPr>
            <b/>
            <sz val="9"/>
            <color indexed="81"/>
            <rFont val="Tahoma"/>
            <family val="2"/>
          </rPr>
          <t>Default:
S: 100%
M: 100%
L: 0%</t>
        </r>
      </text>
    </comment>
    <comment ref="Q125" authorId="0" shapeId="0">
      <text>
        <r>
          <rPr>
            <b/>
            <sz val="9"/>
            <color indexed="81"/>
            <rFont val="Tahoma"/>
            <family val="2"/>
          </rPr>
          <t>Default:
S: 0%
M: 0%
L: 100%</t>
        </r>
      </text>
    </comment>
    <comment ref="P126" authorId="0" shapeId="0">
      <text>
        <r>
          <rPr>
            <b/>
            <sz val="9"/>
            <color indexed="81"/>
            <rFont val="Tahoma"/>
            <family val="2"/>
          </rPr>
          <t>Default:
S: 100%
M: 100%
L: 0%</t>
        </r>
      </text>
    </comment>
    <comment ref="Q126" authorId="0" shapeId="0">
      <text>
        <r>
          <rPr>
            <b/>
            <sz val="9"/>
            <color indexed="81"/>
            <rFont val="Tahoma"/>
            <family val="2"/>
          </rPr>
          <t>Default:
S: 0%
M: 0%
L: 100%</t>
        </r>
      </text>
    </comment>
    <comment ref="P127" authorId="0" shapeId="0">
      <text>
        <r>
          <rPr>
            <b/>
            <sz val="9"/>
            <color indexed="81"/>
            <rFont val="Tahoma"/>
            <family val="2"/>
          </rPr>
          <t>Default:
S: 100%
M: 100%
L: 0%</t>
        </r>
      </text>
    </comment>
    <comment ref="Q127" authorId="0"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0" shapeId="0">
      <text>
        <r>
          <rPr>
            <b/>
            <sz val="9"/>
            <color indexed="81"/>
            <rFont val="Tahoma"/>
            <family val="2"/>
          </rPr>
          <t>Default:
0</t>
        </r>
      </text>
    </comment>
    <comment ref="G131" authorId="2"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0" shapeId="0">
      <text>
        <r>
          <rPr>
            <b/>
            <sz val="9"/>
            <color indexed="81"/>
            <rFont val="Tahoma"/>
            <family val="2"/>
          </rPr>
          <t>Default:
1</t>
        </r>
      </text>
    </comment>
    <comment ref="F132" authorId="2" shapeId="0">
      <text>
        <r>
          <rPr>
            <b/>
            <sz val="8"/>
            <color indexed="81"/>
            <rFont val="Tahoma"/>
            <family val="2"/>
          </rPr>
          <t>Old value:
=cropins
Assume same as enterprise budget for potatoes</t>
        </r>
      </text>
    </comment>
    <comment ref="G132" authorId="0" shapeId="0">
      <text>
        <r>
          <rPr>
            <b/>
            <sz val="9"/>
            <color indexed="81"/>
            <rFont val="Tahoma"/>
            <family val="2"/>
          </rPr>
          <t>Old value:
=F100
Old value assumed same as enterprise budget for potatoes</t>
        </r>
      </text>
    </comment>
    <comment ref="G133" authorId="2" shapeId="0">
      <text>
        <r>
          <rPr>
            <sz val="8"/>
            <color indexed="81"/>
            <rFont val="Tahoma"/>
            <family val="2"/>
          </rPr>
          <t>Assume no additional insurance.</t>
        </r>
      </text>
    </comment>
    <comment ref="G135" authorId="2"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0" shapeId="0">
      <text>
        <r>
          <rPr>
            <b/>
            <sz val="9"/>
            <color indexed="81"/>
            <rFont val="Tahoma"/>
            <charset val="1"/>
          </rPr>
          <t>Default assumption is for 2 cell phones</t>
        </r>
      </text>
    </comment>
    <comment ref="B142" authorId="0" shapeId="0">
      <text>
        <r>
          <rPr>
            <b/>
            <sz val="9"/>
            <color indexed="81"/>
            <rFont val="Tahoma"/>
            <family val="2"/>
          </rPr>
          <t>Apply every 5 years so this is annualized</t>
        </r>
      </text>
    </comment>
    <comment ref="F142" authorId="2"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2" shapeId="0">
      <text>
        <r>
          <rPr>
            <sz val="8"/>
            <color indexed="81"/>
            <rFont val="Tahoma"/>
            <family val="2"/>
          </rPr>
          <t>Assume 25% of land is leased.</t>
        </r>
      </text>
    </comment>
    <comment ref="B145" authorId="0"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2"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2" shapeId="0">
      <text>
        <r>
          <rPr>
            <b/>
            <sz val="8"/>
            <color indexed="81"/>
            <rFont val="Tahoma"/>
            <family val="2"/>
          </rPr>
          <t>Assume this is 0
Old value assumed $5/acre for other variable miscellaneous expenses</t>
        </r>
      </text>
    </comment>
    <comment ref="A170" authorId="2" shapeId="0">
      <text>
        <r>
          <rPr>
            <sz val="8"/>
            <color indexed="81"/>
            <rFont val="Tahoma"/>
            <family val="2"/>
          </rPr>
          <t>Assume no promotion tax on wheat.</t>
        </r>
      </text>
    </comment>
    <comment ref="H171" authorId="3" shapeId="0">
      <text>
        <r>
          <rPr>
            <sz val="8"/>
            <color indexed="81"/>
            <rFont val="Tahoma"/>
            <family val="2"/>
          </rPr>
          <t>Assume this is zero.</t>
        </r>
      </text>
    </comment>
  </commentList>
</comments>
</file>

<file path=xl/comments3.xml><?xml version="1.0" encoding="utf-8"?>
<comments xmlns="http://schemas.openxmlformats.org/spreadsheetml/2006/main">
  <authors>
    <author>Sensei</author>
  </authors>
  <commentList>
    <comment ref="D7" authorId="0" shapeId="0">
      <text>
        <r>
          <rPr>
            <b/>
            <sz val="9"/>
            <color indexed="81"/>
            <rFont val="Tahoma"/>
            <charset val="1"/>
          </rPr>
          <t>Default:
0</t>
        </r>
      </text>
    </comment>
    <comment ref="G7" authorId="0" shapeId="0">
      <text>
        <r>
          <rPr>
            <b/>
            <sz val="9"/>
            <color indexed="81"/>
            <rFont val="Tahoma"/>
            <charset val="1"/>
          </rPr>
          <t>Default:
0</t>
        </r>
      </text>
    </comment>
    <comment ref="J7" authorId="0" shapeId="0">
      <text>
        <r>
          <rPr>
            <b/>
            <sz val="9"/>
            <color indexed="81"/>
            <rFont val="Tahoma"/>
            <charset val="1"/>
          </rPr>
          <t>Default:
0</t>
        </r>
      </text>
    </comment>
    <comment ref="M7" authorId="0" shapeId="0">
      <text>
        <r>
          <rPr>
            <b/>
            <sz val="9"/>
            <color indexed="81"/>
            <rFont val="Tahoma"/>
            <charset val="1"/>
          </rPr>
          <t>Default:
0</t>
        </r>
      </text>
    </comment>
    <comment ref="P7" authorId="0" shapeId="0">
      <text>
        <r>
          <rPr>
            <b/>
            <sz val="9"/>
            <color indexed="81"/>
            <rFont val="Tahoma"/>
            <charset val="1"/>
          </rPr>
          <t>Default:
0</t>
        </r>
      </text>
    </comment>
    <comment ref="S7" authorId="0" shapeId="0">
      <text>
        <r>
          <rPr>
            <b/>
            <sz val="9"/>
            <color indexed="81"/>
            <rFont val="Tahoma"/>
            <charset val="1"/>
          </rPr>
          <t>Default:
0</t>
        </r>
      </text>
    </comment>
    <comment ref="V7" authorId="0" shapeId="0">
      <text>
        <r>
          <rPr>
            <b/>
            <sz val="9"/>
            <color indexed="81"/>
            <rFont val="Tahoma"/>
            <charset val="1"/>
          </rPr>
          <t>Default:
0</t>
        </r>
      </text>
    </comment>
    <comment ref="Y7" authorId="0" shapeId="0">
      <text>
        <r>
          <rPr>
            <b/>
            <sz val="9"/>
            <color indexed="81"/>
            <rFont val="Tahoma"/>
            <charset val="1"/>
          </rPr>
          <t>Default:
0</t>
        </r>
      </text>
    </comment>
    <comment ref="AB7" authorId="0" shapeId="0">
      <text>
        <r>
          <rPr>
            <b/>
            <sz val="9"/>
            <color indexed="81"/>
            <rFont val="Tahoma"/>
            <charset val="1"/>
          </rPr>
          <t>Default:
0</t>
        </r>
      </text>
    </comment>
    <comment ref="AE7" authorId="0" shapeId="0">
      <text>
        <r>
          <rPr>
            <b/>
            <sz val="9"/>
            <color indexed="81"/>
            <rFont val="Tahoma"/>
            <charset val="1"/>
          </rPr>
          <t>Default:
0</t>
        </r>
      </text>
    </comment>
    <comment ref="D8" authorId="0" shapeId="0">
      <text>
        <r>
          <rPr>
            <b/>
            <sz val="9"/>
            <color indexed="81"/>
            <rFont val="Tahoma"/>
            <charset val="1"/>
          </rPr>
          <t>Default:
1</t>
        </r>
      </text>
    </comment>
    <comment ref="G8" authorId="0" shapeId="0">
      <text>
        <r>
          <rPr>
            <b/>
            <sz val="9"/>
            <color indexed="81"/>
            <rFont val="Tahoma"/>
            <charset val="1"/>
          </rPr>
          <t>Default:
1</t>
        </r>
      </text>
    </comment>
    <comment ref="J8" authorId="0" shapeId="0">
      <text>
        <r>
          <rPr>
            <b/>
            <sz val="9"/>
            <color indexed="81"/>
            <rFont val="Tahoma"/>
            <charset val="1"/>
          </rPr>
          <t>Default:
1</t>
        </r>
      </text>
    </comment>
    <comment ref="M8" authorId="0" shapeId="0">
      <text>
        <r>
          <rPr>
            <b/>
            <sz val="9"/>
            <color indexed="81"/>
            <rFont val="Tahoma"/>
            <charset val="1"/>
          </rPr>
          <t>Default:
1</t>
        </r>
      </text>
    </comment>
    <comment ref="P8" authorId="0" shapeId="0">
      <text>
        <r>
          <rPr>
            <b/>
            <sz val="9"/>
            <color indexed="81"/>
            <rFont val="Tahoma"/>
            <charset val="1"/>
          </rPr>
          <t>Default:
1</t>
        </r>
      </text>
    </comment>
    <comment ref="S8" authorId="0" shapeId="0">
      <text>
        <r>
          <rPr>
            <b/>
            <sz val="9"/>
            <color indexed="81"/>
            <rFont val="Tahoma"/>
            <charset val="1"/>
          </rPr>
          <t>Default:
1</t>
        </r>
      </text>
    </comment>
    <comment ref="V8" authorId="0" shapeId="0">
      <text>
        <r>
          <rPr>
            <b/>
            <sz val="9"/>
            <color indexed="81"/>
            <rFont val="Tahoma"/>
            <charset val="1"/>
          </rPr>
          <t>Default:
1</t>
        </r>
      </text>
    </comment>
    <comment ref="Y8" authorId="0" shapeId="0">
      <text>
        <r>
          <rPr>
            <b/>
            <sz val="9"/>
            <color indexed="81"/>
            <rFont val="Tahoma"/>
            <charset val="1"/>
          </rPr>
          <t>Default:
1</t>
        </r>
      </text>
    </comment>
    <comment ref="AB8" authorId="0" shapeId="0">
      <text>
        <r>
          <rPr>
            <b/>
            <sz val="9"/>
            <color indexed="81"/>
            <rFont val="Tahoma"/>
            <charset val="1"/>
          </rPr>
          <t>Default:
0</t>
        </r>
      </text>
    </comment>
    <comment ref="AE8" authorId="0" shapeId="0">
      <text>
        <r>
          <rPr>
            <b/>
            <sz val="9"/>
            <color indexed="81"/>
            <rFont val="Tahoma"/>
            <charset val="1"/>
          </rPr>
          <t>Default:
0</t>
        </r>
      </text>
    </comment>
    <comment ref="D9" authorId="0" shapeId="0">
      <text>
        <r>
          <rPr>
            <b/>
            <sz val="9"/>
            <color indexed="81"/>
            <rFont val="Tahoma"/>
            <charset val="1"/>
          </rPr>
          <t>Default:
1</t>
        </r>
      </text>
    </comment>
    <comment ref="G9" authorId="0" shapeId="0">
      <text>
        <r>
          <rPr>
            <b/>
            <sz val="9"/>
            <color indexed="81"/>
            <rFont val="Tahoma"/>
            <charset val="1"/>
          </rPr>
          <t>Default:
1</t>
        </r>
      </text>
    </comment>
    <comment ref="J9" authorId="0" shapeId="0">
      <text>
        <r>
          <rPr>
            <b/>
            <sz val="9"/>
            <color indexed="81"/>
            <rFont val="Tahoma"/>
            <charset val="1"/>
          </rPr>
          <t>Default:
1</t>
        </r>
      </text>
    </comment>
    <comment ref="M9" authorId="0" shapeId="0">
      <text>
        <r>
          <rPr>
            <b/>
            <sz val="9"/>
            <color indexed="81"/>
            <rFont val="Tahoma"/>
            <charset val="1"/>
          </rPr>
          <t>Default:
1</t>
        </r>
      </text>
    </comment>
    <comment ref="P9" authorId="0" shapeId="0">
      <text>
        <r>
          <rPr>
            <b/>
            <sz val="9"/>
            <color indexed="81"/>
            <rFont val="Tahoma"/>
            <charset val="1"/>
          </rPr>
          <t>Default:
1</t>
        </r>
      </text>
    </comment>
    <comment ref="S9" authorId="0" shapeId="0">
      <text>
        <r>
          <rPr>
            <b/>
            <sz val="9"/>
            <color indexed="81"/>
            <rFont val="Tahoma"/>
            <charset val="1"/>
          </rPr>
          <t>Default:
1</t>
        </r>
      </text>
    </comment>
    <comment ref="V9" authorId="0" shapeId="0">
      <text>
        <r>
          <rPr>
            <b/>
            <sz val="9"/>
            <color indexed="81"/>
            <rFont val="Tahoma"/>
            <charset val="1"/>
          </rPr>
          <t>Default:
1</t>
        </r>
      </text>
    </comment>
    <comment ref="Y9" authorId="0" shapeId="0">
      <text>
        <r>
          <rPr>
            <b/>
            <sz val="9"/>
            <color indexed="81"/>
            <rFont val="Tahoma"/>
            <charset val="1"/>
          </rPr>
          <t>Default:
1</t>
        </r>
      </text>
    </comment>
    <comment ref="AB9" authorId="0" shapeId="0">
      <text>
        <r>
          <rPr>
            <b/>
            <sz val="9"/>
            <color indexed="81"/>
            <rFont val="Tahoma"/>
            <charset val="1"/>
          </rPr>
          <t>Default:
1</t>
        </r>
      </text>
    </comment>
    <comment ref="AE9" authorId="0" shapeId="0">
      <text>
        <r>
          <rPr>
            <b/>
            <sz val="9"/>
            <color indexed="81"/>
            <rFont val="Tahoma"/>
            <charset val="1"/>
          </rPr>
          <t>Default:
1</t>
        </r>
      </text>
    </comment>
    <comment ref="D10" authorId="0" shapeId="0">
      <text>
        <r>
          <rPr>
            <b/>
            <sz val="9"/>
            <color indexed="81"/>
            <rFont val="Tahoma"/>
            <charset val="1"/>
          </rPr>
          <t>Default:
1</t>
        </r>
      </text>
    </comment>
    <comment ref="G10" authorId="0" shapeId="0">
      <text>
        <r>
          <rPr>
            <b/>
            <sz val="9"/>
            <color indexed="81"/>
            <rFont val="Tahoma"/>
            <charset val="1"/>
          </rPr>
          <t>Default:
1</t>
        </r>
      </text>
    </comment>
    <comment ref="J10" authorId="0" shapeId="0">
      <text>
        <r>
          <rPr>
            <b/>
            <sz val="9"/>
            <color indexed="81"/>
            <rFont val="Tahoma"/>
            <charset val="1"/>
          </rPr>
          <t>Default:
1</t>
        </r>
      </text>
    </comment>
    <comment ref="M10" authorId="0" shapeId="0">
      <text>
        <r>
          <rPr>
            <b/>
            <sz val="9"/>
            <color indexed="81"/>
            <rFont val="Tahoma"/>
            <charset val="1"/>
          </rPr>
          <t>Default:
1</t>
        </r>
      </text>
    </comment>
    <comment ref="P10" authorId="0" shapeId="0">
      <text>
        <r>
          <rPr>
            <b/>
            <sz val="9"/>
            <color indexed="81"/>
            <rFont val="Tahoma"/>
            <charset val="1"/>
          </rPr>
          <t>Default:
1</t>
        </r>
      </text>
    </comment>
    <comment ref="S10" authorId="0" shapeId="0">
      <text>
        <r>
          <rPr>
            <b/>
            <sz val="9"/>
            <color indexed="81"/>
            <rFont val="Tahoma"/>
            <charset val="1"/>
          </rPr>
          <t>Default:
1</t>
        </r>
      </text>
    </comment>
    <comment ref="V10" authorId="0" shapeId="0">
      <text>
        <r>
          <rPr>
            <b/>
            <sz val="9"/>
            <color indexed="81"/>
            <rFont val="Tahoma"/>
            <charset val="1"/>
          </rPr>
          <t>Default:
1</t>
        </r>
      </text>
    </comment>
    <comment ref="Y10" authorId="0" shapeId="0">
      <text>
        <r>
          <rPr>
            <b/>
            <sz val="9"/>
            <color indexed="81"/>
            <rFont val="Tahoma"/>
            <charset val="1"/>
          </rPr>
          <t>Default:
1</t>
        </r>
      </text>
    </comment>
    <comment ref="AB10" authorId="0" shapeId="0">
      <text>
        <r>
          <rPr>
            <b/>
            <sz val="9"/>
            <color indexed="81"/>
            <rFont val="Tahoma"/>
            <charset val="1"/>
          </rPr>
          <t>Default:
1</t>
        </r>
      </text>
    </comment>
    <comment ref="AE10" authorId="0" shapeId="0">
      <text>
        <r>
          <rPr>
            <b/>
            <sz val="9"/>
            <color indexed="81"/>
            <rFont val="Tahoma"/>
            <charset val="1"/>
          </rPr>
          <t>Default:
1</t>
        </r>
      </text>
    </comment>
    <comment ref="D11" authorId="0" shapeId="0">
      <text>
        <r>
          <rPr>
            <b/>
            <sz val="9"/>
            <color indexed="81"/>
            <rFont val="Tahoma"/>
            <charset val="1"/>
          </rPr>
          <t>Default:
1</t>
        </r>
      </text>
    </comment>
    <comment ref="G11" authorId="0" shapeId="0">
      <text>
        <r>
          <rPr>
            <b/>
            <sz val="9"/>
            <color indexed="81"/>
            <rFont val="Tahoma"/>
            <charset val="1"/>
          </rPr>
          <t>Default:
1</t>
        </r>
      </text>
    </comment>
    <comment ref="J11" authorId="0" shapeId="0">
      <text>
        <r>
          <rPr>
            <b/>
            <sz val="9"/>
            <color indexed="81"/>
            <rFont val="Tahoma"/>
            <charset val="1"/>
          </rPr>
          <t>Default:
1</t>
        </r>
      </text>
    </comment>
    <comment ref="M11" authorId="0" shapeId="0">
      <text>
        <r>
          <rPr>
            <b/>
            <sz val="9"/>
            <color indexed="81"/>
            <rFont val="Tahoma"/>
            <charset val="1"/>
          </rPr>
          <t>Default:
1</t>
        </r>
      </text>
    </comment>
    <comment ref="P11" authorId="0" shapeId="0">
      <text>
        <r>
          <rPr>
            <b/>
            <sz val="9"/>
            <color indexed="81"/>
            <rFont val="Tahoma"/>
            <charset val="1"/>
          </rPr>
          <t>Default:
1</t>
        </r>
      </text>
    </comment>
    <comment ref="S11" authorId="0" shapeId="0">
      <text>
        <r>
          <rPr>
            <b/>
            <sz val="9"/>
            <color indexed="81"/>
            <rFont val="Tahoma"/>
            <charset val="1"/>
          </rPr>
          <t>Default:
1</t>
        </r>
      </text>
    </comment>
    <comment ref="V11" authorId="0" shapeId="0">
      <text>
        <r>
          <rPr>
            <b/>
            <sz val="9"/>
            <color indexed="81"/>
            <rFont val="Tahoma"/>
            <charset val="1"/>
          </rPr>
          <t>Default:
1</t>
        </r>
      </text>
    </comment>
    <comment ref="Y11" authorId="0" shapeId="0">
      <text>
        <r>
          <rPr>
            <b/>
            <sz val="9"/>
            <color indexed="81"/>
            <rFont val="Tahoma"/>
            <charset val="1"/>
          </rPr>
          <t>Default:
1</t>
        </r>
      </text>
    </comment>
    <comment ref="AB11" authorId="0" shapeId="0">
      <text>
        <r>
          <rPr>
            <b/>
            <sz val="9"/>
            <color indexed="81"/>
            <rFont val="Tahoma"/>
            <charset val="1"/>
          </rPr>
          <t>Default:
1</t>
        </r>
      </text>
    </comment>
    <comment ref="AE11" authorId="0" shapeId="0">
      <text>
        <r>
          <rPr>
            <b/>
            <sz val="9"/>
            <color indexed="81"/>
            <rFont val="Tahoma"/>
            <charset val="1"/>
          </rPr>
          <t>Default:
1</t>
        </r>
      </text>
    </comment>
    <comment ref="D12" authorId="0" shapeId="0">
      <text>
        <r>
          <rPr>
            <b/>
            <sz val="9"/>
            <color indexed="81"/>
            <rFont val="Tahoma"/>
            <charset val="1"/>
          </rPr>
          <t>Default:
1</t>
        </r>
      </text>
    </comment>
    <comment ref="G12" authorId="0" shapeId="0">
      <text>
        <r>
          <rPr>
            <b/>
            <sz val="9"/>
            <color indexed="81"/>
            <rFont val="Tahoma"/>
            <charset val="1"/>
          </rPr>
          <t>Default:
1</t>
        </r>
      </text>
    </comment>
    <comment ref="J12" authorId="0" shapeId="0">
      <text>
        <r>
          <rPr>
            <b/>
            <sz val="9"/>
            <color indexed="81"/>
            <rFont val="Tahoma"/>
            <charset val="1"/>
          </rPr>
          <t>Default:
1</t>
        </r>
      </text>
    </comment>
    <comment ref="M12" authorId="0" shapeId="0">
      <text>
        <r>
          <rPr>
            <b/>
            <sz val="9"/>
            <color indexed="81"/>
            <rFont val="Tahoma"/>
            <charset val="1"/>
          </rPr>
          <t>Default:
1</t>
        </r>
      </text>
    </comment>
    <comment ref="P12" authorId="0" shapeId="0">
      <text>
        <r>
          <rPr>
            <b/>
            <sz val="9"/>
            <color indexed="81"/>
            <rFont val="Tahoma"/>
            <charset val="1"/>
          </rPr>
          <t>Default:
1</t>
        </r>
      </text>
    </comment>
    <comment ref="S12" authorId="0" shapeId="0">
      <text>
        <r>
          <rPr>
            <b/>
            <sz val="9"/>
            <color indexed="81"/>
            <rFont val="Tahoma"/>
            <charset val="1"/>
          </rPr>
          <t>Default:
1</t>
        </r>
      </text>
    </comment>
    <comment ref="V12" authorId="0" shapeId="0">
      <text>
        <r>
          <rPr>
            <b/>
            <sz val="9"/>
            <color indexed="81"/>
            <rFont val="Tahoma"/>
            <charset val="1"/>
          </rPr>
          <t>Default:
1</t>
        </r>
      </text>
    </comment>
    <comment ref="Y12" authorId="0" shapeId="0">
      <text>
        <r>
          <rPr>
            <b/>
            <sz val="9"/>
            <color indexed="81"/>
            <rFont val="Tahoma"/>
            <charset val="1"/>
          </rPr>
          <t>Default:
1</t>
        </r>
      </text>
    </comment>
    <comment ref="AB12" authorId="0" shapeId="0">
      <text>
        <r>
          <rPr>
            <b/>
            <sz val="9"/>
            <color indexed="81"/>
            <rFont val="Tahoma"/>
            <charset val="1"/>
          </rPr>
          <t>Default:
1</t>
        </r>
      </text>
    </comment>
    <comment ref="AE12" authorId="0" shapeId="0">
      <text>
        <r>
          <rPr>
            <b/>
            <sz val="9"/>
            <color indexed="81"/>
            <rFont val="Tahoma"/>
            <charset val="1"/>
          </rPr>
          <t>Default:
1</t>
        </r>
      </text>
    </comment>
    <comment ref="D13" authorId="0" shapeId="0">
      <text>
        <r>
          <rPr>
            <b/>
            <sz val="9"/>
            <color indexed="81"/>
            <rFont val="Tahoma"/>
            <charset val="1"/>
          </rPr>
          <t>Default:
2</t>
        </r>
      </text>
    </comment>
    <comment ref="G13" authorId="0" shapeId="0">
      <text>
        <r>
          <rPr>
            <b/>
            <sz val="9"/>
            <color indexed="81"/>
            <rFont val="Tahoma"/>
            <charset val="1"/>
          </rPr>
          <t>Default:
2</t>
        </r>
      </text>
    </comment>
    <comment ref="J13" authorId="0" shapeId="0">
      <text>
        <r>
          <rPr>
            <b/>
            <sz val="9"/>
            <color indexed="81"/>
            <rFont val="Tahoma"/>
            <charset val="1"/>
          </rPr>
          <t>Default:
0</t>
        </r>
      </text>
    </comment>
    <comment ref="M13" authorId="0" shapeId="0">
      <text>
        <r>
          <rPr>
            <b/>
            <sz val="9"/>
            <color indexed="81"/>
            <rFont val="Tahoma"/>
            <charset val="1"/>
          </rPr>
          <t>Default:
2</t>
        </r>
      </text>
    </comment>
    <comment ref="P13" authorId="0" shapeId="0">
      <text>
        <r>
          <rPr>
            <b/>
            <sz val="9"/>
            <color indexed="81"/>
            <rFont val="Tahoma"/>
            <charset val="1"/>
          </rPr>
          <t>Default:
0</t>
        </r>
      </text>
    </comment>
    <comment ref="S13" authorId="0" shapeId="0">
      <text>
        <r>
          <rPr>
            <b/>
            <sz val="9"/>
            <color indexed="81"/>
            <rFont val="Tahoma"/>
            <charset val="1"/>
          </rPr>
          <t>Default:
0</t>
        </r>
      </text>
    </comment>
    <comment ref="V13" authorId="0" shapeId="0">
      <text>
        <r>
          <rPr>
            <b/>
            <sz val="9"/>
            <color indexed="81"/>
            <rFont val="Tahoma"/>
            <charset val="1"/>
          </rPr>
          <t>Default:
0</t>
        </r>
      </text>
    </comment>
    <comment ref="Y13" authorId="0" shapeId="0">
      <text>
        <r>
          <rPr>
            <b/>
            <sz val="9"/>
            <color indexed="81"/>
            <rFont val="Tahoma"/>
            <charset val="1"/>
          </rPr>
          <t>Default:
0</t>
        </r>
      </text>
    </comment>
    <comment ref="AB13" authorId="0" shapeId="0">
      <text>
        <r>
          <rPr>
            <b/>
            <sz val="9"/>
            <color indexed="81"/>
            <rFont val="Tahoma"/>
            <charset val="1"/>
          </rPr>
          <t>Default:
1</t>
        </r>
      </text>
    </comment>
    <comment ref="AE13" authorId="0" shapeId="0">
      <text>
        <r>
          <rPr>
            <b/>
            <sz val="9"/>
            <color indexed="81"/>
            <rFont val="Tahoma"/>
            <charset val="1"/>
          </rPr>
          <t>Default:
1</t>
        </r>
      </text>
    </comment>
    <comment ref="D14" authorId="0" shapeId="0">
      <text>
        <r>
          <rPr>
            <b/>
            <sz val="9"/>
            <color indexed="81"/>
            <rFont val="Tahoma"/>
            <charset val="1"/>
          </rPr>
          <t>Default:
0</t>
        </r>
      </text>
    </comment>
    <comment ref="G14" authorId="0" shapeId="0">
      <text>
        <r>
          <rPr>
            <b/>
            <sz val="9"/>
            <color indexed="81"/>
            <rFont val="Tahoma"/>
            <charset val="1"/>
          </rPr>
          <t>Default:
0</t>
        </r>
      </text>
    </comment>
    <comment ref="J14" authorId="0" shapeId="0">
      <text>
        <r>
          <rPr>
            <b/>
            <sz val="9"/>
            <color indexed="81"/>
            <rFont val="Tahoma"/>
            <charset val="1"/>
          </rPr>
          <t>Default:
0</t>
        </r>
      </text>
    </comment>
    <comment ref="M14" authorId="0" shapeId="0">
      <text>
        <r>
          <rPr>
            <b/>
            <sz val="9"/>
            <color indexed="81"/>
            <rFont val="Tahoma"/>
            <charset val="1"/>
          </rPr>
          <t>Default:
0</t>
        </r>
      </text>
    </comment>
    <comment ref="P14" authorId="0" shapeId="0">
      <text>
        <r>
          <rPr>
            <b/>
            <sz val="9"/>
            <color indexed="81"/>
            <rFont val="Tahoma"/>
            <charset val="1"/>
          </rPr>
          <t>Default:
0</t>
        </r>
      </text>
    </comment>
    <comment ref="S14" authorId="0" shapeId="0">
      <text>
        <r>
          <rPr>
            <b/>
            <sz val="9"/>
            <color indexed="81"/>
            <rFont val="Tahoma"/>
            <charset val="1"/>
          </rPr>
          <t>Default:
0</t>
        </r>
      </text>
    </comment>
    <comment ref="V14" authorId="0" shapeId="0">
      <text>
        <r>
          <rPr>
            <b/>
            <sz val="9"/>
            <color indexed="81"/>
            <rFont val="Tahoma"/>
            <charset val="1"/>
          </rPr>
          <t>Default:
0</t>
        </r>
      </text>
    </comment>
    <comment ref="Y14" authorId="0" shapeId="0">
      <text>
        <r>
          <rPr>
            <b/>
            <sz val="9"/>
            <color indexed="81"/>
            <rFont val="Tahoma"/>
            <charset val="1"/>
          </rPr>
          <t>Default:
0</t>
        </r>
      </text>
    </comment>
    <comment ref="AB14" authorId="0" shapeId="0">
      <text>
        <r>
          <rPr>
            <b/>
            <sz val="9"/>
            <color indexed="81"/>
            <rFont val="Tahoma"/>
            <charset val="1"/>
          </rPr>
          <t>Default:
2</t>
        </r>
      </text>
    </comment>
    <comment ref="AE14" authorId="0" shapeId="0">
      <text>
        <r>
          <rPr>
            <b/>
            <sz val="9"/>
            <color indexed="81"/>
            <rFont val="Tahoma"/>
            <charset val="1"/>
          </rPr>
          <t>Default:
2</t>
        </r>
      </text>
    </comment>
    <comment ref="D15" authorId="0" shapeId="0">
      <text>
        <r>
          <rPr>
            <b/>
            <sz val="9"/>
            <color indexed="81"/>
            <rFont val="Tahoma"/>
            <charset val="1"/>
          </rPr>
          <t>Default:
0</t>
        </r>
      </text>
    </comment>
    <comment ref="G15" authorId="0" shapeId="0">
      <text>
        <r>
          <rPr>
            <b/>
            <sz val="9"/>
            <color indexed="81"/>
            <rFont val="Tahoma"/>
            <charset val="1"/>
          </rPr>
          <t>Default:
0</t>
        </r>
      </text>
    </comment>
    <comment ref="J15" authorId="0" shapeId="0">
      <text>
        <r>
          <rPr>
            <b/>
            <sz val="9"/>
            <color indexed="81"/>
            <rFont val="Tahoma"/>
            <charset val="1"/>
          </rPr>
          <t>Default:
0</t>
        </r>
      </text>
    </comment>
    <comment ref="M15" authorId="0" shapeId="0">
      <text>
        <r>
          <rPr>
            <b/>
            <sz val="9"/>
            <color indexed="81"/>
            <rFont val="Tahoma"/>
            <charset val="1"/>
          </rPr>
          <t>Default:
0</t>
        </r>
      </text>
    </comment>
    <comment ref="P15" authorId="0" shapeId="0">
      <text>
        <r>
          <rPr>
            <b/>
            <sz val="9"/>
            <color indexed="81"/>
            <rFont val="Tahoma"/>
            <charset val="1"/>
          </rPr>
          <t>Default:
1</t>
        </r>
      </text>
    </comment>
    <comment ref="S15" authorId="0" shapeId="0">
      <text>
        <r>
          <rPr>
            <b/>
            <sz val="9"/>
            <color indexed="81"/>
            <rFont val="Tahoma"/>
            <charset val="1"/>
          </rPr>
          <t>Default:
0</t>
        </r>
      </text>
    </comment>
    <comment ref="V15" authorId="0" shapeId="0">
      <text>
        <r>
          <rPr>
            <b/>
            <sz val="9"/>
            <color indexed="81"/>
            <rFont val="Tahoma"/>
            <charset val="1"/>
          </rPr>
          <t>Default:
0</t>
        </r>
      </text>
    </comment>
    <comment ref="Y15" authorId="0" shapeId="0">
      <text>
        <r>
          <rPr>
            <b/>
            <sz val="9"/>
            <color indexed="81"/>
            <rFont val="Tahoma"/>
            <charset val="1"/>
          </rPr>
          <t>Default:
0</t>
        </r>
      </text>
    </comment>
    <comment ref="AB15" authorId="0" shapeId="0">
      <text>
        <r>
          <rPr>
            <b/>
            <sz val="9"/>
            <color indexed="81"/>
            <rFont val="Tahoma"/>
            <charset val="1"/>
          </rPr>
          <t>Default:
0</t>
        </r>
      </text>
    </comment>
    <comment ref="AE15" authorId="0" shapeId="0">
      <text>
        <r>
          <rPr>
            <b/>
            <sz val="9"/>
            <color indexed="81"/>
            <rFont val="Tahoma"/>
            <charset val="1"/>
          </rPr>
          <t>Default:
0</t>
        </r>
      </text>
    </comment>
    <comment ref="D16" authorId="0" shapeId="0">
      <text>
        <r>
          <rPr>
            <b/>
            <sz val="9"/>
            <color indexed="81"/>
            <rFont val="Tahoma"/>
            <charset val="1"/>
          </rPr>
          <t>Default:
0</t>
        </r>
      </text>
    </comment>
    <comment ref="G16" authorId="0" shapeId="0">
      <text>
        <r>
          <rPr>
            <b/>
            <sz val="9"/>
            <color indexed="81"/>
            <rFont val="Tahoma"/>
            <charset val="1"/>
          </rPr>
          <t>Default:
0</t>
        </r>
      </text>
    </comment>
    <comment ref="J16" authorId="0" shapeId="0">
      <text>
        <r>
          <rPr>
            <b/>
            <sz val="9"/>
            <color indexed="81"/>
            <rFont val="Tahoma"/>
            <charset val="1"/>
          </rPr>
          <t>Default:
0</t>
        </r>
      </text>
    </comment>
    <comment ref="M16" authorId="0" shapeId="0">
      <text>
        <r>
          <rPr>
            <b/>
            <sz val="9"/>
            <color indexed="81"/>
            <rFont val="Tahoma"/>
            <charset val="1"/>
          </rPr>
          <t>Default:
0</t>
        </r>
      </text>
    </comment>
    <comment ref="P16" authorId="0" shapeId="0">
      <text>
        <r>
          <rPr>
            <b/>
            <sz val="9"/>
            <color indexed="81"/>
            <rFont val="Tahoma"/>
            <charset val="1"/>
          </rPr>
          <t>Default:
0</t>
        </r>
      </text>
    </comment>
    <comment ref="S16" authorId="0" shapeId="0">
      <text>
        <r>
          <rPr>
            <b/>
            <sz val="9"/>
            <color indexed="81"/>
            <rFont val="Tahoma"/>
            <charset val="1"/>
          </rPr>
          <t>Default:
0</t>
        </r>
      </text>
    </comment>
    <comment ref="V16" authorId="0" shapeId="0">
      <text>
        <r>
          <rPr>
            <b/>
            <sz val="9"/>
            <color indexed="81"/>
            <rFont val="Tahoma"/>
            <charset val="1"/>
          </rPr>
          <t>Default:
0</t>
        </r>
      </text>
    </comment>
    <comment ref="Y16" authorId="0" shapeId="0">
      <text>
        <r>
          <rPr>
            <b/>
            <sz val="9"/>
            <color indexed="81"/>
            <rFont val="Tahoma"/>
            <charset val="1"/>
          </rPr>
          <t>Default:
0</t>
        </r>
      </text>
    </comment>
    <comment ref="AB16" authorId="0" shapeId="0">
      <text>
        <r>
          <rPr>
            <b/>
            <sz val="9"/>
            <color indexed="81"/>
            <rFont val="Tahoma"/>
            <charset val="1"/>
          </rPr>
          <t>Default:
0</t>
        </r>
      </text>
    </comment>
    <comment ref="AE16" authorId="0" shapeId="0">
      <text>
        <r>
          <rPr>
            <b/>
            <sz val="9"/>
            <color indexed="81"/>
            <rFont val="Tahoma"/>
            <charset val="1"/>
          </rPr>
          <t>Default:
0</t>
        </r>
      </text>
    </comment>
    <comment ref="Y17" authorId="0" shapeId="0">
      <text>
        <r>
          <rPr>
            <b/>
            <sz val="9"/>
            <color indexed="81"/>
            <rFont val="Tahoma"/>
            <charset val="1"/>
          </rPr>
          <t>Default:
1</t>
        </r>
      </text>
    </comment>
    <comment ref="D18" authorId="0" shapeId="0">
      <text>
        <r>
          <rPr>
            <b/>
            <sz val="9"/>
            <color indexed="81"/>
            <rFont val="Tahoma"/>
            <charset val="1"/>
          </rPr>
          <t>Default:
1</t>
        </r>
      </text>
    </comment>
    <comment ref="G18" authorId="0" shapeId="0">
      <text>
        <r>
          <rPr>
            <b/>
            <sz val="9"/>
            <color indexed="81"/>
            <rFont val="Tahoma"/>
            <charset val="1"/>
          </rPr>
          <t>Default:
1</t>
        </r>
      </text>
    </comment>
    <comment ref="J18" authorId="0" shapeId="0">
      <text>
        <r>
          <rPr>
            <b/>
            <sz val="9"/>
            <color indexed="81"/>
            <rFont val="Tahoma"/>
            <charset val="1"/>
          </rPr>
          <t>Default:
1</t>
        </r>
      </text>
    </comment>
    <comment ref="M18" authorId="0" shapeId="0">
      <text>
        <r>
          <rPr>
            <b/>
            <sz val="9"/>
            <color indexed="81"/>
            <rFont val="Tahoma"/>
            <charset val="1"/>
          </rPr>
          <t>Default:
1</t>
        </r>
      </text>
    </comment>
    <comment ref="P18" authorId="0" shapeId="0">
      <text>
        <r>
          <rPr>
            <b/>
            <sz val="9"/>
            <color indexed="81"/>
            <rFont val="Tahoma"/>
            <charset val="1"/>
          </rPr>
          <t>Default:
1</t>
        </r>
      </text>
    </comment>
    <comment ref="S18" authorId="0" shapeId="0">
      <text>
        <r>
          <rPr>
            <b/>
            <sz val="9"/>
            <color indexed="81"/>
            <rFont val="Tahoma"/>
            <charset val="1"/>
          </rPr>
          <t>Default:
1</t>
        </r>
      </text>
    </comment>
    <comment ref="V18" authorId="0" shapeId="0">
      <text>
        <r>
          <rPr>
            <b/>
            <sz val="9"/>
            <color indexed="81"/>
            <rFont val="Tahoma"/>
            <charset val="1"/>
          </rPr>
          <t>Default:
1</t>
        </r>
      </text>
    </comment>
    <comment ref="Y18" authorId="0" shapeId="0">
      <text>
        <r>
          <rPr>
            <b/>
            <sz val="9"/>
            <color indexed="81"/>
            <rFont val="Tahoma"/>
            <charset val="1"/>
          </rPr>
          <t>Default:
1</t>
        </r>
      </text>
    </comment>
    <comment ref="AB18" authorId="0" shapeId="0">
      <text>
        <r>
          <rPr>
            <b/>
            <sz val="9"/>
            <color indexed="81"/>
            <rFont val="Tahoma"/>
            <charset val="1"/>
          </rPr>
          <t>Default:
1</t>
        </r>
      </text>
    </comment>
    <comment ref="AE18" authorId="0" shapeId="0">
      <text>
        <r>
          <rPr>
            <b/>
            <sz val="9"/>
            <color indexed="81"/>
            <rFont val="Tahoma"/>
            <charset val="1"/>
          </rPr>
          <t>Default:
1</t>
        </r>
      </text>
    </comment>
    <comment ref="D19" authorId="0" shapeId="0">
      <text>
        <r>
          <rPr>
            <b/>
            <sz val="9"/>
            <color indexed="81"/>
            <rFont val="Tahoma"/>
            <charset val="1"/>
          </rPr>
          <t>Default:
1</t>
        </r>
      </text>
    </comment>
    <comment ref="G19" authorId="0" shapeId="0">
      <text>
        <r>
          <rPr>
            <b/>
            <sz val="9"/>
            <color indexed="81"/>
            <rFont val="Tahoma"/>
            <charset val="1"/>
          </rPr>
          <t>Default:
1</t>
        </r>
      </text>
    </comment>
    <comment ref="J19" authorId="0" shapeId="0">
      <text>
        <r>
          <rPr>
            <b/>
            <sz val="9"/>
            <color indexed="81"/>
            <rFont val="Tahoma"/>
            <charset val="1"/>
          </rPr>
          <t>Default:
1</t>
        </r>
      </text>
    </comment>
    <comment ref="M19" authorId="0" shapeId="0">
      <text>
        <r>
          <rPr>
            <b/>
            <sz val="9"/>
            <color indexed="81"/>
            <rFont val="Tahoma"/>
            <charset val="1"/>
          </rPr>
          <t>Default:
1</t>
        </r>
      </text>
    </comment>
    <comment ref="P19" authorId="0" shapeId="0">
      <text>
        <r>
          <rPr>
            <b/>
            <sz val="9"/>
            <color indexed="81"/>
            <rFont val="Tahoma"/>
            <charset val="1"/>
          </rPr>
          <t>Default:
1</t>
        </r>
      </text>
    </comment>
    <comment ref="S19" authorId="0" shapeId="0">
      <text>
        <r>
          <rPr>
            <b/>
            <sz val="9"/>
            <color indexed="81"/>
            <rFont val="Tahoma"/>
            <charset val="1"/>
          </rPr>
          <t>Default:
1</t>
        </r>
      </text>
    </comment>
    <comment ref="V19" authorId="0" shapeId="0">
      <text>
        <r>
          <rPr>
            <b/>
            <sz val="9"/>
            <color indexed="81"/>
            <rFont val="Tahoma"/>
            <charset val="1"/>
          </rPr>
          <t>Default:
1</t>
        </r>
      </text>
    </comment>
    <comment ref="Y19" authorId="0" shapeId="0">
      <text>
        <r>
          <rPr>
            <b/>
            <sz val="9"/>
            <color indexed="81"/>
            <rFont val="Tahoma"/>
            <charset val="1"/>
          </rPr>
          <t>Default:
1</t>
        </r>
      </text>
    </comment>
    <comment ref="AB19" authorId="0" shapeId="0">
      <text>
        <r>
          <rPr>
            <b/>
            <sz val="9"/>
            <color indexed="81"/>
            <rFont val="Tahoma"/>
            <charset val="1"/>
          </rPr>
          <t>Default:
1</t>
        </r>
      </text>
    </comment>
    <comment ref="AE19" authorId="0" shapeId="0">
      <text>
        <r>
          <rPr>
            <b/>
            <sz val="9"/>
            <color indexed="81"/>
            <rFont val="Tahoma"/>
            <charset val="1"/>
          </rPr>
          <t>Default:
1</t>
        </r>
      </text>
    </comment>
    <comment ref="D20" authorId="0" shapeId="0">
      <text>
        <r>
          <rPr>
            <b/>
            <sz val="9"/>
            <color indexed="81"/>
            <rFont val="Tahoma"/>
            <charset val="1"/>
          </rPr>
          <t>Default:
1</t>
        </r>
      </text>
    </comment>
    <comment ref="G20" authorId="0" shapeId="0">
      <text>
        <r>
          <rPr>
            <b/>
            <sz val="9"/>
            <color indexed="81"/>
            <rFont val="Tahoma"/>
            <charset val="1"/>
          </rPr>
          <t>Default:
1</t>
        </r>
      </text>
    </comment>
    <comment ref="J20" authorId="0" shapeId="0">
      <text>
        <r>
          <rPr>
            <b/>
            <sz val="9"/>
            <color indexed="81"/>
            <rFont val="Tahoma"/>
            <charset val="1"/>
          </rPr>
          <t>Default:
1</t>
        </r>
      </text>
    </comment>
    <comment ref="M20" authorId="0" shapeId="0">
      <text>
        <r>
          <rPr>
            <b/>
            <sz val="9"/>
            <color indexed="81"/>
            <rFont val="Tahoma"/>
            <charset val="1"/>
          </rPr>
          <t>Default:
1</t>
        </r>
      </text>
    </comment>
    <comment ref="P20" authorId="0" shapeId="0">
      <text>
        <r>
          <rPr>
            <b/>
            <sz val="9"/>
            <color indexed="81"/>
            <rFont val="Tahoma"/>
            <charset val="1"/>
          </rPr>
          <t>Default:
1</t>
        </r>
      </text>
    </comment>
    <comment ref="S20" authorId="0" shapeId="0">
      <text>
        <r>
          <rPr>
            <b/>
            <sz val="9"/>
            <color indexed="81"/>
            <rFont val="Tahoma"/>
            <charset val="1"/>
          </rPr>
          <t>Default:
1</t>
        </r>
      </text>
    </comment>
    <comment ref="V20" authorId="0" shapeId="0">
      <text>
        <r>
          <rPr>
            <b/>
            <sz val="9"/>
            <color indexed="81"/>
            <rFont val="Tahoma"/>
            <charset val="1"/>
          </rPr>
          <t>Default:
1</t>
        </r>
      </text>
    </comment>
    <comment ref="Y20" authorId="0" shapeId="0">
      <text>
        <r>
          <rPr>
            <b/>
            <sz val="9"/>
            <color indexed="81"/>
            <rFont val="Tahoma"/>
            <charset val="1"/>
          </rPr>
          <t>Default:
1</t>
        </r>
      </text>
    </comment>
    <comment ref="AB20" authorId="0" shapeId="0">
      <text>
        <r>
          <rPr>
            <b/>
            <sz val="9"/>
            <color indexed="81"/>
            <rFont val="Tahoma"/>
            <charset val="1"/>
          </rPr>
          <t>Default:
1</t>
        </r>
      </text>
    </comment>
    <comment ref="AE20" authorId="0" shapeId="0">
      <text>
        <r>
          <rPr>
            <b/>
            <sz val="9"/>
            <color indexed="81"/>
            <rFont val="Tahoma"/>
            <charset val="1"/>
          </rPr>
          <t>Default:
1</t>
        </r>
      </text>
    </comment>
    <comment ref="D21" authorId="0" shapeId="0">
      <text>
        <r>
          <rPr>
            <b/>
            <sz val="9"/>
            <color indexed="81"/>
            <rFont val="Tahoma"/>
            <charset val="1"/>
          </rPr>
          <t>Default:
1</t>
        </r>
      </text>
    </comment>
    <comment ref="G21" authorId="0" shapeId="0">
      <text>
        <r>
          <rPr>
            <b/>
            <sz val="9"/>
            <color indexed="81"/>
            <rFont val="Tahoma"/>
            <charset val="1"/>
          </rPr>
          <t>Default:
1</t>
        </r>
      </text>
    </comment>
    <comment ref="J21" authorId="0" shapeId="0">
      <text>
        <r>
          <rPr>
            <b/>
            <sz val="9"/>
            <color indexed="81"/>
            <rFont val="Tahoma"/>
            <charset val="1"/>
          </rPr>
          <t>Default:
1</t>
        </r>
      </text>
    </comment>
    <comment ref="M21" authorId="0" shapeId="0">
      <text>
        <r>
          <rPr>
            <b/>
            <sz val="9"/>
            <color indexed="81"/>
            <rFont val="Tahoma"/>
            <charset val="1"/>
          </rPr>
          <t>Default:
1</t>
        </r>
      </text>
    </comment>
    <comment ref="P21" authorId="0" shapeId="0">
      <text>
        <r>
          <rPr>
            <b/>
            <sz val="9"/>
            <color indexed="81"/>
            <rFont val="Tahoma"/>
            <charset val="1"/>
          </rPr>
          <t>Default:
1</t>
        </r>
      </text>
    </comment>
    <comment ref="S21" authorId="0" shapeId="0">
      <text>
        <r>
          <rPr>
            <b/>
            <sz val="9"/>
            <color indexed="81"/>
            <rFont val="Tahoma"/>
            <charset val="1"/>
          </rPr>
          <t>Default:
1</t>
        </r>
      </text>
    </comment>
    <comment ref="V21" authorId="0" shapeId="0">
      <text>
        <r>
          <rPr>
            <b/>
            <sz val="9"/>
            <color indexed="81"/>
            <rFont val="Tahoma"/>
            <charset val="1"/>
          </rPr>
          <t>Default:
1</t>
        </r>
      </text>
    </comment>
    <comment ref="Y21" authorId="0" shapeId="0">
      <text>
        <r>
          <rPr>
            <b/>
            <sz val="9"/>
            <color indexed="81"/>
            <rFont val="Tahoma"/>
            <charset val="1"/>
          </rPr>
          <t>Default:
1</t>
        </r>
      </text>
    </comment>
    <comment ref="AB21" authorId="0" shapeId="0">
      <text>
        <r>
          <rPr>
            <b/>
            <sz val="9"/>
            <color indexed="81"/>
            <rFont val="Tahoma"/>
            <charset val="1"/>
          </rPr>
          <t>Default:
1</t>
        </r>
      </text>
    </comment>
    <comment ref="AE21" authorId="0" shapeId="0">
      <text>
        <r>
          <rPr>
            <b/>
            <sz val="9"/>
            <color indexed="81"/>
            <rFont val="Tahoma"/>
            <charset val="1"/>
          </rPr>
          <t>Default:
1</t>
        </r>
      </text>
    </comment>
  </commentList>
</comments>
</file>

<file path=xl/comments30.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31.xml><?xml version="1.0" encoding="utf-8"?>
<comments xmlns="http://schemas.openxmlformats.org/spreadsheetml/2006/main">
  <authors>
    <author>Sensei</author>
    <author xml:space="preserve"> </author>
    <author>aaron hoshide</author>
    <author>REP</author>
  </authors>
  <commentList>
    <comment ref="C9" authorId="0" shapeId="0">
      <text>
        <r>
          <rPr>
            <b/>
            <sz val="9"/>
            <color indexed="81"/>
            <rFont val="Tahoma"/>
            <family val="2"/>
          </rPr>
          <t>Same as wheat according to Tom Molloy</t>
        </r>
      </text>
    </comment>
    <comment ref="F9" authorId="0" shapeId="0">
      <text>
        <r>
          <rPr>
            <b/>
            <sz val="9"/>
            <color indexed="81"/>
            <rFont val="Tahoma"/>
            <family val="2"/>
          </rPr>
          <t>From Tom Molloy
=35/50
0.7</t>
        </r>
      </text>
    </comment>
    <comment ref="F10" authorId="1" shapeId="0">
      <text>
        <r>
          <rPr>
            <sz val="8"/>
            <color indexed="81"/>
            <rFont val="Tahoma"/>
            <family val="2"/>
          </rPr>
          <t>Use 2007-09 US average price for red clover:
1.31333333333333
Old value of 1.2</t>
        </r>
      </text>
    </comment>
    <comment ref="K10" authorId="2" shapeId="0">
      <text>
        <r>
          <rPr>
            <sz val="8"/>
            <color indexed="81"/>
            <rFont val="Tahoma"/>
            <family val="2"/>
          </rPr>
          <t>Assume same seeding rate as conventional potato farms from IFAFS project.</t>
        </r>
      </text>
    </comment>
    <comment ref="L10" authorId="1" shapeId="0">
      <text>
        <r>
          <rPr>
            <sz val="8"/>
            <color indexed="81"/>
            <rFont val="Tahoma"/>
            <family val="2"/>
          </rPr>
          <t>Use 2007-09 US average price for red clover:
1.31333333333333
Old value of 1.2</t>
        </r>
      </text>
    </comment>
    <comment ref="F11" authorId="0" shapeId="0">
      <text>
        <r>
          <rPr>
            <b/>
            <sz val="9"/>
            <color indexed="81"/>
            <rFont val="Tahoma"/>
            <family val="2"/>
          </rPr>
          <t>From Tom Molloy</t>
        </r>
      </text>
    </comment>
    <comment ref="L11" authorId="0" shapeId="0">
      <text>
        <r>
          <rPr>
            <b/>
            <sz val="9"/>
            <color indexed="81"/>
            <rFont val="Tahoma"/>
            <family val="2"/>
          </rPr>
          <t>From Tom Molloy</t>
        </r>
      </text>
    </comment>
    <comment ref="C14" authorId="3" shapeId="0">
      <text>
        <r>
          <rPr>
            <sz val="8"/>
            <color indexed="81"/>
            <rFont val="Tahoma"/>
            <family val="2"/>
          </rPr>
          <t xml:space="preserve">Old value from IFAFS (=IF('Key Data'!G104=0, 37/2000, 146.67/2000)).
Assume same as barley. Coupled model assumes need 37 lb/acre of urea 34-0-0 based on MPEP data for long term integrated (147 lb/acre for short term integrated)
</t>
        </r>
      </text>
    </comment>
    <comment ref="F14" authorId="3" shapeId="0">
      <text>
        <r>
          <rPr>
            <sz val="8"/>
            <color indexed="81"/>
            <rFont val="Tahoma"/>
            <family val="2"/>
          </rPr>
          <t>Assume percent increase in price for this. Old price of urea side dress for conventional dairy at $230/ton.
Old value:
=230+(230*'Key Data'!$F$71)</t>
        </r>
      </text>
    </comment>
    <comment ref="C15" authorId="3" shapeId="0">
      <text>
        <r>
          <rPr>
            <sz val="8"/>
            <color indexed="81"/>
            <rFont val="Tahoma"/>
            <family val="2"/>
          </rPr>
          <t>Assume same as barley. Coupled model assumes need 5 lb/acre of urea 34-0-0 based on MPEP data for long term integrated (46 lb/acre for short term integrated)</t>
        </r>
      </text>
    </comment>
    <comment ref="F15" authorId="3" shapeId="0">
      <text>
        <r>
          <rPr>
            <sz val="8"/>
            <color indexed="81"/>
            <rFont val="Tahoma"/>
            <family val="2"/>
          </rPr>
          <t>Assume percent increase in price for this. Old price of urea side dress for conventional dairy at $230/ton.
Old value:
=230+(230*'Key Data'!$F$71)</t>
        </r>
      </text>
    </comment>
    <comment ref="A16" authorId="0" shapeId="0">
      <text>
        <r>
          <rPr>
            <b/>
            <sz val="9"/>
            <color indexed="81"/>
            <rFont val="Tahoma"/>
            <family val="2"/>
          </rPr>
          <t>Chicken Manure - 60lb of N per acre</t>
        </r>
        <r>
          <rPr>
            <sz val="9"/>
            <color indexed="81"/>
            <rFont val="Tahoma"/>
            <family val="2"/>
          </rPr>
          <t xml:space="preserve">
</t>
        </r>
      </text>
    </comment>
    <comment ref="B16" authorId="0" shapeId="0">
      <text>
        <r>
          <rPr>
            <b/>
            <sz val="9"/>
            <color indexed="81"/>
            <rFont val="Tahoma"/>
            <family val="2"/>
          </rPr>
          <t>Spring and winter grains ALL get chicken manure just different time of application</t>
        </r>
      </text>
    </comment>
    <comment ref="C16" authorId="0" shapeId="0">
      <text>
        <r>
          <rPr>
            <b/>
            <sz val="9"/>
            <color indexed="81"/>
            <rFont val="Tahoma"/>
            <family val="2"/>
          </rPr>
          <t>From Tom Molloy</t>
        </r>
        <r>
          <rPr>
            <sz val="9"/>
            <color indexed="81"/>
            <rFont val="Tahoma"/>
            <family val="2"/>
          </rPr>
          <t xml:space="preserve">
</t>
        </r>
      </text>
    </comment>
    <comment ref="F16" authorId="0" shapeId="0">
      <text>
        <r>
          <rPr>
            <b/>
            <sz val="9"/>
            <color indexed="81"/>
            <rFont val="Tahoma"/>
            <family val="2"/>
          </rPr>
          <t>From Tom Molloy</t>
        </r>
      </text>
    </comment>
    <comment ref="B18" authorId="0" shapeId="0">
      <text>
        <r>
          <rPr>
            <b/>
            <sz val="9"/>
            <color indexed="81"/>
            <rFont val="Tahoma"/>
            <family val="2"/>
          </rPr>
          <t>Only used for winter wheat. Possible to use this for this crop but unlikely.</t>
        </r>
      </text>
    </comment>
    <comment ref="F18" authorId="0" shapeId="0">
      <text>
        <r>
          <rPr>
            <b/>
            <sz val="9"/>
            <color indexed="81"/>
            <rFont val="Tahoma"/>
            <family val="2"/>
          </rPr>
          <t>Pay $1,200 for 1 ton (2,000 lb)
=1200/2000
0.60</t>
        </r>
      </text>
    </comment>
    <comment ref="B19" authorId="0" shapeId="0">
      <text>
        <r>
          <rPr>
            <b/>
            <sz val="9"/>
            <color indexed="81"/>
            <rFont val="Tahoma"/>
            <family val="2"/>
          </rPr>
          <t>Default:
0</t>
        </r>
      </text>
    </comment>
    <comment ref="C19" authorId="1" shapeId="0">
      <text>
        <r>
          <rPr>
            <b/>
            <sz val="8"/>
            <color indexed="81"/>
            <rFont val="Tahoma"/>
            <family val="2"/>
          </rPr>
          <t>Old value:
=limeapp
Old value of 0.61 (=0.6065).</t>
        </r>
      </text>
    </comment>
    <comment ref="F19" authorId="0" shapeId="0">
      <text>
        <r>
          <rPr>
            <b/>
            <sz val="9"/>
            <color indexed="81"/>
            <rFont val="Tahoma"/>
            <family val="2"/>
          </rPr>
          <t>Old value:
=lime</t>
        </r>
      </text>
    </comment>
    <comment ref="B26" authorId="0" shapeId="0">
      <text>
        <r>
          <rPr>
            <b/>
            <sz val="9"/>
            <color indexed="81"/>
            <rFont val="Tahoma"/>
            <family val="2"/>
          </rPr>
          <t>Default:
1</t>
        </r>
      </text>
    </comment>
    <comment ref="B27" authorId="0" shapeId="0">
      <text>
        <r>
          <rPr>
            <b/>
            <sz val="9"/>
            <color indexed="81"/>
            <rFont val="Tahoma"/>
            <family val="2"/>
          </rPr>
          <t>Default:
1</t>
        </r>
      </text>
    </comment>
    <comment ref="B28" authorId="0" shapeId="0">
      <text>
        <r>
          <rPr>
            <b/>
            <sz val="9"/>
            <color indexed="81"/>
            <rFont val="Tahoma"/>
            <family val="2"/>
          </rPr>
          <t>Default:
1</t>
        </r>
      </text>
    </comment>
    <comment ref="B29" authorId="0" shapeId="0">
      <text>
        <r>
          <rPr>
            <b/>
            <sz val="9"/>
            <color indexed="81"/>
            <rFont val="Tahoma"/>
            <family val="2"/>
          </rPr>
          <t>Default:
1</t>
        </r>
      </text>
    </comment>
    <comment ref="C30" authorId="1" shapeId="0">
      <text>
        <r>
          <rPr>
            <sz val="8"/>
            <color indexed="81"/>
            <rFont val="Tahoma"/>
            <family val="2"/>
          </rPr>
          <t>Old value of 0.283205812177919</t>
        </r>
      </text>
    </comment>
    <comment ref="C31" authorId="1" shapeId="0">
      <text>
        <r>
          <rPr>
            <sz val="8"/>
            <color indexed="81"/>
            <rFont val="Tahoma"/>
            <family val="2"/>
          </rPr>
          <t>Changed from broadcast urea</t>
        </r>
      </text>
    </comment>
    <comment ref="B33" authorId="0" shapeId="0">
      <text>
        <r>
          <rPr>
            <b/>
            <sz val="9"/>
            <color indexed="81"/>
            <rFont val="Tahoma"/>
            <family val="2"/>
          </rPr>
          <t>Default:
1</t>
        </r>
      </text>
    </comment>
    <comment ref="C33" authorId="1" shapeId="0">
      <text>
        <r>
          <rPr>
            <b/>
            <sz val="8"/>
            <color indexed="81"/>
            <rFont val="Tahoma"/>
            <family val="2"/>
          </rPr>
          <t>Old value of 0.0934185838781329</t>
        </r>
      </text>
    </comment>
    <comment ref="B34" authorId="0" shapeId="0">
      <text>
        <r>
          <rPr>
            <b/>
            <sz val="9"/>
            <color indexed="81"/>
            <rFont val="Tahoma"/>
            <family val="2"/>
          </rPr>
          <t>Default:
1</t>
        </r>
      </text>
    </comment>
    <comment ref="B35" authorId="0" shapeId="0">
      <text>
        <r>
          <rPr>
            <b/>
            <sz val="9"/>
            <color indexed="81"/>
            <rFont val="Tahoma"/>
            <family val="2"/>
          </rPr>
          <t>Default:
0</t>
        </r>
      </text>
    </comment>
    <comment ref="I35" authorId="0" shapeId="0">
      <text>
        <r>
          <rPr>
            <b/>
            <sz val="9"/>
            <color indexed="81"/>
            <rFont val="Tahoma"/>
            <charset val="1"/>
          </rPr>
          <t>Assumed as default number</t>
        </r>
      </text>
    </comment>
    <comment ref="B36" authorId="0" shapeId="0">
      <text>
        <r>
          <rPr>
            <b/>
            <sz val="9"/>
            <color indexed="81"/>
            <rFont val="Tahoma"/>
            <family val="2"/>
          </rPr>
          <t>Default:
0</t>
        </r>
      </text>
    </comment>
    <comment ref="B37" authorId="0" shapeId="0">
      <text>
        <r>
          <rPr>
            <b/>
            <sz val="9"/>
            <color indexed="81"/>
            <rFont val="Tahoma"/>
            <family val="2"/>
          </rPr>
          <t>Default:
1</t>
        </r>
      </text>
    </comment>
    <comment ref="B39" authorId="0" shapeId="0">
      <text>
        <r>
          <rPr>
            <b/>
            <sz val="9"/>
            <color indexed="81"/>
            <rFont val="Tahoma"/>
            <family val="2"/>
          </rPr>
          <t>Default:
0</t>
        </r>
      </text>
    </comment>
    <comment ref="B40" authorId="0" shapeId="0">
      <text>
        <r>
          <rPr>
            <b/>
            <sz val="9"/>
            <color indexed="81"/>
            <rFont val="Tahoma"/>
            <family val="2"/>
          </rPr>
          <t>Default:
1</t>
        </r>
      </text>
    </comment>
    <comment ref="B41" authorId="1" shapeId="0">
      <text>
        <r>
          <rPr>
            <sz val="8"/>
            <color indexed="81"/>
            <rFont val="Tahoma"/>
            <family val="2"/>
          </rPr>
          <t>Assume that there is no change for this since it takes the same time to pass over the field.</t>
        </r>
      </text>
    </comment>
    <comment ref="B42" authorId="0" shapeId="0">
      <text>
        <r>
          <rPr>
            <b/>
            <sz val="9"/>
            <color indexed="81"/>
            <rFont val="Tahoma"/>
            <family val="2"/>
          </rPr>
          <t>Default:
1</t>
        </r>
      </text>
    </comment>
    <comment ref="C42" authorId="1" shapeId="0">
      <text>
        <r>
          <rPr>
            <b/>
            <sz val="8"/>
            <color indexed="81"/>
            <rFont val="Tahoma"/>
            <family val="2"/>
          </rPr>
          <t>Assume adjust trucking in proportion to crop volume.</t>
        </r>
      </text>
    </comment>
    <comment ref="C45" authorId="1" shapeId="0">
      <text>
        <r>
          <rPr>
            <sz val="8"/>
            <color indexed="81"/>
            <rFont val="Tahoma"/>
            <family val="2"/>
          </rPr>
          <t>Assume 4/5 of square bale.</t>
        </r>
      </text>
    </comment>
    <comment ref="B46"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t>
        </r>
      </text>
    </comment>
    <comment ref="B50" authorId="1" shapeId="0">
      <text>
        <r>
          <rPr>
            <sz val="8"/>
            <color indexed="81"/>
            <rFont val="Tahoma"/>
            <family val="2"/>
          </rPr>
          <t>Assume that there is no change for this since it takes the same time to pass over the field.</t>
        </r>
      </text>
    </comment>
    <comment ref="C51" authorId="1" shapeId="0">
      <text>
        <r>
          <rPr>
            <sz val="8"/>
            <color indexed="81"/>
            <rFont val="Tahoma"/>
            <family val="2"/>
          </rPr>
          <t>Assume this.</t>
        </r>
      </text>
    </comment>
    <comment ref="B56" authorId="0" shapeId="0">
      <text>
        <r>
          <rPr>
            <b/>
            <sz val="9"/>
            <color indexed="81"/>
            <rFont val="Tahoma"/>
            <family val="2"/>
          </rPr>
          <t>Default:
1</t>
        </r>
      </text>
    </comment>
    <comment ref="J58" authorId="1" shapeId="0">
      <text>
        <r>
          <rPr>
            <b/>
            <sz val="8"/>
            <color indexed="81"/>
            <rFont val="Tahoma"/>
            <family val="2"/>
          </rPr>
          <t>Calculate this for wheat baseline of 500 bu x 60 lb/bu = 30,000 lb capacity.</t>
        </r>
      </text>
    </comment>
    <comment ref="N58" authorId="0" shapeId="0">
      <text>
        <r>
          <rPr>
            <b/>
            <sz val="9"/>
            <color indexed="81"/>
            <rFont val="Tahoma"/>
            <family val="2"/>
          </rPr>
          <t>Default:
500</t>
        </r>
      </text>
    </comment>
    <comment ref="B59" authorId="0" shapeId="0">
      <text>
        <r>
          <rPr>
            <b/>
            <sz val="9"/>
            <color indexed="81"/>
            <rFont val="Tahoma"/>
            <family val="2"/>
          </rPr>
          <t>Default:
1</t>
        </r>
      </text>
    </comment>
    <comment ref="C59" authorId="0" shapeId="0">
      <text>
        <r>
          <rPr>
            <b/>
            <sz val="9"/>
            <color indexed="81"/>
            <rFont val="Tahoma"/>
            <family val="2"/>
          </rPr>
          <t>Base hours to dry 3,300 bu of grain on Iowa State calculator ($422/$12.29). Adjust to total bushels produced.
=((422/12.29)*(SpltBudget!B13/3300))/spelt</t>
        </r>
      </text>
    </comment>
    <comment ref="J59" authorId="1" shapeId="0">
      <text>
        <r>
          <rPr>
            <b/>
            <sz val="8"/>
            <color indexed="81"/>
            <rFont val="Tahoma"/>
            <family val="2"/>
          </rPr>
          <t>Calculate this for wheat baseline of 1000 bu x 60 lb/bu = 60,000 lb capacity.</t>
        </r>
      </text>
    </comment>
    <comment ref="N59" authorId="0" shapeId="0">
      <text>
        <r>
          <rPr>
            <b/>
            <sz val="9"/>
            <color indexed="81"/>
            <rFont val="Tahoma"/>
            <family val="2"/>
          </rPr>
          <t>Default:
1,000</t>
        </r>
      </text>
    </comment>
    <comment ref="P62" authorId="1" shapeId="0">
      <text>
        <r>
          <rPr>
            <sz val="8"/>
            <color indexed="81"/>
            <rFont val="Tahoma"/>
            <family val="2"/>
          </rPr>
          <t>This is one way mileage since this is how freight and trucking is charged.</t>
        </r>
      </text>
    </comment>
    <comment ref="B63" authorId="0" shapeId="0">
      <text>
        <r>
          <rPr>
            <b/>
            <sz val="9"/>
            <color indexed="81"/>
            <rFont val="Tahoma"/>
            <family val="2"/>
          </rPr>
          <t>Consistent with old value of 1
Assume NOT close enough to not use truck</t>
        </r>
      </text>
    </comment>
    <comment ref="P63" authorId="0" shapeId="0">
      <text>
        <r>
          <rPr>
            <b/>
            <sz val="9"/>
            <color indexed="81"/>
            <rFont val="Tahoma"/>
            <family val="2"/>
          </rPr>
          <t>Default:
20</t>
        </r>
      </text>
    </comment>
    <comment ref="Q63" authorId="0" shapeId="0">
      <text>
        <r>
          <rPr>
            <b/>
            <sz val="9"/>
            <color indexed="81"/>
            <rFont val="Tahoma"/>
            <family val="2"/>
          </rPr>
          <t xml:space="preserve">Default:
40
</t>
        </r>
      </text>
    </comment>
    <comment ref="P64" authorId="0" shapeId="0">
      <text>
        <r>
          <rPr>
            <b/>
            <sz val="9"/>
            <color indexed="81"/>
            <rFont val="Tahoma"/>
            <family val="2"/>
          </rPr>
          <t>Default:
20</t>
        </r>
      </text>
    </comment>
    <comment ref="Q64" authorId="0" shapeId="0">
      <text>
        <r>
          <rPr>
            <b/>
            <sz val="9"/>
            <color indexed="81"/>
            <rFont val="Tahoma"/>
            <family val="2"/>
          </rPr>
          <t xml:space="preserve">Default:
40
</t>
        </r>
      </text>
    </comment>
    <comment ref="U64" authorId="0" shapeId="0">
      <text>
        <r>
          <rPr>
            <b/>
            <sz val="9"/>
            <color indexed="81"/>
            <rFont val="Tahoma"/>
            <family val="2"/>
          </rPr>
          <t>Default:
8</t>
        </r>
      </text>
    </comment>
    <comment ref="P65" authorId="0" shapeId="0">
      <text>
        <r>
          <rPr>
            <b/>
            <sz val="9"/>
            <color indexed="81"/>
            <rFont val="Tahoma"/>
            <family val="2"/>
          </rPr>
          <t>Default:
20</t>
        </r>
      </text>
    </comment>
    <comment ref="Q65" authorId="0" shapeId="0">
      <text>
        <r>
          <rPr>
            <b/>
            <sz val="9"/>
            <color indexed="81"/>
            <rFont val="Tahoma"/>
            <family val="2"/>
          </rPr>
          <t xml:space="preserve">Default:
40
</t>
        </r>
      </text>
    </comment>
    <comment ref="P67" authorId="1" shapeId="0">
      <text>
        <r>
          <rPr>
            <sz val="8"/>
            <color indexed="81"/>
            <rFont val="Tahoma"/>
            <family val="2"/>
          </rPr>
          <t>This is one way mileage since this is how freight and trucking is charged.</t>
        </r>
      </text>
    </comment>
    <comment ref="P68" authorId="0" shapeId="0">
      <text>
        <r>
          <rPr>
            <b/>
            <sz val="9"/>
            <color indexed="81"/>
            <rFont val="Tahoma"/>
            <family val="2"/>
          </rPr>
          <t>Default:
20</t>
        </r>
      </text>
    </comment>
    <comment ref="Q68" authorId="0" shapeId="0">
      <text>
        <r>
          <rPr>
            <b/>
            <sz val="9"/>
            <color indexed="81"/>
            <rFont val="Tahoma"/>
            <family val="2"/>
          </rPr>
          <t>Default:
40</t>
        </r>
      </text>
    </comment>
    <comment ref="P69" authorId="0" shapeId="0">
      <text>
        <r>
          <rPr>
            <b/>
            <sz val="9"/>
            <color indexed="81"/>
            <rFont val="Tahoma"/>
            <family val="2"/>
          </rPr>
          <t>Default:
20</t>
        </r>
      </text>
    </comment>
    <comment ref="Q69" authorId="0" shapeId="0">
      <text>
        <r>
          <rPr>
            <b/>
            <sz val="9"/>
            <color indexed="81"/>
            <rFont val="Tahoma"/>
            <family val="2"/>
          </rPr>
          <t>Default:
40</t>
        </r>
      </text>
    </comment>
    <comment ref="U69" authorId="1" shapeId="0">
      <text>
        <r>
          <rPr>
            <b/>
            <sz val="8"/>
            <color indexed="81"/>
            <rFont val="Tahoma"/>
            <family val="2"/>
          </rPr>
          <t>Default:
16
Assume double the capacity of truck</t>
        </r>
      </text>
    </comment>
    <comment ref="B70" authorId="0" shapeId="0">
      <text>
        <r>
          <rPr>
            <b/>
            <sz val="9"/>
            <color indexed="81"/>
            <rFont val="Tahoma"/>
            <family val="2"/>
          </rPr>
          <t>Old value of 1
Assume close enough to not use truck</t>
        </r>
      </text>
    </comment>
    <comment ref="P70" authorId="0" shapeId="0">
      <text>
        <r>
          <rPr>
            <b/>
            <sz val="9"/>
            <color indexed="81"/>
            <rFont val="Tahoma"/>
            <family val="2"/>
          </rPr>
          <t>Default:
20</t>
        </r>
      </text>
    </comment>
    <comment ref="Q70" authorId="0" shapeId="0">
      <text>
        <r>
          <rPr>
            <b/>
            <sz val="9"/>
            <color indexed="81"/>
            <rFont val="Tahoma"/>
            <family val="2"/>
          </rPr>
          <t>Default:
40</t>
        </r>
      </text>
    </comment>
    <comment ref="P73" authorId="0" shapeId="0">
      <text>
        <r>
          <rPr>
            <b/>
            <sz val="9"/>
            <color indexed="81"/>
            <rFont val="Tahoma"/>
            <family val="2"/>
          </rPr>
          <t>Default:
S: 100%
M: 100%
L: 0%</t>
        </r>
      </text>
    </comment>
    <comment ref="Q73" authorId="0" shapeId="0">
      <text>
        <r>
          <rPr>
            <b/>
            <sz val="9"/>
            <color indexed="81"/>
            <rFont val="Tahoma"/>
            <family val="2"/>
          </rPr>
          <t>Default:
S: 0%
M: 0%
L: 100%</t>
        </r>
      </text>
    </comment>
    <comment ref="P74" authorId="0" shapeId="0">
      <text>
        <r>
          <rPr>
            <b/>
            <sz val="9"/>
            <color indexed="81"/>
            <rFont val="Tahoma"/>
            <family val="2"/>
          </rPr>
          <t>Default:
S: 100%
M: 100%
L: 0%</t>
        </r>
      </text>
    </comment>
    <comment ref="Q74" authorId="0" shapeId="0">
      <text>
        <r>
          <rPr>
            <b/>
            <sz val="9"/>
            <color indexed="81"/>
            <rFont val="Tahoma"/>
            <family val="2"/>
          </rPr>
          <t>Default:
S: 0%
M: 0%
L: 100%</t>
        </r>
      </text>
    </comment>
    <comment ref="P75" authorId="0" shapeId="0">
      <text>
        <r>
          <rPr>
            <b/>
            <sz val="9"/>
            <color indexed="81"/>
            <rFont val="Tahoma"/>
            <family val="2"/>
          </rPr>
          <t>Default:
S: 100%
M: 100%
L: 0%</t>
        </r>
      </text>
    </comment>
    <comment ref="Q75" authorId="0" shapeId="0">
      <text>
        <r>
          <rPr>
            <b/>
            <sz val="9"/>
            <color indexed="81"/>
            <rFont val="Tahoma"/>
            <family val="2"/>
          </rPr>
          <t>Default:
S: 0%
M: 0%
L: 100%</t>
        </r>
      </text>
    </comment>
    <comment ref="B93" authorId="1" shapeId="0">
      <text>
        <r>
          <rPr>
            <sz val="8"/>
            <color indexed="81"/>
            <rFont val="Tahoma"/>
            <family val="2"/>
          </rPr>
          <t>Assume that there is no change for this since it takes the same time to pass over the field.</t>
        </r>
      </text>
    </comment>
    <comment ref="C94" authorId="1" shapeId="0">
      <text>
        <r>
          <rPr>
            <sz val="8"/>
            <color indexed="81"/>
            <rFont val="Tahoma"/>
            <family val="2"/>
          </rPr>
          <t>Assume adjust trucking in proportion to weight of crop yield.</t>
        </r>
      </text>
    </comment>
    <comment ref="C96" authorId="3" shapeId="0">
      <text>
        <r>
          <rPr>
            <sz val="8"/>
            <color indexed="81"/>
            <rFont val="Tahoma"/>
            <family val="2"/>
          </rPr>
          <t>Assume this is 10% of small dairy.  Old value of 0.05 gal.</t>
        </r>
      </text>
    </comment>
    <comment ref="C97" authorId="3" shapeId="0">
      <text>
        <r>
          <rPr>
            <sz val="8"/>
            <color indexed="81"/>
            <rFont val="Tahoma"/>
            <family val="2"/>
          </rPr>
          <t>Assume 0.75 gal/acre for round bales.</t>
        </r>
      </text>
    </comment>
    <comment ref="B98" authorId="1" shapeId="0">
      <text>
        <r>
          <rPr>
            <sz val="8"/>
            <color indexed="81"/>
            <rFont val="Tahoma"/>
            <family val="2"/>
          </rPr>
          <t>Assume that there is no change for this since it takes the same time to pass over the field.</t>
        </r>
      </text>
    </comment>
    <comment ref="C99" authorId="1" shapeId="0">
      <text>
        <r>
          <rPr>
            <sz val="8"/>
            <color indexed="81"/>
            <rFont val="Tahoma"/>
            <family val="2"/>
          </rPr>
          <t>Assume this.</t>
        </r>
      </text>
    </comment>
    <comment ref="C101" authorId="3" shapeId="0">
      <text>
        <r>
          <rPr>
            <sz val="8"/>
            <color indexed="81"/>
            <rFont val="Tahoma"/>
            <family val="2"/>
          </rPr>
          <t>Assume this is 10% of small dairy.  Old value of 0.16 gal.</t>
        </r>
      </text>
    </comment>
    <comment ref="B102" authorId="1" shapeId="0">
      <text>
        <r>
          <rPr>
            <sz val="8"/>
            <color indexed="81"/>
            <rFont val="Tahoma"/>
            <family val="2"/>
          </rPr>
          <t>Assume that there is no change for this since it takes the same time to pass over the field.</t>
        </r>
      </text>
    </comment>
    <comment ref="C105" authorId="3" shapeId="0">
      <text>
        <r>
          <rPr>
            <sz val="8"/>
            <color indexed="81"/>
            <rFont val="Tahoma"/>
            <family val="2"/>
          </rPr>
          <t>Assume this is 10% of small dairy.  Old value of 0.08 gal.</t>
        </r>
      </text>
    </comment>
    <comment ref="J110" authorId="1" shapeId="0">
      <text>
        <r>
          <rPr>
            <b/>
            <sz val="8"/>
            <color indexed="81"/>
            <rFont val="Tahoma"/>
            <family val="2"/>
          </rPr>
          <t>Calculate this for wheat baseline of 500 bu x 60 lb/bu = 30,000 lb capacity.</t>
        </r>
      </text>
    </comment>
    <comment ref="N110" authorId="0" shapeId="0">
      <text>
        <r>
          <rPr>
            <b/>
            <sz val="9"/>
            <color indexed="81"/>
            <rFont val="Tahoma"/>
            <family val="2"/>
          </rPr>
          <t>Default:
500</t>
        </r>
      </text>
    </comment>
    <comment ref="C111" authorId="1" shapeId="0">
      <text>
        <r>
          <rPr>
            <b/>
            <sz val="8"/>
            <color indexed="81"/>
            <rFont val="Tahoma"/>
            <family val="2"/>
          </rPr>
          <t>Assume this is zero.</t>
        </r>
      </text>
    </comment>
    <comment ref="J111" authorId="1" shapeId="0">
      <text>
        <r>
          <rPr>
            <b/>
            <sz val="8"/>
            <color indexed="81"/>
            <rFont val="Tahoma"/>
            <family val="2"/>
          </rPr>
          <t>Calculate this for wheat baseline of 1000 bu x 60 lb/bu = 60,000 lb capacity.</t>
        </r>
      </text>
    </comment>
    <comment ref="N111" authorId="0" shapeId="0">
      <text>
        <r>
          <rPr>
            <b/>
            <sz val="9"/>
            <color indexed="81"/>
            <rFont val="Tahoma"/>
            <family val="2"/>
          </rPr>
          <t>Default:
1,000</t>
        </r>
      </text>
    </comment>
    <comment ref="P114" authorId="1" shapeId="0">
      <text>
        <r>
          <rPr>
            <sz val="8"/>
            <color indexed="81"/>
            <rFont val="Tahoma"/>
            <family val="2"/>
          </rPr>
          <t>This is one way mileage since this is how freight and trucking is charged.</t>
        </r>
      </text>
    </comment>
    <comment ref="B115" authorId="0" shapeId="0">
      <text>
        <r>
          <rPr>
            <b/>
            <sz val="9"/>
            <color indexed="81"/>
            <rFont val="Tahoma"/>
            <family val="2"/>
          </rPr>
          <t>Consistent with old value of 1
Assume NOT close enough to not use truck</t>
        </r>
      </text>
    </comment>
    <comment ref="P115" authorId="0" shapeId="0">
      <text>
        <r>
          <rPr>
            <b/>
            <sz val="9"/>
            <color indexed="81"/>
            <rFont val="Tahoma"/>
            <family val="2"/>
          </rPr>
          <t>Default:
20</t>
        </r>
      </text>
    </comment>
    <comment ref="Q115" authorId="0" shapeId="0">
      <text>
        <r>
          <rPr>
            <b/>
            <sz val="9"/>
            <color indexed="81"/>
            <rFont val="Tahoma"/>
            <family val="2"/>
          </rPr>
          <t>Default:
15</t>
        </r>
      </text>
    </comment>
    <comment ref="P116" authorId="0" shapeId="0">
      <text>
        <r>
          <rPr>
            <b/>
            <sz val="9"/>
            <color indexed="81"/>
            <rFont val="Tahoma"/>
            <family val="2"/>
          </rPr>
          <t>Default:
20</t>
        </r>
      </text>
    </comment>
    <comment ref="Q116" authorId="0" shapeId="0">
      <text>
        <r>
          <rPr>
            <b/>
            <sz val="9"/>
            <color indexed="81"/>
            <rFont val="Tahoma"/>
            <family val="2"/>
          </rPr>
          <t>Default:
15</t>
        </r>
      </text>
    </comment>
    <comment ref="S116" authorId="0" shapeId="0">
      <text>
        <r>
          <rPr>
            <b/>
            <sz val="9"/>
            <color indexed="81"/>
            <rFont val="Tahoma"/>
            <family val="2"/>
          </rPr>
          <t>Default:
8</t>
        </r>
      </text>
    </comment>
    <comment ref="P117" authorId="0" shapeId="0">
      <text>
        <r>
          <rPr>
            <b/>
            <sz val="9"/>
            <color indexed="81"/>
            <rFont val="Tahoma"/>
            <family val="2"/>
          </rPr>
          <t>Default:
20</t>
        </r>
      </text>
    </comment>
    <comment ref="Q117" authorId="0" shapeId="0">
      <text>
        <r>
          <rPr>
            <b/>
            <sz val="9"/>
            <color indexed="81"/>
            <rFont val="Tahoma"/>
            <family val="2"/>
          </rPr>
          <t>Default:
15</t>
        </r>
      </text>
    </comment>
    <comment ref="P119" authorId="1" shapeId="0">
      <text>
        <r>
          <rPr>
            <sz val="8"/>
            <color indexed="81"/>
            <rFont val="Tahoma"/>
            <family val="2"/>
          </rPr>
          <t>This is one way mileage since this is how freight and trucking is charged.</t>
        </r>
      </text>
    </comment>
    <comment ref="P120" authorId="0" shapeId="0">
      <text>
        <r>
          <rPr>
            <b/>
            <sz val="9"/>
            <color indexed="81"/>
            <rFont val="Tahoma"/>
            <family val="2"/>
          </rPr>
          <t>Default:
20</t>
        </r>
      </text>
    </comment>
    <comment ref="Q120" authorId="0" shapeId="0">
      <text>
        <r>
          <rPr>
            <b/>
            <sz val="9"/>
            <color indexed="81"/>
            <rFont val="Tahoma"/>
            <family val="2"/>
          </rPr>
          <t>Default:
7</t>
        </r>
      </text>
    </comment>
    <comment ref="P121" authorId="0" shapeId="0">
      <text>
        <r>
          <rPr>
            <b/>
            <sz val="9"/>
            <color indexed="81"/>
            <rFont val="Tahoma"/>
            <family val="2"/>
          </rPr>
          <t>Default:
20</t>
        </r>
      </text>
    </comment>
    <comment ref="Q121" authorId="0" shapeId="0">
      <text>
        <r>
          <rPr>
            <b/>
            <sz val="9"/>
            <color indexed="81"/>
            <rFont val="Tahoma"/>
            <family val="2"/>
          </rPr>
          <t>Default:
7</t>
        </r>
      </text>
    </comment>
    <comment ref="S121" authorId="1" shapeId="0">
      <text>
        <r>
          <rPr>
            <b/>
            <sz val="8"/>
            <color indexed="81"/>
            <rFont val="Tahoma"/>
            <family val="2"/>
          </rPr>
          <t>Default:
16
Assume double the capacity of truck</t>
        </r>
      </text>
    </comment>
    <comment ref="B122" authorId="0" shapeId="0">
      <text>
        <r>
          <rPr>
            <b/>
            <sz val="9"/>
            <color indexed="81"/>
            <rFont val="Tahoma"/>
            <family val="2"/>
          </rPr>
          <t>Old value of 1
Assume close enough to not use truck</t>
        </r>
      </text>
    </comment>
    <comment ref="P122" authorId="0" shapeId="0">
      <text>
        <r>
          <rPr>
            <b/>
            <sz val="9"/>
            <color indexed="81"/>
            <rFont val="Tahoma"/>
            <family val="2"/>
          </rPr>
          <t>Default:
20</t>
        </r>
      </text>
    </comment>
    <comment ref="Q122" authorId="0" shapeId="0">
      <text>
        <r>
          <rPr>
            <b/>
            <sz val="9"/>
            <color indexed="81"/>
            <rFont val="Tahoma"/>
            <family val="2"/>
          </rPr>
          <t>Default:
7</t>
        </r>
      </text>
    </comment>
    <comment ref="P125" authorId="0" shapeId="0">
      <text>
        <r>
          <rPr>
            <b/>
            <sz val="9"/>
            <color indexed="81"/>
            <rFont val="Tahoma"/>
            <family val="2"/>
          </rPr>
          <t>Default:
S: 100%
M: 100%
L: 0%</t>
        </r>
      </text>
    </comment>
    <comment ref="Q125" authorId="0" shapeId="0">
      <text>
        <r>
          <rPr>
            <b/>
            <sz val="9"/>
            <color indexed="81"/>
            <rFont val="Tahoma"/>
            <family val="2"/>
          </rPr>
          <t>Default:
S: 0%
M: 0%
L: 100%</t>
        </r>
      </text>
    </comment>
    <comment ref="P126" authorId="0" shapeId="0">
      <text>
        <r>
          <rPr>
            <b/>
            <sz val="9"/>
            <color indexed="81"/>
            <rFont val="Tahoma"/>
            <family val="2"/>
          </rPr>
          <t>Default:
S: 100%
M: 100%
L: 0%</t>
        </r>
      </text>
    </comment>
    <comment ref="Q126" authorId="0" shapeId="0">
      <text>
        <r>
          <rPr>
            <b/>
            <sz val="9"/>
            <color indexed="81"/>
            <rFont val="Tahoma"/>
            <family val="2"/>
          </rPr>
          <t>Default:
S: 0%
M: 0%
L: 100%</t>
        </r>
      </text>
    </comment>
    <comment ref="P127" authorId="0" shapeId="0">
      <text>
        <r>
          <rPr>
            <b/>
            <sz val="9"/>
            <color indexed="81"/>
            <rFont val="Tahoma"/>
            <family val="2"/>
          </rPr>
          <t>Default:
S: 100%
M: 100%
L: 0%</t>
        </r>
      </text>
    </comment>
    <comment ref="Q127" authorId="0" shapeId="0">
      <text>
        <r>
          <rPr>
            <b/>
            <sz val="9"/>
            <color indexed="81"/>
            <rFont val="Tahoma"/>
            <family val="2"/>
          </rPr>
          <t>Default:
S: 0%
M: 0%
L: 100%</t>
        </r>
      </text>
    </comment>
    <comment ref="G130" authorId="3" shapeId="0">
      <text>
        <r>
          <rPr>
            <sz val="8"/>
            <color indexed="81"/>
            <rFont val="Tahoma"/>
            <family val="2"/>
          </rPr>
          <t>Assume this is zero.  Coupled potato model old value of $22.36/acre is in proportion to total equipment cost for haylage compared to grain corn (In rotation with potatoes).</t>
        </r>
      </text>
    </comment>
    <comment ref="B131" authorId="0" shapeId="0">
      <text>
        <r>
          <rPr>
            <b/>
            <sz val="9"/>
            <color indexed="81"/>
            <rFont val="Tahoma"/>
            <family val="2"/>
          </rPr>
          <t>Default:
0</t>
        </r>
      </text>
    </comment>
    <comment ref="G131" authorId="2" shapeId="0">
      <text>
        <r>
          <rPr>
            <b/>
            <sz val="8"/>
            <color indexed="81"/>
            <rFont val="Tahoma"/>
            <family val="2"/>
          </rPr>
          <t>Old value:
=supplies
Assume this is $10/acre.  Old value of $57.59/acre assumes same cost of supplies as 2001 Farm Credit budget.</t>
        </r>
      </text>
    </comment>
    <comment ref="H131" authorId="3" shapeId="0">
      <text>
        <r>
          <rPr>
            <sz val="8"/>
            <color indexed="81"/>
            <rFont val="Tahoma"/>
            <family val="2"/>
          </rPr>
          <t>Old equation (=E48*barley*G3).</t>
        </r>
      </text>
    </comment>
    <comment ref="A132" authorId="3" shapeId="0">
      <text>
        <r>
          <rPr>
            <sz val="8"/>
            <color indexed="81"/>
            <rFont val="Tahoma"/>
            <family val="2"/>
          </rPr>
          <t>No crop insurance.</t>
        </r>
      </text>
    </comment>
    <comment ref="B132" authorId="0" shapeId="0">
      <text>
        <r>
          <rPr>
            <b/>
            <sz val="9"/>
            <color indexed="81"/>
            <rFont val="Tahoma"/>
            <family val="2"/>
          </rPr>
          <t>Default:
1</t>
        </r>
      </text>
    </comment>
    <comment ref="F132" authorId="2" shapeId="0">
      <text>
        <r>
          <rPr>
            <b/>
            <sz val="8"/>
            <color indexed="81"/>
            <rFont val="Tahoma"/>
            <family val="2"/>
          </rPr>
          <t>Old value:
=cropins
Assume same as enterprise budget for potatoes</t>
        </r>
      </text>
    </comment>
    <comment ref="G132" authorId="0" shapeId="0">
      <text>
        <r>
          <rPr>
            <b/>
            <sz val="9"/>
            <color indexed="81"/>
            <rFont val="Tahoma"/>
            <family val="2"/>
          </rPr>
          <t>Old value:
=F100
Old value assumed same as enterprise budget for potatoes</t>
        </r>
      </text>
    </comment>
    <comment ref="G133" authorId="2" shapeId="0">
      <text>
        <r>
          <rPr>
            <sz val="8"/>
            <color indexed="81"/>
            <rFont val="Tahoma"/>
            <family val="2"/>
          </rPr>
          <t>Assume no additional insurance.</t>
        </r>
      </text>
    </comment>
    <comment ref="G135" authorId="2"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141" authorId="0" shapeId="0">
      <text>
        <r>
          <rPr>
            <b/>
            <sz val="9"/>
            <color indexed="81"/>
            <rFont val="Tahoma"/>
            <charset val="1"/>
          </rPr>
          <t>Default assumption is for 2 cell phones</t>
        </r>
      </text>
    </comment>
    <comment ref="B142" authorId="0" shapeId="0">
      <text>
        <r>
          <rPr>
            <b/>
            <sz val="9"/>
            <color indexed="81"/>
            <rFont val="Tahoma"/>
            <family val="2"/>
          </rPr>
          <t>Apply every 5 years so this is annualized</t>
        </r>
      </text>
    </comment>
    <comment ref="F142" authorId="2"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A144" authorId="2" shapeId="0">
      <text>
        <r>
          <rPr>
            <sz val="8"/>
            <color indexed="81"/>
            <rFont val="Tahoma"/>
            <family val="2"/>
          </rPr>
          <t>Assume 25% of land is leased.</t>
        </r>
      </text>
    </comment>
    <comment ref="B145" authorId="0" shapeId="0">
      <text>
        <r>
          <rPr>
            <b/>
            <sz val="9"/>
            <color indexed="81"/>
            <rFont val="Tahoma"/>
            <family val="2"/>
          </rPr>
          <t>Old value of 0</t>
        </r>
      </text>
    </comment>
    <comment ref="G145" authorId="3" shapeId="0">
      <text>
        <r>
          <rPr>
            <b/>
            <sz val="8"/>
            <color indexed="81"/>
            <rFont val="Tahoma"/>
            <family val="2"/>
          </rPr>
          <t>Old value of $0 assumed no other rental</t>
        </r>
      </text>
    </comment>
    <comment ref="G147" authorId="2" shapeId="0">
      <text>
        <r>
          <rPr>
            <b/>
            <sz val="8"/>
            <color indexed="81"/>
            <rFont val="Tahoma"/>
            <family val="2"/>
          </rPr>
          <t>If grain drying expenses, enter cost per acre here.</t>
        </r>
      </text>
    </comment>
    <comment ref="F150"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152" authorId="1" shapeId="0">
      <text>
        <r>
          <rPr>
            <b/>
            <sz val="8"/>
            <color indexed="81"/>
            <rFont val="Tahoma"/>
            <family val="2"/>
          </rPr>
          <t xml:space="preserve">http://www.bridoncordage.com/calculator.html
Twine Cost Calculator 
Big Square $0.82 
Big Round $0.86 
3-Tie $0.11 
Small Square $0.07
</t>
        </r>
      </text>
    </comment>
    <comment ref="F154" authorId="1" shapeId="0">
      <text>
        <r>
          <rPr>
            <b/>
            <sz val="8"/>
            <color indexed="81"/>
            <rFont val="Tahoma"/>
            <family val="2"/>
          </rPr>
          <t xml:space="preserve">http://www.bridoncordage.com/calculator.html
Twine Cost Calculator 
Big Square $0.82 
Big Round $0.86 
3-Tie $0.11 
Small Square $0.07
</t>
        </r>
      </text>
    </comment>
    <comment ref="G169" authorId="2" shapeId="0">
      <text>
        <r>
          <rPr>
            <b/>
            <sz val="8"/>
            <color indexed="81"/>
            <rFont val="Tahoma"/>
            <family val="2"/>
          </rPr>
          <t>Assume this is 0
Old value assumed $5/acre for other variable miscellaneous expenses</t>
        </r>
      </text>
    </comment>
    <comment ref="A170" authorId="2" shapeId="0">
      <text>
        <r>
          <rPr>
            <sz val="8"/>
            <color indexed="81"/>
            <rFont val="Tahoma"/>
            <family val="2"/>
          </rPr>
          <t>Assume no promotion tax on wheat.</t>
        </r>
      </text>
    </comment>
    <comment ref="H171" authorId="3" shapeId="0">
      <text>
        <r>
          <rPr>
            <sz val="8"/>
            <color indexed="81"/>
            <rFont val="Tahoma"/>
            <family val="2"/>
          </rPr>
          <t>Assume this is zero.</t>
        </r>
      </text>
    </comment>
  </commentList>
</comments>
</file>

<file path=xl/comments32.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1" shapeId="0">
      <text>
        <r>
          <rPr>
            <b/>
            <sz val="8"/>
            <color indexed="81"/>
            <rFont val="Tahoma"/>
            <family val="2"/>
          </rPr>
          <t>Use for grain corn, barley, oats, rye, wheat, triticale, spelt, peas, and soybeans as well as canola.</t>
        </r>
      </text>
    </comment>
    <comment ref="D69" authorId="0" shapeId="0">
      <text>
        <r>
          <rPr>
            <b/>
            <sz val="8"/>
            <color indexed="81"/>
            <rFont val="Tahoma"/>
            <family val="2"/>
          </rPr>
          <t>Assume half of $284,000 for combine so this is $142,000</t>
        </r>
      </text>
    </comment>
    <comment ref="C70" authorId="1" shapeId="0">
      <text>
        <r>
          <rPr>
            <b/>
            <sz val="8"/>
            <color indexed="81"/>
            <rFont val="Tahoma"/>
            <family val="2"/>
          </rPr>
          <t>Use for grain corn, barley, oats, rye, wheat, triticale, spelt, peas, and soybeans as well as canola.</t>
        </r>
      </text>
    </comment>
    <comment ref="D70" authorId="0" shapeId="0">
      <text>
        <r>
          <rPr>
            <b/>
            <sz val="8"/>
            <color indexed="81"/>
            <rFont val="Tahoma"/>
            <family val="2"/>
          </rPr>
          <t xml:space="preserve">Assume $213,000 </t>
        </r>
      </text>
    </comment>
    <comment ref="C71" authorId="1" shapeId="0">
      <text>
        <r>
          <rPr>
            <b/>
            <sz val="8"/>
            <color indexed="81"/>
            <rFont val="Tahoma"/>
            <family val="2"/>
          </rPr>
          <t>Use for grain corn, barley, oats, rye, wheat, triticale, spelt, peas, and soybeans as well as canola.</t>
        </r>
      </text>
    </comment>
    <comment ref="D71" authorId="0" shapeId="0">
      <text>
        <r>
          <rPr>
            <b/>
            <sz val="8"/>
            <color indexed="81"/>
            <rFont val="Tahoma"/>
            <family val="2"/>
          </rPr>
          <t xml:space="preserve">Assume $284,000 </t>
        </r>
      </text>
    </comment>
    <comment ref="C72" authorId="1" shapeId="0">
      <text>
        <r>
          <rPr>
            <b/>
            <sz val="8"/>
            <color indexed="81"/>
            <rFont val="Tahoma"/>
            <family val="2"/>
          </rPr>
          <t>Use for grain corn, barley, oats, rye, wheat, triticale, spelt, and canola</t>
        </r>
      </text>
    </comment>
    <comment ref="D72" authorId="2" shapeId="0">
      <text>
        <r>
          <rPr>
            <b/>
            <sz val="9"/>
            <color indexed="81"/>
            <rFont val="Tahoma"/>
            <family val="2"/>
          </rPr>
          <t>Assume worth $32,250</t>
        </r>
      </text>
    </comment>
    <comment ref="C73" authorId="1" shapeId="0">
      <text>
        <r>
          <rPr>
            <b/>
            <sz val="8"/>
            <color indexed="81"/>
            <rFont val="Tahoma"/>
            <family val="2"/>
          </rPr>
          <t>Use for grain corn, barley, oats, rye, wheat, triticale, spelt, and canola</t>
        </r>
      </text>
    </comment>
    <comment ref="D73" authorId="2" shapeId="0">
      <text>
        <r>
          <rPr>
            <b/>
            <sz val="9"/>
            <color indexed="81"/>
            <rFont val="Tahoma"/>
            <family val="2"/>
          </rPr>
          <t>Assume worth $43,000</t>
        </r>
      </text>
    </comment>
    <comment ref="C74" authorId="1" shapeId="0">
      <text>
        <r>
          <rPr>
            <b/>
            <sz val="8"/>
            <color indexed="81"/>
            <rFont val="Tahoma"/>
            <family val="2"/>
          </rPr>
          <t>Use for grain corn, barley, oats, rye, wheat, triticale, spelt, and canola</t>
        </r>
      </text>
    </comment>
    <comment ref="D74" authorId="2" shapeId="0">
      <text>
        <r>
          <rPr>
            <b/>
            <sz val="9"/>
            <color indexed="81"/>
            <rFont val="Tahoma"/>
            <family val="2"/>
          </rPr>
          <t>Assume worth $75,000</t>
        </r>
      </text>
    </comment>
    <comment ref="C75" authorId="2" shapeId="0">
      <text>
        <r>
          <rPr>
            <b/>
            <sz val="9"/>
            <color indexed="81"/>
            <rFont val="Tahoma"/>
            <family val="2"/>
          </rPr>
          <t>Use for dry hay, clover, grazing pasture (if opt to bale this), as well as for straw from small grains such as barley, oats, rye, wheat, triticale, and spelt</t>
        </r>
      </text>
    </comment>
    <comment ref="D75" authorId="2" shapeId="0">
      <text>
        <r>
          <rPr>
            <b/>
            <sz val="9"/>
            <color indexed="81"/>
            <rFont val="Tahoma"/>
            <family val="2"/>
          </rPr>
          <t>Assume worth $7,000</t>
        </r>
      </text>
    </comment>
    <comment ref="C76" authorId="2" shapeId="0">
      <text>
        <r>
          <rPr>
            <b/>
            <sz val="9"/>
            <color indexed="81"/>
            <rFont val="Tahoma"/>
            <family val="2"/>
          </rPr>
          <t>Use for dry hay, clover, grazing pasture (if opt to bale this), as well as for straw from small grains such as barley, oats, rye, wheat, triticale, and spelt</t>
        </r>
      </text>
    </comment>
    <comment ref="D76" authorId="2" shapeId="0">
      <text>
        <r>
          <rPr>
            <b/>
            <sz val="9"/>
            <color indexed="81"/>
            <rFont val="Tahoma"/>
            <family val="2"/>
          </rPr>
          <t>Assume worth $15,750</t>
        </r>
      </text>
    </comment>
    <comment ref="B77" authorId="3" shapeId="0">
      <text>
        <r>
          <rPr>
            <b/>
            <sz val="8"/>
            <color indexed="81"/>
            <rFont val="Tahoma"/>
            <family val="2"/>
          </rPr>
          <t>Old value assumed this is zero since just use round baler.</t>
        </r>
      </text>
    </comment>
    <comment ref="C77"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77" authorId="2" shapeId="0">
      <text>
        <r>
          <rPr>
            <b/>
            <sz val="9"/>
            <color indexed="81"/>
            <rFont val="Tahoma"/>
            <family val="2"/>
          </rPr>
          <t>Assume worth $16,500</t>
        </r>
      </text>
    </comment>
    <comment ref="C80" authorId="0" shapeId="0">
      <text>
        <r>
          <rPr>
            <b/>
            <sz val="8"/>
            <color indexed="81"/>
            <rFont val="Tahoma"/>
            <family val="2"/>
          </rPr>
          <t>Use for all crops</t>
        </r>
      </text>
    </comment>
    <comment ref="D80" authorId="0" shapeId="0">
      <text>
        <r>
          <rPr>
            <b/>
            <sz val="8"/>
            <color indexed="81"/>
            <rFont val="Tahoma"/>
            <family val="2"/>
          </rPr>
          <t>Assume worth $125</t>
        </r>
      </text>
    </comment>
    <comment ref="C81" authorId="0" shapeId="0">
      <text>
        <r>
          <rPr>
            <b/>
            <sz val="8"/>
            <color indexed="81"/>
            <rFont val="Tahoma"/>
            <family val="2"/>
          </rPr>
          <t>Use for all crops</t>
        </r>
      </text>
    </comment>
    <comment ref="D81" authorId="0" shapeId="0">
      <text>
        <r>
          <rPr>
            <b/>
            <sz val="8"/>
            <color indexed="81"/>
            <rFont val="Tahoma"/>
            <family val="2"/>
          </rPr>
          <t>Assume worth $1,254</t>
        </r>
      </text>
    </comment>
    <comment ref="C82" authorId="0" shapeId="0">
      <text>
        <r>
          <rPr>
            <b/>
            <sz val="8"/>
            <color indexed="81"/>
            <rFont val="Tahoma"/>
            <family val="2"/>
          </rPr>
          <t>Use for all crops</t>
        </r>
      </text>
    </comment>
    <comment ref="D82" authorId="0" shapeId="0">
      <text>
        <r>
          <rPr>
            <b/>
            <sz val="8"/>
            <color indexed="81"/>
            <rFont val="Tahoma"/>
            <family val="2"/>
          </rPr>
          <t>Assume worth $627</t>
        </r>
      </text>
    </comment>
    <comment ref="C83" authorId="0" shapeId="0">
      <text>
        <r>
          <rPr>
            <b/>
            <sz val="8"/>
            <color indexed="81"/>
            <rFont val="Tahoma"/>
            <family val="2"/>
          </rPr>
          <t>Use for all crops</t>
        </r>
      </text>
    </comment>
    <comment ref="D83" authorId="0" shapeId="0">
      <text>
        <r>
          <rPr>
            <b/>
            <sz val="8"/>
            <color indexed="81"/>
            <rFont val="Tahoma"/>
            <family val="2"/>
          </rPr>
          <t>Assume worth $6,268</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$12,536</t>
        </r>
      </text>
    </comment>
    <comment ref="C88" authorId="1" shapeId="0">
      <text>
        <r>
          <rPr>
            <b/>
            <sz val="8"/>
            <color indexed="81"/>
            <rFont val="Tahoma"/>
            <family val="2"/>
          </rPr>
          <t>Use for grain corn, barley, oats, rye, wheat, triticale, spelt, peas, and soybeans as well as canola.</t>
        </r>
      </text>
    </comment>
    <comment ref="D88" authorId="0" shapeId="0">
      <text>
        <r>
          <rPr>
            <b/>
            <sz val="8"/>
            <color indexed="81"/>
            <rFont val="Tahoma"/>
            <family val="2"/>
          </rPr>
          <t>Assume worth $1000</t>
        </r>
      </text>
    </comment>
    <comment ref="C89" authorId="1" shapeId="0">
      <text>
        <r>
          <rPr>
            <b/>
            <sz val="8"/>
            <color indexed="81"/>
            <rFont val="Tahoma"/>
            <family val="2"/>
          </rPr>
          <t>Use for grain corn, barley, oats, rye, wheat, triticale, spelt, peas, and soybeans as well as canola.</t>
        </r>
      </text>
    </comment>
    <comment ref="D89" authorId="0" shapeId="0">
      <text>
        <r>
          <rPr>
            <b/>
            <sz val="8"/>
            <color indexed="81"/>
            <rFont val="Tahoma"/>
            <family val="2"/>
          </rPr>
          <t>Assume worth $1000</t>
        </r>
      </text>
    </comment>
    <comment ref="C90" authorId="1" shapeId="0">
      <text>
        <r>
          <rPr>
            <b/>
            <sz val="8"/>
            <color indexed="81"/>
            <rFont val="Tahoma"/>
            <family val="2"/>
          </rPr>
          <t>Use for grain corn, barley, oats, rye, wheat, triticale, spelt, peas, and soybeans as well as canola.</t>
        </r>
      </text>
    </comment>
    <comment ref="D90"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2" shapeId="0">
      <text>
        <r>
          <rPr>
            <b/>
            <sz val="9"/>
            <color indexed="81"/>
            <rFont val="Tahoma"/>
            <family val="2"/>
          </rPr>
          <t>Assume worth $4,000</t>
        </r>
      </text>
    </comment>
    <comment ref="C94" authorId="1" shapeId="0">
      <text>
        <r>
          <rPr>
            <b/>
            <sz val="8"/>
            <color indexed="81"/>
            <rFont val="Tahoma"/>
            <family val="2"/>
          </rPr>
          <t>Use for grain corn, barley, oats, rye, wheat, triticale, spelt, peas, and soybeans as well as canola.</t>
        </r>
      </text>
    </comment>
    <comment ref="D94" authorId="2" shapeId="0">
      <text>
        <r>
          <rPr>
            <b/>
            <sz val="9"/>
            <color indexed="81"/>
            <rFont val="Tahoma"/>
            <family val="2"/>
          </rPr>
          <t>Assume worth $4,000</t>
        </r>
      </text>
    </comment>
    <comment ref="C95" authorId="1" shapeId="0">
      <text>
        <r>
          <rPr>
            <b/>
            <sz val="8"/>
            <color indexed="81"/>
            <rFont val="Tahoma"/>
            <family val="2"/>
          </rPr>
          <t>Use for grain corn, barley, oats, rye, wheat, triticale, spelt, peas, and soybeans as well as canola.</t>
        </r>
      </text>
    </comment>
    <comment ref="D95" authorId="2" shapeId="0">
      <text>
        <r>
          <rPr>
            <b/>
            <sz val="9"/>
            <color indexed="81"/>
            <rFont val="Tahoma"/>
            <family val="2"/>
          </rPr>
          <t>Assume worth $4,000</t>
        </r>
      </text>
    </comment>
    <comment ref="C96" authorId="1" shapeId="0">
      <text>
        <r>
          <rPr>
            <b/>
            <sz val="8"/>
            <color indexed="81"/>
            <rFont val="Tahoma"/>
            <family val="2"/>
          </rPr>
          <t>Use for grain corn, barley, oats, rye, wheat, triticale, spelt, peas, and soybeans.</t>
        </r>
      </text>
    </comment>
    <comment ref="D96" authorId="2" shapeId="0">
      <text>
        <r>
          <rPr>
            <b/>
            <sz val="9"/>
            <color indexed="81"/>
            <rFont val="Tahoma"/>
            <family val="2"/>
          </rPr>
          <t>Assume worth $1,880</t>
        </r>
      </text>
    </comment>
    <comment ref="A100"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1"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2"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0" authorId="1" shapeId="0">
      <text>
        <r>
          <rPr>
            <b/>
            <sz val="8"/>
            <color indexed="81"/>
            <rFont val="Tahoma"/>
            <family val="2"/>
          </rPr>
          <t>Use for all crops</t>
        </r>
      </text>
    </comment>
    <comment ref="D110" authorId="0" shapeId="0">
      <text>
        <r>
          <rPr>
            <b/>
            <sz val="8"/>
            <color indexed="81"/>
            <rFont val="Tahoma"/>
            <family val="2"/>
          </rPr>
          <t>Assume worth $50,000</t>
        </r>
      </text>
    </comment>
    <comment ref="C111" authorId="1" shapeId="0">
      <text>
        <r>
          <rPr>
            <b/>
            <sz val="8"/>
            <color indexed="81"/>
            <rFont val="Tahoma"/>
            <family val="2"/>
          </rPr>
          <t>Use for all crops</t>
        </r>
      </text>
    </comment>
    <comment ref="D111" authorId="0" shapeId="0">
      <text>
        <r>
          <rPr>
            <b/>
            <sz val="8"/>
            <color indexed="81"/>
            <rFont val="Tahoma"/>
            <family val="2"/>
          </rPr>
          <t>Assume worth $100,000</t>
        </r>
      </text>
    </comment>
    <comment ref="C112" authorId="1" shapeId="0">
      <text>
        <r>
          <rPr>
            <b/>
            <sz val="8"/>
            <color indexed="81"/>
            <rFont val="Tahoma"/>
            <family val="2"/>
          </rPr>
          <t>Use for all crops</t>
        </r>
      </text>
    </comment>
    <comment ref="D112" authorId="0" shapeId="0">
      <text>
        <r>
          <rPr>
            <b/>
            <sz val="8"/>
            <color indexed="81"/>
            <rFont val="Tahoma"/>
            <family val="2"/>
          </rPr>
          <t>Assume worth $200,000</t>
        </r>
      </text>
    </comment>
  </commentList>
</comments>
</file>

<file path=xl/comments33.xml><?xml version="1.0" encoding="utf-8"?>
<comments xmlns="http://schemas.openxmlformats.org/spreadsheetml/2006/main">
  <authors>
    <author>Sensei</author>
    <author xml:space="preserve"> </author>
    <author>REP</author>
    <author>aaron hoshide</author>
  </authors>
  <commentList>
    <comment ref="C9" authorId="0" shapeId="0">
      <text>
        <r>
          <rPr>
            <b/>
            <sz val="9"/>
            <color indexed="81"/>
            <rFont val="Tahoma"/>
            <family val="2"/>
          </rPr>
          <t>From Tom Molloy</t>
        </r>
      </text>
    </comment>
    <comment ref="F9" authorId="1" shapeId="0">
      <text>
        <r>
          <rPr>
            <b/>
            <sz val="8"/>
            <color indexed="81"/>
            <rFont val="Tahoma"/>
            <family val="2"/>
          </rPr>
          <t>From Tom Molloy
=32/50
0.64</t>
        </r>
      </text>
    </comment>
    <comment ref="B13" authorId="0" shapeId="0">
      <text>
        <r>
          <rPr>
            <b/>
            <sz val="9"/>
            <color indexed="81"/>
            <rFont val="Tahoma"/>
            <family val="2"/>
          </rPr>
          <t>Default:
0</t>
        </r>
      </text>
    </comment>
    <comment ref="C13" authorId="1" shapeId="0">
      <text>
        <r>
          <rPr>
            <b/>
            <sz val="8"/>
            <color indexed="81"/>
            <rFont val="Tahoma"/>
            <family val="2"/>
          </rPr>
          <t>Old value:
=limeapp
Old value of 0.61 (=0.6065).</t>
        </r>
      </text>
    </comment>
    <comment ref="F13" authorId="0" shapeId="0">
      <text>
        <r>
          <rPr>
            <b/>
            <sz val="9"/>
            <color indexed="81"/>
            <rFont val="Tahoma"/>
            <family val="2"/>
          </rPr>
          <t>Old value:
=lime</t>
        </r>
      </text>
    </comment>
    <comment ref="B20" authorId="0" shapeId="0">
      <text>
        <r>
          <rPr>
            <b/>
            <sz val="9"/>
            <color indexed="81"/>
            <rFont val="Tahoma"/>
            <family val="2"/>
          </rPr>
          <t>Default:
1</t>
        </r>
      </text>
    </comment>
    <comment ref="B21" authorId="0" shapeId="0">
      <text>
        <r>
          <rPr>
            <b/>
            <sz val="9"/>
            <color indexed="81"/>
            <rFont val="Tahoma"/>
            <family val="2"/>
          </rPr>
          <t>Default:
1</t>
        </r>
      </text>
    </comment>
    <comment ref="B22" authorId="0" shapeId="0">
      <text>
        <r>
          <rPr>
            <b/>
            <sz val="9"/>
            <color indexed="81"/>
            <rFont val="Tahoma"/>
            <family val="2"/>
          </rPr>
          <t>Default:
1</t>
        </r>
      </text>
    </comment>
    <comment ref="B23" authorId="0" shapeId="0">
      <text>
        <r>
          <rPr>
            <b/>
            <sz val="9"/>
            <color indexed="81"/>
            <rFont val="Tahoma"/>
            <family val="2"/>
          </rPr>
          <t>Default:
1</t>
        </r>
      </text>
    </comment>
    <comment ref="B24" authorId="0" shapeId="0">
      <text>
        <r>
          <rPr>
            <b/>
            <sz val="9"/>
            <color indexed="81"/>
            <rFont val="Tahoma"/>
            <family val="2"/>
          </rPr>
          <t>Default:
1</t>
        </r>
      </text>
    </comment>
    <comment ref="C24" authorId="1" shapeId="0">
      <text>
        <r>
          <rPr>
            <b/>
            <sz val="8"/>
            <color indexed="81"/>
            <rFont val="Tahoma"/>
            <family val="2"/>
          </rPr>
          <t>Old value of 0.0934185838781329</t>
        </r>
      </text>
    </comment>
    <comment ref="B25" authorId="0" shapeId="0">
      <text>
        <r>
          <rPr>
            <b/>
            <sz val="9"/>
            <color indexed="81"/>
            <rFont val="Tahoma"/>
            <family val="2"/>
          </rPr>
          <t>Default:
1</t>
        </r>
      </text>
    </comment>
    <comment ref="B26" authorId="0" shapeId="0">
      <text>
        <r>
          <rPr>
            <b/>
            <sz val="9"/>
            <color indexed="81"/>
            <rFont val="Tahoma"/>
            <family val="2"/>
          </rPr>
          <t>Default:
2</t>
        </r>
      </text>
    </comment>
    <comment ref="I26" authorId="0" shapeId="0">
      <text>
        <r>
          <rPr>
            <b/>
            <sz val="9"/>
            <color indexed="81"/>
            <rFont val="Tahoma"/>
            <charset val="1"/>
          </rPr>
          <t>Assumed as default number</t>
        </r>
      </text>
    </comment>
    <comment ref="C27" authorId="1" shapeId="0">
      <text>
        <r>
          <rPr>
            <sz val="8"/>
            <color indexed="81"/>
            <rFont val="Tahoma"/>
            <family val="2"/>
          </rPr>
          <t>Old value of 0.283205812177919</t>
        </r>
      </text>
    </comment>
    <comment ref="B30" authorId="0" shapeId="0">
      <text>
        <r>
          <rPr>
            <b/>
            <sz val="9"/>
            <color indexed="81"/>
            <rFont val="Tahoma"/>
            <family val="2"/>
          </rPr>
          <t>Default:
2</t>
        </r>
      </text>
    </comment>
    <comment ref="B31" authorId="0" shapeId="0">
      <text>
        <r>
          <rPr>
            <b/>
            <sz val="9"/>
            <color indexed="81"/>
            <rFont val="Tahoma"/>
            <family val="2"/>
          </rPr>
          <t>Default:
0</t>
        </r>
      </text>
    </comment>
    <comment ref="B33" authorId="0" shapeId="0">
      <text>
        <r>
          <rPr>
            <b/>
            <sz val="9"/>
            <color indexed="81"/>
            <rFont val="Tahoma"/>
            <family val="2"/>
          </rPr>
          <t>Default:
0</t>
        </r>
      </text>
    </comment>
    <comment ref="B34" authorId="0" shapeId="0">
      <text>
        <r>
          <rPr>
            <b/>
            <sz val="9"/>
            <color indexed="81"/>
            <rFont val="Tahoma"/>
            <family val="2"/>
          </rPr>
          <t>Default:
1</t>
        </r>
      </text>
    </comment>
    <comment ref="B35" authorId="0" shapeId="0">
      <text>
        <r>
          <rPr>
            <b/>
            <sz val="9"/>
            <color indexed="81"/>
            <rFont val="Tahoma"/>
            <family val="2"/>
          </rPr>
          <t>Default:
1</t>
        </r>
      </text>
    </comment>
    <comment ref="B36" authorId="1" shapeId="0">
      <text>
        <r>
          <rPr>
            <sz val="8"/>
            <color indexed="81"/>
            <rFont val="Tahoma"/>
            <family val="2"/>
          </rPr>
          <t>Assume that there is no change for this since it takes the same time to pass over the field.</t>
        </r>
      </text>
    </comment>
    <comment ref="B37" authorId="0" shapeId="0">
      <text>
        <r>
          <rPr>
            <b/>
            <sz val="9"/>
            <color indexed="81"/>
            <rFont val="Tahoma"/>
            <family val="2"/>
          </rPr>
          <t>Default:
1</t>
        </r>
      </text>
    </comment>
    <comment ref="C37" authorId="0" shapeId="0">
      <text>
        <r>
          <rPr>
            <b/>
            <sz val="9"/>
            <color indexed="81"/>
            <rFont val="Tahoma"/>
            <family val="2"/>
          </rPr>
          <t>Assume adjust trucking in proportion to crop volume.</t>
        </r>
      </text>
    </comment>
    <comment ref="B40" authorId="0" shapeId="0">
      <text>
        <r>
          <rPr>
            <b/>
            <sz val="9"/>
            <color indexed="81"/>
            <rFont val="Tahoma"/>
            <family val="2"/>
          </rPr>
          <t>Default:
1</t>
        </r>
      </text>
    </comment>
    <comment ref="J42" authorId="1" shapeId="0">
      <text>
        <r>
          <rPr>
            <b/>
            <sz val="8"/>
            <color indexed="81"/>
            <rFont val="Tahoma"/>
            <family val="2"/>
          </rPr>
          <t>Calculate this for wheat baseline of 500 bu x 60 lb/bu = 30,000 lb capacity.</t>
        </r>
      </text>
    </comment>
    <comment ref="N42" authorId="0" shapeId="0">
      <text>
        <r>
          <rPr>
            <b/>
            <sz val="9"/>
            <color indexed="81"/>
            <rFont val="Tahoma"/>
            <family val="2"/>
          </rPr>
          <t>Default:
500</t>
        </r>
      </text>
    </comment>
    <comment ref="B43" authorId="0" shapeId="0">
      <text>
        <r>
          <rPr>
            <b/>
            <sz val="9"/>
            <color indexed="81"/>
            <rFont val="Tahoma"/>
            <family val="2"/>
          </rPr>
          <t>Default:
1</t>
        </r>
      </text>
    </comment>
    <comment ref="C43" authorId="0" shapeId="0">
      <text>
        <r>
          <rPr>
            <b/>
            <sz val="9"/>
            <color indexed="81"/>
            <rFont val="Tahoma"/>
            <family val="2"/>
          </rPr>
          <t>Base hours to dry 3,300 bu of grain on Iowa State calculator ($422/$12.29). Adjust to total bushels produced.
=((422/12.29)*(BWb!B9/3300))/buckwheat</t>
        </r>
      </text>
    </comment>
    <comment ref="J43" authorId="1" shapeId="0">
      <text>
        <r>
          <rPr>
            <b/>
            <sz val="8"/>
            <color indexed="81"/>
            <rFont val="Tahoma"/>
            <family val="2"/>
          </rPr>
          <t>Calculate this for wheat baseline of 1000 bu x 60 lb/bu = 60,000 lb capacity.</t>
        </r>
      </text>
    </comment>
    <comment ref="N43" authorId="0" shapeId="0">
      <text>
        <r>
          <rPr>
            <b/>
            <sz val="9"/>
            <color indexed="81"/>
            <rFont val="Tahoma"/>
            <family val="2"/>
          </rPr>
          <t>Default:
1,000</t>
        </r>
      </text>
    </comment>
    <comment ref="P46"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47" authorId="0" shapeId="0">
      <text>
        <r>
          <rPr>
            <b/>
            <sz val="9"/>
            <color indexed="81"/>
            <rFont val="Tahoma"/>
            <family val="2"/>
          </rPr>
          <t>Consistent with old value of 1
Assume NOT close enough to not use truck</t>
        </r>
      </text>
    </comment>
    <comment ref="P47" authorId="0" shapeId="0">
      <text>
        <r>
          <rPr>
            <b/>
            <sz val="9"/>
            <color indexed="81"/>
            <rFont val="Tahoma"/>
            <family val="2"/>
          </rPr>
          <t>Default:
20</t>
        </r>
      </text>
    </comment>
    <comment ref="Q47" authorId="0" shapeId="0">
      <text>
        <r>
          <rPr>
            <b/>
            <sz val="9"/>
            <color indexed="81"/>
            <rFont val="Tahoma"/>
            <family val="2"/>
          </rPr>
          <t xml:space="preserve">Default:
40
</t>
        </r>
      </text>
    </comment>
    <comment ref="P49"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50" authorId="0" shapeId="0">
      <text>
        <r>
          <rPr>
            <b/>
            <sz val="9"/>
            <color indexed="81"/>
            <rFont val="Tahoma"/>
            <family val="2"/>
          </rPr>
          <t>Old value of 1
Assume close enough to not use truck</t>
        </r>
      </text>
    </comment>
    <comment ref="P50" authorId="0" shapeId="0">
      <text>
        <r>
          <rPr>
            <b/>
            <sz val="9"/>
            <color indexed="81"/>
            <rFont val="Tahoma"/>
            <family val="2"/>
          </rPr>
          <t>Default:
20</t>
        </r>
      </text>
    </comment>
    <comment ref="Q50" authorId="0" shapeId="0">
      <text>
        <r>
          <rPr>
            <b/>
            <sz val="9"/>
            <color indexed="81"/>
            <rFont val="Tahoma"/>
            <family val="2"/>
          </rPr>
          <t>Default:
40</t>
        </r>
      </text>
    </comment>
    <comment ref="P53" authorId="0" shapeId="0">
      <text>
        <r>
          <rPr>
            <b/>
            <sz val="9"/>
            <color indexed="81"/>
            <rFont val="Tahoma"/>
            <family val="2"/>
          </rPr>
          <t>Default:
100%</t>
        </r>
      </text>
    </comment>
    <comment ref="Q53" authorId="0" shapeId="0">
      <text>
        <r>
          <rPr>
            <b/>
            <sz val="9"/>
            <color indexed="81"/>
            <rFont val="Tahoma"/>
            <family val="2"/>
          </rPr>
          <t>Default:
0%</t>
        </r>
      </text>
    </comment>
    <comment ref="B70" authorId="1" shapeId="0">
      <text>
        <r>
          <rPr>
            <sz val="8"/>
            <color indexed="81"/>
            <rFont val="Tahoma"/>
            <family val="2"/>
          </rPr>
          <t>Assume that there is no change for this since it takes the same time to pass over the field.</t>
        </r>
      </text>
    </comment>
    <comment ref="J76" authorId="1" shapeId="0">
      <text>
        <r>
          <rPr>
            <b/>
            <sz val="8"/>
            <color indexed="81"/>
            <rFont val="Tahoma"/>
            <family val="2"/>
          </rPr>
          <t>Calculate this for wheat baseline of 500 bu x 60 lb/bu = 30,000 lb capacity.</t>
        </r>
      </text>
    </comment>
    <comment ref="N76" authorId="0" shapeId="0">
      <text>
        <r>
          <rPr>
            <b/>
            <sz val="9"/>
            <color indexed="81"/>
            <rFont val="Tahoma"/>
            <family val="2"/>
          </rPr>
          <t>Default:
500</t>
        </r>
      </text>
    </comment>
    <comment ref="C77" authorId="1" shapeId="0">
      <text>
        <r>
          <rPr>
            <b/>
            <sz val="8"/>
            <color indexed="81"/>
            <rFont val="Tahoma"/>
            <family val="2"/>
          </rPr>
          <t>Assume this is zero.</t>
        </r>
      </text>
    </comment>
    <comment ref="J77" authorId="1" shapeId="0">
      <text>
        <r>
          <rPr>
            <b/>
            <sz val="8"/>
            <color indexed="81"/>
            <rFont val="Tahoma"/>
            <family val="2"/>
          </rPr>
          <t>Calculate this for wheat baseline of 1000 bu x 60 lb/bu = 60,000 lb capacity.</t>
        </r>
      </text>
    </comment>
    <comment ref="N77" authorId="0" shapeId="0">
      <text>
        <r>
          <rPr>
            <b/>
            <sz val="9"/>
            <color indexed="81"/>
            <rFont val="Tahoma"/>
            <family val="2"/>
          </rPr>
          <t>Default:
1,000</t>
        </r>
      </text>
    </comment>
    <comment ref="P80"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1" authorId="0" shapeId="0">
      <text>
        <r>
          <rPr>
            <b/>
            <sz val="9"/>
            <color indexed="81"/>
            <rFont val="Tahoma"/>
            <family val="2"/>
          </rPr>
          <t>Consistent with old value of 1
Assume NOT close enough to not use truck</t>
        </r>
      </text>
    </comment>
    <comment ref="P81" authorId="0" shapeId="0">
      <text>
        <r>
          <rPr>
            <b/>
            <sz val="9"/>
            <color indexed="81"/>
            <rFont val="Tahoma"/>
            <family val="2"/>
          </rPr>
          <t>Default:
20</t>
        </r>
      </text>
    </comment>
    <comment ref="Q81" authorId="0" shapeId="0">
      <text>
        <r>
          <rPr>
            <b/>
            <sz val="9"/>
            <color indexed="81"/>
            <rFont val="Tahoma"/>
            <family val="2"/>
          </rPr>
          <t>Default:
15</t>
        </r>
      </text>
    </comment>
    <comment ref="P83"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4" authorId="0" shapeId="0">
      <text>
        <r>
          <rPr>
            <b/>
            <sz val="9"/>
            <color indexed="81"/>
            <rFont val="Tahoma"/>
            <family val="2"/>
          </rPr>
          <t>Old value of 1
Assume close enough to not use truck</t>
        </r>
      </text>
    </comment>
    <comment ref="P84" authorId="0" shapeId="0">
      <text>
        <r>
          <rPr>
            <b/>
            <sz val="9"/>
            <color indexed="81"/>
            <rFont val="Tahoma"/>
            <family val="2"/>
          </rPr>
          <t>Default:
20</t>
        </r>
      </text>
    </comment>
    <comment ref="Q84" authorId="0" shapeId="0">
      <text>
        <r>
          <rPr>
            <b/>
            <sz val="9"/>
            <color indexed="81"/>
            <rFont val="Tahoma"/>
            <family val="2"/>
          </rPr>
          <t>Default:
7</t>
        </r>
      </text>
    </comment>
    <comment ref="P87" authorId="0" shapeId="0">
      <text>
        <r>
          <rPr>
            <b/>
            <sz val="9"/>
            <color indexed="81"/>
            <rFont val="Tahoma"/>
            <family val="2"/>
          </rPr>
          <t>Default:
100%</t>
        </r>
      </text>
    </comment>
    <comment ref="Q87" authorId="0" shapeId="0">
      <text>
        <r>
          <rPr>
            <b/>
            <sz val="9"/>
            <color indexed="81"/>
            <rFont val="Tahoma"/>
            <family val="2"/>
          </rPr>
          <t>Default:
0%</t>
        </r>
      </text>
    </comment>
    <comment ref="G88" authorId="2" shapeId="0">
      <text>
        <r>
          <rPr>
            <sz val="8"/>
            <color indexed="81"/>
            <rFont val="Tahoma"/>
            <family val="2"/>
          </rPr>
          <t>Assume this is zero.  Old value of $21.87/acre assume that this is in proportion to total equipment cost for soybeans compared to grain corn (In rotation with potatoes).</t>
        </r>
      </text>
    </comment>
    <comment ref="B89" authorId="0" shapeId="0">
      <text>
        <r>
          <rPr>
            <b/>
            <sz val="9"/>
            <color indexed="81"/>
            <rFont val="Tahoma"/>
            <family val="2"/>
          </rPr>
          <t>Default:
0</t>
        </r>
      </text>
    </comment>
    <comment ref="G89" authorId="3" shapeId="0">
      <text>
        <r>
          <rPr>
            <b/>
            <sz val="8"/>
            <color indexed="81"/>
            <rFont val="Tahoma"/>
            <family val="2"/>
          </rPr>
          <t>Old value:
=supplies
Assume this is $10/acre.  Old value of $57.59/acre assumes same cost of supplies as 2001 Farm Credit budget.</t>
        </r>
      </text>
    </comment>
    <comment ref="H89" authorId="2" shapeId="0">
      <text>
        <r>
          <rPr>
            <sz val="8"/>
            <color indexed="81"/>
            <rFont val="Tahoma"/>
            <family val="2"/>
          </rPr>
          <t>Old equation (=E44*soy*G3).</t>
        </r>
      </text>
    </comment>
    <comment ref="A90" authorId="2" shapeId="0">
      <text>
        <r>
          <rPr>
            <sz val="8"/>
            <color indexed="81"/>
            <rFont val="Tahoma"/>
            <family val="2"/>
          </rPr>
          <t>No crop insurance</t>
        </r>
      </text>
    </comment>
    <comment ref="B90" authorId="0" shapeId="0">
      <text>
        <r>
          <rPr>
            <b/>
            <sz val="9"/>
            <color indexed="81"/>
            <rFont val="Tahoma"/>
            <family val="2"/>
          </rPr>
          <t>Default:
1</t>
        </r>
      </text>
    </comment>
    <comment ref="F90" authorId="3" shapeId="0">
      <text>
        <r>
          <rPr>
            <b/>
            <sz val="8"/>
            <color indexed="81"/>
            <rFont val="Tahoma"/>
            <family val="2"/>
          </rPr>
          <t>Old value:
=cropins
Assume same as enterprise budget for potatoes</t>
        </r>
      </text>
    </comment>
    <comment ref="G90" authorId="0" shapeId="0">
      <text>
        <r>
          <rPr>
            <b/>
            <sz val="9"/>
            <color indexed="81"/>
            <rFont val="Tahoma"/>
            <family val="2"/>
          </rPr>
          <t>Old value:
=F73
Old value assumed same as enterprise budget for potatoes</t>
        </r>
      </text>
    </comment>
    <comment ref="G91" authorId="3" shapeId="0">
      <text>
        <r>
          <rPr>
            <sz val="8"/>
            <color indexed="81"/>
            <rFont val="Tahoma"/>
            <family val="2"/>
          </rPr>
          <t>Assume this is zero.  Old value of $55.07/acre assumes same cost of insurance as 2001 Farm Credit budget including calculated crop insurance.</t>
        </r>
      </text>
    </comment>
    <comment ref="G93" authorId="3"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99" authorId="0" shapeId="0">
      <text>
        <r>
          <rPr>
            <b/>
            <sz val="9"/>
            <color indexed="81"/>
            <rFont val="Tahoma"/>
            <charset val="1"/>
          </rPr>
          <t>Default assumption is for 2 cell phones</t>
        </r>
      </text>
    </comment>
    <comment ref="B100" authorId="0" shapeId="0">
      <text>
        <r>
          <rPr>
            <b/>
            <sz val="9"/>
            <color indexed="81"/>
            <rFont val="Tahoma"/>
            <family val="2"/>
          </rPr>
          <t>Apply every 5 years so this is annualized</t>
        </r>
      </text>
    </comment>
    <comment ref="F100" authorId="3"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B103" authorId="0" shapeId="0">
      <text>
        <r>
          <rPr>
            <b/>
            <sz val="9"/>
            <color indexed="81"/>
            <rFont val="Tahoma"/>
            <family val="2"/>
          </rPr>
          <t>Old value of 0</t>
        </r>
      </text>
    </comment>
    <comment ref="G103" authorId="2" shapeId="0">
      <text>
        <r>
          <rPr>
            <b/>
            <sz val="8"/>
            <color indexed="81"/>
            <rFont val="Tahoma"/>
            <family val="2"/>
          </rPr>
          <t>Old value of $0 assumed no other rental</t>
        </r>
      </text>
    </comment>
    <comment ref="G105" authorId="3" shapeId="0">
      <text>
        <r>
          <rPr>
            <b/>
            <sz val="8"/>
            <color indexed="81"/>
            <rFont val="Tahoma"/>
            <family val="2"/>
          </rPr>
          <t>If grain drying expenses, enter cost per acre here.</t>
        </r>
      </text>
    </comment>
    <comment ref="G120" authorId="3" shapeId="0">
      <text>
        <r>
          <rPr>
            <b/>
            <sz val="8"/>
            <color indexed="81"/>
            <rFont val="Tahoma"/>
            <family val="2"/>
          </rPr>
          <t>Assume this is 0
Old value assumed $5/acre for other variable miscellaneous expenses</t>
        </r>
      </text>
    </comment>
    <comment ref="A121" authorId="3" shapeId="0">
      <text>
        <r>
          <rPr>
            <sz val="8"/>
            <color indexed="81"/>
            <rFont val="Tahoma"/>
            <family val="2"/>
          </rPr>
          <t>Assume no promotion tax on soybeans</t>
        </r>
      </text>
    </comment>
    <comment ref="H122" authorId="2" shapeId="0">
      <text>
        <r>
          <rPr>
            <sz val="8"/>
            <color indexed="81"/>
            <rFont val="Tahoma"/>
            <family val="2"/>
          </rPr>
          <t>Assume this is zero</t>
        </r>
      </text>
    </comment>
  </commentList>
</comments>
</file>

<file path=xl/comments34.xml><?xml version="1.0" encoding="utf-8"?>
<comments xmlns="http://schemas.openxmlformats.org/spreadsheetml/2006/main">
  <authors>
    <author>REP</author>
    <author>aaron hoshide</author>
    <author>Sensei</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$5,000</t>
        </r>
      </text>
    </comment>
    <comment ref="C52" authorId="1" shapeId="0">
      <text>
        <r>
          <rPr>
            <b/>
            <sz val="8"/>
            <color indexed="81"/>
            <rFont val="Tahoma"/>
            <family val="2"/>
          </rPr>
          <t>Use for all crops except clover, peas, and soybeans</t>
        </r>
      </text>
    </comment>
    <comment ref="D52" authorId="1" shapeId="0">
      <text>
        <r>
          <rPr>
            <b/>
            <sz val="8"/>
            <color indexed="81"/>
            <rFont val="Tahoma"/>
            <family val="2"/>
          </rPr>
          <t>Assume $2,507
If same as conventional small dairy ($3000)</t>
        </r>
      </text>
    </comment>
    <comment ref="C53" authorId="2" shapeId="0">
      <text>
        <r>
          <rPr>
            <b/>
            <sz val="9"/>
            <color indexed="81"/>
            <rFont val="Tahoma"/>
            <family val="2"/>
          </rPr>
          <t>Use just for spreading Chilean nitrate on winter grains.</t>
        </r>
      </text>
    </comment>
    <comment ref="D53" authorId="1" shapeId="0">
      <text>
        <r>
          <rPr>
            <b/>
            <sz val="8"/>
            <color indexed="81"/>
            <rFont val="Tahoma"/>
            <family val="2"/>
          </rPr>
          <t>Assume worth $5,000</t>
        </r>
      </text>
    </comment>
    <comment ref="C54" authorId="2" shapeId="0">
      <text>
        <r>
          <rPr>
            <b/>
            <sz val="9"/>
            <color indexed="81"/>
            <rFont val="Tahoma"/>
            <family val="2"/>
          </rPr>
          <t>Use just for spreading Chilean nitrate on winter grains.</t>
        </r>
      </text>
    </comment>
    <comment ref="D54" authorId="1" shapeId="0">
      <text>
        <r>
          <rPr>
            <b/>
            <sz val="8"/>
            <color indexed="81"/>
            <rFont val="Tahoma"/>
            <family val="2"/>
          </rPr>
          <t>Assume worth $5,000</t>
        </r>
      </text>
    </comment>
    <comment ref="C55" authorId="2" shapeId="0">
      <text>
        <r>
          <rPr>
            <b/>
            <sz val="9"/>
            <color indexed="81"/>
            <rFont val="Tahoma"/>
            <family val="2"/>
          </rPr>
          <t>Use just for spreading Chilean nitrate on winter grains.</t>
        </r>
      </text>
    </comment>
    <comment ref="D55" authorId="1" shapeId="0">
      <text>
        <r>
          <rPr>
            <b/>
            <sz val="8"/>
            <color indexed="81"/>
            <rFont val="Tahoma"/>
            <family val="2"/>
          </rPr>
          <t>Assume worth $5,000</t>
        </r>
      </text>
    </comment>
    <comment ref="C56" authorId="1" shapeId="0">
      <text>
        <r>
          <rPr>
            <b/>
            <sz val="8"/>
            <color indexed="81"/>
            <rFont val="Tahoma"/>
            <family val="2"/>
          </rPr>
          <t>Use for all crops except soybeans and peas as well as potatoes and grazing, clover, and alfalfa</t>
        </r>
      </text>
    </comment>
    <comment ref="D56" authorId="1" shapeId="0">
      <text>
        <r>
          <rPr>
            <b/>
            <sz val="8"/>
            <color indexed="81"/>
            <rFont val="Tahoma"/>
            <family val="2"/>
          </rPr>
          <t>Assume worth $7,739</t>
        </r>
      </text>
    </comment>
    <comment ref="C57" authorId="1" shapeId="0">
      <text>
        <r>
          <rPr>
            <b/>
            <sz val="8"/>
            <color indexed="81"/>
            <rFont val="Tahoma"/>
            <family val="2"/>
          </rPr>
          <t>Use for all crops except soybeans and peas as well as potatoes and grazing, clover, and alfalfa</t>
        </r>
      </text>
    </comment>
    <comment ref="D57" authorId="1" shapeId="0">
      <text>
        <r>
          <rPr>
            <b/>
            <sz val="8"/>
            <color indexed="81"/>
            <rFont val="Tahoma"/>
            <family val="2"/>
          </rPr>
          <t>Assume worth $7,739</t>
        </r>
      </text>
    </comment>
    <comment ref="C58" authorId="1" shapeId="0">
      <text>
        <r>
          <rPr>
            <b/>
            <sz val="8"/>
            <color indexed="81"/>
            <rFont val="Tahoma"/>
            <family val="2"/>
          </rPr>
          <t>Use for all crops except soybeans and peas as well as potatoes and grazing, clover, and alfalfa</t>
        </r>
      </text>
    </comment>
    <comment ref="D58" authorId="1" shapeId="0">
      <text>
        <r>
          <rPr>
            <b/>
            <sz val="8"/>
            <color indexed="81"/>
            <rFont val="Tahoma"/>
            <family val="2"/>
          </rPr>
          <t>Assume worth $7,739</t>
        </r>
      </text>
    </comment>
    <comment ref="C59" authorId="1" shapeId="0">
      <text>
        <r>
          <rPr>
            <b/>
            <sz val="8"/>
            <color indexed="81"/>
            <rFont val="Tahoma"/>
            <family val="2"/>
          </rPr>
          <t>Use for small grain crops as well as assume can be adapted to plant peas and soybeans</t>
        </r>
      </text>
    </comment>
    <comment ref="D59" authorId="0" shapeId="0">
      <text>
        <r>
          <rPr>
            <b/>
            <sz val="8"/>
            <color indexed="81"/>
            <rFont val="Tahoma"/>
            <family val="2"/>
          </rPr>
          <t>Assume $22,000 for grain drill</t>
        </r>
      </text>
    </comment>
    <comment ref="C60" authorId="1" shapeId="0">
      <text>
        <r>
          <rPr>
            <b/>
            <sz val="8"/>
            <color indexed="81"/>
            <rFont val="Tahoma"/>
            <family val="2"/>
          </rPr>
          <t>Use for small grain crops as well as assume can be adapted to plant peas and soybeans</t>
        </r>
      </text>
    </comment>
    <comment ref="D60" authorId="0" shapeId="0">
      <text>
        <r>
          <rPr>
            <b/>
            <sz val="8"/>
            <color indexed="81"/>
            <rFont val="Tahoma"/>
            <family val="2"/>
          </rPr>
          <t>Assume $45,000 for grain drill</t>
        </r>
      </text>
    </comment>
    <comment ref="C61" authorId="1" shapeId="0">
      <text>
        <r>
          <rPr>
            <b/>
            <sz val="8"/>
            <color indexed="81"/>
            <rFont val="Tahoma"/>
            <family val="2"/>
          </rPr>
          <t>Use for small grain crops as well as assume can be adapted to plant peas and soybeans</t>
        </r>
      </text>
    </comment>
    <comment ref="D61" authorId="0" shapeId="0">
      <text>
        <r>
          <rPr>
            <b/>
            <sz val="8"/>
            <color indexed="81"/>
            <rFont val="Tahoma"/>
            <family val="2"/>
          </rPr>
          <t>Assume $57,000 for grain drill</t>
        </r>
      </text>
    </comment>
    <comment ref="C64" authorId="0" shapeId="0">
      <text>
        <r>
          <rPr>
            <b/>
            <sz val="8"/>
            <color indexed="81"/>
            <rFont val="Tahoma"/>
            <family val="2"/>
          </rPr>
          <t>Use for all crops except pasture and clover (assumed underseeded in small grain year).</t>
        </r>
      </text>
    </comment>
    <comment ref="D64" authorId="0" shapeId="0">
      <text>
        <r>
          <rPr>
            <b/>
            <sz val="8"/>
            <color indexed="81"/>
            <rFont val="Tahoma"/>
            <family val="2"/>
          </rPr>
          <t>Assume worth $21,000</t>
        </r>
      </text>
    </comment>
    <comment ref="C65" authorId="0" shapeId="0">
      <text>
        <r>
          <rPr>
            <b/>
            <sz val="8"/>
            <color indexed="81"/>
            <rFont val="Tahoma"/>
            <family val="2"/>
          </rPr>
          <t>Use for all crops except pasture and clover (assumed underseeded in small grain year).</t>
        </r>
      </text>
    </comment>
    <comment ref="D65" authorId="0" shapeId="0">
      <text>
        <r>
          <rPr>
            <b/>
            <sz val="8"/>
            <color indexed="81"/>
            <rFont val="Tahoma"/>
            <family val="2"/>
          </rPr>
          <t>Assume worth $45,000</t>
        </r>
      </text>
    </comment>
    <comment ref="C66" authorId="0" shapeId="0">
      <text>
        <r>
          <rPr>
            <b/>
            <sz val="8"/>
            <color indexed="81"/>
            <rFont val="Tahoma"/>
            <family val="2"/>
          </rPr>
          <t>Use for all crops except pasture and clover (assumed underseeded in small grain year).</t>
        </r>
      </text>
    </comment>
    <comment ref="D66" authorId="0" shapeId="0">
      <text>
        <r>
          <rPr>
            <b/>
            <sz val="8"/>
            <color indexed="81"/>
            <rFont val="Tahoma"/>
            <family val="2"/>
          </rPr>
          <t>Assume worth $234,000</t>
        </r>
      </text>
    </comment>
    <comment ref="C69" authorId="2" shapeId="0">
      <text>
        <r>
          <rPr>
            <b/>
            <sz val="9"/>
            <color indexed="81"/>
            <rFont val="Tahoma"/>
            <family val="2"/>
          </rPr>
          <t>Use for buckwheat only</t>
        </r>
      </text>
    </comment>
    <comment ref="D69" authorId="2" shapeId="0">
      <text>
        <r>
          <rPr>
            <b/>
            <sz val="9"/>
            <color indexed="81"/>
            <rFont val="Tahoma"/>
            <family val="2"/>
          </rPr>
          <t>Assume worth $22,000</t>
        </r>
      </text>
    </comment>
    <comment ref="C70" authorId="2" shapeId="0">
      <text>
        <r>
          <rPr>
            <b/>
            <sz val="9"/>
            <color indexed="81"/>
            <rFont val="Tahoma"/>
            <family val="2"/>
          </rPr>
          <t>Use for buckwheat only</t>
        </r>
      </text>
    </comment>
    <comment ref="D70" authorId="2" shapeId="0">
      <text>
        <r>
          <rPr>
            <b/>
            <sz val="9"/>
            <color indexed="81"/>
            <rFont val="Tahoma"/>
            <family val="2"/>
          </rPr>
          <t>Assume worth $22,000</t>
        </r>
      </text>
    </comment>
    <comment ref="C71" authorId="2" shapeId="0">
      <text>
        <r>
          <rPr>
            <b/>
            <sz val="9"/>
            <color indexed="81"/>
            <rFont val="Tahoma"/>
            <family val="2"/>
          </rPr>
          <t>Use for buckwheat only</t>
        </r>
      </text>
    </comment>
    <comment ref="D71" authorId="2" shapeId="0">
      <text>
        <r>
          <rPr>
            <b/>
            <sz val="9"/>
            <color indexed="81"/>
            <rFont val="Tahoma"/>
            <family val="2"/>
          </rPr>
          <t>Assume worth $180,000</t>
        </r>
      </text>
    </comment>
    <comment ref="C72" authorId="1" shapeId="0">
      <text>
        <r>
          <rPr>
            <b/>
            <sz val="8"/>
            <color indexed="81"/>
            <rFont val="Tahoma"/>
            <family val="2"/>
          </rPr>
          <t>Use for grain corn, barley, oats, rye, wheat, triticale, spelt, peas, and soybeans as well as canola.</t>
        </r>
      </text>
    </comment>
    <comment ref="D72" authorId="0" shapeId="0">
      <text>
        <r>
          <rPr>
            <b/>
            <sz val="8"/>
            <color indexed="81"/>
            <rFont val="Tahoma"/>
            <family val="2"/>
          </rPr>
          <t>Assume half of $284,000 for combine so this is $142,000</t>
        </r>
      </text>
    </comment>
    <comment ref="C73" authorId="1" shapeId="0">
      <text>
        <r>
          <rPr>
            <b/>
            <sz val="8"/>
            <color indexed="81"/>
            <rFont val="Tahoma"/>
            <family val="2"/>
          </rPr>
          <t>Use for grain corn, barley, oats, rye, wheat, triticale, spelt, peas, and soybeans as well as canola.</t>
        </r>
      </text>
    </comment>
    <comment ref="D73" authorId="0" shapeId="0">
      <text>
        <r>
          <rPr>
            <b/>
            <sz val="8"/>
            <color indexed="81"/>
            <rFont val="Tahoma"/>
            <family val="2"/>
          </rPr>
          <t xml:space="preserve">Assume $213,000 </t>
        </r>
      </text>
    </comment>
    <comment ref="C74" authorId="1" shapeId="0">
      <text>
        <r>
          <rPr>
            <b/>
            <sz val="8"/>
            <color indexed="81"/>
            <rFont val="Tahoma"/>
            <family val="2"/>
          </rPr>
          <t>Use for grain corn, barley, oats, rye, wheat, triticale, spelt, peas, and soybeans as well as canola.</t>
        </r>
      </text>
    </comment>
    <comment ref="D74" authorId="0" shapeId="0">
      <text>
        <r>
          <rPr>
            <b/>
            <sz val="8"/>
            <color indexed="81"/>
            <rFont val="Tahoma"/>
            <family val="2"/>
          </rPr>
          <t xml:space="preserve">Assume $284,000 </t>
        </r>
      </text>
    </comment>
    <comment ref="C75" authorId="1" shapeId="0">
      <text>
        <r>
          <rPr>
            <b/>
            <sz val="8"/>
            <color indexed="81"/>
            <rFont val="Tahoma"/>
            <family val="2"/>
          </rPr>
          <t>Use for grain corn, barley, oats, rye, wheat, triticale, spelt, and canola</t>
        </r>
      </text>
    </comment>
    <comment ref="D75" authorId="2" shapeId="0">
      <text>
        <r>
          <rPr>
            <b/>
            <sz val="9"/>
            <color indexed="81"/>
            <rFont val="Tahoma"/>
            <family val="2"/>
          </rPr>
          <t>Assume worth $32,250</t>
        </r>
      </text>
    </comment>
    <comment ref="C76" authorId="1" shapeId="0">
      <text>
        <r>
          <rPr>
            <b/>
            <sz val="8"/>
            <color indexed="81"/>
            <rFont val="Tahoma"/>
            <family val="2"/>
          </rPr>
          <t>Use for grain corn, barley, oats, rye, wheat, triticale, spelt, and canola</t>
        </r>
      </text>
    </comment>
    <comment ref="D76" authorId="2" shapeId="0">
      <text>
        <r>
          <rPr>
            <b/>
            <sz val="9"/>
            <color indexed="81"/>
            <rFont val="Tahoma"/>
            <family val="2"/>
          </rPr>
          <t>Assume worth $43,000</t>
        </r>
      </text>
    </comment>
    <comment ref="C77" authorId="1" shapeId="0">
      <text>
        <r>
          <rPr>
            <b/>
            <sz val="8"/>
            <color indexed="81"/>
            <rFont val="Tahoma"/>
            <family val="2"/>
          </rPr>
          <t>Use for grain corn, barley, oats, rye, wheat, triticale, spelt, and canola</t>
        </r>
      </text>
    </comment>
    <comment ref="D77" authorId="2" shapeId="0">
      <text>
        <r>
          <rPr>
            <b/>
            <sz val="9"/>
            <color indexed="81"/>
            <rFont val="Tahoma"/>
            <family val="2"/>
          </rPr>
          <t>Assume worth $75,000</t>
        </r>
      </text>
    </comment>
    <comment ref="C78" authorId="2" shapeId="0">
      <text>
        <r>
          <rPr>
            <b/>
            <sz val="9"/>
            <color indexed="81"/>
            <rFont val="Tahoma"/>
            <family val="2"/>
          </rPr>
          <t>Use for dry hay, clover, grazing pasture (if opt to bale this), as well as for straw from small grains such as barley, oats, rye, wheat, triticale, and spelt</t>
        </r>
      </text>
    </comment>
    <comment ref="D78" authorId="2" shapeId="0">
      <text>
        <r>
          <rPr>
            <b/>
            <sz val="9"/>
            <color indexed="81"/>
            <rFont val="Tahoma"/>
            <family val="2"/>
          </rPr>
          <t>Assume worth $7,000</t>
        </r>
      </text>
    </comment>
    <comment ref="C79" authorId="2" shapeId="0">
      <text>
        <r>
          <rPr>
            <b/>
            <sz val="9"/>
            <color indexed="81"/>
            <rFont val="Tahoma"/>
            <family val="2"/>
          </rPr>
          <t>Use for dry hay, clover, grazing pasture (if opt to bale this), as well as for straw from small grains such as barley, oats, rye, wheat, triticale, and spelt</t>
        </r>
      </text>
    </comment>
    <comment ref="D79" authorId="2" shapeId="0">
      <text>
        <r>
          <rPr>
            <b/>
            <sz val="9"/>
            <color indexed="81"/>
            <rFont val="Tahoma"/>
            <family val="2"/>
          </rPr>
          <t>Assume worth $15,750</t>
        </r>
      </text>
    </comment>
    <comment ref="B80" authorId="3" shapeId="0">
      <text>
        <r>
          <rPr>
            <b/>
            <sz val="8"/>
            <color indexed="81"/>
            <rFont val="Tahoma"/>
            <family val="2"/>
          </rPr>
          <t>Old value assumed this is zero since just use round baler.</t>
        </r>
      </text>
    </comment>
    <comment ref="C80" authorId="2" shapeId="0">
      <text>
        <r>
          <rPr>
            <b/>
            <sz val="9"/>
            <color indexed="81"/>
            <rFont val="Tahoma"/>
            <family val="2"/>
          </rPr>
          <t>Use for dry hay, clover, grazing pasture (if opt to bale this), as well as for straw from small grains such as barley, oats, rye, wheat, triticale, and spelt</t>
        </r>
        <r>
          <rPr>
            <sz val="9"/>
            <color indexed="81"/>
            <rFont val="Tahoma"/>
            <family val="2"/>
          </rPr>
          <t xml:space="preserve">
</t>
        </r>
      </text>
    </comment>
    <comment ref="D80" authorId="2" shapeId="0">
      <text>
        <r>
          <rPr>
            <b/>
            <sz val="9"/>
            <color indexed="81"/>
            <rFont val="Tahoma"/>
            <family val="2"/>
          </rPr>
          <t>Assume worth $16,500</t>
        </r>
      </text>
    </comment>
    <comment ref="C83" authorId="0" shapeId="0">
      <text>
        <r>
          <rPr>
            <b/>
            <sz val="8"/>
            <color indexed="81"/>
            <rFont val="Tahoma"/>
            <family val="2"/>
          </rPr>
          <t>Use for all crops</t>
        </r>
      </text>
    </comment>
    <comment ref="D83" authorId="0" shapeId="0">
      <text>
        <r>
          <rPr>
            <b/>
            <sz val="8"/>
            <color indexed="81"/>
            <rFont val="Tahoma"/>
            <family val="2"/>
          </rPr>
          <t>Assume worth $125</t>
        </r>
      </text>
    </comment>
    <comment ref="C84" authorId="0" shapeId="0">
      <text>
        <r>
          <rPr>
            <b/>
            <sz val="8"/>
            <color indexed="81"/>
            <rFont val="Tahoma"/>
            <family val="2"/>
          </rPr>
          <t>Use for all crops</t>
        </r>
      </text>
    </comment>
    <comment ref="D84" authorId="0" shapeId="0">
      <text>
        <r>
          <rPr>
            <b/>
            <sz val="8"/>
            <color indexed="81"/>
            <rFont val="Tahoma"/>
            <family val="2"/>
          </rPr>
          <t>Assume worth $1,254</t>
        </r>
      </text>
    </comment>
    <comment ref="C85" authorId="0" shapeId="0">
      <text>
        <r>
          <rPr>
            <b/>
            <sz val="8"/>
            <color indexed="81"/>
            <rFont val="Tahoma"/>
            <family val="2"/>
          </rPr>
          <t>Use for all crops</t>
        </r>
      </text>
    </comment>
    <comment ref="D85" authorId="0" shapeId="0">
      <text>
        <r>
          <rPr>
            <b/>
            <sz val="8"/>
            <color indexed="81"/>
            <rFont val="Tahoma"/>
            <family val="2"/>
          </rPr>
          <t>Assume worth $627</t>
        </r>
      </text>
    </comment>
    <comment ref="C86" authorId="0" shapeId="0">
      <text>
        <r>
          <rPr>
            <b/>
            <sz val="8"/>
            <color indexed="81"/>
            <rFont val="Tahoma"/>
            <family val="2"/>
          </rPr>
          <t>Use for all crops</t>
        </r>
      </text>
    </comment>
    <comment ref="D86" authorId="0" shapeId="0">
      <text>
        <r>
          <rPr>
            <b/>
            <sz val="8"/>
            <color indexed="81"/>
            <rFont val="Tahoma"/>
            <family val="2"/>
          </rPr>
          <t>Assume worth $6,268</t>
        </r>
      </text>
    </comment>
    <comment ref="C87" authorId="0" shapeId="0">
      <text>
        <r>
          <rPr>
            <b/>
            <sz val="8"/>
            <color indexed="81"/>
            <rFont val="Tahoma"/>
            <family val="2"/>
          </rPr>
          <t>Use for all crops</t>
        </r>
      </text>
    </comment>
    <comment ref="D87" authorId="0" shapeId="0">
      <text>
        <r>
          <rPr>
            <b/>
            <sz val="8"/>
            <color indexed="81"/>
            <rFont val="Tahoma"/>
            <family val="2"/>
          </rPr>
          <t>Assume worth $1,254</t>
        </r>
      </text>
    </comment>
    <comment ref="C88" authorId="0" shapeId="0">
      <text>
        <r>
          <rPr>
            <b/>
            <sz val="8"/>
            <color indexed="81"/>
            <rFont val="Tahoma"/>
            <family val="2"/>
          </rPr>
          <t>Use for all crops</t>
        </r>
      </text>
    </comment>
    <comment ref="D88" authorId="0" shapeId="0">
      <text>
        <r>
          <rPr>
            <b/>
            <sz val="8"/>
            <color indexed="81"/>
            <rFont val="Tahoma"/>
            <family val="2"/>
          </rPr>
          <t>Assume worth $12,536</t>
        </r>
      </text>
    </comment>
    <comment ref="C91" authorId="1" shapeId="0">
      <text>
        <r>
          <rPr>
            <b/>
            <sz val="8"/>
            <color indexed="81"/>
            <rFont val="Tahoma"/>
            <family val="2"/>
          </rPr>
          <t>Use for grain corn, barley, oats, rye, wheat, triticale, spelt, peas, and soybeans as well as canola.</t>
        </r>
      </text>
    </comment>
    <comment ref="D91" authorId="0" shapeId="0">
      <text>
        <r>
          <rPr>
            <b/>
            <sz val="8"/>
            <color indexed="81"/>
            <rFont val="Tahoma"/>
            <family val="2"/>
          </rPr>
          <t>Assume worth $1000</t>
        </r>
      </text>
    </comment>
    <comment ref="C92" authorId="1" shapeId="0">
      <text>
        <r>
          <rPr>
            <b/>
            <sz val="8"/>
            <color indexed="81"/>
            <rFont val="Tahoma"/>
            <family val="2"/>
          </rPr>
          <t>Use for grain corn, barley, oats, rye, wheat, triticale, spelt, peas, and soybeans as well as canola.</t>
        </r>
      </text>
    </comment>
    <comment ref="D92" authorId="0" shapeId="0">
      <text>
        <r>
          <rPr>
            <b/>
            <sz val="8"/>
            <color indexed="81"/>
            <rFont val="Tahoma"/>
            <family val="2"/>
          </rPr>
          <t>Assume worth $1000</t>
        </r>
      </text>
    </comment>
    <comment ref="C93" authorId="1" shapeId="0">
      <text>
        <r>
          <rPr>
            <b/>
            <sz val="8"/>
            <color indexed="81"/>
            <rFont val="Tahoma"/>
            <family val="2"/>
          </rPr>
          <t>Use for grain corn, barley, oats, rye, wheat, triticale, spelt, peas, and soybeans as well as canola.</t>
        </r>
      </text>
    </comment>
    <comment ref="D93" authorId="0" shapeId="0">
      <text>
        <r>
          <rPr>
            <b/>
            <sz val="8"/>
            <color indexed="81"/>
            <rFont val="Tahoma"/>
            <family val="2"/>
          </rPr>
          <t>Assume worth $1000</t>
        </r>
      </text>
    </comment>
    <comment ref="C96" authorId="1" shapeId="0">
      <text>
        <r>
          <rPr>
            <b/>
            <sz val="8"/>
            <color indexed="81"/>
            <rFont val="Tahoma"/>
            <family val="2"/>
          </rPr>
          <t>Use for grain corn, barley, oats, rye, wheat, triticale, spelt, peas, and soybeans as well as canola.</t>
        </r>
      </text>
    </comment>
    <comment ref="D96" authorId="2" shapeId="0">
      <text>
        <r>
          <rPr>
            <b/>
            <sz val="9"/>
            <color indexed="81"/>
            <rFont val="Tahoma"/>
            <family val="2"/>
          </rPr>
          <t>Assume worth $4,000</t>
        </r>
      </text>
    </comment>
    <comment ref="C97" authorId="1" shapeId="0">
      <text>
        <r>
          <rPr>
            <b/>
            <sz val="8"/>
            <color indexed="81"/>
            <rFont val="Tahoma"/>
            <family val="2"/>
          </rPr>
          <t>Use for grain corn, barley, oats, rye, wheat, triticale, spelt, peas, and soybeans as well as canola.</t>
        </r>
      </text>
    </comment>
    <comment ref="D97" authorId="2" shapeId="0">
      <text>
        <r>
          <rPr>
            <b/>
            <sz val="9"/>
            <color indexed="81"/>
            <rFont val="Tahoma"/>
            <family val="2"/>
          </rPr>
          <t>Assume worth $4,000</t>
        </r>
      </text>
    </comment>
    <comment ref="C98" authorId="1" shapeId="0">
      <text>
        <r>
          <rPr>
            <b/>
            <sz val="8"/>
            <color indexed="81"/>
            <rFont val="Tahoma"/>
            <family val="2"/>
          </rPr>
          <t>Use for grain corn, barley, oats, rye, wheat, triticale, spelt, peas, and soybeans as well as canola.</t>
        </r>
      </text>
    </comment>
    <comment ref="D98" authorId="2" shapeId="0">
      <text>
        <r>
          <rPr>
            <b/>
            <sz val="9"/>
            <color indexed="81"/>
            <rFont val="Tahoma"/>
            <family val="2"/>
          </rPr>
          <t>Assume worth $4,000</t>
        </r>
      </text>
    </comment>
    <comment ref="C99" authorId="1" shapeId="0">
      <text>
        <r>
          <rPr>
            <b/>
            <sz val="8"/>
            <color indexed="81"/>
            <rFont val="Tahoma"/>
            <family val="2"/>
          </rPr>
          <t>Use for grain corn, barley, oats, rye, wheat, triticale, spelt, peas, and soybeans.</t>
        </r>
      </text>
    </comment>
    <comment ref="D99" authorId="2" shapeId="0">
      <text>
        <r>
          <rPr>
            <b/>
            <sz val="9"/>
            <color indexed="81"/>
            <rFont val="Tahoma"/>
            <family val="2"/>
          </rPr>
          <t>Assume worth $1,880</t>
        </r>
      </text>
    </comment>
    <comment ref="A103"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4"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105"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13" authorId="1" shapeId="0">
      <text>
        <r>
          <rPr>
            <b/>
            <sz val="8"/>
            <color indexed="81"/>
            <rFont val="Tahoma"/>
            <family val="2"/>
          </rPr>
          <t>Use for all crops</t>
        </r>
      </text>
    </comment>
    <comment ref="D113" authorId="0" shapeId="0">
      <text>
        <r>
          <rPr>
            <b/>
            <sz val="8"/>
            <color indexed="81"/>
            <rFont val="Tahoma"/>
            <family val="2"/>
          </rPr>
          <t>Assume worth $50,000</t>
        </r>
      </text>
    </comment>
    <comment ref="C114" authorId="1" shapeId="0">
      <text>
        <r>
          <rPr>
            <b/>
            <sz val="8"/>
            <color indexed="81"/>
            <rFont val="Tahoma"/>
            <family val="2"/>
          </rPr>
          <t>Use for all crops</t>
        </r>
      </text>
    </comment>
    <comment ref="D114" authorId="0" shapeId="0">
      <text>
        <r>
          <rPr>
            <b/>
            <sz val="8"/>
            <color indexed="81"/>
            <rFont val="Tahoma"/>
            <family val="2"/>
          </rPr>
          <t>Assume worth $100,000</t>
        </r>
      </text>
    </comment>
    <comment ref="C115" authorId="1" shapeId="0">
      <text>
        <r>
          <rPr>
            <b/>
            <sz val="8"/>
            <color indexed="81"/>
            <rFont val="Tahoma"/>
            <family val="2"/>
          </rPr>
          <t>Use for all crops</t>
        </r>
      </text>
    </comment>
    <comment ref="D115" authorId="0" shapeId="0">
      <text>
        <r>
          <rPr>
            <b/>
            <sz val="8"/>
            <color indexed="81"/>
            <rFont val="Tahoma"/>
            <family val="2"/>
          </rPr>
          <t>Assume worth $200,000</t>
        </r>
      </text>
    </comment>
  </commentList>
</comments>
</file>

<file path=xl/comments35.xml><?xml version="1.0" encoding="utf-8"?>
<comments xmlns="http://schemas.openxmlformats.org/spreadsheetml/2006/main">
  <authors>
    <author>Sensei</author>
    <author xml:space="preserve"> </author>
    <author>REP</author>
    <author>aaron hoshide</author>
  </authors>
  <commentList>
    <comment ref="C9" authorId="0" shapeId="0">
      <text>
        <r>
          <rPr>
            <b/>
            <sz val="9"/>
            <color indexed="81"/>
            <rFont val="Tahoma"/>
            <family val="2"/>
          </rPr>
          <t>From Tom Molloy</t>
        </r>
      </text>
    </comment>
    <comment ref="F9" authorId="1" shapeId="0">
      <text>
        <r>
          <rPr>
            <b/>
            <sz val="8"/>
            <color indexed="81"/>
            <rFont val="Tahoma"/>
            <family val="2"/>
          </rPr>
          <t>From Tom Molloy
=32/50
0.64</t>
        </r>
      </text>
    </comment>
    <comment ref="B14" authorId="0" shapeId="0">
      <text>
        <r>
          <rPr>
            <b/>
            <sz val="9"/>
            <color indexed="81"/>
            <rFont val="Tahoma"/>
            <family val="2"/>
          </rPr>
          <t>Default:
0</t>
        </r>
      </text>
    </comment>
    <comment ref="C14" authorId="1" shapeId="0">
      <text>
        <r>
          <rPr>
            <b/>
            <sz val="8"/>
            <color indexed="81"/>
            <rFont val="Tahoma"/>
            <family val="2"/>
          </rPr>
          <t>Old value:
=limeapp
Old value of 0.61 (=0.6065).</t>
        </r>
      </text>
    </comment>
    <comment ref="F14" authorId="0" shapeId="0">
      <text>
        <r>
          <rPr>
            <b/>
            <sz val="9"/>
            <color indexed="81"/>
            <rFont val="Tahoma"/>
            <family val="2"/>
          </rPr>
          <t>Old value:
=lime</t>
        </r>
      </text>
    </comment>
    <comment ref="B21" authorId="0" shapeId="0">
      <text>
        <r>
          <rPr>
            <b/>
            <sz val="9"/>
            <color indexed="81"/>
            <rFont val="Tahoma"/>
            <family val="2"/>
          </rPr>
          <t>Default:
1</t>
        </r>
      </text>
    </comment>
    <comment ref="B22" authorId="0" shapeId="0">
      <text>
        <r>
          <rPr>
            <b/>
            <sz val="9"/>
            <color indexed="81"/>
            <rFont val="Tahoma"/>
            <family val="2"/>
          </rPr>
          <t>Default:
1</t>
        </r>
      </text>
    </comment>
    <comment ref="B23" authorId="0" shapeId="0">
      <text>
        <r>
          <rPr>
            <b/>
            <sz val="9"/>
            <color indexed="81"/>
            <rFont val="Tahoma"/>
            <family val="2"/>
          </rPr>
          <t>Default:
1</t>
        </r>
      </text>
    </comment>
    <comment ref="B24" authorId="0" shapeId="0">
      <text>
        <r>
          <rPr>
            <b/>
            <sz val="9"/>
            <color indexed="81"/>
            <rFont val="Tahoma"/>
            <family val="2"/>
          </rPr>
          <t>Default:
1</t>
        </r>
      </text>
    </comment>
    <comment ref="B25" authorId="0" shapeId="0">
      <text>
        <r>
          <rPr>
            <b/>
            <sz val="9"/>
            <color indexed="81"/>
            <rFont val="Tahoma"/>
            <family val="2"/>
          </rPr>
          <t>Default:
1</t>
        </r>
      </text>
    </comment>
    <comment ref="C25" authorId="1" shapeId="0">
      <text>
        <r>
          <rPr>
            <b/>
            <sz val="8"/>
            <color indexed="81"/>
            <rFont val="Tahoma"/>
            <family val="2"/>
          </rPr>
          <t>Old value of 0.0934185838781329</t>
        </r>
      </text>
    </comment>
    <comment ref="B26" authorId="0" shapeId="0">
      <text>
        <r>
          <rPr>
            <b/>
            <sz val="9"/>
            <color indexed="81"/>
            <rFont val="Tahoma"/>
            <family val="2"/>
          </rPr>
          <t>Default:
1</t>
        </r>
      </text>
    </comment>
    <comment ref="B27" authorId="0" shapeId="0">
      <text>
        <r>
          <rPr>
            <b/>
            <sz val="9"/>
            <color indexed="81"/>
            <rFont val="Tahoma"/>
            <family val="2"/>
          </rPr>
          <t>Default:
2</t>
        </r>
      </text>
    </comment>
    <comment ref="I27" authorId="0" shapeId="0">
      <text>
        <r>
          <rPr>
            <b/>
            <sz val="9"/>
            <color indexed="81"/>
            <rFont val="Tahoma"/>
            <charset val="1"/>
          </rPr>
          <t>Assumed as default number</t>
        </r>
      </text>
    </comment>
    <comment ref="C28" authorId="1" shapeId="0">
      <text>
        <r>
          <rPr>
            <sz val="8"/>
            <color indexed="81"/>
            <rFont val="Tahoma"/>
            <family val="2"/>
          </rPr>
          <t>Old value of 0.283205812177919</t>
        </r>
      </text>
    </comment>
    <comment ref="B31" authorId="0" shapeId="0">
      <text>
        <r>
          <rPr>
            <b/>
            <sz val="9"/>
            <color indexed="81"/>
            <rFont val="Tahoma"/>
            <family val="2"/>
          </rPr>
          <t>Default:
2</t>
        </r>
      </text>
    </comment>
    <comment ref="B32" authorId="0" shapeId="0">
      <text>
        <r>
          <rPr>
            <b/>
            <sz val="9"/>
            <color indexed="81"/>
            <rFont val="Tahoma"/>
            <family val="2"/>
          </rPr>
          <t>Default:
0</t>
        </r>
      </text>
    </comment>
    <comment ref="B34" authorId="0" shapeId="0">
      <text>
        <r>
          <rPr>
            <b/>
            <sz val="9"/>
            <color indexed="81"/>
            <rFont val="Tahoma"/>
            <family val="2"/>
          </rPr>
          <t>Default:
0</t>
        </r>
      </text>
    </comment>
    <comment ref="B35" authorId="0" shapeId="0">
      <text>
        <r>
          <rPr>
            <b/>
            <sz val="9"/>
            <color indexed="81"/>
            <rFont val="Tahoma"/>
            <family val="2"/>
          </rPr>
          <t>Default:
1</t>
        </r>
      </text>
    </comment>
    <comment ref="B36" authorId="1" shapeId="0">
      <text>
        <r>
          <rPr>
            <sz val="8"/>
            <color indexed="81"/>
            <rFont val="Tahoma"/>
            <family val="2"/>
          </rPr>
          <t>Assume that there is no change for this since it takes the same time to pass over the field.</t>
        </r>
      </text>
    </comment>
    <comment ref="B37" authorId="0" shapeId="0">
      <text>
        <r>
          <rPr>
            <b/>
            <sz val="9"/>
            <color indexed="81"/>
            <rFont val="Tahoma"/>
            <family val="2"/>
          </rPr>
          <t>Default:
1</t>
        </r>
      </text>
    </comment>
    <comment ref="C37" authorId="0" shapeId="0">
      <text>
        <r>
          <rPr>
            <b/>
            <sz val="9"/>
            <color indexed="81"/>
            <rFont val="Tahoma"/>
            <family val="2"/>
          </rPr>
          <t>Assume adjust trucking in proportion to crop volume.</t>
        </r>
      </text>
    </comment>
    <comment ref="B40" authorId="0" shapeId="0">
      <text>
        <r>
          <rPr>
            <b/>
            <sz val="9"/>
            <color indexed="81"/>
            <rFont val="Tahoma"/>
            <family val="2"/>
          </rPr>
          <t>Default:
1</t>
        </r>
      </text>
    </comment>
    <comment ref="J42" authorId="1" shapeId="0">
      <text>
        <r>
          <rPr>
            <b/>
            <sz val="8"/>
            <color indexed="81"/>
            <rFont val="Tahoma"/>
            <family val="2"/>
          </rPr>
          <t>Calculate this for wheat baseline of 500 bu x 60 lb/bu = 30,000 lb capacity.</t>
        </r>
      </text>
    </comment>
    <comment ref="N42" authorId="0" shapeId="0">
      <text>
        <r>
          <rPr>
            <b/>
            <sz val="9"/>
            <color indexed="81"/>
            <rFont val="Tahoma"/>
            <family val="2"/>
          </rPr>
          <t>Default:
500</t>
        </r>
      </text>
    </comment>
    <comment ref="B43" authorId="0" shapeId="0">
      <text>
        <r>
          <rPr>
            <b/>
            <sz val="9"/>
            <color indexed="81"/>
            <rFont val="Tahoma"/>
            <family val="2"/>
          </rPr>
          <t>Default:
1</t>
        </r>
      </text>
    </comment>
    <comment ref="C43" authorId="0" shapeId="0">
      <text>
        <r>
          <rPr>
            <b/>
            <sz val="9"/>
            <color indexed="81"/>
            <rFont val="Tahoma"/>
            <family val="2"/>
          </rPr>
          <t>Base hours to dry 3,300 bu of grain on Iowa State calculator ($422/$12.29). Adjust to total bushels produced.
=((422/12.29)*(PeaBudget!B9/3300))/peas</t>
        </r>
      </text>
    </comment>
    <comment ref="J43" authorId="1" shapeId="0">
      <text>
        <r>
          <rPr>
            <b/>
            <sz val="8"/>
            <color indexed="81"/>
            <rFont val="Tahoma"/>
            <family val="2"/>
          </rPr>
          <t>Calculate this for wheat baseline of 1000 bu x 60 lb/bu = 60,000 lb capacity.</t>
        </r>
      </text>
    </comment>
    <comment ref="N43" authorId="0" shapeId="0">
      <text>
        <r>
          <rPr>
            <b/>
            <sz val="9"/>
            <color indexed="81"/>
            <rFont val="Tahoma"/>
            <family val="2"/>
          </rPr>
          <t>Default:
1,000</t>
        </r>
      </text>
    </comment>
    <comment ref="P46"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47" authorId="0" shapeId="0">
      <text>
        <r>
          <rPr>
            <b/>
            <sz val="9"/>
            <color indexed="81"/>
            <rFont val="Tahoma"/>
            <family val="2"/>
          </rPr>
          <t>Consistent with old value of 1
Assume NOT close enough to not use truck</t>
        </r>
      </text>
    </comment>
    <comment ref="P47" authorId="0" shapeId="0">
      <text>
        <r>
          <rPr>
            <b/>
            <sz val="9"/>
            <color indexed="81"/>
            <rFont val="Tahoma"/>
            <family val="2"/>
          </rPr>
          <t>Default:
20</t>
        </r>
      </text>
    </comment>
    <comment ref="Q47" authorId="0" shapeId="0">
      <text>
        <r>
          <rPr>
            <b/>
            <sz val="9"/>
            <color indexed="81"/>
            <rFont val="Tahoma"/>
            <family val="2"/>
          </rPr>
          <t xml:space="preserve">Default:
40
</t>
        </r>
      </text>
    </comment>
    <comment ref="P49"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50" authorId="0" shapeId="0">
      <text>
        <r>
          <rPr>
            <b/>
            <sz val="9"/>
            <color indexed="81"/>
            <rFont val="Tahoma"/>
            <family val="2"/>
          </rPr>
          <t>Old value of 1
Assume close enough to not use truck</t>
        </r>
      </text>
    </comment>
    <comment ref="P50" authorId="0" shapeId="0">
      <text>
        <r>
          <rPr>
            <b/>
            <sz val="9"/>
            <color indexed="81"/>
            <rFont val="Tahoma"/>
            <family val="2"/>
          </rPr>
          <t>Default:
20</t>
        </r>
      </text>
    </comment>
    <comment ref="Q50" authorId="0" shapeId="0">
      <text>
        <r>
          <rPr>
            <b/>
            <sz val="9"/>
            <color indexed="81"/>
            <rFont val="Tahoma"/>
            <family val="2"/>
          </rPr>
          <t>Default:
40</t>
        </r>
      </text>
    </comment>
    <comment ref="P53" authorId="0" shapeId="0">
      <text>
        <r>
          <rPr>
            <b/>
            <sz val="9"/>
            <color indexed="81"/>
            <rFont val="Tahoma"/>
            <family val="2"/>
          </rPr>
          <t>Default:
100%</t>
        </r>
      </text>
    </comment>
    <comment ref="Q53" authorId="0" shapeId="0">
      <text>
        <r>
          <rPr>
            <b/>
            <sz val="9"/>
            <color indexed="81"/>
            <rFont val="Tahoma"/>
            <family val="2"/>
          </rPr>
          <t>Default:
0%</t>
        </r>
      </text>
    </comment>
    <comment ref="B69" authorId="1" shapeId="0">
      <text>
        <r>
          <rPr>
            <sz val="8"/>
            <color indexed="81"/>
            <rFont val="Tahoma"/>
            <family val="2"/>
          </rPr>
          <t>Assume that there is no change for this since it takes the same time to pass over the field.</t>
        </r>
      </text>
    </comment>
    <comment ref="J75" authorId="1" shapeId="0">
      <text>
        <r>
          <rPr>
            <b/>
            <sz val="8"/>
            <color indexed="81"/>
            <rFont val="Tahoma"/>
            <family val="2"/>
          </rPr>
          <t>Calculate this for wheat baseline of 500 bu x 60 lb/bu = 30,000 lb capacity.</t>
        </r>
      </text>
    </comment>
    <comment ref="N75" authorId="0" shapeId="0">
      <text>
        <r>
          <rPr>
            <b/>
            <sz val="9"/>
            <color indexed="81"/>
            <rFont val="Tahoma"/>
            <family val="2"/>
          </rPr>
          <t>Default:
500</t>
        </r>
      </text>
    </comment>
    <comment ref="C76" authorId="1" shapeId="0">
      <text>
        <r>
          <rPr>
            <b/>
            <sz val="8"/>
            <color indexed="81"/>
            <rFont val="Tahoma"/>
            <family val="2"/>
          </rPr>
          <t>Assume this is zero.</t>
        </r>
      </text>
    </comment>
    <comment ref="J76" authorId="1" shapeId="0">
      <text>
        <r>
          <rPr>
            <b/>
            <sz val="8"/>
            <color indexed="81"/>
            <rFont val="Tahoma"/>
            <family val="2"/>
          </rPr>
          <t>Calculate this for wheat baseline of 1000 bu x 60 lb/bu = 60,000 lb capacity.</t>
        </r>
      </text>
    </comment>
    <comment ref="N76" authorId="0" shapeId="0">
      <text>
        <r>
          <rPr>
            <b/>
            <sz val="9"/>
            <color indexed="81"/>
            <rFont val="Tahoma"/>
            <family val="2"/>
          </rPr>
          <t>Default:
1,000</t>
        </r>
      </text>
    </comment>
    <comment ref="P79"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0" authorId="0" shapeId="0">
      <text>
        <r>
          <rPr>
            <b/>
            <sz val="9"/>
            <color indexed="81"/>
            <rFont val="Tahoma"/>
            <family val="2"/>
          </rPr>
          <t>Consistent with old value of 1
Assume NOT close enough to not use truck</t>
        </r>
      </text>
    </comment>
    <comment ref="P80" authorId="0" shapeId="0">
      <text>
        <r>
          <rPr>
            <b/>
            <sz val="9"/>
            <color indexed="81"/>
            <rFont val="Tahoma"/>
            <family val="2"/>
          </rPr>
          <t>Default:
20</t>
        </r>
      </text>
    </comment>
    <comment ref="Q80" authorId="0" shapeId="0">
      <text>
        <r>
          <rPr>
            <b/>
            <sz val="9"/>
            <color indexed="81"/>
            <rFont val="Tahoma"/>
            <family val="2"/>
          </rPr>
          <t>Default:
15</t>
        </r>
      </text>
    </comment>
    <comment ref="P82"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3" authorId="0" shapeId="0">
      <text>
        <r>
          <rPr>
            <b/>
            <sz val="9"/>
            <color indexed="81"/>
            <rFont val="Tahoma"/>
            <family val="2"/>
          </rPr>
          <t>Old value of 1
Assume close enough to not use truck</t>
        </r>
      </text>
    </comment>
    <comment ref="P83" authorId="0" shapeId="0">
      <text>
        <r>
          <rPr>
            <b/>
            <sz val="9"/>
            <color indexed="81"/>
            <rFont val="Tahoma"/>
            <family val="2"/>
          </rPr>
          <t>Default:
20</t>
        </r>
      </text>
    </comment>
    <comment ref="Q83" authorId="0" shapeId="0">
      <text>
        <r>
          <rPr>
            <b/>
            <sz val="9"/>
            <color indexed="81"/>
            <rFont val="Tahoma"/>
            <family val="2"/>
          </rPr>
          <t>Default:
7</t>
        </r>
      </text>
    </comment>
    <comment ref="P86" authorId="0" shapeId="0">
      <text>
        <r>
          <rPr>
            <b/>
            <sz val="9"/>
            <color indexed="81"/>
            <rFont val="Tahoma"/>
            <family val="2"/>
          </rPr>
          <t>Default:
100%</t>
        </r>
      </text>
    </comment>
    <comment ref="Q86" authorId="0" shapeId="0">
      <text>
        <r>
          <rPr>
            <b/>
            <sz val="9"/>
            <color indexed="81"/>
            <rFont val="Tahoma"/>
            <family val="2"/>
          </rPr>
          <t>Default:
0%</t>
        </r>
      </text>
    </comment>
    <comment ref="G87" authorId="2" shapeId="0">
      <text>
        <r>
          <rPr>
            <sz val="8"/>
            <color indexed="81"/>
            <rFont val="Tahoma"/>
            <family val="2"/>
          </rPr>
          <t>Assume this is zero.  Old value of $21.87/acre assume that this is in proportion to total equipment cost for soybeans compared to grain corn (In rotation with potatoes).</t>
        </r>
      </text>
    </comment>
    <comment ref="B88" authorId="0" shapeId="0">
      <text>
        <r>
          <rPr>
            <b/>
            <sz val="9"/>
            <color indexed="81"/>
            <rFont val="Tahoma"/>
            <family val="2"/>
          </rPr>
          <t>Default:
0</t>
        </r>
      </text>
    </comment>
    <comment ref="G88" authorId="3" shapeId="0">
      <text>
        <r>
          <rPr>
            <b/>
            <sz val="8"/>
            <color indexed="81"/>
            <rFont val="Tahoma"/>
            <family val="2"/>
          </rPr>
          <t>Old value:
=supplies
Assume this is $10/acre.  Old value of $57.59/acre assumes same cost of supplies as 2001 Farm Credit budget.</t>
        </r>
      </text>
    </comment>
    <comment ref="H88" authorId="2" shapeId="0">
      <text>
        <r>
          <rPr>
            <sz val="8"/>
            <color indexed="81"/>
            <rFont val="Tahoma"/>
            <family val="2"/>
          </rPr>
          <t>Old equation (=E44*soy*G3).</t>
        </r>
      </text>
    </comment>
    <comment ref="A89" authorId="2" shapeId="0">
      <text>
        <r>
          <rPr>
            <sz val="8"/>
            <color indexed="81"/>
            <rFont val="Tahoma"/>
            <family val="2"/>
          </rPr>
          <t>No crop insurance</t>
        </r>
      </text>
    </comment>
    <comment ref="B89" authorId="0" shapeId="0">
      <text>
        <r>
          <rPr>
            <b/>
            <sz val="9"/>
            <color indexed="81"/>
            <rFont val="Tahoma"/>
            <family val="2"/>
          </rPr>
          <t>Default:
1</t>
        </r>
      </text>
    </comment>
    <comment ref="F89" authorId="3" shapeId="0">
      <text>
        <r>
          <rPr>
            <b/>
            <sz val="8"/>
            <color indexed="81"/>
            <rFont val="Tahoma"/>
            <family val="2"/>
          </rPr>
          <t>Old value:
=cropins
Assume same as enterprise budget for potatoes</t>
        </r>
      </text>
    </comment>
    <comment ref="G89" authorId="0" shapeId="0">
      <text>
        <r>
          <rPr>
            <b/>
            <sz val="9"/>
            <color indexed="81"/>
            <rFont val="Tahoma"/>
            <family val="2"/>
          </rPr>
          <t>Old value:
=F73
Old value assumed same as enterprise budget for potatoes</t>
        </r>
      </text>
    </comment>
    <comment ref="G90" authorId="3" shapeId="0">
      <text>
        <r>
          <rPr>
            <sz val="8"/>
            <color indexed="81"/>
            <rFont val="Tahoma"/>
            <family val="2"/>
          </rPr>
          <t>Assume this is zero.  Old value of $55.07/acre assumes same cost of insurance as 2001 Farm Credit budget including calculated crop insurance.</t>
        </r>
      </text>
    </comment>
    <comment ref="G92" authorId="3"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98" authorId="0" shapeId="0">
      <text>
        <r>
          <rPr>
            <b/>
            <sz val="9"/>
            <color indexed="81"/>
            <rFont val="Tahoma"/>
            <charset val="1"/>
          </rPr>
          <t>Default assumption is for 2 cell phones</t>
        </r>
      </text>
    </comment>
    <comment ref="B99" authorId="0" shapeId="0">
      <text>
        <r>
          <rPr>
            <b/>
            <sz val="9"/>
            <color indexed="81"/>
            <rFont val="Tahoma"/>
            <family val="2"/>
          </rPr>
          <t>Apply every 5 years so this is annualized</t>
        </r>
      </text>
    </comment>
    <comment ref="F99" authorId="3"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B102" authorId="0" shapeId="0">
      <text>
        <r>
          <rPr>
            <b/>
            <sz val="9"/>
            <color indexed="81"/>
            <rFont val="Tahoma"/>
            <family val="2"/>
          </rPr>
          <t>Old value of 0</t>
        </r>
      </text>
    </comment>
    <comment ref="G102" authorId="2" shapeId="0">
      <text>
        <r>
          <rPr>
            <b/>
            <sz val="8"/>
            <color indexed="81"/>
            <rFont val="Tahoma"/>
            <family val="2"/>
          </rPr>
          <t>Old value of $0 assumed no other rental</t>
        </r>
      </text>
    </comment>
    <comment ref="G104" authorId="3" shapeId="0">
      <text>
        <r>
          <rPr>
            <b/>
            <sz val="8"/>
            <color indexed="81"/>
            <rFont val="Tahoma"/>
            <family val="2"/>
          </rPr>
          <t>If grain drying expenses, enter cost per acre here.</t>
        </r>
      </text>
    </comment>
    <comment ref="G119" authorId="3" shapeId="0">
      <text>
        <r>
          <rPr>
            <b/>
            <sz val="8"/>
            <color indexed="81"/>
            <rFont val="Tahoma"/>
            <family val="2"/>
          </rPr>
          <t>Assume this is 0
Old value assumed $5/acre for other variable miscellaneous expenses</t>
        </r>
      </text>
    </comment>
    <comment ref="A120" authorId="3" shapeId="0">
      <text>
        <r>
          <rPr>
            <sz val="8"/>
            <color indexed="81"/>
            <rFont val="Tahoma"/>
            <family val="2"/>
          </rPr>
          <t>Assume no promotion tax on soybeans</t>
        </r>
      </text>
    </comment>
    <comment ref="H121" authorId="2" shapeId="0">
      <text>
        <r>
          <rPr>
            <sz val="8"/>
            <color indexed="81"/>
            <rFont val="Tahoma"/>
            <family val="2"/>
          </rPr>
          <t>Assume this is zero</t>
        </r>
      </text>
    </comment>
  </commentList>
</comments>
</file>

<file path=xl/comments36.xml><?xml version="1.0" encoding="utf-8"?>
<comments xmlns="http://schemas.openxmlformats.org/spreadsheetml/2006/main">
  <authors>
    <author>REP</author>
    <author>aaron hoshide</author>
    <author>Sensei</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$15,000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$35,000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$35,000</t>
        </r>
      </text>
    </comment>
    <comment ref="C50" authorId="1" shapeId="0">
      <text>
        <r>
          <rPr>
            <b/>
            <sz val="8"/>
            <color indexed="81"/>
            <rFont val="Tahoma"/>
            <family val="2"/>
          </rPr>
          <t>Use for all crops for weed control at least during establishment. Requiring weeding for small grains (2x) and soybeans and peas (1x)</t>
        </r>
      </text>
    </comment>
    <comment ref="D50" authorId="2" shapeId="0">
      <text>
        <r>
          <rPr>
            <b/>
            <sz val="9"/>
            <color indexed="81"/>
            <rFont val="Tahoma"/>
            <family val="2"/>
          </rPr>
          <t>Assume worth $5,000</t>
        </r>
      </text>
    </comment>
    <comment ref="C51" authorId="1" shapeId="0">
      <text>
        <r>
          <rPr>
            <b/>
            <sz val="8"/>
            <color indexed="81"/>
            <rFont val="Tahoma"/>
            <family val="2"/>
          </rPr>
          <t>Use for all crops for weed control at least during establishment. Requiring weeding for small grains (2x) and soybeans and peas (1x)</t>
        </r>
      </text>
    </comment>
    <comment ref="D51" authorId="2" shapeId="0">
      <text>
        <r>
          <rPr>
            <b/>
            <sz val="9"/>
            <color indexed="81"/>
            <rFont val="Tahoma"/>
            <family val="2"/>
          </rPr>
          <t>Assume worth $5,000</t>
        </r>
      </text>
    </comment>
    <comment ref="C52" authorId="1" shapeId="0">
      <text>
        <r>
          <rPr>
            <b/>
            <sz val="8"/>
            <color indexed="81"/>
            <rFont val="Tahoma"/>
            <family val="2"/>
          </rPr>
          <t>Use for all crops for weed control at least during establishment. Requiring weeding for small grains (2x) and soybeans and peas (1x)</t>
        </r>
      </text>
    </comment>
    <comment ref="D52" authorId="2" shapeId="0">
      <text>
        <r>
          <rPr>
            <b/>
            <sz val="9"/>
            <color indexed="81"/>
            <rFont val="Tahoma"/>
            <family val="2"/>
          </rPr>
          <t>Assume worth $5,000</t>
        </r>
      </text>
    </comment>
    <comment ref="C55" authorId="1" shapeId="0">
      <text>
        <r>
          <rPr>
            <b/>
            <sz val="8"/>
            <color indexed="81"/>
            <rFont val="Tahoma"/>
            <family val="2"/>
          </rPr>
          <t>Use for small grain crops as well as assume can be adapted to plant peas and soybeans</t>
        </r>
      </text>
    </comment>
    <comment ref="D55" authorId="0" shapeId="0">
      <text>
        <r>
          <rPr>
            <b/>
            <sz val="8"/>
            <color indexed="81"/>
            <rFont val="Tahoma"/>
            <family val="2"/>
          </rPr>
          <t>Assume $22,000 for grain drill</t>
        </r>
      </text>
    </comment>
    <comment ref="C56" authorId="1" shapeId="0">
      <text>
        <r>
          <rPr>
            <b/>
            <sz val="8"/>
            <color indexed="81"/>
            <rFont val="Tahoma"/>
            <family val="2"/>
          </rPr>
          <t>Use for small grain crops as well as assume can be adapted to plant peas and soybeans</t>
        </r>
      </text>
    </comment>
    <comment ref="D56" authorId="0" shapeId="0">
      <text>
        <r>
          <rPr>
            <b/>
            <sz val="8"/>
            <color indexed="81"/>
            <rFont val="Tahoma"/>
            <family val="2"/>
          </rPr>
          <t>Assume $45,000 for grain drill</t>
        </r>
      </text>
    </comment>
    <comment ref="C57" authorId="1" shapeId="0">
      <text>
        <r>
          <rPr>
            <b/>
            <sz val="8"/>
            <color indexed="81"/>
            <rFont val="Tahoma"/>
            <family val="2"/>
          </rPr>
          <t>Use for small grain crops as well as assume can be adapted to plant peas and soybeans</t>
        </r>
      </text>
    </comment>
    <comment ref="D57" authorId="0" shapeId="0">
      <text>
        <r>
          <rPr>
            <b/>
            <sz val="8"/>
            <color indexed="81"/>
            <rFont val="Tahoma"/>
            <family val="2"/>
          </rPr>
          <t>Assume $57,000 for grain drill</t>
        </r>
      </text>
    </comment>
    <comment ref="C61" authorId="0" shapeId="0">
      <text>
        <r>
          <rPr>
            <b/>
            <sz val="8"/>
            <color indexed="81"/>
            <rFont val="Tahoma"/>
            <family val="2"/>
          </rPr>
          <t>Use for all crops except pasture and clover (assumed underseeded in small grain year).</t>
        </r>
      </text>
    </comment>
    <comment ref="D61" authorId="0" shapeId="0">
      <text>
        <r>
          <rPr>
            <b/>
            <sz val="8"/>
            <color indexed="81"/>
            <rFont val="Tahoma"/>
            <family val="2"/>
          </rPr>
          <t>Assume worth $21,000</t>
        </r>
      </text>
    </comment>
    <comment ref="C62" authorId="0" shapeId="0">
      <text>
        <r>
          <rPr>
            <b/>
            <sz val="8"/>
            <color indexed="81"/>
            <rFont val="Tahoma"/>
            <family val="2"/>
          </rPr>
          <t>Use for all crops except pasture and clover (assumed underseeded in small grain year).</t>
        </r>
      </text>
    </comment>
    <comment ref="D62" authorId="0" shapeId="0">
      <text>
        <r>
          <rPr>
            <b/>
            <sz val="8"/>
            <color indexed="81"/>
            <rFont val="Tahoma"/>
            <family val="2"/>
          </rPr>
          <t>Assume worth $45,000</t>
        </r>
      </text>
    </comment>
    <comment ref="C63" authorId="0" shapeId="0">
      <text>
        <r>
          <rPr>
            <b/>
            <sz val="8"/>
            <color indexed="81"/>
            <rFont val="Tahoma"/>
            <family val="2"/>
          </rPr>
          <t>Use for all crops except pasture and clover (assumed underseeded in small grain year).</t>
        </r>
      </text>
    </comment>
    <comment ref="D63" authorId="0" shapeId="0">
      <text>
        <r>
          <rPr>
            <b/>
            <sz val="8"/>
            <color indexed="81"/>
            <rFont val="Tahoma"/>
            <family val="2"/>
          </rPr>
          <t>Assume worth $234,000</t>
        </r>
      </text>
    </comment>
    <comment ref="C66" authorId="1" shapeId="0">
      <text>
        <r>
          <rPr>
            <b/>
            <sz val="8"/>
            <color indexed="81"/>
            <rFont val="Tahoma"/>
            <family val="2"/>
          </rPr>
          <t>Use for grain corn, barley, oats, rye, wheat, triticale, spelt, peas, and soybeans as well as canola.</t>
        </r>
      </text>
    </comment>
    <comment ref="D66" authorId="0" shapeId="0">
      <text>
        <r>
          <rPr>
            <b/>
            <sz val="8"/>
            <color indexed="81"/>
            <rFont val="Tahoma"/>
            <family val="2"/>
          </rPr>
          <t>Assume half of $284,000 for combine so this is $142,000</t>
        </r>
      </text>
    </comment>
    <comment ref="C67" authorId="1" shapeId="0">
      <text>
        <r>
          <rPr>
            <b/>
            <sz val="8"/>
            <color indexed="81"/>
            <rFont val="Tahoma"/>
            <family val="2"/>
          </rPr>
          <t>Use for grain corn, barley, oats, rye, wheat, triticale, spelt, peas, and soybeans as well as canola.</t>
        </r>
      </text>
    </comment>
    <comment ref="D67" authorId="0" shapeId="0">
      <text>
        <r>
          <rPr>
            <b/>
            <sz val="8"/>
            <color indexed="81"/>
            <rFont val="Tahoma"/>
            <family val="2"/>
          </rPr>
          <t xml:space="preserve">Assume $213,000 </t>
        </r>
      </text>
    </comment>
    <comment ref="C68" authorId="1" shapeId="0">
      <text>
        <r>
          <rPr>
            <b/>
            <sz val="8"/>
            <color indexed="81"/>
            <rFont val="Tahoma"/>
            <family val="2"/>
          </rPr>
          <t>Use for grain corn, barley, oats, rye, wheat, triticale, spelt, peas, and soybeans as well as canola.</t>
        </r>
      </text>
    </comment>
    <comment ref="D68" authorId="0" shapeId="0">
      <text>
        <r>
          <rPr>
            <b/>
            <sz val="8"/>
            <color indexed="81"/>
            <rFont val="Tahoma"/>
            <family val="2"/>
          </rPr>
          <t xml:space="preserve">Assume $284,000 </t>
        </r>
      </text>
    </comment>
    <comment ref="C69" authorId="1" shapeId="0">
      <text>
        <r>
          <rPr>
            <b/>
            <sz val="8"/>
            <color indexed="81"/>
            <rFont val="Tahoma"/>
            <family val="2"/>
          </rPr>
          <t>Use for soybeans and peas</t>
        </r>
      </text>
    </comment>
    <comment ref="D69" authorId="2" shapeId="0">
      <text>
        <r>
          <rPr>
            <b/>
            <sz val="9"/>
            <color indexed="81"/>
            <rFont val="Tahoma"/>
            <family val="2"/>
          </rPr>
          <t>Assume worth $32,250</t>
        </r>
      </text>
    </comment>
    <comment ref="C70" authorId="1" shapeId="0">
      <text>
        <r>
          <rPr>
            <b/>
            <sz val="8"/>
            <color indexed="81"/>
            <rFont val="Tahoma"/>
            <family val="2"/>
          </rPr>
          <t>Use for soybeans and peas</t>
        </r>
      </text>
    </comment>
    <comment ref="D70" authorId="2" shapeId="0">
      <text>
        <r>
          <rPr>
            <b/>
            <sz val="9"/>
            <color indexed="81"/>
            <rFont val="Tahoma"/>
            <family val="2"/>
          </rPr>
          <t>Assume worth $43,000</t>
        </r>
      </text>
    </comment>
    <comment ref="C71" authorId="1" shapeId="0">
      <text>
        <r>
          <rPr>
            <b/>
            <sz val="8"/>
            <color indexed="81"/>
            <rFont val="Tahoma"/>
            <family val="2"/>
          </rPr>
          <t>Use for soybeans and peas</t>
        </r>
      </text>
    </comment>
    <comment ref="D71" authorId="2" shapeId="0">
      <text>
        <r>
          <rPr>
            <b/>
            <sz val="9"/>
            <color indexed="81"/>
            <rFont val="Tahoma"/>
            <family val="2"/>
          </rPr>
          <t>Assume worth $75,000</t>
        </r>
      </text>
    </comment>
    <comment ref="C74" authorId="0" shapeId="0">
      <text>
        <r>
          <rPr>
            <b/>
            <sz val="8"/>
            <color indexed="81"/>
            <rFont val="Tahoma"/>
            <family val="2"/>
          </rPr>
          <t>Use for all crops</t>
        </r>
      </text>
    </comment>
    <comment ref="D74" authorId="0" shapeId="0">
      <text>
        <r>
          <rPr>
            <b/>
            <sz val="8"/>
            <color indexed="81"/>
            <rFont val="Tahoma"/>
            <family val="2"/>
          </rPr>
          <t>Assume worth $125</t>
        </r>
      </text>
    </comment>
    <comment ref="C75" authorId="0" shapeId="0">
      <text>
        <r>
          <rPr>
            <b/>
            <sz val="8"/>
            <color indexed="81"/>
            <rFont val="Tahoma"/>
            <family val="2"/>
          </rPr>
          <t>Use for all crops</t>
        </r>
      </text>
    </comment>
    <comment ref="D75" authorId="0" shapeId="0">
      <text>
        <r>
          <rPr>
            <b/>
            <sz val="8"/>
            <color indexed="81"/>
            <rFont val="Tahoma"/>
            <family val="2"/>
          </rPr>
          <t>Assume worth $1,254</t>
        </r>
      </text>
    </comment>
    <comment ref="C76" authorId="0" shapeId="0">
      <text>
        <r>
          <rPr>
            <b/>
            <sz val="8"/>
            <color indexed="81"/>
            <rFont val="Tahoma"/>
            <family val="2"/>
          </rPr>
          <t>Use for all crops</t>
        </r>
      </text>
    </comment>
    <comment ref="D76" authorId="0" shapeId="0">
      <text>
        <r>
          <rPr>
            <b/>
            <sz val="8"/>
            <color indexed="81"/>
            <rFont val="Tahoma"/>
            <family val="2"/>
          </rPr>
          <t>Assume worth $627</t>
        </r>
      </text>
    </comment>
    <comment ref="C77" authorId="0" shapeId="0">
      <text>
        <r>
          <rPr>
            <b/>
            <sz val="8"/>
            <color indexed="81"/>
            <rFont val="Tahoma"/>
            <family val="2"/>
          </rPr>
          <t>Use for all crops</t>
        </r>
      </text>
    </comment>
    <comment ref="D77" authorId="0" shapeId="0">
      <text>
        <r>
          <rPr>
            <b/>
            <sz val="8"/>
            <color indexed="81"/>
            <rFont val="Tahoma"/>
            <family val="2"/>
          </rPr>
          <t>Assume worth $6,268</t>
        </r>
      </text>
    </comment>
    <comment ref="C78" authorId="0" shapeId="0">
      <text>
        <r>
          <rPr>
            <b/>
            <sz val="8"/>
            <color indexed="81"/>
            <rFont val="Tahoma"/>
            <family val="2"/>
          </rPr>
          <t>Use for all crops</t>
        </r>
      </text>
    </comment>
    <comment ref="D78" authorId="0" shapeId="0">
      <text>
        <r>
          <rPr>
            <b/>
            <sz val="8"/>
            <color indexed="81"/>
            <rFont val="Tahoma"/>
            <family val="2"/>
          </rPr>
          <t>Assume worth $1,254</t>
        </r>
      </text>
    </comment>
    <comment ref="C79" authorId="0" shapeId="0">
      <text>
        <r>
          <rPr>
            <b/>
            <sz val="8"/>
            <color indexed="81"/>
            <rFont val="Tahoma"/>
            <family val="2"/>
          </rPr>
          <t>Use for all crops</t>
        </r>
      </text>
    </comment>
    <comment ref="D79" authorId="0" shapeId="0">
      <text>
        <r>
          <rPr>
            <b/>
            <sz val="8"/>
            <color indexed="81"/>
            <rFont val="Tahoma"/>
            <family val="2"/>
          </rPr>
          <t>Assume worth $12,536</t>
        </r>
      </text>
    </comment>
    <comment ref="C82" authorId="1" shapeId="0">
      <text>
        <r>
          <rPr>
            <b/>
            <sz val="8"/>
            <color indexed="81"/>
            <rFont val="Tahoma"/>
            <family val="2"/>
          </rPr>
          <t>Use for grain corn, barley, oats, rye, wheat, triticale, spelt, peas, and soybeans as well as canola.</t>
        </r>
      </text>
    </comment>
    <comment ref="D82" authorId="0" shapeId="0">
      <text>
        <r>
          <rPr>
            <b/>
            <sz val="8"/>
            <color indexed="81"/>
            <rFont val="Tahoma"/>
            <family val="2"/>
          </rPr>
          <t>Assume worth $1000</t>
        </r>
      </text>
    </comment>
    <comment ref="C83" authorId="1" shapeId="0">
      <text>
        <r>
          <rPr>
            <b/>
            <sz val="8"/>
            <color indexed="81"/>
            <rFont val="Tahoma"/>
            <family val="2"/>
          </rPr>
          <t>Use for grain corn, barley, oats, rye, wheat, triticale, spelt, peas, and soybeans as well as canola.</t>
        </r>
      </text>
    </comment>
    <comment ref="D83" authorId="0" shapeId="0">
      <text>
        <r>
          <rPr>
            <b/>
            <sz val="8"/>
            <color indexed="81"/>
            <rFont val="Tahoma"/>
            <family val="2"/>
          </rPr>
          <t>Assume worth $1000</t>
        </r>
      </text>
    </comment>
    <comment ref="C84" authorId="1" shapeId="0">
      <text>
        <r>
          <rPr>
            <b/>
            <sz val="8"/>
            <color indexed="81"/>
            <rFont val="Tahoma"/>
            <family val="2"/>
          </rPr>
          <t>Use for grain corn, barley, oats, rye, wheat, triticale, spelt, peas, and soybeans as well as canola.</t>
        </r>
      </text>
    </comment>
    <comment ref="D84" authorId="0" shapeId="0">
      <text>
        <r>
          <rPr>
            <b/>
            <sz val="8"/>
            <color indexed="81"/>
            <rFont val="Tahoma"/>
            <family val="2"/>
          </rPr>
          <t>Assume worth $1000</t>
        </r>
      </text>
    </comment>
    <comment ref="C87" authorId="1" shapeId="0">
      <text>
        <r>
          <rPr>
            <b/>
            <sz val="8"/>
            <color indexed="81"/>
            <rFont val="Tahoma"/>
            <family val="2"/>
          </rPr>
          <t>Use for grain corn, barley, oats, rye, wheat, triticale, spelt, peas, and soybeans as well as canola.</t>
        </r>
      </text>
    </comment>
    <comment ref="D87" authorId="2" shapeId="0">
      <text>
        <r>
          <rPr>
            <b/>
            <sz val="9"/>
            <color indexed="81"/>
            <rFont val="Tahoma"/>
            <family val="2"/>
          </rPr>
          <t>Assume worth $4,000</t>
        </r>
      </text>
    </comment>
    <comment ref="C88" authorId="1" shapeId="0">
      <text>
        <r>
          <rPr>
            <b/>
            <sz val="8"/>
            <color indexed="81"/>
            <rFont val="Tahoma"/>
            <family val="2"/>
          </rPr>
          <t>Use for grain corn, barley, oats, rye, wheat, triticale, spelt, peas, and soybeans as well as canola.</t>
        </r>
      </text>
    </comment>
    <comment ref="D88" authorId="2" shapeId="0">
      <text>
        <r>
          <rPr>
            <b/>
            <sz val="9"/>
            <color indexed="81"/>
            <rFont val="Tahoma"/>
            <family val="2"/>
          </rPr>
          <t>Assume worth $4,000</t>
        </r>
      </text>
    </comment>
    <comment ref="C89" authorId="1" shapeId="0">
      <text>
        <r>
          <rPr>
            <b/>
            <sz val="8"/>
            <color indexed="81"/>
            <rFont val="Tahoma"/>
            <family val="2"/>
          </rPr>
          <t>Use for grain corn, barley, oats, rye, wheat, triticale, spelt, peas, and soybeans as well as canola.</t>
        </r>
      </text>
    </comment>
    <comment ref="D89" authorId="2" shapeId="0">
      <text>
        <r>
          <rPr>
            <b/>
            <sz val="9"/>
            <color indexed="81"/>
            <rFont val="Tahoma"/>
            <family val="2"/>
          </rPr>
          <t>Assume worth $4,000</t>
        </r>
      </text>
    </comment>
    <comment ref="A93"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94"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95"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03" authorId="1" shapeId="0">
      <text>
        <r>
          <rPr>
            <b/>
            <sz val="8"/>
            <color indexed="81"/>
            <rFont val="Tahoma"/>
            <family val="2"/>
          </rPr>
          <t>Use for all crops</t>
        </r>
      </text>
    </comment>
    <comment ref="D103" authorId="0" shapeId="0">
      <text>
        <r>
          <rPr>
            <b/>
            <sz val="8"/>
            <color indexed="81"/>
            <rFont val="Tahoma"/>
            <family val="2"/>
          </rPr>
          <t>Assume worth $50,000</t>
        </r>
      </text>
    </comment>
    <comment ref="C104" authorId="1" shapeId="0">
      <text>
        <r>
          <rPr>
            <b/>
            <sz val="8"/>
            <color indexed="81"/>
            <rFont val="Tahoma"/>
            <family val="2"/>
          </rPr>
          <t>Use for all crops</t>
        </r>
      </text>
    </comment>
    <comment ref="D104" authorId="0" shapeId="0">
      <text>
        <r>
          <rPr>
            <b/>
            <sz val="8"/>
            <color indexed="81"/>
            <rFont val="Tahoma"/>
            <family val="2"/>
          </rPr>
          <t>Assume worth $100,000</t>
        </r>
      </text>
    </comment>
    <comment ref="C105" authorId="1" shapeId="0">
      <text>
        <r>
          <rPr>
            <b/>
            <sz val="8"/>
            <color indexed="81"/>
            <rFont val="Tahoma"/>
            <family val="2"/>
          </rPr>
          <t>Use for all crops</t>
        </r>
      </text>
    </comment>
    <comment ref="D105" authorId="0" shapeId="0">
      <text>
        <r>
          <rPr>
            <b/>
            <sz val="8"/>
            <color indexed="81"/>
            <rFont val="Tahoma"/>
            <family val="2"/>
          </rPr>
          <t>Assume worth $200,000</t>
        </r>
      </text>
    </comment>
  </commentList>
</comments>
</file>

<file path=xl/comments37.xml><?xml version="1.0" encoding="utf-8"?>
<comments xmlns="http://schemas.openxmlformats.org/spreadsheetml/2006/main">
  <authors>
    <author>Sensei</author>
    <author xml:space="preserve"> </author>
    <author>REP</author>
    <author>aaron hoshide</author>
  </authors>
  <commentList>
    <comment ref="C9" authorId="0" shapeId="0">
      <text>
        <r>
          <rPr>
            <b/>
            <sz val="9"/>
            <color indexed="81"/>
            <rFont val="Tahoma"/>
            <family val="2"/>
          </rPr>
          <t>Assume same as original</t>
        </r>
      </text>
    </comment>
    <comment ref="F9" authorId="1" shapeId="0">
      <text>
        <r>
          <rPr>
            <b/>
            <sz val="8"/>
            <color indexed="81"/>
            <rFont val="Tahoma"/>
            <family val="2"/>
          </rPr>
          <t>Use 2007-09 US average price for non-GMO.
Old value (=14.07/50) of $0.28/lb.
Old value:
0.447222222222222
From Tom Molloy</t>
        </r>
      </text>
    </comment>
    <comment ref="B14" authorId="0" shapeId="0">
      <text>
        <r>
          <rPr>
            <b/>
            <sz val="9"/>
            <color indexed="81"/>
            <rFont val="Tahoma"/>
            <family val="2"/>
          </rPr>
          <t>Default:
0</t>
        </r>
      </text>
    </comment>
    <comment ref="C14" authorId="1" shapeId="0">
      <text>
        <r>
          <rPr>
            <b/>
            <sz val="8"/>
            <color indexed="81"/>
            <rFont val="Tahoma"/>
            <family val="2"/>
          </rPr>
          <t>Old value:
=limeapp
Old value of 0.61 (=0.6065).</t>
        </r>
      </text>
    </comment>
    <comment ref="B21" authorId="0" shapeId="0">
      <text>
        <r>
          <rPr>
            <b/>
            <sz val="9"/>
            <color indexed="81"/>
            <rFont val="Tahoma"/>
            <family val="2"/>
          </rPr>
          <t>Default:
1</t>
        </r>
      </text>
    </comment>
    <comment ref="B22" authorId="0" shapeId="0">
      <text>
        <r>
          <rPr>
            <b/>
            <sz val="9"/>
            <color indexed="81"/>
            <rFont val="Tahoma"/>
            <family val="2"/>
          </rPr>
          <t>Default:
1</t>
        </r>
      </text>
    </comment>
    <comment ref="B23" authorId="0" shapeId="0">
      <text>
        <r>
          <rPr>
            <b/>
            <sz val="9"/>
            <color indexed="81"/>
            <rFont val="Tahoma"/>
            <family val="2"/>
          </rPr>
          <t>Default:
1</t>
        </r>
      </text>
    </comment>
    <comment ref="B24" authorId="0" shapeId="0">
      <text>
        <r>
          <rPr>
            <b/>
            <sz val="9"/>
            <color indexed="81"/>
            <rFont val="Tahoma"/>
            <family val="2"/>
          </rPr>
          <t>Default:
1</t>
        </r>
      </text>
    </comment>
    <comment ref="B25" authorId="0" shapeId="0">
      <text>
        <r>
          <rPr>
            <b/>
            <sz val="9"/>
            <color indexed="81"/>
            <rFont val="Tahoma"/>
            <family val="2"/>
          </rPr>
          <t>Default:
1</t>
        </r>
      </text>
    </comment>
    <comment ref="C25" authorId="1" shapeId="0">
      <text>
        <r>
          <rPr>
            <b/>
            <sz val="8"/>
            <color indexed="81"/>
            <rFont val="Tahoma"/>
            <family val="2"/>
          </rPr>
          <t>Old value of 0.0934185838781329</t>
        </r>
      </text>
    </comment>
    <comment ref="B26" authorId="0" shapeId="0">
      <text>
        <r>
          <rPr>
            <b/>
            <sz val="9"/>
            <color indexed="81"/>
            <rFont val="Tahoma"/>
            <family val="2"/>
          </rPr>
          <t>Default:
1</t>
        </r>
      </text>
    </comment>
    <comment ref="B27" authorId="0" shapeId="0">
      <text>
        <r>
          <rPr>
            <b/>
            <sz val="9"/>
            <color indexed="81"/>
            <rFont val="Tahoma"/>
            <family val="2"/>
          </rPr>
          <t>Default:
2</t>
        </r>
      </text>
    </comment>
    <comment ref="I27" authorId="0" shapeId="0">
      <text>
        <r>
          <rPr>
            <b/>
            <sz val="9"/>
            <color indexed="81"/>
            <rFont val="Tahoma"/>
            <charset val="1"/>
          </rPr>
          <t>Assumed as default number</t>
        </r>
      </text>
    </comment>
    <comment ref="C28" authorId="1" shapeId="0">
      <text>
        <r>
          <rPr>
            <sz val="8"/>
            <color indexed="81"/>
            <rFont val="Tahoma"/>
            <family val="2"/>
          </rPr>
          <t>Old value of 0.283205812177919</t>
        </r>
      </text>
    </comment>
    <comment ref="B31" authorId="0" shapeId="0">
      <text>
        <r>
          <rPr>
            <b/>
            <sz val="9"/>
            <color indexed="81"/>
            <rFont val="Tahoma"/>
            <family val="2"/>
          </rPr>
          <t>Default:
2</t>
        </r>
      </text>
    </comment>
    <comment ref="B32" authorId="0" shapeId="0">
      <text>
        <r>
          <rPr>
            <b/>
            <sz val="9"/>
            <color indexed="81"/>
            <rFont val="Tahoma"/>
            <family val="2"/>
          </rPr>
          <t>Default:
0</t>
        </r>
      </text>
    </comment>
    <comment ref="B34" authorId="0" shapeId="0">
      <text>
        <r>
          <rPr>
            <b/>
            <sz val="9"/>
            <color indexed="81"/>
            <rFont val="Tahoma"/>
            <family val="2"/>
          </rPr>
          <t>Default:
0</t>
        </r>
      </text>
    </comment>
    <comment ref="B35" authorId="0" shapeId="0">
      <text>
        <r>
          <rPr>
            <b/>
            <sz val="9"/>
            <color indexed="81"/>
            <rFont val="Tahoma"/>
            <family val="2"/>
          </rPr>
          <t>Default:
1</t>
        </r>
      </text>
    </comment>
    <comment ref="B36" authorId="1" shapeId="0">
      <text>
        <r>
          <rPr>
            <sz val="8"/>
            <color indexed="81"/>
            <rFont val="Tahoma"/>
            <family val="2"/>
          </rPr>
          <t>Assume that there is no change for this since it takes the same time to pass over the field.</t>
        </r>
      </text>
    </comment>
    <comment ref="B37" authorId="0" shapeId="0">
      <text>
        <r>
          <rPr>
            <b/>
            <sz val="9"/>
            <color indexed="81"/>
            <rFont val="Tahoma"/>
            <family val="2"/>
          </rPr>
          <t>Default:
1</t>
        </r>
      </text>
    </comment>
    <comment ref="C37" authorId="0" shapeId="0">
      <text>
        <r>
          <rPr>
            <b/>
            <sz val="9"/>
            <color indexed="81"/>
            <rFont val="Tahoma"/>
            <family val="2"/>
          </rPr>
          <t>Assume adjust trucking in proportion to crop volume.</t>
        </r>
      </text>
    </comment>
    <comment ref="B40" authorId="0" shapeId="0">
      <text>
        <r>
          <rPr>
            <b/>
            <sz val="9"/>
            <color indexed="81"/>
            <rFont val="Tahoma"/>
            <family val="2"/>
          </rPr>
          <t>Default:
1</t>
        </r>
      </text>
    </comment>
    <comment ref="J42" authorId="1" shapeId="0">
      <text>
        <r>
          <rPr>
            <b/>
            <sz val="8"/>
            <color indexed="81"/>
            <rFont val="Tahoma"/>
            <family val="2"/>
          </rPr>
          <t>Calculate this for wheat baseline of 500 bu x 60 lb/bu = 30,000 lb capacity.</t>
        </r>
      </text>
    </comment>
    <comment ref="N42" authorId="0" shapeId="0">
      <text>
        <r>
          <rPr>
            <b/>
            <sz val="9"/>
            <color indexed="81"/>
            <rFont val="Tahoma"/>
            <family val="2"/>
          </rPr>
          <t>Default:
500</t>
        </r>
      </text>
    </comment>
    <comment ref="B43" authorId="0" shapeId="0">
      <text>
        <r>
          <rPr>
            <b/>
            <sz val="9"/>
            <color indexed="81"/>
            <rFont val="Tahoma"/>
            <family val="2"/>
          </rPr>
          <t>Default:
1</t>
        </r>
      </text>
    </comment>
    <comment ref="C43" authorId="0" shapeId="0">
      <text>
        <r>
          <rPr>
            <b/>
            <sz val="9"/>
            <color indexed="81"/>
            <rFont val="Tahoma"/>
            <family val="2"/>
          </rPr>
          <t>Base hours to dry 3,300 bu of grain on Iowa State calculator ($422/$12.29). Adjust to total bushels produced.
=((422/12.29)*(SoyBudget!B9/3300))/soy</t>
        </r>
      </text>
    </comment>
    <comment ref="J43" authorId="1" shapeId="0">
      <text>
        <r>
          <rPr>
            <b/>
            <sz val="8"/>
            <color indexed="81"/>
            <rFont val="Tahoma"/>
            <family val="2"/>
          </rPr>
          <t>Calculate this for wheat baseline of 1000 bu x 60 lb/bu = 60,000 lb capacity.</t>
        </r>
      </text>
    </comment>
    <comment ref="N43" authorId="0" shapeId="0">
      <text>
        <r>
          <rPr>
            <b/>
            <sz val="9"/>
            <color indexed="81"/>
            <rFont val="Tahoma"/>
            <family val="2"/>
          </rPr>
          <t>Default:
1,000</t>
        </r>
      </text>
    </comment>
    <comment ref="P46"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47" authorId="0" shapeId="0">
      <text>
        <r>
          <rPr>
            <b/>
            <sz val="9"/>
            <color indexed="81"/>
            <rFont val="Tahoma"/>
            <family val="2"/>
          </rPr>
          <t>Consistent with old value of 1
Assume NOT close enough to not use truck</t>
        </r>
      </text>
    </comment>
    <comment ref="P47" authorId="0" shapeId="0">
      <text>
        <r>
          <rPr>
            <b/>
            <sz val="9"/>
            <color indexed="81"/>
            <rFont val="Tahoma"/>
            <family val="2"/>
          </rPr>
          <t>Default:
20</t>
        </r>
      </text>
    </comment>
    <comment ref="Q47" authorId="0" shapeId="0">
      <text>
        <r>
          <rPr>
            <b/>
            <sz val="9"/>
            <color indexed="81"/>
            <rFont val="Tahoma"/>
            <family val="2"/>
          </rPr>
          <t xml:space="preserve">Default:
40
</t>
        </r>
      </text>
    </comment>
    <comment ref="P49"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50" authorId="0" shapeId="0">
      <text>
        <r>
          <rPr>
            <b/>
            <sz val="9"/>
            <color indexed="81"/>
            <rFont val="Tahoma"/>
            <family val="2"/>
          </rPr>
          <t>Old value of 1
Assume close enough to not use truck</t>
        </r>
      </text>
    </comment>
    <comment ref="P50" authorId="0" shapeId="0">
      <text>
        <r>
          <rPr>
            <b/>
            <sz val="9"/>
            <color indexed="81"/>
            <rFont val="Tahoma"/>
            <family val="2"/>
          </rPr>
          <t>Default:
20</t>
        </r>
      </text>
    </comment>
    <comment ref="Q50" authorId="0" shapeId="0">
      <text>
        <r>
          <rPr>
            <b/>
            <sz val="9"/>
            <color indexed="81"/>
            <rFont val="Tahoma"/>
            <family val="2"/>
          </rPr>
          <t>Default:
40</t>
        </r>
      </text>
    </comment>
    <comment ref="P53" authorId="0" shapeId="0">
      <text>
        <r>
          <rPr>
            <b/>
            <sz val="9"/>
            <color indexed="81"/>
            <rFont val="Tahoma"/>
            <family val="2"/>
          </rPr>
          <t>Default:
100%</t>
        </r>
      </text>
    </comment>
    <comment ref="Q53" authorId="0" shapeId="0">
      <text>
        <r>
          <rPr>
            <b/>
            <sz val="9"/>
            <color indexed="81"/>
            <rFont val="Tahoma"/>
            <family val="2"/>
          </rPr>
          <t>Default:
0%</t>
        </r>
      </text>
    </comment>
    <comment ref="B69" authorId="1" shapeId="0">
      <text>
        <r>
          <rPr>
            <sz val="8"/>
            <color indexed="81"/>
            <rFont val="Tahoma"/>
            <family val="2"/>
          </rPr>
          <t>Assume that there is no change for this since it takes the same time to pass over the field.</t>
        </r>
      </text>
    </comment>
    <comment ref="J75" authorId="1" shapeId="0">
      <text>
        <r>
          <rPr>
            <b/>
            <sz val="8"/>
            <color indexed="81"/>
            <rFont val="Tahoma"/>
            <family val="2"/>
          </rPr>
          <t>Calculate this for wheat baseline of 500 bu x 60 lb/bu = 30,000 lb capacity.</t>
        </r>
      </text>
    </comment>
    <comment ref="N75" authorId="0" shapeId="0">
      <text>
        <r>
          <rPr>
            <b/>
            <sz val="9"/>
            <color indexed="81"/>
            <rFont val="Tahoma"/>
            <family val="2"/>
          </rPr>
          <t>Default:
500</t>
        </r>
      </text>
    </comment>
    <comment ref="C76" authorId="1" shapeId="0">
      <text>
        <r>
          <rPr>
            <b/>
            <sz val="8"/>
            <color indexed="81"/>
            <rFont val="Tahoma"/>
            <family val="2"/>
          </rPr>
          <t>Assume this is zero.</t>
        </r>
      </text>
    </comment>
    <comment ref="J76" authorId="1" shapeId="0">
      <text>
        <r>
          <rPr>
            <b/>
            <sz val="8"/>
            <color indexed="81"/>
            <rFont val="Tahoma"/>
            <family val="2"/>
          </rPr>
          <t>Calculate this for wheat baseline of 1000 bu x 60 lb/bu = 60,000 lb capacity.</t>
        </r>
      </text>
    </comment>
    <comment ref="N76" authorId="0" shapeId="0">
      <text>
        <r>
          <rPr>
            <b/>
            <sz val="9"/>
            <color indexed="81"/>
            <rFont val="Tahoma"/>
            <family val="2"/>
          </rPr>
          <t>Default:
1,000</t>
        </r>
      </text>
    </comment>
    <comment ref="P79"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0" authorId="0" shapeId="0">
      <text>
        <r>
          <rPr>
            <b/>
            <sz val="9"/>
            <color indexed="81"/>
            <rFont val="Tahoma"/>
            <family val="2"/>
          </rPr>
          <t>Consistent with old value of 1
Assume NOT close enough to not use truck</t>
        </r>
      </text>
    </comment>
    <comment ref="P80" authorId="0" shapeId="0">
      <text>
        <r>
          <rPr>
            <b/>
            <sz val="9"/>
            <color indexed="81"/>
            <rFont val="Tahoma"/>
            <family val="2"/>
          </rPr>
          <t>Default:
20</t>
        </r>
      </text>
    </comment>
    <comment ref="Q80" authorId="0" shapeId="0">
      <text>
        <r>
          <rPr>
            <b/>
            <sz val="9"/>
            <color indexed="81"/>
            <rFont val="Tahoma"/>
            <family val="2"/>
          </rPr>
          <t>Default:
15</t>
        </r>
      </text>
    </comment>
    <comment ref="P82" authorId="1"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B83" authorId="0" shapeId="0">
      <text>
        <r>
          <rPr>
            <b/>
            <sz val="9"/>
            <color indexed="81"/>
            <rFont val="Tahoma"/>
            <family val="2"/>
          </rPr>
          <t>Old value of 1
Assume close enough to not use truck</t>
        </r>
      </text>
    </comment>
    <comment ref="P83" authorId="0" shapeId="0">
      <text>
        <r>
          <rPr>
            <b/>
            <sz val="9"/>
            <color indexed="81"/>
            <rFont val="Tahoma"/>
            <family val="2"/>
          </rPr>
          <t>Default:
20</t>
        </r>
      </text>
    </comment>
    <comment ref="Q83" authorId="0" shapeId="0">
      <text>
        <r>
          <rPr>
            <b/>
            <sz val="9"/>
            <color indexed="81"/>
            <rFont val="Tahoma"/>
            <family val="2"/>
          </rPr>
          <t>Default:
7</t>
        </r>
      </text>
    </comment>
    <comment ref="P86" authorId="0" shapeId="0">
      <text>
        <r>
          <rPr>
            <b/>
            <sz val="9"/>
            <color indexed="81"/>
            <rFont val="Tahoma"/>
            <family val="2"/>
          </rPr>
          <t>Default:
100%</t>
        </r>
      </text>
    </comment>
    <comment ref="Q86" authorId="0" shapeId="0">
      <text>
        <r>
          <rPr>
            <b/>
            <sz val="9"/>
            <color indexed="81"/>
            <rFont val="Tahoma"/>
            <family val="2"/>
          </rPr>
          <t>Default:
0%</t>
        </r>
      </text>
    </comment>
    <comment ref="G87" authorId="2" shapeId="0">
      <text>
        <r>
          <rPr>
            <sz val="8"/>
            <color indexed="81"/>
            <rFont val="Tahoma"/>
            <family val="2"/>
          </rPr>
          <t>Assume this is zero.  Old value of $21.87/acre assume that this is in proportion to total equipment cost for soybeans compared to grain corn (In rotation with potatoes).</t>
        </r>
      </text>
    </comment>
    <comment ref="B88" authorId="0" shapeId="0">
      <text>
        <r>
          <rPr>
            <b/>
            <sz val="9"/>
            <color indexed="81"/>
            <rFont val="Tahoma"/>
            <family val="2"/>
          </rPr>
          <t>Default:
0</t>
        </r>
      </text>
    </comment>
    <comment ref="G88" authorId="3" shapeId="0">
      <text>
        <r>
          <rPr>
            <b/>
            <sz val="8"/>
            <color indexed="81"/>
            <rFont val="Tahoma"/>
            <family val="2"/>
          </rPr>
          <t>Old value:
=supplies
Assume this is $10/acre.  Old value of $57.59/acre assumes same cost of supplies as 2001 Farm Credit budget.</t>
        </r>
      </text>
    </comment>
    <comment ref="H88" authorId="2" shapeId="0">
      <text>
        <r>
          <rPr>
            <sz val="8"/>
            <color indexed="81"/>
            <rFont val="Tahoma"/>
            <family val="2"/>
          </rPr>
          <t>Old equation (=E44*soy*G3).</t>
        </r>
      </text>
    </comment>
    <comment ref="A89" authorId="2" shapeId="0">
      <text>
        <r>
          <rPr>
            <sz val="8"/>
            <color indexed="81"/>
            <rFont val="Tahoma"/>
            <family val="2"/>
          </rPr>
          <t>No crop insurance</t>
        </r>
      </text>
    </comment>
    <comment ref="B89" authorId="0" shapeId="0">
      <text>
        <r>
          <rPr>
            <b/>
            <sz val="9"/>
            <color indexed="81"/>
            <rFont val="Tahoma"/>
            <family val="2"/>
          </rPr>
          <t>Default:
1</t>
        </r>
      </text>
    </comment>
    <comment ref="F89" authorId="3" shapeId="0">
      <text>
        <r>
          <rPr>
            <b/>
            <sz val="8"/>
            <color indexed="81"/>
            <rFont val="Tahoma"/>
            <family val="2"/>
          </rPr>
          <t>Old value:
=cropins
Assume same as enterprise budget for potatoes</t>
        </r>
      </text>
    </comment>
    <comment ref="G89" authorId="0" shapeId="0">
      <text>
        <r>
          <rPr>
            <b/>
            <sz val="9"/>
            <color indexed="81"/>
            <rFont val="Tahoma"/>
            <family val="2"/>
          </rPr>
          <t>Old value:
=F73
Old value assumed same as enterprise budget for potatoes</t>
        </r>
      </text>
    </comment>
    <comment ref="G90" authorId="3" shapeId="0">
      <text>
        <r>
          <rPr>
            <sz val="8"/>
            <color indexed="81"/>
            <rFont val="Tahoma"/>
            <family val="2"/>
          </rPr>
          <t>Assume this is zero.  Old value of $55.07/acre assumes same cost of insurance as 2001 Farm Credit budget including calculated crop insurance.</t>
        </r>
      </text>
    </comment>
    <comment ref="G92" authorId="3"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B98" authorId="0" shapeId="0">
      <text>
        <r>
          <rPr>
            <b/>
            <sz val="9"/>
            <color indexed="81"/>
            <rFont val="Tahoma"/>
            <charset val="1"/>
          </rPr>
          <t>Default assumption is for 2 cell phones</t>
        </r>
      </text>
    </comment>
    <comment ref="B99" authorId="0" shapeId="0">
      <text>
        <r>
          <rPr>
            <b/>
            <sz val="9"/>
            <color indexed="81"/>
            <rFont val="Tahoma"/>
            <family val="2"/>
          </rPr>
          <t>Apply every 5 years so this is annualized</t>
        </r>
      </text>
    </comment>
    <comment ref="F99" authorId="3" shapeId="0">
      <text>
        <r>
          <rPr>
            <b/>
            <sz val="8"/>
            <color indexed="81"/>
            <rFont val="Tahoma"/>
            <family val="2"/>
          </rPr>
          <t>Assume this is zero.  Old value of $2.89/acre assumes same cost of custom hire as 2001 Farm Credit budget in proportion to yield.
Old value: 25
For lime at $75 per acre that lasts for 5 years</t>
        </r>
      </text>
    </comment>
    <comment ref="B102" authorId="0" shapeId="0">
      <text>
        <r>
          <rPr>
            <b/>
            <sz val="9"/>
            <color indexed="81"/>
            <rFont val="Tahoma"/>
            <family val="2"/>
          </rPr>
          <t>Old value of 0</t>
        </r>
      </text>
    </comment>
    <comment ref="G102" authorId="2" shapeId="0">
      <text>
        <r>
          <rPr>
            <b/>
            <sz val="8"/>
            <color indexed="81"/>
            <rFont val="Tahoma"/>
            <family val="2"/>
          </rPr>
          <t>Old value of $0 assumed no other rental</t>
        </r>
      </text>
    </comment>
    <comment ref="G104" authorId="3" shapeId="0">
      <text>
        <r>
          <rPr>
            <b/>
            <sz val="8"/>
            <color indexed="81"/>
            <rFont val="Tahoma"/>
            <family val="2"/>
          </rPr>
          <t>If grain drying expenses, enter cost per acre here.</t>
        </r>
      </text>
    </comment>
    <comment ref="G119" authorId="3" shapeId="0">
      <text>
        <r>
          <rPr>
            <b/>
            <sz val="8"/>
            <color indexed="81"/>
            <rFont val="Tahoma"/>
            <family val="2"/>
          </rPr>
          <t>Assume this is 0
Old value assumed $5/acre for other variable miscellaneous expenses</t>
        </r>
      </text>
    </comment>
    <comment ref="A121" authorId="3" shapeId="0">
      <text>
        <r>
          <rPr>
            <sz val="8"/>
            <color indexed="81"/>
            <rFont val="Tahoma"/>
            <family val="2"/>
          </rPr>
          <t>Assume no promotion tax on soybeans</t>
        </r>
      </text>
    </comment>
    <comment ref="H122" authorId="2" shapeId="0">
      <text>
        <r>
          <rPr>
            <sz val="8"/>
            <color indexed="81"/>
            <rFont val="Tahoma"/>
            <family val="2"/>
          </rPr>
          <t>Assume this is zero</t>
        </r>
      </text>
    </comment>
  </commentList>
</comments>
</file>

<file path=xl/comments38.xml><?xml version="1.0" encoding="utf-8"?>
<comments xmlns="http://schemas.openxmlformats.org/spreadsheetml/2006/main">
  <authors>
    <author>REP</author>
    <author>aaron hoshide</author>
    <author>Sensei</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b/>
            <sz val="8"/>
            <color indexed="81"/>
            <rFont val="Tahoma"/>
            <family val="2"/>
          </rPr>
          <t>Use for all crops</t>
        </r>
      </text>
    </comment>
    <comment ref="D9" authorId="0" shapeId="0">
      <text>
        <r>
          <rPr>
            <b/>
            <sz val="8"/>
            <color indexed="81"/>
            <rFont val="Tahoma"/>
            <family val="2"/>
          </rPr>
          <t>Assume worth $65,000</t>
        </r>
      </text>
    </comment>
    <comment ref="C10" authorId="1" shapeId="0">
      <text>
        <r>
          <rPr>
            <b/>
            <sz val="8"/>
            <color indexed="81"/>
            <rFont val="Tahoma"/>
            <family val="2"/>
          </rPr>
          <t>Use for all crops</t>
        </r>
      </text>
    </comment>
    <comment ref="D10" authorId="0" shapeId="0">
      <text>
        <r>
          <rPr>
            <b/>
            <sz val="8"/>
            <color indexed="81"/>
            <rFont val="Tahoma"/>
            <family val="2"/>
          </rPr>
          <t>Assume worth $119,000</t>
        </r>
      </text>
    </comment>
    <comment ref="C11" authorId="1" shapeId="0">
      <text>
        <r>
          <rPr>
            <b/>
            <sz val="8"/>
            <color indexed="81"/>
            <rFont val="Tahoma"/>
            <family val="2"/>
          </rPr>
          <t>Use for all crops</t>
        </r>
      </text>
    </comment>
    <comment ref="D11" authorId="0" shapeId="0">
      <text>
        <r>
          <rPr>
            <b/>
            <sz val="8"/>
            <color indexed="81"/>
            <rFont val="Tahoma"/>
            <family val="2"/>
          </rPr>
          <t>Assume worth $145,000</t>
        </r>
      </text>
    </comment>
    <comment ref="C12" authorId="1" shapeId="0">
      <text>
        <r>
          <rPr>
            <b/>
            <sz val="8"/>
            <color indexed="81"/>
            <rFont val="Tahoma"/>
            <family val="2"/>
          </rPr>
          <t>Use for all crops</t>
        </r>
      </text>
    </comment>
    <comment ref="D12" authorId="0" shapeId="0">
      <text>
        <r>
          <rPr>
            <b/>
            <sz val="8"/>
            <color indexed="81"/>
            <rFont val="Tahoma"/>
            <family val="2"/>
          </rPr>
          <t>Assume worth $189,000</t>
        </r>
      </text>
    </comment>
    <comment ref="C13" authorId="1" shapeId="0">
      <text>
        <r>
          <rPr>
            <b/>
            <sz val="8"/>
            <color indexed="81"/>
            <rFont val="Tahoma"/>
            <family val="2"/>
          </rPr>
          <t>Use for all crops</t>
        </r>
      </text>
    </comment>
    <comment ref="D13" authorId="0" shapeId="0">
      <text>
        <r>
          <rPr>
            <b/>
            <sz val="8"/>
            <color indexed="81"/>
            <rFont val="Tahoma"/>
            <family val="2"/>
          </rPr>
          <t>Assume worth $235,000</t>
        </r>
      </text>
    </comment>
    <comment ref="C14" authorId="1" shapeId="0">
      <text>
        <r>
          <rPr>
            <b/>
            <sz val="8"/>
            <color indexed="81"/>
            <rFont val="Tahoma"/>
            <family val="2"/>
          </rPr>
          <t>Use for all crops</t>
        </r>
      </text>
    </comment>
    <comment ref="D14" authorId="0" shapeId="0">
      <text>
        <r>
          <rPr>
            <b/>
            <sz val="8"/>
            <color indexed="81"/>
            <rFont val="Tahoma"/>
            <family val="2"/>
          </rPr>
          <t>Assume worth $65,000</t>
        </r>
      </text>
    </comment>
    <comment ref="C15" authorId="1" shapeId="0">
      <text>
        <r>
          <rPr>
            <b/>
            <sz val="8"/>
            <color indexed="81"/>
            <rFont val="Tahoma"/>
            <family val="2"/>
          </rPr>
          <t>Use for all crops</t>
        </r>
      </text>
    </comment>
    <comment ref="D15" authorId="0" shapeId="0">
      <text>
        <r>
          <rPr>
            <b/>
            <sz val="8"/>
            <color indexed="81"/>
            <rFont val="Tahoma"/>
            <family val="2"/>
          </rPr>
          <t>Assume worth $119,000</t>
        </r>
      </text>
    </comment>
    <comment ref="C16" authorId="1" shapeId="0">
      <text>
        <r>
          <rPr>
            <b/>
            <sz val="8"/>
            <color indexed="81"/>
            <rFont val="Tahoma"/>
            <family val="2"/>
          </rPr>
          <t>Use for all crops</t>
        </r>
      </text>
    </comment>
    <comment ref="D16" authorId="0" shapeId="0">
      <text>
        <r>
          <rPr>
            <b/>
            <sz val="8"/>
            <color indexed="81"/>
            <rFont val="Tahoma"/>
            <family val="2"/>
          </rPr>
          <t>Assume worth $145,000</t>
        </r>
      </text>
    </comment>
    <comment ref="C17" authorId="1" shapeId="0">
      <text>
        <r>
          <rPr>
            <b/>
            <sz val="8"/>
            <color indexed="81"/>
            <rFont val="Tahoma"/>
            <family val="2"/>
          </rPr>
          <t>Use for all crops</t>
        </r>
      </text>
    </comment>
    <comment ref="D17" authorId="0" shapeId="0">
      <text>
        <r>
          <rPr>
            <b/>
            <sz val="8"/>
            <color indexed="81"/>
            <rFont val="Tahoma"/>
            <family val="2"/>
          </rPr>
          <t>Assume worth $189,000</t>
        </r>
      </text>
    </comment>
    <comment ref="C18" authorId="1" shapeId="0">
      <text>
        <r>
          <rPr>
            <b/>
            <sz val="8"/>
            <color indexed="81"/>
            <rFont val="Tahoma"/>
            <family val="2"/>
          </rPr>
          <t>Use for all crops</t>
        </r>
      </text>
    </comment>
    <comment ref="D18" authorId="0" shapeId="0">
      <text>
        <r>
          <rPr>
            <b/>
            <sz val="8"/>
            <color indexed="81"/>
            <rFont val="Tahoma"/>
            <family val="2"/>
          </rPr>
          <t>Assume worth $235,000</t>
        </r>
      </text>
    </comment>
    <comment ref="C19" authorId="1" shapeId="0">
      <text>
        <r>
          <rPr>
            <b/>
            <sz val="8"/>
            <color indexed="81"/>
            <rFont val="Tahoma"/>
            <family val="2"/>
          </rPr>
          <t>Use for all crops</t>
        </r>
      </text>
    </comment>
    <comment ref="D19" authorId="0" shapeId="0">
      <text>
        <r>
          <rPr>
            <b/>
            <sz val="8"/>
            <color indexed="81"/>
            <rFont val="Tahoma"/>
            <family val="2"/>
          </rPr>
          <t>Assume worth $65,000</t>
        </r>
      </text>
    </comment>
    <comment ref="C20" authorId="1" shapeId="0">
      <text>
        <r>
          <rPr>
            <b/>
            <sz val="8"/>
            <color indexed="81"/>
            <rFont val="Tahoma"/>
            <family val="2"/>
          </rPr>
          <t>Use for all crops</t>
        </r>
      </text>
    </comment>
    <comment ref="D20" authorId="0" shapeId="0">
      <text>
        <r>
          <rPr>
            <b/>
            <sz val="8"/>
            <color indexed="81"/>
            <rFont val="Tahoma"/>
            <family val="2"/>
          </rPr>
          <t>Assume worth $119,000</t>
        </r>
      </text>
    </comment>
    <comment ref="C21" authorId="1" shapeId="0">
      <text>
        <r>
          <rPr>
            <b/>
            <sz val="8"/>
            <color indexed="81"/>
            <rFont val="Tahoma"/>
            <family val="2"/>
          </rPr>
          <t>Use for all crops</t>
        </r>
      </text>
    </comment>
    <comment ref="D21" authorId="0" shapeId="0">
      <text>
        <r>
          <rPr>
            <b/>
            <sz val="8"/>
            <color indexed="81"/>
            <rFont val="Tahoma"/>
            <family val="2"/>
          </rPr>
          <t>Assume worth $145,000</t>
        </r>
      </text>
    </comment>
    <comment ref="C22" authorId="1" shapeId="0">
      <text>
        <r>
          <rPr>
            <b/>
            <sz val="8"/>
            <color indexed="81"/>
            <rFont val="Tahoma"/>
            <family val="2"/>
          </rPr>
          <t>Use for all crops</t>
        </r>
      </text>
    </comment>
    <comment ref="D22" authorId="0" shapeId="0">
      <text>
        <r>
          <rPr>
            <b/>
            <sz val="8"/>
            <color indexed="81"/>
            <rFont val="Tahoma"/>
            <family val="2"/>
          </rPr>
          <t>Assume worth $189,000</t>
        </r>
      </text>
    </comment>
    <comment ref="C23" authorId="1" shapeId="0">
      <text>
        <r>
          <rPr>
            <b/>
            <sz val="8"/>
            <color indexed="81"/>
            <rFont val="Tahoma"/>
            <family val="2"/>
          </rPr>
          <t>Use for all crops</t>
        </r>
      </text>
    </comment>
    <comment ref="D23" authorId="0" shapeId="0">
      <text>
        <r>
          <rPr>
            <b/>
            <sz val="8"/>
            <color indexed="81"/>
            <rFont val="Tahoma"/>
            <family val="2"/>
          </rPr>
          <t>Assume worth $235,000</t>
        </r>
      </text>
    </comment>
    <comment ref="C26" authorId="1" shapeId="0">
      <text>
        <r>
          <rPr>
            <b/>
            <sz val="8"/>
            <color indexed="81"/>
            <rFont val="Tahoma"/>
            <family val="2"/>
          </rPr>
          <t>Use for all crops except for grazing pasture and sudan grass</t>
        </r>
      </text>
    </comment>
    <comment ref="D26" authorId="0" shapeId="0">
      <text>
        <r>
          <rPr>
            <b/>
            <sz val="8"/>
            <color indexed="81"/>
            <rFont val="Tahoma"/>
            <family val="2"/>
          </rPr>
          <t>Assume worth $35,102</t>
        </r>
      </text>
    </comment>
    <comment ref="C27" authorId="1" shapeId="0">
      <text>
        <r>
          <rPr>
            <b/>
            <sz val="8"/>
            <color indexed="81"/>
            <rFont val="Tahoma"/>
            <family val="2"/>
          </rPr>
          <t>Use for all crops except for grazing pasture and sudan grass</t>
        </r>
      </text>
    </comment>
    <comment ref="D27" authorId="0" shapeId="0">
      <text>
        <r>
          <rPr>
            <b/>
            <sz val="8"/>
            <color indexed="81"/>
            <rFont val="Tahoma"/>
            <family val="2"/>
          </rPr>
          <t>Assume worth $35,102</t>
        </r>
      </text>
    </comment>
    <comment ref="C28" authorId="1" shapeId="0">
      <text>
        <r>
          <rPr>
            <b/>
            <sz val="8"/>
            <color indexed="81"/>
            <rFont val="Tahoma"/>
            <family val="2"/>
          </rPr>
          <t>Use for all crops except for grazing pasture and sudan grass</t>
        </r>
      </text>
    </comment>
    <comment ref="D28" authorId="0" shapeId="0">
      <text>
        <r>
          <rPr>
            <b/>
            <sz val="8"/>
            <color indexed="81"/>
            <rFont val="Tahoma"/>
            <family val="2"/>
          </rPr>
          <t>Assume worth $35,102</t>
        </r>
      </text>
    </comment>
    <comment ref="C29" authorId="1" shapeId="0">
      <text>
        <r>
          <rPr>
            <b/>
            <sz val="8"/>
            <color indexed="81"/>
            <rFont val="Tahoma"/>
            <family val="2"/>
          </rPr>
          <t>Use for all crops except for grazing pasture and sudan grass</t>
        </r>
      </text>
    </comment>
    <comment ref="D29" authorId="0" shapeId="0">
      <text>
        <r>
          <rPr>
            <b/>
            <sz val="8"/>
            <color indexed="81"/>
            <rFont val="Tahoma"/>
            <family val="2"/>
          </rPr>
          <t>Assume worth $35,102</t>
        </r>
      </text>
    </comment>
    <comment ref="C30" authorId="1" shapeId="0">
      <text>
        <r>
          <rPr>
            <b/>
            <sz val="8"/>
            <color indexed="81"/>
            <rFont val="Tahoma"/>
            <family val="2"/>
          </rPr>
          <t>Use for all crops except for grazing pasture and sudan grass</t>
        </r>
      </text>
    </comment>
    <comment ref="D30" authorId="0" shapeId="0">
      <text>
        <r>
          <rPr>
            <b/>
            <sz val="8"/>
            <color indexed="81"/>
            <rFont val="Tahoma"/>
            <family val="2"/>
          </rPr>
          <t>Assume worth $35,102</t>
        </r>
      </text>
    </comment>
    <comment ref="C31" authorId="1" shapeId="0">
      <text>
        <r>
          <rPr>
            <b/>
            <sz val="8"/>
            <color indexed="81"/>
            <rFont val="Tahoma"/>
            <family val="2"/>
          </rPr>
          <t>Use for all crops except for grazing pasture and sudan grass</t>
        </r>
      </text>
    </comment>
    <comment ref="D31" authorId="0" shapeId="0">
      <text>
        <r>
          <rPr>
            <b/>
            <sz val="8"/>
            <color indexed="81"/>
            <rFont val="Tahoma"/>
            <family val="2"/>
          </rPr>
          <t>Assume worth $35,102</t>
        </r>
      </text>
    </comment>
    <comment ref="C32" authorId="1" shapeId="0">
      <text>
        <r>
          <rPr>
            <b/>
            <sz val="8"/>
            <color indexed="81"/>
            <rFont val="Tahoma"/>
            <family val="2"/>
          </rPr>
          <t>Use for all crops except for grazing pasture and sudan grass</t>
        </r>
      </text>
    </comment>
    <comment ref="D32" authorId="0" shapeId="0">
      <text>
        <r>
          <rPr>
            <b/>
            <sz val="8"/>
            <color indexed="81"/>
            <rFont val="Tahoma"/>
            <family val="2"/>
          </rPr>
          <t>Assume worth $35,102</t>
        </r>
      </text>
    </comment>
    <comment ref="C35" authorId="1" shapeId="0">
      <text>
        <r>
          <rPr>
            <b/>
            <sz val="8"/>
            <color indexed="81"/>
            <rFont val="Tahoma"/>
            <family val="2"/>
          </rPr>
          <t>Use for all crops except pasture and clover (assumed underseeded in small grain year).</t>
        </r>
      </text>
    </comment>
    <comment ref="D35" authorId="0" shapeId="0">
      <text>
        <r>
          <rPr>
            <b/>
            <sz val="8"/>
            <color indexed="81"/>
            <rFont val="Tahoma"/>
            <family val="2"/>
          </rPr>
          <t>Assume worth $18,000</t>
        </r>
      </text>
    </comment>
    <comment ref="C36" authorId="1" shapeId="0">
      <text>
        <r>
          <rPr>
            <b/>
            <sz val="8"/>
            <color indexed="81"/>
            <rFont val="Tahoma"/>
            <family val="2"/>
          </rPr>
          <t>Use for all crops except pasture and clover (assumed underseeded in small grain year).</t>
        </r>
      </text>
    </comment>
    <comment ref="D36" authorId="0" shapeId="0">
      <text>
        <r>
          <rPr>
            <b/>
            <sz val="8"/>
            <color indexed="81"/>
            <rFont val="Tahoma"/>
            <family val="2"/>
          </rPr>
          <t>Assume worth $18,000</t>
        </r>
      </text>
    </comment>
    <comment ref="C37" authorId="1" shapeId="0">
      <text>
        <r>
          <rPr>
            <b/>
            <sz val="8"/>
            <color indexed="81"/>
            <rFont val="Tahoma"/>
            <family val="2"/>
          </rPr>
          <t>Use for all crops except pasture and clover (assumed underseeded in small grain year).</t>
        </r>
      </text>
    </comment>
    <comment ref="D37" authorId="0" shapeId="0">
      <text>
        <r>
          <rPr>
            <b/>
            <sz val="8"/>
            <color indexed="81"/>
            <rFont val="Tahoma"/>
            <family val="2"/>
          </rPr>
          <t>Assume worth $35,000</t>
        </r>
      </text>
    </comment>
    <comment ref="C38" authorId="1" shapeId="0">
      <text>
        <r>
          <rPr>
            <b/>
            <sz val="8"/>
            <color indexed="81"/>
            <rFont val="Tahoma"/>
            <family val="2"/>
          </rPr>
          <t>Use for all crops except pasture and clover (assumed underseeded in small grain year).</t>
        </r>
      </text>
    </comment>
    <comment ref="D38" authorId="0" shapeId="0">
      <text>
        <r>
          <rPr>
            <b/>
            <sz val="8"/>
            <color indexed="81"/>
            <rFont val="Tahoma"/>
            <family val="2"/>
          </rPr>
          <t>Assume worth $18,000</t>
        </r>
      </text>
    </comment>
    <comment ref="C39" authorId="1" shapeId="0">
      <text>
        <r>
          <rPr>
            <b/>
            <sz val="8"/>
            <color indexed="81"/>
            <rFont val="Tahoma"/>
            <family val="2"/>
          </rPr>
          <t>Use for all crops except pasture and clover (assumed underseeded in small grain year).</t>
        </r>
      </text>
    </comment>
    <comment ref="D39" authorId="0" shapeId="0">
      <text>
        <r>
          <rPr>
            <b/>
            <sz val="8"/>
            <color indexed="81"/>
            <rFont val="Tahoma"/>
            <family val="2"/>
          </rPr>
          <t>Assume worth $18,000</t>
        </r>
      </text>
    </comment>
    <comment ref="C40" authorId="1" shapeId="0">
      <text>
        <r>
          <rPr>
            <b/>
            <sz val="8"/>
            <color indexed="81"/>
            <rFont val="Tahoma"/>
            <family val="2"/>
          </rPr>
          <t>Use for all crops except pasture and clover (assumed underseeded in small grain year).</t>
        </r>
      </text>
    </comment>
    <comment ref="D40" authorId="0" shapeId="0">
      <text>
        <r>
          <rPr>
            <b/>
            <sz val="8"/>
            <color indexed="81"/>
            <rFont val="Tahoma"/>
            <family val="2"/>
          </rPr>
          <t>Assume worth $35,000</t>
        </r>
      </text>
    </comment>
    <comment ref="C41" authorId="1" shapeId="0">
      <text>
        <r>
          <rPr>
            <b/>
            <sz val="8"/>
            <color indexed="81"/>
            <rFont val="Tahoma"/>
            <family val="2"/>
          </rPr>
          <t>Use for all crops except pasture and clover (assumed underseeded in small grain year).</t>
        </r>
      </text>
    </comment>
    <comment ref="D41" authorId="0" shapeId="0">
      <text>
        <r>
          <rPr>
            <b/>
            <sz val="8"/>
            <color indexed="81"/>
            <rFont val="Tahoma"/>
            <family val="2"/>
          </rPr>
          <t>Assume worth $19,000</t>
        </r>
      </text>
    </comment>
    <comment ref="C42" authorId="1" shapeId="0">
      <text>
        <r>
          <rPr>
            <b/>
            <sz val="8"/>
            <color indexed="81"/>
            <rFont val="Tahoma"/>
            <family val="2"/>
          </rPr>
          <t>Use for all crops except pasture and clover (assumed underseeded in small grain year).</t>
        </r>
      </text>
    </comment>
    <comment ref="D42" authorId="0" shapeId="0">
      <text>
        <r>
          <rPr>
            <b/>
            <sz val="8"/>
            <color indexed="81"/>
            <rFont val="Tahoma"/>
            <family val="2"/>
          </rPr>
          <t>Assume worth $40,000</t>
        </r>
      </text>
    </comment>
    <comment ref="C43" authorId="1" shapeId="0">
      <text>
        <r>
          <rPr>
            <b/>
            <sz val="8"/>
            <color indexed="81"/>
            <rFont val="Tahoma"/>
            <family val="2"/>
          </rPr>
          <t>Use for all crops except pasture and clover (assumed underseeded in small grain year).</t>
        </r>
      </text>
    </comment>
    <comment ref="D43" authorId="0" shapeId="0">
      <text>
        <r>
          <rPr>
            <b/>
            <sz val="8"/>
            <color indexed="81"/>
            <rFont val="Tahoma"/>
            <family val="2"/>
          </rPr>
          <t>Assume worth $55,000</t>
        </r>
      </text>
    </comment>
    <comment ref="C44" authorId="1" shapeId="0">
      <text>
        <r>
          <rPr>
            <b/>
            <sz val="8"/>
            <color indexed="81"/>
            <rFont val="Tahoma"/>
            <family val="2"/>
          </rPr>
          <t>Use for all crops except pasture and clover (assumed underseeded in small grain year).</t>
        </r>
      </text>
    </comment>
    <comment ref="D44" authorId="2" shapeId="0">
      <text>
        <r>
          <rPr>
            <b/>
            <sz val="9"/>
            <color indexed="81"/>
            <rFont val="Tahoma"/>
            <family val="2"/>
          </rPr>
          <t>Assume worth $26,000</t>
        </r>
      </text>
    </comment>
    <comment ref="C45" authorId="1" shapeId="0">
      <text>
        <r>
          <rPr>
            <b/>
            <sz val="8"/>
            <color indexed="81"/>
            <rFont val="Tahoma"/>
            <family val="2"/>
          </rPr>
          <t>Use for all crops except pasture and clover (assumed underseeded in small grain year).</t>
        </r>
      </text>
    </comment>
    <comment ref="D45" authorId="2" shapeId="0">
      <text>
        <r>
          <rPr>
            <b/>
            <sz val="9"/>
            <color indexed="81"/>
            <rFont val="Tahoma"/>
            <family val="2"/>
          </rPr>
          <t>Assume worth $26,000</t>
        </r>
      </text>
    </comment>
    <comment ref="C46" authorId="1" shapeId="0">
      <text>
        <r>
          <rPr>
            <b/>
            <sz val="8"/>
            <color indexed="81"/>
            <rFont val="Tahoma"/>
            <family val="2"/>
          </rPr>
          <t>Use for all crops except pasture and clover (assumed underseeded in small grain year).</t>
        </r>
      </text>
    </comment>
    <comment ref="D46" authorId="2" shapeId="0">
      <text>
        <r>
          <rPr>
            <b/>
            <sz val="9"/>
            <color indexed="81"/>
            <rFont val="Tahoma"/>
            <family val="2"/>
          </rPr>
          <t>Assume worth $26,000</t>
        </r>
      </text>
    </comment>
    <comment ref="C47" authorId="1" shapeId="0">
      <text>
        <r>
          <rPr>
            <b/>
            <sz val="8"/>
            <color indexed="81"/>
            <rFont val="Tahoma"/>
            <family val="2"/>
          </rPr>
          <t>Use for all crops for weed control at least during establishment. Requiring weeding for small grains (2x) and soybeans and peas (1x)</t>
        </r>
      </text>
    </comment>
    <comment ref="D47" authorId="2" shapeId="0">
      <text>
        <r>
          <rPr>
            <b/>
            <sz val="9"/>
            <color indexed="81"/>
            <rFont val="Tahoma"/>
            <family val="2"/>
          </rPr>
          <t>Assume worth $15,000</t>
        </r>
      </text>
    </comment>
    <comment ref="C48" authorId="1" shapeId="0">
      <text>
        <r>
          <rPr>
            <b/>
            <sz val="8"/>
            <color indexed="81"/>
            <rFont val="Tahoma"/>
            <family val="2"/>
          </rPr>
          <t>Use for all crops for weed control at least during establishment. Requiring weeding for small grains (2x) and soybeans and peas (1x)</t>
        </r>
      </text>
    </comment>
    <comment ref="D48" authorId="2" shapeId="0">
      <text>
        <r>
          <rPr>
            <b/>
            <sz val="9"/>
            <color indexed="81"/>
            <rFont val="Tahoma"/>
            <family val="2"/>
          </rPr>
          <t>Assume worth $35,000</t>
        </r>
      </text>
    </comment>
    <comment ref="C49" authorId="1" shapeId="0">
      <text>
        <r>
          <rPr>
            <b/>
            <sz val="8"/>
            <color indexed="81"/>
            <rFont val="Tahoma"/>
            <family val="2"/>
          </rPr>
          <t>Use for all crops for weed control at least during establishment. Requiring weeding for small grains (2x) and soybeans and peas (1x)</t>
        </r>
      </text>
    </comment>
    <comment ref="D49" authorId="2" shapeId="0">
      <text>
        <r>
          <rPr>
            <b/>
            <sz val="9"/>
            <color indexed="81"/>
            <rFont val="Tahoma"/>
            <family val="2"/>
          </rPr>
          <t>Assume worth $35,000</t>
        </r>
      </text>
    </comment>
    <comment ref="C50" authorId="1" shapeId="0">
      <text>
        <r>
          <rPr>
            <b/>
            <sz val="8"/>
            <color indexed="81"/>
            <rFont val="Tahoma"/>
            <family val="2"/>
          </rPr>
          <t>Use for all crops for weed control at least during establishment. Requiring weeding for small grains (2x) and soybeans and peas (1x)</t>
        </r>
      </text>
    </comment>
    <comment ref="D50" authorId="2" shapeId="0">
      <text>
        <r>
          <rPr>
            <b/>
            <sz val="9"/>
            <color indexed="81"/>
            <rFont val="Tahoma"/>
            <family val="2"/>
          </rPr>
          <t>Assume worth $5,000</t>
        </r>
      </text>
    </comment>
    <comment ref="C51" authorId="1" shapeId="0">
      <text>
        <r>
          <rPr>
            <b/>
            <sz val="8"/>
            <color indexed="81"/>
            <rFont val="Tahoma"/>
            <family val="2"/>
          </rPr>
          <t>Use for all crops for weed control at least during establishment. Requiring weeding for small grains (2x) and soybeans and peas (1x)</t>
        </r>
      </text>
    </comment>
    <comment ref="D51" authorId="2" shapeId="0">
      <text>
        <r>
          <rPr>
            <b/>
            <sz val="9"/>
            <color indexed="81"/>
            <rFont val="Tahoma"/>
            <family val="2"/>
          </rPr>
          <t>Assume worth $5,000</t>
        </r>
      </text>
    </comment>
    <comment ref="C52" authorId="1" shapeId="0">
      <text>
        <r>
          <rPr>
            <b/>
            <sz val="8"/>
            <color indexed="81"/>
            <rFont val="Tahoma"/>
            <family val="2"/>
          </rPr>
          <t>Use for all crops for weed control at least during establishment. Requiring weeding for small grains (2x) and soybeans and peas (1x)</t>
        </r>
      </text>
    </comment>
    <comment ref="D52" authorId="2" shapeId="0">
      <text>
        <r>
          <rPr>
            <b/>
            <sz val="9"/>
            <color indexed="81"/>
            <rFont val="Tahoma"/>
            <family val="2"/>
          </rPr>
          <t>Assume worth $5,000</t>
        </r>
      </text>
    </comment>
    <comment ref="C55" authorId="1" shapeId="0">
      <text>
        <r>
          <rPr>
            <b/>
            <sz val="8"/>
            <color indexed="81"/>
            <rFont val="Tahoma"/>
            <family val="2"/>
          </rPr>
          <t>Use for small grain crops as well as assume can be adapted to plant peas and soybeans</t>
        </r>
      </text>
    </comment>
    <comment ref="D55" authorId="0" shapeId="0">
      <text>
        <r>
          <rPr>
            <b/>
            <sz val="8"/>
            <color indexed="81"/>
            <rFont val="Tahoma"/>
            <family val="2"/>
          </rPr>
          <t>Assume $22,000 for grain drill</t>
        </r>
      </text>
    </comment>
    <comment ref="C56" authorId="1" shapeId="0">
      <text>
        <r>
          <rPr>
            <b/>
            <sz val="8"/>
            <color indexed="81"/>
            <rFont val="Tahoma"/>
            <family val="2"/>
          </rPr>
          <t>Use for small grain crops as well as assume can be adapted to plant peas and soybeans</t>
        </r>
      </text>
    </comment>
    <comment ref="D56" authorId="0" shapeId="0">
      <text>
        <r>
          <rPr>
            <b/>
            <sz val="8"/>
            <color indexed="81"/>
            <rFont val="Tahoma"/>
            <family val="2"/>
          </rPr>
          <t>Assume $45,000 for grain drill</t>
        </r>
      </text>
    </comment>
    <comment ref="C57" authorId="1" shapeId="0">
      <text>
        <r>
          <rPr>
            <b/>
            <sz val="8"/>
            <color indexed="81"/>
            <rFont val="Tahoma"/>
            <family val="2"/>
          </rPr>
          <t>Use for small grain crops as well as assume can be adapted to plant peas and soybeans</t>
        </r>
      </text>
    </comment>
    <comment ref="D57" authorId="0" shapeId="0">
      <text>
        <r>
          <rPr>
            <b/>
            <sz val="8"/>
            <color indexed="81"/>
            <rFont val="Tahoma"/>
            <family val="2"/>
          </rPr>
          <t>Assume $57,000 for grain drill</t>
        </r>
      </text>
    </comment>
    <comment ref="C61" authorId="0" shapeId="0">
      <text>
        <r>
          <rPr>
            <b/>
            <sz val="8"/>
            <color indexed="81"/>
            <rFont val="Tahoma"/>
            <family val="2"/>
          </rPr>
          <t>Use for all crops except pasture and clover (assumed underseeded in small grain year).</t>
        </r>
      </text>
    </comment>
    <comment ref="D61" authorId="0" shapeId="0">
      <text>
        <r>
          <rPr>
            <b/>
            <sz val="8"/>
            <color indexed="81"/>
            <rFont val="Tahoma"/>
            <family val="2"/>
          </rPr>
          <t>Assume worth $21,000</t>
        </r>
      </text>
    </comment>
    <comment ref="C62" authorId="0" shapeId="0">
      <text>
        <r>
          <rPr>
            <b/>
            <sz val="8"/>
            <color indexed="81"/>
            <rFont val="Tahoma"/>
            <family val="2"/>
          </rPr>
          <t>Use for all crops except pasture and clover (assumed underseeded in small grain year).</t>
        </r>
      </text>
    </comment>
    <comment ref="D62" authorId="0" shapeId="0">
      <text>
        <r>
          <rPr>
            <b/>
            <sz val="8"/>
            <color indexed="81"/>
            <rFont val="Tahoma"/>
            <family val="2"/>
          </rPr>
          <t>Assume worth $45,000</t>
        </r>
      </text>
    </comment>
    <comment ref="C63" authorId="0" shapeId="0">
      <text>
        <r>
          <rPr>
            <b/>
            <sz val="8"/>
            <color indexed="81"/>
            <rFont val="Tahoma"/>
            <family val="2"/>
          </rPr>
          <t>Use for all crops except pasture and clover (assumed underseeded in small grain year).</t>
        </r>
      </text>
    </comment>
    <comment ref="D63" authorId="0" shapeId="0">
      <text>
        <r>
          <rPr>
            <b/>
            <sz val="8"/>
            <color indexed="81"/>
            <rFont val="Tahoma"/>
            <family val="2"/>
          </rPr>
          <t>Assume worth $234,000</t>
        </r>
      </text>
    </comment>
    <comment ref="C66" authorId="1" shapeId="0">
      <text>
        <r>
          <rPr>
            <b/>
            <sz val="8"/>
            <color indexed="81"/>
            <rFont val="Tahoma"/>
            <family val="2"/>
          </rPr>
          <t>Use for grain corn, barley, oats, rye, wheat, triticale, spelt, peas, and soybeans as well as canola.</t>
        </r>
      </text>
    </comment>
    <comment ref="D66" authorId="0" shapeId="0">
      <text>
        <r>
          <rPr>
            <b/>
            <sz val="8"/>
            <color indexed="81"/>
            <rFont val="Tahoma"/>
            <family val="2"/>
          </rPr>
          <t>Assume half of $284,000 for combine so this is $142,000</t>
        </r>
      </text>
    </comment>
    <comment ref="C67" authorId="1" shapeId="0">
      <text>
        <r>
          <rPr>
            <b/>
            <sz val="8"/>
            <color indexed="81"/>
            <rFont val="Tahoma"/>
            <family val="2"/>
          </rPr>
          <t>Use for grain corn, barley, oats, rye, wheat, triticale, spelt, peas, and soybeans as well as canola.</t>
        </r>
      </text>
    </comment>
    <comment ref="D67" authorId="0" shapeId="0">
      <text>
        <r>
          <rPr>
            <b/>
            <sz val="8"/>
            <color indexed="81"/>
            <rFont val="Tahoma"/>
            <family val="2"/>
          </rPr>
          <t xml:space="preserve">Assume $213,000 </t>
        </r>
      </text>
    </comment>
    <comment ref="C68" authorId="1" shapeId="0">
      <text>
        <r>
          <rPr>
            <b/>
            <sz val="8"/>
            <color indexed="81"/>
            <rFont val="Tahoma"/>
            <family val="2"/>
          </rPr>
          <t>Use for grain corn, barley, oats, rye, wheat, triticale, spelt, peas, and soybeans as well as canola.</t>
        </r>
      </text>
    </comment>
    <comment ref="D68" authorId="0" shapeId="0">
      <text>
        <r>
          <rPr>
            <b/>
            <sz val="8"/>
            <color indexed="81"/>
            <rFont val="Tahoma"/>
            <family val="2"/>
          </rPr>
          <t xml:space="preserve">Assume $284,000 </t>
        </r>
      </text>
    </comment>
    <comment ref="C69" authorId="1" shapeId="0">
      <text>
        <r>
          <rPr>
            <b/>
            <sz val="8"/>
            <color indexed="81"/>
            <rFont val="Tahoma"/>
            <family val="2"/>
          </rPr>
          <t>Use for soybeans and peas</t>
        </r>
      </text>
    </comment>
    <comment ref="D69" authorId="2" shapeId="0">
      <text>
        <r>
          <rPr>
            <b/>
            <sz val="9"/>
            <color indexed="81"/>
            <rFont val="Tahoma"/>
            <family val="2"/>
          </rPr>
          <t>Assume worth $32,250</t>
        </r>
      </text>
    </comment>
    <comment ref="C70" authorId="1" shapeId="0">
      <text>
        <r>
          <rPr>
            <b/>
            <sz val="8"/>
            <color indexed="81"/>
            <rFont val="Tahoma"/>
            <family val="2"/>
          </rPr>
          <t>Use for soybeans and peas</t>
        </r>
      </text>
    </comment>
    <comment ref="D70" authorId="2" shapeId="0">
      <text>
        <r>
          <rPr>
            <b/>
            <sz val="9"/>
            <color indexed="81"/>
            <rFont val="Tahoma"/>
            <family val="2"/>
          </rPr>
          <t>Assume worth $43,000</t>
        </r>
      </text>
    </comment>
    <comment ref="C71" authorId="1" shapeId="0">
      <text>
        <r>
          <rPr>
            <b/>
            <sz val="8"/>
            <color indexed="81"/>
            <rFont val="Tahoma"/>
            <family val="2"/>
          </rPr>
          <t>Use for soybeans and peas</t>
        </r>
      </text>
    </comment>
    <comment ref="D71" authorId="2" shapeId="0">
      <text>
        <r>
          <rPr>
            <b/>
            <sz val="9"/>
            <color indexed="81"/>
            <rFont val="Tahoma"/>
            <family val="2"/>
          </rPr>
          <t>Assume worth $75,000</t>
        </r>
      </text>
    </comment>
    <comment ref="C74" authorId="0" shapeId="0">
      <text>
        <r>
          <rPr>
            <b/>
            <sz val="8"/>
            <color indexed="81"/>
            <rFont val="Tahoma"/>
            <family val="2"/>
          </rPr>
          <t>Use for all crops</t>
        </r>
      </text>
    </comment>
    <comment ref="D74" authorId="0" shapeId="0">
      <text>
        <r>
          <rPr>
            <b/>
            <sz val="8"/>
            <color indexed="81"/>
            <rFont val="Tahoma"/>
            <family val="2"/>
          </rPr>
          <t>Assume worth $125</t>
        </r>
      </text>
    </comment>
    <comment ref="C75" authorId="0" shapeId="0">
      <text>
        <r>
          <rPr>
            <b/>
            <sz val="8"/>
            <color indexed="81"/>
            <rFont val="Tahoma"/>
            <family val="2"/>
          </rPr>
          <t>Use for all crops</t>
        </r>
      </text>
    </comment>
    <comment ref="D75" authorId="0" shapeId="0">
      <text>
        <r>
          <rPr>
            <b/>
            <sz val="8"/>
            <color indexed="81"/>
            <rFont val="Tahoma"/>
            <family val="2"/>
          </rPr>
          <t>Assume worth $1,254</t>
        </r>
      </text>
    </comment>
    <comment ref="C76" authorId="0" shapeId="0">
      <text>
        <r>
          <rPr>
            <b/>
            <sz val="8"/>
            <color indexed="81"/>
            <rFont val="Tahoma"/>
            <family val="2"/>
          </rPr>
          <t>Use for all crops</t>
        </r>
      </text>
    </comment>
    <comment ref="D76" authorId="0" shapeId="0">
      <text>
        <r>
          <rPr>
            <b/>
            <sz val="8"/>
            <color indexed="81"/>
            <rFont val="Tahoma"/>
            <family val="2"/>
          </rPr>
          <t>Assume worth $627</t>
        </r>
      </text>
    </comment>
    <comment ref="C77" authorId="0" shapeId="0">
      <text>
        <r>
          <rPr>
            <b/>
            <sz val="8"/>
            <color indexed="81"/>
            <rFont val="Tahoma"/>
            <family val="2"/>
          </rPr>
          <t>Use for all crops</t>
        </r>
      </text>
    </comment>
    <comment ref="D77" authorId="0" shapeId="0">
      <text>
        <r>
          <rPr>
            <b/>
            <sz val="8"/>
            <color indexed="81"/>
            <rFont val="Tahoma"/>
            <family val="2"/>
          </rPr>
          <t>Assume worth $6,268</t>
        </r>
      </text>
    </comment>
    <comment ref="C78" authorId="0" shapeId="0">
      <text>
        <r>
          <rPr>
            <b/>
            <sz val="8"/>
            <color indexed="81"/>
            <rFont val="Tahoma"/>
            <family val="2"/>
          </rPr>
          <t>Use for all crops</t>
        </r>
      </text>
    </comment>
    <comment ref="D78" authorId="0" shapeId="0">
      <text>
        <r>
          <rPr>
            <b/>
            <sz val="8"/>
            <color indexed="81"/>
            <rFont val="Tahoma"/>
            <family val="2"/>
          </rPr>
          <t>Assume worth $1,254</t>
        </r>
      </text>
    </comment>
    <comment ref="C79" authorId="0" shapeId="0">
      <text>
        <r>
          <rPr>
            <b/>
            <sz val="8"/>
            <color indexed="81"/>
            <rFont val="Tahoma"/>
            <family val="2"/>
          </rPr>
          <t>Use for all crops</t>
        </r>
      </text>
    </comment>
    <comment ref="D79" authorId="0" shapeId="0">
      <text>
        <r>
          <rPr>
            <b/>
            <sz val="8"/>
            <color indexed="81"/>
            <rFont val="Tahoma"/>
            <family val="2"/>
          </rPr>
          <t>Assume worth $12,536</t>
        </r>
      </text>
    </comment>
    <comment ref="C82" authorId="1" shapeId="0">
      <text>
        <r>
          <rPr>
            <b/>
            <sz val="8"/>
            <color indexed="81"/>
            <rFont val="Tahoma"/>
            <family val="2"/>
          </rPr>
          <t>Use for grain corn, barley, oats, rye, wheat, triticale, spelt, peas, and soybeans as well as canola.</t>
        </r>
      </text>
    </comment>
    <comment ref="D82" authorId="0" shapeId="0">
      <text>
        <r>
          <rPr>
            <b/>
            <sz val="8"/>
            <color indexed="81"/>
            <rFont val="Tahoma"/>
            <family val="2"/>
          </rPr>
          <t>Assume worth $1000</t>
        </r>
      </text>
    </comment>
    <comment ref="C83" authorId="1" shapeId="0">
      <text>
        <r>
          <rPr>
            <b/>
            <sz val="8"/>
            <color indexed="81"/>
            <rFont val="Tahoma"/>
            <family val="2"/>
          </rPr>
          <t>Use for grain corn, barley, oats, rye, wheat, triticale, spelt, peas, and soybeans as well as canola.</t>
        </r>
      </text>
    </comment>
    <comment ref="D83" authorId="0" shapeId="0">
      <text>
        <r>
          <rPr>
            <b/>
            <sz val="8"/>
            <color indexed="81"/>
            <rFont val="Tahoma"/>
            <family val="2"/>
          </rPr>
          <t>Assume worth $1000</t>
        </r>
      </text>
    </comment>
    <comment ref="C84" authorId="1" shapeId="0">
      <text>
        <r>
          <rPr>
            <b/>
            <sz val="8"/>
            <color indexed="81"/>
            <rFont val="Tahoma"/>
            <family val="2"/>
          </rPr>
          <t>Use for grain corn, barley, oats, rye, wheat, triticale, spelt, peas, and soybeans as well as canola.</t>
        </r>
      </text>
    </comment>
    <comment ref="D84" authorId="0" shapeId="0">
      <text>
        <r>
          <rPr>
            <b/>
            <sz val="8"/>
            <color indexed="81"/>
            <rFont val="Tahoma"/>
            <family val="2"/>
          </rPr>
          <t>Assume worth $1000</t>
        </r>
      </text>
    </comment>
    <comment ref="C87" authorId="1" shapeId="0">
      <text>
        <r>
          <rPr>
            <b/>
            <sz val="8"/>
            <color indexed="81"/>
            <rFont val="Tahoma"/>
            <family val="2"/>
          </rPr>
          <t>Use for grain corn, barley, oats, rye, wheat, triticale, spelt, peas, and soybeans as well as canola.</t>
        </r>
      </text>
    </comment>
    <comment ref="D87" authorId="2" shapeId="0">
      <text>
        <r>
          <rPr>
            <b/>
            <sz val="9"/>
            <color indexed="81"/>
            <rFont val="Tahoma"/>
            <family val="2"/>
          </rPr>
          <t>Assume worth $4,000</t>
        </r>
      </text>
    </comment>
    <comment ref="C88" authorId="1" shapeId="0">
      <text>
        <r>
          <rPr>
            <b/>
            <sz val="8"/>
            <color indexed="81"/>
            <rFont val="Tahoma"/>
            <family val="2"/>
          </rPr>
          <t>Use for grain corn, barley, oats, rye, wheat, triticale, spelt, peas, and soybeans as well as canola.</t>
        </r>
      </text>
    </comment>
    <comment ref="D88" authorId="2" shapeId="0">
      <text>
        <r>
          <rPr>
            <b/>
            <sz val="9"/>
            <color indexed="81"/>
            <rFont val="Tahoma"/>
            <family val="2"/>
          </rPr>
          <t>Assume worth $4,000</t>
        </r>
      </text>
    </comment>
    <comment ref="C89" authorId="1" shapeId="0">
      <text>
        <r>
          <rPr>
            <b/>
            <sz val="8"/>
            <color indexed="81"/>
            <rFont val="Tahoma"/>
            <family val="2"/>
          </rPr>
          <t>Use for grain corn, barley, oats, rye, wheat, triticale, spelt, peas, and soybeans as well as canola.</t>
        </r>
      </text>
    </comment>
    <comment ref="D89" authorId="2" shapeId="0">
      <text>
        <r>
          <rPr>
            <b/>
            <sz val="9"/>
            <color indexed="81"/>
            <rFont val="Tahoma"/>
            <family val="2"/>
          </rPr>
          <t>Assume worth $4,000</t>
        </r>
      </text>
    </comment>
    <comment ref="A93"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94"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A95"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C103" authorId="1" shapeId="0">
      <text>
        <r>
          <rPr>
            <b/>
            <sz val="8"/>
            <color indexed="81"/>
            <rFont val="Tahoma"/>
            <family val="2"/>
          </rPr>
          <t>Use for all crops</t>
        </r>
      </text>
    </comment>
    <comment ref="D103" authorId="0" shapeId="0">
      <text>
        <r>
          <rPr>
            <b/>
            <sz val="8"/>
            <color indexed="81"/>
            <rFont val="Tahoma"/>
            <family val="2"/>
          </rPr>
          <t>Assume worth $50,000</t>
        </r>
      </text>
    </comment>
    <comment ref="C104" authorId="1" shapeId="0">
      <text>
        <r>
          <rPr>
            <b/>
            <sz val="8"/>
            <color indexed="81"/>
            <rFont val="Tahoma"/>
            <family val="2"/>
          </rPr>
          <t>Use for all crops</t>
        </r>
      </text>
    </comment>
    <comment ref="D104" authorId="0" shapeId="0">
      <text>
        <r>
          <rPr>
            <b/>
            <sz val="8"/>
            <color indexed="81"/>
            <rFont val="Tahoma"/>
            <family val="2"/>
          </rPr>
          <t>Assume worth $100,000</t>
        </r>
      </text>
    </comment>
    <comment ref="C105" authorId="1" shapeId="0">
      <text>
        <r>
          <rPr>
            <b/>
            <sz val="8"/>
            <color indexed="81"/>
            <rFont val="Tahoma"/>
            <family val="2"/>
          </rPr>
          <t>Use for all crops</t>
        </r>
      </text>
    </comment>
    <comment ref="D105" authorId="0" shapeId="0">
      <text>
        <r>
          <rPr>
            <b/>
            <sz val="8"/>
            <color indexed="81"/>
            <rFont val="Tahoma"/>
            <family val="2"/>
          </rPr>
          <t>Assume worth $200,000</t>
        </r>
      </text>
    </comment>
  </commentList>
</comments>
</file>

<file path=xl/comments39.xml><?xml version="1.0" encoding="utf-8"?>
<comments xmlns="http://schemas.openxmlformats.org/spreadsheetml/2006/main">
  <authors>
    <author>aaron hoshide</author>
    <author xml:space="preserve"> </author>
    <author>REP</author>
    <author>Sensei</author>
  </authors>
  <commentList>
    <comment ref="C11" authorId="0" shapeId="0">
      <text>
        <r>
          <rPr>
            <sz val="8"/>
            <color indexed="81"/>
            <rFont val="Tahoma"/>
            <family val="2"/>
          </rPr>
          <t>Assume this is weighted average of fries and chipping price of seed.</t>
        </r>
      </text>
    </comment>
    <comment ref="F11" authorId="0" shapeId="0">
      <text>
        <r>
          <rPr>
            <sz val="8"/>
            <color indexed="81"/>
            <rFont val="Tahoma"/>
            <family val="2"/>
          </rPr>
          <t xml:space="preserve">Assume $13.57/cwt average for 2007-2009 (http://www.nass.usda.gov/Publications/Ag_Statistics/2010/Chapter04.pdf). 
Old value of $8.10/cwt in cell J14 on this worksheet. Assume this is weighted average of fries and chipping price of seed.
</t>
        </r>
      </text>
    </comment>
    <comment ref="K11" authorId="0" shapeId="0">
      <text>
        <r>
          <rPr>
            <sz val="8"/>
            <color indexed="81"/>
            <rFont val="Tahoma"/>
            <family val="2"/>
          </rPr>
          <t>Shipped in 1999</t>
        </r>
      </text>
    </comment>
    <comment ref="A12" authorId="0" shapeId="0">
      <text>
        <r>
          <rPr>
            <sz val="8"/>
            <color indexed="81"/>
            <rFont val="Tahoma"/>
            <family val="2"/>
          </rPr>
          <t>Assume same as enterprise budget</t>
        </r>
      </text>
    </comment>
    <comment ref="F12" authorId="1" shapeId="0">
      <text>
        <r>
          <rPr>
            <sz val="8"/>
            <color indexed="81"/>
            <rFont val="Tahoma"/>
            <family val="2"/>
          </rPr>
          <t xml:space="preserve">Adjusted by PPI to convert from 2002 surveyed cost to 2010. </t>
        </r>
      </text>
    </comment>
    <comment ref="M13" authorId="2" shapeId="0">
      <text>
        <r>
          <rPr>
            <sz val="8"/>
            <color indexed="81"/>
            <rFont val="Tahoma"/>
            <family val="2"/>
          </rPr>
          <t>Assume same price of chipping seed as coupled (Original was $8/cwt)</t>
        </r>
      </text>
    </comment>
    <comment ref="C14" authorId="2" shapeId="0">
      <text>
        <r>
          <rPr>
            <sz val="8"/>
            <color indexed="81"/>
            <rFont val="Tahoma"/>
            <family val="2"/>
          </rPr>
          <t>Coupled model assumes need 320 lb/acre of 10-10-10 fertilizer blend if long term integrated (1204 lb of 10-10-10 if short term integrated)</t>
        </r>
      </text>
    </comment>
    <comment ref="F14" authorId="2" shapeId="0">
      <text>
        <r>
          <rPr>
            <sz val="8"/>
            <color indexed="81"/>
            <rFont val="Tahoma"/>
            <family val="2"/>
          </rPr>
          <t>Assume same percent increase in price as for urea. Old price of $205/ton for 14-14-14 1.0 Mag.  Old value assumed for 10-10-10 was $210/ton.  Old value of:
=205+(205*'Key Data'!$F$71)</t>
        </r>
      </text>
    </comment>
    <comment ref="C15" authorId="2" shapeId="0">
      <text>
        <r>
          <rPr>
            <sz val="8"/>
            <color indexed="81"/>
            <rFont val="Tahoma"/>
            <family val="2"/>
          </rPr>
          <t xml:space="preserve">Assume no side dress needed if integrated. Conventional model assumes need 126 lb/acre of 32-0-0 urea. Fertilizer (=126/2000). </t>
        </r>
      </text>
    </comment>
    <comment ref="F15" authorId="2" shapeId="0">
      <text>
        <r>
          <rPr>
            <sz val="8"/>
            <color indexed="81"/>
            <rFont val="Tahoma"/>
            <family val="2"/>
          </rPr>
          <t>Assume percent increase in price for this. Old price of urea side dress for conventional dairy at $230/ton.
Old value:
=230+(230*'Key Data'!$F$71)</t>
        </r>
      </text>
    </comment>
    <comment ref="C16" authorId="2" shapeId="0">
      <text>
        <r>
          <rPr>
            <sz val="8"/>
            <color indexed="81"/>
            <rFont val="Tahoma"/>
            <family val="2"/>
          </rPr>
          <t>Assume no additional N applied to get yield response</t>
        </r>
      </text>
    </comment>
    <comment ref="F16" authorId="1" shapeId="0">
      <text>
        <r>
          <rPr>
            <sz val="8"/>
            <color indexed="81"/>
            <rFont val="Tahoma"/>
            <family val="2"/>
          </rPr>
          <t>Assume percent increase in price for this. Old price of urea side dress for conventional dairy at $230/ton.</t>
        </r>
      </text>
    </comment>
    <comment ref="A17" authorId="0" shapeId="0">
      <text>
        <r>
          <rPr>
            <sz val="8"/>
            <color indexed="81"/>
            <rFont val="Tahoma"/>
            <family val="2"/>
          </rPr>
          <t>Assume same as enterprise budget</t>
        </r>
      </text>
    </comment>
    <comment ref="C17" authorId="1" shapeId="0">
      <text>
        <r>
          <rPr>
            <sz val="8"/>
            <color indexed="81"/>
            <rFont val="Tahoma"/>
            <family val="2"/>
          </rPr>
          <t>Old value of 0.50 (=1000/2000).</t>
        </r>
      </text>
    </comment>
    <comment ref="A18" authorId="1" shapeId="0">
      <text>
        <r>
          <rPr>
            <sz val="8"/>
            <color indexed="81"/>
            <rFont val="Tahoma"/>
            <family val="2"/>
          </rPr>
          <t>Adapted from Central Maine to Aroostook County.</t>
        </r>
      </text>
    </comment>
    <comment ref="F20" authorId="1" shapeId="0">
      <text>
        <r>
          <rPr>
            <sz val="8"/>
            <color indexed="81"/>
            <rFont val="Tahoma"/>
            <family val="2"/>
          </rPr>
          <t xml:space="preserve">Adjusted by PPI to convert from 2002 surveyed cost to 2010. </t>
        </r>
      </text>
    </comment>
    <comment ref="F21" authorId="1" shapeId="0">
      <text>
        <r>
          <rPr>
            <sz val="8"/>
            <color indexed="81"/>
            <rFont val="Tahoma"/>
            <family val="2"/>
          </rPr>
          <t xml:space="preserve">Adjusted by PPI to convert from 2002 surveyed cost to 2010. </t>
        </r>
      </text>
    </comment>
    <comment ref="F23" authorId="1" shapeId="0">
      <text>
        <r>
          <rPr>
            <sz val="8"/>
            <color indexed="81"/>
            <rFont val="Tahoma"/>
            <family val="2"/>
          </rPr>
          <t xml:space="preserve">Adjusted by PPI to convert from 2002 surveyed cost to 2010. </t>
        </r>
      </text>
    </comment>
    <comment ref="A24" authorId="0" shapeId="0">
      <text>
        <r>
          <rPr>
            <u/>
            <sz val="8"/>
            <color indexed="81"/>
            <rFont val="Tahoma"/>
            <family val="2"/>
          </rPr>
          <t>Assume:</t>
        </r>
        <r>
          <rPr>
            <sz val="8"/>
            <color indexed="81"/>
            <rFont val="Tahoma"/>
            <family val="2"/>
          </rPr>
          <t xml:space="preserve">
1) 8 applications in central Maine
2) 13 applications in Aroostook County</t>
        </r>
      </text>
    </comment>
    <comment ref="F24" authorId="1" shapeId="0">
      <text>
        <r>
          <rPr>
            <sz val="8"/>
            <color indexed="81"/>
            <rFont val="Tahoma"/>
            <family val="2"/>
          </rPr>
          <t xml:space="preserve">Adjusted by PPI to convert from 2002 surveyed cost to 2010. </t>
        </r>
      </text>
    </comment>
    <comment ref="F25" authorId="1" shapeId="0">
      <text>
        <r>
          <rPr>
            <sz val="8"/>
            <color indexed="81"/>
            <rFont val="Tahoma"/>
            <family val="2"/>
          </rPr>
          <t xml:space="preserve">Adjusted by PPI to convert from 2002 surveyed cost to 2010. </t>
        </r>
      </text>
    </comment>
    <comment ref="A27" authorId="0" shapeId="0">
      <text>
        <r>
          <rPr>
            <sz val="8"/>
            <color indexed="81"/>
            <rFont val="Tahoma"/>
            <family val="2"/>
          </rPr>
          <t>Assume same as enterprise budget</t>
        </r>
      </text>
    </comment>
    <comment ref="F27" authorId="1" shapeId="0">
      <text>
        <r>
          <rPr>
            <sz val="8"/>
            <color indexed="81"/>
            <rFont val="Tahoma"/>
            <family val="2"/>
          </rPr>
          <t xml:space="preserve">Adjusted by PPI to convert from 2002 surveyed cost to 2010. </t>
        </r>
      </text>
    </comment>
    <comment ref="F28" authorId="1" shapeId="0">
      <text>
        <r>
          <rPr>
            <sz val="8"/>
            <color indexed="81"/>
            <rFont val="Tahoma"/>
            <family val="2"/>
          </rPr>
          <t xml:space="preserve">Adjusted by PPI to convert from 2002 surveyed cost to 2010. </t>
        </r>
      </text>
    </comment>
    <comment ref="A30" authorId="0" shapeId="0">
      <text>
        <r>
          <rPr>
            <sz val="8"/>
            <color indexed="81"/>
            <rFont val="Tahoma"/>
            <family val="2"/>
          </rPr>
          <t>Assume top kill 75% of potatoes</t>
        </r>
      </text>
    </comment>
    <comment ref="F30" authorId="1" shapeId="0">
      <text>
        <r>
          <rPr>
            <sz val="8"/>
            <color indexed="81"/>
            <rFont val="Tahoma"/>
            <family val="2"/>
          </rPr>
          <t xml:space="preserve">Adjusted by PPI to convert from 2002 surveyed cost to 2010. </t>
        </r>
      </text>
    </comment>
    <comment ref="A32" authorId="0" shapeId="0">
      <text>
        <r>
          <rPr>
            <sz val="8"/>
            <color indexed="81"/>
            <rFont val="Tahoma"/>
            <family val="2"/>
          </rPr>
          <t>Assume top kill 75% of potatoes</t>
        </r>
      </text>
    </comment>
    <comment ref="F32" authorId="1" shapeId="0">
      <text>
        <r>
          <rPr>
            <sz val="8"/>
            <color indexed="81"/>
            <rFont val="Tahoma"/>
            <family val="2"/>
          </rPr>
          <t>From cooperating producer</t>
        </r>
      </text>
    </comment>
    <comment ref="A33" authorId="0" shapeId="0">
      <text>
        <r>
          <rPr>
            <sz val="8"/>
            <color indexed="81"/>
            <rFont val="Tahoma"/>
            <family val="2"/>
          </rPr>
          <t>Assume top kill 75% of potatoes</t>
        </r>
      </text>
    </comment>
    <comment ref="F33" authorId="1" shapeId="0">
      <text>
        <r>
          <rPr>
            <sz val="8"/>
            <color indexed="81"/>
            <rFont val="Tahoma"/>
            <family val="2"/>
          </rPr>
          <t>From cooperating producer</t>
        </r>
      </text>
    </comment>
    <comment ref="A34" authorId="0" shapeId="0">
      <text>
        <r>
          <rPr>
            <sz val="8"/>
            <color indexed="81"/>
            <rFont val="Tahoma"/>
            <family val="2"/>
          </rPr>
          <t>Assume top kill 75% of potatoes</t>
        </r>
      </text>
    </comment>
    <comment ref="F34" authorId="1" shapeId="0">
      <text>
        <r>
          <rPr>
            <sz val="8"/>
            <color indexed="81"/>
            <rFont val="Tahoma"/>
            <family val="2"/>
          </rPr>
          <t>From cooperating producer</t>
        </r>
      </text>
    </comment>
    <comment ref="A36" authorId="0" shapeId="0">
      <text>
        <r>
          <rPr>
            <sz val="8"/>
            <color indexed="81"/>
            <rFont val="Tahoma"/>
            <family val="2"/>
          </rPr>
          <t>Assume only MH half of acreage</t>
        </r>
      </text>
    </comment>
    <comment ref="F36" authorId="1" shapeId="0">
      <text>
        <r>
          <rPr>
            <sz val="8"/>
            <color indexed="81"/>
            <rFont val="Tahoma"/>
            <family val="2"/>
          </rPr>
          <t xml:space="preserve">Adjusted by PPI to convert from 2002 surveyed cost to 2010. </t>
        </r>
      </text>
    </comment>
    <comment ref="L50" authorId="1" shapeId="0">
      <text>
        <r>
          <rPr>
            <sz val="8"/>
            <color indexed="81"/>
            <rFont val="Tahoma"/>
            <family val="2"/>
          </rPr>
          <t>Old value of 6.</t>
        </r>
      </text>
    </comment>
    <comment ref="B52" authorId="3" shapeId="0">
      <text>
        <r>
          <rPr>
            <b/>
            <sz val="9"/>
            <color indexed="81"/>
            <rFont val="Tahoma"/>
            <family val="2"/>
          </rPr>
          <t>Use 2 with one person operating each</t>
        </r>
      </text>
    </comment>
    <comment ref="B53" authorId="3" shapeId="0">
      <text>
        <r>
          <rPr>
            <b/>
            <sz val="9"/>
            <color indexed="81"/>
            <rFont val="Tahoma"/>
            <family val="2"/>
          </rPr>
          <t>One operator with 2 rock pickers</t>
        </r>
      </text>
    </comment>
    <comment ref="B54" authorId="1" shapeId="0">
      <text>
        <r>
          <rPr>
            <sz val="8"/>
            <color indexed="81"/>
            <rFont val="Tahoma"/>
            <family val="2"/>
          </rPr>
          <t>Assume that there is no change for this since it takes the same time to pass over the field.</t>
        </r>
      </text>
    </comment>
    <comment ref="C54" authorId="0" shapeId="0">
      <text>
        <r>
          <rPr>
            <sz val="8"/>
            <color indexed="81"/>
            <rFont val="Tahoma"/>
            <family val="2"/>
          </rPr>
          <t>Old value (=B46*'Key Data'!G54).</t>
        </r>
      </text>
    </comment>
    <comment ref="B55" authorId="1" shapeId="0">
      <text>
        <r>
          <rPr>
            <b/>
            <sz val="8"/>
            <color indexed="81"/>
            <rFont val="Tahoma"/>
            <family val="2"/>
          </rPr>
          <t>Assume half the truck drivers as the medium model.</t>
        </r>
      </text>
    </comment>
    <comment ref="C56" authorId="1" shapeId="0">
      <text>
        <r>
          <rPr>
            <sz val="8"/>
            <color indexed="81"/>
            <rFont val="Tahoma"/>
            <family val="2"/>
          </rPr>
          <t>Old value (=B49*'Key Data'!G112).</t>
        </r>
      </text>
    </comment>
    <comment ref="B57" authorId="1" shapeId="0">
      <text>
        <r>
          <rPr>
            <b/>
            <sz val="8"/>
            <color indexed="81"/>
            <rFont val="Tahoma"/>
            <family val="2"/>
          </rPr>
          <t>Assume half the pin pilers as the medium model.</t>
        </r>
        <r>
          <rPr>
            <sz val="8"/>
            <color indexed="81"/>
            <rFont val="Tahoma"/>
            <family val="2"/>
          </rPr>
          <t xml:space="preserve">
</t>
        </r>
      </text>
    </comment>
    <comment ref="K61" authorId="1" shapeId="0">
      <text>
        <r>
          <rPr>
            <b/>
            <sz val="8"/>
            <color indexed="81"/>
            <rFont val="Tahoma"/>
            <family val="2"/>
          </rPr>
          <t>Assume 2 hour round trip to processor.</t>
        </r>
      </text>
    </comment>
    <comment ref="B79" authorId="1" shapeId="0">
      <text>
        <r>
          <rPr>
            <sz val="8"/>
            <color indexed="81"/>
            <rFont val="Tahoma"/>
            <family val="2"/>
          </rPr>
          <t>Assume that there is no change for this since it takes the same amount of fuel to pass over the field.</t>
        </r>
      </text>
    </comment>
    <comment ref="M86" authorId="1" shapeId="0">
      <text>
        <r>
          <rPr>
            <b/>
            <sz val="8"/>
            <color indexed="81"/>
            <rFont val="Tahoma"/>
            <family val="2"/>
          </rPr>
          <t>Assume this.</t>
        </r>
        <r>
          <rPr>
            <sz val="8"/>
            <color indexed="81"/>
            <rFont val="Tahoma"/>
            <family val="2"/>
          </rPr>
          <t xml:space="preserve">
</t>
        </r>
      </text>
    </comment>
    <comment ref="G89" authorId="2" shapeId="0">
      <text>
        <r>
          <rPr>
            <sz val="8"/>
            <color indexed="81"/>
            <rFont val="Tahoma"/>
            <family val="2"/>
          </rPr>
          <t>Adjust in proportion to equipment value for coupled potato compared to conventional</t>
        </r>
      </text>
    </comment>
    <comment ref="G90" authorId="0" shapeId="0">
      <text>
        <r>
          <rPr>
            <sz val="8"/>
            <color indexed="81"/>
            <rFont val="Tahoma"/>
            <family val="2"/>
          </rPr>
          <t>Assume same cost of supplies as 2001 Farm Credit budget</t>
        </r>
      </text>
    </comment>
    <comment ref="F91" authorId="0" shapeId="0">
      <text>
        <r>
          <rPr>
            <sz val="8"/>
            <color indexed="81"/>
            <rFont val="Tahoma"/>
            <family val="2"/>
          </rPr>
          <t>Use enterprise budget crop insurance of $100 for 300 acres</t>
        </r>
      </text>
    </comment>
    <comment ref="G92" authorId="0" shapeId="0">
      <text>
        <r>
          <rPr>
            <sz val="8"/>
            <color indexed="81"/>
            <rFont val="Tahoma"/>
            <family val="2"/>
          </rPr>
          <t>Assume same cost of insurance as 2001 Farm Credit budget including calculated crop insurance</t>
        </r>
      </text>
    </comment>
    <comment ref="A93" authorId="0" shapeId="0">
      <text>
        <r>
          <rPr>
            <sz val="8"/>
            <color indexed="81"/>
            <rFont val="Tahoma"/>
            <family val="2"/>
          </rPr>
          <t>These are based on the 2001 Farm Credit budgets for processing potato farms (Most are fries rather than chips)</t>
        </r>
      </text>
    </comment>
    <comment ref="G94" authorId="0" shapeId="0">
      <text>
        <r>
          <rPr>
            <sz val="8"/>
            <color indexed="81"/>
            <rFont val="Tahoma"/>
            <family val="2"/>
          </rPr>
          <t xml:space="preserve">Assume same cost of utilities as 2001 Farm Credit budget </t>
        </r>
      </text>
    </comment>
    <comment ref="G95" authorId="0" shapeId="0">
      <text>
        <r>
          <rPr>
            <sz val="8"/>
            <color indexed="81"/>
            <rFont val="Tahoma"/>
            <family val="2"/>
          </rPr>
          <t xml:space="preserve">Assume no custom hire.  Old value of custom hire from 2001 Farm Credit budget. </t>
        </r>
      </text>
    </comment>
    <comment ref="H98" authorId="0" shapeId="0">
      <text>
        <r>
          <rPr>
            <sz val="8"/>
            <color indexed="81"/>
            <rFont val="Tahoma"/>
            <family val="2"/>
          </rPr>
          <t>Assume additional rental to bring up to about $70/acre total rental</t>
        </r>
      </text>
    </comment>
    <comment ref="G99" authorId="0" shapeId="0">
      <text>
        <r>
          <rPr>
            <b/>
            <sz val="8"/>
            <color indexed="81"/>
            <rFont val="Tahoma"/>
            <family val="2"/>
          </rPr>
          <t>This is already specifed in labor and fuel.</t>
        </r>
        <r>
          <rPr>
            <sz val="8"/>
            <color indexed="81"/>
            <rFont val="Tahoma"/>
            <family val="2"/>
          </rPr>
          <t xml:space="preserve">
Assume same cost of freight and trucking as 2001 Farm Credit budget 
Old value : 17.8050050629249</t>
        </r>
      </text>
    </comment>
    <comment ref="G100" authorId="0" shapeId="0">
      <text>
        <r>
          <rPr>
            <b/>
            <sz val="8"/>
            <color indexed="81"/>
            <rFont val="Tahoma"/>
            <family val="2"/>
          </rPr>
          <t>This is already specifed in labor and fuel.</t>
        </r>
        <r>
          <rPr>
            <sz val="8"/>
            <color indexed="81"/>
            <rFont val="Tahoma"/>
            <family val="2"/>
          </rPr>
          <t xml:space="preserve">
Assume same cost of storage and warehousing as 2001 Farm Credit budget 
Old value: 11.7467090987994</t>
        </r>
      </text>
    </comment>
    <comment ref="G102" authorId="0" shapeId="0">
      <text>
        <r>
          <rPr>
            <sz val="8"/>
            <color indexed="81"/>
            <rFont val="Tahoma"/>
            <family val="2"/>
          </rPr>
          <t>Assume this is zero.  Old value of $127.54 is same cost of other expenses as 2001 Farm Credit budget.</t>
        </r>
      </text>
    </comment>
  </commentList>
</comments>
</file>

<file path=xl/comments4.xml><?xml version="1.0" encoding="utf-8"?>
<comments xmlns="http://schemas.openxmlformats.org/spreadsheetml/2006/main">
  <authors>
    <author>Sensei</author>
    <author xml:space="preserve"> </author>
  </authors>
  <commentList>
    <comment ref="C9" authorId="0" shapeId="0">
      <text>
        <r>
          <rPr>
            <b/>
            <sz val="9"/>
            <color indexed="81"/>
            <rFont val="Tahoma"/>
            <family val="2"/>
          </rPr>
          <t>Default value:
Round bale</t>
        </r>
      </text>
    </comment>
    <comment ref="E9"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9" authorId="0" shapeId="0">
      <text>
        <r>
          <rPr>
            <b/>
            <sz val="9"/>
            <color indexed="81"/>
            <rFont val="Tahoma"/>
            <family val="2"/>
          </rPr>
          <t>5.08333333333333
=AVERAGE(3.75,5,6.5)
Maine Straw Directory:
http://umaine.edu/livestock/straw/
For oat and rye straw.  Assume all square bales for straw priced the same.</t>
        </r>
      </text>
    </comment>
    <comment ref="M9" authorId="1" shapeId="0">
      <text>
        <r>
          <rPr>
            <b/>
            <sz val="8"/>
            <color indexed="81"/>
            <rFont val="Tahoma"/>
            <family val="2"/>
          </rPr>
          <t>Default:
0.662
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N9" authorId="0" shapeId="0">
      <text>
        <r>
          <rPr>
            <b/>
            <sz val="9"/>
            <color indexed="81"/>
            <rFont val="Tahoma"/>
            <family val="2"/>
          </rPr>
          <t>Default:
0.667</t>
        </r>
      </text>
    </comment>
    <comment ref="O9" authorId="0" shapeId="0">
      <text>
        <r>
          <rPr>
            <b/>
            <sz val="9"/>
            <color indexed="81"/>
            <rFont val="Tahoma"/>
            <family val="2"/>
          </rPr>
          <t>Default:
1.3</t>
        </r>
      </text>
    </comment>
    <comment ref="P9" authorId="0" shapeId="0">
      <text>
        <r>
          <rPr>
            <b/>
            <sz val="9"/>
            <color indexed="81"/>
            <rFont val="Tahoma"/>
            <family val="2"/>
          </rPr>
          <t>Default:
33</t>
        </r>
      </text>
    </comment>
    <comment ref="C10" authorId="0" shapeId="0">
      <text>
        <r>
          <rPr>
            <b/>
            <sz val="9"/>
            <color indexed="81"/>
            <rFont val="Tahoma"/>
            <family val="2"/>
          </rPr>
          <t>Default value:
Round bale</t>
        </r>
      </text>
    </comment>
    <comment ref="E10"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r>
          <rPr>
            <sz val="9"/>
            <color indexed="81"/>
            <rFont val="Tahoma"/>
            <family val="2"/>
          </rPr>
          <t xml:space="preserve">
</t>
        </r>
      </text>
    </comment>
    <comment ref="G10" authorId="0" shapeId="0">
      <text>
        <r>
          <rPr>
            <b/>
            <sz val="9"/>
            <color indexed="81"/>
            <rFont val="Tahoma"/>
            <family val="2"/>
          </rPr>
          <t>5.08333333333333
=AVERAGE(3.75,5,6.5)
Maine Straw Directory:
http://umaine.edu/livestock/straw/
For oat and rye straw.  Assume all square bales for straw priced the same.</t>
        </r>
        <r>
          <rPr>
            <sz val="9"/>
            <color indexed="81"/>
            <rFont val="Tahoma"/>
            <family val="2"/>
          </rPr>
          <t xml:space="preserve">
</t>
        </r>
      </text>
    </comment>
    <comment ref="M10" authorId="1" shapeId="0">
      <text>
        <r>
          <rPr>
            <b/>
            <sz val="8"/>
            <color indexed="81"/>
            <rFont val="Tahoma"/>
            <family val="2"/>
          </rPr>
          <t>Default:
1.316
From personal communication with Andrew Plant, typical yields on straw will likely be 1 ton/ac barley, 1.5 ton/ac oat and wheat.  
Old value of 1.4 from:  http://bioweb.sungrant.org/Technical/Biomass+Resources/Agricultural+Resources/Crop+Residues/Miscellaneous+Grain+Crop+Straws/Default.htm</t>
        </r>
      </text>
    </comment>
    <comment ref="N10" authorId="0" shapeId="0">
      <text>
        <r>
          <rPr>
            <b/>
            <sz val="9"/>
            <color indexed="81"/>
            <rFont val="Tahoma"/>
            <family val="2"/>
          </rPr>
          <t>Default:
1.305</t>
        </r>
      </text>
    </comment>
    <comment ref="O10" authorId="0" shapeId="0">
      <text>
        <r>
          <rPr>
            <b/>
            <sz val="9"/>
            <color indexed="81"/>
            <rFont val="Tahoma"/>
            <family val="2"/>
          </rPr>
          <t>Default:
2.6</t>
        </r>
      </text>
    </comment>
    <comment ref="P10" authorId="0" shapeId="0">
      <text>
        <r>
          <rPr>
            <b/>
            <sz val="9"/>
            <color indexed="81"/>
            <rFont val="Tahoma"/>
            <family val="2"/>
          </rPr>
          <t>Default:
65</t>
        </r>
      </text>
    </comment>
    <comment ref="C11" authorId="0" shapeId="0">
      <text>
        <r>
          <rPr>
            <b/>
            <sz val="9"/>
            <color indexed="81"/>
            <rFont val="Tahoma"/>
            <family val="2"/>
          </rPr>
          <t>Default value:
Round bale</t>
        </r>
      </text>
    </comment>
    <comment ref="E11"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11" authorId="0" shapeId="0">
      <text>
        <r>
          <rPr>
            <b/>
            <sz val="9"/>
            <color indexed="81"/>
            <rFont val="Tahoma"/>
            <family val="2"/>
          </rPr>
          <t>5.08333333333333
=AVERAGE(3.75,5,6.5)
Maine Straw Directory:
http://umaine.edu/livestock/straw/
For oat and rye straw.  Assume all square bales for straw priced the same.</t>
        </r>
      </text>
    </comment>
    <comment ref="M11" authorId="1" shapeId="0">
      <text>
        <r>
          <rPr>
            <b/>
            <sz val="8"/>
            <color indexed="81"/>
            <rFont val="Tahoma"/>
            <family val="2"/>
          </rPr>
          <t>Default:
1.5
Did not get this from Andrew Plant so assume literature value:
http://bioweb.sungrant.org/Technical/Biomass+Resources/Agricultural+Resources/Crop+Residues/Miscellaneous+Grain+Crop+Straws/Default.htm</t>
        </r>
      </text>
    </comment>
    <comment ref="N11" authorId="0" shapeId="0">
      <text>
        <r>
          <rPr>
            <b/>
            <sz val="9"/>
            <color indexed="81"/>
            <rFont val="Tahoma"/>
            <family val="2"/>
          </rPr>
          <t>Default:
1.176</t>
        </r>
      </text>
    </comment>
    <comment ref="O11" authorId="0" shapeId="0">
      <text>
        <r>
          <rPr>
            <b/>
            <sz val="9"/>
            <color indexed="81"/>
            <rFont val="Tahoma"/>
            <family val="2"/>
          </rPr>
          <t>Default:
2.4</t>
        </r>
      </text>
    </comment>
    <comment ref="P11" authorId="0" shapeId="0">
      <text>
        <r>
          <rPr>
            <b/>
            <sz val="9"/>
            <color indexed="81"/>
            <rFont val="Tahoma"/>
            <family val="2"/>
          </rPr>
          <t>Default:
59</t>
        </r>
      </text>
    </comment>
    <comment ref="C12" authorId="0" shapeId="0">
      <text>
        <r>
          <rPr>
            <b/>
            <sz val="9"/>
            <color indexed="81"/>
            <rFont val="Tahoma"/>
            <family val="2"/>
          </rPr>
          <t>Default value:
Round bale</t>
        </r>
      </text>
    </comment>
    <comment ref="E12"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12" authorId="0" shapeId="0">
      <text>
        <r>
          <rPr>
            <b/>
            <sz val="9"/>
            <color indexed="81"/>
            <rFont val="Tahoma"/>
            <family val="2"/>
          </rPr>
          <t>5.08333333333333
=AVERAGE(3.75,5,6.5)
Maine Straw Directory:
http://umaine.edu/livestock/straw/
For oat and rye straw.  Assume all square bales for straw priced the same.</t>
        </r>
      </text>
    </comment>
    <comment ref="M12" authorId="1" shapeId="0">
      <text>
        <r>
          <rPr>
            <b/>
            <sz val="8"/>
            <color indexed="81"/>
            <rFont val="Tahoma"/>
            <family val="2"/>
          </rPr>
          <t>Default:
1.112
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N12" authorId="0" shapeId="0">
      <text>
        <r>
          <rPr>
            <b/>
            <sz val="9"/>
            <color indexed="81"/>
            <rFont val="Tahoma"/>
            <family val="2"/>
          </rPr>
          <t>Default:
1.134</t>
        </r>
      </text>
    </comment>
    <comment ref="O12" authorId="0" shapeId="0">
      <text>
        <r>
          <rPr>
            <b/>
            <sz val="9"/>
            <color indexed="81"/>
            <rFont val="Tahoma"/>
            <family val="2"/>
          </rPr>
          <t>Default:
2.3</t>
        </r>
      </text>
    </comment>
    <comment ref="P12" authorId="0" shapeId="0">
      <text>
        <r>
          <rPr>
            <b/>
            <sz val="9"/>
            <color indexed="81"/>
            <rFont val="Tahoma"/>
            <family val="2"/>
          </rPr>
          <t>Default:
57</t>
        </r>
      </text>
    </comment>
    <comment ref="C13" authorId="0" shapeId="0">
      <text>
        <r>
          <rPr>
            <b/>
            <sz val="9"/>
            <color indexed="81"/>
            <rFont val="Tahoma"/>
            <family val="2"/>
          </rPr>
          <t>Default value:
Round bale</t>
        </r>
      </text>
    </comment>
    <comment ref="E13"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13" authorId="0" shapeId="0">
      <text>
        <r>
          <rPr>
            <b/>
            <sz val="9"/>
            <color indexed="81"/>
            <rFont val="Tahoma"/>
            <family val="2"/>
          </rPr>
          <t>5.08333333333333
=AVERAGE(3.75,5,6.5)
Maine Straw Directory:
http://umaine.edu/livestock/straw/
For oat and rye straw.  Assume all square bales for straw priced the same.</t>
        </r>
      </text>
    </comment>
    <comment ref="M13" authorId="1" shapeId="0">
      <text>
        <r>
          <rPr>
            <b/>
            <sz val="8"/>
            <color indexed="81"/>
            <rFont val="Tahoma"/>
            <family val="2"/>
          </rPr>
          <t>Default:
1.112
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N13" authorId="0" shapeId="0">
      <text>
        <r>
          <rPr>
            <b/>
            <sz val="9"/>
            <color indexed="81"/>
            <rFont val="Tahoma"/>
            <family val="2"/>
          </rPr>
          <t>Default:
1.401</t>
        </r>
      </text>
    </comment>
    <comment ref="O13" authorId="0" shapeId="0">
      <text>
        <r>
          <rPr>
            <b/>
            <sz val="9"/>
            <color indexed="81"/>
            <rFont val="Tahoma"/>
            <family val="2"/>
          </rPr>
          <t>Default:
2.8</t>
        </r>
      </text>
    </comment>
    <comment ref="P13" authorId="0" shapeId="0">
      <text>
        <r>
          <rPr>
            <b/>
            <sz val="9"/>
            <color indexed="81"/>
            <rFont val="Tahoma"/>
            <family val="2"/>
          </rPr>
          <t>Default:
70</t>
        </r>
      </text>
    </comment>
    <comment ref="B14" authorId="0" shapeId="0">
      <text>
        <r>
          <rPr>
            <b/>
            <sz val="9"/>
            <color indexed="81"/>
            <rFont val="Tahoma"/>
            <family val="2"/>
          </rPr>
          <t>Assume this is a winter grain (not spring planted).</t>
        </r>
      </text>
    </comment>
    <comment ref="C14" authorId="0" shapeId="0">
      <text>
        <r>
          <rPr>
            <b/>
            <sz val="9"/>
            <color indexed="81"/>
            <rFont val="Tahoma"/>
            <family val="2"/>
          </rPr>
          <t>Default value:
Round bale</t>
        </r>
      </text>
    </comment>
    <comment ref="E14"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14" authorId="0" shapeId="0">
      <text>
        <r>
          <rPr>
            <b/>
            <sz val="9"/>
            <color indexed="81"/>
            <rFont val="Tahoma"/>
            <family val="2"/>
          </rPr>
          <t>5.08333333333333
=AVERAGE(3.75,5,6.5)
Maine Straw Directory:
http://umaine.edu/livestock/straw/
For oat and rye straw.  Assume all square bales for straw priced the same.</t>
        </r>
      </text>
    </comment>
    <comment ref="M14" authorId="1" shapeId="0">
      <text>
        <r>
          <rPr>
            <b/>
            <sz val="8"/>
            <color indexed="81"/>
            <rFont val="Tahoma"/>
            <family val="2"/>
          </rPr>
          <t>Default:
1.112
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N14" authorId="0" shapeId="0">
      <text>
        <r>
          <rPr>
            <b/>
            <sz val="9"/>
            <color indexed="81"/>
            <rFont val="Tahoma"/>
            <family val="2"/>
          </rPr>
          <t>Default:
1.401</t>
        </r>
      </text>
    </comment>
    <comment ref="O14" authorId="0" shapeId="0">
      <text>
        <r>
          <rPr>
            <b/>
            <sz val="9"/>
            <color indexed="81"/>
            <rFont val="Tahoma"/>
            <family val="2"/>
          </rPr>
          <t>Default:
2.8</t>
        </r>
      </text>
    </comment>
    <comment ref="P14" authorId="0" shapeId="0">
      <text>
        <r>
          <rPr>
            <b/>
            <sz val="9"/>
            <color indexed="81"/>
            <rFont val="Tahoma"/>
            <family val="2"/>
          </rPr>
          <t>Default:
70</t>
        </r>
      </text>
    </comment>
    <comment ref="B15" authorId="0" shapeId="0">
      <text>
        <r>
          <rPr>
            <b/>
            <sz val="9"/>
            <color indexed="81"/>
            <rFont val="Tahoma"/>
            <family val="2"/>
          </rPr>
          <t>Assume this is a winter grain (not spring planted).</t>
        </r>
      </text>
    </comment>
    <comment ref="C15" authorId="0" shapeId="0">
      <text>
        <r>
          <rPr>
            <b/>
            <sz val="9"/>
            <color indexed="81"/>
            <rFont val="Tahoma"/>
            <family val="2"/>
          </rPr>
          <t>Default value:
Round bale</t>
        </r>
      </text>
    </comment>
    <comment ref="E15" authorId="0" shapeId="0">
      <text>
        <r>
          <rPr>
            <b/>
            <sz val="9"/>
            <color indexed="81"/>
            <rFont val="Tahoma"/>
            <family val="2"/>
          </rPr>
          <t>40
=AVERAGE(35,45)
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G15" authorId="0" shapeId="0">
      <text>
        <r>
          <rPr>
            <b/>
            <sz val="9"/>
            <color indexed="81"/>
            <rFont val="Tahoma"/>
            <family val="2"/>
          </rPr>
          <t>5.08333333333333
=AVERAGE(3.75,5,6.5)
Maine Straw Directory:
http://umaine.edu/livestock/straw/
For oat and rye straw.  Assume all square bales for straw priced the same.</t>
        </r>
      </text>
    </comment>
    <comment ref="M15" authorId="1" shapeId="0">
      <text>
        <r>
          <rPr>
            <b/>
            <sz val="8"/>
            <color indexed="81"/>
            <rFont val="Tahoma"/>
            <family val="2"/>
          </rPr>
          <t>Default:
1.112
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N15" authorId="0" shapeId="0">
      <text>
        <r>
          <rPr>
            <b/>
            <sz val="9"/>
            <color indexed="81"/>
            <rFont val="Tahoma"/>
            <family val="2"/>
          </rPr>
          <t>Default:
1.401</t>
        </r>
      </text>
    </comment>
    <comment ref="O15" authorId="0" shapeId="0">
      <text>
        <r>
          <rPr>
            <b/>
            <sz val="9"/>
            <color indexed="81"/>
            <rFont val="Tahoma"/>
            <family val="2"/>
          </rPr>
          <t>Default:
2.8</t>
        </r>
      </text>
    </comment>
    <comment ref="P15" authorId="0" shapeId="0">
      <text>
        <r>
          <rPr>
            <b/>
            <sz val="9"/>
            <color indexed="81"/>
            <rFont val="Tahoma"/>
            <family val="2"/>
          </rPr>
          <t>Default:
70</t>
        </r>
      </text>
    </comment>
    <comment ref="C25" authorId="0" shapeId="0">
      <text>
        <r>
          <rPr>
            <b/>
            <sz val="9"/>
            <color indexed="81"/>
            <rFont val="Tahoma"/>
            <family val="2"/>
          </rPr>
          <t xml:space="preserve">Default:
1000
</t>
        </r>
      </text>
    </comment>
    <comment ref="D25" authorId="0" shapeId="0">
      <text>
        <r>
          <rPr>
            <b/>
            <sz val="9"/>
            <color indexed="81"/>
            <rFont val="Tahoma"/>
            <family val="2"/>
          </rPr>
          <t xml:space="preserve">Default:
40
</t>
        </r>
      </text>
    </comment>
    <comment ref="D31" authorId="0" shapeId="0">
      <text>
        <r>
          <rPr>
            <b/>
            <sz val="9"/>
            <color indexed="81"/>
            <rFont val="Tahoma"/>
            <family val="2"/>
          </rPr>
          <t>Default:
0%</t>
        </r>
      </text>
    </comment>
    <comment ref="E31" authorId="0" shapeId="0">
      <text>
        <r>
          <rPr>
            <b/>
            <sz val="9"/>
            <color indexed="81"/>
            <rFont val="Tahoma"/>
            <family val="2"/>
          </rPr>
          <t>Default:
0%</t>
        </r>
      </text>
    </comment>
    <comment ref="F31" authorId="0" shapeId="0">
      <text>
        <r>
          <rPr>
            <b/>
            <sz val="9"/>
            <color indexed="81"/>
            <rFont val="Tahoma"/>
            <family val="2"/>
          </rPr>
          <t>Default:
0%</t>
        </r>
      </text>
    </comment>
    <comment ref="G31" authorId="0" shapeId="0">
      <text>
        <r>
          <rPr>
            <b/>
            <sz val="9"/>
            <color indexed="81"/>
            <rFont val="Tahoma"/>
            <family val="2"/>
          </rPr>
          <t>Default:
0%</t>
        </r>
      </text>
    </comment>
    <comment ref="H31" authorId="0" shapeId="0">
      <text>
        <r>
          <rPr>
            <b/>
            <sz val="9"/>
            <color indexed="81"/>
            <rFont val="Tahoma"/>
            <family val="2"/>
          </rPr>
          <t>Default:
0%</t>
        </r>
      </text>
    </comment>
    <comment ref="I31" authorId="0" shapeId="0">
      <text>
        <r>
          <rPr>
            <b/>
            <sz val="9"/>
            <color indexed="81"/>
            <rFont val="Tahoma"/>
            <family val="2"/>
          </rPr>
          <t>Default:
0%</t>
        </r>
      </text>
    </comment>
    <comment ref="J31" authorId="0" shapeId="0">
      <text>
        <r>
          <rPr>
            <b/>
            <sz val="9"/>
            <color indexed="81"/>
            <rFont val="Tahoma"/>
            <family val="2"/>
          </rPr>
          <t>Default:
0%</t>
        </r>
      </text>
    </comment>
    <comment ref="D32" authorId="0" shapeId="0">
      <text>
        <r>
          <rPr>
            <b/>
            <sz val="9"/>
            <color indexed="81"/>
            <rFont val="Tahoma"/>
            <family val="2"/>
          </rPr>
          <t>Default:
100%</t>
        </r>
      </text>
    </comment>
    <comment ref="E32" authorId="0" shapeId="0">
      <text>
        <r>
          <rPr>
            <b/>
            <sz val="9"/>
            <color indexed="81"/>
            <rFont val="Tahoma"/>
            <family val="2"/>
          </rPr>
          <t>Default:
100%</t>
        </r>
      </text>
    </comment>
    <comment ref="F32" authorId="0" shapeId="0">
      <text>
        <r>
          <rPr>
            <b/>
            <sz val="9"/>
            <color indexed="81"/>
            <rFont val="Tahoma"/>
            <family val="2"/>
          </rPr>
          <t>Default:
100%</t>
        </r>
      </text>
    </comment>
    <comment ref="G32" authorId="0" shapeId="0">
      <text>
        <r>
          <rPr>
            <b/>
            <sz val="9"/>
            <color indexed="81"/>
            <rFont val="Tahoma"/>
            <family val="2"/>
          </rPr>
          <t>Default:
100%</t>
        </r>
      </text>
    </comment>
    <comment ref="H32" authorId="0" shapeId="0">
      <text>
        <r>
          <rPr>
            <b/>
            <sz val="9"/>
            <color indexed="81"/>
            <rFont val="Tahoma"/>
            <family val="2"/>
          </rPr>
          <t>Default:
100%</t>
        </r>
      </text>
    </comment>
    <comment ref="I32" authorId="0" shapeId="0">
      <text>
        <r>
          <rPr>
            <b/>
            <sz val="9"/>
            <color indexed="81"/>
            <rFont val="Tahoma"/>
            <family val="2"/>
          </rPr>
          <t>Default:
100%</t>
        </r>
      </text>
    </comment>
    <comment ref="J32" authorId="0" shapeId="0">
      <text>
        <r>
          <rPr>
            <b/>
            <sz val="9"/>
            <color indexed="81"/>
            <rFont val="Tahoma"/>
            <family val="2"/>
          </rPr>
          <t>Default:
100%</t>
        </r>
      </text>
    </comment>
    <comment ref="D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E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F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G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H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I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J33" authorId="1" shapeId="0">
      <text>
        <r>
          <rPr>
            <b/>
            <sz val="8"/>
            <color indexed="81"/>
            <rFont val="Tahoma"/>
            <family val="2"/>
          </rPr>
          <t xml:space="preserve">Default:
=(3200/11800)*20
5.42372881355932
Old value:
2.84444444444444
$3200 for 11,800 ft:
http://geneticseed.com/page.aspx?ID=494
Assume 16 feet of netting needed to surround bale. P= 2(pi)r = 2(pi)(2.5) = 15.7 ft.
Round up to 20 ft
</t>
        </r>
      </text>
    </comment>
    <comment ref="D34" authorId="1" shapeId="0">
      <text>
        <r>
          <rPr>
            <b/>
            <sz val="8"/>
            <color indexed="81"/>
            <rFont val="Tahoma"/>
            <family val="2"/>
          </rPr>
          <t xml:space="preserve">http://www.bridoncordage.com/calculator.html
Twine Cost Calculator 
Big Square $0.82 
Big Round $0.86 
3-Tie $0.11 
Small Square $0.07
</t>
        </r>
      </text>
    </comment>
    <comment ref="E34" authorId="1" shapeId="0">
      <text>
        <r>
          <rPr>
            <b/>
            <sz val="8"/>
            <color indexed="81"/>
            <rFont val="Tahoma"/>
            <family val="2"/>
          </rPr>
          <t xml:space="preserve">http://www.bridoncordage.com/calculator.html
Twine Cost Calculator 
Big Square $0.82 
Big Round $0.86 
3-Tie $0.11 
Small Square $0.07
</t>
        </r>
      </text>
    </comment>
    <comment ref="F34" authorId="1" shapeId="0">
      <text>
        <r>
          <rPr>
            <b/>
            <sz val="8"/>
            <color indexed="81"/>
            <rFont val="Tahoma"/>
            <family val="2"/>
          </rPr>
          <t xml:space="preserve">http://www.bridoncordage.com/calculator.html
Twine Cost Calculator 
Big Square $0.82 
Big Round $0.86 
3-Tie $0.11 
Small Square $0.07
</t>
        </r>
      </text>
    </comment>
    <comment ref="G34" authorId="1" shapeId="0">
      <text>
        <r>
          <rPr>
            <b/>
            <sz val="8"/>
            <color indexed="81"/>
            <rFont val="Tahoma"/>
            <family val="2"/>
          </rPr>
          <t xml:space="preserve">http://www.bridoncordage.com/calculator.html
Twine Cost Calculator 
Big Square $0.82 
Big Round $0.86 
3-Tie $0.11 
Small Square $0.07
</t>
        </r>
      </text>
    </comment>
    <comment ref="H34" authorId="1" shapeId="0">
      <text>
        <r>
          <rPr>
            <b/>
            <sz val="8"/>
            <color indexed="81"/>
            <rFont val="Tahoma"/>
            <family val="2"/>
          </rPr>
          <t xml:space="preserve">http://www.bridoncordage.com/calculator.html
Twine Cost Calculator 
Big Square $0.82 
Big Round $0.86 
3-Tie $0.11 
Small Square $0.07
</t>
        </r>
      </text>
    </comment>
    <comment ref="I34" authorId="1" shapeId="0">
      <text>
        <r>
          <rPr>
            <b/>
            <sz val="8"/>
            <color indexed="81"/>
            <rFont val="Tahoma"/>
            <family val="2"/>
          </rPr>
          <t xml:space="preserve">http://www.bridoncordage.com/calculator.html
Twine Cost Calculator 
Big Square $0.82 
Big Round $0.86 
3-Tie $0.11 
Small Square $0.07
</t>
        </r>
      </text>
    </comment>
    <comment ref="J34" authorId="1" shapeId="0">
      <text>
        <r>
          <rPr>
            <b/>
            <sz val="8"/>
            <color indexed="81"/>
            <rFont val="Tahoma"/>
            <family val="2"/>
          </rPr>
          <t xml:space="preserve">http://www.bridoncordage.com/calculator.html
Twine Cost Calculator 
Big Square $0.82 
Big Round $0.86 
3-Tie $0.11 
Small Square $0.07
</t>
        </r>
      </text>
    </comment>
    <comment ref="D35" authorId="1" shapeId="0">
      <text>
        <r>
          <rPr>
            <b/>
            <sz val="8"/>
            <color indexed="81"/>
            <rFont val="Tahoma"/>
            <family val="2"/>
          </rPr>
          <t xml:space="preserve">http://www.bridoncordage.com/calculator.html
Twine Cost Calculator 
Big Square $0.82 
Big Round $0.86 
3-Tie $0.11 
Small Square $0.07
</t>
        </r>
      </text>
    </comment>
    <comment ref="E35" authorId="1" shapeId="0">
      <text>
        <r>
          <rPr>
            <b/>
            <sz val="8"/>
            <color indexed="81"/>
            <rFont val="Tahoma"/>
            <family val="2"/>
          </rPr>
          <t xml:space="preserve">http://www.bridoncordage.com/calculator.html
Twine Cost Calculator 
Big Square $0.82 
Big Round $0.86 
3-Tie $0.11 
Small Square $0.07
</t>
        </r>
      </text>
    </comment>
    <comment ref="F35" authorId="1" shapeId="0">
      <text>
        <r>
          <rPr>
            <b/>
            <sz val="8"/>
            <color indexed="81"/>
            <rFont val="Tahoma"/>
            <family val="2"/>
          </rPr>
          <t xml:space="preserve">http://www.bridoncordage.com/calculator.html
Twine Cost Calculator 
Big Square $0.82 
Big Round $0.86 
3-Tie $0.11 
Small Square $0.07
</t>
        </r>
      </text>
    </comment>
    <comment ref="G35" authorId="1" shapeId="0">
      <text>
        <r>
          <rPr>
            <b/>
            <sz val="8"/>
            <color indexed="81"/>
            <rFont val="Tahoma"/>
            <family val="2"/>
          </rPr>
          <t xml:space="preserve">http://www.bridoncordage.com/calculator.html
Twine Cost Calculator 
Big Square $0.82 
Big Round $0.86 
3-Tie $0.11 
Small Square $0.07
</t>
        </r>
      </text>
    </comment>
    <comment ref="H35" authorId="1" shapeId="0">
      <text>
        <r>
          <rPr>
            <b/>
            <sz val="8"/>
            <color indexed="81"/>
            <rFont val="Tahoma"/>
            <family val="2"/>
          </rPr>
          <t xml:space="preserve">http://www.bridoncordage.com/calculator.html
Twine Cost Calculator 
Big Square $0.82 
Big Round $0.86 
3-Tie $0.11 
Small Square $0.07
</t>
        </r>
      </text>
    </comment>
    <comment ref="I35" authorId="1" shapeId="0">
      <text>
        <r>
          <rPr>
            <b/>
            <sz val="8"/>
            <color indexed="81"/>
            <rFont val="Tahoma"/>
            <family val="2"/>
          </rPr>
          <t xml:space="preserve">http://www.bridoncordage.com/calculator.html
Twine Cost Calculator 
Big Square $0.82 
Big Round $0.86 
3-Tie $0.11 
Small Square $0.07
</t>
        </r>
      </text>
    </comment>
    <comment ref="J35" authorId="1" shapeId="0">
      <text>
        <r>
          <rPr>
            <b/>
            <sz val="8"/>
            <color indexed="81"/>
            <rFont val="Tahoma"/>
            <family val="2"/>
          </rPr>
          <t xml:space="preserve">http://www.bridoncordage.com/calculator.html
Twine Cost Calculator 
Big Square $0.82 
Big Round $0.86 
3-Tie $0.11 
Small Square $0.07
</t>
        </r>
      </text>
    </comment>
  </commentList>
</comments>
</file>

<file path=xl/comments40.xml><?xml version="1.0" encoding="utf-8"?>
<comments xmlns="http://schemas.openxmlformats.org/spreadsheetml/2006/main">
  <authors>
    <author>REP</author>
    <author>aaron hoshide</author>
  </authors>
  <commentList>
    <comment ref="F6" authorId="0" shapeId="0">
      <text>
        <r>
          <rPr>
            <sz val="8"/>
            <color indexed="81"/>
            <rFont val="Tahoma"/>
            <family val="2"/>
          </rPr>
          <t xml:space="preserve">Assume salvage value for crop production equipment is 25% while farm tractors and vehicles are 50% </t>
        </r>
      </text>
    </comment>
    <comment ref="G6" authorId="0" shapeId="0">
      <text>
        <r>
          <rPr>
            <sz val="8"/>
            <color indexed="81"/>
            <rFont val="Tahoma"/>
            <family val="2"/>
          </rPr>
          <t>Adjust useful life for remaining years left in life and change to 1 yr expected life if useful life has expired</t>
        </r>
      </text>
    </comment>
    <comment ref="C9" authorId="1" shapeId="0">
      <text>
        <r>
          <rPr>
            <b/>
            <sz val="8"/>
            <color indexed="81"/>
            <rFont val="Tahoma"/>
            <family val="2"/>
          </rPr>
          <t>Use for all crops</t>
        </r>
      </text>
    </comment>
    <comment ref="D9" authorId="0" shapeId="0">
      <text>
        <r>
          <rPr>
            <b/>
            <sz val="8"/>
            <color indexed="81"/>
            <rFont val="Tahoma"/>
            <family val="2"/>
          </rPr>
          <t>Assume worth $225,000</t>
        </r>
      </text>
    </comment>
    <comment ref="C10" authorId="1" shapeId="0">
      <text>
        <r>
          <rPr>
            <b/>
            <sz val="8"/>
            <color indexed="81"/>
            <rFont val="Tahoma"/>
            <family val="2"/>
          </rPr>
          <t>Use for all crops</t>
        </r>
      </text>
    </comment>
    <comment ref="D10" authorId="0" shapeId="0">
      <text>
        <r>
          <rPr>
            <b/>
            <sz val="8"/>
            <color indexed="81"/>
            <rFont val="Tahoma"/>
            <family val="2"/>
          </rPr>
          <t>Assume worth $181,000</t>
        </r>
      </text>
    </comment>
    <comment ref="C11" authorId="1" shapeId="0">
      <text>
        <r>
          <rPr>
            <b/>
            <sz val="8"/>
            <color indexed="81"/>
            <rFont val="Tahoma"/>
            <family val="2"/>
          </rPr>
          <t>Use for all crops</t>
        </r>
      </text>
    </comment>
    <comment ref="D11" authorId="0" shapeId="0">
      <text>
        <r>
          <rPr>
            <b/>
            <sz val="8"/>
            <color indexed="81"/>
            <rFont val="Tahoma"/>
            <family val="2"/>
          </rPr>
          <t>Assume worth $181,000</t>
        </r>
      </text>
    </comment>
    <comment ref="C12" authorId="1" shapeId="0">
      <text>
        <r>
          <rPr>
            <b/>
            <sz val="8"/>
            <color indexed="81"/>
            <rFont val="Tahoma"/>
            <family val="2"/>
          </rPr>
          <t>Use for all crops</t>
        </r>
      </text>
    </comment>
    <comment ref="D12" authorId="0" shapeId="0">
      <text>
        <r>
          <rPr>
            <b/>
            <sz val="8"/>
            <color indexed="81"/>
            <rFont val="Tahoma"/>
            <family val="2"/>
          </rPr>
          <t>Assume worth $181,000</t>
        </r>
      </text>
    </comment>
    <comment ref="C13" authorId="1" shapeId="0">
      <text>
        <r>
          <rPr>
            <b/>
            <sz val="8"/>
            <color indexed="81"/>
            <rFont val="Tahoma"/>
            <family val="2"/>
          </rPr>
          <t>Use for all crops</t>
        </r>
      </text>
    </comment>
    <comment ref="D13" authorId="0" shapeId="0">
      <text>
        <r>
          <rPr>
            <b/>
            <sz val="8"/>
            <color indexed="81"/>
            <rFont val="Tahoma"/>
            <family val="2"/>
          </rPr>
          <t>Assume worth $106,000</t>
        </r>
      </text>
    </comment>
    <comment ref="C14" authorId="1" shapeId="0">
      <text>
        <r>
          <rPr>
            <b/>
            <sz val="8"/>
            <color indexed="81"/>
            <rFont val="Tahoma"/>
            <family val="2"/>
          </rPr>
          <t>Use for all crops</t>
        </r>
      </text>
    </comment>
    <comment ref="D14" authorId="0" shapeId="0">
      <text>
        <r>
          <rPr>
            <b/>
            <sz val="8"/>
            <color indexed="81"/>
            <rFont val="Tahoma"/>
            <family val="2"/>
          </rPr>
          <t>Assume worth $106,000</t>
        </r>
      </text>
    </comment>
    <comment ref="C15" authorId="1" shapeId="0">
      <text>
        <r>
          <rPr>
            <b/>
            <sz val="8"/>
            <color indexed="81"/>
            <rFont val="Tahoma"/>
            <family val="2"/>
          </rPr>
          <t>Use for all crops</t>
        </r>
      </text>
    </comment>
    <comment ref="D15" authorId="0" shapeId="0">
      <text>
        <r>
          <rPr>
            <b/>
            <sz val="8"/>
            <color indexed="81"/>
            <rFont val="Tahoma"/>
            <family val="2"/>
          </rPr>
          <t>Assume worth $106,000</t>
        </r>
      </text>
    </comment>
    <comment ref="C16" authorId="1" shapeId="0">
      <text>
        <r>
          <rPr>
            <b/>
            <sz val="8"/>
            <color indexed="81"/>
            <rFont val="Tahoma"/>
            <family val="2"/>
          </rPr>
          <t>Use for all crops</t>
        </r>
      </text>
    </comment>
    <comment ref="D16" authorId="0" shapeId="0">
      <text>
        <r>
          <rPr>
            <b/>
            <sz val="8"/>
            <color indexed="81"/>
            <rFont val="Tahoma"/>
            <family val="2"/>
          </rPr>
          <t>Assume worth $141,000</t>
        </r>
      </text>
    </comment>
    <comment ref="C17" authorId="1" shapeId="0">
      <text>
        <r>
          <rPr>
            <b/>
            <sz val="8"/>
            <color indexed="81"/>
            <rFont val="Tahoma"/>
            <family val="2"/>
          </rPr>
          <t>Use for all crops</t>
        </r>
      </text>
    </comment>
    <comment ref="D17" authorId="0" shapeId="0">
      <text>
        <r>
          <rPr>
            <b/>
            <sz val="8"/>
            <color indexed="81"/>
            <rFont val="Tahoma"/>
            <family val="2"/>
          </rPr>
          <t>Assume worth $59,000</t>
        </r>
      </text>
    </comment>
    <comment ref="C20" authorId="1" shapeId="0">
      <text>
        <r>
          <rPr>
            <sz val="8"/>
            <color indexed="81"/>
            <rFont val="Tahoma"/>
            <family val="2"/>
          </rPr>
          <t>Use for all crops except for sudan grass</t>
        </r>
      </text>
    </comment>
    <comment ref="D20" authorId="0" shapeId="0">
      <text>
        <r>
          <rPr>
            <sz val="8"/>
            <color indexed="81"/>
            <rFont val="Tahoma"/>
            <family val="2"/>
          </rPr>
          <t>Assume worth $28,000</t>
        </r>
      </text>
    </comment>
    <comment ref="C21" authorId="1" shapeId="0">
      <text>
        <r>
          <rPr>
            <sz val="8"/>
            <color indexed="81"/>
            <rFont val="Tahoma"/>
            <family val="2"/>
          </rPr>
          <t>Use for all crops except for sudan grass</t>
        </r>
      </text>
    </comment>
    <comment ref="D21" authorId="0" shapeId="0">
      <text>
        <r>
          <rPr>
            <sz val="8"/>
            <color indexed="81"/>
            <rFont val="Tahoma"/>
            <family val="2"/>
          </rPr>
          <t>Assume worth $28,000</t>
        </r>
      </text>
    </comment>
    <comment ref="C22" authorId="1" shapeId="0">
      <text>
        <r>
          <rPr>
            <sz val="8"/>
            <color indexed="81"/>
            <rFont val="Tahoma"/>
            <family val="2"/>
          </rPr>
          <t>Use for all crops except for sudan grass</t>
        </r>
      </text>
    </comment>
    <comment ref="D22" authorId="0" shapeId="0">
      <text>
        <r>
          <rPr>
            <sz val="8"/>
            <color indexed="81"/>
            <rFont val="Tahoma"/>
            <family val="2"/>
          </rPr>
          <t>Assume worth $28,000</t>
        </r>
      </text>
    </comment>
    <comment ref="C23" authorId="1" shapeId="0">
      <text>
        <r>
          <rPr>
            <sz val="8"/>
            <color indexed="81"/>
            <rFont val="Tahoma"/>
            <family val="2"/>
          </rPr>
          <t>Use for just potatoes and corn silage</t>
        </r>
      </text>
    </comment>
    <comment ref="D23" authorId="0" shapeId="0">
      <text>
        <r>
          <rPr>
            <sz val="8"/>
            <color indexed="81"/>
            <rFont val="Tahoma"/>
            <family val="2"/>
          </rPr>
          <t>Assume worth $28,000</t>
        </r>
      </text>
    </comment>
    <comment ref="D24" authorId="1" shapeId="0">
      <text>
        <r>
          <rPr>
            <sz val="8"/>
            <color indexed="81"/>
            <rFont val="Tahoma"/>
            <family val="2"/>
          </rPr>
          <t xml:space="preserve">Assume same as medium/large conventional potato </t>
        </r>
      </text>
    </comment>
    <comment ref="D25" authorId="1" shapeId="0">
      <text>
        <r>
          <rPr>
            <sz val="8"/>
            <color indexed="81"/>
            <rFont val="Tahoma"/>
            <family val="2"/>
          </rPr>
          <t xml:space="preserve">Assume same as medium/large conventional potato </t>
        </r>
      </text>
    </comment>
    <comment ref="C28" authorId="1" shapeId="0">
      <text>
        <r>
          <rPr>
            <sz val="8"/>
            <color indexed="81"/>
            <rFont val="Tahoma"/>
            <family val="2"/>
          </rPr>
          <t>Use for all crops except pasture and clover (assumed underseeded in small grain year).</t>
        </r>
      </text>
    </comment>
    <comment ref="D28" authorId="0" shapeId="0">
      <text>
        <r>
          <rPr>
            <sz val="8"/>
            <color indexed="81"/>
            <rFont val="Tahoma"/>
            <family val="2"/>
          </rPr>
          <t>Assume worth $15,800</t>
        </r>
      </text>
    </comment>
    <comment ref="C29" authorId="1" shapeId="0">
      <text>
        <r>
          <rPr>
            <sz val="8"/>
            <color indexed="81"/>
            <rFont val="Tahoma"/>
            <family val="2"/>
          </rPr>
          <t>Use for all crops except pasture and clover (assumed underseeded in small grain year).</t>
        </r>
      </text>
    </comment>
    <comment ref="D29" authorId="0" shapeId="0">
      <text>
        <r>
          <rPr>
            <sz val="8"/>
            <color indexed="81"/>
            <rFont val="Tahoma"/>
            <family val="2"/>
          </rPr>
          <t>Assume worth $12,000</t>
        </r>
      </text>
    </comment>
    <comment ref="C30" authorId="1" shapeId="0">
      <text>
        <r>
          <rPr>
            <sz val="8"/>
            <color indexed="81"/>
            <rFont val="Tahoma"/>
            <family val="2"/>
          </rPr>
          <t>Use for all crops except pasture and clover (assumed underseeded in small grain year).</t>
        </r>
      </text>
    </comment>
    <comment ref="D30" authorId="0" shapeId="0">
      <text>
        <r>
          <rPr>
            <sz val="8"/>
            <color indexed="81"/>
            <rFont val="Tahoma"/>
            <family val="2"/>
          </rPr>
          <t>Assume worth $17,500</t>
        </r>
      </text>
    </comment>
    <comment ref="D31" authorId="1" shapeId="0">
      <text>
        <r>
          <rPr>
            <sz val="8"/>
            <color indexed="81"/>
            <rFont val="Tahoma"/>
            <family val="2"/>
          </rPr>
          <t>Assume same as conventional potato M/L.  Old value of $5010 is an average price for a cultivator based on two cooperating potato farmers.</t>
        </r>
      </text>
    </comment>
    <comment ref="D35" authorId="1" shapeId="0">
      <text>
        <r>
          <rPr>
            <sz val="8"/>
            <color indexed="81"/>
            <rFont val="Tahoma"/>
            <family val="2"/>
          </rPr>
          <t xml:space="preserve">Assume same as medium/large conventional potato </t>
        </r>
      </text>
    </comment>
    <comment ref="D36" authorId="0" shapeId="0">
      <text>
        <r>
          <rPr>
            <sz val="8"/>
            <color indexed="81"/>
            <rFont val="Tahoma"/>
            <family val="2"/>
          </rPr>
          <t>Assume same as a cooperating potato farmer ($5000).  Old value of $17,552.</t>
        </r>
      </text>
    </comment>
    <comment ref="C37" authorId="1" shapeId="0">
      <text>
        <r>
          <rPr>
            <sz val="8"/>
            <color indexed="81"/>
            <rFont val="Tahoma"/>
            <family val="2"/>
          </rPr>
          <t>Use for all crops except soybeans</t>
        </r>
      </text>
    </comment>
    <comment ref="D37" authorId="1" shapeId="0">
      <text>
        <r>
          <rPr>
            <sz val="8"/>
            <color indexed="81"/>
            <rFont val="Tahoma"/>
            <family val="2"/>
          </rPr>
          <t>Same as conventional large dairy ($3000)</t>
        </r>
      </text>
    </comment>
    <comment ref="D38" authorId="0" shapeId="0">
      <text>
        <r>
          <rPr>
            <sz val="8"/>
            <color indexed="81"/>
            <rFont val="Tahoma"/>
            <family val="2"/>
          </rPr>
          <t>Assume same as conventional potato M/L.  Old value of $36,776.</t>
        </r>
      </text>
    </comment>
    <comment ref="D39" authorId="1" shapeId="0">
      <text>
        <r>
          <rPr>
            <sz val="8"/>
            <color indexed="81"/>
            <rFont val="Tahoma"/>
            <family val="2"/>
          </rPr>
          <t xml:space="preserve">Assume same as medium/large conventional potato </t>
        </r>
      </text>
    </comment>
    <comment ref="C42" authorId="0" shapeId="0">
      <text>
        <r>
          <rPr>
            <sz val="8"/>
            <color indexed="81"/>
            <rFont val="Tahoma"/>
            <family val="2"/>
          </rPr>
          <t>Use for all crops except pasture and clover (assumed underseeded in small grain year).</t>
        </r>
      </text>
    </comment>
    <comment ref="D42" authorId="0" shapeId="0">
      <text>
        <r>
          <rPr>
            <sz val="8"/>
            <color indexed="81"/>
            <rFont val="Tahoma"/>
            <family val="2"/>
          </rPr>
          <t>Assume worth $24,500</t>
        </r>
      </text>
    </comment>
    <comment ref="D45" authorId="1" shapeId="0">
      <text>
        <r>
          <rPr>
            <sz val="8"/>
            <color indexed="81"/>
            <rFont val="Tahoma"/>
            <family val="2"/>
          </rPr>
          <t>Assume same as conventional medium/large potato farm</t>
        </r>
      </text>
    </comment>
    <comment ref="D46" authorId="1" shapeId="0">
      <text>
        <r>
          <rPr>
            <sz val="8"/>
            <color indexed="81"/>
            <rFont val="Tahoma"/>
            <family val="2"/>
          </rPr>
          <t>Assume same as conventional medium/large potato farm</t>
        </r>
      </text>
    </comment>
    <comment ref="D47" authorId="1" shapeId="0">
      <text>
        <r>
          <rPr>
            <sz val="8"/>
            <color indexed="81"/>
            <rFont val="Tahoma"/>
            <family val="2"/>
          </rPr>
          <t>Assume same as conventional medium/large potato farm</t>
        </r>
      </text>
    </comment>
    <comment ref="D48" authorId="1" shapeId="0">
      <text>
        <r>
          <rPr>
            <sz val="8"/>
            <color indexed="81"/>
            <rFont val="Tahoma"/>
            <family val="2"/>
          </rPr>
          <t>Assume same as conventional medium/large potato farm</t>
        </r>
      </text>
    </comment>
    <comment ref="D49" authorId="1" shapeId="0">
      <text>
        <r>
          <rPr>
            <sz val="8"/>
            <color indexed="81"/>
            <rFont val="Tahoma"/>
            <family val="2"/>
          </rPr>
          <t>Assume same as conventional medium/large potato farm</t>
        </r>
      </text>
    </comment>
    <comment ref="D52" authorId="0" shapeId="0">
      <text>
        <r>
          <rPr>
            <sz val="8"/>
            <color indexed="81"/>
            <rFont val="Tahoma"/>
            <family val="2"/>
          </rPr>
          <t>Assume same as conventional potato M/L.  Old value of $64,373 is average from two cooperating potato farmers.</t>
        </r>
      </text>
    </comment>
    <comment ref="E52" authorId="1" shapeId="0">
      <text>
        <r>
          <rPr>
            <sz val="8"/>
            <color indexed="81"/>
            <rFont val="Tahoma"/>
            <family val="2"/>
          </rPr>
          <t>Assume same as conventional ML potato</t>
        </r>
      </text>
    </comment>
    <comment ref="D53" authorId="0" shapeId="0">
      <text>
        <r>
          <rPr>
            <sz val="8"/>
            <color indexed="81"/>
            <rFont val="Tahoma"/>
            <family val="2"/>
          </rPr>
          <t>Assume same as conventional potato M/L.  Old value of $38,693 is average from two cooperating potato farmers.</t>
        </r>
      </text>
    </comment>
    <comment ref="E53" authorId="1" shapeId="0">
      <text>
        <r>
          <rPr>
            <sz val="8"/>
            <color indexed="81"/>
            <rFont val="Tahoma"/>
            <family val="2"/>
          </rPr>
          <t>Assume same as conventional ML potato</t>
        </r>
      </text>
    </comment>
    <comment ref="C56" authorId="0" shapeId="0">
      <text>
        <r>
          <rPr>
            <sz val="8"/>
            <color indexed="81"/>
            <rFont val="Tahoma"/>
            <family val="2"/>
          </rPr>
          <t>Use for all crops</t>
        </r>
      </text>
    </comment>
    <comment ref="D56" authorId="0" shapeId="0">
      <text>
        <r>
          <rPr>
            <sz val="8"/>
            <color indexed="81"/>
            <rFont val="Tahoma"/>
            <family val="2"/>
          </rPr>
          <t>Assume worth $100</t>
        </r>
      </text>
    </comment>
    <comment ref="C57" authorId="0" shapeId="0">
      <text>
        <r>
          <rPr>
            <sz val="8"/>
            <color indexed="81"/>
            <rFont val="Tahoma"/>
            <family val="2"/>
          </rPr>
          <t>Use for all crops</t>
        </r>
      </text>
    </comment>
    <comment ref="D57" authorId="0" shapeId="0">
      <text>
        <r>
          <rPr>
            <sz val="8"/>
            <color indexed="81"/>
            <rFont val="Tahoma"/>
            <family val="2"/>
          </rPr>
          <t>Assume worth $1000</t>
        </r>
      </text>
    </comment>
    <comment ref="D61" authorId="1" shapeId="0">
      <text>
        <r>
          <rPr>
            <sz val="8"/>
            <color indexed="81"/>
            <rFont val="Tahoma"/>
            <family val="2"/>
          </rPr>
          <t>Assume $20,000 from a cooperating potato farmer.</t>
        </r>
      </text>
    </comment>
    <comment ref="D62" authorId="1" shapeId="0">
      <text>
        <r>
          <rPr>
            <sz val="8"/>
            <color indexed="81"/>
            <rFont val="Tahoma"/>
            <family val="2"/>
          </rPr>
          <t>From a cooperating potato farmer</t>
        </r>
      </text>
    </comment>
    <comment ref="D63" authorId="1" shapeId="0">
      <text>
        <r>
          <rPr>
            <sz val="8"/>
            <color indexed="81"/>
            <rFont val="Tahoma"/>
            <family val="2"/>
          </rPr>
          <t>Assume same packing line as conventional potato M/L.  Old value of $18,947 for elevators from cooperating potato farmer.</t>
        </r>
      </text>
    </comment>
    <comment ref="D64" authorId="0" shapeId="0">
      <text>
        <r>
          <rPr>
            <sz val="8"/>
            <color indexed="81"/>
            <rFont val="Tahoma"/>
            <family val="2"/>
          </rPr>
          <t xml:space="preserve">Assume same as conventional potato M/L.  Old value of $32,346 is average from cooperating potato farmers.
</t>
        </r>
      </text>
    </comment>
    <comment ref="C69" authorId="1" shapeId="0">
      <text>
        <r>
          <rPr>
            <sz val="8"/>
            <color indexed="81"/>
            <rFont val="Tahoma"/>
            <family val="2"/>
          </rPr>
          <t>Use for all crops</t>
        </r>
      </text>
    </comment>
    <comment ref="D69" authorId="0" shapeId="0">
      <text>
        <r>
          <rPr>
            <sz val="8"/>
            <color indexed="81"/>
            <rFont val="Tahoma"/>
            <family val="2"/>
          </rPr>
          <t>Assume worth $128,000</t>
        </r>
      </text>
    </comment>
    <comment ref="C70" authorId="1" shapeId="0">
      <text>
        <r>
          <rPr>
            <sz val="8"/>
            <color indexed="81"/>
            <rFont val="Tahoma"/>
            <family val="2"/>
          </rPr>
          <t>Use for potato storage</t>
        </r>
      </text>
    </comment>
  </commentList>
</comments>
</file>

<file path=xl/comments41.xml><?xml version="1.0" encoding="utf-8"?>
<comments xmlns="http://schemas.openxmlformats.org/spreadsheetml/2006/main">
  <authors>
    <author>aaron hoshide</author>
  </authors>
  <commentList>
    <comment ref="A30" authorId="0" shapeId="0">
      <text>
        <r>
          <rPr>
            <sz val="8"/>
            <color indexed="81"/>
            <rFont val="Tahoma"/>
            <family val="2"/>
          </rPr>
          <t>Includes promotion tax and leased land</t>
        </r>
      </text>
    </comment>
  </commentList>
</comments>
</file>

<file path=xl/comments42.xml><?xml version="1.0" encoding="utf-8"?>
<comments xmlns="http://schemas.openxmlformats.org/spreadsheetml/2006/main">
  <authors>
    <author xml:space="preserve"> </author>
    <author>REP</author>
    <author>aaron hoshide</author>
  </authors>
  <commentList>
    <comment ref="F8" authorId="0" shapeId="0">
      <text>
        <r>
          <rPr>
            <sz val="8"/>
            <color indexed="81"/>
            <rFont val="Tahoma"/>
            <family val="2"/>
          </rPr>
          <t>2007-09 US Average price.
Old value of $2.50/lb (=2.5).</t>
        </r>
      </text>
    </comment>
    <comment ref="F10" authorId="0" shapeId="0">
      <text>
        <r>
          <rPr>
            <sz val="8"/>
            <color indexed="81"/>
            <rFont val="Tahoma"/>
            <family val="2"/>
          </rPr>
          <t>Assume same percent increase in price as for urea. Old price of $232/ton for this.
Old value:
=232+(232*'Key Data'!$F$71)</t>
        </r>
      </text>
    </comment>
    <comment ref="C11" authorId="0" shapeId="0">
      <text>
        <r>
          <rPr>
            <sz val="8"/>
            <color indexed="81"/>
            <rFont val="Tahoma"/>
            <family val="2"/>
          </rPr>
          <t>Old value of 0.50 (=1000/2000).</t>
        </r>
      </text>
    </comment>
    <comment ref="C13" authorId="1" shapeId="0">
      <text>
        <r>
          <rPr>
            <sz val="8"/>
            <color indexed="81"/>
            <rFont val="Tahoma"/>
            <family val="2"/>
          </rPr>
          <t>Assume same as silage corn.  Old value of 0.25 lb of Atrazine from cooperating potato farmer.</t>
        </r>
      </text>
    </comment>
    <comment ref="F13" authorId="1" shapeId="0">
      <text>
        <r>
          <rPr>
            <sz val="8"/>
            <color indexed="81"/>
            <rFont val="Tahoma"/>
            <family val="2"/>
          </rPr>
          <t>Adjusted by PPI to convert from 2002 surveyed cost to 2010. Assume same price as silage corn.  Old value of $2.76 from cooperating potato farmer.</t>
        </r>
      </text>
    </comment>
    <comment ref="C14" authorId="1" shapeId="0">
      <text>
        <r>
          <rPr>
            <sz val="8"/>
            <color indexed="81"/>
            <rFont val="Tahoma"/>
            <family val="2"/>
          </rPr>
          <t>Assume same as silage corn.  Old value of 3 oz of Callisto from cooperating potato farmer.</t>
        </r>
      </text>
    </comment>
    <comment ref="F14" authorId="1" shapeId="0">
      <text>
        <r>
          <rPr>
            <sz val="8"/>
            <color indexed="81"/>
            <rFont val="Tahoma"/>
            <family val="2"/>
          </rPr>
          <t>Adjusted by PPI to convert from 2002 surveyed cost to 2010. Assume same as silage corn.  Old value of $4.06 from cooperating potato farmer.</t>
        </r>
      </text>
    </comment>
    <comment ref="C20" authorId="0" shapeId="0">
      <text>
        <r>
          <rPr>
            <sz val="8"/>
            <color indexed="81"/>
            <rFont val="Tahoma"/>
            <family val="2"/>
          </rPr>
          <t>Old value of 0.0333333333333333</t>
        </r>
      </text>
    </comment>
    <comment ref="C21" authorId="2" shapeId="0">
      <text>
        <r>
          <rPr>
            <sz val="8"/>
            <color indexed="81"/>
            <rFont val="Tahoma"/>
            <family val="2"/>
          </rPr>
          <t>Assume same as level for soybeans.</t>
        </r>
      </text>
    </comment>
    <comment ref="C22" authorId="2" shapeId="0">
      <text>
        <r>
          <rPr>
            <sz val="8"/>
            <color indexed="81"/>
            <rFont val="Tahoma"/>
            <family val="2"/>
          </rPr>
          <t>Assume same as grain drill barley</t>
        </r>
      </text>
    </comment>
    <comment ref="B26" authorId="0" shapeId="0">
      <text>
        <r>
          <rPr>
            <sz val="8"/>
            <color indexed="81"/>
            <rFont val="Tahoma"/>
            <family val="2"/>
          </rPr>
          <t>Assume that there is no change for this since it takes the same time to pass over the field.</t>
        </r>
      </text>
    </comment>
    <comment ref="C29" authorId="0" shapeId="0">
      <text>
        <r>
          <rPr>
            <sz val="8"/>
            <color indexed="81"/>
            <rFont val="Tahoma"/>
            <family val="2"/>
          </rPr>
          <t>Old value of 0.5</t>
        </r>
      </text>
    </comment>
    <comment ref="B32" authorId="0" shapeId="0">
      <text>
        <r>
          <rPr>
            <sz val="8"/>
            <color indexed="81"/>
            <rFont val="Tahoma"/>
            <family val="2"/>
          </rPr>
          <t>Assume that there is no change for this since it takes the same time to pass over the field.</t>
        </r>
      </text>
    </comment>
    <comment ref="C42" authorId="0" shapeId="0">
      <text>
        <r>
          <rPr>
            <sz val="8"/>
            <color indexed="81"/>
            <rFont val="Tahoma"/>
            <family val="2"/>
          </rPr>
          <t>Old value of 0.131836702413325</t>
        </r>
      </text>
    </comment>
    <comment ref="C47" authorId="1" shapeId="0">
      <text>
        <r>
          <rPr>
            <sz val="8"/>
            <color indexed="81"/>
            <rFont val="Tahoma"/>
            <family val="2"/>
          </rPr>
          <t>Assume this is 1.25 gal (small dairy for tead, rake, and bale) x (6 tons/2.7 tons) = 2.78 gal.  Old value of 3.37 gal.</t>
        </r>
      </text>
    </comment>
    <comment ref="B48" authorId="0" shapeId="0">
      <text>
        <r>
          <rPr>
            <sz val="8"/>
            <color indexed="81"/>
            <rFont val="Tahoma"/>
            <family val="2"/>
          </rPr>
          <t>Assume that there is no change for this since it takes the same time to pass over the field.</t>
        </r>
      </text>
    </comment>
    <comment ref="C51" authorId="0" shapeId="0">
      <text>
        <r>
          <rPr>
            <sz val="8"/>
            <color indexed="81"/>
            <rFont val="Tahoma"/>
            <family val="2"/>
          </rPr>
          <t>Old value of 0.440238632920666</t>
        </r>
      </text>
    </comment>
    <comment ref="C53" authorId="1" shapeId="0">
      <text>
        <r>
          <rPr>
            <sz val="8"/>
            <color indexed="81"/>
            <rFont val="Tahoma"/>
            <family val="2"/>
          </rPr>
          <t>Assume same as first cut</t>
        </r>
      </text>
    </comment>
    <comment ref="B54" authorId="0" shapeId="0">
      <text>
        <r>
          <rPr>
            <sz val="8"/>
            <color indexed="81"/>
            <rFont val="Tahoma"/>
            <family val="2"/>
          </rPr>
          <t>Assume that there is no change for this since it takes the same time to pass over the field.</t>
        </r>
      </text>
    </comment>
    <comment ref="G61" authorId="2" shapeId="0">
      <text>
        <r>
          <rPr>
            <sz val="8"/>
            <color indexed="81"/>
            <rFont val="Tahoma"/>
            <family val="2"/>
          </rPr>
          <t>Old assumption of $35.25/acre for machinery repair costs.  When compare with PA grain corn budget revise to $13.43/acre that is based on crop equipment used for grain corn.</t>
        </r>
      </text>
    </comment>
    <comment ref="G62" authorId="2" shapeId="0">
      <text>
        <r>
          <rPr>
            <sz val="8"/>
            <color indexed="81"/>
            <rFont val="Tahoma"/>
            <family val="2"/>
          </rPr>
          <t>Assume $10/acre of supplies</t>
        </r>
      </text>
    </comment>
    <comment ref="A63" authorId="1" shapeId="0">
      <text>
        <r>
          <rPr>
            <sz val="8"/>
            <color indexed="81"/>
            <rFont val="Tahoma"/>
            <family val="2"/>
          </rPr>
          <t>Assume no crop insurance</t>
        </r>
      </text>
    </comment>
    <comment ref="F63" authorId="2" shapeId="0">
      <text>
        <r>
          <rPr>
            <sz val="8"/>
            <color indexed="81"/>
            <rFont val="Tahoma"/>
            <family val="2"/>
          </rPr>
          <t>Assume same as enterprise budget for potatoes</t>
        </r>
      </text>
    </comment>
    <comment ref="G64" authorId="2" shapeId="0">
      <text>
        <r>
          <rPr>
            <sz val="8"/>
            <color indexed="81"/>
            <rFont val="Tahoma"/>
            <family val="2"/>
          </rPr>
          <t>Assume no additional insurance</t>
        </r>
      </text>
    </comment>
    <comment ref="G66" authorId="2" shapeId="0">
      <text>
        <r>
          <rPr>
            <b/>
            <sz val="8"/>
            <color indexed="81"/>
            <rFont val="Tahoma"/>
            <family val="2"/>
          </rPr>
          <t>Old value assumes $0/acre.  
Assume 12 months at $50 a month divided by 300 acre model for utilities for workshop.</t>
        </r>
      </text>
    </comment>
    <comment ref="G67" authorId="1" shapeId="0">
      <text>
        <r>
          <rPr>
            <sz val="8"/>
            <color indexed="81"/>
            <rFont val="Tahoma"/>
            <family val="2"/>
          </rPr>
          <t>Assume no custom hire</t>
        </r>
      </text>
    </comment>
    <comment ref="A69" authorId="2" shapeId="0">
      <text>
        <r>
          <rPr>
            <sz val="8"/>
            <color indexed="81"/>
            <rFont val="Tahoma"/>
            <family val="2"/>
          </rPr>
          <t>Assume 25% of land is leased</t>
        </r>
      </text>
    </comment>
    <comment ref="G70" authorId="0" shapeId="0">
      <text>
        <r>
          <rPr>
            <sz val="8"/>
            <color indexed="81"/>
            <rFont val="Tahoma"/>
            <family val="2"/>
          </rPr>
          <t>According to Andrew Plant, do this every 5 years on average and custom-hire for $15/acre.</t>
        </r>
      </text>
    </comment>
    <comment ref="G72" authorId="2" shapeId="0">
      <text>
        <r>
          <rPr>
            <sz val="8"/>
            <color indexed="81"/>
            <rFont val="Tahoma"/>
            <family val="2"/>
          </rPr>
          <t>Assume this is $2/acre (Plastic)</t>
        </r>
      </text>
    </comment>
    <comment ref="B73" authorId="0" shapeId="0">
      <text>
        <r>
          <rPr>
            <sz val="8"/>
            <color indexed="81"/>
            <rFont val="Tahoma"/>
            <family val="2"/>
          </rPr>
          <t>Assume there is no additional cost of covering crop in storage.</t>
        </r>
      </text>
    </comment>
    <comment ref="G74" authorId="2" shapeId="0">
      <text>
        <r>
          <rPr>
            <sz val="8"/>
            <color indexed="81"/>
            <rFont val="Tahoma"/>
            <family val="2"/>
          </rPr>
          <t>Assume this is $5/acre and same as hay</t>
        </r>
      </text>
    </comment>
    <comment ref="A75" authorId="1" shapeId="0">
      <text>
        <r>
          <rPr>
            <sz val="8"/>
            <color indexed="81"/>
            <rFont val="Tahoma"/>
            <family val="2"/>
          </rPr>
          <t>Assume no promotion tax for corn silage</t>
        </r>
      </text>
    </comment>
  </commentList>
</comments>
</file>

<file path=xl/comments43.xml><?xml version="1.0" encoding="utf-8"?>
<comments xmlns="http://schemas.openxmlformats.org/spreadsheetml/2006/main">
  <authors>
    <author>REP</author>
    <author>aaron hoshide</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both potatoes and rotation crop</t>
        </r>
      </text>
    </comment>
    <comment ref="D9" authorId="0" shapeId="0">
      <text>
        <r>
          <rPr>
            <sz val="8"/>
            <color indexed="81"/>
            <rFont val="Tahoma"/>
            <family val="2"/>
          </rPr>
          <t>Assume worth $110,000.</t>
        </r>
      </text>
    </comment>
    <comment ref="B12" authorId="1" shapeId="0">
      <text>
        <r>
          <rPr>
            <sz val="8"/>
            <color indexed="81"/>
            <rFont val="Tahoma"/>
            <family val="2"/>
          </rPr>
          <t>Assume 2 bulk body trucks</t>
        </r>
      </text>
    </comment>
    <comment ref="C12" authorId="1" shapeId="0">
      <text>
        <r>
          <rPr>
            <sz val="8"/>
            <color indexed="81"/>
            <rFont val="Tahoma"/>
            <family val="2"/>
          </rPr>
          <t>Use for all crops except for sudan grass</t>
        </r>
      </text>
    </comment>
    <comment ref="D12" authorId="0" shapeId="0">
      <text>
        <r>
          <rPr>
            <sz val="8"/>
            <color indexed="81"/>
            <rFont val="Tahoma"/>
            <family val="2"/>
          </rPr>
          <t>Assume worth $28,000</t>
        </r>
      </text>
    </comment>
    <comment ref="C15" authorId="1" shapeId="0">
      <text>
        <r>
          <rPr>
            <sz val="8"/>
            <color indexed="81"/>
            <rFont val="Tahoma"/>
            <family val="2"/>
          </rPr>
          <t>Use for all crops except pasture and clover (assumed underseeded in small grain year).</t>
        </r>
      </text>
    </comment>
    <comment ref="D15" authorId="0" shapeId="0">
      <text>
        <r>
          <rPr>
            <sz val="8"/>
            <color indexed="81"/>
            <rFont val="Tahoma"/>
            <family val="2"/>
          </rPr>
          <t>Assume worth $15,800</t>
        </r>
      </text>
    </comment>
    <comment ref="C16" authorId="1" shapeId="0">
      <text>
        <r>
          <rPr>
            <sz val="8"/>
            <color indexed="81"/>
            <rFont val="Tahoma"/>
            <family val="2"/>
          </rPr>
          <t>Use for all crops except pasture and clover (assumed underseeded in small grain year).</t>
        </r>
      </text>
    </comment>
    <comment ref="D16" authorId="0" shapeId="0">
      <text>
        <r>
          <rPr>
            <sz val="8"/>
            <color indexed="81"/>
            <rFont val="Tahoma"/>
            <family val="2"/>
          </rPr>
          <t>Assume worth $12,000</t>
        </r>
      </text>
    </comment>
    <comment ref="C17" authorId="1"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$17,500</t>
        </r>
      </text>
    </comment>
    <comment ref="C20" authorId="1" shapeId="0">
      <text>
        <r>
          <rPr>
            <sz val="8"/>
            <color indexed="81"/>
            <rFont val="Tahoma"/>
            <family val="2"/>
          </rPr>
          <t>Use for both potatoes and rotation crop</t>
        </r>
      </text>
    </comment>
    <comment ref="D20" authorId="0" shapeId="0">
      <text>
        <r>
          <rPr>
            <sz val="8"/>
            <color indexed="81"/>
            <rFont val="Tahoma"/>
            <family val="2"/>
          </rPr>
          <t>Assume worth $3000</t>
        </r>
      </text>
    </comment>
    <comment ref="C21" authorId="2" shapeId="0">
      <text>
        <r>
          <rPr>
            <sz val="8"/>
            <color indexed="81"/>
            <rFont val="Tahoma"/>
            <family val="2"/>
          </rPr>
          <t>Use for alfalfa, haylage, dry hay, and canola.</t>
        </r>
      </text>
    </comment>
    <comment ref="C24" authorId="0" shapeId="0">
      <text>
        <r>
          <rPr>
            <sz val="8"/>
            <color indexed="81"/>
            <rFont val="Tahoma"/>
            <family val="2"/>
          </rPr>
          <t>Use for all crops except pasture and clover (assumed underseeded in small grain year).</t>
        </r>
      </text>
    </comment>
    <comment ref="D24" authorId="0" shapeId="0">
      <text>
        <r>
          <rPr>
            <sz val="8"/>
            <color indexed="81"/>
            <rFont val="Tahoma"/>
            <family val="2"/>
          </rPr>
          <t>Assume worth $24,500</t>
        </r>
      </text>
    </comment>
    <comment ref="C27" authorId="1" shapeId="0">
      <text>
        <r>
          <rPr>
            <sz val="8"/>
            <color indexed="81"/>
            <rFont val="Tahoma"/>
            <family val="2"/>
          </rPr>
          <t>Use for alfalfa and haylage</t>
        </r>
      </text>
    </comment>
    <comment ref="D27" authorId="1" shapeId="0">
      <text>
        <r>
          <rPr>
            <sz val="8"/>
            <color indexed="81"/>
            <rFont val="Tahoma"/>
            <family val="2"/>
          </rPr>
          <t>Assume worth $15,000</t>
        </r>
      </text>
    </comment>
    <comment ref="C28" authorId="1" shapeId="0">
      <text>
        <r>
          <rPr>
            <sz val="8"/>
            <color indexed="81"/>
            <rFont val="Tahoma"/>
            <family val="2"/>
          </rPr>
          <t>Use for alfalfa, corn silage, and haylage</t>
        </r>
      </text>
    </comment>
    <comment ref="D28" authorId="0" shapeId="0">
      <text>
        <r>
          <rPr>
            <sz val="8"/>
            <color indexed="81"/>
            <rFont val="Tahoma"/>
            <family val="2"/>
          </rPr>
          <t>Assume $20,000 for chopper</t>
        </r>
      </text>
    </comment>
    <comment ref="C29" authorId="1" shapeId="0">
      <text>
        <r>
          <rPr>
            <sz val="8"/>
            <color indexed="81"/>
            <rFont val="Tahoma"/>
            <family val="2"/>
          </rPr>
          <t>Use for alfalfa, corn silage, and haylage</t>
        </r>
      </text>
    </comment>
    <comment ref="D29" authorId="0" shapeId="0">
      <text>
        <r>
          <rPr>
            <sz val="8"/>
            <color indexed="81"/>
            <rFont val="Tahoma"/>
            <family val="2"/>
          </rPr>
          <t>Assume $20,000 for chopper</t>
        </r>
      </text>
    </comment>
    <comment ref="C32" authorId="0" shapeId="0">
      <text>
        <r>
          <rPr>
            <sz val="8"/>
            <color indexed="81"/>
            <rFont val="Tahoma"/>
            <family val="2"/>
          </rPr>
          <t>Use for all crops</t>
        </r>
      </text>
    </comment>
    <comment ref="D32" authorId="0" shapeId="0">
      <text>
        <r>
          <rPr>
            <sz val="8"/>
            <color indexed="81"/>
            <rFont val="Tahoma"/>
            <family val="2"/>
          </rPr>
          <t>Assume worth $100</t>
        </r>
      </text>
    </comment>
    <comment ref="C33" authorId="0" shapeId="0">
      <text>
        <r>
          <rPr>
            <sz val="8"/>
            <color indexed="81"/>
            <rFont val="Tahoma"/>
            <family val="2"/>
          </rPr>
          <t>Use for all crops</t>
        </r>
      </text>
    </comment>
    <comment ref="D33" authorId="0" shapeId="0">
      <text>
        <r>
          <rPr>
            <sz val="8"/>
            <color indexed="81"/>
            <rFont val="Tahoma"/>
            <family val="2"/>
          </rPr>
          <t>Assume worth $1000</t>
        </r>
      </text>
    </comment>
    <comment ref="B38" authorId="1" shapeId="0">
      <text>
        <r>
          <rPr>
            <sz val="8"/>
            <color indexed="81"/>
            <rFont val="Tahoma"/>
            <family val="2"/>
          </rPr>
          <t>This is owned rotational acreage</t>
        </r>
      </text>
    </comment>
    <comment ref="C41" authorId="0" shapeId="0">
      <text>
        <r>
          <rPr>
            <sz val="8"/>
            <color indexed="81"/>
            <rFont val="Tahoma"/>
            <family val="2"/>
          </rPr>
          <t>Use for both potatoes and rotation crop</t>
        </r>
      </text>
    </comment>
    <comment ref="D41" authorId="0" shapeId="0">
      <text>
        <r>
          <rPr>
            <sz val="8"/>
            <color indexed="81"/>
            <rFont val="Tahoma"/>
            <family val="2"/>
          </rPr>
          <t>Assume worth $128,000</t>
        </r>
      </text>
    </comment>
  </commentList>
</comments>
</file>

<file path=xl/comments44.xml><?xml version="1.0" encoding="utf-8"?>
<comments xmlns="http://schemas.openxmlformats.org/spreadsheetml/2006/main">
  <authors>
    <author>aaron hoshide</author>
  </authors>
  <commentList>
    <comment ref="H4" authorId="0" shapeId="0">
      <text>
        <r>
          <rPr>
            <sz val="8"/>
            <color indexed="81"/>
            <rFont val="Tahoma"/>
            <family val="2"/>
          </rPr>
          <t>For establishment year (1).</t>
        </r>
      </text>
    </comment>
    <comment ref="H5" authorId="0" shapeId="0">
      <text>
        <r>
          <rPr>
            <sz val="8"/>
            <color indexed="81"/>
            <rFont val="Tahoma"/>
            <family val="2"/>
          </rPr>
          <t>For non-establishment years (2 to 4).</t>
        </r>
      </text>
    </comment>
    <comment ref="A26" authorId="0" shapeId="0">
      <text>
        <r>
          <rPr>
            <sz val="8"/>
            <color indexed="81"/>
            <rFont val="Tahoma"/>
            <family val="2"/>
          </rPr>
          <t>Includes promotion tax and leased land</t>
        </r>
      </text>
    </comment>
  </commentList>
</comments>
</file>

<file path=xl/comments45.xml><?xml version="1.0" encoding="utf-8"?>
<comments xmlns="http://schemas.openxmlformats.org/spreadsheetml/2006/main">
  <authors>
    <author>aaron hoshide</author>
    <author>REP</author>
    <author xml:space="preserve"> </author>
  </authors>
  <commentList>
    <comment ref="A8" authorId="0" shapeId="0">
      <text>
        <r>
          <rPr>
            <sz val="8"/>
            <color indexed="81"/>
            <rFont val="Tahoma"/>
            <family val="2"/>
          </rPr>
          <t xml:space="preserve">Assume same as large conventional dairy </t>
        </r>
      </text>
    </comment>
    <comment ref="F9" authorId="1" shapeId="0">
      <text>
        <r>
          <rPr>
            <sz val="8"/>
            <color indexed="81"/>
            <rFont val="Tahoma"/>
            <family val="2"/>
          </rPr>
          <t>Old value of $80/80,000 (=80/80000) same as other corn silage.  Old price (=65.6907/80000).</t>
        </r>
      </text>
    </comment>
    <comment ref="A10" authorId="0" shapeId="0">
      <text>
        <r>
          <rPr>
            <sz val="8"/>
            <color indexed="81"/>
            <rFont val="Tahoma"/>
            <family val="2"/>
          </rPr>
          <t>Assume same as small and medium conventional dairy (Assume conventional fertilization since not on historically manured ground and lime only in potato year)</t>
        </r>
      </text>
    </comment>
    <comment ref="C11" authorId="1" shapeId="0">
      <text>
        <r>
          <rPr>
            <sz val="8"/>
            <color indexed="81"/>
            <rFont val="Tahoma"/>
            <family val="2"/>
          </rPr>
          <t>Conventional model assumes need 270 lb/acre of corn starter.
Coupled model assumes need 0 lb/acre of 10-20-10 fertilizer blend for both short and long term integrated</t>
        </r>
      </text>
    </comment>
    <comment ref="F11" authorId="2" shapeId="0">
      <text>
        <r>
          <rPr>
            <sz val="8"/>
            <color indexed="81"/>
            <rFont val="Tahoma"/>
            <family val="2"/>
          </rPr>
          <t>Assume same percent increase in price as for urea. Old price of $220/ton for this.
Old value:
=220+(220*'Key Data'!$F$71)</t>
        </r>
      </text>
    </comment>
    <comment ref="C12" authorId="1" shapeId="0">
      <text>
        <r>
          <rPr>
            <sz val="8"/>
            <color indexed="81"/>
            <rFont val="Tahoma"/>
            <family val="2"/>
          </rPr>
          <t>Coupled model assumes need 100 lb/acre of urea 46% for long term integrated (Based on Thomas) and need 125 lb/acre of urea 46% for short term integrated (Same as conventional).</t>
        </r>
      </text>
    </comment>
    <comment ref="F12" authorId="1" shapeId="0">
      <text>
        <r>
          <rPr>
            <sz val="8"/>
            <color indexed="81"/>
            <rFont val="Tahoma"/>
            <family val="2"/>
          </rPr>
          <t>Assume percent increase in price for this. Old price of urea side dress for conventional dairy at $230/ton.
Old value:
=230+(230*'Key Data'!$F$71)</t>
        </r>
      </text>
    </comment>
    <comment ref="C13" authorId="2" shapeId="0">
      <text>
        <r>
          <rPr>
            <sz val="8"/>
            <color indexed="81"/>
            <rFont val="Tahoma"/>
            <family val="2"/>
          </rPr>
          <t>Old value of 0.61 (=0.6065).</t>
        </r>
      </text>
    </comment>
    <comment ref="F15" authorId="2" shapeId="0">
      <text>
        <r>
          <rPr>
            <sz val="8"/>
            <color indexed="81"/>
            <rFont val="Tahoma"/>
            <family val="2"/>
          </rPr>
          <t xml:space="preserve">Adjusted by PPI to convert from 2002 surveyed cost to 2010. </t>
        </r>
      </text>
    </comment>
    <comment ref="C16" authorId="1" shapeId="0">
      <text>
        <r>
          <rPr>
            <sz val="8"/>
            <color indexed="81"/>
            <rFont val="Tahoma"/>
            <family val="2"/>
          </rPr>
          <t>Old assumed amount (=1.25/4).</t>
        </r>
      </text>
    </comment>
    <comment ref="F16" authorId="2" shapeId="0">
      <text>
        <r>
          <rPr>
            <sz val="8"/>
            <color indexed="81"/>
            <rFont val="Tahoma"/>
            <family val="2"/>
          </rPr>
          <t xml:space="preserve">Adjusted by PPI to convert from 2002 surveyed cost to 2010. </t>
        </r>
      </text>
    </comment>
    <comment ref="C19" authorId="2" shapeId="0">
      <text>
        <r>
          <rPr>
            <sz val="8"/>
            <color indexed="81"/>
            <rFont val="Tahoma"/>
            <family val="2"/>
          </rPr>
          <t>Old value of 0.5</t>
        </r>
      </text>
    </comment>
    <comment ref="C22" authorId="2" shapeId="0">
      <text>
        <r>
          <rPr>
            <sz val="8"/>
            <color indexed="81"/>
            <rFont val="Tahoma"/>
            <family val="2"/>
          </rPr>
          <t>Old value of 0.96</t>
        </r>
      </text>
    </comment>
    <comment ref="C24" authorId="2" shapeId="0">
      <text>
        <r>
          <rPr>
            <sz val="8"/>
            <color indexed="81"/>
            <rFont val="Tahoma"/>
            <family val="2"/>
          </rPr>
          <t>Old value of 0.0333333333333333</t>
        </r>
      </text>
    </comment>
    <comment ref="C28" authorId="1" shapeId="0">
      <text>
        <r>
          <rPr>
            <sz val="8"/>
            <color indexed="81"/>
            <rFont val="Tahoma"/>
            <family val="2"/>
          </rPr>
          <t>Assume this is same as conventional small.  Old value of 0.17 hr (='C:\IFAFS\BUDGETS\[Crop Operation Times.xls]Crop Operation Times'!M115).</t>
        </r>
      </text>
    </comment>
    <comment ref="C29" authorId="1" shapeId="0">
      <text>
        <r>
          <rPr>
            <sz val="8"/>
            <color indexed="81"/>
            <rFont val="Tahoma"/>
            <family val="2"/>
          </rPr>
          <t>Assume this is half of conventional small dairy.  Old value of 0.50 hr  (='C:\IFAFS\BUDGETS\[Crop Operation Times.xls]Crop Operation Times'!M116).</t>
        </r>
      </text>
    </comment>
    <comment ref="B30" authorId="2" shapeId="0">
      <text>
        <r>
          <rPr>
            <sz val="8"/>
            <color indexed="81"/>
            <rFont val="Tahoma"/>
            <family val="2"/>
          </rPr>
          <t>Assume that there is no change for this since it takes the same time to pass over the field.</t>
        </r>
      </text>
    </comment>
    <comment ref="C34" authorId="0" shapeId="0">
      <text>
        <r>
          <rPr>
            <sz val="8"/>
            <color indexed="81"/>
            <rFont val="Tahoma"/>
            <family val="2"/>
          </rPr>
          <t>Assume this is zero since silage corn is loaded directly into coupled dairy farm's storages</t>
        </r>
      </text>
    </comment>
    <comment ref="C37" authorId="2" shapeId="0">
      <text>
        <r>
          <rPr>
            <sz val="8"/>
            <color indexed="81"/>
            <rFont val="Tahoma"/>
            <family val="2"/>
          </rPr>
          <t>Old value of 0.440238632920666</t>
        </r>
      </text>
    </comment>
    <comment ref="C38" authorId="1" shapeId="0">
      <text>
        <r>
          <rPr>
            <sz val="8"/>
            <color indexed="81"/>
            <rFont val="Tahoma"/>
            <family val="2"/>
          </rPr>
          <t>Assume same as conventional small dairy. Old value pf 0.60 gal  (='C:\IFAFS\BUDGETS\[Crop Operation Times.xls]Crop Operation Times'!J149).</t>
        </r>
      </text>
    </comment>
    <comment ref="C42" authorId="2" shapeId="0">
      <text>
        <r>
          <rPr>
            <sz val="8"/>
            <color indexed="81"/>
            <rFont val="Tahoma"/>
            <family val="2"/>
          </rPr>
          <t>Old value of 0.131836702413325</t>
        </r>
      </text>
    </comment>
    <comment ref="B48" authorId="2" shapeId="0">
      <text>
        <r>
          <rPr>
            <sz val="8"/>
            <color indexed="81"/>
            <rFont val="Tahoma"/>
            <family val="2"/>
          </rPr>
          <t>Assume that there is no change for this since it takes the same time to pass over the field.</t>
        </r>
      </text>
    </comment>
    <comment ref="C52" authorId="0" shapeId="0">
      <text>
        <r>
          <rPr>
            <sz val="8"/>
            <color indexed="81"/>
            <rFont val="Tahoma"/>
            <family val="2"/>
          </rPr>
          <t>Assume this is zero since silage corn is loaded directly into coupled dairy farm's storages</t>
        </r>
      </text>
    </comment>
    <comment ref="G55" authorId="1" shapeId="0">
      <text>
        <r>
          <rPr>
            <sz val="8"/>
            <color indexed="81"/>
            <rFont val="Tahoma"/>
            <family val="2"/>
          </rPr>
          <t>Assume this is zero.  Old value of $34.61/acre assumes is that this is in proportion to total equipment cost for silage corn compared to grain corn (In rotation with potatoes) and specified as (=IF(FARMBUDGETCaseB!K14=1, 35.25*(227368/187812)-E46, 0)).</t>
        </r>
      </text>
    </comment>
    <comment ref="G56" authorId="0" shapeId="0">
      <text>
        <r>
          <rPr>
            <sz val="8"/>
            <color indexed="81"/>
            <rFont val="Tahoma"/>
            <family val="2"/>
          </rPr>
          <t>Assume $10/acre of supplies</t>
        </r>
      </text>
    </comment>
    <comment ref="A57" authorId="1" shapeId="0">
      <text>
        <r>
          <rPr>
            <sz val="8"/>
            <color indexed="81"/>
            <rFont val="Tahoma"/>
            <family val="2"/>
          </rPr>
          <t>No crop insurance</t>
        </r>
      </text>
    </comment>
    <comment ref="F57" authorId="0" shapeId="0">
      <text>
        <r>
          <rPr>
            <sz val="8"/>
            <color indexed="81"/>
            <rFont val="Tahoma"/>
            <family val="2"/>
          </rPr>
          <t>Assume same as enterprise budget for potatoes</t>
        </r>
      </text>
    </comment>
    <comment ref="H58" authorId="0" shapeId="0">
      <text>
        <r>
          <rPr>
            <sz val="8"/>
            <color indexed="81"/>
            <rFont val="Tahoma"/>
            <family val="2"/>
          </rPr>
          <t>Assume no additional insurance</t>
        </r>
      </text>
    </comment>
    <comment ref="A60" authorId="0" shapeId="0">
      <text>
        <r>
          <rPr>
            <sz val="8"/>
            <color indexed="81"/>
            <rFont val="Tahoma"/>
            <family val="2"/>
          </rPr>
          <t>Assume same as barley</t>
        </r>
      </text>
    </comment>
    <comment ref="G60" authorId="0" shapeId="0">
      <text>
        <r>
          <rPr>
            <b/>
            <sz val="8"/>
            <color indexed="81"/>
            <rFont val="Tahoma"/>
            <family val="2"/>
          </rPr>
          <t>Old value assumes $0/acre.  
Assume 12 months at $50 a month divided by 300 acre model for utilities for workshop.</t>
        </r>
      </text>
    </comment>
    <comment ref="A61" authorId="0" shapeId="0">
      <text>
        <r>
          <rPr>
            <sz val="8"/>
            <color indexed="81"/>
            <rFont val="Tahoma"/>
            <family val="2"/>
          </rPr>
          <t>Assume same as barley</t>
        </r>
      </text>
    </comment>
    <comment ref="G61" authorId="0" shapeId="0">
      <text>
        <r>
          <rPr>
            <sz val="8"/>
            <color indexed="81"/>
            <rFont val="Tahoma"/>
            <family val="2"/>
          </rPr>
          <t>Assume this is zero.  Old value of $2.89/acre assumes that this is same cost of custom hire as 2001 Farm Credit budget in proportion to yield (=BarOperCosts!E53).</t>
        </r>
      </text>
    </comment>
    <comment ref="G64" authorId="1" shapeId="0">
      <text>
        <r>
          <rPr>
            <sz val="8"/>
            <color indexed="81"/>
            <rFont val="Tahoma"/>
            <family val="2"/>
          </rPr>
          <t>Assume no other rental</t>
        </r>
      </text>
    </comment>
    <comment ref="A65" authorId="0" shapeId="0">
      <text>
        <r>
          <rPr>
            <sz val="8"/>
            <color indexed="81"/>
            <rFont val="Tahoma"/>
            <family val="2"/>
          </rPr>
          <t>Assume same as barley</t>
        </r>
      </text>
    </comment>
    <comment ref="G65" authorId="0" shapeId="0">
      <text>
        <r>
          <rPr>
            <sz val="8"/>
            <color indexed="81"/>
            <rFont val="Tahoma"/>
            <family val="2"/>
          </rPr>
          <t>Assume this is zero (Since included above)</t>
        </r>
      </text>
    </comment>
    <comment ref="A66" authorId="0" shapeId="0">
      <text>
        <r>
          <rPr>
            <sz val="8"/>
            <color indexed="81"/>
            <rFont val="Tahoma"/>
            <family val="2"/>
          </rPr>
          <t>Assume same as barley</t>
        </r>
      </text>
    </comment>
    <comment ref="G66" authorId="0" shapeId="0">
      <text>
        <r>
          <rPr>
            <sz val="8"/>
            <color indexed="81"/>
            <rFont val="Tahoma"/>
            <family val="2"/>
          </rPr>
          <t>Assume this is $2/acre (Plastic)</t>
        </r>
      </text>
    </comment>
    <comment ref="B67" authorId="2" shapeId="0">
      <text>
        <r>
          <rPr>
            <sz val="8"/>
            <color indexed="81"/>
            <rFont val="Tahoma"/>
            <family val="2"/>
          </rPr>
          <t>Assume there is no additional cost of covering crop in storage.</t>
        </r>
      </text>
    </comment>
    <comment ref="A68" authorId="0" shapeId="0">
      <text>
        <r>
          <rPr>
            <sz val="8"/>
            <color indexed="81"/>
            <rFont val="Tahoma"/>
            <family val="2"/>
          </rPr>
          <t>Assume same as barley</t>
        </r>
      </text>
    </comment>
    <comment ref="G68" authorId="0" shapeId="0">
      <text>
        <r>
          <rPr>
            <sz val="8"/>
            <color indexed="81"/>
            <rFont val="Tahoma"/>
            <family val="2"/>
          </rPr>
          <t>Assume this is $5/acre</t>
        </r>
      </text>
    </comment>
    <comment ref="A69" authorId="1" shapeId="0">
      <text>
        <r>
          <rPr>
            <sz val="8"/>
            <color indexed="81"/>
            <rFont val="Tahoma"/>
            <family val="2"/>
          </rPr>
          <t>Assume no promotion tax for corn silage</t>
        </r>
      </text>
    </comment>
    <comment ref="G69" authorId="0" shapeId="0">
      <text>
        <r>
          <rPr>
            <sz val="8"/>
            <color indexed="81"/>
            <rFont val="Tahoma"/>
            <family val="2"/>
          </rPr>
          <t>Assume no promotion tax for corn silage</t>
        </r>
      </text>
    </comment>
  </commentList>
</comments>
</file>

<file path=xl/comments46.xml><?xml version="1.0" encoding="utf-8"?>
<comments xmlns="http://schemas.openxmlformats.org/spreadsheetml/2006/main">
  <authors>
    <author>REP</author>
    <author>aaron hoshide</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2" authorId="1" shapeId="0">
      <text>
        <r>
          <rPr>
            <sz val="8"/>
            <color indexed="81"/>
            <rFont val="Tahoma"/>
            <family val="2"/>
          </rPr>
          <t>Use for all crops except for sudan grass</t>
        </r>
      </text>
    </comment>
    <comment ref="D12" authorId="0" shapeId="0">
      <text>
        <r>
          <rPr>
            <sz val="8"/>
            <color indexed="81"/>
            <rFont val="Tahoma"/>
            <family val="2"/>
          </rPr>
          <t>Assume worth $28,000</t>
        </r>
      </text>
    </comment>
    <comment ref="C13" authorId="1" shapeId="0">
      <text>
        <r>
          <rPr>
            <sz val="8"/>
            <color indexed="81"/>
            <rFont val="Tahoma"/>
            <family val="2"/>
          </rPr>
          <t>Use for just potatoes and corn silage</t>
        </r>
      </text>
    </comment>
    <comment ref="D13" authorId="0" shapeId="0">
      <text>
        <r>
          <rPr>
            <sz val="8"/>
            <color indexed="81"/>
            <rFont val="Tahoma"/>
            <family val="2"/>
          </rPr>
          <t>Assume worth $28,000</t>
        </r>
      </text>
    </comment>
    <comment ref="C16" authorId="1" shapeId="0">
      <text>
        <r>
          <rPr>
            <sz val="8"/>
            <color indexed="81"/>
            <rFont val="Tahoma"/>
            <family val="2"/>
          </rPr>
          <t>Use for all crops except pasture and clover (assumed underseeded in small grain year).</t>
        </r>
      </text>
    </comment>
    <comment ref="D16" authorId="0" shapeId="0">
      <text>
        <r>
          <rPr>
            <sz val="8"/>
            <color indexed="81"/>
            <rFont val="Tahoma"/>
            <family val="2"/>
          </rPr>
          <t>Assume worth $15,800</t>
        </r>
      </text>
    </comment>
    <comment ref="C17" authorId="1"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$12,000</t>
        </r>
      </text>
    </comment>
    <comment ref="C18" authorId="1" shapeId="0">
      <text>
        <r>
          <rPr>
            <sz val="8"/>
            <color indexed="81"/>
            <rFont val="Tahoma"/>
            <family val="2"/>
          </rPr>
          <t>Use for all crops except pasture and clover (assumed underseeded in small grain year).</t>
        </r>
      </text>
    </comment>
    <comment ref="D18" authorId="0" shapeId="0">
      <text>
        <r>
          <rPr>
            <sz val="8"/>
            <color indexed="81"/>
            <rFont val="Tahoma"/>
            <family val="2"/>
          </rPr>
          <t>Assume worth $17,500</t>
        </r>
      </text>
    </comment>
    <comment ref="C21" authorId="1" shapeId="0">
      <text>
        <r>
          <rPr>
            <sz val="8"/>
            <color indexed="81"/>
            <rFont val="Tahoma"/>
            <family val="2"/>
          </rPr>
          <t>Use for all crops except soybeans</t>
        </r>
      </text>
    </comment>
    <comment ref="D21" authorId="1" shapeId="0">
      <text>
        <r>
          <rPr>
            <sz val="8"/>
            <color indexed="81"/>
            <rFont val="Tahoma"/>
            <family val="2"/>
          </rPr>
          <t>Same as conventional small dairy ($3000)</t>
        </r>
      </text>
    </comment>
    <comment ref="C22" authorId="1" shapeId="0">
      <text>
        <r>
          <rPr>
            <sz val="8"/>
            <color indexed="81"/>
            <rFont val="Tahoma"/>
            <family val="2"/>
          </rPr>
          <t>Use for both grain and silage corn</t>
        </r>
      </text>
    </comment>
    <comment ref="C25" authorId="0" shapeId="0">
      <text>
        <r>
          <rPr>
            <sz val="8"/>
            <color indexed="81"/>
            <rFont val="Tahoma"/>
            <family val="2"/>
          </rPr>
          <t>Use for all crops except pasture and clover (assumed underseeded in small grain year).</t>
        </r>
      </text>
    </comment>
    <comment ref="D25" authorId="0" shapeId="0">
      <text>
        <r>
          <rPr>
            <sz val="8"/>
            <color indexed="81"/>
            <rFont val="Tahoma"/>
            <family val="2"/>
          </rPr>
          <t>Assume worth $24,500</t>
        </r>
      </text>
    </comment>
    <comment ref="C28" authorId="1" shapeId="0">
      <text>
        <r>
          <rPr>
            <sz val="8"/>
            <color indexed="81"/>
            <rFont val="Tahoma"/>
            <family val="2"/>
          </rPr>
          <t>Use for both corn silage and haylage</t>
        </r>
      </text>
    </comment>
    <comment ref="D28" authorId="0" shapeId="0">
      <text>
        <r>
          <rPr>
            <sz val="8"/>
            <color indexed="81"/>
            <rFont val="Tahoma"/>
            <family val="2"/>
          </rPr>
          <t>Assume $20,000 for chopper</t>
        </r>
      </text>
    </comment>
    <comment ref="C29" authorId="1" shapeId="0">
      <text>
        <r>
          <rPr>
            <sz val="8"/>
            <color indexed="81"/>
            <rFont val="Tahoma"/>
            <family val="2"/>
          </rPr>
          <t>Use for both corn silage and haylage</t>
        </r>
      </text>
    </comment>
    <comment ref="D29" authorId="0" shapeId="0">
      <text>
        <r>
          <rPr>
            <sz val="8"/>
            <color indexed="81"/>
            <rFont val="Tahoma"/>
            <family val="2"/>
          </rPr>
          <t>Assume $20,000 for chopper</t>
        </r>
      </text>
    </comment>
    <comment ref="C32" authorId="0" shapeId="0">
      <text>
        <r>
          <rPr>
            <sz val="8"/>
            <color indexed="81"/>
            <rFont val="Tahoma"/>
            <family val="2"/>
          </rPr>
          <t>Use for all crops</t>
        </r>
      </text>
    </comment>
    <comment ref="D32" authorId="0" shapeId="0">
      <text>
        <r>
          <rPr>
            <sz val="8"/>
            <color indexed="81"/>
            <rFont val="Tahoma"/>
            <family val="2"/>
          </rPr>
          <t>Assume worth $100</t>
        </r>
      </text>
    </comment>
    <comment ref="C33" authorId="0" shapeId="0">
      <text>
        <r>
          <rPr>
            <sz val="8"/>
            <color indexed="81"/>
            <rFont val="Tahoma"/>
            <family val="2"/>
          </rPr>
          <t>Use for all crops</t>
        </r>
      </text>
    </comment>
    <comment ref="D33" authorId="0" shapeId="0">
      <text>
        <r>
          <rPr>
            <sz val="8"/>
            <color indexed="81"/>
            <rFont val="Tahoma"/>
            <family val="2"/>
          </rPr>
          <t>Assume worth $1000</t>
        </r>
      </text>
    </comment>
    <comment ref="C41" authorId="1" shapeId="0">
      <text>
        <r>
          <rPr>
            <sz val="8"/>
            <color indexed="81"/>
            <rFont val="Tahoma"/>
            <family val="2"/>
          </rPr>
          <t>Use for all crops</t>
        </r>
      </text>
    </comment>
    <comment ref="D41" authorId="0" shapeId="0">
      <text>
        <r>
          <rPr>
            <sz val="8"/>
            <color indexed="81"/>
            <rFont val="Tahoma"/>
            <family val="2"/>
          </rPr>
          <t>Assume worth $128,000</t>
        </r>
      </text>
    </comment>
  </commentList>
</comments>
</file>

<file path=xl/comments47.xml><?xml version="1.0" encoding="utf-8"?>
<comments xmlns="http://schemas.openxmlformats.org/spreadsheetml/2006/main">
  <authors>
    <author>aaron hoshide</author>
  </authors>
  <commentList>
    <comment ref="A26" authorId="0" shapeId="0">
      <text>
        <r>
          <rPr>
            <sz val="8"/>
            <color indexed="81"/>
            <rFont val="Tahoma"/>
            <family val="2"/>
          </rPr>
          <t>Includes promotion tax and leased land</t>
        </r>
      </text>
    </comment>
  </commentList>
</comments>
</file>

<file path=xl/comments48.xml><?xml version="1.0" encoding="utf-8"?>
<comments xmlns="http://schemas.openxmlformats.org/spreadsheetml/2006/main">
  <authors>
    <author xml:space="preserve"> </author>
    <author>aaron hoshide</author>
    <author>REP</author>
  </authors>
  <commentList>
    <comment ref="A8" authorId="0" shapeId="0">
      <text>
        <r>
          <rPr>
            <sz val="8"/>
            <color indexed="81"/>
            <rFont val="Tahoma"/>
            <family val="2"/>
          </rPr>
          <t>Consistent with recommendation from Rick for seeding timothy and alfalfa.  Assume use red clover instead.</t>
        </r>
      </text>
    </comment>
    <comment ref="C8" authorId="0" shapeId="0">
      <text>
        <r>
          <rPr>
            <sz val="8"/>
            <color indexed="81"/>
            <rFont val="Tahoma"/>
            <family val="2"/>
          </rPr>
          <t>From personal communication with Andrew Plant, this is 8 lb/acre.
Old value of 3.5 lb/acre (3.5) from using WI hay seeding calculator
www.uwex.edu/ces/forage/pubs/seeding_rate_calculator.xls</t>
        </r>
      </text>
    </comment>
    <comment ref="F8" authorId="1" shapeId="0">
      <text>
        <r>
          <rPr>
            <sz val="8"/>
            <color indexed="81"/>
            <rFont val="Tahoma"/>
            <family val="2"/>
          </rPr>
          <t>Use WI hay seeding calculator
www.uwex.edu/ces/forage/pubs/seeding_rate_calculator.xls
2007-09 US average price for timothy seed is $1.31333333333333/lb</t>
        </r>
      </text>
    </comment>
    <comment ref="A9" authorId="0" shapeId="0">
      <text>
        <r>
          <rPr>
            <sz val="8"/>
            <color indexed="81"/>
            <rFont val="Tahoma"/>
            <family val="2"/>
          </rPr>
          <t>Consistent with recommendation from Rick for seeding timothy and alfalfa.  Assume use red clover instead.</t>
        </r>
      </text>
    </comment>
    <comment ref="C9" authorId="0" shapeId="0">
      <text>
        <r>
          <rPr>
            <sz val="8"/>
            <color indexed="81"/>
            <rFont val="Tahoma"/>
            <family val="2"/>
          </rPr>
          <t>Assume 1/3 of weight of grass seed and 6% of seed.
www.uwex.edu/ces/forage/pubs/seeding_rate_calculator.xls</t>
        </r>
      </text>
    </comment>
    <comment ref="F9" authorId="0" shapeId="0">
      <text>
        <r>
          <rPr>
            <sz val="8"/>
            <color indexed="81"/>
            <rFont val="Tahoma"/>
            <family val="2"/>
          </rPr>
          <t>Use WI hay seeding calculator
www.uwex.edu/ces/forage/pubs/seeding_rate_calculator.xls
2007-09 US average price for red clover seed is $2.44/lb</t>
        </r>
      </text>
    </comment>
    <comment ref="J9" authorId="0" shapeId="0">
      <text>
        <r>
          <rPr>
            <sz val="8"/>
            <color indexed="81"/>
            <rFont val="Tahoma"/>
            <family val="2"/>
          </rPr>
          <t>This is consistent with KY budget:
www.ca.uky.edu/cmspubsclass/files/kburdine/cophay.xls</t>
        </r>
      </text>
    </comment>
    <comment ref="C11" authorId="2" shapeId="0">
      <text>
        <r>
          <rPr>
            <sz val="8"/>
            <color indexed="81"/>
            <rFont val="Tahoma"/>
            <family val="2"/>
          </rPr>
          <t xml:space="preserve">Value of 0.10 tons assumed a need of 200 lb/acre of 10-20-10 to yield 6 ton/acre of haylage (=200/2000). Assume this is not zero since no manure is applied to hay.  </t>
        </r>
      </text>
    </comment>
    <comment ref="F11" authorId="0" shapeId="0">
      <text>
        <r>
          <rPr>
            <sz val="8"/>
            <color indexed="81"/>
            <rFont val="Tahoma"/>
            <family val="2"/>
          </rPr>
          <t>Assume same percent increase in price as for urea. Old price of $220/ton for this.
Old value:
=220+(220*'Key Data'!$F$71)</t>
        </r>
      </text>
    </comment>
    <comment ref="C12" authorId="2" shapeId="0">
      <text>
        <r>
          <rPr>
            <sz val="8"/>
            <color indexed="81"/>
            <rFont val="Tahoma"/>
            <family val="2"/>
          </rPr>
          <t xml:space="preserve">Assume increase to 110 lb/acre from 80 lb/acre of urea top-dress to yield 6 ton/acre of haylage (=80/2000). </t>
        </r>
      </text>
    </comment>
    <comment ref="F12" authorId="2" shapeId="0">
      <text>
        <r>
          <rPr>
            <sz val="8"/>
            <color indexed="81"/>
            <rFont val="Tahoma"/>
            <family val="2"/>
          </rPr>
          <t>Assume percent increase in price for this. Old price of urea side dress for conventional dairy at $230/ton.
Old value:
=230+(230*'Key Data'!$F$71)</t>
        </r>
      </text>
    </comment>
    <comment ref="C13" authorId="0" shapeId="0">
      <text>
        <r>
          <rPr>
            <sz val="8"/>
            <color indexed="81"/>
            <rFont val="Tahoma"/>
            <family val="2"/>
          </rPr>
          <t>Old value of 0.50 (=1000/2000).</t>
        </r>
      </text>
    </comment>
    <comment ref="C15" authorId="2" shapeId="0">
      <text>
        <r>
          <rPr>
            <sz val="8"/>
            <color indexed="81"/>
            <rFont val="Tahoma"/>
            <family val="2"/>
          </rPr>
          <t>Assume same as silage corn.  Old value of 0.25 lb of Atrazine from cooperating potato farmer.</t>
        </r>
      </text>
    </comment>
    <comment ref="F15" authorId="2" shapeId="0">
      <text>
        <r>
          <rPr>
            <sz val="8"/>
            <color indexed="81"/>
            <rFont val="Tahoma"/>
            <family val="2"/>
          </rPr>
          <t>Adjusted by PPI to convert from 2002 surveyed cost to 2010. Assume same price as silage corn.  Old value of $2.76 from cooperating potato farmer.</t>
        </r>
      </text>
    </comment>
    <comment ref="C16" authorId="2" shapeId="0">
      <text>
        <r>
          <rPr>
            <sz val="8"/>
            <color indexed="81"/>
            <rFont val="Tahoma"/>
            <family val="2"/>
          </rPr>
          <t>Assume same as silage corn.  Old value of 3 oz of Callisto from cooperating potato farmer.</t>
        </r>
      </text>
    </comment>
    <comment ref="F16" authorId="2" shapeId="0">
      <text>
        <r>
          <rPr>
            <sz val="8"/>
            <color indexed="81"/>
            <rFont val="Tahoma"/>
            <family val="2"/>
          </rPr>
          <t>Adjusted by PPI to convert from 2002 surveyed cost to 2010. Assume same as silage corn.  Old value of $4.06 from cooperating potato farmer.</t>
        </r>
      </text>
    </comment>
    <comment ref="C17" authorId="0" shapeId="0">
      <text>
        <r>
          <rPr>
            <sz val="8"/>
            <color indexed="81"/>
            <rFont val="Tahoma"/>
            <family val="2"/>
          </rPr>
          <t>From personal communication with Andrew Plant, herbicide (typically 2,4-D, 2pt) every other year. So assume on average 1pt per year (1/8 gal).</t>
        </r>
      </text>
    </comment>
    <comment ref="F17" authorId="0" shapeId="0">
      <text>
        <r>
          <rPr>
            <sz val="8"/>
            <color indexed="81"/>
            <rFont val="Tahoma"/>
            <family val="2"/>
          </rPr>
          <t>http://geneticseed.com/page.aspx?ID=21
$418.99 for a 30 gal drum.  Assume some shipping and handling.</t>
        </r>
      </text>
    </comment>
    <comment ref="C23" authorId="0" shapeId="0">
      <text>
        <r>
          <rPr>
            <sz val="8"/>
            <color indexed="81"/>
            <rFont val="Tahoma"/>
            <family val="2"/>
          </rPr>
          <t>Old value of 0.0333333333333333</t>
        </r>
      </text>
    </comment>
    <comment ref="C24" authorId="1" shapeId="0">
      <text>
        <r>
          <rPr>
            <sz val="8"/>
            <color indexed="81"/>
            <rFont val="Tahoma"/>
            <family val="2"/>
          </rPr>
          <t>Assume same as level for soybeans.</t>
        </r>
      </text>
    </comment>
    <comment ref="C25" authorId="1" shapeId="0">
      <text>
        <r>
          <rPr>
            <sz val="8"/>
            <color indexed="81"/>
            <rFont val="Tahoma"/>
            <family val="2"/>
          </rPr>
          <t>Assume same as grain drill barley</t>
        </r>
      </text>
    </comment>
    <comment ref="C27" authorId="0" shapeId="0">
      <text>
        <r>
          <rPr>
            <sz val="8"/>
            <color indexed="81"/>
            <rFont val="Tahoma"/>
            <family val="2"/>
          </rPr>
          <t>Assume do every 2 years for 2,4-D so divide by 2.</t>
        </r>
      </text>
    </comment>
    <comment ref="B30" authorId="0" shapeId="0">
      <text>
        <r>
          <rPr>
            <sz val="8"/>
            <color indexed="81"/>
            <rFont val="Tahoma"/>
            <family val="2"/>
          </rPr>
          <t>Assume that there is no change for this since it takes the same time to pass over the field.</t>
        </r>
      </text>
    </comment>
    <comment ref="C33" authorId="2" shapeId="0">
      <text>
        <r>
          <rPr>
            <sz val="8"/>
            <color indexed="81"/>
            <rFont val="Tahoma"/>
            <family val="2"/>
          </rPr>
          <t>Assume this is zero.</t>
        </r>
      </text>
    </comment>
    <comment ref="C36" authorId="0" shapeId="0">
      <text>
        <r>
          <rPr>
            <sz val="8"/>
            <color indexed="81"/>
            <rFont val="Tahoma"/>
            <family val="2"/>
          </rPr>
          <t>Assume this is 90% of first cut since 10% of second cut is harvested as square bales.</t>
        </r>
      </text>
    </comment>
    <comment ref="B37" authorId="0" shapeId="0">
      <text>
        <r>
          <rPr>
            <sz val="8"/>
            <color indexed="81"/>
            <rFont val="Tahoma"/>
            <family val="2"/>
          </rPr>
          <t>Assume that there is no change for this since it takes the same time to pass over the field.</t>
        </r>
      </text>
    </comment>
    <comment ref="C38" authorId="0" shapeId="0">
      <text>
        <r>
          <rPr>
            <sz val="8"/>
            <color indexed="81"/>
            <rFont val="Tahoma"/>
            <family val="2"/>
          </rPr>
          <t>Assume this is 90% of first cut since 10% of second cut is harvested as square bales.</t>
        </r>
      </text>
    </comment>
    <comment ref="C42" authorId="0" shapeId="0">
      <text>
        <r>
          <rPr>
            <sz val="8"/>
            <color indexed="81"/>
            <rFont val="Tahoma"/>
            <family val="2"/>
          </rPr>
          <t>Assume 4/5 of square bale.</t>
        </r>
      </text>
    </comment>
    <comment ref="B43" authorId="0" shapeId="0">
      <text>
        <r>
          <rPr>
            <sz val="8"/>
            <color indexed="81"/>
            <rFont val="Tahoma"/>
            <family val="2"/>
          </rPr>
          <t>Assume that there is no change for this since it takes the same time to pass over the field.</t>
        </r>
      </text>
    </comment>
    <comment ref="C44" authorId="0" shapeId="0">
      <text>
        <r>
          <rPr>
            <sz val="8"/>
            <color indexed="81"/>
            <rFont val="Tahoma"/>
            <family val="2"/>
          </rPr>
          <t>Assume this.</t>
        </r>
      </text>
    </comment>
    <comment ref="B47" authorId="0" shapeId="0">
      <text>
        <r>
          <rPr>
            <sz val="8"/>
            <color indexed="81"/>
            <rFont val="Tahoma"/>
            <family val="2"/>
          </rPr>
          <t>Assume that there is no change for this since it takes the same time to pass over the field.</t>
        </r>
      </text>
    </comment>
    <comment ref="C48" authorId="0" shapeId="0">
      <text>
        <r>
          <rPr>
            <sz val="8"/>
            <color indexed="81"/>
            <rFont val="Tahoma"/>
            <family val="2"/>
          </rPr>
          <t>Assume this.</t>
        </r>
      </text>
    </comment>
    <comment ref="C55" authorId="1" shapeId="0">
      <text>
        <r>
          <rPr>
            <sz val="8"/>
            <color indexed="81"/>
            <rFont val="Tahoma"/>
            <family val="2"/>
          </rPr>
          <t>Assume this is zero since transported by farm needing hay or haylage.</t>
        </r>
      </text>
    </comment>
    <comment ref="H55" authorId="1" shapeId="0">
      <text>
        <r>
          <rPr>
            <sz val="8"/>
            <color indexed="81"/>
            <rFont val="Tahoma"/>
            <family val="2"/>
          </rPr>
          <t>Assume no additional labor costs</t>
        </r>
      </text>
    </comment>
    <comment ref="C61" authorId="0" shapeId="0">
      <text>
        <r>
          <rPr>
            <sz val="8"/>
            <color indexed="81"/>
            <rFont val="Tahoma"/>
            <family val="2"/>
          </rPr>
          <t>Old value of 0.131836702413325</t>
        </r>
      </text>
    </comment>
    <comment ref="C65" authorId="0" shapeId="0">
      <text>
        <r>
          <rPr>
            <sz val="8"/>
            <color indexed="81"/>
            <rFont val="Tahoma"/>
            <family val="2"/>
          </rPr>
          <t>Assume do every 2 years for 2,4-D so divide by 2.</t>
        </r>
      </text>
    </comment>
    <comment ref="C67" authorId="2" shapeId="0">
      <text>
        <r>
          <rPr>
            <sz val="8"/>
            <color indexed="81"/>
            <rFont val="Tahoma"/>
            <family val="2"/>
          </rPr>
          <t>Assume this is 1.25 gal (small dairy for tead, rake, and bale) x (6 tons/2.7 tons) = 2.78 gal.  Old value of 3.37 gal.</t>
        </r>
      </text>
    </comment>
    <comment ref="B68" authorId="0" shapeId="0">
      <text>
        <r>
          <rPr>
            <sz val="8"/>
            <color indexed="81"/>
            <rFont val="Tahoma"/>
            <family val="2"/>
          </rPr>
          <t>Assume that there is no change for this since it takes the same time to pass over the field.</t>
        </r>
      </text>
    </comment>
    <comment ref="C71" authorId="2" shapeId="0">
      <text>
        <r>
          <rPr>
            <sz val="8"/>
            <color indexed="81"/>
            <rFont val="Tahoma"/>
            <family val="2"/>
          </rPr>
          <t>Assume this is zero.</t>
        </r>
      </text>
    </comment>
    <comment ref="C74" authorId="2" shapeId="0">
      <text>
        <r>
          <rPr>
            <sz val="8"/>
            <color indexed="81"/>
            <rFont val="Tahoma"/>
            <family val="2"/>
          </rPr>
          <t>Assume this is 90% of first cut since 10% of second cut is harvested as square bales.  Old value of 2.41 gal.</t>
        </r>
      </text>
    </comment>
    <comment ref="B75" authorId="0" shapeId="0">
      <text>
        <r>
          <rPr>
            <sz val="8"/>
            <color indexed="81"/>
            <rFont val="Tahoma"/>
            <family val="2"/>
          </rPr>
          <t>Assume that there is no change for this since it takes the same time to pass over the field.</t>
        </r>
      </text>
    </comment>
    <comment ref="C76" authorId="0" shapeId="0">
      <text>
        <r>
          <rPr>
            <sz val="8"/>
            <color indexed="81"/>
            <rFont val="Tahoma"/>
            <family val="2"/>
          </rPr>
          <t>Assume this is 90% of first cut since 10% of second cut is harvested as square bales.</t>
        </r>
      </text>
    </comment>
    <comment ref="C78" authorId="2" shapeId="0">
      <text>
        <r>
          <rPr>
            <sz val="8"/>
            <color indexed="81"/>
            <rFont val="Tahoma"/>
            <family val="2"/>
          </rPr>
          <t>Assume this is 10% of small dairy.  Old value of 0.05 gal.</t>
        </r>
      </text>
    </comment>
    <comment ref="C79" authorId="2" shapeId="0">
      <text>
        <r>
          <rPr>
            <sz val="8"/>
            <color indexed="81"/>
            <rFont val="Tahoma"/>
            <family val="2"/>
          </rPr>
          <t>Assume this is 10% of small dairy.  Old value of 0.05 gal.</t>
        </r>
      </text>
    </comment>
    <comment ref="C80" authorId="2" shapeId="0">
      <text>
        <r>
          <rPr>
            <sz val="8"/>
            <color indexed="81"/>
            <rFont val="Tahoma"/>
            <family val="2"/>
          </rPr>
          <t>Assume this is 10% of small dairy.  Old value of 0.16 gal.</t>
        </r>
      </text>
    </comment>
    <comment ref="B81" authorId="0" shapeId="0">
      <text>
        <r>
          <rPr>
            <sz val="8"/>
            <color indexed="81"/>
            <rFont val="Tahoma"/>
            <family val="2"/>
          </rPr>
          <t>Assume that there is no change for this since it takes the same time to pass over the field.</t>
        </r>
      </text>
    </comment>
    <comment ref="C82" authorId="0" shapeId="0">
      <text>
        <r>
          <rPr>
            <sz val="8"/>
            <color indexed="81"/>
            <rFont val="Tahoma"/>
            <family val="2"/>
          </rPr>
          <t>Assume this.</t>
        </r>
      </text>
    </comment>
    <comment ref="C84" authorId="2" shapeId="0">
      <text>
        <r>
          <rPr>
            <sz val="8"/>
            <color indexed="81"/>
            <rFont val="Tahoma"/>
            <family val="2"/>
          </rPr>
          <t>Assume this is 10% of small dairy.  Old value of 0.16 gal.</t>
        </r>
      </text>
    </comment>
    <comment ref="B85" authorId="0" shapeId="0">
      <text>
        <r>
          <rPr>
            <sz val="8"/>
            <color indexed="81"/>
            <rFont val="Tahoma"/>
            <family val="2"/>
          </rPr>
          <t>Assume that there is no change for this since it takes the same time to pass over the field.</t>
        </r>
      </text>
    </comment>
    <comment ref="C88" authorId="2" shapeId="0">
      <text>
        <r>
          <rPr>
            <sz val="8"/>
            <color indexed="81"/>
            <rFont val="Tahoma"/>
            <family val="2"/>
          </rPr>
          <t>Assume this is 10% of small dairy.  Old value of 0.08 gal.</t>
        </r>
      </text>
    </comment>
    <comment ref="C90" authorId="2" shapeId="0">
      <text>
        <r>
          <rPr>
            <sz val="8"/>
            <color indexed="81"/>
            <rFont val="Tahoma"/>
            <family val="2"/>
          </rPr>
          <t>Assume this is 10% of small dairy.  Old value of 0.08 gal.</t>
        </r>
      </text>
    </comment>
    <comment ref="C93" authorId="1" shapeId="0">
      <text>
        <r>
          <rPr>
            <sz val="8"/>
            <color indexed="81"/>
            <rFont val="Tahoma"/>
            <family val="2"/>
          </rPr>
          <t>Assume this is zero since transported by farm needing hay or haylage.</t>
        </r>
      </text>
    </comment>
    <comment ref="H93" authorId="1" shapeId="0">
      <text>
        <r>
          <rPr>
            <sz val="8"/>
            <color indexed="81"/>
            <rFont val="Tahoma"/>
            <family val="2"/>
          </rPr>
          <t>Assume no additional fuel costs</t>
        </r>
      </text>
    </comment>
    <comment ref="G96" authorId="2" shapeId="0">
      <text>
        <r>
          <rPr>
            <sz val="8"/>
            <color indexed="81"/>
            <rFont val="Tahoma"/>
            <family val="2"/>
          </rPr>
          <t>Assume this is zero.  Old value of $21.19/acre assumes  that this is in proportion to total equipment cost for haylage compared to grain corn (In rotation with potatoes).</t>
        </r>
      </text>
    </comment>
    <comment ref="G97" authorId="1" shapeId="0">
      <text>
        <r>
          <rPr>
            <sz val="8"/>
            <color indexed="81"/>
            <rFont val="Tahoma"/>
            <family val="2"/>
          </rPr>
          <t>Assume $10/acre of supplies</t>
        </r>
      </text>
    </comment>
    <comment ref="A98" authorId="2" shapeId="0">
      <text>
        <r>
          <rPr>
            <sz val="8"/>
            <color indexed="81"/>
            <rFont val="Tahoma"/>
            <family val="2"/>
          </rPr>
          <t>Assume no crop insurance</t>
        </r>
      </text>
    </comment>
    <comment ref="F98" authorId="1" shapeId="0">
      <text>
        <r>
          <rPr>
            <sz val="8"/>
            <color indexed="81"/>
            <rFont val="Tahoma"/>
            <family val="2"/>
          </rPr>
          <t>Assume same as enterprise budget for potatoes</t>
        </r>
      </text>
    </comment>
    <comment ref="H99" authorId="1" shapeId="0">
      <text>
        <r>
          <rPr>
            <sz val="8"/>
            <color indexed="81"/>
            <rFont val="Tahoma"/>
            <family val="2"/>
          </rPr>
          <t>Assume no additional insurance costs</t>
        </r>
      </text>
    </comment>
    <comment ref="G101" authorId="1" shapeId="0">
      <text>
        <r>
          <rPr>
            <b/>
            <sz val="8"/>
            <color indexed="81"/>
            <rFont val="Tahoma"/>
            <family val="2"/>
          </rPr>
          <t>Old value assumes $0/acre.  
Assume 12 months at $50 a month divided by 300 acre model for utilities for workshop.</t>
        </r>
      </text>
    </comment>
    <comment ref="G102" authorId="2" shapeId="0">
      <text>
        <r>
          <rPr>
            <sz val="8"/>
            <color indexed="81"/>
            <rFont val="Tahoma"/>
            <family val="2"/>
          </rPr>
          <t>Assume no custom hire</t>
        </r>
      </text>
    </comment>
    <comment ref="G105" authorId="0" shapeId="0">
      <text>
        <r>
          <rPr>
            <sz val="8"/>
            <color indexed="81"/>
            <rFont val="Tahoma"/>
            <family val="2"/>
          </rPr>
          <t>According to Andrew Plant, do this every 5 years on average and custom-hire for $15/acre.</t>
        </r>
      </text>
    </comment>
    <comment ref="G106" authorId="2" shapeId="0">
      <text>
        <r>
          <rPr>
            <sz val="8"/>
            <color indexed="81"/>
            <rFont val="Tahoma"/>
            <family val="2"/>
          </rPr>
          <t>Assume no freight and trucking</t>
        </r>
      </text>
    </comment>
    <comment ref="G107" authorId="1" shapeId="0">
      <text>
        <r>
          <rPr>
            <sz val="8"/>
            <color indexed="81"/>
            <rFont val="Tahoma"/>
            <family val="2"/>
          </rPr>
          <t xml:space="preserve">Assume this is $1/acre (Twine) adjusted for less used for dry hay.
</t>
        </r>
      </text>
    </comment>
    <comment ref="F109" authorId="0" shapeId="0">
      <text>
        <r>
          <rPr>
            <sz val="8"/>
            <color indexed="81"/>
            <rFont val="Tahoma"/>
            <family val="2"/>
          </rPr>
          <t>$3200 for 11,800 ft:
http://geneticseed.com/page.aspx?ID=494
Assume 16 feet of netting needed to surround bale. P= 2(pi)r = 2(pi)(2.5) = 15.7 ft.</t>
        </r>
      </text>
    </comment>
    <comment ref="F110" authorId="0" shapeId="0">
      <text>
        <r>
          <rPr>
            <sz val="8"/>
            <color indexed="81"/>
            <rFont val="Tahoma"/>
            <family val="2"/>
          </rPr>
          <t xml:space="preserve">http://www.bridoncordage.com/calculator.html
Twine Cost Calculator 
Big Square $0.82 
Big Round $0.86 
3-Tie $0.11 
Small Square $0.07
</t>
        </r>
      </text>
    </comment>
    <comment ref="F111" authorId="0" shapeId="0">
      <text>
        <r>
          <rPr>
            <sz val="8"/>
            <color indexed="81"/>
            <rFont val="Tahoma"/>
            <family val="2"/>
          </rPr>
          <t xml:space="preserve">http://www.bridoncordage.com/calculator.html
Twine Cost Calculator 
Big Square $0.82 
Big Round $0.86 
3-Tie $0.11 
Small Square $0.07
</t>
        </r>
      </text>
    </comment>
    <comment ref="B112" authorId="0" shapeId="0">
      <text>
        <r>
          <rPr>
            <sz val="8"/>
            <color indexed="81"/>
            <rFont val="Tahoma"/>
            <family val="2"/>
          </rPr>
          <t>Assume there is no additional cost of covering or housing crop in storage.</t>
        </r>
      </text>
    </comment>
    <comment ref="B113" authorId="0" shapeId="0">
      <text>
        <r>
          <rPr>
            <sz val="8"/>
            <color indexed="81"/>
            <rFont val="Tahoma"/>
            <family val="2"/>
          </rPr>
          <t>Assume there is no additional cost of covering or housing crop in storage.</t>
        </r>
      </text>
    </comment>
    <comment ref="G114" authorId="1" shapeId="0">
      <text>
        <r>
          <rPr>
            <sz val="8"/>
            <color indexed="81"/>
            <rFont val="Tahoma"/>
            <family val="2"/>
          </rPr>
          <t>Assume this is $5/acre</t>
        </r>
      </text>
    </comment>
    <comment ref="A115" authorId="2" shapeId="0">
      <text>
        <r>
          <rPr>
            <sz val="8"/>
            <color indexed="81"/>
            <rFont val="Tahoma"/>
            <family val="2"/>
          </rPr>
          <t>Assume no promotion tax for hay</t>
        </r>
      </text>
    </comment>
  </commentList>
</comments>
</file>

<file path=xl/comments49.xml><?xml version="1.0" encoding="utf-8"?>
<comments xmlns="http://schemas.openxmlformats.org/spreadsheetml/2006/main">
  <authors>
    <author>REP</author>
    <author>aaron hoshide</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0" authorId="1" shapeId="0">
      <text>
        <r>
          <rPr>
            <sz val="8"/>
            <color indexed="81"/>
            <rFont val="Tahoma"/>
            <family val="2"/>
          </rPr>
          <t>Use for both potatoes and haylage</t>
        </r>
      </text>
    </comment>
    <comment ref="D10" authorId="0" shapeId="0">
      <text>
        <r>
          <rPr>
            <sz val="8"/>
            <color indexed="81"/>
            <rFont val="Tahoma"/>
            <family val="2"/>
          </rPr>
          <t>Assume worth $80,000</t>
        </r>
      </text>
    </comment>
    <comment ref="C11" authorId="1" shapeId="0">
      <text>
        <r>
          <rPr>
            <sz val="8"/>
            <color indexed="81"/>
            <rFont val="Tahoma"/>
            <family val="2"/>
          </rPr>
          <t>Use for both potatoes and dry hay</t>
        </r>
      </text>
    </comment>
    <comment ref="D11" authorId="0" shapeId="0">
      <text>
        <r>
          <rPr>
            <sz val="8"/>
            <color indexed="81"/>
            <rFont val="Tahoma"/>
            <family val="2"/>
          </rPr>
          <t>Assume worth $10,000</t>
        </r>
      </text>
    </comment>
    <comment ref="C14" authorId="1" shapeId="0">
      <text>
        <r>
          <rPr>
            <sz val="8"/>
            <color indexed="81"/>
            <rFont val="Tahoma"/>
            <family val="2"/>
          </rPr>
          <t>Use for all crops except for sudan grass</t>
        </r>
      </text>
    </comment>
    <comment ref="D14" authorId="0" shapeId="0">
      <text>
        <r>
          <rPr>
            <sz val="8"/>
            <color indexed="81"/>
            <rFont val="Tahoma"/>
            <family val="2"/>
          </rPr>
          <t>Assume worth $28,000</t>
        </r>
      </text>
    </comment>
    <comment ref="C17" authorId="1"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$15,800</t>
        </r>
      </text>
    </comment>
    <comment ref="C18" authorId="1" shapeId="0">
      <text>
        <r>
          <rPr>
            <sz val="8"/>
            <color indexed="81"/>
            <rFont val="Tahoma"/>
            <family val="2"/>
          </rPr>
          <t>Use for all crops except pasture and clover (assumed underseeded in small grain year).</t>
        </r>
      </text>
    </comment>
    <comment ref="D18" authorId="0" shapeId="0">
      <text>
        <r>
          <rPr>
            <sz val="8"/>
            <color indexed="81"/>
            <rFont val="Tahoma"/>
            <family val="2"/>
          </rPr>
          <t>Assume worth $12,000</t>
        </r>
      </text>
    </comment>
    <comment ref="C19" authorId="1" shapeId="0">
      <text>
        <r>
          <rPr>
            <sz val="8"/>
            <color indexed="81"/>
            <rFont val="Tahoma"/>
            <family val="2"/>
          </rPr>
          <t>Use for all crops except pasture and clover (assumed underseeded in small grain year).</t>
        </r>
      </text>
    </comment>
    <comment ref="D19" authorId="0" shapeId="0">
      <text>
        <r>
          <rPr>
            <sz val="8"/>
            <color indexed="81"/>
            <rFont val="Tahoma"/>
            <family val="2"/>
          </rPr>
          <t>Assume worth $17,500</t>
        </r>
      </text>
    </comment>
    <comment ref="C22" authorId="1" shapeId="0">
      <text>
        <r>
          <rPr>
            <sz val="8"/>
            <color indexed="81"/>
            <rFont val="Tahoma"/>
            <family val="2"/>
          </rPr>
          <t>Use for all crops except soybeans</t>
        </r>
      </text>
    </comment>
    <comment ref="D22" authorId="1" shapeId="0">
      <text>
        <r>
          <rPr>
            <sz val="8"/>
            <color indexed="81"/>
            <rFont val="Tahoma"/>
            <family val="2"/>
          </rPr>
          <t>Same as conventional large dairy ($3000)</t>
        </r>
      </text>
    </comment>
    <comment ref="C23" authorId="2" shapeId="0">
      <text>
        <r>
          <rPr>
            <sz val="8"/>
            <color indexed="81"/>
            <rFont val="Tahoma"/>
            <family val="2"/>
          </rPr>
          <t>Use for alfalfa, haylage, dry hay, and canola.</t>
        </r>
      </text>
    </comment>
    <comment ref="C26" authorId="0" shapeId="0">
      <text>
        <r>
          <rPr>
            <sz val="8"/>
            <color indexed="81"/>
            <rFont val="Tahoma"/>
            <family val="2"/>
          </rPr>
          <t>Use for all crops except pasture and clover (assumed underseeded in small grain year).</t>
        </r>
      </text>
    </comment>
    <comment ref="D26" authorId="0" shapeId="0">
      <text>
        <r>
          <rPr>
            <sz val="8"/>
            <color indexed="81"/>
            <rFont val="Tahoma"/>
            <family val="2"/>
          </rPr>
          <t>Assume worth $24,500</t>
        </r>
      </text>
    </comment>
    <comment ref="C29" authorId="1" shapeId="0">
      <text>
        <r>
          <rPr>
            <sz val="8"/>
            <color indexed="81"/>
            <rFont val="Tahoma"/>
            <family val="2"/>
          </rPr>
          <t>Use for alfalfa and haylage</t>
        </r>
      </text>
    </comment>
    <comment ref="D29" authorId="1" shapeId="0">
      <text>
        <r>
          <rPr>
            <sz val="8"/>
            <color indexed="81"/>
            <rFont val="Tahoma"/>
            <family val="2"/>
          </rPr>
          <t>Assume $15,000 for mower-conditioner</t>
        </r>
      </text>
    </comment>
    <comment ref="C30" authorId="1" shapeId="0">
      <text>
        <r>
          <rPr>
            <sz val="8"/>
            <color indexed="81"/>
            <rFont val="Tahoma"/>
            <family val="2"/>
          </rPr>
          <t>Use for both corn silage and haylage</t>
        </r>
      </text>
    </comment>
    <comment ref="D30" authorId="0" shapeId="0">
      <text>
        <r>
          <rPr>
            <sz val="8"/>
            <color indexed="81"/>
            <rFont val="Tahoma"/>
            <family val="2"/>
          </rPr>
          <t>Assume $20,000 for chopper</t>
        </r>
      </text>
    </comment>
    <comment ref="C31" authorId="1" shapeId="0">
      <text>
        <r>
          <rPr>
            <sz val="8"/>
            <color indexed="81"/>
            <rFont val="Tahoma"/>
            <family val="2"/>
          </rPr>
          <t>Use for alfalfa, corn silage, and haylage</t>
        </r>
      </text>
    </comment>
    <comment ref="D31" authorId="0" shapeId="0">
      <text>
        <r>
          <rPr>
            <sz val="8"/>
            <color indexed="81"/>
            <rFont val="Tahoma"/>
            <family val="2"/>
          </rPr>
          <t>Assume $20,000 for chopper</t>
        </r>
      </text>
    </comment>
    <comment ref="D32" authorId="2" shapeId="0">
      <text>
        <r>
          <rPr>
            <sz val="8"/>
            <color indexed="81"/>
            <rFont val="Tahoma"/>
            <family val="2"/>
          </rPr>
          <t>Assume worth $3000.</t>
        </r>
      </text>
    </comment>
    <comment ref="D33" authorId="1" shapeId="0">
      <text>
        <r>
          <rPr>
            <sz val="8"/>
            <color indexed="81"/>
            <rFont val="Tahoma"/>
            <family val="2"/>
          </rPr>
          <t>Assume worth $1000.</t>
        </r>
      </text>
    </comment>
    <comment ref="B34" authorId="2" shapeId="0">
      <text>
        <r>
          <rPr>
            <sz val="8"/>
            <color indexed="81"/>
            <rFont val="Tahoma"/>
            <family val="2"/>
          </rPr>
          <t>Assume this is zero since just use square baler.</t>
        </r>
      </text>
    </comment>
    <comment ref="C38" authorId="0" shapeId="0">
      <text>
        <r>
          <rPr>
            <sz val="8"/>
            <color indexed="81"/>
            <rFont val="Tahoma"/>
            <family val="2"/>
          </rPr>
          <t>Use for all crops</t>
        </r>
      </text>
    </comment>
    <comment ref="D38" authorId="0" shapeId="0">
      <text>
        <r>
          <rPr>
            <sz val="8"/>
            <color indexed="81"/>
            <rFont val="Tahoma"/>
            <family val="2"/>
          </rPr>
          <t>Assume worth $100</t>
        </r>
      </text>
    </comment>
    <comment ref="C39" authorId="0" shapeId="0">
      <text>
        <r>
          <rPr>
            <sz val="8"/>
            <color indexed="81"/>
            <rFont val="Tahoma"/>
            <family val="2"/>
          </rPr>
          <t>Use for all crops</t>
        </r>
      </text>
    </comment>
    <comment ref="D39" authorId="0" shapeId="0">
      <text>
        <r>
          <rPr>
            <sz val="8"/>
            <color indexed="81"/>
            <rFont val="Tahoma"/>
            <family val="2"/>
          </rPr>
          <t>Assume worth $1000</t>
        </r>
      </text>
    </comment>
    <comment ref="C44" authorId="1" shapeId="0">
      <text>
        <r>
          <rPr>
            <sz val="8"/>
            <color indexed="81"/>
            <rFont val="Tahoma"/>
            <family val="2"/>
          </rPr>
          <t>Use for all crops</t>
        </r>
      </text>
    </comment>
    <comment ref="D44" authorId="0" shapeId="0">
      <text>
        <r>
          <rPr>
            <sz val="8"/>
            <color indexed="81"/>
            <rFont val="Tahoma"/>
            <family val="2"/>
          </rPr>
          <t>Assume worth $128,000</t>
        </r>
      </text>
    </comment>
  </commentList>
</comments>
</file>

<file path=xl/comments5.xml><?xml version="1.0" encoding="utf-8"?>
<comments xmlns="http://schemas.openxmlformats.org/spreadsheetml/2006/main">
  <authors>
    <author>Sensei</author>
    <author xml:space="preserve"> </author>
  </authors>
  <commentList>
    <comment ref="C8" authorId="0" shapeId="0">
      <text>
        <r>
          <rPr>
            <b/>
            <sz val="9"/>
            <color indexed="81"/>
            <rFont val="Tahoma"/>
            <charset val="1"/>
          </rPr>
          <t>Default:
=(FM!$F$5*(1/0.239808153477218))+(FM!$F$6*(1/0.239808153477218))+(FM!$F$7*(1/0.179856115107914))
4.17 for S &amp; M
5.56 for L</t>
        </r>
      </text>
    </comment>
    <comment ref="D8" authorId="0" shapeId="0">
      <text>
        <r>
          <rPr>
            <b/>
            <sz val="9"/>
            <color indexed="81"/>
            <rFont val="Tahoma"/>
            <charset val="1"/>
          </rPr>
          <t>Default:
=(FM!$F$5*(1/0.239808153477218))+(FM!$F$6*(1/0.239808153477218))+(FM!$F$7*(1/0.179856115107914))
4.17 for S &amp; M
5.56 for L</t>
        </r>
      </text>
    </comment>
    <comment ref="E8" authorId="0" shapeId="0">
      <text>
        <r>
          <rPr>
            <b/>
            <sz val="9"/>
            <color indexed="81"/>
            <rFont val="Tahoma"/>
            <charset val="1"/>
          </rPr>
          <t>Default:
=(FM!$F$5*(1/0.239808153477218))+(FM!$F$6*(1/0.239808153477218))+(FM!$F$7*(1/0.179856115107914))
4.17 for S &amp; M
5.56 for L</t>
        </r>
      </text>
    </comment>
    <comment ref="F8" authorId="0" shapeId="0">
      <text>
        <r>
          <rPr>
            <b/>
            <sz val="9"/>
            <color indexed="81"/>
            <rFont val="Tahoma"/>
            <charset val="1"/>
          </rPr>
          <t>Default:
=(FM!$F$5*(1/0.239808153477218))+(FM!$F$6*(1/0.239808153477218))+(FM!$F$7*(1/0.179856115107914))
4.17 for S &amp; M
5.56 for L</t>
        </r>
      </text>
    </comment>
    <comment ref="G8" authorId="0" shapeId="0">
      <text>
        <r>
          <rPr>
            <b/>
            <sz val="9"/>
            <color indexed="81"/>
            <rFont val="Tahoma"/>
            <charset val="1"/>
          </rPr>
          <t>Default:
=(FM!$F$5*(1/0.239808153477218))+(FM!$F$6*(1/0.239808153477218))+(FM!$F$7*(1/0.179856115107914))
4.17 for S &amp; M
5.56 for L</t>
        </r>
      </text>
    </comment>
    <comment ref="H8" authorId="0" shapeId="0">
      <text>
        <r>
          <rPr>
            <b/>
            <sz val="9"/>
            <color indexed="81"/>
            <rFont val="Tahoma"/>
            <charset val="1"/>
          </rPr>
          <t>Default:
=(FM!$F$5*(1/0.239808153477218))+(FM!$F$6*(1/0.239808153477218))+(FM!$F$7*(1/0.179856115107914))
4.17 for S &amp; M
5.56 for L</t>
        </r>
      </text>
    </comment>
    <comment ref="I8" authorId="0" shapeId="0">
      <text>
        <r>
          <rPr>
            <b/>
            <sz val="9"/>
            <color indexed="81"/>
            <rFont val="Tahoma"/>
            <charset val="1"/>
          </rPr>
          <t>Default:
=(FM!$F$5*(1/0.239808153477218))+(FM!$F$6*(1/0.239808153477218))+(FM!$F$7*(1/0.179856115107914))
4.17 for S &amp; M
5.56 for L</t>
        </r>
      </text>
    </comment>
    <comment ref="J8" authorId="0" shapeId="0">
      <text>
        <r>
          <rPr>
            <b/>
            <sz val="9"/>
            <color indexed="81"/>
            <rFont val="Tahoma"/>
            <charset val="1"/>
          </rPr>
          <t>Default:
=(FM!$F$5*(1/0.239808153477218))+(FM!$F$6*(1/0.239808153477218))+(FM!$F$7*(1/0.179856115107914))
4.17 for S &amp; M
5.56 for L</t>
        </r>
      </text>
    </comment>
    <comment ref="K8" authorId="0" shapeId="0">
      <text>
        <r>
          <rPr>
            <b/>
            <sz val="9"/>
            <color indexed="81"/>
            <rFont val="Tahoma"/>
            <charset val="1"/>
          </rPr>
          <t>Default:
=(FM!$F$5*(1/0.239808153477218))+(FM!$F$6*(1/0.239808153477218))+(FM!$F$7*(1/0.179856115107914))
4.17 for S &amp; M
5.56 for L</t>
        </r>
      </text>
    </comment>
    <comment ref="L8" authorId="0" shapeId="0">
      <text>
        <r>
          <rPr>
            <b/>
            <sz val="9"/>
            <color indexed="81"/>
            <rFont val="Tahoma"/>
            <charset val="1"/>
          </rPr>
          <t>Default:
=(FM!$F$5*(1/0.239808153477218))+(FM!$F$6*(1/0.239808153477218))+(FM!$F$7*(1/0.179856115107914))
4.17 for S &amp; M
5.56 for L</t>
        </r>
      </text>
    </comment>
    <comment ref="C9" authorId="0" shapeId="0">
      <text>
        <r>
          <rPr>
            <b/>
            <sz val="9"/>
            <color indexed="81"/>
            <rFont val="Tahoma"/>
            <charset val="1"/>
          </rPr>
          <t>Default:
=1/0.25
4</t>
        </r>
      </text>
    </comment>
    <comment ref="D9" authorId="0" shapeId="0">
      <text>
        <r>
          <rPr>
            <b/>
            <sz val="9"/>
            <color indexed="81"/>
            <rFont val="Tahoma"/>
            <charset val="1"/>
          </rPr>
          <t>Default:
=1/0.25
4</t>
        </r>
      </text>
    </comment>
    <comment ref="E9" authorId="0" shapeId="0">
      <text>
        <r>
          <rPr>
            <b/>
            <sz val="9"/>
            <color indexed="81"/>
            <rFont val="Tahoma"/>
            <charset val="1"/>
          </rPr>
          <t>Default:
=1/0.25
4</t>
        </r>
      </text>
    </comment>
    <comment ref="F9" authorId="0" shapeId="0">
      <text>
        <r>
          <rPr>
            <b/>
            <sz val="9"/>
            <color indexed="81"/>
            <rFont val="Tahoma"/>
            <charset val="1"/>
          </rPr>
          <t>Default:
=1/0.25
4</t>
        </r>
      </text>
    </comment>
    <comment ref="G9" authorId="0" shapeId="0">
      <text>
        <r>
          <rPr>
            <b/>
            <sz val="9"/>
            <color indexed="81"/>
            <rFont val="Tahoma"/>
            <charset val="1"/>
          </rPr>
          <t>Default:
=1/0.25
4</t>
        </r>
      </text>
    </comment>
    <comment ref="H9" authorId="0" shapeId="0">
      <text>
        <r>
          <rPr>
            <b/>
            <sz val="9"/>
            <color indexed="81"/>
            <rFont val="Tahoma"/>
            <charset val="1"/>
          </rPr>
          <t>Default:
=1/0.25
4</t>
        </r>
      </text>
    </comment>
    <comment ref="I9" authorId="0" shapeId="0">
      <text>
        <r>
          <rPr>
            <b/>
            <sz val="9"/>
            <color indexed="81"/>
            <rFont val="Tahoma"/>
            <charset val="1"/>
          </rPr>
          <t>Default:
=1/0.25
4</t>
        </r>
      </text>
    </comment>
    <comment ref="J9" authorId="0" shapeId="0">
      <text>
        <r>
          <rPr>
            <b/>
            <sz val="9"/>
            <color indexed="81"/>
            <rFont val="Tahoma"/>
            <charset val="1"/>
          </rPr>
          <t>Default:
=1/0.25
4</t>
        </r>
      </text>
    </comment>
    <comment ref="K9" authorId="0" shapeId="0">
      <text>
        <r>
          <rPr>
            <b/>
            <sz val="9"/>
            <color indexed="81"/>
            <rFont val="Tahoma"/>
            <charset val="1"/>
          </rPr>
          <t>Default:
=1/0.25
4</t>
        </r>
      </text>
    </comment>
    <comment ref="L9" authorId="0" shapeId="0">
      <text>
        <r>
          <rPr>
            <b/>
            <sz val="9"/>
            <color indexed="81"/>
            <rFont val="Tahoma"/>
            <charset val="1"/>
          </rPr>
          <t>Default:
=1/0.25
4</t>
        </r>
      </text>
    </comment>
    <comment ref="C10" authorId="0" shapeId="0">
      <text>
        <r>
          <rPr>
            <b/>
            <sz val="9"/>
            <color indexed="81"/>
            <rFont val="Tahoma"/>
            <charset val="1"/>
          </rPr>
          <t>Default:
=(FRM!$F$4*(1/0.117647058823529))+(FRM!$F$5*(1/0.117647058823529))+(FRM!$F$6*(1/0.0767459708365311))
8.5 for S &amp; M
13.03 for L</t>
        </r>
      </text>
    </comment>
    <comment ref="D10" authorId="0" shapeId="0">
      <text>
        <r>
          <rPr>
            <b/>
            <sz val="9"/>
            <color indexed="81"/>
            <rFont val="Tahoma"/>
            <charset val="1"/>
          </rPr>
          <t>Default:
=(FRM!$F$4*(1/0.117647058823529))+(FRM!$F$5*(1/0.117647058823529))+(FRM!$F$6*(1/0.0767459708365311))
8.5 for S &amp; M
13.03 for L</t>
        </r>
      </text>
    </comment>
    <comment ref="E10" authorId="0" shapeId="0">
      <text>
        <r>
          <rPr>
            <b/>
            <sz val="9"/>
            <color indexed="81"/>
            <rFont val="Tahoma"/>
            <charset val="1"/>
          </rPr>
          <t>Default:
=(FRM!$F$4*(1/0.117647058823529))+(FRM!$F$5*(1/0.117647058823529))+(FRM!$F$6*(1/0.0767459708365311))
8.5 for S &amp; M
13.03 for L</t>
        </r>
      </text>
    </comment>
    <comment ref="F10" authorId="0" shapeId="0">
      <text>
        <r>
          <rPr>
            <b/>
            <sz val="9"/>
            <color indexed="81"/>
            <rFont val="Tahoma"/>
            <charset val="1"/>
          </rPr>
          <t>Default:
=(FRM!$F$4*(1/0.117647058823529))+(FRM!$F$5*(1/0.117647058823529))+(FRM!$F$6*(1/0.0767459708365311))
8.5 for S &amp; M
13.03 for L</t>
        </r>
      </text>
    </comment>
    <comment ref="G10" authorId="0" shapeId="0">
      <text>
        <r>
          <rPr>
            <b/>
            <sz val="9"/>
            <color indexed="81"/>
            <rFont val="Tahoma"/>
            <charset val="1"/>
          </rPr>
          <t>Default:
=(FRM!$F$4*(1/0.117647058823529))+(FRM!$F$5*(1/0.117647058823529))+(FRM!$F$6*(1/0.0767459708365311))
8.5 for S &amp; M
13.03 for L</t>
        </r>
      </text>
    </comment>
    <comment ref="H10" authorId="0" shapeId="0">
      <text>
        <r>
          <rPr>
            <b/>
            <sz val="9"/>
            <color indexed="81"/>
            <rFont val="Tahoma"/>
            <charset val="1"/>
          </rPr>
          <t>Default:
=(FRM!$F$4*(1/0.117647058823529))+(FRM!$F$5*(1/0.117647058823529))+(FRM!$F$6*(1/0.0767459708365311))
8.5 for S &amp; M
13.03 for L</t>
        </r>
      </text>
    </comment>
    <comment ref="I10" authorId="0" shapeId="0">
      <text>
        <r>
          <rPr>
            <b/>
            <sz val="9"/>
            <color indexed="81"/>
            <rFont val="Tahoma"/>
            <charset val="1"/>
          </rPr>
          <t>Default:
=(FRM!$F$4*(1/0.117647058823529))+(FRM!$F$5*(1/0.117647058823529))+(FRM!$F$6*(1/0.0767459708365311))
8.5 for S &amp; M
13.03 for L</t>
        </r>
      </text>
    </comment>
    <comment ref="J10" authorId="0" shapeId="0">
      <text>
        <r>
          <rPr>
            <b/>
            <sz val="9"/>
            <color indexed="81"/>
            <rFont val="Tahoma"/>
            <charset val="1"/>
          </rPr>
          <t>Default:
=(FRM!$F$4*(1/0.117647058823529))+(FRM!$F$5*(1/0.117647058823529))+(FRM!$F$6*(1/0.0767459708365311))
8.5 for S &amp; M
13.03 for L</t>
        </r>
      </text>
    </comment>
    <comment ref="K10" authorId="0" shapeId="0">
      <text>
        <r>
          <rPr>
            <b/>
            <sz val="9"/>
            <color indexed="81"/>
            <rFont val="Tahoma"/>
            <charset val="1"/>
          </rPr>
          <t>Default:
=(FRM!$F$4*(1/0.117647058823529))+(FRM!$F$5*(1/0.117647058823529))+(FRM!$F$6*(1/0.0767459708365311))
8.5 for S &amp; M
13.03 for L</t>
        </r>
      </text>
    </comment>
    <comment ref="L10" authorId="0" shapeId="0">
      <text>
        <r>
          <rPr>
            <b/>
            <sz val="9"/>
            <color indexed="81"/>
            <rFont val="Tahoma"/>
            <charset val="1"/>
          </rPr>
          <t>Default:
=(FRM!$F$4*(1/0.117647058823529))+(FRM!$F$5*(1/0.117647058823529))+(FRM!$F$6*(1/0.0767459708365311))
8.5 for S &amp; M
13.03 for L</t>
        </r>
      </text>
    </comment>
    <comment ref="C11" authorId="0" shapeId="0">
      <text>
        <r>
          <rPr>
            <b/>
            <sz val="9"/>
            <color indexed="81"/>
            <rFont val="Tahoma"/>
            <charset val="1"/>
          </rPr>
          <t>Default:
=(FRM!$F$4*(1/0.0818330605564648))+(FRM!$F$5*(1/0.0818330605564648))+(FRM!$F$6*(1/0.0573065902578797))
12.22 for S &amp; M
17.45 for L</t>
        </r>
      </text>
    </comment>
    <comment ref="D11" authorId="0" shapeId="0">
      <text>
        <r>
          <rPr>
            <b/>
            <sz val="9"/>
            <color indexed="81"/>
            <rFont val="Tahoma"/>
            <charset val="1"/>
          </rPr>
          <t>Default:
=(FRM!$F$4*(1/0.0818330605564648))+(FRM!$F$5*(1/0.0818330605564648))+(FRM!$F$6*(1/0.0573065902578797))
12.22 for S &amp; M
17.45 for L</t>
        </r>
      </text>
    </comment>
    <comment ref="E11" authorId="0" shapeId="0">
      <text>
        <r>
          <rPr>
            <b/>
            <sz val="9"/>
            <color indexed="81"/>
            <rFont val="Tahoma"/>
            <charset val="1"/>
          </rPr>
          <t>Default:
=(FRM!$F$4*(1/0.0818330605564648))+(FRM!$F$5*(1/0.0818330605564648))+(FRM!$F$6*(1/0.0573065902578797))
12.22 for S &amp; M
17.45 for L</t>
        </r>
      </text>
    </comment>
    <comment ref="F11" authorId="0" shapeId="0">
      <text>
        <r>
          <rPr>
            <b/>
            <sz val="9"/>
            <color indexed="81"/>
            <rFont val="Tahoma"/>
            <charset val="1"/>
          </rPr>
          <t>Default:
=(FRM!$F$4*(1/0.0818330605564648))+(FRM!$F$5*(1/0.0818330605564648))+(FRM!$F$6*(1/0.0573065902578797))
12.22 for S &amp; M
17.45 for L</t>
        </r>
      </text>
    </comment>
    <comment ref="G11" authorId="0" shapeId="0">
      <text>
        <r>
          <rPr>
            <b/>
            <sz val="9"/>
            <color indexed="81"/>
            <rFont val="Tahoma"/>
            <charset val="1"/>
          </rPr>
          <t>Default:
=(FRM!$F$4*(1/0.0818330605564648))+(FRM!$F$5*(1/0.0818330605564648))+(FRM!$F$6*(1/0.0573065902578797))
12.22 for S &amp; M
17.45 for L</t>
        </r>
      </text>
    </comment>
    <comment ref="H11" authorId="0" shapeId="0">
      <text>
        <r>
          <rPr>
            <b/>
            <sz val="9"/>
            <color indexed="81"/>
            <rFont val="Tahoma"/>
            <charset val="1"/>
          </rPr>
          <t>Default:
=(FRM!$F$4*(1/0.0818330605564648))+(FRM!$F$5*(1/0.0818330605564648))+(FRM!$F$6*(1/0.0573065902578797))
12.22 for S &amp; M
17.45 for L</t>
        </r>
      </text>
    </comment>
    <comment ref="I11" authorId="0" shapeId="0">
      <text>
        <r>
          <rPr>
            <b/>
            <sz val="9"/>
            <color indexed="81"/>
            <rFont val="Tahoma"/>
            <charset val="1"/>
          </rPr>
          <t>Default:
=(FRM!$F$4*(1/0.0818330605564648))+(FRM!$F$5*(1/0.0818330605564648))+(FRM!$F$6*(1/0.0573065902578797))
12.22 for S &amp; M
17.45 for L</t>
        </r>
      </text>
    </comment>
    <comment ref="J11" authorId="0" shapeId="0">
      <text>
        <r>
          <rPr>
            <b/>
            <sz val="9"/>
            <color indexed="81"/>
            <rFont val="Tahoma"/>
            <charset val="1"/>
          </rPr>
          <t>Default:
=(FRM!$F$4*(1/0.0818330605564648))+(FRM!$F$5*(1/0.0818330605564648))+(FRM!$F$6*(1/0.0573065902578797))
12.22 for S &amp; M
17.45 for L</t>
        </r>
      </text>
    </comment>
    <comment ref="K11" authorId="0" shapeId="0">
      <text>
        <r>
          <rPr>
            <b/>
            <sz val="9"/>
            <color indexed="81"/>
            <rFont val="Tahoma"/>
            <charset val="1"/>
          </rPr>
          <t>Default:
=(FRM!$F$4*(1/0.0818330605564648))+(FRM!$F$5*(1/0.0818330605564648))+(FRM!$F$6*(1/0.0573065902578797))
12.22 for S &amp; M
17.45 for L</t>
        </r>
      </text>
    </comment>
    <comment ref="L11" authorId="0" shapeId="0">
      <text>
        <r>
          <rPr>
            <b/>
            <sz val="9"/>
            <color indexed="81"/>
            <rFont val="Tahoma"/>
            <charset val="1"/>
          </rPr>
          <t>Default:
=(FRM!$F$4*(1/0.0818330605564648))+(FRM!$F$5*(1/0.0818330605564648))+(FRM!$F$6*(1/0.0573065902578797))
12.22 for S &amp; M
17.45 for L</t>
        </r>
      </text>
    </comment>
    <comment ref="C12" authorId="0" shapeId="0">
      <text>
        <r>
          <rPr>
            <b/>
            <sz val="9"/>
            <color indexed="81"/>
            <rFont val="Tahoma"/>
            <charset val="1"/>
          </rPr>
          <t>Default:
=1/0.0770416024653313
12.98</t>
        </r>
      </text>
    </comment>
    <comment ref="D12" authorId="0" shapeId="0">
      <text>
        <r>
          <rPr>
            <b/>
            <sz val="9"/>
            <color indexed="81"/>
            <rFont val="Tahoma"/>
            <charset val="1"/>
          </rPr>
          <t>Default:
=1/0.0770416024653313
12.98</t>
        </r>
      </text>
    </comment>
    <comment ref="E12" authorId="0" shapeId="0">
      <text>
        <r>
          <rPr>
            <b/>
            <sz val="9"/>
            <color indexed="81"/>
            <rFont val="Tahoma"/>
            <charset val="1"/>
          </rPr>
          <t>Default:
=1/0.0770416024653313
12.98</t>
        </r>
      </text>
    </comment>
    <comment ref="F12" authorId="0" shapeId="0">
      <text>
        <r>
          <rPr>
            <b/>
            <sz val="9"/>
            <color indexed="81"/>
            <rFont val="Tahoma"/>
            <charset val="1"/>
          </rPr>
          <t>Default:
=1/0.0770416024653313
12.98</t>
        </r>
      </text>
    </comment>
    <comment ref="G12" authorId="0" shapeId="0">
      <text>
        <r>
          <rPr>
            <b/>
            <sz val="9"/>
            <color indexed="81"/>
            <rFont val="Tahoma"/>
            <charset val="1"/>
          </rPr>
          <t>Default:
=1/0.0770416024653313
12.98</t>
        </r>
      </text>
    </comment>
    <comment ref="H12" authorId="0" shapeId="0">
      <text>
        <r>
          <rPr>
            <b/>
            <sz val="9"/>
            <color indexed="81"/>
            <rFont val="Tahoma"/>
            <charset val="1"/>
          </rPr>
          <t>Default:
=1/0.0770416024653313
12.98</t>
        </r>
      </text>
    </comment>
    <comment ref="I12" authorId="0" shapeId="0">
      <text>
        <r>
          <rPr>
            <b/>
            <sz val="9"/>
            <color indexed="81"/>
            <rFont val="Tahoma"/>
            <charset val="1"/>
          </rPr>
          <t>Default:
=1/0.0770416024653313
12.98</t>
        </r>
      </text>
    </comment>
    <comment ref="J12" authorId="0" shapeId="0">
      <text>
        <r>
          <rPr>
            <b/>
            <sz val="9"/>
            <color indexed="81"/>
            <rFont val="Tahoma"/>
            <charset val="1"/>
          </rPr>
          <t>Default:
=1/0.0770416024653313
12.98</t>
        </r>
      </text>
    </comment>
    <comment ref="K12" authorId="0" shapeId="0">
      <text>
        <r>
          <rPr>
            <b/>
            <sz val="9"/>
            <color indexed="81"/>
            <rFont val="Tahoma"/>
            <charset val="1"/>
          </rPr>
          <t>Default:
=1/0.0770416024653313
12.98</t>
        </r>
      </text>
    </comment>
    <comment ref="L12" authorId="0" shapeId="0">
      <text>
        <r>
          <rPr>
            <b/>
            <sz val="9"/>
            <color indexed="81"/>
            <rFont val="Tahoma"/>
            <charset val="1"/>
          </rPr>
          <t>Default:
=1/0.0770416024653313
12.98</t>
        </r>
      </text>
    </comment>
    <comment ref="C13" authorId="0" shapeId="0">
      <text>
        <r>
          <rPr>
            <b/>
            <sz val="9"/>
            <color indexed="81"/>
            <rFont val="Tahoma"/>
            <charset val="1"/>
          </rPr>
          <t>Default:
=(FRM!$F$4*(1/0.147275405007364))+(FRM!$F$5*(1/0.0942507068803016))+(FRM!$F$6*(1/0.0785545954438335))
6.79 for S 
10.61 for M
12.73 for L</t>
        </r>
      </text>
    </comment>
    <comment ref="D13" authorId="0" shapeId="0">
      <text>
        <r>
          <rPr>
            <b/>
            <sz val="9"/>
            <color indexed="81"/>
            <rFont val="Tahoma"/>
            <charset val="1"/>
          </rPr>
          <t>Default:
=(FRM!$F$4*(1/0.147275405007364))+(FRM!$F$5*(1/0.0942507068803016))+(FRM!$F$6*(1/0.0785545954438335))
6.79 for S 
10.61 for M
12.73 for L</t>
        </r>
      </text>
    </comment>
    <comment ref="E13" authorId="0" shapeId="0">
      <text>
        <r>
          <rPr>
            <b/>
            <sz val="9"/>
            <color indexed="81"/>
            <rFont val="Tahoma"/>
            <charset val="1"/>
          </rPr>
          <t>Default:
=(FRM!$F$4*(1/0.147275405007364))+(FRM!$F$5*(1/0.0942507068803016))+(FRM!$F$6*(1/0.0785545954438335))
6.79 for S 
10.61 for M
12.73 for L</t>
        </r>
      </text>
    </comment>
    <comment ref="F13" authorId="0" shapeId="0">
      <text>
        <r>
          <rPr>
            <b/>
            <sz val="9"/>
            <color indexed="81"/>
            <rFont val="Tahoma"/>
            <charset val="1"/>
          </rPr>
          <t>Default:
=(FRM!$F$4*(1/0.147275405007364))+(FRM!$F$5*(1/0.0942507068803016))+(FRM!$F$6*(1/0.0785545954438335))
6.79 for S 
10.61 for M
12.73 for L</t>
        </r>
      </text>
    </comment>
    <comment ref="G13" authorId="0" shapeId="0">
      <text>
        <r>
          <rPr>
            <b/>
            <sz val="9"/>
            <color indexed="81"/>
            <rFont val="Tahoma"/>
            <charset val="1"/>
          </rPr>
          <t>Default:
=(FRM!$F$4*(1/0.147275405007364))+(FRM!$F$5*(1/0.0942507068803016))+(FRM!$F$6*(1/0.0785545954438335))
6.79 for S 
10.61 for M
12.73 for L</t>
        </r>
      </text>
    </comment>
    <comment ref="H13" authorId="0" shapeId="0">
      <text>
        <r>
          <rPr>
            <b/>
            <sz val="9"/>
            <color indexed="81"/>
            <rFont val="Tahoma"/>
            <charset val="1"/>
          </rPr>
          <t>Default:
=(FRM!$F$4*(1/0.147275405007364))+(FRM!$F$5*(1/0.0942507068803016))+(FRM!$F$6*(1/0.0785545954438335))
6.79 for S 
10.61 for M
12.73 for L</t>
        </r>
      </text>
    </comment>
    <comment ref="I13" authorId="0" shapeId="0">
      <text>
        <r>
          <rPr>
            <b/>
            <sz val="9"/>
            <color indexed="81"/>
            <rFont val="Tahoma"/>
            <charset val="1"/>
          </rPr>
          <t>Default:
=(FRM!$F$4*(1/0.147275405007364))+(FRM!$F$5*(1/0.0942507068803016))+(FRM!$F$6*(1/0.0785545954438335))
6.79 for S 
10.61 for M
12.73 for L</t>
        </r>
      </text>
    </comment>
    <comment ref="J13" authorId="0" shapeId="0">
      <text>
        <r>
          <rPr>
            <b/>
            <sz val="9"/>
            <color indexed="81"/>
            <rFont val="Tahoma"/>
            <charset val="1"/>
          </rPr>
          <t>Default:
=(FRM!$F$4*(1/0.147275405007364))+(FRM!$F$5*(1/0.0942507068803016))+(FRM!$F$6*(1/0.0785545954438335))
6.79 for S 
10.61 for M
12.73 for L</t>
        </r>
      </text>
    </comment>
    <comment ref="K13" authorId="0" shapeId="0">
      <text>
        <r>
          <rPr>
            <b/>
            <sz val="9"/>
            <color indexed="81"/>
            <rFont val="Tahoma"/>
            <charset val="1"/>
          </rPr>
          <t>Default:
=(FRM!$F$4*(1/0.147275405007364))+(FRM!$F$5*(1/0.0942507068803016))+(FRM!$F$6*(1/0.0785545954438335))
6.79 for S 
10.61 for M
12.73 for L</t>
        </r>
      </text>
    </comment>
    <comment ref="L13" authorId="0" shapeId="0">
      <text>
        <r>
          <rPr>
            <b/>
            <sz val="9"/>
            <color indexed="81"/>
            <rFont val="Tahoma"/>
            <charset val="1"/>
          </rPr>
          <t>Default:
=(FRM!$F$4*(1/0.147275405007364))+(FRM!$F$5*(1/0.0942507068803016))+(FRM!$F$6*(1/0.0785545954438335))
6.79 for S 
10.61 for M
12.73 for L</t>
        </r>
      </text>
    </comment>
    <comment ref="C14" authorId="0" shapeId="0">
      <text>
        <r>
          <rPr>
            <b/>
            <sz val="9"/>
            <color indexed="81"/>
            <rFont val="Tahoma"/>
            <charset val="1"/>
          </rPr>
          <t>Default assumed same as finish harrow (bed prep):
=1/0.0770416024653313
12.98</t>
        </r>
      </text>
    </comment>
    <comment ref="D14" authorId="0" shapeId="0">
      <text>
        <r>
          <rPr>
            <b/>
            <sz val="9"/>
            <color indexed="81"/>
            <rFont val="Tahoma"/>
            <charset val="1"/>
          </rPr>
          <t>Default assumed same as finish harrow (bed prep):
=1/0.0770416024653313
12.98</t>
        </r>
      </text>
    </comment>
    <comment ref="E14" authorId="0" shapeId="0">
      <text>
        <r>
          <rPr>
            <b/>
            <sz val="9"/>
            <color indexed="81"/>
            <rFont val="Tahoma"/>
            <charset val="1"/>
          </rPr>
          <t>Default assumed same as finish harrow (bed prep):
=1/0.0770416024653313
12.98</t>
        </r>
      </text>
    </comment>
    <comment ref="F14" authorId="0" shapeId="0">
      <text>
        <r>
          <rPr>
            <b/>
            <sz val="9"/>
            <color indexed="81"/>
            <rFont val="Tahoma"/>
            <charset val="1"/>
          </rPr>
          <t>Default assumed same as finish harrow (bed prep):
=1/0.0770416024653313
12.98</t>
        </r>
      </text>
    </comment>
    <comment ref="G14" authorId="0" shapeId="0">
      <text>
        <r>
          <rPr>
            <b/>
            <sz val="9"/>
            <color indexed="81"/>
            <rFont val="Tahoma"/>
            <charset val="1"/>
          </rPr>
          <t>Default assumed same as finish harrow (bed prep):
=1/0.0770416024653313
12.98</t>
        </r>
      </text>
    </comment>
    <comment ref="H14" authorId="0" shapeId="0">
      <text>
        <r>
          <rPr>
            <b/>
            <sz val="9"/>
            <color indexed="81"/>
            <rFont val="Tahoma"/>
            <charset val="1"/>
          </rPr>
          <t>Default assumed same as finish harrow (bed prep):
=1/0.0770416024653313
12.98</t>
        </r>
      </text>
    </comment>
    <comment ref="I14" authorId="0" shapeId="0">
      <text>
        <r>
          <rPr>
            <b/>
            <sz val="9"/>
            <color indexed="81"/>
            <rFont val="Tahoma"/>
            <charset val="1"/>
          </rPr>
          <t>Default assumed same as finish harrow (bed prep):
=1/0.0770416024653313
12.98</t>
        </r>
      </text>
    </comment>
    <comment ref="J14" authorId="0" shapeId="0">
      <text>
        <r>
          <rPr>
            <b/>
            <sz val="9"/>
            <color indexed="81"/>
            <rFont val="Tahoma"/>
            <charset val="1"/>
          </rPr>
          <t>Default assumed same as finish harrow (bed prep):
=1/0.0770416024653313
12.98</t>
        </r>
      </text>
    </comment>
    <comment ref="K14" authorId="0" shapeId="0">
      <text>
        <r>
          <rPr>
            <b/>
            <sz val="9"/>
            <color indexed="81"/>
            <rFont val="Tahoma"/>
            <charset val="1"/>
          </rPr>
          <t>Default assumed same as finish harrow (bed prep):
=1/0.0770416024653313
12.98</t>
        </r>
      </text>
    </comment>
    <comment ref="L14" authorId="0" shapeId="0">
      <text>
        <r>
          <rPr>
            <b/>
            <sz val="9"/>
            <color indexed="81"/>
            <rFont val="Tahoma"/>
            <charset val="1"/>
          </rPr>
          <t>Default assumed same as finish harrow (bed prep):
=1/0.0770416024653313
12.98</t>
        </r>
      </text>
    </comment>
    <comment ref="C15" authorId="0" shapeId="0">
      <text>
        <r>
          <rPr>
            <b/>
            <sz val="9"/>
            <color indexed="81"/>
            <rFont val="Tahoma"/>
            <charset val="1"/>
          </rPr>
          <t>Default:
=(FRM!$F$4*(1/0.121359223300971))+(FRM!$F$5*(1/0.0647249190938511))+(FRM!$F$6*(1/0.0647249190938511))
8.24 for S
15.45 for M &amp; L</t>
        </r>
      </text>
    </comment>
    <comment ref="D15" authorId="0" shapeId="0">
      <text>
        <r>
          <rPr>
            <b/>
            <sz val="9"/>
            <color indexed="81"/>
            <rFont val="Tahoma"/>
            <charset val="1"/>
          </rPr>
          <t>Default:
=(FRM!$F$4*(1/0.121359223300971))+(FRM!$F$5*(1/0.0647249190938511))+(FRM!$F$6*(1/0.0647249190938511))
8.24 for S
15.45 for M &amp; L</t>
        </r>
      </text>
    </comment>
    <comment ref="E15" authorId="0" shapeId="0">
      <text>
        <r>
          <rPr>
            <b/>
            <sz val="9"/>
            <color indexed="81"/>
            <rFont val="Tahoma"/>
            <charset val="1"/>
          </rPr>
          <t>Default:
=(FRM!$F$4*(1/0.121359223300971))+(FRM!$F$5*(1/0.0647249190938511))+(FRM!$F$6*(1/0.0647249190938511))
8.24 for S
15.45 for M &amp; L</t>
        </r>
      </text>
    </comment>
    <comment ref="F15" authorId="0" shapeId="0">
      <text>
        <r>
          <rPr>
            <b/>
            <sz val="9"/>
            <color indexed="81"/>
            <rFont val="Tahoma"/>
            <charset val="1"/>
          </rPr>
          <t>Default:
=(FRM!$F$4*(1/0.121359223300971))+(FRM!$F$5*(1/0.0647249190938511))+(FRM!$F$6*(1/0.0647249190938511))
8.24 for S
15.45 for M &amp; L</t>
        </r>
      </text>
    </comment>
    <comment ref="G15" authorId="0" shapeId="0">
      <text>
        <r>
          <rPr>
            <b/>
            <sz val="9"/>
            <color indexed="81"/>
            <rFont val="Tahoma"/>
            <charset val="1"/>
          </rPr>
          <t>Default:
=(FRM!$F$4*(1/0.121359223300971))+(FRM!$F$5*(1/0.0647249190938511))+(FRM!$F$6*(1/0.0647249190938511))
8.24 for S
15.45 for M &amp; L</t>
        </r>
      </text>
    </comment>
    <comment ref="H15" authorId="0" shapeId="0">
      <text>
        <r>
          <rPr>
            <b/>
            <sz val="9"/>
            <color indexed="81"/>
            <rFont val="Tahoma"/>
            <charset val="1"/>
          </rPr>
          <t>Default:
=(FRM!$F$4*(1/0.121359223300971))+(FRM!$F$5*(1/0.0647249190938511))+(FRM!$F$6*(1/0.0647249190938511))
8.24 for S
15.45 for M &amp; L</t>
        </r>
      </text>
    </comment>
    <comment ref="I15" authorId="0" shapeId="0">
      <text>
        <r>
          <rPr>
            <b/>
            <sz val="9"/>
            <color indexed="81"/>
            <rFont val="Tahoma"/>
            <charset val="1"/>
          </rPr>
          <t>Default:
=(FRM!$F$4*(1/0.121359223300971))+(FRM!$F$5*(1/0.0647249190938511))+(FRM!$F$6*(1/0.0647249190938511))
8.24 for S
15.45 for M &amp; L</t>
        </r>
      </text>
    </comment>
    <comment ref="J15" authorId="0" shapeId="0">
      <text>
        <r>
          <rPr>
            <b/>
            <sz val="9"/>
            <color indexed="81"/>
            <rFont val="Tahoma"/>
            <charset val="1"/>
          </rPr>
          <t>Default:
=(FRM!$F$4*(1/0.121359223300971))+(FRM!$F$5*(1/0.0647249190938511))+(FRM!$F$6*(1/0.0647249190938511))
8.24 for S
15.45 for M &amp; L</t>
        </r>
      </text>
    </comment>
    <comment ref="K15" authorId="0" shapeId="0">
      <text>
        <r>
          <rPr>
            <b/>
            <sz val="9"/>
            <color indexed="81"/>
            <rFont val="Tahoma"/>
            <charset val="1"/>
          </rPr>
          <t>Default:
=(FRM!$F$4*(1/0.121359223300971))+(FRM!$F$5*(1/0.0647249190938511))+(FRM!$F$6*(1/0.0647249190938511))
8.24 for S
15.45 for M &amp; L</t>
        </r>
      </text>
    </comment>
    <comment ref="L15" authorId="0" shapeId="0">
      <text>
        <r>
          <rPr>
            <b/>
            <sz val="9"/>
            <color indexed="81"/>
            <rFont val="Tahoma"/>
            <charset val="1"/>
          </rPr>
          <t>Default:
=(FRM!$F$4*(1/0.121359223300971))+(FRM!$F$5*(1/0.0647249190938511))+(FRM!$F$6*(1/0.0647249190938511))
8.24 for S
15.45 for M &amp; L</t>
        </r>
      </text>
    </comment>
    <comment ref="C16" authorId="0" shapeId="0">
      <text>
        <r>
          <rPr>
            <b/>
            <sz val="9"/>
            <color indexed="81"/>
            <rFont val="Tahoma"/>
            <charset val="1"/>
          </rPr>
          <t>Default:
=1/0.0929292929292929
10.7608695652174</t>
        </r>
      </text>
    </comment>
    <comment ref="D16" authorId="0" shapeId="0">
      <text>
        <r>
          <rPr>
            <b/>
            <sz val="9"/>
            <color indexed="81"/>
            <rFont val="Tahoma"/>
            <charset val="1"/>
          </rPr>
          <t>Default:
=1/0.0929292929292929
10.7608695652174</t>
        </r>
      </text>
    </comment>
    <comment ref="E16" authorId="0" shapeId="0">
      <text>
        <r>
          <rPr>
            <b/>
            <sz val="9"/>
            <color indexed="81"/>
            <rFont val="Tahoma"/>
            <charset val="1"/>
          </rPr>
          <t>Default:
=1/0.0929292929292929
10.7608695652174</t>
        </r>
      </text>
    </comment>
    <comment ref="F16" authorId="0" shapeId="0">
      <text>
        <r>
          <rPr>
            <b/>
            <sz val="9"/>
            <color indexed="81"/>
            <rFont val="Tahoma"/>
            <charset val="1"/>
          </rPr>
          <t>Default:
=1/0.0929292929292929
10.7608695652174</t>
        </r>
      </text>
    </comment>
    <comment ref="G16" authorId="0" shapeId="0">
      <text>
        <r>
          <rPr>
            <b/>
            <sz val="9"/>
            <color indexed="81"/>
            <rFont val="Tahoma"/>
            <charset val="1"/>
          </rPr>
          <t>Default:
=1/0.0929292929292929
10.7608695652174</t>
        </r>
      </text>
    </comment>
    <comment ref="H16" authorId="0" shapeId="0">
      <text>
        <r>
          <rPr>
            <b/>
            <sz val="9"/>
            <color indexed="81"/>
            <rFont val="Tahoma"/>
            <charset val="1"/>
          </rPr>
          <t>Default:
=1/0.0929292929292929
10.7608695652174</t>
        </r>
      </text>
    </comment>
    <comment ref="I16" authorId="0" shapeId="0">
      <text>
        <r>
          <rPr>
            <b/>
            <sz val="9"/>
            <color indexed="81"/>
            <rFont val="Tahoma"/>
            <charset val="1"/>
          </rPr>
          <t>Default:
=1/0.0929292929292929
10.7608695652174</t>
        </r>
      </text>
    </comment>
    <comment ref="J16" authorId="0" shapeId="0">
      <text>
        <r>
          <rPr>
            <b/>
            <sz val="9"/>
            <color indexed="81"/>
            <rFont val="Tahoma"/>
            <charset val="1"/>
          </rPr>
          <t>Default:
=1/0.0929292929292929
10.7608695652174</t>
        </r>
      </text>
    </comment>
    <comment ref="K16" authorId="0" shapeId="0">
      <text>
        <r>
          <rPr>
            <b/>
            <sz val="9"/>
            <color indexed="81"/>
            <rFont val="Tahoma"/>
            <charset val="1"/>
          </rPr>
          <t>Default:
=1/0.0929292929292929
10.7608695652174</t>
        </r>
      </text>
    </comment>
    <comment ref="L16" authorId="0" shapeId="0">
      <text>
        <r>
          <rPr>
            <b/>
            <sz val="9"/>
            <color indexed="81"/>
            <rFont val="Tahoma"/>
            <charset val="1"/>
          </rPr>
          <t>Default:
=1/0.0929292929292929
10.7608695652174</t>
        </r>
      </text>
    </comment>
    <comment ref="C17" authorId="0" shapeId="0">
      <text>
        <r>
          <rPr>
            <b/>
            <sz val="9"/>
            <color indexed="81"/>
            <rFont val="Tahoma"/>
            <charset val="1"/>
          </rPr>
          <t>Default:
=(FRM!$F$4*(1/((0.04/0.0675)*0.2)))+(FRM!$F$5*46.09)+(FRM!$F$6*(44.12*(100/80)))
8.4375 for S 
46.09 for M
55.15 for L</t>
        </r>
      </text>
    </comment>
    <comment ref="D17" authorId="0" shapeId="0">
      <text>
        <r>
          <rPr>
            <b/>
            <sz val="9"/>
            <color indexed="81"/>
            <rFont val="Tahoma"/>
            <charset val="1"/>
          </rPr>
          <t>Default:
=(FRM!$F$4*(1/((0.04/0.0675)*0.2)))+(FRM!$F$5*46.09)+(FRM!$F$6*(44.12*(100/80)))
8.4375 for S 
46.09 for M
55.15 for L</t>
        </r>
      </text>
    </comment>
    <comment ref="E17" authorId="0" shapeId="0">
      <text>
        <r>
          <rPr>
            <b/>
            <sz val="9"/>
            <color indexed="81"/>
            <rFont val="Tahoma"/>
            <charset val="1"/>
          </rPr>
          <t>Default:
=(FRM!$F$4*(1/((0.04/0.0675)*0.2)))+(FRM!$F$5*46.09)+(FRM!$F$6*(44.12*(100/80)))
8.4375 for S 
46.09 for M
55.15 for L</t>
        </r>
      </text>
    </comment>
    <comment ref="F17" authorId="0" shapeId="0">
      <text>
        <r>
          <rPr>
            <b/>
            <sz val="9"/>
            <color indexed="81"/>
            <rFont val="Tahoma"/>
            <charset val="1"/>
          </rPr>
          <t>Default:
=(FRM!$F$4*(1/((0.04/0.0675)*0.2)))+(FRM!$F$5*46.09)+(FRM!$F$6*(44.12*(100/80)))
8.4375 for S 
46.09 for M
55.15 for L</t>
        </r>
      </text>
    </comment>
    <comment ref="G17" authorId="0" shapeId="0">
      <text>
        <r>
          <rPr>
            <b/>
            <sz val="9"/>
            <color indexed="81"/>
            <rFont val="Tahoma"/>
            <charset val="1"/>
          </rPr>
          <t>Default:
=(FRM!$F$4*(1/((0.04/0.0675)*0.2)))+(FRM!$F$5*46.09)+(FRM!$F$6*(44.12*(100/80)))
8.4375 for S 
46.09 for M
55.15 for L</t>
        </r>
      </text>
    </comment>
    <comment ref="H17" authorId="0" shapeId="0">
      <text>
        <r>
          <rPr>
            <b/>
            <sz val="9"/>
            <color indexed="81"/>
            <rFont val="Tahoma"/>
            <charset val="1"/>
          </rPr>
          <t>Default:
=(FRM!$F$4*(1/((0.04/0.0675)*0.2)))+(FRM!$F$5*46.09)+(FRM!$F$6*(44.12*(100/80)))
8.4375 for S 
46.09 for M
55.15 for L</t>
        </r>
      </text>
    </comment>
    <comment ref="I17" authorId="0" shapeId="0">
      <text>
        <r>
          <rPr>
            <b/>
            <sz val="9"/>
            <color indexed="81"/>
            <rFont val="Tahoma"/>
            <charset val="1"/>
          </rPr>
          <t>Default:
=(FRM!$F$4*(1/((0.04/0.0675)*0.2)))+(FRM!$F$5*46.09)+(FRM!$F$6*(44.12*(100/80)))
8.4375 for S 
46.09 for M
55.15 for L</t>
        </r>
      </text>
    </comment>
    <comment ref="J17" authorId="0" shapeId="0">
      <text>
        <r>
          <rPr>
            <b/>
            <sz val="9"/>
            <color indexed="81"/>
            <rFont val="Tahoma"/>
            <charset val="1"/>
          </rPr>
          <t>Default:
=(FRM!$F$4*(1/((0.04/0.0675)*0.2)))+(FRM!$F$5*46.09)+(FRM!$F$6*(44.12*(100/80)))
8.4375 for S 
46.09 for M
55.15 for L</t>
        </r>
      </text>
    </comment>
    <comment ref="K17" authorId="0" shapeId="0">
      <text>
        <r>
          <rPr>
            <b/>
            <sz val="9"/>
            <color indexed="81"/>
            <rFont val="Tahoma"/>
            <charset val="1"/>
          </rPr>
          <t>Default:
=(FRM!$F$4*(1/((0.04/0.0675)*0.2)))+(FRM!$F$5*46.09)+(FRM!$F$6*(44.12*(100/80)))
8.4375 for S 
46.09 for M
55.15 for L</t>
        </r>
      </text>
    </comment>
    <comment ref="L17" authorId="0" shapeId="0">
      <text>
        <r>
          <rPr>
            <b/>
            <sz val="9"/>
            <color indexed="81"/>
            <rFont val="Tahoma"/>
            <charset val="1"/>
          </rPr>
          <t>Default:
=(FRM!$F$4*(1/((0.04/0.0675)*0.2)))+(FRM!$F$5*46.09)+(FRM!$F$6*(44.12*(100/80)))
8.4375 for S 
46.09 for M
55.15 for L</t>
        </r>
      </text>
    </comment>
    <comment ref="J18" authorId="0" shapeId="0">
      <text>
        <r>
          <rPr>
            <b/>
            <sz val="9"/>
            <color indexed="81"/>
            <rFont val="Tahoma"/>
            <charset val="1"/>
          </rPr>
          <t>From cooperating producer</t>
        </r>
      </text>
    </comment>
    <comment ref="C19" authorId="0" shapeId="0">
      <text>
        <r>
          <rPr>
            <b/>
            <sz val="9"/>
            <color indexed="81"/>
            <rFont val="Tahoma"/>
            <charset val="1"/>
          </rPr>
          <t>Default:
=(FRM!$F$4*(1/0.147275405007364))+(FRM!$F$5*(1/0.0942507068803016))+(FRM!$F$6*(1/0.0785545954438335))
1.09 for S 
3 for M
6.79 for L</t>
        </r>
      </text>
    </comment>
    <comment ref="D19" authorId="0" shapeId="0">
      <text>
        <r>
          <rPr>
            <b/>
            <sz val="9"/>
            <color indexed="81"/>
            <rFont val="Tahoma"/>
            <charset val="1"/>
          </rPr>
          <t>Default:
=(FRM!$F$4*(1/0.147275405007364))+(FRM!$F$5*(1/0.0942507068803016))+(FRM!$F$6*(1/0.0785545954438335))
1.09 for S 
3 for M
6.79 for L</t>
        </r>
      </text>
    </comment>
    <comment ref="E19" authorId="0" shapeId="0">
      <text>
        <r>
          <rPr>
            <b/>
            <sz val="9"/>
            <color indexed="81"/>
            <rFont val="Tahoma"/>
            <charset val="1"/>
          </rPr>
          <t>Default:
=(FRM!$F$4*(1/0.147275405007364))+(FRM!$F$5*(1/0.0942507068803016))+(FRM!$F$6*(1/0.0785545954438335))
1.09 for S 
3 for M
6.79 for L</t>
        </r>
      </text>
    </comment>
    <comment ref="F19" authorId="0" shapeId="0">
      <text>
        <r>
          <rPr>
            <b/>
            <sz val="9"/>
            <color indexed="81"/>
            <rFont val="Tahoma"/>
            <charset val="1"/>
          </rPr>
          <t>Default:
=(FRM!$F$4*(1/0.147275405007364))+(FRM!$F$5*(1/0.0942507068803016))+(FRM!$F$6*(1/0.0785545954438335))
1.09 for S 
3 for M
6.79 for L</t>
        </r>
      </text>
    </comment>
    <comment ref="G19" authorId="0" shapeId="0">
      <text>
        <r>
          <rPr>
            <b/>
            <sz val="9"/>
            <color indexed="81"/>
            <rFont val="Tahoma"/>
            <charset val="1"/>
          </rPr>
          <t>Default:
=(FRM!$F$4*(1/0.147275405007364))+(FRM!$F$5*(1/0.0942507068803016))+(FRM!$F$6*(1/0.0785545954438335))
1.09 for S 
3 for M
6.79 for L</t>
        </r>
      </text>
    </comment>
    <comment ref="H19" authorId="0" shapeId="0">
      <text>
        <r>
          <rPr>
            <b/>
            <sz val="9"/>
            <color indexed="81"/>
            <rFont val="Tahoma"/>
            <charset val="1"/>
          </rPr>
          <t>Default:
=(FRM!$F$4*(1/0.147275405007364))+(FRM!$F$5*(1/0.0942507068803016))+(FRM!$F$6*(1/0.0785545954438335))
1.09 for S 
3 for M
6.79 for L</t>
        </r>
      </text>
    </comment>
    <comment ref="I19" authorId="0" shapeId="0">
      <text>
        <r>
          <rPr>
            <b/>
            <sz val="9"/>
            <color indexed="81"/>
            <rFont val="Tahoma"/>
            <charset val="1"/>
          </rPr>
          <t>Default:
=(FRM!$F$4*(1/0.147275405007364))+(FRM!$F$5*(1/0.0942507068803016))+(FRM!$F$6*(1/0.0785545954438335))
1.09 for S 
3 for M
6.79 for L</t>
        </r>
      </text>
    </comment>
    <comment ref="J19" authorId="0" shapeId="0">
      <text>
        <r>
          <rPr>
            <b/>
            <sz val="9"/>
            <color indexed="81"/>
            <rFont val="Tahoma"/>
            <charset val="1"/>
          </rPr>
          <t>Default:
=(FRM!$F$4*(1/0.147275405007364))+(FRM!$F$5*(1/0.0942507068803016))+(FRM!$F$6*(1/0.0785545954438335))
1.09 for S 
3 for M
6.79 for L</t>
        </r>
      </text>
    </comment>
    <comment ref="K19" authorId="0" shapeId="0">
      <text>
        <r>
          <rPr>
            <b/>
            <sz val="9"/>
            <color indexed="81"/>
            <rFont val="Tahoma"/>
            <charset val="1"/>
          </rPr>
          <t>Default:
=(FRM!$F$4*(1/0.147275405007364))+(FRM!$F$5*(1/0.0942507068803016))+(FRM!$F$6*(1/0.0785545954438335))
1.09 for S 
3 for M
6.79 for L</t>
        </r>
      </text>
    </comment>
    <comment ref="L19" authorId="0" shapeId="0">
      <text>
        <r>
          <rPr>
            <b/>
            <sz val="9"/>
            <color indexed="81"/>
            <rFont val="Tahoma"/>
            <charset val="1"/>
          </rPr>
          <t>Default:
=(FRM!$F$4*(1/0.147275405007364))+(FRM!$F$5*(1/0.0942507068803016))+(FRM!$F$6*(1/0.0785545954438335))
1.09 for S 
3 for M
6.79 for L</t>
        </r>
      </text>
    </comment>
    <comment ref="C20" authorId="0" shapeId="0">
      <text>
        <r>
          <rPr>
            <b/>
            <sz val="9"/>
            <color indexed="81"/>
            <rFont val="Tahoma"/>
            <charset val="1"/>
          </rPr>
          <t>Default:
=1/0.120362470175615
8.30823759715922</t>
        </r>
      </text>
    </comment>
    <comment ref="D20" authorId="0" shapeId="0">
      <text>
        <r>
          <rPr>
            <b/>
            <sz val="9"/>
            <color indexed="81"/>
            <rFont val="Tahoma"/>
            <charset val="1"/>
          </rPr>
          <t>Default:
=1/0.136219747992402
7.3410795038013</t>
        </r>
      </text>
    </comment>
    <comment ref="E20" authorId="0" shapeId="0">
      <text>
        <r>
          <rPr>
            <b/>
            <sz val="9"/>
            <color indexed="81"/>
            <rFont val="Tahoma"/>
            <charset val="1"/>
          </rPr>
          <t>Default:
=1/0.0525391734893558
19.0334170407647</t>
        </r>
      </text>
    </comment>
    <comment ref="F20" authorId="0" shapeId="0">
      <text>
        <r>
          <rPr>
            <b/>
            <sz val="9"/>
            <color indexed="81"/>
            <rFont val="Tahoma"/>
            <charset val="1"/>
          </rPr>
          <t>Default:
=1/0.0781400798441691
12.7975297951352</t>
        </r>
      </text>
    </comment>
    <comment ref="G20" authorId="0" shapeId="0">
      <text>
        <r>
          <rPr>
            <b/>
            <sz val="9"/>
            <color indexed="81"/>
            <rFont val="Tahoma"/>
            <charset val="1"/>
          </rPr>
          <t>Default:
=1/0.0781400798441691
12.7975297951352</t>
        </r>
      </text>
    </comment>
    <comment ref="H20" authorId="0" shapeId="0">
      <text>
        <r>
          <rPr>
            <b/>
            <sz val="9"/>
            <color indexed="81"/>
            <rFont val="Tahoma"/>
            <charset val="1"/>
          </rPr>
          <t>Default:
=1/0.0772207847871789
12.9498813403154</t>
        </r>
      </text>
    </comment>
    <comment ref="I20" authorId="0" shapeId="0">
      <text>
        <r>
          <rPr>
            <b/>
            <sz val="9"/>
            <color indexed="81"/>
            <rFont val="Tahoma"/>
            <charset val="1"/>
          </rPr>
          <t>Default:
=1/0.0781400798441691
12.7975297951352</t>
        </r>
      </text>
    </comment>
    <comment ref="J20" authorId="0" shapeId="0">
      <text>
        <r>
          <rPr>
            <b/>
            <sz val="9"/>
            <color indexed="81"/>
            <rFont val="Tahoma"/>
            <charset val="1"/>
          </rPr>
          <t>From cooperating producer</t>
        </r>
      </text>
    </comment>
    <comment ref="K20" authorId="0" shapeId="0">
      <text>
        <r>
          <rPr>
            <b/>
            <sz val="9"/>
            <color indexed="81"/>
            <rFont val="Tahoma"/>
            <charset val="1"/>
          </rPr>
          <t>Default:
=1/0.0781400798441691
12.7975297951352</t>
        </r>
      </text>
    </comment>
    <comment ref="L20" authorId="0" shapeId="0">
      <text>
        <r>
          <rPr>
            <b/>
            <sz val="9"/>
            <color indexed="81"/>
            <rFont val="Tahoma"/>
            <charset val="1"/>
          </rPr>
          <t>Default:
=1/0.057455941061889
17.4046405213839</t>
        </r>
      </text>
    </comment>
    <comment ref="C21" authorId="0" shapeId="0">
      <text>
        <r>
          <rPr>
            <b/>
            <sz val="9"/>
            <color indexed="81"/>
            <rFont val="Tahoma"/>
            <charset val="1"/>
          </rPr>
          <t xml:space="preserve">Default:
S: =1/1.512 = 0.661375661375661
M: =1/1.008 = 0.992063492063492
L: =1/0.063 = 15.8730158730159
</t>
        </r>
      </text>
    </comment>
    <comment ref="D21" authorId="0" shapeId="0">
      <text>
        <r>
          <rPr>
            <b/>
            <sz val="9"/>
            <color indexed="81"/>
            <rFont val="Tahoma"/>
            <charset val="1"/>
          </rPr>
          <t xml:space="preserve">Default:
S: =1/1.488 = 0.672043010752688
M: =1/0.992 = 1.00806451612903
L: =1/0.062 = 16.1290322580645
</t>
        </r>
      </text>
    </comment>
    <comment ref="E21" authorId="0" shapeId="0">
      <text>
        <r>
          <rPr>
            <b/>
            <sz val="9"/>
            <color indexed="81"/>
            <rFont val="Tahoma"/>
            <charset val="1"/>
          </rPr>
          <t xml:space="preserve">Default:
S: =1/1.176 = 0.850340136054422
M: =1/0.784 = 1.27551020408163
L: =1/0.049 = 20.4081632653061
</t>
        </r>
      </text>
    </comment>
    <comment ref="F21" authorId="0" shapeId="0">
      <text>
        <r>
          <rPr>
            <b/>
            <sz val="9"/>
            <color indexed="81"/>
            <rFont val="Tahoma"/>
            <charset val="1"/>
          </rPr>
          <t xml:space="preserve">Default:
S: =1/1.53 = 0.65359477124183
M: =1/1.02 = 0.980392156862745
L: =1/0.06375 = 15.6862745098039
</t>
        </r>
      </text>
    </comment>
    <comment ref="G21" authorId="0" shapeId="0">
      <text>
        <r>
          <rPr>
            <b/>
            <sz val="9"/>
            <color indexed="81"/>
            <rFont val="Tahoma"/>
            <charset val="1"/>
          </rPr>
          <t xml:space="preserve">Default:
S: =1/1.53 = 0.65359477124183
M: =1/1.02 = 0.980392156862745
L: =1/0.06375 = 15.6862745098039
</t>
        </r>
      </text>
    </comment>
    <comment ref="H21" authorId="0" shapeId="0">
      <text>
        <r>
          <rPr>
            <b/>
            <sz val="9"/>
            <color indexed="81"/>
            <rFont val="Tahoma"/>
            <charset val="1"/>
          </rPr>
          <t xml:space="preserve">Default:
S: =1/1.512 = 0.661375661375661
M: =1/1.008 = 0.992063492063492
L: =1/0.063 = 15.8730158730159
</t>
        </r>
      </text>
    </comment>
    <comment ref="I21" authorId="0" shapeId="0">
      <text>
        <r>
          <rPr>
            <b/>
            <sz val="9"/>
            <color indexed="81"/>
            <rFont val="Tahoma"/>
            <charset val="1"/>
          </rPr>
          <t xml:space="preserve">Default:
S: =1/1.53 = 0.65359477124183
M: =1/1.02 = 0.980392156862745
L: =1/0.06375 = 15.6862745098039
</t>
        </r>
      </text>
    </comment>
    <comment ref="J21" authorId="0" shapeId="0">
      <text>
        <r>
          <rPr>
            <b/>
            <sz val="9"/>
            <color indexed="81"/>
            <rFont val="Tahoma"/>
            <charset val="1"/>
          </rPr>
          <t xml:space="preserve">Use different cleaners assumed:
S: =1/0.54 = 1.85185185185185
M: =1/0.36 = 2.77777777777778
L: =1/0.0225 = 44.4444444444444
From cooperating producer:
=1/1.26
0.793650793650794
</t>
        </r>
      </text>
    </comment>
    <comment ref="K21" authorId="0" shapeId="0">
      <text>
        <r>
          <rPr>
            <b/>
            <sz val="9"/>
            <color indexed="81"/>
            <rFont val="Tahoma"/>
            <charset val="1"/>
          </rPr>
          <t xml:space="preserve">Default:
S: =1/1.53 = 0.65359477124183
M: =1/1.02 = 0.980392156862745
L: =1/0.06375 = 15.6862745098039
</t>
        </r>
      </text>
    </comment>
    <comment ref="L21" authorId="0" shapeId="0">
      <text>
        <r>
          <rPr>
            <b/>
            <sz val="9"/>
            <color indexed="81"/>
            <rFont val="Tahoma"/>
            <charset val="1"/>
          </rPr>
          <t xml:space="preserve">Default:
S: =1/1.125 = 0.888888888888889
M: =1/0.75 = 1.33333333333333
L: =1/0.046875 = 21.3333333333333
</t>
        </r>
      </text>
    </comment>
    <comment ref="C22" authorId="0" shapeId="0">
      <text>
        <r>
          <rPr>
            <b/>
            <sz val="9"/>
            <color indexed="81"/>
            <rFont val="Tahoma"/>
            <charset val="1"/>
          </rPr>
          <t>Default:
2.28825321597833
=1/0.437014572083734</t>
        </r>
      </text>
    </comment>
    <comment ref="D22" authorId="0" shapeId="0">
      <text>
        <r>
          <rPr>
            <b/>
            <sz val="9"/>
            <color indexed="81"/>
            <rFont val="Tahoma"/>
            <charset val="1"/>
          </rPr>
          <t>Default:
1.53770616113744
=1/0.650319303696033</t>
        </r>
      </text>
    </comment>
    <comment ref="E22" authorId="0" shapeId="0">
      <text>
        <r>
          <rPr>
            <b/>
            <sz val="9"/>
            <color indexed="81"/>
            <rFont val="Tahoma"/>
            <charset val="1"/>
          </rPr>
          <t>Default:
3.58798104265403
=1/0.278708273012585</t>
        </r>
      </text>
    </comment>
    <comment ref="F22" authorId="0" shapeId="0">
      <text>
        <r>
          <rPr>
            <b/>
            <sz val="9"/>
            <color indexed="81"/>
            <rFont val="Tahoma"/>
            <charset val="1"/>
          </rPr>
          <t>Default:
2.30655924170616
=1/0.433546202464022</t>
        </r>
      </text>
    </comment>
    <comment ref="G22" authorId="0" shapeId="0">
      <text>
        <r>
          <rPr>
            <b/>
            <sz val="9"/>
            <color indexed="81"/>
            <rFont val="Tahoma"/>
            <charset val="1"/>
          </rPr>
          <t>Default:
2.30655924170616
=1/0.433546202464022</t>
        </r>
      </text>
    </comment>
    <comment ref="H22" authorId="0" shapeId="0">
      <text>
        <r>
          <rPr>
            <b/>
            <sz val="9"/>
            <color indexed="81"/>
            <rFont val="Tahoma"/>
            <charset val="1"/>
          </rPr>
          <t>Default:
2.15278862559242
=1/0.464513788354309</t>
        </r>
      </text>
    </comment>
    <comment ref="I22" authorId="0" shapeId="0">
      <text>
        <r>
          <rPr>
            <b/>
            <sz val="9"/>
            <color indexed="81"/>
            <rFont val="Tahoma"/>
            <charset val="1"/>
          </rPr>
          <t>Default:
2.30655924170616
=1/0.433546202464022</t>
        </r>
      </text>
    </comment>
    <comment ref="J22" authorId="0" shapeId="0">
      <text>
        <r>
          <rPr>
            <b/>
            <sz val="9"/>
            <color indexed="81"/>
            <rFont val="Tahoma"/>
            <charset val="1"/>
          </rPr>
          <t>Use different cleaners assumed:
S&amp;M&amp;L: =1/0.156076632887048 = 6.40710900473933
From cooperating producer:
=1/0.278708273012585
3.58798104265403</t>
        </r>
      </text>
    </comment>
    <comment ref="K22" authorId="0" shapeId="0">
      <text>
        <r>
          <rPr>
            <b/>
            <sz val="9"/>
            <color indexed="81"/>
            <rFont val="Tahoma"/>
            <charset val="1"/>
          </rPr>
          <t>Default:
2.8831990521327
=1/0.346836961971218</t>
        </r>
      </text>
    </comment>
    <comment ref="L22" authorId="0" shapeId="0">
      <text>
        <r>
          <rPr>
            <b/>
            <sz val="9"/>
            <color indexed="81"/>
            <rFont val="Tahoma"/>
            <charset val="1"/>
          </rPr>
          <t>Default:
3.8442654028436
=1/0.260127721478413</t>
        </r>
      </text>
    </comment>
    <comment ref="C28" authorId="0" shapeId="0">
      <text>
        <r>
          <rPr>
            <b/>
            <sz val="9"/>
            <color indexed="81"/>
            <rFont val="Tahoma"/>
            <charset val="1"/>
          </rPr>
          <t xml:space="preserve">Default:
1.32
</t>
        </r>
      </text>
    </comment>
    <comment ref="D28" authorId="0" shapeId="0">
      <text>
        <r>
          <rPr>
            <b/>
            <sz val="9"/>
            <color indexed="81"/>
            <rFont val="Tahoma"/>
            <charset val="1"/>
          </rPr>
          <t xml:space="preserve">Default:
1.32
</t>
        </r>
      </text>
    </comment>
    <comment ref="E28" authorId="0" shapeId="0">
      <text>
        <r>
          <rPr>
            <b/>
            <sz val="9"/>
            <color indexed="81"/>
            <rFont val="Tahoma"/>
            <charset val="1"/>
          </rPr>
          <t xml:space="preserve">Default:
1.32
</t>
        </r>
      </text>
    </comment>
    <comment ref="F28" authorId="0" shapeId="0">
      <text>
        <r>
          <rPr>
            <b/>
            <sz val="9"/>
            <color indexed="81"/>
            <rFont val="Tahoma"/>
            <charset val="1"/>
          </rPr>
          <t xml:space="preserve">Default:
1.32
</t>
        </r>
      </text>
    </comment>
    <comment ref="G28" authorId="0" shapeId="0">
      <text>
        <r>
          <rPr>
            <b/>
            <sz val="9"/>
            <color indexed="81"/>
            <rFont val="Tahoma"/>
            <charset val="1"/>
          </rPr>
          <t xml:space="preserve">Default:
1.32
</t>
        </r>
      </text>
    </comment>
    <comment ref="H28" authorId="0" shapeId="0">
      <text>
        <r>
          <rPr>
            <b/>
            <sz val="9"/>
            <color indexed="81"/>
            <rFont val="Tahoma"/>
            <charset val="1"/>
          </rPr>
          <t xml:space="preserve">Default:
1.32
</t>
        </r>
      </text>
    </comment>
    <comment ref="I28" authorId="0" shapeId="0">
      <text>
        <r>
          <rPr>
            <b/>
            <sz val="9"/>
            <color indexed="81"/>
            <rFont val="Tahoma"/>
            <charset val="1"/>
          </rPr>
          <t xml:space="preserve">Default:
1.32
</t>
        </r>
      </text>
    </comment>
    <comment ref="J28" authorId="0" shapeId="0">
      <text>
        <r>
          <rPr>
            <b/>
            <sz val="9"/>
            <color indexed="81"/>
            <rFont val="Tahoma"/>
            <charset val="1"/>
          </rPr>
          <t xml:space="preserve">Default:
1.32
</t>
        </r>
      </text>
    </comment>
    <comment ref="K28" authorId="0" shapeId="0">
      <text>
        <r>
          <rPr>
            <b/>
            <sz val="9"/>
            <color indexed="81"/>
            <rFont val="Tahoma"/>
            <charset val="1"/>
          </rPr>
          <t xml:space="preserve">Default:
1.32
</t>
        </r>
      </text>
    </comment>
    <comment ref="L28" authorId="0" shapeId="0">
      <text>
        <r>
          <rPr>
            <b/>
            <sz val="9"/>
            <color indexed="81"/>
            <rFont val="Tahoma"/>
            <charset val="1"/>
          </rPr>
          <t xml:space="preserve">Default:
1.32
</t>
        </r>
      </text>
    </comment>
    <comment ref="C29" authorId="0" shapeId="0">
      <text>
        <r>
          <rPr>
            <b/>
            <sz val="9"/>
            <color indexed="81"/>
            <rFont val="Tahoma"/>
            <charset val="1"/>
          </rPr>
          <t>Default:
0.440238632920666</t>
        </r>
      </text>
    </comment>
    <comment ref="D29" authorId="0" shapeId="0">
      <text>
        <r>
          <rPr>
            <b/>
            <sz val="9"/>
            <color indexed="81"/>
            <rFont val="Tahoma"/>
            <charset val="1"/>
          </rPr>
          <t>Default:
0.440238632920666</t>
        </r>
      </text>
    </comment>
    <comment ref="E29" authorId="0" shapeId="0">
      <text>
        <r>
          <rPr>
            <b/>
            <sz val="9"/>
            <color indexed="81"/>
            <rFont val="Tahoma"/>
            <charset val="1"/>
          </rPr>
          <t>Default:
0.440238632920666</t>
        </r>
      </text>
    </comment>
    <comment ref="F29" authorId="0" shapeId="0">
      <text>
        <r>
          <rPr>
            <b/>
            <sz val="9"/>
            <color indexed="81"/>
            <rFont val="Tahoma"/>
            <charset val="1"/>
          </rPr>
          <t>Default:
0.440238632920666</t>
        </r>
      </text>
    </comment>
    <comment ref="G29" authorId="0" shapeId="0">
      <text>
        <r>
          <rPr>
            <b/>
            <sz val="9"/>
            <color indexed="81"/>
            <rFont val="Tahoma"/>
            <charset val="1"/>
          </rPr>
          <t>Default:
0.440238632920666</t>
        </r>
      </text>
    </comment>
    <comment ref="H29" authorId="0" shapeId="0">
      <text>
        <r>
          <rPr>
            <b/>
            <sz val="9"/>
            <color indexed="81"/>
            <rFont val="Tahoma"/>
            <charset val="1"/>
          </rPr>
          <t>Default:
0.440238632920666</t>
        </r>
      </text>
    </comment>
    <comment ref="I29" authorId="0" shapeId="0">
      <text>
        <r>
          <rPr>
            <b/>
            <sz val="9"/>
            <color indexed="81"/>
            <rFont val="Tahoma"/>
            <charset val="1"/>
          </rPr>
          <t>Default:
0.440238632920666</t>
        </r>
      </text>
    </comment>
    <comment ref="J29" authorId="0" shapeId="0">
      <text>
        <r>
          <rPr>
            <b/>
            <sz val="9"/>
            <color indexed="81"/>
            <rFont val="Tahoma"/>
            <charset val="1"/>
          </rPr>
          <t>Default:
0.440238632920666</t>
        </r>
      </text>
    </comment>
    <comment ref="K29" authorId="0" shapeId="0">
      <text>
        <r>
          <rPr>
            <b/>
            <sz val="9"/>
            <color indexed="81"/>
            <rFont val="Tahoma"/>
            <charset val="1"/>
          </rPr>
          <t>Default:
0.440238632920666</t>
        </r>
      </text>
    </comment>
    <comment ref="L29" authorId="0" shapeId="0">
      <text>
        <r>
          <rPr>
            <b/>
            <sz val="9"/>
            <color indexed="81"/>
            <rFont val="Tahoma"/>
            <charset val="1"/>
          </rPr>
          <t>Default:
0.440238632920666</t>
        </r>
      </text>
    </comment>
    <comment ref="C30" authorId="0" shapeId="0">
      <text>
        <r>
          <rPr>
            <b/>
            <sz val="9"/>
            <color indexed="81"/>
            <rFont val="Tahoma"/>
            <charset val="1"/>
          </rPr>
          <t>Default:
0.64</t>
        </r>
      </text>
    </comment>
    <comment ref="D30" authorId="0" shapeId="0">
      <text>
        <r>
          <rPr>
            <b/>
            <sz val="9"/>
            <color indexed="81"/>
            <rFont val="Tahoma"/>
            <charset val="1"/>
          </rPr>
          <t>Default:
0.64</t>
        </r>
      </text>
    </comment>
    <comment ref="E30" authorId="0" shapeId="0">
      <text>
        <r>
          <rPr>
            <b/>
            <sz val="9"/>
            <color indexed="81"/>
            <rFont val="Tahoma"/>
            <charset val="1"/>
          </rPr>
          <t>Default:
0.64</t>
        </r>
      </text>
    </comment>
    <comment ref="F30" authorId="0" shapeId="0">
      <text>
        <r>
          <rPr>
            <b/>
            <sz val="9"/>
            <color indexed="81"/>
            <rFont val="Tahoma"/>
            <charset val="1"/>
          </rPr>
          <t>Default:
0.64</t>
        </r>
      </text>
    </comment>
    <comment ref="G30" authorId="0" shapeId="0">
      <text>
        <r>
          <rPr>
            <b/>
            <sz val="9"/>
            <color indexed="81"/>
            <rFont val="Tahoma"/>
            <charset val="1"/>
          </rPr>
          <t>Default:
0.64</t>
        </r>
      </text>
    </comment>
    <comment ref="H30" authorId="0" shapeId="0">
      <text>
        <r>
          <rPr>
            <b/>
            <sz val="9"/>
            <color indexed="81"/>
            <rFont val="Tahoma"/>
            <charset val="1"/>
          </rPr>
          <t>Default:
0.64</t>
        </r>
      </text>
    </comment>
    <comment ref="I30" authorId="0" shapeId="0">
      <text>
        <r>
          <rPr>
            <b/>
            <sz val="9"/>
            <color indexed="81"/>
            <rFont val="Tahoma"/>
            <charset val="1"/>
          </rPr>
          <t>Default:
0.64</t>
        </r>
      </text>
    </comment>
    <comment ref="J30" authorId="0" shapeId="0">
      <text>
        <r>
          <rPr>
            <b/>
            <sz val="9"/>
            <color indexed="81"/>
            <rFont val="Tahoma"/>
            <charset val="1"/>
          </rPr>
          <t>Default:
0.64</t>
        </r>
      </text>
    </comment>
    <comment ref="K30" authorId="0" shapeId="0">
      <text>
        <r>
          <rPr>
            <b/>
            <sz val="9"/>
            <color indexed="81"/>
            <rFont val="Tahoma"/>
            <charset val="1"/>
          </rPr>
          <t>Default:
0.64</t>
        </r>
      </text>
    </comment>
    <comment ref="L30" authorId="0" shapeId="0">
      <text>
        <r>
          <rPr>
            <b/>
            <sz val="9"/>
            <color indexed="81"/>
            <rFont val="Tahoma"/>
            <charset val="1"/>
          </rPr>
          <t>Default:
0.64</t>
        </r>
      </text>
    </comment>
    <comment ref="C31" authorId="0" shapeId="0">
      <text>
        <r>
          <rPr>
            <b/>
            <sz val="9"/>
            <color indexed="81"/>
            <rFont val="Tahoma"/>
            <charset val="1"/>
          </rPr>
          <t>Default:
0.74</t>
        </r>
      </text>
    </comment>
    <comment ref="D31" authorId="0" shapeId="0">
      <text>
        <r>
          <rPr>
            <b/>
            <sz val="9"/>
            <color indexed="81"/>
            <rFont val="Tahoma"/>
            <charset val="1"/>
          </rPr>
          <t>Default:
0.74</t>
        </r>
      </text>
    </comment>
    <comment ref="E31" authorId="0" shapeId="0">
      <text>
        <r>
          <rPr>
            <b/>
            <sz val="9"/>
            <color indexed="81"/>
            <rFont val="Tahoma"/>
            <charset val="1"/>
          </rPr>
          <t>Default:
0.74</t>
        </r>
      </text>
    </comment>
    <comment ref="F31" authorId="0" shapeId="0">
      <text>
        <r>
          <rPr>
            <b/>
            <sz val="9"/>
            <color indexed="81"/>
            <rFont val="Tahoma"/>
            <charset val="1"/>
          </rPr>
          <t>Default:
0.74</t>
        </r>
      </text>
    </comment>
    <comment ref="G31" authorId="0" shapeId="0">
      <text>
        <r>
          <rPr>
            <b/>
            <sz val="9"/>
            <color indexed="81"/>
            <rFont val="Tahoma"/>
            <charset val="1"/>
          </rPr>
          <t>Default:
0.74</t>
        </r>
      </text>
    </comment>
    <comment ref="H31" authorId="0" shapeId="0">
      <text>
        <r>
          <rPr>
            <b/>
            <sz val="9"/>
            <color indexed="81"/>
            <rFont val="Tahoma"/>
            <charset val="1"/>
          </rPr>
          <t>Default:
0.74</t>
        </r>
      </text>
    </comment>
    <comment ref="I31" authorId="0" shapeId="0">
      <text>
        <r>
          <rPr>
            <b/>
            <sz val="9"/>
            <color indexed="81"/>
            <rFont val="Tahoma"/>
            <charset val="1"/>
          </rPr>
          <t>Default:
0.74</t>
        </r>
      </text>
    </comment>
    <comment ref="J31" authorId="0" shapeId="0">
      <text>
        <r>
          <rPr>
            <b/>
            <sz val="9"/>
            <color indexed="81"/>
            <rFont val="Tahoma"/>
            <charset val="1"/>
          </rPr>
          <t>Default:
0.74</t>
        </r>
      </text>
    </comment>
    <comment ref="K31" authorId="0" shapeId="0">
      <text>
        <r>
          <rPr>
            <b/>
            <sz val="9"/>
            <color indexed="81"/>
            <rFont val="Tahoma"/>
            <charset val="1"/>
          </rPr>
          <t>Default:
0.74</t>
        </r>
      </text>
    </comment>
    <comment ref="L31" authorId="0" shapeId="0">
      <text>
        <r>
          <rPr>
            <b/>
            <sz val="9"/>
            <color indexed="81"/>
            <rFont val="Tahoma"/>
            <charset val="1"/>
          </rPr>
          <t>Default:
0.74</t>
        </r>
      </text>
    </comment>
    <comment ref="C32" authorId="0" shapeId="0">
      <text>
        <r>
          <rPr>
            <b/>
            <sz val="9"/>
            <color indexed="81"/>
            <rFont val="Tahoma"/>
            <charset val="1"/>
          </rPr>
          <t>Default:
0.34</t>
        </r>
      </text>
    </comment>
    <comment ref="D32" authorId="0" shapeId="0">
      <text>
        <r>
          <rPr>
            <b/>
            <sz val="9"/>
            <color indexed="81"/>
            <rFont val="Tahoma"/>
            <charset val="1"/>
          </rPr>
          <t>Default:
0.34</t>
        </r>
      </text>
    </comment>
    <comment ref="E32" authorId="0" shapeId="0">
      <text>
        <r>
          <rPr>
            <b/>
            <sz val="9"/>
            <color indexed="81"/>
            <rFont val="Tahoma"/>
            <charset val="1"/>
          </rPr>
          <t>Default:
0.34</t>
        </r>
      </text>
    </comment>
    <comment ref="F32" authorId="0" shapeId="0">
      <text>
        <r>
          <rPr>
            <b/>
            <sz val="9"/>
            <color indexed="81"/>
            <rFont val="Tahoma"/>
            <charset val="1"/>
          </rPr>
          <t>Default:
0.34</t>
        </r>
      </text>
    </comment>
    <comment ref="G32" authorId="0" shapeId="0">
      <text>
        <r>
          <rPr>
            <b/>
            <sz val="9"/>
            <color indexed="81"/>
            <rFont val="Tahoma"/>
            <charset val="1"/>
          </rPr>
          <t>Default:
0.34</t>
        </r>
      </text>
    </comment>
    <comment ref="H32" authorId="0" shapeId="0">
      <text>
        <r>
          <rPr>
            <b/>
            <sz val="9"/>
            <color indexed="81"/>
            <rFont val="Tahoma"/>
            <charset val="1"/>
          </rPr>
          <t>Default:
0.34</t>
        </r>
      </text>
    </comment>
    <comment ref="I32" authorId="0" shapeId="0">
      <text>
        <r>
          <rPr>
            <b/>
            <sz val="9"/>
            <color indexed="81"/>
            <rFont val="Tahoma"/>
            <charset val="1"/>
          </rPr>
          <t>Default:
0.34</t>
        </r>
      </text>
    </comment>
    <comment ref="J32" authorId="0" shapeId="0">
      <text>
        <r>
          <rPr>
            <b/>
            <sz val="9"/>
            <color indexed="81"/>
            <rFont val="Tahoma"/>
            <charset val="1"/>
          </rPr>
          <t>Default:
0.34</t>
        </r>
      </text>
    </comment>
    <comment ref="K32" authorId="0" shapeId="0">
      <text>
        <r>
          <rPr>
            <b/>
            <sz val="9"/>
            <color indexed="81"/>
            <rFont val="Tahoma"/>
            <charset val="1"/>
          </rPr>
          <t>Default:
0.34</t>
        </r>
      </text>
    </comment>
    <comment ref="L32" authorId="0" shapeId="0">
      <text>
        <r>
          <rPr>
            <b/>
            <sz val="9"/>
            <color indexed="81"/>
            <rFont val="Tahoma"/>
            <charset val="1"/>
          </rPr>
          <t>Default:
0.34</t>
        </r>
      </text>
    </comment>
    <comment ref="C33" authorId="0" shapeId="0">
      <text>
        <r>
          <rPr>
            <b/>
            <sz val="9"/>
            <color indexed="81"/>
            <rFont val="Tahoma"/>
            <charset val="1"/>
          </rPr>
          <t>Default:
0.61</t>
        </r>
      </text>
    </comment>
    <comment ref="D33" authorId="0" shapeId="0">
      <text>
        <r>
          <rPr>
            <b/>
            <sz val="9"/>
            <color indexed="81"/>
            <rFont val="Tahoma"/>
            <charset val="1"/>
          </rPr>
          <t>Default:
0.61</t>
        </r>
      </text>
    </comment>
    <comment ref="E33" authorId="0" shapeId="0">
      <text>
        <r>
          <rPr>
            <b/>
            <sz val="9"/>
            <color indexed="81"/>
            <rFont val="Tahoma"/>
            <charset val="1"/>
          </rPr>
          <t>Default:
0.61</t>
        </r>
      </text>
    </comment>
    <comment ref="F33" authorId="0" shapeId="0">
      <text>
        <r>
          <rPr>
            <b/>
            <sz val="9"/>
            <color indexed="81"/>
            <rFont val="Tahoma"/>
            <charset val="1"/>
          </rPr>
          <t>Default:
0.61</t>
        </r>
      </text>
    </comment>
    <comment ref="G33" authorId="0" shapeId="0">
      <text>
        <r>
          <rPr>
            <b/>
            <sz val="9"/>
            <color indexed="81"/>
            <rFont val="Tahoma"/>
            <charset val="1"/>
          </rPr>
          <t>Default:
0.61</t>
        </r>
      </text>
    </comment>
    <comment ref="H33" authorId="0" shapeId="0">
      <text>
        <r>
          <rPr>
            <b/>
            <sz val="9"/>
            <color indexed="81"/>
            <rFont val="Tahoma"/>
            <charset val="1"/>
          </rPr>
          <t>Default:
0.61</t>
        </r>
      </text>
    </comment>
    <comment ref="I33" authorId="0" shapeId="0">
      <text>
        <r>
          <rPr>
            <b/>
            <sz val="9"/>
            <color indexed="81"/>
            <rFont val="Tahoma"/>
            <charset val="1"/>
          </rPr>
          <t>Default:
0.61</t>
        </r>
      </text>
    </comment>
    <comment ref="J33" authorId="0" shapeId="0">
      <text>
        <r>
          <rPr>
            <b/>
            <sz val="9"/>
            <color indexed="81"/>
            <rFont val="Tahoma"/>
            <charset val="1"/>
          </rPr>
          <t>Default:
0.61</t>
        </r>
      </text>
    </comment>
    <comment ref="K33" authorId="0" shapeId="0">
      <text>
        <r>
          <rPr>
            <b/>
            <sz val="9"/>
            <color indexed="81"/>
            <rFont val="Tahoma"/>
            <charset val="1"/>
          </rPr>
          <t>Default:
0.61</t>
        </r>
      </text>
    </comment>
    <comment ref="L33" authorId="0" shapeId="0">
      <text>
        <r>
          <rPr>
            <b/>
            <sz val="9"/>
            <color indexed="81"/>
            <rFont val="Tahoma"/>
            <charset val="1"/>
          </rPr>
          <t>Default:
0.61</t>
        </r>
      </text>
    </comment>
    <comment ref="C34" authorId="0" shapeId="0">
      <text>
        <r>
          <rPr>
            <b/>
            <sz val="9"/>
            <color indexed="81"/>
            <rFont val="Tahoma"/>
            <charset val="1"/>
          </rPr>
          <t>Default:
0.34</t>
        </r>
      </text>
    </comment>
    <comment ref="D34" authorId="0" shapeId="0">
      <text>
        <r>
          <rPr>
            <b/>
            <sz val="9"/>
            <color indexed="81"/>
            <rFont val="Tahoma"/>
            <charset val="1"/>
          </rPr>
          <t>Default:
0.34</t>
        </r>
      </text>
    </comment>
    <comment ref="E34" authorId="0" shapeId="0">
      <text>
        <r>
          <rPr>
            <b/>
            <sz val="9"/>
            <color indexed="81"/>
            <rFont val="Tahoma"/>
            <charset val="1"/>
          </rPr>
          <t>Default:
0.34</t>
        </r>
      </text>
    </comment>
    <comment ref="F34" authorId="0" shapeId="0">
      <text>
        <r>
          <rPr>
            <b/>
            <sz val="9"/>
            <color indexed="81"/>
            <rFont val="Tahoma"/>
            <charset val="1"/>
          </rPr>
          <t>Default:
0.34</t>
        </r>
      </text>
    </comment>
    <comment ref="G34" authorId="0" shapeId="0">
      <text>
        <r>
          <rPr>
            <b/>
            <sz val="9"/>
            <color indexed="81"/>
            <rFont val="Tahoma"/>
            <charset val="1"/>
          </rPr>
          <t>Default:
0.34</t>
        </r>
      </text>
    </comment>
    <comment ref="H34" authorId="0" shapeId="0">
      <text>
        <r>
          <rPr>
            <b/>
            <sz val="9"/>
            <color indexed="81"/>
            <rFont val="Tahoma"/>
            <charset val="1"/>
          </rPr>
          <t>Default:
0.34</t>
        </r>
      </text>
    </comment>
    <comment ref="I34" authorId="0" shapeId="0">
      <text>
        <r>
          <rPr>
            <b/>
            <sz val="9"/>
            <color indexed="81"/>
            <rFont val="Tahoma"/>
            <charset val="1"/>
          </rPr>
          <t>Default:
0.34</t>
        </r>
      </text>
    </comment>
    <comment ref="J34" authorId="0" shapeId="0">
      <text>
        <r>
          <rPr>
            <b/>
            <sz val="9"/>
            <color indexed="81"/>
            <rFont val="Tahoma"/>
            <charset val="1"/>
          </rPr>
          <t>Default:
0.34</t>
        </r>
      </text>
    </comment>
    <comment ref="K34" authorId="0" shapeId="0">
      <text>
        <r>
          <rPr>
            <b/>
            <sz val="9"/>
            <color indexed="81"/>
            <rFont val="Tahoma"/>
            <charset val="1"/>
          </rPr>
          <t>Default:
0.34</t>
        </r>
      </text>
    </comment>
    <comment ref="L34" authorId="0" shapeId="0">
      <text>
        <r>
          <rPr>
            <b/>
            <sz val="9"/>
            <color indexed="81"/>
            <rFont val="Tahoma"/>
            <charset val="1"/>
          </rPr>
          <t>Default:
0.34</t>
        </r>
      </text>
    </comment>
    <comment ref="C35" authorId="0" shapeId="0">
      <text>
        <r>
          <rPr>
            <b/>
            <sz val="9"/>
            <color indexed="81"/>
            <rFont val="Tahoma"/>
            <charset val="1"/>
          </rPr>
          <t>Default:
=(FRM!$F$4*0.8625)+(FRM!$F$5*0.46)+(FRM!$F$6*0.46)
0.8625 for S
0.46 for M &amp; L</t>
        </r>
      </text>
    </comment>
    <comment ref="D35" authorId="0" shapeId="0">
      <text>
        <r>
          <rPr>
            <b/>
            <sz val="9"/>
            <color indexed="81"/>
            <rFont val="Tahoma"/>
            <charset val="1"/>
          </rPr>
          <t>Default:
=(FRM!$F$4*0.8625)+(FRM!$F$5*0.46)+(FRM!$F$6*0.46)
0.8625 for S
0.46 for M &amp; L</t>
        </r>
      </text>
    </comment>
    <comment ref="E35" authorId="0" shapeId="0">
      <text>
        <r>
          <rPr>
            <b/>
            <sz val="9"/>
            <color indexed="81"/>
            <rFont val="Tahoma"/>
            <charset val="1"/>
          </rPr>
          <t>Default:
=(FRM!$F$4*0.8625)+(FRM!$F$5*0.46)+(FRM!$F$6*0.46)
0.8625 for S
0.46 for M &amp; L</t>
        </r>
      </text>
    </comment>
    <comment ref="F35" authorId="0" shapeId="0">
      <text>
        <r>
          <rPr>
            <b/>
            <sz val="9"/>
            <color indexed="81"/>
            <rFont val="Tahoma"/>
            <charset val="1"/>
          </rPr>
          <t>Default:
=(FRM!$F$4*0.8625)+(FRM!$F$5*0.46)+(FRM!$F$6*0.46)
0.8625 for S
0.46 for M &amp; L</t>
        </r>
      </text>
    </comment>
    <comment ref="G35" authorId="0" shapeId="0">
      <text>
        <r>
          <rPr>
            <b/>
            <sz val="9"/>
            <color indexed="81"/>
            <rFont val="Tahoma"/>
            <charset val="1"/>
          </rPr>
          <t>Default:
=(FRM!$F$4*0.8625)+(FRM!$F$5*0.46)+(FRM!$F$6*0.46)
0.8625 for S
0.46 for M &amp; L</t>
        </r>
      </text>
    </comment>
    <comment ref="H35" authorId="0" shapeId="0">
      <text>
        <r>
          <rPr>
            <b/>
            <sz val="9"/>
            <color indexed="81"/>
            <rFont val="Tahoma"/>
            <charset val="1"/>
          </rPr>
          <t>Default:
=(FRM!$F$4*0.8625)+(FRM!$F$5*0.46)+(FRM!$F$6*0.46)
0.8625 for S
0.46 for M &amp; L</t>
        </r>
      </text>
    </comment>
    <comment ref="I35" authorId="0" shapeId="0">
      <text>
        <r>
          <rPr>
            <b/>
            <sz val="9"/>
            <color indexed="81"/>
            <rFont val="Tahoma"/>
            <charset val="1"/>
          </rPr>
          <t>Default:
=(FRM!$F$4*0.8625)+(FRM!$F$5*0.46)+(FRM!$F$6*0.46)
0.8625 for S
0.46 for M &amp; L</t>
        </r>
      </text>
    </comment>
    <comment ref="J35" authorId="0" shapeId="0">
      <text>
        <r>
          <rPr>
            <b/>
            <sz val="9"/>
            <color indexed="81"/>
            <rFont val="Tahoma"/>
            <charset val="1"/>
          </rPr>
          <t>Default:
=(FRM!$F$4*0.8625)+(FRM!$F$5*0.46)+(FRM!$F$6*0.46)
0.8625 for S
0.46 for M &amp; L</t>
        </r>
      </text>
    </comment>
    <comment ref="K35" authorId="0" shapeId="0">
      <text>
        <r>
          <rPr>
            <b/>
            <sz val="9"/>
            <color indexed="81"/>
            <rFont val="Tahoma"/>
            <charset val="1"/>
          </rPr>
          <t>Default:
=(FRM!$F$4*0.8625)+(FRM!$F$5*0.46)+(FRM!$F$6*0.46)
0.8625 for S
0.46 for M &amp; L</t>
        </r>
      </text>
    </comment>
    <comment ref="L35" authorId="0" shapeId="0">
      <text>
        <r>
          <rPr>
            <b/>
            <sz val="9"/>
            <color indexed="81"/>
            <rFont val="Tahoma"/>
            <charset val="1"/>
          </rPr>
          <t>Default:
=(FRM!$F$4*0.8625)+(FRM!$F$5*0.46)+(FRM!$F$6*0.46)
0.8625 for S
0.46 for M &amp; L</t>
        </r>
      </text>
    </comment>
    <comment ref="C36" authorId="0" shapeId="0">
      <text>
        <r>
          <rPr>
            <b/>
            <sz val="9"/>
            <color indexed="81"/>
            <rFont val="Tahoma"/>
            <charset val="1"/>
          </rPr>
          <t>Default:
0.131836702413325</t>
        </r>
      </text>
    </comment>
    <comment ref="D36" authorId="0" shapeId="0">
      <text>
        <r>
          <rPr>
            <b/>
            <sz val="9"/>
            <color indexed="81"/>
            <rFont val="Tahoma"/>
            <charset val="1"/>
          </rPr>
          <t>Default:
0.131836702413325</t>
        </r>
      </text>
    </comment>
    <comment ref="E36" authorId="0" shapeId="0">
      <text>
        <r>
          <rPr>
            <b/>
            <sz val="9"/>
            <color indexed="81"/>
            <rFont val="Tahoma"/>
            <charset val="1"/>
          </rPr>
          <t>Default:
0.131836702413325</t>
        </r>
      </text>
    </comment>
    <comment ref="F36" authorId="0" shapeId="0">
      <text>
        <r>
          <rPr>
            <b/>
            <sz val="9"/>
            <color indexed="81"/>
            <rFont val="Tahoma"/>
            <charset val="1"/>
          </rPr>
          <t>Default:
0.131836702413325</t>
        </r>
      </text>
    </comment>
    <comment ref="G36" authorId="0" shapeId="0">
      <text>
        <r>
          <rPr>
            <b/>
            <sz val="9"/>
            <color indexed="81"/>
            <rFont val="Tahoma"/>
            <charset val="1"/>
          </rPr>
          <t>Default:
0.131836702413325</t>
        </r>
      </text>
    </comment>
    <comment ref="H36" authorId="0" shapeId="0">
      <text>
        <r>
          <rPr>
            <b/>
            <sz val="9"/>
            <color indexed="81"/>
            <rFont val="Tahoma"/>
            <charset val="1"/>
          </rPr>
          <t>Default:
0.131836702413325</t>
        </r>
      </text>
    </comment>
    <comment ref="I36" authorId="0" shapeId="0">
      <text>
        <r>
          <rPr>
            <b/>
            <sz val="9"/>
            <color indexed="81"/>
            <rFont val="Tahoma"/>
            <charset val="1"/>
          </rPr>
          <t>Default:
0.131836702413325</t>
        </r>
      </text>
    </comment>
    <comment ref="J36" authorId="0" shapeId="0">
      <text>
        <r>
          <rPr>
            <b/>
            <sz val="9"/>
            <color indexed="81"/>
            <rFont val="Tahoma"/>
            <charset val="1"/>
          </rPr>
          <t>Default:
0.131836702413325</t>
        </r>
      </text>
    </comment>
    <comment ref="K36" authorId="0" shapeId="0">
      <text>
        <r>
          <rPr>
            <b/>
            <sz val="9"/>
            <color indexed="81"/>
            <rFont val="Tahoma"/>
            <charset val="1"/>
          </rPr>
          <t>Default:
0.131836702413325</t>
        </r>
      </text>
    </comment>
    <comment ref="L36" authorId="0" shapeId="0">
      <text>
        <r>
          <rPr>
            <b/>
            <sz val="9"/>
            <color indexed="81"/>
            <rFont val="Tahoma"/>
            <charset val="1"/>
          </rPr>
          <t>Default:
0.131836702413325</t>
        </r>
      </text>
    </comment>
    <comment ref="C37" authorId="0" shapeId="0">
      <text>
        <r>
          <rPr>
            <b/>
            <sz val="9"/>
            <color indexed="81"/>
            <rFont val="Tahoma"/>
            <charset val="1"/>
          </rPr>
          <t>Default:
=(FRM!$F$4*0.12)+(FRM!$F$5*0.12)+(FRM!$F$6*0.07)
0.12 for S 
0.12 for M
0.07 for L</t>
        </r>
      </text>
    </comment>
    <comment ref="D37" authorId="0" shapeId="0">
      <text>
        <r>
          <rPr>
            <b/>
            <sz val="9"/>
            <color indexed="81"/>
            <rFont val="Tahoma"/>
            <charset val="1"/>
          </rPr>
          <t>Default:
=(FRM!$F$4*0.12)+(FRM!$F$5*0.12)+(FRM!$F$6*0.07)
0.12 for S 
0.12 for M
0.07 for L</t>
        </r>
      </text>
    </comment>
    <comment ref="E37" authorId="0" shapeId="0">
      <text>
        <r>
          <rPr>
            <b/>
            <sz val="9"/>
            <color indexed="81"/>
            <rFont val="Tahoma"/>
            <charset val="1"/>
          </rPr>
          <t>Default:
=(FRM!$F$4*0.12)+(FRM!$F$5*0.12)+(FRM!$F$6*0.07)
0.12 for S 
0.12 for M
0.07 for L</t>
        </r>
      </text>
    </comment>
    <comment ref="F37" authorId="0" shapeId="0">
      <text>
        <r>
          <rPr>
            <b/>
            <sz val="9"/>
            <color indexed="81"/>
            <rFont val="Tahoma"/>
            <charset val="1"/>
          </rPr>
          <t>Default:
=(FRM!$F$4*0.12)+(FRM!$F$5*0.12)+(FRM!$F$6*0.07)
0.12 for S 
0.12 for M
0.07 for L</t>
        </r>
      </text>
    </comment>
    <comment ref="G37" authorId="0" shapeId="0">
      <text>
        <r>
          <rPr>
            <b/>
            <sz val="9"/>
            <color indexed="81"/>
            <rFont val="Tahoma"/>
            <charset val="1"/>
          </rPr>
          <t>Default:
=(FRM!$F$4*0.12)+(FRM!$F$5*0.12)+(FRM!$F$6*0.07)
0.12 for S 
0.12 for M
0.07 for L</t>
        </r>
      </text>
    </comment>
    <comment ref="H37" authorId="0" shapeId="0">
      <text>
        <r>
          <rPr>
            <b/>
            <sz val="9"/>
            <color indexed="81"/>
            <rFont val="Tahoma"/>
            <charset val="1"/>
          </rPr>
          <t>Default:
=(FRM!$F$4*0.12)+(FRM!$F$5*0.12)+(FRM!$F$6*0.07)
0.12 for S 
0.12 for M
0.07 for L</t>
        </r>
      </text>
    </comment>
    <comment ref="I37" authorId="0" shapeId="0">
      <text>
        <r>
          <rPr>
            <b/>
            <sz val="9"/>
            <color indexed="81"/>
            <rFont val="Tahoma"/>
            <charset val="1"/>
          </rPr>
          <t>Default:
=(FRM!$F$4*0.12)+(FRM!$F$5*0.12)+(FRM!$F$6*0.07)
0.12 for S 
0.12 for M
0.07 for L</t>
        </r>
      </text>
    </comment>
    <comment ref="J37" authorId="0" shapeId="0">
      <text>
        <r>
          <rPr>
            <b/>
            <sz val="9"/>
            <color indexed="81"/>
            <rFont val="Tahoma"/>
            <charset val="1"/>
          </rPr>
          <t>Default:
=(FRM!$F$4*0.12)+(FRM!$F$5*0.12)+(FRM!$F$6*0.07)
0.12 for S 
0.12 for M
0.07 for L</t>
        </r>
      </text>
    </comment>
    <comment ref="K37" authorId="0" shapeId="0">
      <text>
        <r>
          <rPr>
            <b/>
            <sz val="9"/>
            <color indexed="81"/>
            <rFont val="Tahoma"/>
            <charset val="1"/>
          </rPr>
          <t>Default:
=(FRM!$F$4*0.12)+(FRM!$F$5*0.12)+(FRM!$F$6*0.07)
0.12 for S 
0.12 for M
0.07 for L</t>
        </r>
      </text>
    </comment>
    <comment ref="L37" authorId="0" shapeId="0">
      <text>
        <r>
          <rPr>
            <b/>
            <sz val="9"/>
            <color indexed="81"/>
            <rFont val="Tahoma"/>
            <charset val="1"/>
          </rPr>
          <t>Default:
=(FRM!$F$4*0.12)+(FRM!$F$5*0.12)+(FRM!$F$6*0.07)
0.12 for S 
0.12 for M
0.07 for L</t>
        </r>
      </text>
    </comment>
    <comment ref="J38" authorId="0" shapeId="0">
      <text>
        <r>
          <rPr>
            <b/>
            <sz val="9"/>
            <color indexed="81"/>
            <rFont val="Tahoma"/>
            <charset val="1"/>
          </rPr>
          <t>From cooperating producer</t>
        </r>
      </text>
    </comment>
    <comment ref="C39" authorId="0" shapeId="0">
      <text>
        <r>
          <rPr>
            <b/>
            <sz val="9"/>
            <color indexed="81"/>
            <rFont val="Tahoma"/>
            <charset val="1"/>
          </rPr>
          <t>Default:
=(FRM!$F$4*2.66666666666667)+(FRM!$F$5*2)+(FRM!$F$6*2)
2.66666666666667 for S 
2 for M
2 for L</t>
        </r>
      </text>
    </comment>
    <comment ref="D39" authorId="0" shapeId="0">
      <text>
        <r>
          <rPr>
            <b/>
            <sz val="9"/>
            <color indexed="81"/>
            <rFont val="Tahoma"/>
            <charset val="1"/>
          </rPr>
          <t>Default:
=(FRM!$F$4*2.66666666666667)+(FRM!$F$5*2)+(FRM!$F$6*2)
2.66666666666667 for S 
2 for M
2 for L</t>
        </r>
      </text>
    </comment>
    <comment ref="E39" authorId="0" shapeId="0">
      <text>
        <r>
          <rPr>
            <b/>
            <sz val="9"/>
            <color indexed="81"/>
            <rFont val="Tahoma"/>
            <charset val="1"/>
          </rPr>
          <t>Default:
=(FRM!$F$4*2.66666666666667)+(FRM!$F$5*2)+(FRM!$F$6*2)
2.66666666666667 for S 
2 for M
2 for L</t>
        </r>
      </text>
    </comment>
    <comment ref="F39" authorId="0" shapeId="0">
      <text>
        <r>
          <rPr>
            <b/>
            <sz val="9"/>
            <color indexed="81"/>
            <rFont val="Tahoma"/>
            <charset val="1"/>
          </rPr>
          <t>Default:
=(FRM!$F$4*2.66666666666667)+(FRM!$F$5*2)+(FRM!$F$6*2)
2.66666666666667 for S 
2 for M
2 for L</t>
        </r>
      </text>
    </comment>
    <comment ref="G39" authorId="0" shapeId="0">
      <text>
        <r>
          <rPr>
            <b/>
            <sz val="9"/>
            <color indexed="81"/>
            <rFont val="Tahoma"/>
            <charset val="1"/>
          </rPr>
          <t>Default:
=(FRM!$F$4*2.66666666666667)+(FRM!$F$5*2)+(FRM!$F$6*2)
2.66666666666667 for S 
2 for M
2 for L</t>
        </r>
      </text>
    </comment>
    <comment ref="H39" authorId="0" shapeId="0">
      <text>
        <r>
          <rPr>
            <b/>
            <sz val="9"/>
            <color indexed="81"/>
            <rFont val="Tahoma"/>
            <charset val="1"/>
          </rPr>
          <t>Default:
=(FRM!$F$4*2.66666666666667)+(FRM!$F$5*2)+(FRM!$F$6*2)
2.66666666666667 for S 
2 for M
2 for L</t>
        </r>
      </text>
    </comment>
    <comment ref="I39" authorId="0" shapeId="0">
      <text>
        <r>
          <rPr>
            <b/>
            <sz val="9"/>
            <color indexed="81"/>
            <rFont val="Tahoma"/>
            <charset val="1"/>
          </rPr>
          <t>Default:
=(FRM!$F$4*2.66666666666667)+(FRM!$F$5*2)+(FRM!$F$6*2)
2.66666666666667 for S 
2 for M
2 for L</t>
        </r>
      </text>
    </comment>
    <comment ref="J39" authorId="0" shapeId="0">
      <text>
        <r>
          <rPr>
            <b/>
            <sz val="9"/>
            <color indexed="81"/>
            <rFont val="Tahoma"/>
            <charset val="1"/>
          </rPr>
          <t>Default:
=(FRM!$F$4*2.66666666666667)+(FRM!$F$5*2)+(FRM!$F$6*2)
2.66666666666667 for S 
2 for M
2 for L</t>
        </r>
      </text>
    </comment>
    <comment ref="K39" authorId="0" shapeId="0">
      <text>
        <r>
          <rPr>
            <b/>
            <sz val="9"/>
            <color indexed="81"/>
            <rFont val="Tahoma"/>
            <charset val="1"/>
          </rPr>
          <t>Default:
=(FRM!$F$4*2.66666666666667)+(FRM!$F$5*2)+(FRM!$F$6*2)
2.66666666666667 for S 
2 for M
2 for L</t>
        </r>
      </text>
    </comment>
    <comment ref="L39" authorId="0" shapeId="0">
      <text>
        <r>
          <rPr>
            <b/>
            <sz val="9"/>
            <color indexed="81"/>
            <rFont val="Tahoma"/>
            <charset val="1"/>
          </rPr>
          <t>Default:
=(FRM!$F$4*2.66666666666667)+(FRM!$F$5*2)+(FRM!$F$6*2)
2.66666666666667 for S 
2 for M
2 for L</t>
        </r>
      </text>
    </comment>
    <comment ref="C40" authorId="0" shapeId="0">
      <text>
        <r>
          <rPr>
            <b/>
            <sz val="9"/>
            <color indexed="81"/>
            <rFont val="Tahoma"/>
            <charset val="1"/>
          </rPr>
          <t>Default:
0.185081813771226</t>
        </r>
      </text>
    </comment>
    <comment ref="D40" authorId="0" shapeId="0">
      <text>
        <r>
          <rPr>
            <b/>
            <sz val="9"/>
            <color indexed="81"/>
            <rFont val="Tahoma"/>
            <charset val="1"/>
          </rPr>
          <t>Default:
0.139643738855962</t>
        </r>
      </text>
    </comment>
    <comment ref="E40" authorId="0" shapeId="0">
      <text>
        <r>
          <rPr>
            <b/>
            <sz val="9"/>
            <color indexed="81"/>
            <rFont val="Tahoma"/>
            <charset val="1"/>
          </rPr>
          <t>Default:
0.0942546273834947</t>
        </r>
      </text>
    </comment>
    <comment ref="F40" authorId="0" shapeId="0">
      <text>
        <r>
          <rPr>
            <b/>
            <sz val="9"/>
            <color indexed="81"/>
            <rFont val="Tahoma"/>
            <charset val="1"/>
          </rPr>
          <t>Default:
0.150195360778634</t>
        </r>
      </text>
    </comment>
    <comment ref="G40" authorId="0" shapeId="0">
      <text>
        <r>
          <rPr>
            <b/>
            <sz val="9"/>
            <color indexed="81"/>
            <rFont val="Tahoma"/>
            <charset val="1"/>
          </rPr>
          <t>Default:
0.150195360778634</t>
        </r>
      </text>
    </comment>
    <comment ref="H40" authorId="0" shapeId="0">
      <text>
        <r>
          <rPr>
            <b/>
            <sz val="9"/>
            <color indexed="81"/>
            <rFont val="Tahoma"/>
            <charset val="1"/>
          </rPr>
          <t>Default:
=0.150195360778634*(36/34)*(56/60)</t>
        </r>
      </text>
    </comment>
    <comment ref="I40" authorId="0" shapeId="0">
      <text>
        <r>
          <rPr>
            <b/>
            <sz val="9"/>
            <color indexed="81"/>
            <rFont val="Tahoma"/>
            <charset val="1"/>
          </rPr>
          <t>Default:
0.150195360778634</t>
        </r>
      </text>
    </comment>
    <comment ref="J40" authorId="0" shapeId="0">
      <text>
        <r>
          <rPr>
            <b/>
            <sz val="9"/>
            <color indexed="81"/>
            <rFont val="Tahoma"/>
            <charset val="1"/>
          </rPr>
          <t>From cooperating producer</t>
        </r>
      </text>
    </comment>
    <comment ref="K40" authorId="0" shapeId="0">
      <text>
        <r>
          <rPr>
            <b/>
            <sz val="9"/>
            <color indexed="81"/>
            <rFont val="Tahoma"/>
            <charset val="1"/>
          </rPr>
          <t>Default:
0.150195360778634</t>
        </r>
      </text>
    </comment>
    <comment ref="L40" authorId="0" shapeId="0">
      <text>
        <r>
          <rPr>
            <b/>
            <sz val="9"/>
            <color indexed="81"/>
            <rFont val="Tahoma"/>
            <charset val="1"/>
          </rPr>
          <t>Default:
=0.150195360778634*(25/34)*(60/60)</t>
        </r>
      </text>
    </comment>
    <comment ref="C41" authorId="0" shapeId="0">
      <text>
        <r>
          <rPr>
            <b/>
            <sz val="9"/>
            <color indexed="81"/>
            <rFont val="Tahoma"/>
            <charset val="1"/>
          </rPr>
          <t>Default:
0</t>
        </r>
      </text>
    </comment>
    <comment ref="D41" authorId="0" shapeId="0">
      <text>
        <r>
          <rPr>
            <b/>
            <sz val="9"/>
            <color indexed="81"/>
            <rFont val="Tahoma"/>
            <charset val="1"/>
          </rPr>
          <t>Default:
0</t>
        </r>
      </text>
    </comment>
    <comment ref="E41" authorId="0" shapeId="0">
      <text>
        <r>
          <rPr>
            <b/>
            <sz val="9"/>
            <color indexed="81"/>
            <rFont val="Tahoma"/>
            <charset val="1"/>
          </rPr>
          <t>Default:
0</t>
        </r>
      </text>
    </comment>
    <comment ref="F41" authorId="0" shapeId="0">
      <text>
        <r>
          <rPr>
            <b/>
            <sz val="9"/>
            <color indexed="81"/>
            <rFont val="Tahoma"/>
            <charset val="1"/>
          </rPr>
          <t>Default:
0</t>
        </r>
      </text>
    </comment>
    <comment ref="G41" authorId="0" shapeId="0">
      <text>
        <r>
          <rPr>
            <b/>
            <sz val="9"/>
            <color indexed="81"/>
            <rFont val="Tahoma"/>
            <charset val="1"/>
          </rPr>
          <t>Default:
0</t>
        </r>
      </text>
    </comment>
    <comment ref="H41" authorId="0" shapeId="0">
      <text>
        <r>
          <rPr>
            <b/>
            <sz val="9"/>
            <color indexed="81"/>
            <rFont val="Tahoma"/>
            <charset val="1"/>
          </rPr>
          <t>Default:
0</t>
        </r>
      </text>
    </comment>
    <comment ref="I41" authorId="0" shapeId="0">
      <text>
        <r>
          <rPr>
            <b/>
            <sz val="9"/>
            <color indexed="81"/>
            <rFont val="Tahoma"/>
            <charset val="1"/>
          </rPr>
          <t>Default:
0</t>
        </r>
      </text>
    </comment>
    <comment ref="J41" authorId="0" shapeId="0">
      <text>
        <r>
          <rPr>
            <b/>
            <sz val="9"/>
            <color indexed="81"/>
            <rFont val="Tahoma"/>
            <charset val="1"/>
          </rPr>
          <t>Default:
0</t>
        </r>
      </text>
    </comment>
    <comment ref="K41" authorId="0" shapeId="0">
      <text>
        <r>
          <rPr>
            <b/>
            <sz val="9"/>
            <color indexed="81"/>
            <rFont val="Tahoma"/>
            <charset val="1"/>
          </rPr>
          <t>Default:
0</t>
        </r>
      </text>
    </comment>
    <comment ref="L41" authorId="0" shapeId="0">
      <text>
        <r>
          <rPr>
            <b/>
            <sz val="9"/>
            <color indexed="81"/>
            <rFont val="Tahoma"/>
            <charset val="1"/>
          </rPr>
          <t>Default:
0</t>
        </r>
      </text>
    </comment>
    <comment ref="C42" authorId="0" shapeId="0">
      <text>
        <r>
          <rPr>
            <b/>
            <sz val="9"/>
            <color indexed="81"/>
            <rFont val="Tahoma"/>
            <charset val="1"/>
          </rPr>
          <t>Default:
0</t>
        </r>
      </text>
    </comment>
    <comment ref="D42" authorId="0" shapeId="0">
      <text>
        <r>
          <rPr>
            <b/>
            <sz val="9"/>
            <color indexed="81"/>
            <rFont val="Tahoma"/>
            <charset val="1"/>
          </rPr>
          <t>Default:
0</t>
        </r>
      </text>
    </comment>
    <comment ref="E42" authorId="0" shapeId="0">
      <text>
        <r>
          <rPr>
            <b/>
            <sz val="9"/>
            <color indexed="81"/>
            <rFont val="Tahoma"/>
            <charset val="1"/>
          </rPr>
          <t>Default:
0</t>
        </r>
      </text>
    </comment>
    <comment ref="F42" authorId="0" shapeId="0">
      <text>
        <r>
          <rPr>
            <b/>
            <sz val="9"/>
            <color indexed="81"/>
            <rFont val="Tahoma"/>
            <charset val="1"/>
          </rPr>
          <t>Default:
0</t>
        </r>
      </text>
    </comment>
    <comment ref="G42" authorId="0" shapeId="0">
      <text>
        <r>
          <rPr>
            <b/>
            <sz val="9"/>
            <color indexed="81"/>
            <rFont val="Tahoma"/>
            <charset val="1"/>
          </rPr>
          <t>Default:
0</t>
        </r>
      </text>
    </comment>
    <comment ref="H42" authorId="0" shapeId="0">
      <text>
        <r>
          <rPr>
            <b/>
            <sz val="9"/>
            <color indexed="81"/>
            <rFont val="Tahoma"/>
            <charset val="1"/>
          </rPr>
          <t>Default:
0</t>
        </r>
      </text>
    </comment>
    <comment ref="I42" authorId="0" shapeId="0">
      <text>
        <r>
          <rPr>
            <b/>
            <sz val="9"/>
            <color indexed="81"/>
            <rFont val="Tahoma"/>
            <charset val="1"/>
          </rPr>
          <t>Default:
0</t>
        </r>
      </text>
    </comment>
    <comment ref="J42" authorId="0" shapeId="0">
      <text>
        <r>
          <rPr>
            <b/>
            <sz val="9"/>
            <color indexed="81"/>
            <rFont val="Tahoma"/>
            <charset val="1"/>
          </rPr>
          <t>Default:
0</t>
        </r>
      </text>
    </comment>
    <comment ref="K42" authorId="0" shapeId="0">
      <text>
        <r>
          <rPr>
            <b/>
            <sz val="9"/>
            <color indexed="81"/>
            <rFont val="Tahoma"/>
            <charset val="1"/>
          </rPr>
          <t>Default:
0</t>
        </r>
      </text>
    </comment>
    <comment ref="L42" authorId="0" shapeId="0">
      <text>
        <r>
          <rPr>
            <b/>
            <sz val="9"/>
            <color indexed="81"/>
            <rFont val="Tahoma"/>
            <charset val="1"/>
          </rPr>
          <t>Default:
0</t>
        </r>
      </text>
    </comment>
    <comment ref="B46" authorId="0" shapeId="0">
      <text>
        <r>
          <rPr>
            <b/>
            <sz val="9"/>
            <color indexed="81"/>
            <rFont val="Tahoma"/>
            <family val="2"/>
          </rPr>
          <t xml:space="preserve">Default:
12.5
Typical lube costs in are estimated to be 10-15% of diesel fuel costs (Andrew Plant, personal communication).  
This was changed to 12.5% of diesel fuel costs (average).
</t>
        </r>
      </text>
    </comment>
    <comment ref="C52" authorId="0" shapeId="0">
      <text>
        <r>
          <rPr>
            <b/>
            <sz val="9"/>
            <color indexed="81"/>
            <rFont val="Tahoma"/>
            <family val="2"/>
          </rPr>
          <t>Default:
0</t>
        </r>
      </text>
    </comment>
    <comment ref="D52" authorId="0" shapeId="0">
      <text>
        <r>
          <rPr>
            <b/>
            <sz val="9"/>
            <color indexed="81"/>
            <rFont val="Tahoma"/>
            <family val="2"/>
          </rPr>
          <t>Default:
0</t>
        </r>
      </text>
    </comment>
    <comment ref="E52" authorId="0" shapeId="0">
      <text>
        <r>
          <rPr>
            <b/>
            <sz val="9"/>
            <color indexed="81"/>
            <rFont val="Tahoma"/>
            <family val="2"/>
          </rPr>
          <t>Default:
0</t>
        </r>
      </text>
    </comment>
    <comment ref="F52" authorId="0" shapeId="0">
      <text>
        <r>
          <rPr>
            <b/>
            <sz val="9"/>
            <color indexed="81"/>
            <rFont val="Tahoma"/>
            <family val="2"/>
          </rPr>
          <t>Default:
0</t>
        </r>
      </text>
    </comment>
    <comment ref="G52" authorId="0" shapeId="0">
      <text>
        <r>
          <rPr>
            <b/>
            <sz val="9"/>
            <color indexed="81"/>
            <rFont val="Tahoma"/>
            <family val="2"/>
          </rPr>
          <t>Default:
0</t>
        </r>
      </text>
    </comment>
    <comment ref="H52" authorId="0" shapeId="0">
      <text>
        <r>
          <rPr>
            <b/>
            <sz val="9"/>
            <color indexed="81"/>
            <rFont val="Tahoma"/>
            <family val="2"/>
          </rPr>
          <t>Default:
0</t>
        </r>
      </text>
    </comment>
    <comment ref="I52" authorId="0" shapeId="0">
      <text>
        <r>
          <rPr>
            <b/>
            <sz val="9"/>
            <color indexed="81"/>
            <rFont val="Tahoma"/>
            <family val="2"/>
          </rPr>
          <t>Default:
0</t>
        </r>
      </text>
    </comment>
    <comment ref="J52" authorId="0" shapeId="0">
      <text>
        <r>
          <rPr>
            <b/>
            <sz val="9"/>
            <color indexed="81"/>
            <rFont val="Tahoma"/>
            <family val="2"/>
          </rPr>
          <t>Default:
0</t>
        </r>
      </text>
    </comment>
    <comment ref="K52" authorId="0" shapeId="0">
      <text>
        <r>
          <rPr>
            <b/>
            <sz val="9"/>
            <color indexed="81"/>
            <rFont val="Tahoma"/>
            <family val="2"/>
          </rPr>
          <t>Default:
0</t>
        </r>
      </text>
    </comment>
    <comment ref="L52" authorId="0" shapeId="0">
      <text>
        <r>
          <rPr>
            <b/>
            <sz val="9"/>
            <color indexed="81"/>
            <rFont val="Tahoma"/>
            <family val="2"/>
          </rPr>
          <t>Default:
0</t>
        </r>
      </text>
    </comment>
    <comment ref="C53" authorId="0" shapeId="0">
      <text>
        <r>
          <rPr>
            <b/>
            <sz val="9"/>
            <color indexed="81"/>
            <rFont val="Tahoma"/>
            <family val="2"/>
          </rPr>
          <t>Default:
300</t>
        </r>
      </text>
    </comment>
    <comment ref="D53" authorId="0" shapeId="0">
      <text>
        <r>
          <rPr>
            <b/>
            <sz val="9"/>
            <color indexed="81"/>
            <rFont val="Tahoma"/>
            <family val="2"/>
          </rPr>
          <t>Default:
300</t>
        </r>
      </text>
    </comment>
    <comment ref="E53" authorId="0" shapeId="0">
      <text>
        <r>
          <rPr>
            <b/>
            <sz val="9"/>
            <color indexed="81"/>
            <rFont val="Tahoma"/>
            <family val="2"/>
          </rPr>
          <t>Default:
300</t>
        </r>
      </text>
    </comment>
    <comment ref="F53" authorId="0" shapeId="0">
      <text>
        <r>
          <rPr>
            <b/>
            <sz val="9"/>
            <color indexed="81"/>
            <rFont val="Tahoma"/>
            <family val="2"/>
          </rPr>
          <t>Default:
300</t>
        </r>
      </text>
    </comment>
    <comment ref="G53" authorId="0" shapeId="0">
      <text>
        <r>
          <rPr>
            <b/>
            <sz val="9"/>
            <color indexed="81"/>
            <rFont val="Tahoma"/>
            <family val="2"/>
          </rPr>
          <t>Default:
300</t>
        </r>
      </text>
    </comment>
    <comment ref="H53" authorId="0" shapeId="0">
      <text>
        <r>
          <rPr>
            <b/>
            <sz val="9"/>
            <color indexed="81"/>
            <rFont val="Tahoma"/>
            <family val="2"/>
          </rPr>
          <t>Default:
300</t>
        </r>
      </text>
    </comment>
    <comment ref="I53" authorId="0" shapeId="0">
      <text>
        <r>
          <rPr>
            <b/>
            <sz val="9"/>
            <color indexed="81"/>
            <rFont val="Tahoma"/>
            <family val="2"/>
          </rPr>
          <t>Default:
300</t>
        </r>
      </text>
    </comment>
    <comment ref="J53" authorId="0" shapeId="0">
      <text>
        <r>
          <rPr>
            <b/>
            <sz val="9"/>
            <color indexed="81"/>
            <rFont val="Tahoma"/>
            <family val="2"/>
          </rPr>
          <t>Default:
300</t>
        </r>
      </text>
    </comment>
    <comment ref="K53" authorId="0" shapeId="0">
      <text>
        <r>
          <rPr>
            <b/>
            <sz val="9"/>
            <color indexed="81"/>
            <rFont val="Tahoma"/>
            <family val="2"/>
          </rPr>
          <t>Default:
300</t>
        </r>
      </text>
    </comment>
    <comment ref="L53" authorId="0" shapeId="0">
      <text>
        <r>
          <rPr>
            <b/>
            <sz val="9"/>
            <color indexed="81"/>
            <rFont val="Tahoma"/>
            <family val="2"/>
          </rPr>
          <t>Default:
300</t>
        </r>
      </text>
    </comment>
    <comment ref="B57" authorId="0" shapeId="0">
      <text>
        <r>
          <rPr>
            <b/>
            <sz val="9"/>
            <color indexed="81"/>
            <rFont val="Tahoma"/>
            <family val="2"/>
          </rPr>
          <t>Default:
12</t>
        </r>
      </text>
    </comment>
    <comment ref="F57" authorId="0" shapeId="0">
      <text>
        <r>
          <rPr>
            <b/>
            <sz val="9"/>
            <color indexed="81"/>
            <rFont val="Tahoma"/>
            <family val="2"/>
          </rPr>
          <t>Default:
50</t>
        </r>
      </text>
    </comment>
    <comment ref="K61" authorId="0" shapeId="0">
      <text>
        <r>
          <rPr>
            <b/>
            <sz val="9"/>
            <color indexed="81"/>
            <rFont val="Tahoma"/>
            <family val="2"/>
          </rPr>
          <t>Default:
75
From Tom Molloy</t>
        </r>
      </text>
    </comment>
    <comment ref="G62" authorId="0" shapeId="0">
      <text>
        <r>
          <rPr>
            <b/>
            <sz val="9"/>
            <color indexed="81"/>
            <rFont val="Tahoma"/>
            <charset val="1"/>
          </rPr>
          <t xml:space="preserve">Default:
12
</t>
        </r>
      </text>
    </comment>
    <comment ref="I62" authorId="0" shapeId="0">
      <text>
        <r>
          <rPr>
            <b/>
            <sz val="9"/>
            <color indexed="81"/>
            <rFont val="Tahoma"/>
            <charset val="1"/>
          </rPr>
          <t xml:space="preserve">Default:
12
</t>
        </r>
      </text>
    </comment>
    <comment ref="C63" authorId="0" shapeId="0">
      <text>
        <r>
          <rPr>
            <b/>
            <sz val="9"/>
            <color indexed="81"/>
            <rFont val="Tahoma"/>
            <charset val="1"/>
          </rPr>
          <t xml:space="preserve">Default:
4
</t>
        </r>
      </text>
    </comment>
    <comment ref="D63" authorId="0" shapeId="0">
      <text>
        <r>
          <rPr>
            <b/>
            <sz val="9"/>
            <color indexed="81"/>
            <rFont val="Tahoma"/>
            <charset val="1"/>
          </rPr>
          <t xml:space="preserve">Default:
1000
</t>
        </r>
      </text>
    </comment>
    <comment ref="G63" authorId="0" shapeId="0">
      <text>
        <r>
          <rPr>
            <b/>
            <sz val="9"/>
            <color indexed="81"/>
            <rFont val="Tahoma"/>
            <family val="2"/>
          </rPr>
          <t>Default:
75</t>
        </r>
      </text>
    </comment>
    <comment ref="I63" authorId="0" shapeId="0">
      <text>
        <r>
          <rPr>
            <b/>
            <sz val="9"/>
            <color indexed="81"/>
            <rFont val="Tahoma"/>
            <family val="2"/>
          </rPr>
          <t>Default:
75</t>
        </r>
      </text>
    </comment>
    <comment ref="C64" authorId="0" shapeId="0">
      <text>
        <r>
          <rPr>
            <b/>
            <sz val="9"/>
            <color indexed="81"/>
            <rFont val="Tahoma"/>
            <family val="2"/>
          </rPr>
          <t>Default:
250</t>
        </r>
      </text>
    </comment>
    <comment ref="D64" authorId="0" shapeId="0">
      <text>
        <r>
          <rPr>
            <b/>
            <sz val="9"/>
            <color indexed="81"/>
            <rFont val="Tahoma"/>
            <family val="2"/>
          </rPr>
          <t>Default:
250</t>
        </r>
      </text>
    </comment>
    <comment ref="C68" authorId="0" shapeId="0">
      <text>
        <r>
          <rPr>
            <b/>
            <sz val="9"/>
            <color indexed="81"/>
            <rFont val="Tahoma"/>
            <charset val="1"/>
          </rPr>
          <t xml:space="preserve">Default:
60
</t>
        </r>
      </text>
    </comment>
    <comment ref="C69" authorId="1" shapeId="0">
      <text>
        <r>
          <rPr>
            <b/>
            <sz val="8"/>
            <color indexed="81"/>
            <rFont val="Tahoma"/>
            <family val="2"/>
          </rPr>
          <t>Calculate this for wheat baseline of 500 bu x 60 lb/bu = 30,000 lb capacity.</t>
        </r>
      </text>
    </comment>
    <comment ref="E69" authorId="1" shapeId="0">
      <text>
        <r>
          <rPr>
            <b/>
            <sz val="8"/>
            <color indexed="81"/>
            <rFont val="Tahoma"/>
            <family val="2"/>
          </rPr>
          <t>Calculate this for wheat baseline of 500 bu x 60 lb/bu = 30,000 lb capacity.</t>
        </r>
      </text>
    </comment>
    <comment ref="G69" authorId="0" shapeId="0">
      <text>
        <r>
          <rPr>
            <b/>
            <sz val="9"/>
            <color indexed="81"/>
            <rFont val="Tahoma"/>
            <charset val="1"/>
          </rPr>
          <t xml:space="preserve">Default:
20
</t>
        </r>
      </text>
    </comment>
    <comment ref="I69" authorId="0" shapeId="0">
      <text>
        <r>
          <rPr>
            <b/>
            <sz val="9"/>
            <color indexed="81"/>
            <rFont val="Tahoma"/>
            <charset val="1"/>
          </rPr>
          <t xml:space="preserve">Default:
20
</t>
        </r>
      </text>
    </comment>
    <comment ref="C70" authorId="1" shapeId="0">
      <text>
        <r>
          <rPr>
            <b/>
            <sz val="8"/>
            <color indexed="81"/>
            <rFont val="Tahoma"/>
            <family val="2"/>
          </rPr>
          <t>Calculate this for wheat baseline of 1000 bu x 60 lb/bu = 60,000 lb capacity.</t>
        </r>
      </text>
    </comment>
    <comment ref="E70" authorId="1" shapeId="0">
      <text>
        <r>
          <rPr>
            <b/>
            <sz val="8"/>
            <color indexed="81"/>
            <rFont val="Tahoma"/>
            <family val="2"/>
          </rPr>
          <t>Calculate this for wheat baseline of 1000 bu x 60 lb/bu = 60,000 lb capacity.</t>
        </r>
      </text>
    </comment>
    <comment ref="G70" authorId="0" shapeId="0">
      <text>
        <r>
          <rPr>
            <b/>
            <sz val="9"/>
            <color indexed="81"/>
            <rFont val="Tahoma"/>
            <charset val="1"/>
          </rPr>
          <t xml:space="preserve">Default:
15
</t>
        </r>
      </text>
    </comment>
    <comment ref="I70" authorId="0" shapeId="0">
      <text>
        <r>
          <rPr>
            <b/>
            <sz val="9"/>
            <color indexed="81"/>
            <rFont val="Tahoma"/>
            <charset val="1"/>
          </rPr>
          <t xml:space="preserve">Default:
7
</t>
        </r>
      </text>
    </comment>
    <comment ref="G71" authorId="0" shapeId="0">
      <text>
        <r>
          <rPr>
            <b/>
            <sz val="9"/>
            <color indexed="81"/>
            <rFont val="Tahoma"/>
            <charset val="1"/>
          </rPr>
          <t xml:space="preserve">Default:
8
</t>
        </r>
      </text>
    </comment>
    <comment ref="I71" authorId="0" shapeId="0">
      <text>
        <r>
          <rPr>
            <b/>
            <sz val="9"/>
            <color indexed="81"/>
            <rFont val="Tahoma"/>
            <charset val="1"/>
          </rPr>
          <t xml:space="preserve">Default:
16
Assume double capacity of truck
</t>
        </r>
      </text>
    </comment>
    <comment ref="G72" authorId="0" shapeId="0">
      <text>
        <r>
          <rPr>
            <b/>
            <sz val="9"/>
            <color indexed="81"/>
            <rFont val="Tahoma"/>
            <charset val="1"/>
          </rPr>
          <t xml:space="preserve">Default:
40
</t>
        </r>
      </text>
    </comment>
    <comment ref="I72" authorId="0" shapeId="0">
      <text>
        <r>
          <rPr>
            <b/>
            <sz val="9"/>
            <color indexed="81"/>
            <rFont val="Tahoma"/>
            <charset val="1"/>
          </rPr>
          <t xml:space="preserve">Default:
40
</t>
        </r>
      </text>
    </comment>
    <comment ref="G73" authorId="0" shapeId="0">
      <text>
        <r>
          <rPr>
            <b/>
            <sz val="9"/>
            <color indexed="81"/>
            <rFont val="Tahoma"/>
            <charset val="1"/>
          </rPr>
          <t>Default:
1
Assume this</t>
        </r>
      </text>
    </comment>
    <comment ref="I73" authorId="0" shapeId="0">
      <text>
        <r>
          <rPr>
            <b/>
            <sz val="9"/>
            <color indexed="81"/>
            <rFont val="Tahoma"/>
            <charset val="1"/>
          </rPr>
          <t>Default:
2
Assume this</t>
        </r>
      </text>
    </comment>
    <comment ref="C77" authorId="0" shapeId="0">
      <text>
        <r>
          <rPr>
            <b/>
            <sz val="9"/>
            <color indexed="81"/>
            <rFont val="Tahoma"/>
            <charset val="1"/>
          </rPr>
          <t>Default:
S: 100%
M: 100%
L: 0%</t>
        </r>
      </text>
    </comment>
    <comment ref="D77" authorId="0" shapeId="0">
      <text>
        <r>
          <rPr>
            <b/>
            <sz val="9"/>
            <color indexed="81"/>
            <rFont val="Tahoma"/>
            <charset val="1"/>
          </rPr>
          <t>Default:
S: 100%
M: 100%
L: 0%</t>
        </r>
      </text>
    </comment>
    <comment ref="E77" authorId="0" shapeId="0">
      <text>
        <r>
          <rPr>
            <b/>
            <sz val="9"/>
            <color indexed="81"/>
            <rFont val="Tahoma"/>
            <charset val="1"/>
          </rPr>
          <t>Default:
S: 100%
M: 100%
L: 0%</t>
        </r>
      </text>
    </comment>
    <comment ref="F77" authorId="0" shapeId="0">
      <text>
        <r>
          <rPr>
            <b/>
            <sz val="9"/>
            <color indexed="81"/>
            <rFont val="Tahoma"/>
            <charset val="1"/>
          </rPr>
          <t>Default:
S: 100%
M: 100%
L: 0%</t>
        </r>
      </text>
    </comment>
    <comment ref="G77" authorId="0" shapeId="0">
      <text>
        <r>
          <rPr>
            <b/>
            <sz val="9"/>
            <color indexed="81"/>
            <rFont val="Tahoma"/>
            <charset val="1"/>
          </rPr>
          <t>Default:
S: 100%
M: 100%
L: 0%</t>
        </r>
      </text>
    </comment>
    <comment ref="H77" authorId="0" shapeId="0">
      <text>
        <r>
          <rPr>
            <b/>
            <sz val="9"/>
            <color indexed="81"/>
            <rFont val="Tahoma"/>
            <charset val="1"/>
          </rPr>
          <t>Default:
S: 100%
M: 100%
L: 0%</t>
        </r>
      </text>
    </comment>
    <comment ref="I77" authorId="0" shapeId="0">
      <text>
        <r>
          <rPr>
            <b/>
            <sz val="9"/>
            <color indexed="81"/>
            <rFont val="Tahoma"/>
            <charset val="1"/>
          </rPr>
          <t>Default:
S: 100%
M: 100%
L: 0%</t>
        </r>
      </text>
    </comment>
    <comment ref="J77" authorId="0" shapeId="0">
      <text>
        <r>
          <rPr>
            <b/>
            <sz val="9"/>
            <color indexed="81"/>
            <rFont val="Tahoma"/>
            <charset val="1"/>
          </rPr>
          <t>Default:
S: 100%
M: 100%
L: 0%</t>
        </r>
      </text>
    </comment>
    <comment ref="K77" authorId="0" shapeId="0">
      <text>
        <r>
          <rPr>
            <b/>
            <sz val="9"/>
            <color indexed="81"/>
            <rFont val="Tahoma"/>
            <charset val="1"/>
          </rPr>
          <t>Default:
S: 100%
M: 100%
L: 0%</t>
        </r>
      </text>
    </comment>
    <comment ref="L77" authorId="0" shapeId="0">
      <text>
        <r>
          <rPr>
            <b/>
            <sz val="9"/>
            <color indexed="81"/>
            <rFont val="Tahoma"/>
            <charset val="1"/>
          </rPr>
          <t>Default:
S: 100%
M: 100%
L: 0%</t>
        </r>
      </text>
    </comment>
    <comment ref="C78" authorId="0" shapeId="0">
      <text>
        <r>
          <rPr>
            <b/>
            <sz val="9"/>
            <color indexed="81"/>
            <rFont val="Tahoma"/>
            <charset val="1"/>
          </rPr>
          <t xml:space="preserve">Default:
S: 0%
M: 0%
L: 100%
</t>
        </r>
      </text>
    </comment>
    <comment ref="D78" authorId="0" shapeId="0">
      <text>
        <r>
          <rPr>
            <b/>
            <sz val="9"/>
            <color indexed="81"/>
            <rFont val="Tahoma"/>
            <charset val="1"/>
          </rPr>
          <t xml:space="preserve">Default:
S: 0%
M: 0%
L: 100%
</t>
        </r>
      </text>
    </comment>
    <comment ref="E78" authorId="0" shapeId="0">
      <text>
        <r>
          <rPr>
            <b/>
            <sz val="9"/>
            <color indexed="81"/>
            <rFont val="Tahoma"/>
            <charset val="1"/>
          </rPr>
          <t xml:space="preserve">Default:
S: 0%
M: 0%
L: 100%
</t>
        </r>
      </text>
    </comment>
    <comment ref="F78" authorId="0" shapeId="0">
      <text>
        <r>
          <rPr>
            <b/>
            <sz val="9"/>
            <color indexed="81"/>
            <rFont val="Tahoma"/>
            <charset val="1"/>
          </rPr>
          <t xml:space="preserve">Default:
S: 0%
M: 0%
L: 100%
</t>
        </r>
      </text>
    </comment>
    <comment ref="G78" authorId="0" shapeId="0">
      <text>
        <r>
          <rPr>
            <b/>
            <sz val="9"/>
            <color indexed="81"/>
            <rFont val="Tahoma"/>
            <charset val="1"/>
          </rPr>
          <t xml:space="preserve">Default:
S: 0%
M: 0%
L: 100%
</t>
        </r>
      </text>
    </comment>
    <comment ref="H78" authorId="0" shapeId="0">
      <text>
        <r>
          <rPr>
            <b/>
            <sz val="9"/>
            <color indexed="81"/>
            <rFont val="Tahoma"/>
            <charset val="1"/>
          </rPr>
          <t xml:space="preserve">Default:
S: 0%
M: 0%
L: 100%
</t>
        </r>
      </text>
    </comment>
    <comment ref="I78" authorId="0" shapeId="0">
      <text>
        <r>
          <rPr>
            <b/>
            <sz val="9"/>
            <color indexed="81"/>
            <rFont val="Tahoma"/>
            <charset val="1"/>
          </rPr>
          <t xml:space="preserve">Default:
S: 0%
M: 0%
L: 100%
</t>
        </r>
      </text>
    </comment>
    <comment ref="J78" authorId="0" shapeId="0">
      <text>
        <r>
          <rPr>
            <b/>
            <sz val="9"/>
            <color indexed="81"/>
            <rFont val="Tahoma"/>
            <charset val="1"/>
          </rPr>
          <t xml:space="preserve">Default:
S: 0%
M: 0%
L: 100%
</t>
        </r>
      </text>
    </comment>
    <comment ref="K78" authorId="0" shapeId="0">
      <text>
        <r>
          <rPr>
            <b/>
            <sz val="9"/>
            <color indexed="81"/>
            <rFont val="Tahoma"/>
            <charset val="1"/>
          </rPr>
          <t xml:space="preserve">Default:
S: 0%
M: 0%
L: 100%
</t>
        </r>
      </text>
    </comment>
    <comment ref="L78" authorId="0" shapeId="0">
      <text>
        <r>
          <rPr>
            <b/>
            <sz val="9"/>
            <color indexed="81"/>
            <rFont val="Tahoma"/>
            <charset val="1"/>
          </rPr>
          <t xml:space="preserve">Default:
S: 0%
M: 0%
L: 100%
</t>
        </r>
      </text>
    </comment>
    <comment ref="C81" authorId="0" shapeId="0">
      <text>
        <r>
          <rPr>
            <b/>
            <sz val="9"/>
            <color indexed="81"/>
            <rFont val="Tahoma"/>
            <charset val="1"/>
          </rPr>
          <t>Default:
S: 100%
M: 100%
L: 0%</t>
        </r>
      </text>
    </comment>
    <comment ref="D81" authorId="0" shapeId="0">
      <text>
        <r>
          <rPr>
            <b/>
            <sz val="9"/>
            <color indexed="81"/>
            <rFont val="Tahoma"/>
            <charset val="1"/>
          </rPr>
          <t>Default:
S: 100%
M: 100%
L: 0%</t>
        </r>
      </text>
    </comment>
    <comment ref="E81" authorId="0" shapeId="0">
      <text>
        <r>
          <rPr>
            <b/>
            <sz val="9"/>
            <color indexed="81"/>
            <rFont val="Tahoma"/>
            <charset val="1"/>
          </rPr>
          <t>Default:
S: 100%
M: 100%
L: 0%</t>
        </r>
      </text>
    </comment>
    <comment ref="F81" authorId="0" shapeId="0">
      <text>
        <r>
          <rPr>
            <b/>
            <sz val="9"/>
            <color indexed="81"/>
            <rFont val="Tahoma"/>
            <charset val="1"/>
          </rPr>
          <t>Default:
S: 100%
M: 100%
L: 0%</t>
        </r>
      </text>
    </comment>
    <comment ref="G81" authorId="0" shapeId="0">
      <text>
        <r>
          <rPr>
            <b/>
            <sz val="9"/>
            <color indexed="81"/>
            <rFont val="Tahoma"/>
            <charset val="1"/>
          </rPr>
          <t>Default:
S: 100%
M: 100%
L: 0%</t>
        </r>
      </text>
    </comment>
    <comment ref="H81" authorId="0" shapeId="0">
      <text>
        <r>
          <rPr>
            <b/>
            <sz val="9"/>
            <color indexed="81"/>
            <rFont val="Tahoma"/>
            <charset val="1"/>
          </rPr>
          <t>Default:
S: 100%
M: 100%
L: 0%</t>
        </r>
      </text>
    </comment>
    <comment ref="I81" authorId="0" shapeId="0">
      <text>
        <r>
          <rPr>
            <b/>
            <sz val="9"/>
            <color indexed="81"/>
            <rFont val="Tahoma"/>
            <charset val="1"/>
          </rPr>
          <t>Default:
S: 100%
M: 100%
L: 0%</t>
        </r>
      </text>
    </comment>
    <comment ref="J81" authorId="0" shapeId="0">
      <text>
        <r>
          <rPr>
            <b/>
            <sz val="9"/>
            <color indexed="81"/>
            <rFont val="Tahoma"/>
            <charset val="1"/>
          </rPr>
          <t>Default:
S: 100%
M: 100%
L: 0%</t>
        </r>
      </text>
    </comment>
    <comment ref="K81" authorId="0" shapeId="0">
      <text>
        <r>
          <rPr>
            <b/>
            <sz val="9"/>
            <color indexed="81"/>
            <rFont val="Tahoma"/>
            <charset val="1"/>
          </rPr>
          <t>Default:
S: 100%
M: 100%
L: 0%</t>
        </r>
      </text>
    </comment>
    <comment ref="L81" authorId="0" shapeId="0">
      <text>
        <r>
          <rPr>
            <b/>
            <sz val="9"/>
            <color indexed="81"/>
            <rFont val="Tahoma"/>
            <charset val="1"/>
          </rPr>
          <t>Default:
S: 100%
M: 100%
L: 0%</t>
        </r>
      </text>
    </comment>
    <comment ref="C82" authorId="0" shapeId="0">
      <text>
        <r>
          <rPr>
            <b/>
            <sz val="9"/>
            <color indexed="81"/>
            <rFont val="Tahoma"/>
            <charset val="1"/>
          </rPr>
          <t xml:space="preserve">Default:
S: 0%
M: 0%
L: 100%
</t>
        </r>
      </text>
    </comment>
    <comment ref="D82" authorId="0" shapeId="0">
      <text>
        <r>
          <rPr>
            <b/>
            <sz val="9"/>
            <color indexed="81"/>
            <rFont val="Tahoma"/>
            <charset val="1"/>
          </rPr>
          <t xml:space="preserve">Default:
S: 0%
M: 0%
L: 100%
</t>
        </r>
      </text>
    </comment>
    <comment ref="E82" authorId="0" shapeId="0">
      <text>
        <r>
          <rPr>
            <b/>
            <sz val="9"/>
            <color indexed="81"/>
            <rFont val="Tahoma"/>
            <charset val="1"/>
          </rPr>
          <t xml:space="preserve">Default:
S: 0%
M: 0%
L: 100%
</t>
        </r>
      </text>
    </comment>
    <comment ref="F82" authorId="0" shapeId="0">
      <text>
        <r>
          <rPr>
            <b/>
            <sz val="9"/>
            <color indexed="81"/>
            <rFont val="Tahoma"/>
            <charset val="1"/>
          </rPr>
          <t xml:space="preserve">Default:
S: 0%
M: 0%
L: 100%
</t>
        </r>
      </text>
    </comment>
    <comment ref="G82" authorId="0" shapeId="0">
      <text>
        <r>
          <rPr>
            <b/>
            <sz val="9"/>
            <color indexed="81"/>
            <rFont val="Tahoma"/>
            <charset val="1"/>
          </rPr>
          <t xml:space="preserve">Default:
S: 0%
M: 0%
L: 100%
</t>
        </r>
      </text>
    </comment>
    <comment ref="H82" authorId="0" shapeId="0">
      <text>
        <r>
          <rPr>
            <b/>
            <sz val="9"/>
            <color indexed="81"/>
            <rFont val="Tahoma"/>
            <charset val="1"/>
          </rPr>
          <t xml:space="preserve">Default:
S: 0%
M: 0%
L: 100%
</t>
        </r>
      </text>
    </comment>
    <comment ref="I82" authorId="0" shapeId="0">
      <text>
        <r>
          <rPr>
            <b/>
            <sz val="9"/>
            <color indexed="81"/>
            <rFont val="Tahoma"/>
            <charset val="1"/>
          </rPr>
          <t xml:space="preserve">Default:
S: 0%
M: 0%
L: 100%
</t>
        </r>
      </text>
    </comment>
    <comment ref="J82" authorId="0" shapeId="0">
      <text>
        <r>
          <rPr>
            <b/>
            <sz val="9"/>
            <color indexed="81"/>
            <rFont val="Tahoma"/>
            <charset val="1"/>
          </rPr>
          <t xml:space="preserve">Default:
S: 0%
M: 0%
L: 100%
</t>
        </r>
      </text>
    </comment>
    <comment ref="K82" authorId="0" shapeId="0">
      <text>
        <r>
          <rPr>
            <b/>
            <sz val="9"/>
            <color indexed="81"/>
            <rFont val="Tahoma"/>
            <charset val="1"/>
          </rPr>
          <t xml:space="preserve">Default:
S: 0%
M: 0%
L: 100%
</t>
        </r>
      </text>
    </comment>
    <comment ref="L82" authorId="0" shapeId="0">
      <text>
        <r>
          <rPr>
            <b/>
            <sz val="9"/>
            <color indexed="81"/>
            <rFont val="Tahoma"/>
            <charset val="1"/>
          </rPr>
          <t xml:space="preserve">Default:
S: 0%
M: 0%
L: 100%
</t>
        </r>
      </text>
    </comment>
    <comment ref="C85" authorId="0" shapeId="0">
      <text>
        <r>
          <rPr>
            <b/>
            <sz val="9"/>
            <color indexed="81"/>
            <rFont val="Tahoma"/>
            <charset val="1"/>
          </rPr>
          <t>Default:
S: 100%
M: 100%
L: 0%</t>
        </r>
      </text>
    </comment>
    <comment ref="D85" authorId="0" shapeId="0">
      <text>
        <r>
          <rPr>
            <b/>
            <sz val="9"/>
            <color indexed="81"/>
            <rFont val="Tahoma"/>
            <charset val="1"/>
          </rPr>
          <t>Default:
S: 100%
M: 100%
L: 0%</t>
        </r>
      </text>
    </comment>
    <comment ref="E85" authorId="0" shapeId="0">
      <text>
        <r>
          <rPr>
            <b/>
            <sz val="9"/>
            <color indexed="81"/>
            <rFont val="Tahoma"/>
            <charset val="1"/>
          </rPr>
          <t>Default:
S: 100%
M: 100%
L: 0%</t>
        </r>
      </text>
    </comment>
    <comment ref="F85" authorId="0" shapeId="0">
      <text>
        <r>
          <rPr>
            <b/>
            <sz val="9"/>
            <color indexed="81"/>
            <rFont val="Tahoma"/>
            <charset val="1"/>
          </rPr>
          <t>Default:
S: 100%
M: 100%
L: 0%</t>
        </r>
      </text>
    </comment>
    <comment ref="G85" authorId="0" shapeId="0">
      <text>
        <r>
          <rPr>
            <b/>
            <sz val="9"/>
            <color indexed="81"/>
            <rFont val="Tahoma"/>
            <charset val="1"/>
          </rPr>
          <t>Default:
S: 100%
M: 100%
L: 0%</t>
        </r>
      </text>
    </comment>
    <comment ref="H85" authorId="0" shapeId="0">
      <text>
        <r>
          <rPr>
            <b/>
            <sz val="9"/>
            <color indexed="81"/>
            <rFont val="Tahoma"/>
            <charset val="1"/>
          </rPr>
          <t>Default:
S: 100%
M: 100%
L: 0%</t>
        </r>
      </text>
    </comment>
    <comment ref="I85" authorId="0" shapeId="0">
      <text>
        <r>
          <rPr>
            <b/>
            <sz val="9"/>
            <color indexed="81"/>
            <rFont val="Tahoma"/>
            <charset val="1"/>
          </rPr>
          <t>Default:
S: 100%
M: 100%
L: 0%</t>
        </r>
      </text>
    </comment>
    <comment ref="J85" authorId="0" shapeId="0">
      <text>
        <r>
          <rPr>
            <b/>
            <sz val="9"/>
            <color indexed="81"/>
            <rFont val="Tahoma"/>
            <charset val="1"/>
          </rPr>
          <t>Default:
S: 100%
M: 100%
L: 0%</t>
        </r>
      </text>
    </comment>
    <comment ref="K85" authorId="0" shapeId="0">
      <text>
        <r>
          <rPr>
            <b/>
            <sz val="9"/>
            <color indexed="81"/>
            <rFont val="Tahoma"/>
            <charset val="1"/>
          </rPr>
          <t>Default:
S: 100%
M: 100%
L: 0%</t>
        </r>
      </text>
    </comment>
    <comment ref="L85" authorId="0" shapeId="0">
      <text>
        <r>
          <rPr>
            <b/>
            <sz val="9"/>
            <color indexed="81"/>
            <rFont val="Tahoma"/>
            <charset val="1"/>
          </rPr>
          <t>Default:
S: 100%
M: 100%
L: 0%</t>
        </r>
      </text>
    </comment>
    <comment ref="C86" authorId="0" shapeId="0">
      <text>
        <r>
          <rPr>
            <b/>
            <sz val="9"/>
            <color indexed="81"/>
            <rFont val="Tahoma"/>
            <charset val="1"/>
          </rPr>
          <t xml:space="preserve">Default:
S: 0%
M: 0%
L: 100%
</t>
        </r>
      </text>
    </comment>
    <comment ref="D86" authorId="0" shapeId="0">
      <text>
        <r>
          <rPr>
            <b/>
            <sz val="9"/>
            <color indexed="81"/>
            <rFont val="Tahoma"/>
            <charset val="1"/>
          </rPr>
          <t xml:space="preserve">Default:
S: 0%
M: 0%
L: 100%
</t>
        </r>
      </text>
    </comment>
    <comment ref="E86" authorId="0" shapeId="0">
      <text>
        <r>
          <rPr>
            <b/>
            <sz val="9"/>
            <color indexed="81"/>
            <rFont val="Tahoma"/>
            <charset val="1"/>
          </rPr>
          <t xml:space="preserve">Default:
S: 0%
M: 0%
L: 100%
</t>
        </r>
      </text>
    </comment>
    <comment ref="F86" authorId="0" shapeId="0">
      <text>
        <r>
          <rPr>
            <b/>
            <sz val="9"/>
            <color indexed="81"/>
            <rFont val="Tahoma"/>
            <charset val="1"/>
          </rPr>
          <t xml:space="preserve">Default:
S: 0%
M: 0%
L: 100%
</t>
        </r>
      </text>
    </comment>
    <comment ref="G86" authorId="0" shapeId="0">
      <text>
        <r>
          <rPr>
            <b/>
            <sz val="9"/>
            <color indexed="81"/>
            <rFont val="Tahoma"/>
            <charset val="1"/>
          </rPr>
          <t xml:space="preserve">Default:
S: 0%
M: 0%
L: 100%
</t>
        </r>
      </text>
    </comment>
    <comment ref="H86" authorId="0" shapeId="0">
      <text>
        <r>
          <rPr>
            <b/>
            <sz val="9"/>
            <color indexed="81"/>
            <rFont val="Tahoma"/>
            <charset val="1"/>
          </rPr>
          <t xml:space="preserve">Default:
S: 0%
M: 0%
L: 100%
</t>
        </r>
      </text>
    </comment>
    <comment ref="I86" authorId="0" shapeId="0">
      <text>
        <r>
          <rPr>
            <b/>
            <sz val="9"/>
            <color indexed="81"/>
            <rFont val="Tahoma"/>
            <charset val="1"/>
          </rPr>
          <t xml:space="preserve">Default:
S: 0%
M: 0%
L: 100%
</t>
        </r>
      </text>
    </comment>
    <comment ref="J86" authorId="0" shapeId="0">
      <text>
        <r>
          <rPr>
            <b/>
            <sz val="9"/>
            <color indexed="81"/>
            <rFont val="Tahoma"/>
            <charset val="1"/>
          </rPr>
          <t xml:space="preserve">Default:
S: 0%
M: 0%
L: 100%
</t>
        </r>
      </text>
    </comment>
    <comment ref="K86" authorId="0" shapeId="0">
      <text>
        <r>
          <rPr>
            <b/>
            <sz val="9"/>
            <color indexed="81"/>
            <rFont val="Tahoma"/>
            <charset val="1"/>
          </rPr>
          <t xml:space="preserve">Default:
S: 0%
M: 0%
L: 100%
</t>
        </r>
      </text>
    </comment>
    <comment ref="L86" authorId="0" shapeId="0">
      <text>
        <r>
          <rPr>
            <b/>
            <sz val="9"/>
            <color indexed="81"/>
            <rFont val="Tahoma"/>
            <charset val="1"/>
          </rPr>
          <t xml:space="preserve">Default:
S: 0%
M: 0%
L: 100%
</t>
        </r>
      </text>
    </comment>
    <comment ref="C92" authorId="0" shapeId="0">
      <text>
        <r>
          <rPr>
            <b/>
            <sz val="9"/>
            <color indexed="81"/>
            <rFont val="Tahoma"/>
            <family val="2"/>
          </rPr>
          <t>Default:
0</t>
        </r>
      </text>
    </comment>
    <comment ref="D92" authorId="0" shapeId="0">
      <text>
        <r>
          <rPr>
            <b/>
            <sz val="9"/>
            <color indexed="81"/>
            <rFont val="Tahoma"/>
            <family val="2"/>
          </rPr>
          <t>Default:
0</t>
        </r>
      </text>
    </comment>
    <comment ref="E92" authorId="0" shapeId="0">
      <text>
        <r>
          <rPr>
            <b/>
            <sz val="9"/>
            <color indexed="81"/>
            <rFont val="Tahoma"/>
            <family val="2"/>
          </rPr>
          <t>Default:
0</t>
        </r>
      </text>
    </comment>
    <comment ref="F92" authorId="0" shapeId="0">
      <text>
        <r>
          <rPr>
            <b/>
            <sz val="9"/>
            <color indexed="81"/>
            <rFont val="Tahoma"/>
            <family val="2"/>
          </rPr>
          <t>Default:
0</t>
        </r>
      </text>
    </comment>
    <comment ref="G92" authorId="0" shapeId="0">
      <text>
        <r>
          <rPr>
            <b/>
            <sz val="9"/>
            <color indexed="81"/>
            <rFont val="Tahoma"/>
            <family val="2"/>
          </rPr>
          <t>Default:
0</t>
        </r>
      </text>
    </comment>
    <comment ref="H92" authorId="0" shapeId="0">
      <text>
        <r>
          <rPr>
            <b/>
            <sz val="9"/>
            <color indexed="81"/>
            <rFont val="Tahoma"/>
            <family val="2"/>
          </rPr>
          <t>Default:
0</t>
        </r>
      </text>
    </comment>
    <comment ref="I92" authorId="0" shapeId="0">
      <text>
        <r>
          <rPr>
            <b/>
            <sz val="9"/>
            <color indexed="81"/>
            <rFont val="Tahoma"/>
            <family val="2"/>
          </rPr>
          <t>Default:
0</t>
        </r>
      </text>
    </comment>
    <comment ref="J92" authorId="0" shapeId="0">
      <text>
        <r>
          <rPr>
            <b/>
            <sz val="9"/>
            <color indexed="81"/>
            <rFont val="Tahoma"/>
            <family val="2"/>
          </rPr>
          <t>Default:
0</t>
        </r>
      </text>
    </comment>
    <comment ref="K92" authorId="0" shapeId="0">
      <text>
        <r>
          <rPr>
            <b/>
            <sz val="9"/>
            <color indexed="81"/>
            <rFont val="Tahoma"/>
            <family val="2"/>
          </rPr>
          <t>Default:
0</t>
        </r>
      </text>
    </comment>
    <comment ref="L92" authorId="0" shapeId="0">
      <text>
        <r>
          <rPr>
            <b/>
            <sz val="9"/>
            <color indexed="81"/>
            <rFont val="Tahoma"/>
            <family val="2"/>
          </rPr>
          <t>Default:
0</t>
        </r>
      </text>
    </comment>
    <comment ref="C94" authorId="0" shapeId="0">
      <text>
        <r>
          <rPr>
            <b/>
            <sz val="9"/>
            <color indexed="81"/>
            <rFont val="Tahoma"/>
            <family val="2"/>
          </rPr>
          <t>Default:
0</t>
        </r>
      </text>
    </comment>
    <comment ref="D94" authorId="0" shapeId="0">
      <text>
        <r>
          <rPr>
            <b/>
            <sz val="9"/>
            <color indexed="81"/>
            <rFont val="Tahoma"/>
            <family val="2"/>
          </rPr>
          <t>Default:
0</t>
        </r>
      </text>
    </comment>
    <comment ref="E94" authorId="0" shapeId="0">
      <text>
        <r>
          <rPr>
            <b/>
            <sz val="9"/>
            <color indexed="81"/>
            <rFont val="Tahoma"/>
            <family val="2"/>
          </rPr>
          <t>Default:
0</t>
        </r>
      </text>
    </comment>
    <comment ref="F94" authorId="0" shapeId="0">
      <text>
        <r>
          <rPr>
            <b/>
            <sz val="9"/>
            <color indexed="81"/>
            <rFont val="Tahoma"/>
            <family val="2"/>
          </rPr>
          <t>Default:
0</t>
        </r>
      </text>
    </comment>
    <comment ref="G94" authorId="0" shapeId="0">
      <text>
        <r>
          <rPr>
            <b/>
            <sz val="9"/>
            <color indexed="81"/>
            <rFont val="Tahoma"/>
            <family val="2"/>
          </rPr>
          <t>Default:
0</t>
        </r>
      </text>
    </comment>
    <comment ref="H94" authorId="0" shapeId="0">
      <text>
        <r>
          <rPr>
            <b/>
            <sz val="9"/>
            <color indexed="81"/>
            <rFont val="Tahoma"/>
            <family val="2"/>
          </rPr>
          <t>Default:
0</t>
        </r>
      </text>
    </comment>
    <comment ref="I94" authorId="0" shapeId="0">
      <text>
        <r>
          <rPr>
            <b/>
            <sz val="9"/>
            <color indexed="81"/>
            <rFont val="Tahoma"/>
            <family val="2"/>
          </rPr>
          <t>Default:
0</t>
        </r>
      </text>
    </comment>
    <comment ref="J94" authorId="0" shapeId="0">
      <text>
        <r>
          <rPr>
            <b/>
            <sz val="9"/>
            <color indexed="81"/>
            <rFont val="Tahoma"/>
            <family val="2"/>
          </rPr>
          <t>Default:
0</t>
        </r>
      </text>
    </comment>
    <comment ref="K94" authorId="0" shapeId="0">
      <text>
        <r>
          <rPr>
            <b/>
            <sz val="9"/>
            <color indexed="81"/>
            <rFont val="Tahoma"/>
            <family val="2"/>
          </rPr>
          <t>Default:
0</t>
        </r>
      </text>
    </comment>
    <comment ref="L94" authorId="0" shapeId="0">
      <text>
        <r>
          <rPr>
            <b/>
            <sz val="9"/>
            <color indexed="81"/>
            <rFont val="Tahoma"/>
            <family val="2"/>
          </rPr>
          <t>Default:
0</t>
        </r>
      </text>
    </comment>
    <comment ref="C95" authorId="0" shapeId="0">
      <text>
        <r>
          <rPr>
            <b/>
            <sz val="9"/>
            <color indexed="81"/>
            <rFont val="Tahoma"/>
            <family val="2"/>
          </rPr>
          <t>Default:
0</t>
        </r>
      </text>
    </comment>
    <comment ref="D95" authorId="0" shapeId="0">
      <text>
        <r>
          <rPr>
            <b/>
            <sz val="9"/>
            <color indexed="81"/>
            <rFont val="Tahoma"/>
            <family val="2"/>
          </rPr>
          <t>Default:
0</t>
        </r>
      </text>
    </comment>
    <comment ref="E95" authorId="0" shapeId="0">
      <text>
        <r>
          <rPr>
            <b/>
            <sz val="9"/>
            <color indexed="81"/>
            <rFont val="Tahoma"/>
            <family val="2"/>
          </rPr>
          <t>Default:
0</t>
        </r>
      </text>
    </comment>
    <comment ref="F95" authorId="0" shapeId="0">
      <text>
        <r>
          <rPr>
            <b/>
            <sz val="9"/>
            <color indexed="81"/>
            <rFont val="Tahoma"/>
            <family val="2"/>
          </rPr>
          <t>Default:
0</t>
        </r>
      </text>
    </comment>
    <comment ref="G95" authorId="0" shapeId="0">
      <text>
        <r>
          <rPr>
            <b/>
            <sz val="9"/>
            <color indexed="81"/>
            <rFont val="Tahoma"/>
            <family val="2"/>
          </rPr>
          <t>Default:
0</t>
        </r>
      </text>
    </comment>
    <comment ref="H95" authorId="0" shapeId="0">
      <text>
        <r>
          <rPr>
            <b/>
            <sz val="9"/>
            <color indexed="81"/>
            <rFont val="Tahoma"/>
            <family val="2"/>
          </rPr>
          <t>Default:
0</t>
        </r>
      </text>
    </comment>
    <comment ref="I95" authorId="0" shapeId="0">
      <text>
        <r>
          <rPr>
            <b/>
            <sz val="9"/>
            <color indexed="81"/>
            <rFont val="Tahoma"/>
            <family val="2"/>
          </rPr>
          <t>Default:
0</t>
        </r>
      </text>
    </comment>
    <comment ref="J95" authorId="0" shapeId="0">
      <text>
        <r>
          <rPr>
            <b/>
            <sz val="9"/>
            <color indexed="81"/>
            <rFont val="Tahoma"/>
            <family val="2"/>
          </rPr>
          <t>Default:
0</t>
        </r>
      </text>
    </comment>
    <comment ref="K95" authorId="0" shapeId="0">
      <text>
        <r>
          <rPr>
            <b/>
            <sz val="9"/>
            <color indexed="81"/>
            <rFont val="Tahoma"/>
            <family val="2"/>
          </rPr>
          <t>Default:
0</t>
        </r>
      </text>
    </comment>
    <comment ref="L95" authorId="0" shapeId="0">
      <text>
        <r>
          <rPr>
            <b/>
            <sz val="9"/>
            <color indexed="81"/>
            <rFont val="Tahoma"/>
            <family val="2"/>
          </rPr>
          <t>Default:
0</t>
        </r>
      </text>
    </comment>
    <comment ref="C99" authorId="0" shapeId="0">
      <text>
        <r>
          <rPr>
            <b/>
            <sz val="9"/>
            <color indexed="81"/>
            <rFont val="Tahoma"/>
            <family val="2"/>
          </rPr>
          <t>Base on Iowa State calculator from 18% to 13% moisture</t>
        </r>
      </text>
    </comment>
    <comment ref="D104" authorId="0" shapeId="0">
      <text>
        <r>
          <rPr>
            <b/>
            <sz val="9"/>
            <color indexed="81"/>
            <rFont val="Tahoma"/>
            <family val="2"/>
          </rPr>
          <t>Assume this default:
8</t>
        </r>
      </text>
    </comment>
    <comment ref="E104" authorId="0" shapeId="0">
      <text>
        <r>
          <rPr>
            <b/>
            <sz val="9"/>
            <color indexed="81"/>
            <rFont val="Tahoma"/>
            <family val="2"/>
          </rPr>
          <t>Assume this default:
5</t>
        </r>
      </text>
    </comment>
    <comment ref="F104" authorId="0" shapeId="0">
      <text>
        <r>
          <rPr>
            <b/>
            <sz val="9"/>
            <color indexed="81"/>
            <rFont val="Tahoma"/>
            <family val="2"/>
          </rPr>
          <t>Assume this default:
1</t>
        </r>
      </text>
    </comment>
    <comment ref="G104" authorId="0" shapeId="0">
      <text>
        <r>
          <rPr>
            <b/>
            <sz val="9"/>
            <color indexed="81"/>
            <rFont val="Tahoma"/>
            <family val="2"/>
          </rPr>
          <t>Assume this default:
1</t>
        </r>
      </text>
    </comment>
    <comment ref="D105" authorId="0" shapeId="0">
      <text>
        <r>
          <rPr>
            <b/>
            <sz val="9"/>
            <color indexed="81"/>
            <rFont val="Tahoma"/>
            <family val="2"/>
          </rPr>
          <t>Assume this default:
8</t>
        </r>
      </text>
    </comment>
    <comment ref="E105" authorId="0" shapeId="0">
      <text>
        <r>
          <rPr>
            <b/>
            <sz val="9"/>
            <color indexed="81"/>
            <rFont val="Tahoma"/>
            <family val="2"/>
          </rPr>
          <t>Assume this default:
1</t>
        </r>
      </text>
    </comment>
    <comment ref="F105" authorId="0" shapeId="0">
      <text>
        <r>
          <rPr>
            <b/>
            <sz val="9"/>
            <color indexed="81"/>
            <rFont val="Tahoma"/>
            <family val="2"/>
          </rPr>
          <t>Assume this default:
1</t>
        </r>
      </text>
    </comment>
    <comment ref="G105" authorId="0" shapeId="0">
      <text>
        <r>
          <rPr>
            <b/>
            <sz val="9"/>
            <color indexed="81"/>
            <rFont val="Tahoma"/>
            <family val="2"/>
          </rPr>
          <t>Assume this default:
1</t>
        </r>
      </text>
    </comment>
    <comment ref="C106" authorId="0" shapeId="0">
      <text>
        <r>
          <rPr>
            <b/>
            <sz val="9"/>
            <color indexed="81"/>
            <rFont val="Tahoma"/>
            <family val="2"/>
          </rPr>
          <t>Management time spent during production season</t>
        </r>
      </text>
    </comment>
    <comment ref="D106" authorId="0" shapeId="0">
      <text>
        <r>
          <rPr>
            <b/>
            <sz val="9"/>
            <color indexed="81"/>
            <rFont val="Tahoma"/>
            <family val="2"/>
          </rPr>
          <t>Assume this default:
1</t>
        </r>
      </text>
    </comment>
    <comment ref="E106" authorId="0" shapeId="0">
      <text>
        <r>
          <rPr>
            <b/>
            <sz val="9"/>
            <color indexed="81"/>
            <rFont val="Tahoma"/>
            <family val="2"/>
          </rPr>
          <t>Assume this default:
7</t>
        </r>
      </text>
    </comment>
    <comment ref="F106" authorId="0" shapeId="0">
      <text>
        <r>
          <rPr>
            <b/>
            <sz val="9"/>
            <color indexed="81"/>
            <rFont val="Tahoma"/>
            <family val="2"/>
          </rPr>
          <t>Assume this default:
26</t>
        </r>
      </text>
    </comment>
    <comment ref="G106" authorId="0" shapeId="0">
      <text>
        <r>
          <rPr>
            <b/>
            <sz val="9"/>
            <color indexed="81"/>
            <rFont val="Tahoma"/>
            <family val="2"/>
          </rPr>
          <t>Assume this default:
1</t>
        </r>
      </text>
    </comment>
    <comment ref="C107" authorId="0" shapeId="0">
      <text>
        <r>
          <rPr>
            <b/>
            <sz val="9"/>
            <color indexed="81"/>
            <rFont val="Tahoma"/>
            <family val="2"/>
          </rPr>
          <t>Management time spent during off-season when crop is not being grown</t>
        </r>
      </text>
    </comment>
    <comment ref="D107" authorId="0" shapeId="0">
      <text>
        <r>
          <rPr>
            <b/>
            <sz val="9"/>
            <color indexed="81"/>
            <rFont val="Tahoma"/>
            <family val="2"/>
          </rPr>
          <t>Assume this default:
1</t>
        </r>
      </text>
    </comment>
    <comment ref="E107" authorId="0" shapeId="0">
      <text>
        <r>
          <rPr>
            <b/>
            <sz val="9"/>
            <color indexed="81"/>
            <rFont val="Tahoma"/>
            <family val="2"/>
          </rPr>
          <t>Assume this default:
5</t>
        </r>
      </text>
    </comment>
    <comment ref="F107" authorId="0" shapeId="0">
      <text>
        <r>
          <rPr>
            <b/>
            <sz val="9"/>
            <color indexed="81"/>
            <rFont val="Tahoma"/>
            <family val="2"/>
          </rPr>
          <t>Assume this default:
26</t>
        </r>
      </text>
    </comment>
    <comment ref="G107" authorId="0" shapeId="0">
      <text>
        <r>
          <rPr>
            <b/>
            <sz val="9"/>
            <color indexed="81"/>
            <rFont val="Tahoma"/>
            <family val="2"/>
          </rPr>
          <t>Assume this default:
1</t>
        </r>
      </text>
    </comment>
    <comment ref="D109" authorId="0" shapeId="0">
      <text>
        <r>
          <rPr>
            <b/>
            <sz val="9"/>
            <color indexed="81"/>
            <rFont val="Tahoma"/>
            <family val="2"/>
          </rPr>
          <t>Assume this default:
8</t>
        </r>
      </text>
    </comment>
    <comment ref="E109" authorId="0" shapeId="0">
      <text>
        <r>
          <rPr>
            <b/>
            <sz val="9"/>
            <color indexed="81"/>
            <rFont val="Tahoma"/>
            <family val="2"/>
          </rPr>
          <t>Assume this default:
0</t>
        </r>
      </text>
    </comment>
    <comment ref="F109" authorId="0" shapeId="0">
      <text>
        <r>
          <rPr>
            <b/>
            <sz val="9"/>
            <color indexed="81"/>
            <rFont val="Tahoma"/>
            <family val="2"/>
          </rPr>
          <t>Assume this default:
1</t>
        </r>
      </text>
    </comment>
    <comment ref="G109" authorId="0" shapeId="0">
      <text>
        <r>
          <rPr>
            <b/>
            <sz val="9"/>
            <color indexed="81"/>
            <rFont val="Tahoma"/>
            <family val="2"/>
          </rPr>
          <t>Assume this default:
1</t>
        </r>
      </text>
    </comment>
    <comment ref="H109" authorId="0" shapeId="0">
      <text>
        <r>
          <rPr>
            <b/>
            <sz val="9"/>
            <color indexed="81"/>
            <rFont val="Tahoma"/>
            <family val="2"/>
          </rPr>
          <t>Default:
0</t>
        </r>
      </text>
    </comment>
    <comment ref="D111" authorId="1" shapeId="0">
      <text>
        <r>
          <rPr>
            <b/>
            <sz val="8"/>
            <color indexed="81"/>
            <rFont val="Tahoma"/>
            <family val="2"/>
          </rPr>
          <t>Default from cooperating producer:
45</t>
        </r>
      </text>
    </comment>
    <comment ref="D114" authorId="0" shapeId="0">
      <text>
        <r>
          <rPr>
            <b/>
            <sz val="9"/>
            <color indexed="81"/>
            <rFont val="Tahoma"/>
            <family val="2"/>
          </rPr>
          <t>Assume this default:
200</t>
        </r>
      </text>
    </comment>
    <comment ref="H114" authorId="0" shapeId="0">
      <text>
        <r>
          <rPr>
            <b/>
            <sz val="9"/>
            <color indexed="81"/>
            <rFont val="Tahoma"/>
            <family val="2"/>
          </rPr>
          <t>Assume this default:
0</t>
        </r>
      </text>
    </comment>
    <comment ref="K114" authorId="0" shapeId="0">
      <text>
        <r>
          <rPr>
            <b/>
            <sz val="9"/>
            <color indexed="81"/>
            <rFont val="Tahoma"/>
            <family val="2"/>
          </rPr>
          <t>Assume this default:
0</t>
        </r>
      </text>
    </comment>
    <comment ref="D115" authorId="0" shapeId="0">
      <text>
        <r>
          <rPr>
            <b/>
            <sz val="9"/>
            <color indexed="81"/>
            <rFont val="Tahoma"/>
            <family val="2"/>
          </rPr>
          <t>Assume this default:
500</t>
        </r>
      </text>
    </comment>
    <comment ref="D116" authorId="0" shapeId="0">
      <text>
        <r>
          <rPr>
            <b/>
            <sz val="9"/>
            <color indexed="81"/>
            <rFont val="Tahoma"/>
            <family val="2"/>
          </rPr>
          <t>Assume this default:
250</t>
        </r>
      </text>
    </comment>
  </commentList>
</comments>
</file>

<file path=xl/comments50.xml><?xml version="1.0" encoding="utf-8"?>
<comments xmlns="http://schemas.openxmlformats.org/spreadsheetml/2006/main">
  <authors>
    <author xml:space="preserve"> </author>
    <author>REP</author>
    <author>aaron hoshide</author>
  </authors>
  <commentList>
    <comment ref="C5" authorId="0" shapeId="0">
      <text>
        <r>
          <rPr>
            <sz val="8"/>
            <color indexed="81"/>
            <rFont val="Tahoma"/>
            <family val="2"/>
          </rPr>
          <t>Old value of $59.88/ton (=I24/I18) if assume second cut is 10% dry hay.</t>
        </r>
      </text>
    </comment>
    <comment ref="I8" authorId="1" shapeId="0">
      <text>
        <r>
          <rPr>
            <sz val="8"/>
            <color indexed="81"/>
            <rFont val="Tahoma"/>
            <family val="2"/>
          </rPr>
          <t xml:space="preserve">Old value of $30 per ton. Adjusted by PPI to convert from 2002 surveyed cost to 2010. </t>
        </r>
      </text>
    </comment>
    <comment ref="J9" authorId="1" shapeId="0">
      <text>
        <r>
          <rPr>
            <sz val="8"/>
            <color indexed="81"/>
            <rFont val="Tahoma"/>
            <family val="2"/>
          </rPr>
          <t>Old value of $22.50 per bale. Adjusted by PPI to convert from 2002 surveyed cost to 2010.</t>
        </r>
      </text>
    </comment>
    <comment ref="J10" authorId="1" shapeId="0">
      <text>
        <r>
          <rPr>
            <sz val="8"/>
            <color indexed="81"/>
            <rFont val="Tahoma"/>
            <family val="2"/>
          </rPr>
          <t>Old value of $1.88 per bale. Adjusted by PPI to convert from 2002 surveyed cost to 2010.</t>
        </r>
      </text>
    </comment>
    <comment ref="J18" authorId="2" shapeId="0">
      <text>
        <r>
          <rPr>
            <sz val="8"/>
            <color indexed="81"/>
            <rFont val="Tahoma"/>
            <family val="2"/>
          </rPr>
          <t>Assumes first cut is all haylage and second cut is 90% haylage and 10% square bales</t>
        </r>
      </text>
    </comment>
    <comment ref="I24" authorId="2" shapeId="0">
      <text>
        <r>
          <rPr>
            <sz val="8"/>
            <color indexed="81"/>
            <rFont val="Tahoma"/>
            <family val="2"/>
          </rPr>
          <t>Assumes first cut is all haylage and second cut is 90% haylage and 10% square bales</t>
        </r>
      </text>
    </comment>
    <comment ref="A26" authorId="2" shapeId="0">
      <text>
        <r>
          <rPr>
            <sz val="8"/>
            <color indexed="81"/>
            <rFont val="Tahoma"/>
            <family val="2"/>
          </rPr>
          <t>Includes promotion tax and leased land</t>
        </r>
      </text>
    </comment>
  </commentList>
</comments>
</file>

<file path=xl/comments51.xml><?xml version="1.0" encoding="utf-8"?>
<comments xmlns="http://schemas.openxmlformats.org/spreadsheetml/2006/main">
  <authors>
    <author xml:space="preserve"> </author>
    <author>aaron hoshide</author>
    <author>REP</author>
  </authors>
  <commentList>
    <comment ref="A8" authorId="0" shapeId="0">
      <text>
        <r>
          <rPr>
            <sz val="8"/>
            <color indexed="81"/>
            <rFont val="Tahoma"/>
            <family val="2"/>
          </rPr>
          <t>Consistent with recommendation from Rick for seeding timothy and alfalfa.  Assume use red clover instead.</t>
        </r>
      </text>
    </comment>
    <comment ref="C8" authorId="0" shapeId="0">
      <text>
        <r>
          <rPr>
            <sz val="8"/>
            <color indexed="81"/>
            <rFont val="Tahoma"/>
            <family val="2"/>
          </rPr>
          <t>From personal communication with Andrew Plant, this is 8 lb/acre.
Old value of 3.5 lb/acre (3.5) from using WI hay seeding calculator
www.uwex.edu/ces/forage/pubs/seeding_rate_calculator.xls</t>
        </r>
      </text>
    </comment>
    <comment ref="F8" authorId="1" shapeId="0">
      <text>
        <r>
          <rPr>
            <sz val="8"/>
            <color indexed="81"/>
            <rFont val="Tahoma"/>
            <family val="2"/>
          </rPr>
          <t>Use WI hay seeding calculator
www.uwex.edu/ces/forage/pubs/seeding_rate_calculator.xls
2007-09 US average price for timothy seed is $1.31333333333333/lb</t>
        </r>
      </text>
    </comment>
    <comment ref="A9" authorId="0" shapeId="0">
      <text>
        <r>
          <rPr>
            <sz val="8"/>
            <color indexed="81"/>
            <rFont val="Tahoma"/>
            <family val="2"/>
          </rPr>
          <t>Consistent with recommendation from Rick for seeding timothy and alfalfa.  Assume use red clover instead.</t>
        </r>
      </text>
    </comment>
    <comment ref="C9" authorId="0" shapeId="0">
      <text>
        <r>
          <rPr>
            <sz val="8"/>
            <color indexed="81"/>
            <rFont val="Tahoma"/>
            <family val="2"/>
          </rPr>
          <t>Assume 1/3 of weight of grass seed and 6% of seed.
www.uwex.edu/ces/forage/pubs/seeding_rate_calculator.xls</t>
        </r>
      </text>
    </comment>
    <comment ref="F9" authorId="0" shapeId="0">
      <text>
        <r>
          <rPr>
            <sz val="8"/>
            <color indexed="81"/>
            <rFont val="Tahoma"/>
            <family val="2"/>
          </rPr>
          <t>Use WI hay seeding calculator
www.uwex.edu/ces/forage/pubs/seeding_rate_calculator.xls
2007-09 US average price for red clover seed is $2.44/lb</t>
        </r>
      </text>
    </comment>
    <comment ref="J9" authorId="0" shapeId="0">
      <text>
        <r>
          <rPr>
            <sz val="8"/>
            <color indexed="81"/>
            <rFont val="Tahoma"/>
            <family val="2"/>
          </rPr>
          <t>This is consistent with KY budget:
www.ca.uky.edu/cmspubsclass/files/kburdine/cophay.xls</t>
        </r>
      </text>
    </comment>
    <comment ref="C11" authorId="2" shapeId="0">
      <text>
        <r>
          <rPr>
            <sz val="8"/>
            <color indexed="81"/>
            <rFont val="Tahoma"/>
            <family val="2"/>
          </rPr>
          <t xml:space="preserve">Value of 0.10 tons assumed a need of 200 lb/acre of 10-20-10 to yield 6 ton/acre of haylage (=200/2000). Assume this is not zero since no manure is applied to hay.  </t>
        </r>
      </text>
    </comment>
    <comment ref="F11" authorId="0" shapeId="0">
      <text>
        <r>
          <rPr>
            <sz val="8"/>
            <color indexed="81"/>
            <rFont val="Tahoma"/>
            <family val="2"/>
          </rPr>
          <t>Assume same percent increase in price as for urea. Old price of $220/ton for this.
Old value:
=220+(220*'Key Data'!$F$71)</t>
        </r>
      </text>
    </comment>
    <comment ref="C12" authorId="2" shapeId="0">
      <text>
        <r>
          <rPr>
            <sz val="8"/>
            <color indexed="81"/>
            <rFont val="Tahoma"/>
            <family val="2"/>
          </rPr>
          <t xml:space="preserve">Assume increase to 110 lb/acre from 80 lb/acre of urea top-dress to yield 6 ton/acre of haylage (=80/2000). </t>
        </r>
      </text>
    </comment>
    <comment ref="F12" authorId="2" shapeId="0">
      <text>
        <r>
          <rPr>
            <sz val="8"/>
            <color indexed="81"/>
            <rFont val="Tahoma"/>
            <family val="2"/>
          </rPr>
          <t>Assume percent increase in price for this. Old price of urea side dress for conventional dairy at $230/ton.
Old value:
=230+(230*'Key Data'!$F$71)</t>
        </r>
      </text>
    </comment>
    <comment ref="C13" authorId="0" shapeId="0">
      <text>
        <r>
          <rPr>
            <sz val="8"/>
            <color indexed="81"/>
            <rFont val="Tahoma"/>
            <family val="2"/>
          </rPr>
          <t>Old value of 0.50 (=1000/2000).</t>
        </r>
      </text>
    </comment>
    <comment ref="C15" authorId="2" shapeId="0">
      <text>
        <r>
          <rPr>
            <sz val="8"/>
            <color indexed="81"/>
            <rFont val="Tahoma"/>
            <family val="2"/>
          </rPr>
          <t>Assume same as silage corn.  Old value of 0.25 lb of Atrazine from cooperating potato farmer.</t>
        </r>
      </text>
    </comment>
    <comment ref="F15" authorId="2" shapeId="0">
      <text>
        <r>
          <rPr>
            <sz val="8"/>
            <color indexed="81"/>
            <rFont val="Tahoma"/>
            <family val="2"/>
          </rPr>
          <t>Adjusted by PPI to convert from 2002 surveyed cost to 2010. Assume same price as silage corn.  Old value of $2.76 from cooperating potato farmer.</t>
        </r>
      </text>
    </comment>
    <comment ref="C16" authorId="2" shapeId="0">
      <text>
        <r>
          <rPr>
            <sz val="8"/>
            <color indexed="81"/>
            <rFont val="Tahoma"/>
            <family val="2"/>
          </rPr>
          <t>Assume same as silage corn.  Old value of 3 oz of Callisto from cooperating potato farmer.</t>
        </r>
      </text>
    </comment>
    <comment ref="F16" authorId="2" shapeId="0">
      <text>
        <r>
          <rPr>
            <sz val="8"/>
            <color indexed="81"/>
            <rFont val="Tahoma"/>
            <family val="2"/>
          </rPr>
          <t>Adjusted by PPI to convert from 2002 surveyed cost to 2010. Assume same as silage corn.  Old value of $4.06 from cooperating potato farmer.</t>
        </r>
      </text>
    </comment>
    <comment ref="C17" authorId="0" shapeId="0">
      <text>
        <r>
          <rPr>
            <sz val="8"/>
            <color indexed="81"/>
            <rFont val="Tahoma"/>
            <family val="2"/>
          </rPr>
          <t>From personal communication with Andrew Plant, herbicide (typically 2,4-D, 2pt) every other year. So assume on average 1pt per year (1/8 gal).</t>
        </r>
      </text>
    </comment>
    <comment ref="F17" authorId="0" shapeId="0">
      <text>
        <r>
          <rPr>
            <sz val="8"/>
            <color indexed="81"/>
            <rFont val="Tahoma"/>
            <family val="2"/>
          </rPr>
          <t>http://geneticseed.com/page.aspx?ID=21
$418.99 for a 30 gal drum.  Assume some shipping and handling.</t>
        </r>
      </text>
    </comment>
    <comment ref="C23" authorId="0" shapeId="0">
      <text>
        <r>
          <rPr>
            <sz val="8"/>
            <color indexed="81"/>
            <rFont val="Tahoma"/>
            <family val="2"/>
          </rPr>
          <t>Old value of 0.0333333333333333</t>
        </r>
      </text>
    </comment>
    <comment ref="C24" authorId="1" shapeId="0">
      <text>
        <r>
          <rPr>
            <sz val="8"/>
            <color indexed="81"/>
            <rFont val="Tahoma"/>
            <family val="2"/>
          </rPr>
          <t>Assume same as level for soybeans.</t>
        </r>
      </text>
    </comment>
    <comment ref="C25" authorId="1" shapeId="0">
      <text>
        <r>
          <rPr>
            <sz val="8"/>
            <color indexed="81"/>
            <rFont val="Tahoma"/>
            <family val="2"/>
          </rPr>
          <t>Assume same as grain drill barley</t>
        </r>
      </text>
    </comment>
    <comment ref="C27" authorId="0" shapeId="0">
      <text>
        <r>
          <rPr>
            <sz val="8"/>
            <color indexed="81"/>
            <rFont val="Tahoma"/>
            <family val="2"/>
          </rPr>
          <t>Assume do every 2 years for 2,4-D so divide by 2.</t>
        </r>
      </text>
    </comment>
    <comment ref="C31" authorId="0" shapeId="0">
      <text>
        <r>
          <rPr>
            <sz val="8"/>
            <color indexed="81"/>
            <rFont val="Tahoma"/>
            <family val="2"/>
          </rPr>
          <t>Assume 4/5 of square bale.</t>
        </r>
      </text>
    </comment>
    <comment ref="B32" authorId="0" shapeId="0">
      <text>
        <r>
          <rPr>
            <sz val="8"/>
            <color indexed="81"/>
            <rFont val="Tahoma"/>
            <family val="2"/>
          </rPr>
          <t>Assume that there is no change for this since it takes the same time to pass over the field.</t>
        </r>
      </text>
    </comment>
    <comment ref="C33" authorId="0" shapeId="0">
      <text>
        <r>
          <rPr>
            <sz val="8"/>
            <color indexed="81"/>
            <rFont val="Tahoma"/>
            <family val="2"/>
          </rPr>
          <t>Assume this.</t>
        </r>
      </text>
    </comment>
    <comment ref="B36" authorId="0" shapeId="0">
      <text>
        <r>
          <rPr>
            <sz val="8"/>
            <color indexed="81"/>
            <rFont val="Tahoma"/>
            <family val="2"/>
          </rPr>
          <t>Assume that there is no change for this since it takes the same time to pass over the field.</t>
        </r>
      </text>
    </comment>
    <comment ref="C37" authorId="0" shapeId="0">
      <text>
        <r>
          <rPr>
            <sz val="8"/>
            <color indexed="81"/>
            <rFont val="Tahoma"/>
            <family val="2"/>
          </rPr>
          <t>Assume this.</t>
        </r>
      </text>
    </comment>
    <comment ref="C43" authorId="2" shapeId="0">
      <text>
        <r>
          <rPr>
            <sz val="8"/>
            <color indexed="81"/>
            <rFont val="Tahoma"/>
            <family val="2"/>
          </rPr>
          <t>Assume this is zero.</t>
        </r>
      </text>
    </comment>
    <comment ref="C48" authorId="0" shapeId="0">
      <text>
        <r>
          <rPr>
            <sz val="8"/>
            <color indexed="81"/>
            <rFont val="Tahoma"/>
            <family val="2"/>
          </rPr>
          <t>Assume 4/5 of square bale.</t>
        </r>
      </text>
    </comment>
    <comment ref="B49" authorId="0" shapeId="0">
      <text>
        <r>
          <rPr>
            <sz val="8"/>
            <color indexed="81"/>
            <rFont val="Tahoma"/>
            <family val="2"/>
          </rPr>
          <t>Assume that there is no change for this since it takes the same time to pass over the field.</t>
        </r>
      </text>
    </comment>
    <comment ref="C50" authorId="0" shapeId="0">
      <text>
        <r>
          <rPr>
            <sz val="8"/>
            <color indexed="81"/>
            <rFont val="Tahoma"/>
            <family val="2"/>
          </rPr>
          <t>Assume this.</t>
        </r>
      </text>
    </comment>
    <comment ref="B53" authorId="0" shapeId="0">
      <text>
        <r>
          <rPr>
            <sz val="8"/>
            <color indexed="81"/>
            <rFont val="Tahoma"/>
            <family val="2"/>
          </rPr>
          <t>Assume that there is no change for this since it takes the same time to pass over the field.</t>
        </r>
      </text>
    </comment>
    <comment ref="C54" authorId="0" shapeId="0">
      <text>
        <r>
          <rPr>
            <sz val="8"/>
            <color indexed="81"/>
            <rFont val="Tahoma"/>
            <family val="2"/>
          </rPr>
          <t>Assume this.</t>
        </r>
      </text>
    </comment>
    <comment ref="C61" authorId="1" shapeId="0">
      <text>
        <r>
          <rPr>
            <sz val="8"/>
            <color indexed="81"/>
            <rFont val="Tahoma"/>
            <family val="2"/>
          </rPr>
          <t>Assume this is zero since transported by farm needing hay or haylage.</t>
        </r>
      </text>
    </comment>
    <comment ref="H61" authorId="1" shapeId="0">
      <text>
        <r>
          <rPr>
            <sz val="8"/>
            <color indexed="81"/>
            <rFont val="Tahoma"/>
            <family val="2"/>
          </rPr>
          <t>Assume no additional labor costs</t>
        </r>
      </text>
    </comment>
    <comment ref="C67" authorId="0" shapeId="0">
      <text>
        <r>
          <rPr>
            <sz val="8"/>
            <color indexed="81"/>
            <rFont val="Tahoma"/>
            <family val="2"/>
          </rPr>
          <t>Old value of 0.131836702413325</t>
        </r>
      </text>
    </comment>
    <comment ref="C71" authorId="0" shapeId="0">
      <text>
        <r>
          <rPr>
            <sz val="8"/>
            <color indexed="81"/>
            <rFont val="Tahoma"/>
            <family val="2"/>
          </rPr>
          <t>Assume do every 2 years for 2,4-D so divide by 2.</t>
        </r>
      </text>
    </comment>
    <comment ref="C73" authorId="2" shapeId="0">
      <text>
        <r>
          <rPr>
            <sz val="8"/>
            <color indexed="81"/>
            <rFont val="Tahoma"/>
            <family val="2"/>
          </rPr>
          <t>Assume this is 10% of small dairy.  Old value of 0.05 gal.</t>
        </r>
      </text>
    </comment>
    <comment ref="C74" authorId="2" shapeId="0">
      <text>
        <r>
          <rPr>
            <sz val="8"/>
            <color indexed="81"/>
            <rFont val="Tahoma"/>
            <family val="2"/>
          </rPr>
          <t>Assume this is 10% of small dairy.  Old value of 0.05 gal.</t>
        </r>
      </text>
    </comment>
    <comment ref="C75" authorId="2" shapeId="0">
      <text>
        <r>
          <rPr>
            <sz val="8"/>
            <color indexed="81"/>
            <rFont val="Tahoma"/>
            <family val="2"/>
          </rPr>
          <t>Assume 0.75 gal/acre for round bales.</t>
        </r>
      </text>
    </comment>
    <comment ref="B76" authorId="0" shapeId="0">
      <text>
        <r>
          <rPr>
            <sz val="8"/>
            <color indexed="81"/>
            <rFont val="Tahoma"/>
            <family val="2"/>
          </rPr>
          <t>Assume that there is no change for this since it takes the same time to pass over the field.</t>
        </r>
      </text>
    </comment>
    <comment ref="C77" authorId="0" shapeId="0">
      <text>
        <r>
          <rPr>
            <sz val="8"/>
            <color indexed="81"/>
            <rFont val="Tahoma"/>
            <family val="2"/>
          </rPr>
          <t>Assume this.</t>
        </r>
      </text>
    </comment>
    <comment ref="C79" authorId="2" shapeId="0">
      <text>
        <r>
          <rPr>
            <sz val="8"/>
            <color indexed="81"/>
            <rFont val="Tahoma"/>
            <family val="2"/>
          </rPr>
          <t>Assume this is 10% of small dairy.  Old value of 0.16 gal.</t>
        </r>
      </text>
    </comment>
    <comment ref="B80" authorId="0" shapeId="0">
      <text>
        <r>
          <rPr>
            <sz val="8"/>
            <color indexed="81"/>
            <rFont val="Tahoma"/>
            <family val="2"/>
          </rPr>
          <t>Assume that there is no change for this since it takes the same time to pass over the field.</t>
        </r>
      </text>
    </comment>
    <comment ref="C83" authorId="2" shapeId="0">
      <text>
        <r>
          <rPr>
            <sz val="8"/>
            <color indexed="81"/>
            <rFont val="Tahoma"/>
            <family val="2"/>
          </rPr>
          <t>Assume this is 10% of small dairy.  Old value of 0.08 gal.</t>
        </r>
      </text>
    </comment>
    <comment ref="C85" authorId="2" shapeId="0">
      <text>
        <r>
          <rPr>
            <sz val="8"/>
            <color indexed="81"/>
            <rFont val="Tahoma"/>
            <family val="2"/>
          </rPr>
          <t>Assume this is 10% of small dairy.  Old value of 0.08 gal.</t>
        </r>
      </text>
    </comment>
    <comment ref="C87" authorId="2" shapeId="0">
      <text>
        <r>
          <rPr>
            <sz val="8"/>
            <color indexed="81"/>
            <rFont val="Tahoma"/>
            <family val="2"/>
          </rPr>
          <t>Assume this is zero.</t>
        </r>
      </text>
    </comment>
    <comment ref="C90" authorId="2" shapeId="0">
      <text>
        <r>
          <rPr>
            <sz val="8"/>
            <color indexed="81"/>
            <rFont val="Tahoma"/>
            <family val="2"/>
          </rPr>
          <t>Assume this is 10% of small dairy.  Old value of 0.05 gal.</t>
        </r>
      </text>
    </comment>
    <comment ref="C91" authorId="2" shapeId="0">
      <text>
        <r>
          <rPr>
            <sz val="8"/>
            <color indexed="81"/>
            <rFont val="Tahoma"/>
            <family val="2"/>
          </rPr>
          <t>Assume this is 10% of small dairy.  Old value of 0.05 gal.</t>
        </r>
      </text>
    </comment>
    <comment ref="C92" authorId="2" shapeId="0">
      <text>
        <r>
          <rPr>
            <sz val="8"/>
            <color indexed="81"/>
            <rFont val="Tahoma"/>
            <family val="2"/>
          </rPr>
          <t>Assume 0.75 gal/acre for round bales.</t>
        </r>
      </text>
    </comment>
    <comment ref="B93" authorId="0" shapeId="0">
      <text>
        <r>
          <rPr>
            <sz val="8"/>
            <color indexed="81"/>
            <rFont val="Tahoma"/>
            <family val="2"/>
          </rPr>
          <t>Assume that there is no change for this since it takes the same time to pass over the field.</t>
        </r>
      </text>
    </comment>
    <comment ref="C94" authorId="0" shapeId="0">
      <text>
        <r>
          <rPr>
            <sz val="8"/>
            <color indexed="81"/>
            <rFont val="Tahoma"/>
            <family val="2"/>
          </rPr>
          <t>Assume this.</t>
        </r>
      </text>
    </comment>
    <comment ref="C96" authorId="2" shapeId="0">
      <text>
        <r>
          <rPr>
            <sz val="8"/>
            <color indexed="81"/>
            <rFont val="Tahoma"/>
            <family val="2"/>
          </rPr>
          <t>Assume this is 10% of small dairy.  Old value of 0.16 gal.</t>
        </r>
      </text>
    </comment>
    <comment ref="B97" authorId="0" shapeId="0">
      <text>
        <r>
          <rPr>
            <sz val="8"/>
            <color indexed="81"/>
            <rFont val="Tahoma"/>
            <family val="2"/>
          </rPr>
          <t>Assume that there is no change for this since it takes the same time to pass over the field.</t>
        </r>
      </text>
    </comment>
    <comment ref="C100" authorId="2" shapeId="0">
      <text>
        <r>
          <rPr>
            <sz val="8"/>
            <color indexed="81"/>
            <rFont val="Tahoma"/>
            <family val="2"/>
          </rPr>
          <t>Assume this is 10% of small dairy.  Old value of 0.08 gal.</t>
        </r>
      </text>
    </comment>
    <comment ref="C102" authorId="2" shapeId="0">
      <text>
        <r>
          <rPr>
            <sz val="8"/>
            <color indexed="81"/>
            <rFont val="Tahoma"/>
            <family val="2"/>
          </rPr>
          <t>Assume this is 10% of small dairy.  Old value of 0.08 gal.</t>
        </r>
      </text>
    </comment>
    <comment ref="C105" authorId="1" shapeId="0">
      <text>
        <r>
          <rPr>
            <sz val="8"/>
            <color indexed="81"/>
            <rFont val="Tahoma"/>
            <family val="2"/>
          </rPr>
          <t>Assume this is zero since transported by farm needing hay or haylage.</t>
        </r>
      </text>
    </comment>
    <comment ref="H105" authorId="1" shapeId="0">
      <text>
        <r>
          <rPr>
            <sz val="8"/>
            <color indexed="81"/>
            <rFont val="Tahoma"/>
            <family val="2"/>
          </rPr>
          <t>Assume no additional fuel costs</t>
        </r>
      </text>
    </comment>
    <comment ref="G108" authorId="2" shapeId="0">
      <text>
        <r>
          <rPr>
            <sz val="8"/>
            <color indexed="81"/>
            <rFont val="Tahoma"/>
            <family val="2"/>
          </rPr>
          <t>Assume this is zero.  Old value of $21.19/acre assumes  that this is in proportion to total equipment cost for haylage compared to grain corn (In rotation with potatoes).</t>
        </r>
      </text>
    </comment>
    <comment ref="G109" authorId="1" shapeId="0">
      <text>
        <r>
          <rPr>
            <sz val="8"/>
            <color indexed="81"/>
            <rFont val="Tahoma"/>
            <family val="2"/>
          </rPr>
          <t>Assume $10/acre of supplies</t>
        </r>
      </text>
    </comment>
    <comment ref="A110" authorId="2" shapeId="0">
      <text>
        <r>
          <rPr>
            <sz val="8"/>
            <color indexed="81"/>
            <rFont val="Tahoma"/>
            <family val="2"/>
          </rPr>
          <t>Assume no crop insurance</t>
        </r>
      </text>
    </comment>
    <comment ref="F110" authorId="1" shapeId="0">
      <text>
        <r>
          <rPr>
            <sz val="8"/>
            <color indexed="81"/>
            <rFont val="Tahoma"/>
            <family val="2"/>
          </rPr>
          <t>Assume same as enterprise budget for potatoes</t>
        </r>
      </text>
    </comment>
    <comment ref="H111" authorId="1" shapeId="0">
      <text>
        <r>
          <rPr>
            <sz val="8"/>
            <color indexed="81"/>
            <rFont val="Tahoma"/>
            <family val="2"/>
          </rPr>
          <t>Assume no additional insurance costs</t>
        </r>
      </text>
    </comment>
    <comment ref="G113" authorId="1" shapeId="0">
      <text>
        <r>
          <rPr>
            <b/>
            <sz val="8"/>
            <color indexed="81"/>
            <rFont val="Tahoma"/>
            <family val="2"/>
          </rPr>
          <t>Old value assumes $0/acre.  
Assume 12 months at $50 a month divided by 300 acre model for utilities for workshop.</t>
        </r>
      </text>
    </comment>
    <comment ref="G114" authorId="2" shapeId="0">
      <text>
        <r>
          <rPr>
            <sz val="8"/>
            <color indexed="81"/>
            <rFont val="Tahoma"/>
            <family val="2"/>
          </rPr>
          <t>Assume no custom hire</t>
        </r>
      </text>
    </comment>
    <comment ref="G117" authorId="0" shapeId="0">
      <text>
        <r>
          <rPr>
            <sz val="8"/>
            <color indexed="81"/>
            <rFont val="Tahoma"/>
            <family val="2"/>
          </rPr>
          <t>According to Andrew Plant, do this every 5 years on average and custom-hire for $15/acre.</t>
        </r>
      </text>
    </comment>
    <comment ref="G118" authorId="2" shapeId="0">
      <text>
        <r>
          <rPr>
            <sz val="8"/>
            <color indexed="81"/>
            <rFont val="Tahoma"/>
            <family val="2"/>
          </rPr>
          <t>Assume no freight and trucking</t>
        </r>
      </text>
    </comment>
    <comment ref="F121" authorId="0" shapeId="0">
      <text>
        <r>
          <rPr>
            <sz val="8"/>
            <color indexed="81"/>
            <rFont val="Tahoma"/>
            <family val="2"/>
          </rPr>
          <t>$3200 for 11,800 ft:
http://geneticseed.com/page.aspx?ID=494
Assume 16 feet of netting needed to surround bale. P= 2(pi)r = 2(pi)(2.5) = 15.7 ft.</t>
        </r>
      </text>
    </comment>
    <comment ref="F122" authorId="0" shapeId="0">
      <text>
        <r>
          <rPr>
            <sz val="8"/>
            <color indexed="81"/>
            <rFont val="Tahoma"/>
            <family val="2"/>
          </rPr>
          <t xml:space="preserve">http://www.bridoncordage.com/calculator.html
Twine Cost Calculator 
Big Square $0.82 
Big Round $0.86 
3-Tie $0.11 
Small Square $0.07
</t>
        </r>
      </text>
    </comment>
    <comment ref="F123" authorId="0" shapeId="0">
      <text>
        <r>
          <rPr>
            <sz val="8"/>
            <color indexed="81"/>
            <rFont val="Tahoma"/>
            <family val="2"/>
          </rPr>
          <t xml:space="preserve">http://www.bridoncordage.com/calculator.html
Twine Cost Calculator 
Big Square $0.82 
Big Round $0.86 
3-Tie $0.11 
Small Square $0.07
</t>
        </r>
      </text>
    </comment>
    <comment ref="B124" authorId="0" shapeId="0">
      <text>
        <r>
          <rPr>
            <sz val="8"/>
            <color indexed="81"/>
            <rFont val="Tahoma"/>
            <family val="2"/>
          </rPr>
          <t>Assume there is no additional cost of covering or housing crop in storage.</t>
        </r>
      </text>
    </comment>
    <comment ref="B125" authorId="0" shapeId="0">
      <text>
        <r>
          <rPr>
            <sz val="8"/>
            <color indexed="81"/>
            <rFont val="Tahoma"/>
            <family val="2"/>
          </rPr>
          <t>Assume there is no additional cost of covering or housing crop in storage.</t>
        </r>
      </text>
    </comment>
    <comment ref="G126" authorId="1" shapeId="0">
      <text>
        <r>
          <rPr>
            <sz val="8"/>
            <color indexed="81"/>
            <rFont val="Tahoma"/>
            <family val="2"/>
          </rPr>
          <t>Assume this is $5/acre</t>
        </r>
      </text>
    </comment>
    <comment ref="A127" authorId="2" shapeId="0">
      <text>
        <r>
          <rPr>
            <sz val="8"/>
            <color indexed="81"/>
            <rFont val="Tahoma"/>
            <family val="2"/>
          </rPr>
          <t>Assume no promotion tax for hay</t>
        </r>
      </text>
    </comment>
  </commentList>
</comments>
</file>

<file path=xl/comments52.xml><?xml version="1.0" encoding="utf-8"?>
<comments xmlns="http://schemas.openxmlformats.org/spreadsheetml/2006/main">
  <authors>
    <author>REP</author>
    <author>aaron hoshide</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0" authorId="1" shapeId="0">
      <text>
        <r>
          <rPr>
            <sz val="8"/>
            <color indexed="81"/>
            <rFont val="Tahoma"/>
            <family val="2"/>
          </rPr>
          <t>Use for both potatoes and haylage</t>
        </r>
      </text>
    </comment>
    <comment ref="D10" authorId="0" shapeId="0">
      <text>
        <r>
          <rPr>
            <sz val="8"/>
            <color indexed="81"/>
            <rFont val="Tahoma"/>
            <family val="2"/>
          </rPr>
          <t>Assume worth $80,000</t>
        </r>
      </text>
    </comment>
    <comment ref="C11" authorId="1" shapeId="0">
      <text>
        <r>
          <rPr>
            <sz val="8"/>
            <color indexed="81"/>
            <rFont val="Tahoma"/>
            <family val="2"/>
          </rPr>
          <t>Use for both potatoes and dry hay</t>
        </r>
      </text>
    </comment>
    <comment ref="D11" authorId="0" shapeId="0">
      <text>
        <r>
          <rPr>
            <sz val="8"/>
            <color indexed="81"/>
            <rFont val="Tahoma"/>
            <family val="2"/>
          </rPr>
          <t>Assume worth $10,000</t>
        </r>
      </text>
    </comment>
    <comment ref="C14" authorId="1" shapeId="0">
      <text>
        <r>
          <rPr>
            <sz val="8"/>
            <color indexed="81"/>
            <rFont val="Tahoma"/>
            <family val="2"/>
          </rPr>
          <t>Use for all crops except for sudan grass</t>
        </r>
      </text>
    </comment>
    <comment ref="D14" authorId="0" shapeId="0">
      <text>
        <r>
          <rPr>
            <sz val="8"/>
            <color indexed="81"/>
            <rFont val="Tahoma"/>
            <family val="2"/>
          </rPr>
          <t>Assume worth $28,000</t>
        </r>
      </text>
    </comment>
    <comment ref="C17" authorId="1"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$15,800</t>
        </r>
      </text>
    </comment>
    <comment ref="C18" authorId="1" shapeId="0">
      <text>
        <r>
          <rPr>
            <sz val="8"/>
            <color indexed="81"/>
            <rFont val="Tahoma"/>
            <family val="2"/>
          </rPr>
          <t>Use for all crops except pasture and clover (assumed underseeded in small grain year).</t>
        </r>
      </text>
    </comment>
    <comment ref="D18" authorId="0" shapeId="0">
      <text>
        <r>
          <rPr>
            <sz val="8"/>
            <color indexed="81"/>
            <rFont val="Tahoma"/>
            <family val="2"/>
          </rPr>
          <t>Assume worth $12,000</t>
        </r>
      </text>
    </comment>
    <comment ref="C19" authorId="1" shapeId="0">
      <text>
        <r>
          <rPr>
            <sz val="8"/>
            <color indexed="81"/>
            <rFont val="Tahoma"/>
            <family val="2"/>
          </rPr>
          <t>Use for all crops except pasture and clover (assumed underseeded in small grain year).</t>
        </r>
      </text>
    </comment>
    <comment ref="D19" authorId="0" shapeId="0">
      <text>
        <r>
          <rPr>
            <sz val="8"/>
            <color indexed="81"/>
            <rFont val="Tahoma"/>
            <family val="2"/>
          </rPr>
          <t>Assume worth $17,500</t>
        </r>
      </text>
    </comment>
    <comment ref="C22" authorId="1" shapeId="0">
      <text>
        <r>
          <rPr>
            <sz val="8"/>
            <color indexed="81"/>
            <rFont val="Tahoma"/>
            <family val="2"/>
          </rPr>
          <t>Use for all crops except soybeans</t>
        </r>
      </text>
    </comment>
    <comment ref="D22" authorId="1" shapeId="0">
      <text>
        <r>
          <rPr>
            <sz val="8"/>
            <color indexed="81"/>
            <rFont val="Tahoma"/>
            <family val="2"/>
          </rPr>
          <t>Same as conventional large dairy ($3000)</t>
        </r>
      </text>
    </comment>
    <comment ref="C23" authorId="2" shapeId="0">
      <text>
        <r>
          <rPr>
            <sz val="8"/>
            <color indexed="81"/>
            <rFont val="Tahoma"/>
            <family val="2"/>
          </rPr>
          <t>Use for alfalfa, haylage, dry hay, and canola.</t>
        </r>
      </text>
    </comment>
    <comment ref="C26" authorId="0" shapeId="0">
      <text>
        <r>
          <rPr>
            <sz val="8"/>
            <color indexed="81"/>
            <rFont val="Tahoma"/>
            <family val="2"/>
          </rPr>
          <t>Use for all crops except pasture and clover (assumed underseeded in small grain year).</t>
        </r>
      </text>
    </comment>
    <comment ref="D26" authorId="0" shapeId="0">
      <text>
        <r>
          <rPr>
            <sz val="8"/>
            <color indexed="81"/>
            <rFont val="Tahoma"/>
            <family val="2"/>
          </rPr>
          <t>Assume worth $24,500</t>
        </r>
      </text>
    </comment>
    <comment ref="C29" authorId="1" shapeId="0">
      <text>
        <r>
          <rPr>
            <sz val="8"/>
            <color indexed="81"/>
            <rFont val="Tahoma"/>
            <family val="2"/>
          </rPr>
          <t>Use for alfalfa and haylage</t>
        </r>
      </text>
    </comment>
    <comment ref="D29" authorId="1" shapeId="0">
      <text>
        <r>
          <rPr>
            <sz val="8"/>
            <color indexed="81"/>
            <rFont val="Tahoma"/>
            <family val="2"/>
          </rPr>
          <t>Assume $15,000 for mower-conditioner</t>
        </r>
      </text>
    </comment>
    <comment ref="D30" authorId="2" shapeId="0">
      <text>
        <r>
          <rPr>
            <sz val="8"/>
            <color indexed="81"/>
            <rFont val="Tahoma"/>
            <family val="2"/>
          </rPr>
          <t>Assume worth $3000.</t>
        </r>
      </text>
    </comment>
    <comment ref="D31" authorId="1" shapeId="0">
      <text>
        <r>
          <rPr>
            <sz val="8"/>
            <color indexed="81"/>
            <rFont val="Tahoma"/>
            <family val="2"/>
          </rPr>
          <t>Assume worth $1000.</t>
        </r>
      </text>
    </comment>
    <comment ref="B33" authorId="2" shapeId="0">
      <text>
        <r>
          <rPr>
            <sz val="8"/>
            <color indexed="81"/>
            <rFont val="Tahoma"/>
            <family val="2"/>
          </rPr>
          <t>Assume this is zero since just use round baler.</t>
        </r>
      </text>
    </comment>
    <comment ref="C36" authorId="0" shapeId="0">
      <text>
        <r>
          <rPr>
            <sz val="8"/>
            <color indexed="81"/>
            <rFont val="Tahoma"/>
            <family val="2"/>
          </rPr>
          <t>Use for all crops</t>
        </r>
      </text>
    </comment>
    <comment ref="D36" authorId="0" shapeId="0">
      <text>
        <r>
          <rPr>
            <sz val="8"/>
            <color indexed="81"/>
            <rFont val="Tahoma"/>
            <family val="2"/>
          </rPr>
          <t>Assume worth $100</t>
        </r>
      </text>
    </comment>
    <comment ref="C37" authorId="0" shapeId="0">
      <text>
        <r>
          <rPr>
            <sz val="8"/>
            <color indexed="81"/>
            <rFont val="Tahoma"/>
            <family val="2"/>
          </rPr>
          <t>Use for all crops</t>
        </r>
      </text>
    </comment>
    <comment ref="D37" authorId="0" shapeId="0">
      <text>
        <r>
          <rPr>
            <sz val="8"/>
            <color indexed="81"/>
            <rFont val="Tahoma"/>
            <family val="2"/>
          </rPr>
          <t>Assume worth $1000</t>
        </r>
      </text>
    </comment>
    <comment ref="C42" authorId="1" shapeId="0">
      <text>
        <r>
          <rPr>
            <sz val="8"/>
            <color indexed="81"/>
            <rFont val="Tahoma"/>
            <family val="2"/>
          </rPr>
          <t>Use for all crops</t>
        </r>
      </text>
    </comment>
    <comment ref="D42" authorId="0" shapeId="0">
      <text>
        <r>
          <rPr>
            <sz val="8"/>
            <color indexed="81"/>
            <rFont val="Tahoma"/>
            <family val="2"/>
          </rPr>
          <t>Assume worth $128,000</t>
        </r>
      </text>
    </comment>
  </commentList>
</comments>
</file>

<file path=xl/comments53.xml><?xml version="1.0" encoding="utf-8"?>
<comments xmlns="http://schemas.openxmlformats.org/spreadsheetml/2006/main">
  <authors>
    <author>REP</author>
    <author>aaron hoshide</author>
  </authors>
  <commentList>
    <comment ref="I8" authorId="0" shapeId="0">
      <text>
        <r>
          <rPr>
            <sz val="8"/>
            <color indexed="81"/>
            <rFont val="Tahoma"/>
            <family val="2"/>
          </rPr>
          <t xml:space="preserve">Old value of $30 per ton. Adjusted by PPI to convert from 2002 surveyed cost to 2010. </t>
        </r>
      </text>
    </comment>
    <comment ref="J9" authorId="0" shapeId="0">
      <text>
        <r>
          <rPr>
            <sz val="8"/>
            <color indexed="81"/>
            <rFont val="Tahoma"/>
            <family val="2"/>
          </rPr>
          <t>Old value of $22.50 per bale. Adjusted by PPI to convert from 2002 surveyed cost to 2010.</t>
        </r>
      </text>
    </comment>
    <comment ref="J10" authorId="0" shapeId="0">
      <text>
        <r>
          <rPr>
            <sz val="8"/>
            <color indexed="81"/>
            <rFont val="Tahoma"/>
            <family val="2"/>
          </rPr>
          <t>Old value of $1.88 per bale. Adjusted by PPI to convert from 2002 surveyed cost to 2010.</t>
        </r>
      </text>
    </comment>
    <comment ref="I24" authorId="1" shapeId="0">
      <text>
        <r>
          <rPr>
            <sz val="8"/>
            <color indexed="81"/>
            <rFont val="Tahoma"/>
            <family val="2"/>
          </rPr>
          <t>Assumes first cut is all haylage and second cut is 90% haylage and 10% square bales</t>
        </r>
      </text>
    </comment>
    <comment ref="A26" authorId="1" shapeId="0">
      <text>
        <r>
          <rPr>
            <sz val="8"/>
            <color indexed="81"/>
            <rFont val="Tahoma"/>
            <family val="2"/>
          </rPr>
          <t>Includes promotion tax and leased land</t>
        </r>
      </text>
    </comment>
  </commentList>
</comments>
</file>

<file path=xl/comments54.xml><?xml version="1.0" encoding="utf-8"?>
<comments xmlns="http://schemas.openxmlformats.org/spreadsheetml/2006/main">
  <authors>
    <author>REP</author>
    <author xml:space="preserve"> </author>
    <author>aaron hoshide</author>
  </authors>
  <commentList>
    <comment ref="C8" authorId="0" shapeId="0">
      <text>
        <r>
          <rPr>
            <sz val="8"/>
            <color indexed="81"/>
            <rFont val="Tahoma"/>
            <family val="2"/>
          </rPr>
          <t>Assume this is zero since clover established in small grain year if preceded by small grain.  If not, then assume need seed.</t>
        </r>
      </text>
    </comment>
    <comment ref="F8" authorId="1" shapeId="0">
      <text>
        <r>
          <rPr>
            <sz val="8"/>
            <color indexed="81"/>
            <rFont val="Tahoma"/>
            <family val="2"/>
          </rPr>
          <t>Use 2007-09 US average price for red clover.
Old value of 1.2</t>
        </r>
      </text>
    </comment>
    <comment ref="K8" authorId="1" shapeId="0">
      <text>
        <r>
          <rPr>
            <sz val="8"/>
            <color indexed="81"/>
            <rFont val="Tahoma"/>
            <family val="2"/>
          </rPr>
          <t>If pure stand then seed 10-12 lb/acre:
http://cropsoil.psu.edu/extension/facts/agfact21.pdf</t>
        </r>
      </text>
    </comment>
    <comment ref="C10" authorId="0" shapeId="0">
      <text>
        <r>
          <rPr>
            <sz val="8"/>
            <color indexed="81"/>
            <rFont val="Tahoma"/>
            <family val="2"/>
          </rPr>
          <t xml:space="preserve">Assume this is zero since more clover is a legume cover crop.  </t>
        </r>
      </text>
    </comment>
    <comment ref="F10" authorId="1" shapeId="0">
      <text>
        <r>
          <rPr>
            <sz val="8"/>
            <color indexed="81"/>
            <rFont val="Tahoma"/>
            <family val="2"/>
          </rPr>
          <t>Assume same percent increase in price as for urea. Old price of $220/ton for this.
Old value:
=220+(220*'Key Data'!$F$71)</t>
        </r>
      </text>
    </comment>
    <comment ref="C11" authorId="0" shapeId="0">
      <text>
        <r>
          <rPr>
            <sz val="8"/>
            <color indexed="81"/>
            <rFont val="Tahoma"/>
            <family val="2"/>
          </rPr>
          <t xml:space="preserve">Assume this is zero since more clover is a legume cover crop.  </t>
        </r>
      </text>
    </comment>
    <comment ref="F11" authorId="0" shapeId="0">
      <text>
        <r>
          <rPr>
            <sz val="8"/>
            <color indexed="81"/>
            <rFont val="Tahoma"/>
            <family val="2"/>
          </rPr>
          <t>Assume percent increase in price for this. Old price of urea side dress for conventional dairy at $230/ton.
Old value:
=230+(230*'Key Data'!$F$71)</t>
        </r>
      </text>
    </comment>
    <comment ref="C12" authorId="1" shapeId="0">
      <text>
        <r>
          <rPr>
            <sz val="8"/>
            <color indexed="81"/>
            <rFont val="Tahoma"/>
            <family val="2"/>
          </rPr>
          <t>Old value of 0.50 (=1000/2000).</t>
        </r>
      </text>
    </comment>
    <comment ref="C14" authorId="0" shapeId="0">
      <text>
        <r>
          <rPr>
            <sz val="8"/>
            <color indexed="81"/>
            <rFont val="Tahoma"/>
            <family val="2"/>
          </rPr>
          <t>Assume this is zero.</t>
        </r>
      </text>
    </comment>
    <comment ref="C15" authorId="0" shapeId="0">
      <text>
        <r>
          <rPr>
            <sz val="8"/>
            <color indexed="81"/>
            <rFont val="Tahoma"/>
            <family val="2"/>
          </rPr>
          <t>Assume this is zero.</t>
        </r>
      </text>
    </comment>
    <comment ref="C20" authorId="0" shapeId="0">
      <text>
        <r>
          <rPr>
            <sz val="8"/>
            <color indexed="81"/>
            <rFont val="Tahoma"/>
            <family val="2"/>
          </rPr>
          <t>Assume this is zero.</t>
        </r>
      </text>
    </comment>
    <comment ref="C21" authorId="1" shapeId="0">
      <text>
        <r>
          <rPr>
            <sz val="8"/>
            <color indexed="81"/>
            <rFont val="Tahoma"/>
            <family val="2"/>
          </rPr>
          <t>Old value of 0.0333333333333333</t>
        </r>
      </text>
    </comment>
    <comment ref="C22" authorId="2" shapeId="0">
      <text>
        <r>
          <rPr>
            <sz val="8"/>
            <color indexed="81"/>
            <rFont val="Tahoma"/>
            <family val="2"/>
          </rPr>
          <t>Assume same as level for soybeans.</t>
        </r>
      </text>
    </comment>
    <comment ref="C23" authorId="2" shapeId="0">
      <text>
        <r>
          <rPr>
            <sz val="8"/>
            <color indexed="81"/>
            <rFont val="Tahoma"/>
            <family val="2"/>
          </rPr>
          <t>Assume same as grain drill barley</t>
        </r>
      </text>
    </comment>
    <comment ref="B27" authorId="1" shapeId="0">
      <text>
        <r>
          <rPr>
            <sz val="8"/>
            <color indexed="81"/>
            <rFont val="Tahoma"/>
            <family val="2"/>
          </rPr>
          <t>Assume that there is no change for this since it takes the same time to pass over the field.</t>
        </r>
      </text>
    </comment>
    <comment ref="C30" authorId="0" shapeId="0">
      <text>
        <r>
          <rPr>
            <sz val="8"/>
            <color indexed="81"/>
            <rFont val="Tahoma"/>
            <family val="2"/>
          </rPr>
          <t>Assume this is zero. Old value of 0.50 hr/acre.</t>
        </r>
      </text>
    </comment>
    <comment ref="C32" authorId="1" shapeId="0">
      <text>
        <r>
          <rPr>
            <sz val="8"/>
            <color indexed="81"/>
            <rFont val="Tahoma"/>
            <family val="2"/>
          </rPr>
          <t>Assume this is 90% of first cut since 10% of second cut is harvested as square bales.</t>
        </r>
      </text>
    </comment>
    <comment ref="B33" authorId="1" shapeId="0">
      <text>
        <r>
          <rPr>
            <sz val="8"/>
            <color indexed="81"/>
            <rFont val="Tahoma"/>
            <family val="2"/>
          </rPr>
          <t>Assume that there is no change for this since it takes the same time to pass over the field.</t>
        </r>
      </text>
    </comment>
    <comment ref="C34" authorId="1" shapeId="0">
      <text>
        <r>
          <rPr>
            <sz val="8"/>
            <color indexed="81"/>
            <rFont val="Tahoma"/>
            <family val="2"/>
          </rPr>
          <t>Assume this is 90% of first cut since 10% of second cut is harvested as square bales.</t>
        </r>
      </text>
    </comment>
    <comment ref="C38" authorId="1" shapeId="0">
      <text>
        <r>
          <rPr>
            <sz val="8"/>
            <color indexed="81"/>
            <rFont val="Tahoma"/>
            <family val="2"/>
          </rPr>
          <t>Assume 4/5 of square bale.</t>
        </r>
      </text>
    </comment>
    <comment ref="B39" authorId="1" shapeId="0">
      <text>
        <r>
          <rPr>
            <sz val="8"/>
            <color indexed="81"/>
            <rFont val="Tahoma"/>
            <family val="2"/>
          </rPr>
          <t>Assume that there is no change for this since it takes the same time to pass over the field.</t>
        </r>
      </text>
    </comment>
    <comment ref="C40" authorId="1" shapeId="0">
      <text>
        <r>
          <rPr>
            <sz val="8"/>
            <color indexed="81"/>
            <rFont val="Tahoma"/>
            <family val="2"/>
          </rPr>
          <t>Assume this.</t>
        </r>
      </text>
    </comment>
    <comment ref="B43" authorId="1" shapeId="0">
      <text>
        <r>
          <rPr>
            <sz val="8"/>
            <color indexed="81"/>
            <rFont val="Tahoma"/>
            <family val="2"/>
          </rPr>
          <t>Assume that there is no change for this since it takes the same time to pass over the field.</t>
        </r>
      </text>
    </comment>
    <comment ref="C44" authorId="1" shapeId="0">
      <text>
        <r>
          <rPr>
            <sz val="8"/>
            <color indexed="81"/>
            <rFont val="Tahoma"/>
            <family val="2"/>
          </rPr>
          <t>Assume this.</t>
        </r>
      </text>
    </comment>
    <comment ref="C51" authorId="2" shapeId="0">
      <text>
        <r>
          <rPr>
            <sz val="8"/>
            <color indexed="81"/>
            <rFont val="Tahoma"/>
            <family val="2"/>
          </rPr>
          <t>Assume this is zero since transported by farm needing clover silage.</t>
        </r>
      </text>
    </comment>
    <comment ref="H51" authorId="2" shapeId="0">
      <text>
        <r>
          <rPr>
            <sz val="8"/>
            <color indexed="81"/>
            <rFont val="Tahoma"/>
            <family val="2"/>
          </rPr>
          <t>Assume no additional labor costs</t>
        </r>
      </text>
    </comment>
    <comment ref="C56" authorId="0" shapeId="0">
      <text>
        <r>
          <rPr>
            <sz val="8"/>
            <color indexed="81"/>
            <rFont val="Tahoma"/>
            <family val="2"/>
          </rPr>
          <t>Assume this is zero.</t>
        </r>
      </text>
    </comment>
    <comment ref="C57" authorId="1" shapeId="0">
      <text>
        <r>
          <rPr>
            <sz val="8"/>
            <color indexed="81"/>
            <rFont val="Tahoma"/>
            <family val="2"/>
          </rPr>
          <t>Old value of 0.131836702413325</t>
        </r>
      </text>
    </comment>
    <comment ref="C62" authorId="0" shapeId="0">
      <text>
        <r>
          <rPr>
            <sz val="8"/>
            <color indexed="81"/>
            <rFont val="Tahoma"/>
            <family val="2"/>
          </rPr>
          <t>Assume this is 1.25 gal (small dairy for tead, rake, and bale) x (6 tons/2.7 tons) = 2.78 gal.  Old value of 3.37 gal.</t>
        </r>
      </text>
    </comment>
    <comment ref="B63" authorId="1" shapeId="0">
      <text>
        <r>
          <rPr>
            <sz val="8"/>
            <color indexed="81"/>
            <rFont val="Tahoma"/>
            <family val="2"/>
          </rPr>
          <t>Assume that there is no change for this since it takes the same time to pass over the field.</t>
        </r>
      </text>
    </comment>
    <comment ref="C66" authorId="0" shapeId="0">
      <text>
        <r>
          <rPr>
            <sz val="8"/>
            <color indexed="81"/>
            <rFont val="Tahoma"/>
            <family val="2"/>
          </rPr>
          <t>Assume this is zero. Old value of 0.440238632920666 gal/acre.</t>
        </r>
      </text>
    </comment>
    <comment ref="C68" authorId="0" shapeId="0">
      <text>
        <r>
          <rPr>
            <sz val="8"/>
            <color indexed="81"/>
            <rFont val="Tahoma"/>
            <family val="2"/>
          </rPr>
          <t>Assume this is 90% of first cut since 10% of second cut is harvested as square bales.  Old value of 2.41 gal.</t>
        </r>
      </text>
    </comment>
    <comment ref="B69" authorId="1" shapeId="0">
      <text>
        <r>
          <rPr>
            <sz val="8"/>
            <color indexed="81"/>
            <rFont val="Tahoma"/>
            <family val="2"/>
          </rPr>
          <t>Assume that there is no change for this since it takes the same time to pass over the field.</t>
        </r>
      </text>
    </comment>
    <comment ref="C70" authorId="1" shapeId="0">
      <text>
        <r>
          <rPr>
            <sz val="8"/>
            <color indexed="81"/>
            <rFont val="Tahoma"/>
            <family val="2"/>
          </rPr>
          <t>Assume this is 90% of first cut since 10% of second cut is harvested as square bales.</t>
        </r>
      </text>
    </comment>
    <comment ref="C72" authorId="0" shapeId="0">
      <text>
        <r>
          <rPr>
            <sz val="8"/>
            <color indexed="81"/>
            <rFont val="Tahoma"/>
            <family val="2"/>
          </rPr>
          <t>Assume this is 10% of small dairy.  Old value of 0.05 gal.</t>
        </r>
      </text>
    </comment>
    <comment ref="C73" authorId="0" shapeId="0">
      <text>
        <r>
          <rPr>
            <sz val="8"/>
            <color indexed="81"/>
            <rFont val="Tahoma"/>
            <family val="2"/>
          </rPr>
          <t>Assume this is 10% of small dairy.  Old value of 0.05 gal.</t>
        </r>
      </text>
    </comment>
    <comment ref="C74" authorId="0" shapeId="0">
      <text>
        <r>
          <rPr>
            <sz val="8"/>
            <color indexed="81"/>
            <rFont val="Tahoma"/>
            <family val="2"/>
          </rPr>
          <t>Assume this is 10% of small dairy.  Old value of 0.16 gal.</t>
        </r>
      </text>
    </comment>
    <comment ref="B75" authorId="1" shapeId="0">
      <text>
        <r>
          <rPr>
            <sz val="8"/>
            <color indexed="81"/>
            <rFont val="Tahoma"/>
            <family val="2"/>
          </rPr>
          <t>Assume that there is no change for this since it takes the same time to pass over the field.</t>
        </r>
      </text>
    </comment>
    <comment ref="C76" authorId="1" shapeId="0">
      <text>
        <r>
          <rPr>
            <sz val="8"/>
            <color indexed="81"/>
            <rFont val="Tahoma"/>
            <family val="2"/>
          </rPr>
          <t>Assume this.</t>
        </r>
      </text>
    </comment>
    <comment ref="C78" authorId="0" shapeId="0">
      <text>
        <r>
          <rPr>
            <sz val="8"/>
            <color indexed="81"/>
            <rFont val="Tahoma"/>
            <family val="2"/>
          </rPr>
          <t>Assume this is 10% of small dairy.  Old value of 0.16 gal.</t>
        </r>
      </text>
    </comment>
    <comment ref="B79" authorId="1" shapeId="0">
      <text>
        <r>
          <rPr>
            <sz val="8"/>
            <color indexed="81"/>
            <rFont val="Tahoma"/>
            <family val="2"/>
          </rPr>
          <t>Assume that there is no change for this since it takes the same time to pass over the field.</t>
        </r>
      </text>
    </comment>
    <comment ref="C82" authorId="0" shapeId="0">
      <text>
        <r>
          <rPr>
            <sz val="8"/>
            <color indexed="81"/>
            <rFont val="Tahoma"/>
            <family val="2"/>
          </rPr>
          <t>Assume this is 10% of small dairy.  Old value of 0.08 gal.</t>
        </r>
      </text>
    </comment>
    <comment ref="C84" authorId="0" shapeId="0">
      <text>
        <r>
          <rPr>
            <sz val="8"/>
            <color indexed="81"/>
            <rFont val="Tahoma"/>
            <family val="2"/>
          </rPr>
          <t>Assume this is 10% of small dairy.  Old value of 0.08 gal.</t>
        </r>
      </text>
    </comment>
    <comment ref="C87" authorId="2" shapeId="0">
      <text>
        <r>
          <rPr>
            <sz val="8"/>
            <color indexed="81"/>
            <rFont val="Tahoma"/>
            <family val="2"/>
          </rPr>
          <t>Assume this is zero since transported by farm needing clover silage.</t>
        </r>
      </text>
    </comment>
    <comment ref="H87" authorId="2" shapeId="0">
      <text>
        <r>
          <rPr>
            <sz val="8"/>
            <color indexed="81"/>
            <rFont val="Tahoma"/>
            <family val="2"/>
          </rPr>
          <t>Assume no additional fuel costs</t>
        </r>
      </text>
    </comment>
    <comment ref="G90" authorId="0" shapeId="0">
      <text>
        <r>
          <rPr>
            <sz val="8"/>
            <color indexed="81"/>
            <rFont val="Tahoma"/>
            <family val="2"/>
          </rPr>
          <t>Assume this is zero.  Old value of $21.19/acre assumes  that this is in proportion to total equipment cost for haylage compared to grain corn (In rotation with potatoes).</t>
        </r>
      </text>
    </comment>
    <comment ref="G91" authorId="2" shapeId="0">
      <text>
        <r>
          <rPr>
            <sz val="8"/>
            <color indexed="81"/>
            <rFont val="Tahoma"/>
            <family val="2"/>
          </rPr>
          <t>Assume $10/acre of supplies</t>
        </r>
      </text>
    </comment>
    <comment ref="A92" authorId="0" shapeId="0">
      <text>
        <r>
          <rPr>
            <sz val="8"/>
            <color indexed="81"/>
            <rFont val="Tahoma"/>
            <family val="2"/>
          </rPr>
          <t>Assume no crop insurance</t>
        </r>
      </text>
    </comment>
    <comment ref="F92" authorId="2" shapeId="0">
      <text>
        <r>
          <rPr>
            <sz val="8"/>
            <color indexed="81"/>
            <rFont val="Tahoma"/>
            <family val="2"/>
          </rPr>
          <t>Assume same as enterprise budget for potatoes</t>
        </r>
      </text>
    </comment>
    <comment ref="G93" authorId="0" shapeId="0">
      <text>
        <r>
          <rPr>
            <sz val="8"/>
            <color indexed="81"/>
            <rFont val="Tahoma"/>
            <family val="2"/>
          </rPr>
          <t>Assume none</t>
        </r>
      </text>
    </comment>
    <comment ref="H93" authorId="2" shapeId="0">
      <text>
        <r>
          <rPr>
            <sz val="8"/>
            <color indexed="81"/>
            <rFont val="Tahoma"/>
            <family val="2"/>
          </rPr>
          <t>Assume no additional insurance costs</t>
        </r>
      </text>
    </comment>
    <comment ref="G95" authorId="2" shapeId="0">
      <text>
        <r>
          <rPr>
            <b/>
            <sz val="8"/>
            <color indexed="81"/>
            <rFont val="Tahoma"/>
            <family val="2"/>
          </rPr>
          <t>Old value assumes $0/acre.  
Assume 12 months at $50 a month divided by 300 acre model for utilities for workshop.</t>
        </r>
      </text>
    </comment>
    <comment ref="G96" authorId="0" shapeId="0">
      <text>
        <r>
          <rPr>
            <sz val="8"/>
            <color indexed="81"/>
            <rFont val="Tahoma"/>
            <family val="2"/>
          </rPr>
          <t>Assume no custom hire</t>
        </r>
      </text>
    </comment>
    <comment ref="G99" authorId="1" shapeId="0">
      <text>
        <r>
          <rPr>
            <sz val="8"/>
            <color indexed="81"/>
            <rFont val="Tahoma"/>
            <family val="2"/>
          </rPr>
          <t>According to Andrew Plant, do this every 5 years on average and custom-hire for $15/acre.</t>
        </r>
      </text>
    </comment>
    <comment ref="G100" authorId="0" shapeId="0">
      <text>
        <r>
          <rPr>
            <sz val="8"/>
            <color indexed="81"/>
            <rFont val="Tahoma"/>
            <family val="2"/>
          </rPr>
          <t>Assume no freight and trucking</t>
        </r>
      </text>
    </comment>
    <comment ref="F103" authorId="1" shapeId="0">
      <text>
        <r>
          <rPr>
            <sz val="8"/>
            <color indexed="81"/>
            <rFont val="Tahoma"/>
            <family val="2"/>
          </rPr>
          <t>$3200 for 11,800 ft:
http://geneticseed.com/page.aspx?ID=494
Assume 16 feet of netting needed to surround bale. P= 2(pi)r = 2(pi)(2.5) = 15.7 ft.</t>
        </r>
      </text>
    </comment>
    <comment ref="F104" authorId="1" shapeId="0">
      <text>
        <r>
          <rPr>
            <sz val="8"/>
            <color indexed="81"/>
            <rFont val="Tahoma"/>
            <family val="2"/>
          </rPr>
          <t xml:space="preserve">http://www.bridoncordage.com/calculator.html
Twine Cost Calculator 
Big Square $0.82 
Big Round $0.86 
3-Tie $0.11 
Small Square $0.07
</t>
        </r>
      </text>
    </comment>
    <comment ref="F105" authorId="1" shapeId="0">
      <text>
        <r>
          <rPr>
            <sz val="8"/>
            <color indexed="81"/>
            <rFont val="Tahoma"/>
            <family val="2"/>
          </rPr>
          <t xml:space="preserve">http://www.bridoncordage.com/calculator.html
Twine Cost Calculator 
Big Square $0.82 
Big Round $0.86 
3-Tie $0.11 
Small Square $0.07
</t>
        </r>
      </text>
    </comment>
    <comment ref="B106" authorId="1" shapeId="0">
      <text>
        <r>
          <rPr>
            <sz val="8"/>
            <color indexed="81"/>
            <rFont val="Tahoma"/>
            <family val="2"/>
          </rPr>
          <t>Assume there is no additional cost of covering or housing crop in storage.</t>
        </r>
      </text>
    </comment>
    <comment ref="B107" authorId="1" shapeId="0">
      <text>
        <r>
          <rPr>
            <sz val="8"/>
            <color indexed="81"/>
            <rFont val="Tahoma"/>
            <family val="2"/>
          </rPr>
          <t>Assume there is no additional cost of covering or housing crop in storage.</t>
        </r>
      </text>
    </comment>
    <comment ref="G108" authorId="2" shapeId="0">
      <text>
        <r>
          <rPr>
            <sz val="8"/>
            <color indexed="81"/>
            <rFont val="Tahoma"/>
            <family val="2"/>
          </rPr>
          <t>Assume this is $5/acre</t>
        </r>
      </text>
    </comment>
    <comment ref="A109" authorId="0" shapeId="0">
      <text>
        <r>
          <rPr>
            <sz val="8"/>
            <color indexed="81"/>
            <rFont val="Tahoma"/>
            <family val="2"/>
          </rPr>
          <t>Assume no promotion tax for hay</t>
        </r>
      </text>
    </comment>
  </commentList>
</comments>
</file>

<file path=xl/comments55.xml><?xml version="1.0" encoding="utf-8"?>
<comments xmlns="http://schemas.openxmlformats.org/spreadsheetml/2006/main">
  <authors>
    <author>REP</author>
    <author>aaron hoshide</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0" authorId="1" shapeId="0">
      <text>
        <r>
          <rPr>
            <sz val="8"/>
            <color indexed="81"/>
            <rFont val="Tahoma"/>
            <family val="2"/>
          </rPr>
          <t>Use for both potatoes and haylage</t>
        </r>
      </text>
    </comment>
    <comment ref="D10" authorId="0" shapeId="0">
      <text>
        <r>
          <rPr>
            <sz val="8"/>
            <color indexed="81"/>
            <rFont val="Tahoma"/>
            <family val="2"/>
          </rPr>
          <t>Assume worth $80,000</t>
        </r>
      </text>
    </comment>
    <comment ref="B11" authorId="0" shapeId="0">
      <text>
        <r>
          <rPr>
            <sz val="8"/>
            <color indexed="81"/>
            <rFont val="Tahoma"/>
            <family val="2"/>
          </rPr>
          <t>Assume do not use.</t>
        </r>
      </text>
    </comment>
    <comment ref="C11" authorId="1" shapeId="0">
      <text>
        <r>
          <rPr>
            <sz val="8"/>
            <color indexed="81"/>
            <rFont val="Tahoma"/>
            <family val="2"/>
          </rPr>
          <t>Use for both potatoes and dry hay</t>
        </r>
      </text>
    </comment>
    <comment ref="D11" authorId="0" shapeId="0">
      <text>
        <r>
          <rPr>
            <sz val="8"/>
            <color indexed="81"/>
            <rFont val="Tahoma"/>
            <family val="2"/>
          </rPr>
          <t>Assume worth $10,000</t>
        </r>
      </text>
    </comment>
    <comment ref="C14" authorId="1" shapeId="0">
      <text>
        <r>
          <rPr>
            <sz val="8"/>
            <color indexed="81"/>
            <rFont val="Tahoma"/>
            <family val="2"/>
          </rPr>
          <t>Use for all crops except for sudan grass</t>
        </r>
      </text>
    </comment>
    <comment ref="D14" authorId="0" shapeId="0">
      <text>
        <r>
          <rPr>
            <sz val="8"/>
            <color indexed="81"/>
            <rFont val="Tahoma"/>
            <family val="2"/>
          </rPr>
          <t>Assume worth $28,000</t>
        </r>
      </text>
    </comment>
    <comment ref="B17" authorId="0" shapeId="0">
      <text>
        <r>
          <rPr>
            <sz val="8"/>
            <color indexed="81"/>
            <rFont val="Tahoma"/>
            <family val="2"/>
          </rPr>
          <t>Assume do not use.</t>
        </r>
      </text>
    </comment>
    <comment ref="C17" authorId="1" shapeId="0">
      <text>
        <r>
          <rPr>
            <sz val="8"/>
            <color indexed="81"/>
            <rFont val="Tahoma"/>
            <family val="2"/>
          </rPr>
          <t>Use for all crops except soybeans</t>
        </r>
      </text>
    </comment>
    <comment ref="D17" authorId="1" shapeId="0">
      <text>
        <r>
          <rPr>
            <sz val="8"/>
            <color indexed="81"/>
            <rFont val="Tahoma"/>
            <family val="2"/>
          </rPr>
          <t>Same as conventional large dairy ($3000)</t>
        </r>
      </text>
    </comment>
    <comment ref="C20" authorId="1" shapeId="0">
      <text>
        <r>
          <rPr>
            <sz val="8"/>
            <color indexed="81"/>
            <rFont val="Tahoma"/>
            <family val="2"/>
          </rPr>
          <t>Use for alfalfa and haylage</t>
        </r>
      </text>
    </comment>
    <comment ref="D20" authorId="1" shapeId="0">
      <text>
        <r>
          <rPr>
            <sz val="8"/>
            <color indexed="81"/>
            <rFont val="Tahoma"/>
            <family val="2"/>
          </rPr>
          <t>Assume $15,000 for mower-conditioner</t>
        </r>
      </text>
    </comment>
    <comment ref="C21" authorId="1" shapeId="0">
      <text>
        <r>
          <rPr>
            <sz val="8"/>
            <color indexed="81"/>
            <rFont val="Tahoma"/>
            <family val="2"/>
          </rPr>
          <t>Use for both corn silage and haylage</t>
        </r>
      </text>
    </comment>
    <comment ref="D21" authorId="0" shapeId="0">
      <text>
        <r>
          <rPr>
            <sz val="8"/>
            <color indexed="81"/>
            <rFont val="Tahoma"/>
            <family val="2"/>
          </rPr>
          <t>Assume $20,000 for chopper</t>
        </r>
      </text>
    </comment>
    <comment ref="D22" authorId="2" shapeId="0">
      <text>
        <r>
          <rPr>
            <sz val="8"/>
            <color indexed="81"/>
            <rFont val="Tahoma"/>
            <family val="2"/>
          </rPr>
          <t>Assume worth $3000.</t>
        </r>
      </text>
    </comment>
    <comment ref="D23" authorId="1" shapeId="0">
      <text>
        <r>
          <rPr>
            <sz val="8"/>
            <color indexed="81"/>
            <rFont val="Tahoma"/>
            <family val="2"/>
          </rPr>
          <t>Assume worth $1000.</t>
        </r>
      </text>
    </comment>
    <comment ref="C28" authorId="0" shapeId="0">
      <text>
        <r>
          <rPr>
            <sz val="8"/>
            <color indexed="81"/>
            <rFont val="Tahoma"/>
            <family val="2"/>
          </rPr>
          <t>Use for all crops</t>
        </r>
      </text>
    </comment>
    <comment ref="D28" authorId="0" shapeId="0">
      <text>
        <r>
          <rPr>
            <sz val="8"/>
            <color indexed="81"/>
            <rFont val="Tahoma"/>
            <family val="2"/>
          </rPr>
          <t>Assume worth $100</t>
        </r>
      </text>
    </comment>
    <comment ref="C29" authorId="0" shapeId="0">
      <text>
        <r>
          <rPr>
            <sz val="8"/>
            <color indexed="81"/>
            <rFont val="Tahoma"/>
            <family val="2"/>
          </rPr>
          <t>Use for all crops</t>
        </r>
      </text>
    </comment>
    <comment ref="D29" authorId="0" shapeId="0">
      <text>
        <r>
          <rPr>
            <sz val="8"/>
            <color indexed="81"/>
            <rFont val="Tahoma"/>
            <family val="2"/>
          </rPr>
          <t>Assume worth $1000</t>
        </r>
      </text>
    </comment>
    <comment ref="C34" authorId="1" shapeId="0">
      <text>
        <r>
          <rPr>
            <sz val="8"/>
            <color indexed="81"/>
            <rFont val="Tahoma"/>
            <family val="2"/>
          </rPr>
          <t>Use for all crops</t>
        </r>
      </text>
    </comment>
    <comment ref="D34" authorId="0" shapeId="0">
      <text>
        <r>
          <rPr>
            <sz val="8"/>
            <color indexed="81"/>
            <rFont val="Tahoma"/>
            <family val="2"/>
          </rPr>
          <t>Assume worth $128,000</t>
        </r>
      </text>
    </comment>
  </commentList>
</comments>
</file>

<file path=xl/comments56.xml><?xml version="1.0" encoding="utf-8"?>
<comments xmlns="http://schemas.openxmlformats.org/spreadsheetml/2006/main">
  <authors>
    <author>aaron hoshide</author>
  </authors>
  <commentList>
    <comment ref="A26" authorId="0" shapeId="0">
      <text>
        <r>
          <rPr>
            <sz val="8"/>
            <color indexed="81"/>
            <rFont val="Tahoma"/>
            <family val="2"/>
          </rPr>
          <t>Includes promotion tax and leased land</t>
        </r>
      </text>
    </comment>
  </commentList>
</comments>
</file>

<file path=xl/comments57.xml><?xml version="1.0" encoding="utf-8"?>
<comments xmlns="http://schemas.openxmlformats.org/spreadsheetml/2006/main">
  <authors>
    <author xml:space="preserve"> </author>
    <author>aaron hoshide</author>
    <author>REP</author>
  </authors>
  <commentList>
    <comment ref="A8" authorId="0" shapeId="0">
      <text>
        <r>
          <rPr>
            <sz val="8"/>
            <color indexed="81"/>
            <rFont val="Tahoma"/>
            <family val="2"/>
          </rPr>
          <t>Consistent with recommendation from Rick for seeding timothy and alfalfa.  Assume use red clover instead.</t>
        </r>
      </text>
    </comment>
    <comment ref="C8" authorId="0" shapeId="0">
      <text>
        <r>
          <rPr>
            <sz val="8"/>
            <color indexed="81"/>
            <rFont val="Tahoma"/>
            <family val="2"/>
          </rPr>
          <t>From personal communication with Andrew Plant, this is 8 lb/acre.
Old value of 3.5 lb/acre (3.5) from using WI hay seeding calculator
www.uwex.edu/ces/forage/pubs/seeding_rate_calculator.xls</t>
        </r>
      </text>
    </comment>
    <comment ref="F8" authorId="1" shapeId="0">
      <text>
        <r>
          <rPr>
            <sz val="8"/>
            <color indexed="81"/>
            <rFont val="Tahoma"/>
            <family val="2"/>
          </rPr>
          <t>Use WI hay seeding calculator
www.uwex.edu/ces/forage/pubs/seeding_rate_calculator.xls
2007-09 US average price for timothy seed is $1.31333333333333/lb</t>
        </r>
      </text>
    </comment>
    <comment ref="A9" authorId="0" shapeId="0">
      <text>
        <r>
          <rPr>
            <sz val="8"/>
            <color indexed="81"/>
            <rFont val="Tahoma"/>
            <family val="2"/>
          </rPr>
          <t>Consistent with recommendation from Rick for seeding timothy and alfalfa.  Assume use red clover instead.</t>
        </r>
      </text>
    </comment>
    <comment ref="C9" authorId="0" shapeId="0">
      <text>
        <r>
          <rPr>
            <sz val="8"/>
            <color indexed="81"/>
            <rFont val="Tahoma"/>
            <family val="2"/>
          </rPr>
          <t>Assume 1/3 of weight of grass seed and 6% of seed.
www.uwex.edu/ces/forage/pubs/seeding_rate_calculator.xls</t>
        </r>
      </text>
    </comment>
    <comment ref="F9" authorId="0" shapeId="0">
      <text>
        <r>
          <rPr>
            <sz val="8"/>
            <color indexed="81"/>
            <rFont val="Tahoma"/>
            <family val="2"/>
          </rPr>
          <t>Use WI hay seeding calculator
www.uwex.edu/ces/forage/pubs/seeding_rate_calculator.xls
2007-09 US average price for red clover seed is $2.44/lb</t>
        </r>
      </text>
    </comment>
    <comment ref="C11" authorId="2" shapeId="0">
      <text>
        <r>
          <rPr>
            <sz val="8"/>
            <color indexed="81"/>
            <rFont val="Tahoma"/>
            <family val="2"/>
          </rPr>
          <t xml:space="preserve">Assume no fertilizer applied.  
</t>
        </r>
      </text>
    </comment>
    <comment ref="F11" authorId="0" shapeId="0">
      <text>
        <r>
          <rPr>
            <sz val="8"/>
            <color indexed="81"/>
            <rFont val="Tahoma"/>
            <family val="2"/>
          </rPr>
          <t>Assume same percent increase in price as for urea. Old price of $220/ton for this.
Old value:
=220+(220*'Key Data'!$F$71)</t>
        </r>
      </text>
    </comment>
    <comment ref="C12" authorId="2" shapeId="0">
      <text>
        <r>
          <rPr>
            <sz val="8"/>
            <color indexed="81"/>
            <rFont val="Tahoma"/>
            <family val="2"/>
          </rPr>
          <t xml:space="preserve">Assume no fertilizer applied.  
</t>
        </r>
      </text>
    </comment>
    <comment ref="F12" authorId="2" shapeId="0">
      <text>
        <r>
          <rPr>
            <sz val="8"/>
            <color indexed="81"/>
            <rFont val="Tahoma"/>
            <family val="2"/>
          </rPr>
          <t>Assume percent increase in price for this. Old price of urea side dress for conventional dairy at $230/ton.
Old value:
=230+(230*'Key Data'!$F$71)</t>
        </r>
      </text>
    </comment>
    <comment ref="C13" authorId="1" shapeId="0">
      <text>
        <r>
          <rPr>
            <sz val="8"/>
            <color indexed="81"/>
            <rFont val="Tahoma"/>
            <family val="2"/>
          </rPr>
          <t>Assume no lime applied.  Conventional haylage and hay applies 0.50 tons per acre.</t>
        </r>
      </text>
    </comment>
    <comment ref="C15" authorId="2" shapeId="0">
      <text>
        <r>
          <rPr>
            <sz val="8"/>
            <color indexed="81"/>
            <rFont val="Tahoma"/>
            <family val="2"/>
          </rPr>
          <t>Assume same as silage corn.  Old value of 0.25 lb of Atrazine from cooperating potato farmer.</t>
        </r>
      </text>
    </comment>
    <comment ref="F15" authorId="2" shapeId="0">
      <text>
        <r>
          <rPr>
            <sz val="8"/>
            <color indexed="81"/>
            <rFont val="Tahoma"/>
            <family val="2"/>
          </rPr>
          <t>Adjusted by PPI to convert from 2002 surveyed cost to 2010. Assume same price as silage corn.  Old value of $2.76 from cooperating potato farmer.</t>
        </r>
      </text>
    </comment>
    <comment ref="C16" authorId="2" shapeId="0">
      <text>
        <r>
          <rPr>
            <sz val="8"/>
            <color indexed="81"/>
            <rFont val="Tahoma"/>
            <family val="2"/>
          </rPr>
          <t>Assume same as silage corn.  Old value of 3 oz of Callisto from cooperating potato farmer.</t>
        </r>
      </text>
    </comment>
    <comment ref="F16" authorId="2" shapeId="0">
      <text>
        <r>
          <rPr>
            <sz val="8"/>
            <color indexed="81"/>
            <rFont val="Tahoma"/>
            <family val="2"/>
          </rPr>
          <t>Adjusted by PPI to convert from 2002 surveyed cost to 2010. Assume same as silage corn.  Old value of $4.06 from cooperating potato farmer.</t>
        </r>
      </text>
    </comment>
    <comment ref="C17" authorId="0" shapeId="0">
      <text>
        <r>
          <rPr>
            <sz val="8"/>
            <color indexed="81"/>
            <rFont val="Tahoma"/>
            <family val="2"/>
          </rPr>
          <t>From personal communication with Andrew Plant, herbicide (typically 2,4-D, 2pt) every other year. So assume on average 1pt per year (1/8 gal).</t>
        </r>
      </text>
    </comment>
    <comment ref="F17" authorId="0" shapeId="0">
      <text>
        <r>
          <rPr>
            <sz val="8"/>
            <color indexed="81"/>
            <rFont val="Tahoma"/>
            <family val="2"/>
          </rPr>
          <t>http://geneticseed.com/page.aspx?ID=21
$418.99 for a 30 gal drum.  Assume some shipping and handling.</t>
        </r>
      </text>
    </comment>
    <comment ref="C23" authorId="0" shapeId="0">
      <text>
        <r>
          <rPr>
            <sz val="8"/>
            <color indexed="81"/>
            <rFont val="Tahoma"/>
            <family val="2"/>
          </rPr>
          <t>Old value of 0.0333333333333333</t>
        </r>
      </text>
    </comment>
    <comment ref="C24" authorId="1" shapeId="0">
      <text>
        <r>
          <rPr>
            <sz val="8"/>
            <color indexed="81"/>
            <rFont val="Tahoma"/>
            <family val="2"/>
          </rPr>
          <t>Assume same as level for soybeans.</t>
        </r>
      </text>
    </comment>
    <comment ref="C25" authorId="1" shapeId="0">
      <text>
        <r>
          <rPr>
            <sz val="8"/>
            <color indexed="81"/>
            <rFont val="Tahoma"/>
            <family val="2"/>
          </rPr>
          <t>Assume same as grain drill barley</t>
        </r>
      </text>
    </comment>
    <comment ref="C27" authorId="0" shapeId="0">
      <text>
        <r>
          <rPr>
            <sz val="8"/>
            <color indexed="81"/>
            <rFont val="Tahoma"/>
            <family val="2"/>
          </rPr>
          <t>Assume do every 2 years for 2,4-D so divide by 2.</t>
        </r>
      </text>
    </comment>
    <comment ref="C29" authorId="0" shapeId="0">
      <text>
        <r>
          <rPr>
            <sz val="8"/>
            <color indexed="81"/>
            <rFont val="Tahoma"/>
            <family val="2"/>
          </rPr>
          <t>Open pasture. Assume not MIG with old value of 49.995 hours per acre.</t>
        </r>
      </text>
    </comment>
    <comment ref="C30" authorId="0" shapeId="0">
      <text>
        <r>
          <rPr>
            <sz val="8"/>
            <color indexed="81"/>
            <rFont val="Tahoma"/>
            <family val="2"/>
          </rPr>
          <t>Old value of 0.5</t>
        </r>
      </text>
    </comment>
    <comment ref="B33" authorId="0" shapeId="0">
      <text>
        <r>
          <rPr>
            <sz val="8"/>
            <color indexed="81"/>
            <rFont val="Tahoma"/>
            <family val="2"/>
          </rPr>
          <t>Assume that there is no change for this since it takes the same time to pass over the field.</t>
        </r>
      </text>
    </comment>
    <comment ref="B39" authorId="0" shapeId="0">
      <text>
        <r>
          <rPr>
            <sz val="8"/>
            <color indexed="81"/>
            <rFont val="Tahoma"/>
            <family val="2"/>
          </rPr>
          <t>Assume that there is no change for this since it takes the same time to pass over the field.</t>
        </r>
      </text>
    </comment>
    <comment ref="C40" authorId="0" shapeId="0">
      <text>
        <r>
          <rPr>
            <sz val="8"/>
            <color indexed="81"/>
            <rFont val="Tahoma"/>
            <family val="2"/>
          </rPr>
          <t>Assume this.</t>
        </r>
      </text>
    </comment>
    <comment ref="B43" authorId="0" shapeId="0">
      <text>
        <r>
          <rPr>
            <sz val="8"/>
            <color indexed="81"/>
            <rFont val="Tahoma"/>
            <family val="2"/>
          </rPr>
          <t>Assume that there is no change for this since it takes the same time to pass over the field.</t>
        </r>
      </text>
    </comment>
    <comment ref="C44" authorId="0" shapeId="0">
      <text>
        <r>
          <rPr>
            <sz val="8"/>
            <color indexed="81"/>
            <rFont val="Tahoma"/>
            <family val="2"/>
          </rPr>
          <t>Assume this.</t>
        </r>
      </text>
    </comment>
    <comment ref="C51" authorId="0" shapeId="0">
      <text>
        <r>
          <rPr>
            <sz val="8"/>
            <color indexed="81"/>
            <rFont val="Tahoma"/>
            <family val="2"/>
          </rPr>
          <t>Assume this is zero.</t>
        </r>
      </text>
    </comment>
    <comment ref="H51" authorId="1" shapeId="0">
      <text>
        <r>
          <rPr>
            <sz val="8"/>
            <color indexed="81"/>
            <rFont val="Tahoma"/>
            <family val="2"/>
          </rPr>
          <t>Assume no additional labor costs.</t>
        </r>
      </text>
    </comment>
    <comment ref="C57" authorId="0" shapeId="0">
      <text>
        <r>
          <rPr>
            <sz val="8"/>
            <color indexed="81"/>
            <rFont val="Tahoma"/>
            <family val="2"/>
          </rPr>
          <t>Old value of 0.131836702413325</t>
        </r>
      </text>
    </comment>
    <comment ref="C61" authorId="0" shapeId="0">
      <text>
        <r>
          <rPr>
            <sz val="8"/>
            <color indexed="81"/>
            <rFont val="Tahoma"/>
            <family val="2"/>
          </rPr>
          <t>Assume do every 2 years for 2,4-D so divide by 2.</t>
        </r>
      </text>
    </comment>
    <comment ref="C64" authorId="0" shapeId="0">
      <text>
        <r>
          <rPr>
            <sz val="8"/>
            <color indexed="81"/>
            <rFont val="Tahoma"/>
            <family val="2"/>
          </rPr>
          <t>Old value of 0.440238632920666</t>
        </r>
      </text>
    </comment>
    <comment ref="C66" authorId="2" shapeId="0">
      <text>
        <r>
          <rPr>
            <sz val="8"/>
            <color indexed="81"/>
            <rFont val="Tahoma"/>
            <family val="2"/>
          </rPr>
          <t>Assume this is 1.25 gal (small dairy for tead, rake, and bale) x (6 tons/2.7 tons) = 2.78 gal.  Old value of 3.37 gal.</t>
        </r>
      </text>
    </comment>
    <comment ref="B67" authorId="0" shapeId="0">
      <text>
        <r>
          <rPr>
            <sz val="8"/>
            <color indexed="81"/>
            <rFont val="Tahoma"/>
            <family val="2"/>
          </rPr>
          <t>Assume that there is no change for this since it takes the same time to pass over the field.</t>
        </r>
      </text>
    </comment>
    <comment ref="C70" authorId="2" shapeId="0">
      <text>
        <r>
          <rPr>
            <sz val="8"/>
            <color indexed="81"/>
            <rFont val="Tahoma"/>
            <family val="2"/>
          </rPr>
          <t>Assume this is 10% of small dairy.  Old value of 0.05 gal.</t>
        </r>
      </text>
    </comment>
    <comment ref="C71" authorId="2" shapeId="0">
      <text>
        <r>
          <rPr>
            <sz val="8"/>
            <color indexed="81"/>
            <rFont val="Tahoma"/>
            <family val="2"/>
          </rPr>
          <t>Assume this is 10% of small dairy.  Old value of 0.05 gal.</t>
        </r>
      </text>
    </comment>
    <comment ref="C72" authorId="2" shapeId="0">
      <text>
        <r>
          <rPr>
            <sz val="8"/>
            <color indexed="81"/>
            <rFont val="Tahoma"/>
            <family val="2"/>
          </rPr>
          <t>Assume 0.75 gal/acre for round bales.</t>
        </r>
      </text>
    </comment>
    <comment ref="B73" authorId="0" shapeId="0">
      <text>
        <r>
          <rPr>
            <sz val="8"/>
            <color indexed="81"/>
            <rFont val="Tahoma"/>
            <family val="2"/>
          </rPr>
          <t>Assume that there is no change for this since it takes the same time to pass over the field.</t>
        </r>
      </text>
    </comment>
    <comment ref="C74" authorId="0" shapeId="0">
      <text>
        <r>
          <rPr>
            <sz val="8"/>
            <color indexed="81"/>
            <rFont val="Tahoma"/>
            <family val="2"/>
          </rPr>
          <t>Assume this.</t>
        </r>
      </text>
    </comment>
    <comment ref="C76" authorId="2" shapeId="0">
      <text>
        <r>
          <rPr>
            <sz val="8"/>
            <color indexed="81"/>
            <rFont val="Tahoma"/>
            <family val="2"/>
          </rPr>
          <t>Assume this is 10% of small dairy.  Old value of 0.16 gal.</t>
        </r>
      </text>
    </comment>
    <comment ref="B77" authorId="0" shapeId="0">
      <text>
        <r>
          <rPr>
            <sz val="8"/>
            <color indexed="81"/>
            <rFont val="Tahoma"/>
            <family val="2"/>
          </rPr>
          <t>Assume that there is no change for this since it takes the same time to pass over the field.</t>
        </r>
      </text>
    </comment>
    <comment ref="C80" authorId="2" shapeId="0">
      <text>
        <r>
          <rPr>
            <sz val="8"/>
            <color indexed="81"/>
            <rFont val="Tahoma"/>
            <family val="2"/>
          </rPr>
          <t>Assume this is 10% of small dairy.  Old value of 0.08 gal.</t>
        </r>
      </text>
    </comment>
    <comment ref="C82" authorId="2" shapeId="0">
      <text>
        <r>
          <rPr>
            <sz val="8"/>
            <color indexed="81"/>
            <rFont val="Tahoma"/>
            <family val="2"/>
          </rPr>
          <t>Assume this is 10% of small dairy.  Old value of 0.08 gal.</t>
        </r>
      </text>
    </comment>
    <comment ref="C85" authorId="0" shapeId="0">
      <text>
        <r>
          <rPr>
            <sz val="8"/>
            <color indexed="81"/>
            <rFont val="Tahoma"/>
            <family val="2"/>
          </rPr>
          <t>Assume this is zero.</t>
        </r>
      </text>
    </comment>
    <comment ref="H85" authorId="1" shapeId="0">
      <text>
        <r>
          <rPr>
            <sz val="8"/>
            <color indexed="81"/>
            <rFont val="Tahoma"/>
            <family val="2"/>
          </rPr>
          <t>Assume no additional fuel costs.</t>
        </r>
      </text>
    </comment>
    <comment ref="G88" authorId="1" shapeId="0">
      <text>
        <r>
          <rPr>
            <sz val="8"/>
            <color indexed="81"/>
            <rFont val="Tahoma"/>
            <family val="2"/>
          </rPr>
          <t>Assume this is zero. Old assumption is to adjust in proportion to coupled dairy silage corn (=24.93*(HayBudget!D25/182.55)-E46).</t>
        </r>
      </text>
    </comment>
    <comment ref="G89" authorId="1" shapeId="0">
      <text>
        <r>
          <rPr>
            <sz val="8"/>
            <color indexed="81"/>
            <rFont val="Tahoma"/>
            <family val="2"/>
          </rPr>
          <t>Assume $10/acre of supplies</t>
        </r>
      </text>
    </comment>
    <comment ref="A90" authorId="2" shapeId="0">
      <text>
        <r>
          <rPr>
            <sz val="8"/>
            <color indexed="81"/>
            <rFont val="Tahoma"/>
            <family val="2"/>
          </rPr>
          <t>Assume no crop insurance.</t>
        </r>
      </text>
    </comment>
    <comment ref="G90" authorId="1" shapeId="0">
      <text>
        <r>
          <rPr>
            <sz val="8"/>
            <color indexed="81"/>
            <rFont val="Tahoma"/>
            <family val="2"/>
          </rPr>
          <t>Assume no crop insurance.  If assume same as enterprise budget for potatoes then $0.33/acre.</t>
        </r>
      </text>
    </comment>
    <comment ref="G91" authorId="1" shapeId="0">
      <text>
        <r>
          <rPr>
            <sz val="8"/>
            <color indexed="81"/>
            <rFont val="Tahoma"/>
            <family val="2"/>
          </rPr>
          <t>Assume no additional insurance costs.</t>
        </r>
      </text>
    </comment>
    <comment ref="G93" authorId="1" shapeId="0">
      <text>
        <r>
          <rPr>
            <b/>
            <sz val="8"/>
            <color indexed="81"/>
            <rFont val="Tahoma"/>
            <family val="2"/>
          </rPr>
          <t>Old value assumes $0/acre.  
Assume 12 months at $50 a month divided by 300 acre model for utilities for workshop.</t>
        </r>
      </text>
    </comment>
    <comment ref="G94" authorId="2" shapeId="0">
      <text>
        <r>
          <rPr>
            <sz val="8"/>
            <color indexed="81"/>
            <rFont val="Tahoma"/>
            <family val="2"/>
          </rPr>
          <t>Assume no custom hire.</t>
        </r>
      </text>
    </comment>
    <comment ref="A96" authorId="1" shapeId="0">
      <text>
        <r>
          <rPr>
            <sz val="8"/>
            <color indexed="81"/>
            <rFont val="Tahoma"/>
            <family val="2"/>
          </rPr>
          <t>Assume 25% of land is leased.</t>
        </r>
      </text>
    </comment>
    <comment ref="G97" authorId="0" shapeId="0">
      <text>
        <r>
          <rPr>
            <sz val="8"/>
            <color indexed="81"/>
            <rFont val="Tahoma"/>
            <family val="2"/>
          </rPr>
          <t>According to Andrew Plant, do this every 5 years on average and custom-hire for $15/acre.</t>
        </r>
      </text>
    </comment>
    <comment ref="G98" authorId="2" shapeId="0">
      <text>
        <r>
          <rPr>
            <sz val="8"/>
            <color indexed="81"/>
            <rFont val="Tahoma"/>
            <family val="2"/>
          </rPr>
          <t>Assume no freight and trucking.</t>
        </r>
      </text>
    </comment>
    <comment ref="F101" authorId="0" shapeId="0">
      <text>
        <r>
          <rPr>
            <sz val="8"/>
            <color indexed="81"/>
            <rFont val="Tahoma"/>
            <family val="2"/>
          </rPr>
          <t>$3200 for 11,800 ft:
http://geneticseed.com/page.aspx?ID=494
Assume 16 feet of netting needed to surround bale. P= 2(pi)r = 2(pi)(2.5) = 15.7 ft.</t>
        </r>
      </text>
    </comment>
    <comment ref="F102" authorId="0" shapeId="0">
      <text>
        <r>
          <rPr>
            <sz val="8"/>
            <color indexed="81"/>
            <rFont val="Tahoma"/>
            <family val="2"/>
          </rPr>
          <t xml:space="preserve">http://www.bridoncordage.com/calculator.html
Twine Cost Calculator 
Big Square $0.82 
Big Round $0.86 
3-Tie $0.11 
Small Square $0.07
</t>
        </r>
      </text>
    </comment>
    <comment ref="F103" authorId="0" shapeId="0">
      <text>
        <r>
          <rPr>
            <sz val="8"/>
            <color indexed="81"/>
            <rFont val="Tahoma"/>
            <family val="2"/>
          </rPr>
          <t xml:space="preserve">http://www.bridoncordage.com/calculator.html
Twine Cost Calculator 
Big Square $0.82 
Big Round $0.86 
3-Tie $0.11 
Small Square $0.07
</t>
        </r>
      </text>
    </comment>
    <comment ref="B104" authorId="0" shapeId="0">
      <text>
        <r>
          <rPr>
            <sz val="8"/>
            <color indexed="81"/>
            <rFont val="Tahoma"/>
            <family val="2"/>
          </rPr>
          <t>Assume there is no additional cost of covering or housing crop in storage.</t>
        </r>
      </text>
    </comment>
    <comment ref="B105" authorId="0" shapeId="0">
      <text>
        <r>
          <rPr>
            <sz val="8"/>
            <color indexed="81"/>
            <rFont val="Tahoma"/>
            <family val="2"/>
          </rPr>
          <t>Assume there is no additional cost of covering or housing crop in storage.</t>
        </r>
      </text>
    </comment>
    <comment ref="G106" authorId="1" shapeId="0">
      <text>
        <r>
          <rPr>
            <sz val="8"/>
            <color indexed="81"/>
            <rFont val="Tahoma"/>
            <family val="2"/>
          </rPr>
          <t>Assume this is $5/acre</t>
        </r>
      </text>
    </comment>
    <comment ref="A107" authorId="2" shapeId="0">
      <text>
        <r>
          <rPr>
            <sz val="8"/>
            <color indexed="81"/>
            <rFont val="Tahoma"/>
            <family val="2"/>
          </rPr>
          <t>Assume no promotion tax for grazing.</t>
        </r>
      </text>
    </comment>
  </commentList>
</comments>
</file>

<file path=xl/comments58.xml><?xml version="1.0" encoding="utf-8"?>
<comments xmlns="http://schemas.openxmlformats.org/spreadsheetml/2006/main">
  <authors>
    <author>REP</author>
    <author xml:space="preserve"> </author>
    <author>aaron hoshide</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0" shapeId="0">
      <text>
        <r>
          <rPr>
            <sz val="8"/>
            <color indexed="81"/>
            <rFont val="Tahoma"/>
            <family val="2"/>
          </rPr>
          <t>Use for all crops.</t>
        </r>
      </text>
    </comment>
    <comment ref="D9" authorId="0" shapeId="0">
      <text>
        <r>
          <rPr>
            <sz val="8"/>
            <color indexed="81"/>
            <rFont val="Tahoma"/>
            <family val="2"/>
          </rPr>
          <t>Assume worth $80,000.</t>
        </r>
      </text>
    </comment>
    <comment ref="B12" authorId="1" shapeId="0">
      <text>
        <r>
          <rPr>
            <sz val="8"/>
            <color indexed="81"/>
            <rFont val="Tahoma"/>
            <family val="2"/>
          </rPr>
          <t>Assume not required since grazing pasture.</t>
        </r>
      </text>
    </comment>
    <comment ref="C12" authorId="2" shapeId="0">
      <text>
        <r>
          <rPr>
            <sz val="8"/>
            <color indexed="81"/>
            <rFont val="Tahoma"/>
            <family val="2"/>
          </rPr>
          <t>Use for all crops except for sudan grass</t>
        </r>
      </text>
    </comment>
    <comment ref="D12" authorId="0" shapeId="0">
      <text>
        <r>
          <rPr>
            <sz val="8"/>
            <color indexed="81"/>
            <rFont val="Tahoma"/>
            <family val="2"/>
          </rPr>
          <t>Assume worth $3833.</t>
        </r>
      </text>
    </comment>
    <comment ref="B15" authorId="1" shapeId="0">
      <text>
        <r>
          <rPr>
            <sz val="8"/>
            <color indexed="81"/>
            <rFont val="Tahoma"/>
            <family val="2"/>
          </rPr>
          <t>Assume not required since grazing pasture.</t>
        </r>
      </text>
    </comment>
    <comment ref="C15" authorId="2" shapeId="0">
      <text>
        <r>
          <rPr>
            <sz val="8"/>
            <color indexed="81"/>
            <rFont val="Tahoma"/>
            <family val="2"/>
          </rPr>
          <t>Use for all crops except grazing grass and soybeans.</t>
        </r>
      </text>
    </comment>
    <comment ref="D15" authorId="0" shapeId="0">
      <text>
        <r>
          <rPr>
            <sz val="8"/>
            <color indexed="81"/>
            <rFont val="Tahoma"/>
            <family val="2"/>
          </rPr>
          <t>Assume worth $327.</t>
        </r>
      </text>
    </comment>
    <comment ref="C18" authorId="2" shapeId="0">
      <text>
        <r>
          <rPr>
            <sz val="8"/>
            <color indexed="81"/>
            <rFont val="Tahoma"/>
            <family val="2"/>
          </rPr>
          <t>Use for alfalfa, haylage, hay, and grazing.</t>
        </r>
      </text>
    </comment>
    <comment ref="D18" authorId="2" shapeId="0">
      <text>
        <r>
          <rPr>
            <sz val="8"/>
            <color indexed="81"/>
            <rFont val="Tahoma"/>
            <family val="2"/>
          </rPr>
          <t>Assume worth $6827.</t>
        </r>
      </text>
    </comment>
    <comment ref="B19" authorId="1" shapeId="0">
      <text>
        <r>
          <rPr>
            <sz val="8"/>
            <color indexed="81"/>
            <rFont val="Tahoma"/>
            <family val="2"/>
          </rPr>
          <t>Assume not required since grazing pasture.</t>
        </r>
      </text>
    </comment>
    <comment ref="C19" authorId="2" shapeId="0">
      <text>
        <r>
          <rPr>
            <sz val="8"/>
            <color indexed="81"/>
            <rFont val="Tahoma"/>
            <family val="2"/>
          </rPr>
          <t>Use for both corn silage and haylage</t>
        </r>
      </text>
    </comment>
    <comment ref="D19" authorId="0" shapeId="0">
      <text>
        <r>
          <rPr>
            <sz val="8"/>
            <color indexed="81"/>
            <rFont val="Tahoma"/>
            <family val="2"/>
          </rPr>
          <t>Assume $20,000 for chopper</t>
        </r>
      </text>
    </comment>
    <comment ref="B20" authorId="1" shapeId="0">
      <text>
        <r>
          <rPr>
            <sz val="8"/>
            <color indexed="81"/>
            <rFont val="Tahoma"/>
            <family val="2"/>
          </rPr>
          <t>Assume not required since grazing pasture.</t>
        </r>
      </text>
    </comment>
    <comment ref="D20" authorId="1" shapeId="0">
      <text>
        <r>
          <rPr>
            <sz val="8"/>
            <color indexed="81"/>
            <rFont val="Tahoma"/>
            <family val="2"/>
          </rPr>
          <t>Assume worth $3000.</t>
        </r>
      </text>
    </comment>
    <comment ref="B21" authorId="1" shapeId="0">
      <text>
        <r>
          <rPr>
            <sz val="8"/>
            <color indexed="81"/>
            <rFont val="Tahoma"/>
            <family val="2"/>
          </rPr>
          <t>Assume not required since grazing pasture.</t>
        </r>
      </text>
    </comment>
    <comment ref="D21" authorId="2" shapeId="0">
      <text>
        <r>
          <rPr>
            <sz val="8"/>
            <color indexed="81"/>
            <rFont val="Tahoma"/>
            <family val="2"/>
          </rPr>
          <t>Assume worth $1000.</t>
        </r>
      </text>
    </comment>
    <comment ref="B22" authorId="1" shapeId="0">
      <text>
        <r>
          <rPr>
            <sz val="8"/>
            <color indexed="81"/>
            <rFont val="Tahoma"/>
            <family val="2"/>
          </rPr>
          <t>Assume not required since grazing pasture.</t>
        </r>
      </text>
    </comment>
    <comment ref="B23" authorId="1" shapeId="0">
      <text>
        <r>
          <rPr>
            <sz val="8"/>
            <color indexed="81"/>
            <rFont val="Tahoma"/>
            <family val="2"/>
          </rPr>
          <t>Assume not required since grazing pasture.</t>
        </r>
      </text>
    </comment>
    <comment ref="C26" authorId="0" shapeId="0">
      <text>
        <r>
          <rPr>
            <sz val="8"/>
            <color indexed="81"/>
            <rFont val="Tahoma"/>
            <family val="2"/>
          </rPr>
          <t>Use for all crops.</t>
        </r>
      </text>
    </comment>
    <comment ref="D26" authorId="0" shapeId="0">
      <text>
        <r>
          <rPr>
            <sz val="8"/>
            <color indexed="81"/>
            <rFont val="Tahoma"/>
            <family val="2"/>
          </rPr>
          <t>Assume worth $100.</t>
        </r>
      </text>
    </comment>
    <comment ref="C27" authorId="0" shapeId="0">
      <text>
        <r>
          <rPr>
            <sz val="8"/>
            <color indexed="81"/>
            <rFont val="Tahoma"/>
            <family val="2"/>
          </rPr>
          <t>Use for all crops.</t>
        </r>
      </text>
    </comment>
    <comment ref="D27" authorId="0" shapeId="0">
      <text>
        <r>
          <rPr>
            <sz val="8"/>
            <color indexed="81"/>
            <rFont val="Tahoma"/>
            <family val="2"/>
          </rPr>
          <t>Assume worth $1000.</t>
        </r>
      </text>
    </comment>
    <comment ref="C36" authorId="2" shapeId="0">
      <text>
        <r>
          <rPr>
            <sz val="8"/>
            <color indexed="81"/>
            <rFont val="Tahoma"/>
            <family val="2"/>
          </rPr>
          <t>Use for all crops</t>
        </r>
      </text>
    </comment>
    <comment ref="D36" authorId="0" shapeId="0">
      <text>
        <r>
          <rPr>
            <sz val="8"/>
            <color indexed="81"/>
            <rFont val="Tahoma"/>
            <family val="2"/>
          </rPr>
          <t>Assume worth $128,000</t>
        </r>
      </text>
    </comment>
  </commentList>
</comments>
</file>

<file path=xl/comments59.xml><?xml version="1.0" encoding="utf-8"?>
<comments xmlns="http://schemas.openxmlformats.org/spreadsheetml/2006/main">
  <authors>
    <author>REP</author>
    <author>aaron hoshide</author>
  </authors>
  <commentList>
    <comment ref="E4" authorId="0" shapeId="0">
      <text>
        <r>
          <rPr>
            <sz val="8"/>
            <color indexed="81"/>
            <rFont val="Tahoma"/>
            <family val="2"/>
          </rPr>
          <t>Assume same as haylage/hay.</t>
        </r>
      </text>
    </comment>
    <comment ref="C5" authorId="0" shapeId="0">
      <text>
        <r>
          <rPr>
            <sz val="8"/>
            <color indexed="81"/>
            <rFont val="Tahoma"/>
            <family val="2"/>
          </rPr>
          <t>Assume same as haylage/hay.</t>
        </r>
      </text>
    </comment>
    <comment ref="A26" authorId="1" shapeId="0">
      <text>
        <r>
          <rPr>
            <sz val="8"/>
            <color indexed="81"/>
            <rFont val="Tahoma"/>
            <family val="2"/>
          </rPr>
          <t>Includes promotion tax and leased land.</t>
        </r>
      </text>
    </comment>
  </commentList>
</comments>
</file>

<file path=xl/comments6.xml><?xml version="1.0" encoding="utf-8"?>
<comments xmlns="http://schemas.openxmlformats.org/spreadsheetml/2006/main">
  <authors>
    <author>School of Economics</author>
    <author>Sensei</author>
  </authors>
  <commentList>
    <comment ref="D4" authorId="0" shapeId="0">
      <text>
        <r>
          <rPr>
            <b/>
            <sz val="8"/>
            <color indexed="81"/>
            <rFont val="Tahoma"/>
            <family val="2"/>
          </rPr>
          <t>Default value: 
1%</t>
        </r>
      </text>
    </comment>
    <comment ref="H5" authorId="0" shapeId="0">
      <text>
        <r>
          <rPr>
            <b/>
            <sz val="8"/>
            <color indexed="81"/>
            <rFont val="Tahoma"/>
            <family val="2"/>
          </rPr>
          <t>Set to default value of 100% if specifying farm's actual individual capital implement values.</t>
        </r>
      </text>
    </comment>
    <comment ref="D10" authorId="1" shapeId="0">
      <text>
        <r>
          <rPr>
            <b/>
            <sz val="9"/>
            <color indexed="81"/>
            <rFont val="Tahoma"/>
            <family val="2"/>
          </rPr>
          <t xml:space="preserve">Default:
S: 1
M&amp;L: 0
</t>
        </r>
        <r>
          <rPr>
            <sz val="9"/>
            <color indexed="81"/>
            <rFont val="Tahoma"/>
            <family val="2"/>
          </rPr>
          <t xml:space="preserve">
</t>
        </r>
      </text>
    </comment>
    <comment ref="E10" authorId="1" shapeId="0">
      <text>
        <r>
          <rPr>
            <b/>
            <sz val="9"/>
            <color indexed="81"/>
            <rFont val="Tahoma"/>
            <family val="2"/>
          </rPr>
          <t>Default:
75 hp: 65000
105 hp: 119000
130 hp: 141000
160 hp: 189000
200 hp: 235000</t>
        </r>
        <r>
          <rPr>
            <sz val="9"/>
            <color indexed="81"/>
            <rFont val="Tahoma"/>
            <family val="2"/>
          </rPr>
          <t xml:space="preserve">
</t>
        </r>
      </text>
    </comment>
    <comment ref="G10" authorId="1" shapeId="0">
      <text>
        <r>
          <rPr>
            <b/>
            <sz val="9"/>
            <color indexed="81"/>
            <rFont val="Tahoma"/>
            <family val="2"/>
          </rPr>
          <t xml:space="preserve">Enter estimate or calculation based on hours used
</t>
        </r>
        <r>
          <rPr>
            <sz val="9"/>
            <color indexed="81"/>
            <rFont val="Tahoma"/>
            <family val="2"/>
          </rPr>
          <t xml:space="preserve">
</t>
        </r>
      </text>
    </comment>
    <comment ref="H10" authorId="1" shapeId="0">
      <text>
        <r>
          <rPr>
            <b/>
            <sz val="9"/>
            <color indexed="81"/>
            <rFont val="Tahoma"/>
            <family val="2"/>
          </rPr>
          <t>Default:
S: 50
M: 40
L: 20</t>
        </r>
        <r>
          <rPr>
            <sz val="9"/>
            <color indexed="81"/>
            <rFont val="Tahoma"/>
            <family val="2"/>
          </rPr>
          <t xml:space="preserve">
</t>
        </r>
      </text>
    </comment>
    <comment ref="J10" authorId="1" shapeId="0">
      <text>
        <r>
          <rPr>
            <b/>
            <sz val="9"/>
            <color indexed="81"/>
            <rFont val="Tahoma"/>
            <family val="2"/>
          </rPr>
          <t>Default % of default value:
1.41538461538462%</t>
        </r>
      </text>
    </comment>
    <comment ref="L10" authorId="1" shapeId="0">
      <text>
        <r>
          <rPr>
            <b/>
            <sz val="9"/>
            <color indexed="81"/>
            <rFont val="Tahoma"/>
            <family val="2"/>
          </rPr>
          <t>Default % of default value:
43%</t>
        </r>
      </text>
    </comment>
    <comment ref="D11" authorId="1" shapeId="0">
      <text>
        <r>
          <rPr>
            <b/>
            <sz val="9"/>
            <color indexed="81"/>
            <rFont val="Tahoma"/>
            <family val="2"/>
          </rPr>
          <t xml:space="preserve">Default:
S: 0
M: 1
L: 0
</t>
        </r>
        <r>
          <rPr>
            <sz val="9"/>
            <color indexed="81"/>
            <rFont val="Tahoma"/>
            <family val="2"/>
          </rPr>
          <t xml:space="preserve">
</t>
        </r>
      </text>
    </comment>
    <comment ref="E11" authorId="1" shapeId="0">
      <text>
        <r>
          <rPr>
            <b/>
            <sz val="9"/>
            <color indexed="81"/>
            <rFont val="Tahoma"/>
            <family val="2"/>
          </rPr>
          <t>Default:
75 hp: 65000
105 hp: 119000
130 hp: 141000
160 hp: 189000
200 hp: 235000</t>
        </r>
        <r>
          <rPr>
            <sz val="9"/>
            <color indexed="81"/>
            <rFont val="Tahoma"/>
            <family val="2"/>
          </rPr>
          <t xml:space="preserve">
</t>
        </r>
      </text>
    </comment>
    <comment ref="G11" authorId="1" shapeId="0">
      <text>
        <r>
          <rPr>
            <b/>
            <sz val="9"/>
            <color indexed="81"/>
            <rFont val="Tahoma"/>
            <family val="2"/>
          </rPr>
          <t xml:space="preserve">Enter estimate or calculation based on hours used
</t>
        </r>
        <r>
          <rPr>
            <sz val="9"/>
            <color indexed="81"/>
            <rFont val="Tahoma"/>
            <family val="2"/>
          </rPr>
          <t xml:space="preserve">
</t>
        </r>
      </text>
    </comment>
    <comment ref="H11" authorId="1" shapeId="0">
      <text>
        <r>
          <rPr>
            <b/>
            <sz val="9"/>
            <color indexed="81"/>
            <rFont val="Tahoma"/>
            <family val="2"/>
          </rPr>
          <t>Default:
S: 50
M: 40
L: 20</t>
        </r>
      </text>
    </comment>
    <comment ref="J11" authorId="1" shapeId="0">
      <text>
        <r>
          <rPr>
            <b/>
            <sz val="9"/>
            <color indexed="81"/>
            <rFont val="Tahoma"/>
            <family val="2"/>
          </rPr>
          <t>Default % of default value:
1.35%</t>
        </r>
      </text>
    </comment>
    <comment ref="L11" authorId="1" shapeId="0">
      <text>
        <r>
          <rPr>
            <b/>
            <sz val="9"/>
            <color indexed="81"/>
            <rFont val="Tahoma"/>
            <family val="2"/>
          </rPr>
          <t>Default % of default value:
43%</t>
        </r>
      </text>
    </comment>
    <comment ref="D12" authorId="1" shapeId="0">
      <text>
        <r>
          <rPr>
            <b/>
            <sz val="9"/>
            <color indexed="81"/>
            <rFont val="Tahoma"/>
            <family val="2"/>
          </rPr>
          <t xml:space="preserve">Default:
S: 1
M&amp;L: 0
</t>
        </r>
        <r>
          <rPr>
            <sz val="9"/>
            <color indexed="81"/>
            <rFont val="Tahoma"/>
            <family val="2"/>
          </rPr>
          <t xml:space="preserve">
</t>
        </r>
      </text>
    </comment>
    <comment ref="E12" authorId="1" shapeId="0">
      <text>
        <r>
          <rPr>
            <b/>
            <sz val="9"/>
            <color indexed="81"/>
            <rFont val="Tahoma"/>
            <family val="2"/>
          </rPr>
          <t>Default:
75 hp: 65000
105 hp: 119000
130 hp: 141000
160 hp: 189000
200 hp: 235000</t>
        </r>
        <r>
          <rPr>
            <sz val="9"/>
            <color indexed="81"/>
            <rFont val="Tahoma"/>
            <family val="2"/>
          </rPr>
          <t xml:space="preserve">
</t>
        </r>
      </text>
    </comment>
    <comment ref="G12" authorId="1" shapeId="0">
      <text>
        <r>
          <rPr>
            <b/>
            <sz val="9"/>
            <color indexed="81"/>
            <rFont val="Tahoma"/>
            <family val="2"/>
          </rPr>
          <t xml:space="preserve">Enter estimate or calculation based on hours used
</t>
        </r>
        <r>
          <rPr>
            <sz val="9"/>
            <color indexed="81"/>
            <rFont val="Tahoma"/>
            <family val="2"/>
          </rPr>
          <t xml:space="preserve">
</t>
        </r>
      </text>
    </comment>
    <comment ref="H12" authorId="1" shapeId="0">
      <text>
        <r>
          <rPr>
            <b/>
            <sz val="9"/>
            <color indexed="81"/>
            <rFont val="Tahoma"/>
            <family val="2"/>
          </rPr>
          <t>Default:
S: 50
M: 40
L: 20</t>
        </r>
        <r>
          <rPr>
            <sz val="9"/>
            <color indexed="81"/>
            <rFont val="Tahoma"/>
            <family val="2"/>
          </rPr>
          <t xml:space="preserve">
</t>
        </r>
      </text>
    </comment>
    <comment ref="J12" authorId="1" shapeId="0">
      <text>
        <r>
          <rPr>
            <b/>
            <sz val="9"/>
            <color indexed="81"/>
            <rFont val="Tahoma"/>
            <family val="2"/>
          </rPr>
          <t>Default % of default value:
1.35%</t>
        </r>
      </text>
    </comment>
    <comment ref="L12" authorId="1" shapeId="0">
      <text>
        <r>
          <rPr>
            <b/>
            <sz val="9"/>
            <color indexed="81"/>
            <rFont val="Tahoma"/>
            <family val="2"/>
          </rPr>
          <t>Default % of default value:
43%</t>
        </r>
      </text>
    </comment>
    <comment ref="D13" authorId="1" shapeId="0">
      <text>
        <r>
          <rPr>
            <b/>
            <sz val="9"/>
            <color indexed="81"/>
            <rFont val="Tahoma"/>
            <family val="2"/>
          </rPr>
          <t xml:space="preserve">Default:
S: 0
M&amp;L: 1
</t>
        </r>
        <r>
          <rPr>
            <sz val="9"/>
            <color indexed="81"/>
            <rFont val="Tahoma"/>
            <family val="2"/>
          </rPr>
          <t xml:space="preserve">
</t>
        </r>
      </text>
    </comment>
    <comment ref="E13" authorId="1" shapeId="0">
      <text>
        <r>
          <rPr>
            <b/>
            <sz val="9"/>
            <color indexed="81"/>
            <rFont val="Tahoma"/>
            <family val="2"/>
          </rPr>
          <t>Default:
75 hp: 65000
105 hp: 119000
130 hp: 141000
160 hp: 189000
200 hp: 235000</t>
        </r>
        <r>
          <rPr>
            <sz val="9"/>
            <color indexed="81"/>
            <rFont val="Tahoma"/>
            <family val="2"/>
          </rPr>
          <t xml:space="preserve">
</t>
        </r>
      </text>
    </comment>
    <comment ref="G13" authorId="1" shapeId="0">
      <text>
        <r>
          <rPr>
            <b/>
            <sz val="9"/>
            <color indexed="81"/>
            <rFont val="Tahoma"/>
            <family val="2"/>
          </rPr>
          <t xml:space="preserve">Enter estimate or calculation based on hours used
</t>
        </r>
        <r>
          <rPr>
            <sz val="9"/>
            <color indexed="81"/>
            <rFont val="Tahoma"/>
            <family val="2"/>
          </rPr>
          <t xml:space="preserve">
</t>
        </r>
      </text>
    </comment>
    <comment ref="H13" authorId="1" shapeId="0">
      <text>
        <r>
          <rPr>
            <b/>
            <sz val="9"/>
            <color indexed="81"/>
            <rFont val="Tahoma"/>
            <family val="2"/>
          </rPr>
          <t>Default:
S: 50
M: 40
L: 20</t>
        </r>
      </text>
    </comment>
    <comment ref="J13" authorId="1" shapeId="0">
      <text>
        <r>
          <rPr>
            <b/>
            <sz val="9"/>
            <color indexed="81"/>
            <rFont val="Tahoma"/>
            <family val="2"/>
          </rPr>
          <t>Default % of default value:
1.66666666666667%</t>
        </r>
      </text>
    </comment>
    <comment ref="L13" authorId="1" shapeId="0">
      <text>
        <r>
          <rPr>
            <b/>
            <sz val="9"/>
            <color indexed="81"/>
            <rFont val="Tahoma"/>
            <family val="2"/>
          </rPr>
          <t>Default % of default value:
38%</t>
        </r>
      </text>
    </comment>
    <comment ref="D14" authorId="1" shapeId="0">
      <text>
        <r>
          <rPr>
            <b/>
            <sz val="9"/>
            <color indexed="81"/>
            <rFont val="Tahoma"/>
            <family val="2"/>
          </rPr>
          <t xml:space="preserve">Default:
S&amp;M: 0
L: 1
</t>
        </r>
        <r>
          <rPr>
            <sz val="9"/>
            <color indexed="81"/>
            <rFont val="Tahoma"/>
            <family val="2"/>
          </rPr>
          <t xml:space="preserve">
</t>
        </r>
      </text>
    </comment>
    <comment ref="E14" authorId="1" shapeId="0">
      <text>
        <r>
          <rPr>
            <b/>
            <sz val="9"/>
            <color indexed="81"/>
            <rFont val="Tahoma"/>
            <family val="2"/>
          </rPr>
          <t>Default:
75 hp: 65000
105 hp: 119000
130 hp: 141000
160 hp: 189000
200 hp: 235000</t>
        </r>
        <r>
          <rPr>
            <sz val="9"/>
            <color indexed="81"/>
            <rFont val="Tahoma"/>
            <family val="2"/>
          </rPr>
          <t xml:space="preserve">
</t>
        </r>
      </text>
    </comment>
    <comment ref="G14" authorId="1" shapeId="0">
      <text>
        <r>
          <rPr>
            <b/>
            <sz val="9"/>
            <color indexed="81"/>
            <rFont val="Tahoma"/>
            <family val="2"/>
          </rPr>
          <t xml:space="preserve">Enter estimate or calculation based on hours used
</t>
        </r>
        <r>
          <rPr>
            <sz val="9"/>
            <color indexed="81"/>
            <rFont val="Tahoma"/>
            <family val="2"/>
          </rPr>
          <t xml:space="preserve">
</t>
        </r>
      </text>
    </comment>
    <comment ref="H14" authorId="1" shapeId="0">
      <text>
        <r>
          <rPr>
            <b/>
            <sz val="9"/>
            <color indexed="81"/>
            <rFont val="Tahoma"/>
            <family val="2"/>
          </rPr>
          <t>Default:
S: 50
M: 40
L: 20</t>
        </r>
      </text>
    </comment>
    <comment ref="J14" authorId="1" shapeId="0">
      <text>
        <r>
          <rPr>
            <b/>
            <sz val="9"/>
            <color indexed="81"/>
            <rFont val="Tahoma"/>
            <family val="2"/>
          </rPr>
          <t>Default % of default value:
1.66666666666667%</t>
        </r>
      </text>
    </comment>
    <comment ref="L14" authorId="1" shapeId="0">
      <text>
        <r>
          <rPr>
            <b/>
            <sz val="9"/>
            <color indexed="81"/>
            <rFont val="Tahoma"/>
            <family val="2"/>
          </rPr>
          <t>Default % of default value:
38%</t>
        </r>
      </text>
    </comment>
    <comment ref="D16" authorId="1" shapeId="0">
      <text>
        <r>
          <rPr>
            <b/>
            <sz val="9"/>
            <color indexed="81"/>
            <rFont val="Tahoma"/>
            <family val="2"/>
          </rPr>
          <t xml:space="preserve">Default for:
Small models:
1
Medium models:
3
Large models:
5
</t>
        </r>
        <r>
          <rPr>
            <sz val="9"/>
            <color indexed="81"/>
            <rFont val="Tahoma"/>
            <family val="2"/>
          </rPr>
          <t xml:space="preserve">
</t>
        </r>
      </text>
    </comment>
    <comment ref="E16" authorId="1" shapeId="0">
      <text>
        <r>
          <rPr>
            <b/>
            <sz val="9"/>
            <color indexed="81"/>
            <rFont val="Tahoma"/>
            <family val="2"/>
          </rPr>
          <t xml:space="preserve">Default:
35101.7905322541
</t>
        </r>
        <r>
          <rPr>
            <sz val="9"/>
            <color indexed="81"/>
            <rFont val="Tahoma"/>
            <family val="2"/>
          </rPr>
          <t xml:space="preserve">
</t>
        </r>
      </text>
    </comment>
    <comment ref="G16" authorId="1" shapeId="0">
      <text>
        <r>
          <rPr>
            <b/>
            <sz val="9"/>
            <color indexed="81"/>
            <rFont val="Tahoma"/>
            <family val="2"/>
          </rPr>
          <t xml:space="preserve">Enter estimate or calculation based on hours used
</t>
        </r>
        <r>
          <rPr>
            <sz val="9"/>
            <color indexed="81"/>
            <rFont val="Tahoma"/>
            <family val="2"/>
          </rPr>
          <t xml:space="preserve">
</t>
        </r>
      </text>
    </comment>
    <comment ref="H16" authorId="1" shapeId="0">
      <text>
        <r>
          <rPr>
            <b/>
            <sz val="9"/>
            <color indexed="81"/>
            <rFont val="Tahoma"/>
            <family val="2"/>
          </rPr>
          <t>Default:
S: 50
M: 40
L: 20</t>
        </r>
        <r>
          <rPr>
            <sz val="9"/>
            <color indexed="81"/>
            <rFont val="Tahoma"/>
            <family val="2"/>
          </rPr>
          <t xml:space="preserve">
</t>
        </r>
      </text>
    </comment>
    <comment ref="J16" authorId="1" shapeId="0">
      <text>
        <r>
          <rPr>
            <b/>
            <sz val="9"/>
            <color indexed="81"/>
            <rFont val="Tahoma"/>
            <family val="2"/>
          </rPr>
          <t>Default % of default value:
2%</t>
        </r>
      </text>
    </comment>
    <comment ref="L16" authorId="1" shapeId="0">
      <text>
        <r>
          <rPr>
            <b/>
            <sz val="9"/>
            <color indexed="81"/>
            <rFont val="Tahoma"/>
            <family val="2"/>
          </rPr>
          <t>Default % of default value:
26%</t>
        </r>
      </text>
    </comment>
    <comment ref="D17" authorId="1" shapeId="0">
      <text>
        <r>
          <rPr>
            <b/>
            <sz val="9"/>
            <color indexed="81"/>
            <rFont val="Tahoma"/>
            <family val="2"/>
          </rPr>
          <t xml:space="preserve">If straw is specified then default for:
Small models:
1
Medium models:
1
Large models:
1
</t>
        </r>
        <r>
          <rPr>
            <sz val="9"/>
            <color indexed="81"/>
            <rFont val="Tahoma"/>
            <family val="2"/>
          </rPr>
          <t xml:space="preserve">
</t>
        </r>
      </text>
    </comment>
    <comment ref="E17" authorId="1" shapeId="0">
      <text>
        <r>
          <rPr>
            <b/>
            <sz val="9"/>
            <color indexed="81"/>
            <rFont val="Tahoma"/>
            <family val="2"/>
          </rPr>
          <t xml:space="preserve">Default:
35101.7905322541
</t>
        </r>
        <r>
          <rPr>
            <sz val="9"/>
            <color indexed="81"/>
            <rFont val="Tahoma"/>
            <family val="2"/>
          </rPr>
          <t xml:space="preserve">
</t>
        </r>
      </text>
    </comment>
    <comment ref="G17" authorId="1" shapeId="0">
      <text>
        <r>
          <rPr>
            <b/>
            <sz val="9"/>
            <color indexed="81"/>
            <rFont val="Tahoma"/>
            <family val="2"/>
          </rPr>
          <t xml:space="preserve">Enter estimate or calculation based on hours used
</t>
        </r>
        <r>
          <rPr>
            <sz val="9"/>
            <color indexed="81"/>
            <rFont val="Tahoma"/>
            <family val="2"/>
          </rPr>
          <t xml:space="preserve">
</t>
        </r>
      </text>
    </comment>
    <comment ref="H17" authorId="1" shapeId="0">
      <text>
        <r>
          <rPr>
            <b/>
            <sz val="9"/>
            <color indexed="81"/>
            <rFont val="Tahoma"/>
            <family val="2"/>
          </rPr>
          <t>Default:
S: 50
M: 40
L: 20</t>
        </r>
        <r>
          <rPr>
            <sz val="9"/>
            <color indexed="81"/>
            <rFont val="Tahoma"/>
            <family val="2"/>
          </rPr>
          <t xml:space="preserve">
</t>
        </r>
      </text>
    </comment>
    <comment ref="J17" authorId="1" shapeId="0">
      <text>
        <r>
          <rPr>
            <b/>
            <sz val="9"/>
            <color indexed="81"/>
            <rFont val="Tahoma"/>
            <family val="2"/>
          </rPr>
          <t>Default % of default value:
2%</t>
        </r>
      </text>
    </comment>
    <comment ref="L17" authorId="1" shapeId="0">
      <text>
        <r>
          <rPr>
            <b/>
            <sz val="9"/>
            <color indexed="81"/>
            <rFont val="Tahoma"/>
            <family val="2"/>
          </rPr>
          <t>Default % of default value:
26%</t>
        </r>
      </text>
    </comment>
    <comment ref="D18" authorId="1" shapeId="0">
      <text>
        <r>
          <rPr>
            <b/>
            <sz val="9"/>
            <color indexed="81"/>
            <rFont val="Tahoma"/>
            <family val="2"/>
          </rPr>
          <t xml:space="preserve">If straw is specified then default for:
Small models:
0
Medium models:
0
Large models:
1
</t>
        </r>
        <r>
          <rPr>
            <sz val="9"/>
            <color indexed="81"/>
            <rFont val="Tahoma"/>
            <family val="2"/>
          </rPr>
          <t xml:space="preserve">
</t>
        </r>
      </text>
    </comment>
    <comment ref="E18" authorId="1" shapeId="0">
      <text>
        <r>
          <rPr>
            <b/>
            <sz val="9"/>
            <color indexed="81"/>
            <rFont val="Tahoma"/>
            <family val="2"/>
          </rPr>
          <t>Use value from wild BB survey</t>
        </r>
        <r>
          <rPr>
            <sz val="9"/>
            <color indexed="81"/>
            <rFont val="Tahoma"/>
            <family val="2"/>
          </rPr>
          <t xml:space="preserve">
</t>
        </r>
      </text>
    </comment>
    <comment ref="G18" authorId="1" shapeId="0">
      <text>
        <r>
          <rPr>
            <b/>
            <sz val="9"/>
            <color indexed="81"/>
            <rFont val="Tahoma"/>
            <family val="2"/>
          </rPr>
          <t xml:space="preserve">Enter estimate or calculation based on hours used
</t>
        </r>
        <r>
          <rPr>
            <sz val="9"/>
            <color indexed="81"/>
            <rFont val="Tahoma"/>
            <family val="2"/>
          </rPr>
          <t xml:space="preserve">
</t>
        </r>
      </text>
    </comment>
    <comment ref="H18" authorId="1" shapeId="0">
      <text>
        <r>
          <rPr>
            <b/>
            <sz val="9"/>
            <color indexed="81"/>
            <rFont val="Tahoma"/>
            <family val="2"/>
          </rPr>
          <t>Default:
S: 50
M: 40
L: 20</t>
        </r>
        <r>
          <rPr>
            <sz val="9"/>
            <color indexed="81"/>
            <rFont val="Tahoma"/>
            <family val="2"/>
          </rPr>
          <t xml:space="preserve">
</t>
        </r>
      </text>
    </comment>
    <comment ref="J18" authorId="1" shapeId="0">
      <text>
        <r>
          <rPr>
            <b/>
            <sz val="9"/>
            <color indexed="81"/>
            <rFont val="Tahoma"/>
            <family val="2"/>
          </rPr>
          <t>Default % of default value:
2%</t>
        </r>
      </text>
    </comment>
    <comment ref="L18" authorId="1" shapeId="0">
      <text>
        <r>
          <rPr>
            <b/>
            <sz val="9"/>
            <color indexed="81"/>
            <rFont val="Tahoma"/>
            <family val="2"/>
          </rPr>
          <t>Default % of default value:
26%</t>
        </r>
      </text>
    </comment>
    <comment ref="D20" authorId="1" shapeId="0">
      <text>
        <r>
          <rPr>
            <b/>
            <sz val="9"/>
            <color indexed="81"/>
            <rFont val="Tahoma"/>
            <family val="2"/>
          </rPr>
          <t xml:space="preserve">Default:
S&amp;M: 1
L: 0
</t>
        </r>
        <r>
          <rPr>
            <sz val="9"/>
            <color indexed="81"/>
            <rFont val="Tahoma"/>
            <family val="2"/>
          </rPr>
          <t xml:space="preserve">
</t>
        </r>
      </text>
    </comment>
    <comment ref="E20" authorId="1" shapeId="0">
      <text>
        <r>
          <rPr>
            <b/>
            <sz val="9"/>
            <color indexed="81"/>
            <rFont val="Tahoma"/>
            <family val="2"/>
          </rPr>
          <t xml:space="preserve">Default:
S: 28000
M&amp;L: 42000
</t>
        </r>
        <r>
          <rPr>
            <sz val="9"/>
            <color indexed="81"/>
            <rFont val="Tahoma"/>
            <family val="2"/>
          </rPr>
          <t xml:space="preserve">
</t>
        </r>
      </text>
    </comment>
    <comment ref="G20" authorId="1" shapeId="0">
      <text>
        <r>
          <rPr>
            <b/>
            <sz val="9"/>
            <color indexed="81"/>
            <rFont val="Tahoma"/>
            <family val="2"/>
          </rPr>
          <t xml:space="preserve">Enter estimate or calculation based on hours used
</t>
        </r>
        <r>
          <rPr>
            <sz val="9"/>
            <color indexed="81"/>
            <rFont val="Tahoma"/>
            <family val="2"/>
          </rPr>
          <t xml:space="preserve">
</t>
        </r>
      </text>
    </comment>
    <comment ref="H20" authorId="1" shapeId="0">
      <text>
        <r>
          <rPr>
            <b/>
            <sz val="9"/>
            <color indexed="81"/>
            <rFont val="Tahoma"/>
            <family val="2"/>
          </rPr>
          <t>Default:
S: 50
M: 40
L: 20</t>
        </r>
      </text>
    </comment>
    <comment ref="J20" authorId="1" shapeId="0">
      <text>
        <r>
          <rPr>
            <b/>
            <sz val="9"/>
            <color indexed="81"/>
            <rFont val="Tahoma"/>
            <family val="2"/>
          </rPr>
          <t>Default % of default value:
2.43368421052632%</t>
        </r>
      </text>
    </comment>
    <comment ref="L20" authorId="1" shapeId="0">
      <text>
        <r>
          <rPr>
            <b/>
            <sz val="9"/>
            <color indexed="81"/>
            <rFont val="Tahoma"/>
            <family val="2"/>
          </rPr>
          <t>Default % of default value:
33%</t>
        </r>
      </text>
    </comment>
    <comment ref="D21" authorId="1" shapeId="0">
      <text>
        <r>
          <rPr>
            <b/>
            <sz val="9"/>
            <color indexed="81"/>
            <rFont val="Tahoma"/>
            <family val="2"/>
          </rPr>
          <t xml:space="preserve">Default:
S&amp;M: 0
L: 1
</t>
        </r>
        <r>
          <rPr>
            <sz val="9"/>
            <color indexed="81"/>
            <rFont val="Tahoma"/>
            <family val="2"/>
          </rPr>
          <t xml:space="preserve">
</t>
        </r>
      </text>
    </comment>
    <comment ref="E21" authorId="1" shapeId="0">
      <text>
        <r>
          <rPr>
            <b/>
            <sz val="9"/>
            <color indexed="81"/>
            <rFont val="Tahoma"/>
            <family val="2"/>
          </rPr>
          <t xml:space="preserve">Default:
S: 28000
M&amp;L: 42000
</t>
        </r>
        <r>
          <rPr>
            <sz val="9"/>
            <color indexed="81"/>
            <rFont val="Tahoma"/>
            <family val="2"/>
          </rPr>
          <t xml:space="preserve">
</t>
        </r>
      </text>
    </comment>
    <comment ref="G21" authorId="1" shapeId="0">
      <text>
        <r>
          <rPr>
            <b/>
            <sz val="9"/>
            <color indexed="81"/>
            <rFont val="Tahoma"/>
            <family val="2"/>
          </rPr>
          <t xml:space="preserve">Enter estimate or calculation based on hours used
</t>
        </r>
        <r>
          <rPr>
            <sz val="9"/>
            <color indexed="81"/>
            <rFont val="Tahoma"/>
            <family val="2"/>
          </rPr>
          <t xml:space="preserve">
</t>
        </r>
      </text>
    </comment>
    <comment ref="H21" authorId="1" shapeId="0">
      <text>
        <r>
          <rPr>
            <b/>
            <sz val="9"/>
            <color indexed="81"/>
            <rFont val="Tahoma"/>
            <family val="2"/>
          </rPr>
          <t xml:space="preserve">Default:
S: 50
M: 40
L: 20
</t>
        </r>
      </text>
    </comment>
    <comment ref="J21" authorId="1" shapeId="0">
      <text>
        <r>
          <rPr>
            <b/>
            <sz val="9"/>
            <color indexed="81"/>
            <rFont val="Tahoma"/>
            <family val="2"/>
          </rPr>
          <t>Default % of default value:
2.4436%</t>
        </r>
      </text>
    </comment>
    <comment ref="L21" authorId="1" shapeId="0">
      <text>
        <r>
          <rPr>
            <b/>
            <sz val="9"/>
            <color indexed="81"/>
            <rFont val="Tahoma"/>
            <family val="2"/>
          </rPr>
          <t>Default % of default value:
33%</t>
        </r>
      </text>
    </comment>
    <comment ref="D22" authorId="1" shapeId="0">
      <text>
        <r>
          <rPr>
            <b/>
            <sz val="9"/>
            <color indexed="81"/>
            <rFont val="Tahoma"/>
            <family val="2"/>
          </rPr>
          <t>Default:
S&amp;M: 1
L: 0</t>
        </r>
        <r>
          <rPr>
            <sz val="9"/>
            <color indexed="81"/>
            <rFont val="Tahoma"/>
            <family val="2"/>
          </rPr>
          <t xml:space="preserve">
</t>
        </r>
      </text>
    </comment>
    <comment ref="E22" authorId="1" shapeId="0">
      <text>
        <r>
          <rPr>
            <b/>
            <sz val="9"/>
            <color indexed="81"/>
            <rFont val="Tahoma"/>
            <family val="2"/>
          </rPr>
          <t xml:space="preserve">Default:
S: 19000
M&amp;L: 35000
</t>
        </r>
        <r>
          <rPr>
            <sz val="9"/>
            <color indexed="81"/>
            <rFont val="Tahoma"/>
            <family val="2"/>
          </rPr>
          <t xml:space="preserve">
</t>
        </r>
      </text>
    </comment>
    <comment ref="G22" authorId="1" shapeId="0">
      <text>
        <r>
          <rPr>
            <b/>
            <sz val="9"/>
            <color indexed="81"/>
            <rFont val="Tahoma"/>
            <family val="2"/>
          </rPr>
          <t xml:space="preserve">Enter estimate or calculation based on hours used
</t>
        </r>
        <r>
          <rPr>
            <sz val="9"/>
            <color indexed="81"/>
            <rFont val="Tahoma"/>
            <family val="2"/>
          </rPr>
          <t xml:space="preserve">
</t>
        </r>
      </text>
    </comment>
    <comment ref="H22" authorId="1" shapeId="0">
      <text>
        <r>
          <rPr>
            <b/>
            <sz val="9"/>
            <color indexed="81"/>
            <rFont val="Tahoma"/>
            <family val="2"/>
          </rPr>
          <t xml:space="preserve">Default:
S: 50
M: 40
L: 20
</t>
        </r>
        <r>
          <rPr>
            <sz val="9"/>
            <color indexed="81"/>
            <rFont val="Tahoma"/>
            <family val="2"/>
          </rPr>
          <t xml:space="preserve">
</t>
        </r>
      </text>
    </comment>
    <comment ref="J22" authorId="1" shapeId="0">
      <text>
        <r>
          <rPr>
            <b/>
            <sz val="9"/>
            <color indexed="81"/>
            <rFont val="Tahoma"/>
            <family val="2"/>
          </rPr>
          <t>Default % of default value:
2.43368421052632%</t>
        </r>
      </text>
    </comment>
    <comment ref="L22" authorId="1" shapeId="0">
      <text>
        <r>
          <rPr>
            <b/>
            <sz val="9"/>
            <color indexed="81"/>
            <rFont val="Tahoma"/>
            <family val="2"/>
          </rPr>
          <t>Default % of default value:
33%</t>
        </r>
      </text>
    </comment>
    <comment ref="D23" authorId="1" shapeId="0">
      <text>
        <r>
          <rPr>
            <b/>
            <sz val="9"/>
            <color indexed="81"/>
            <rFont val="Tahoma"/>
            <family val="2"/>
          </rPr>
          <t xml:space="preserve">Default:
S&amp;M: 0
L: 1
</t>
        </r>
        <r>
          <rPr>
            <sz val="9"/>
            <color indexed="81"/>
            <rFont val="Tahoma"/>
            <family val="2"/>
          </rPr>
          <t xml:space="preserve">
</t>
        </r>
      </text>
    </comment>
    <comment ref="E23" authorId="1" shapeId="0">
      <text>
        <r>
          <rPr>
            <b/>
            <sz val="9"/>
            <color indexed="81"/>
            <rFont val="Tahoma"/>
            <family val="2"/>
          </rPr>
          <t xml:space="preserve">Default:
S: 19000
M&amp;L: 35000
</t>
        </r>
        <r>
          <rPr>
            <sz val="9"/>
            <color indexed="81"/>
            <rFont val="Tahoma"/>
            <family val="2"/>
          </rPr>
          <t xml:space="preserve">
</t>
        </r>
      </text>
    </comment>
    <comment ref="G23" authorId="1" shapeId="0">
      <text>
        <r>
          <rPr>
            <b/>
            <sz val="9"/>
            <color indexed="81"/>
            <rFont val="Tahoma"/>
            <family val="2"/>
          </rPr>
          <t xml:space="preserve">Enter estimate or calculation based on hours used
</t>
        </r>
        <r>
          <rPr>
            <sz val="9"/>
            <color indexed="81"/>
            <rFont val="Tahoma"/>
            <family val="2"/>
          </rPr>
          <t xml:space="preserve">
</t>
        </r>
      </text>
    </comment>
    <comment ref="H23" authorId="1" shapeId="0">
      <text>
        <r>
          <rPr>
            <b/>
            <sz val="9"/>
            <color indexed="81"/>
            <rFont val="Tahoma"/>
            <family val="2"/>
          </rPr>
          <t>Default:
S: 50
M: 40
L: 20</t>
        </r>
        <r>
          <rPr>
            <sz val="9"/>
            <color indexed="81"/>
            <rFont val="Tahoma"/>
            <family val="2"/>
          </rPr>
          <t xml:space="preserve">
</t>
        </r>
      </text>
    </comment>
    <comment ref="J23" authorId="1" shapeId="0">
      <text>
        <r>
          <rPr>
            <b/>
            <sz val="9"/>
            <color indexed="81"/>
            <rFont val="Tahoma"/>
            <family val="2"/>
          </rPr>
          <t>Default % of default value:
2.4436%</t>
        </r>
      </text>
    </comment>
    <comment ref="L23" authorId="1" shapeId="0">
      <text>
        <r>
          <rPr>
            <b/>
            <sz val="9"/>
            <color indexed="81"/>
            <rFont val="Tahoma"/>
            <family val="2"/>
          </rPr>
          <t>Default % of default value:
33%</t>
        </r>
      </text>
    </comment>
    <comment ref="D24" authorId="1" shapeId="0">
      <text>
        <r>
          <rPr>
            <b/>
            <sz val="9"/>
            <color indexed="81"/>
            <rFont val="Tahoma"/>
            <family val="2"/>
          </rPr>
          <t xml:space="preserve">Default:
S: 1
M&amp;L: 0
</t>
        </r>
        <r>
          <rPr>
            <sz val="9"/>
            <color indexed="81"/>
            <rFont val="Tahoma"/>
            <family val="2"/>
          </rPr>
          <t xml:space="preserve">
</t>
        </r>
      </text>
    </comment>
    <comment ref="E24" authorId="1" shapeId="0">
      <text>
        <r>
          <rPr>
            <b/>
            <sz val="9"/>
            <color indexed="81"/>
            <rFont val="Tahoma"/>
            <family val="2"/>
          </rPr>
          <t xml:space="preserve">Default:
S: 19000
M: 40000
L: 55000
</t>
        </r>
        <r>
          <rPr>
            <sz val="9"/>
            <color indexed="81"/>
            <rFont val="Tahoma"/>
            <family val="2"/>
          </rPr>
          <t xml:space="preserve">
</t>
        </r>
      </text>
    </comment>
    <comment ref="G24" authorId="1" shapeId="0">
      <text>
        <r>
          <rPr>
            <b/>
            <sz val="9"/>
            <color indexed="81"/>
            <rFont val="Tahoma"/>
            <family val="2"/>
          </rPr>
          <t xml:space="preserve">Enter estimate or calculation based on hours used
</t>
        </r>
        <r>
          <rPr>
            <sz val="9"/>
            <color indexed="81"/>
            <rFont val="Tahoma"/>
            <family val="2"/>
          </rPr>
          <t xml:space="preserve">
</t>
        </r>
      </text>
    </comment>
    <comment ref="H24" authorId="1" shapeId="0">
      <text>
        <r>
          <rPr>
            <b/>
            <sz val="9"/>
            <color indexed="81"/>
            <rFont val="Tahoma"/>
            <family val="2"/>
          </rPr>
          <t>Default:
S: 50
M: 40
L: 20</t>
        </r>
        <r>
          <rPr>
            <sz val="9"/>
            <color indexed="81"/>
            <rFont val="Tahoma"/>
            <family val="2"/>
          </rPr>
          <t xml:space="preserve">
</t>
        </r>
      </text>
    </comment>
    <comment ref="J24" authorId="1" shapeId="0">
      <text>
        <r>
          <rPr>
            <b/>
            <sz val="9"/>
            <color indexed="81"/>
            <rFont val="Tahoma"/>
            <family val="2"/>
          </rPr>
          <t>Default % of default value:
2.28252631578947%</t>
        </r>
      </text>
    </comment>
    <comment ref="L24" authorId="1" shapeId="0">
      <text>
        <r>
          <rPr>
            <b/>
            <sz val="9"/>
            <color indexed="81"/>
            <rFont val="Tahoma"/>
            <family val="2"/>
          </rPr>
          <t>Default % of default value:
30%</t>
        </r>
      </text>
    </comment>
    <comment ref="D25" authorId="1" shapeId="0">
      <text>
        <r>
          <rPr>
            <b/>
            <sz val="9"/>
            <color indexed="81"/>
            <rFont val="Tahoma"/>
            <family val="2"/>
          </rPr>
          <t xml:space="preserve">Default:
S: 0
M: 1
L: 0
</t>
        </r>
        <r>
          <rPr>
            <sz val="9"/>
            <color indexed="81"/>
            <rFont val="Tahoma"/>
            <family val="2"/>
          </rPr>
          <t xml:space="preserve">
</t>
        </r>
      </text>
    </comment>
    <comment ref="E25" authorId="1" shapeId="0">
      <text>
        <r>
          <rPr>
            <b/>
            <sz val="9"/>
            <color indexed="81"/>
            <rFont val="Tahoma"/>
            <family val="2"/>
          </rPr>
          <t xml:space="preserve">Default:
S: 19000
M: 40000
L: 55000
</t>
        </r>
        <r>
          <rPr>
            <sz val="9"/>
            <color indexed="81"/>
            <rFont val="Tahoma"/>
            <family val="2"/>
          </rPr>
          <t xml:space="preserve">
</t>
        </r>
      </text>
    </comment>
    <comment ref="G25" authorId="1" shapeId="0">
      <text>
        <r>
          <rPr>
            <b/>
            <sz val="9"/>
            <color indexed="81"/>
            <rFont val="Tahoma"/>
            <family val="2"/>
          </rPr>
          <t xml:space="preserve">Enter estimate or calculation based on hours used
</t>
        </r>
        <r>
          <rPr>
            <sz val="9"/>
            <color indexed="81"/>
            <rFont val="Tahoma"/>
            <family val="2"/>
          </rPr>
          <t xml:space="preserve">
</t>
        </r>
      </text>
    </comment>
    <comment ref="H25" authorId="1" shapeId="0">
      <text>
        <r>
          <rPr>
            <b/>
            <sz val="9"/>
            <color indexed="81"/>
            <rFont val="Tahoma"/>
            <family val="2"/>
          </rPr>
          <t>Default:
S: 50
M: 40
L: 20</t>
        </r>
        <r>
          <rPr>
            <sz val="9"/>
            <color indexed="81"/>
            <rFont val="Tahoma"/>
            <family val="2"/>
          </rPr>
          <t xml:space="preserve">
</t>
        </r>
      </text>
    </comment>
    <comment ref="J25" authorId="1" shapeId="0">
      <text>
        <r>
          <rPr>
            <b/>
            <sz val="9"/>
            <color indexed="81"/>
            <rFont val="Tahoma"/>
            <family val="2"/>
          </rPr>
          <t>Default % of default value:
3.3605%</t>
        </r>
      </text>
    </comment>
    <comment ref="L25" authorId="1" shapeId="0">
      <text>
        <r>
          <rPr>
            <b/>
            <sz val="9"/>
            <color indexed="81"/>
            <rFont val="Tahoma"/>
            <family val="2"/>
          </rPr>
          <t>Default % of default value:
30%</t>
        </r>
      </text>
    </comment>
    <comment ref="D26" authorId="1" shapeId="0">
      <text>
        <r>
          <rPr>
            <b/>
            <sz val="9"/>
            <color indexed="81"/>
            <rFont val="Tahoma"/>
            <family val="2"/>
          </rPr>
          <t xml:space="preserve">Default:
S&amp;M: 0
L: 1
</t>
        </r>
        <r>
          <rPr>
            <sz val="9"/>
            <color indexed="81"/>
            <rFont val="Tahoma"/>
            <family val="2"/>
          </rPr>
          <t xml:space="preserve">
</t>
        </r>
      </text>
    </comment>
    <comment ref="E26" authorId="1" shapeId="0">
      <text>
        <r>
          <rPr>
            <b/>
            <sz val="9"/>
            <color indexed="81"/>
            <rFont val="Tahoma"/>
            <family val="2"/>
          </rPr>
          <t xml:space="preserve">Default:
S: 19000
M: 40000
L: 55000
</t>
        </r>
        <r>
          <rPr>
            <sz val="9"/>
            <color indexed="81"/>
            <rFont val="Tahoma"/>
            <family val="2"/>
          </rPr>
          <t xml:space="preserve">
</t>
        </r>
      </text>
    </comment>
    <comment ref="G26" authorId="1" shapeId="0">
      <text>
        <r>
          <rPr>
            <b/>
            <sz val="9"/>
            <color indexed="81"/>
            <rFont val="Tahoma"/>
            <family val="2"/>
          </rPr>
          <t xml:space="preserve">Enter estimate or calculation based on hours used
</t>
        </r>
        <r>
          <rPr>
            <sz val="9"/>
            <color indexed="81"/>
            <rFont val="Tahoma"/>
            <family val="2"/>
          </rPr>
          <t xml:space="preserve">
</t>
        </r>
      </text>
    </comment>
    <comment ref="H26" authorId="1" shapeId="0">
      <text>
        <r>
          <rPr>
            <b/>
            <sz val="9"/>
            <color indexed="81"/>
            <rFont val="Tahoma"/>
            <family val="2"/>
          </rPr>
          <t>Default:
S: 50
M: 40
L: 20</t>
        </r>
        <r>
          <rPr>
            <sz val="9"/>
            <color indexed="81"/>
            <rFont val="Tahoma"/>
            <family val="2"/>
          </rPr>
          <t xml:space="preserve">
</t>
        </r>
      </text>
    </comment>
    <comment ref="J26" authorId="1" shapeId="0">
      <text>
        <r>
          <rPr>
            <b/>
            <sz val="9"/>
            <color indexed="81"/>
            <rFont val="Tahoma"/>
            <family val="2"/>
          </rPr>
          <t>Default % of default value:
3.33136363636364%</t>
        </r>
      </text>
    </comment>
    <comment ref="L26" authorId="1" shapeId="0">
      <text>
        <r>
          <rPr>
            <b/>
            <sz val="9"/>
            <color indexed="81"/>
            <rFont val="Tahoma"/>
            <family val="2"/>
          </rPr>
          <t>Default % of default value:
30%</t>
        </r>
      </text>
    </comment>
    <comment ref="D27" authorId="1" shapeId="0">
      <text>
        <r>
          <rPr>
            <b/>
            <sz val="9"/>
            <color indexed="81"/>
            <rFont val="Tahoma"/>
            <family val="2"/>
          </rPr>
          <t xml:space="preserve">Default:
S&amp;M&amp;L: 1
</t>
        </r>
        <r>
          <rPr>
            <sz val="9"/>
            <color indexed="81"/>
            <rFont val="Tahoma"/>
            <family val="2"/>
          </rPr>
          <t xml:space="preserve">
</t>
        </r>
      </text>
    </comment>
    <comment ref="E27" authorId="1" shapeId="0">
      <text>
        <r>
          <rPr>
            <b/>
            <sz val="9"/>
            <color indexed="81"/>
            <rFont val="Tahoma"/>
            <family val="2"/>
          </rPr>
          <t xml:space="preserve">Default:
S&amp;M&amp;L: 26000
</t>
        </r>
        <r>
          <rPr>
            <sz val="9"/>
            <color indexed="81"/>
            <rFont val="Tahoma"/>
            <family val="2"/>
          </rPr>
          <t xml:space="preserve">
</t>
        </r>
      </text>
    </comment>
    <comment ref="G27" authorId="1" shapeId="0">
      <text>
        <r>
          <rPr>
            <b/>
            <sz val="9"/>
            <color indexed="81"/>
            <rFont val="Tahoma"/>
            <family val="2"/>
          </rPr>
          <t xml:space="preserve">Enter estimate or calculation based on hours used
</t>
        </r>
        <r>
          <rPr>
            <sz val="9"/>
            <color indexed="81"/>
            <rFont val="Tahoma"/>
            <family val="2"/>
          </rPr>
          <t xml:space="preserve">
</t>
        </r>
      </text>
    </comment>
    <comment ref="H27" authorId="1" shapeId="0">
      <text>
        <r>
          <rPr>
            <b/>
            <sz val="9"/>
            <color indexed="81"/>
            <rFont val="Tahoma"/>
            <family val="2"/>
          </rPr>
          <t>Default:
S: 50
M: 40
L: 20</t>
        </r>
        <r>
          <rPr>
            <sz val="9"/>
            <color indexed="81"/>
            <rFont val="Tahoma"/>
            <family val="2"/>
          </rPr>
          <t xml:space="preserve">
</t>
        </r>
      </text>
    </comment>
    <comment ref="J27" authorId="1" shapeId="0">
      <text>
        <r>
          <rPr>
            <b/>
            <sz val="9"/>
            <color indexed="81"/>
            <rFont val="Tahoma"/>
            <family val="2"/>
          </rPr>
          <t>Default % of default value:
3.245%</t>
        </r>
      </text>
    </comment>
    <comment ref="L27" authorId="1" shapeId="0">
      <text>
        <r>
          <rPr>
            <b/>
            <sz val="9"/>
            <color indexed="81"/>
            <rFont val="Tahoma"/>
            <family val="2"/>
          </rPr>
          <t>Default % of default value:
30%</t>
        </r>
      </text>
    </comment>
    <comment ref="D28" authorId="1" shapeId="0">
      <text>
        <r>
          <rPr>
            <b/>
            <sz val="9"/>
            <color indexed="81"/>
            <rFont val="Tahoma"/>
            <family val="2"/>
          </rPr>
          <t xml:space="preserve">Default:
S: 1
M&amp;L: 0
</t>
        </r>
        <r>
          <rPr>
            <sz val="9"/>
            <color indexed="81"/>
            <rFont val="Tahoma"/>
            <family val="2"/>
          </rPr>
          <t xml:space="preserve">
</t>
        </r>
      </text>
    </comment>
    <comment ref="E28" authorId="1" shapeId="0">
      <text>
        <r>
          <rPr>
            <b/>
            <sz val="9"/>
            <color indexed="81"/>
            <rFont val="Tahoma"/>
            <family val="2"/>
          </rPr>
          <t xml:space="preserve">Default:
S: 15000
M&amp;L: 35000
</t>
        </r>
        <r>
          <rPr>
            <sz val="9"/>
            <color indexed="81"/>
            <rFont val="Tahoma"/>
            <family val="2"/>
          </rPr>
          <t xml:space="preserve">
</t>
        </r>
      </text>
    </comment>
    <comment ref="G28" authorId="1" shapeId="0">
      <text>
        <r>
          <rPr>
            <b/>
            <sz val="9"/>
            <color indexed="81"/>
            <rFont val="Tahoma"/>
            <family val="2"/>
          </rPr>
          <t xml:space="preserve">Enter estimate or calculation based on hours used
</t>
        </r>
        <r>
          <rPr>
            <sz val="9"/>
            <color indexed="81"/>
            <rFont val="Tahoma"/>
            <family val="2"/>
          </rPr>
          <t xml:space="preserve">
</t>
        </r>
      </text>
    </comment>
    <comment ref="H28" authorId="1" shapeId="0">
      <text>
        <r>
          <rPr>
            <b/>
            <sz val="9"/>
            <color indexed="81"/>
            <rFont val="Tahoma"/>
            <family val="2"/>
          </rPr>
          <t>Default:
S: 50
M: 40
L: 20</t>
        </r>
        <r>
          <rPr>
            <sz val="9"/>
            <color indexed="81"/>
            <rFont val="Tahoma"/>
            <family val="2"/>
          </rPr>
          <t xml:space="preserve">
</t>
        </r>
      </text>
    </comment>
    <comment ref="J28" authorId="1" shapeId="0">
      <text>
        <r>
          <rPr>
            <b/>
            <sz val="9"/>
            <color indexed="81"/>
            <rFont val="Tahoma"/>
            <family val="2"/>
          </rPr>
          <t>Default % of default value:
2.33957142857143%</t>
        </r>
      </text>
    </comment>
    <comment ref="L28" authorId="1" shapeId="0">
      <text>
        <r>
          <rPr>
            <b/>
            <sz val="9"/>
            <color indexed="81"/>
            <rFont val="Tahoma"/>
            <family val="2"/>
          </rPr>
          <t>Default % of default value:
33.3333333333333%</t>
        </r>
      </text>
    </comment>
    <comment ref="D29" authorId="1" shapeId="0">
      <text>
        <r>
          <rPr>
            <b/>
            <sz val="9"/>
            <color indexed="81"/>
            <rFont val="Tahoma"/>
            <family val="2"/>
          </rPr>
          <t xml:space="preserve">Default:
S: 0
M&amp;L: 1
</t>
        </r>
        <r>
          <rPr>
            <sz val="9"/>
            <color indexed="81"/>
            <rFont val="Tahoma"/>
            <family val="2"/>
          </rPr>
          <t xml:space="preserve">
</t>
        </r>
      </text>
    </comment>
    <comment ref="E29" authorId="1" shapeId="0">
      <text>
        <r>
          <rPr>
            <b/>
            <sz val="9"/>
            <color indexed="81"/>
            <rFont val="Tahoma"/>
            <family val="2"/>
          </rPr>
          <t xml:space="preserve">Default:
S: 15000
M&amp;L: 35000
</t>
        </r>
        <r>
          <rPr>
            <sz val="9"/>
            <color indexed="81"/>
            <rFont val="Tahoma"/>
            <family val="2"/>
          </rPr>
          <t xml:space="preserve">
</t>
        </r>
      </text>
    </comment>
    <comment ref="G29" authorId="1" shapeId="0">
      <text>
        <r>
          <rPr>
            <b/>
            <sz val="9"/>
            <color indexed="81"/>
            <rFont val="Tahoma"/>
            <family val="2"/>
          </rPr>
          <t xml:space="preserve">Enter estimate or calculation based on hours used
</t>
        </r>
        <r>
          <rPr>
            <sz val="9"/>
            <color indexed="81"/>
            <rFont val="Tahoma"/>
            <family val="2"/>
          </rPr>
          <t xml:space="preserve">
</t>
        </r>
      </text>
    </comment>
    <comment ref="H29" authorId="1" shapeId="0">
      <text>
        <r>
          <rPr>
            <b/>
            <sz val="9"/>
            <color indexed="81"/>
            <rFont val="Tahoma"/>
            <family val="2"/>
          </rPr>
          <t>Default:
S: 50
M: 40
L: 20</t>
        </r>
      </text>
    </comment>
    <comment ref="J29" authorId="1" shapeId="0">
      <text>
        <r>
          <rPr>
            <b/>
            <sz val="9"/>
            <color indexed="81"/>
            <rFont val="Tahoma"/>
            <family val="2"/>
          </rPr>
          <t>Default % of default value:
2.33957142857143%</t>
        </r>
      </text>
    </comment>
    <comment ref="L29" authorId="1" shapeId="0">
      <text>
        <r>
          <rPr>
            <b/>
            <sz val="9"/>
            <color indexed="81"/>
            <rFont val="Tahoma"/>
            <family val="2"/>
          </rPr>
          <t>Default % of default value:
33.3333333333333%</t>
        </r>
      </text>
    </comment>
    <comment ref="D30" authorId="1" shapeId="0">
      <text>
        <r>
          <rPr>
            <b/>
            <sz val="9"/>
            <color indexed="81"/>
            <rFont val="Tahoma"/>
            <family val="2"/>
          </rPr>
          <t xml:space="preserve">Default:
S&amp;M&amp;L: 1
</t>
        </r>
        <r>
          <rPr>
            <sz val="9"/>
            <color indexed="81"/>
            <rFont val="Tahoma"/>
            <family val="2"/>
          </rPr>
          <t xml:space="preserve">
</t>
        </r>
      </text>
    </comment>
    <comment ref="E30" authorId="1" shapeId="0">
      <text>
        <r>
          <rPr>
            <b/>
            <sz val="9"/>
            <color indexed="81"/>
            <rFont val="Tahoma"/>
            <family val="2"/>
          </rPr>
          <t xml:space="preserve">Default:
S&amp;M&amp;L: 5000
</t>
        </r>
        <r>
          <rPr>
            <sz val="9"/>
            <color indexed="81"/>
            <rFont val="Tahoma"/>
            <family val="2"/>
          </rPr>
          <t xml:space="preserve">
</t>
        </r>
      </text>
    </comment>
    <comment ref="G30" authorId="1" shapeId="0">
      <text>
        <r>
          <rPr>
            <b/>
            <sz val="9"/>
            <color indexed="81"/>
            <rFont val="Tahoma"/>
            <family val="2"/>
          </rPr>
          <t xml:space="preserve">Enter estimate or calculation based on hours used
</t>
        </r>
        <r>
          <rPr>
            <sz val="9"/>
            <color indexed="81"/>
            <rFont val="Tahoma"/>
            <family val="2"/>
          </rPr>
          <t xml:space="preserve">
</t>
        </r>
      </text>
    </comment>
    <comment ref="H30" authorId="1" shapeId="0">
      <text>
        <r>
          <rPr>
            <b/>
            <sz val="9"/>
            <color indexed="81"/>
            <rFont val="Tahoma"/>
            <family val="2"/>
          </rPr>
          <t>Default:
S: 50
M: 40
L: 20</t>
        </r>
        <r>
          <rPr>
            <sz val="9"/>
            <color indexed="81"/>
            <rFont val="Tahoma"/>
            <family val="2"/>
          </rPr>
          <t xml:space="preserve">
</t>
        </r>
      </text>
    </comment>
    <comment ref="J30" authorId="1" shapeId="0">
      <text>
        <r>
          <rPr>
            <b/>
            <sz val="9"/>
            <color indexed="81"/>
            <rFont val="Tahoma"/>
            <family val="2"/>
          </rPr>
          <t>Default % of default value:
2%</t>
        </r>
      </text>
    </comment>
    <comment ref="L30" authorId="1" shapeId="0">
      <text>
        <r>
          <rPr>
            <b/>
            <sz val="9"/>
            <color indexed="81"/>
            <rFont val="Tahoma"/>
            <family val="2"/>
          </rPr>
          <t>Default % of default value:
20%</t>
        </r>
      </text>
    </comment>
    <comment ref="C32" authorId="1" shapeId="0">
      <text>
        <r>
          <rPr>
            <b/>
            <sz val="9"/>
            <color indexed="81"/>
            <rFont val="Tahoma"/>
            <family val="2"/>
          </rPr>
          <t>For spreading Chilean nitrate</t>
        </r>
      </text>
    </comment>
    <comment ref="D32" authorId="1" shapeId="0">
      <text>
        <r>
          <rPr>
            <b/>
            <sz val="9"/>
            <color indexed="81"/>
            <rFont val="Tahoma"/>
            <family val="2"/>
          </rPr>
          <t xml:space="preserve">Default:
S&amp;M&amp;L: 1
</t>
        </r>
        <r>
          <rPr>
            <sz val="9"/>
            <color indexed="81"/>
            <rFont val="Tahoma"/>
            <family val="2"/>
          </rPr>
          <t xml:space="preserve">
</t>
        </r>
      </text>
    </comment>
    <comment ref="E32" authorId="1" shapeId="0">
      <text>
        <r>
          <rPr>
            <b/>
            <sz val="9"/>
            <color indexed="81"/>
            <rFont val="Tahoma"/>
            <family val="2"/>
          </rPr>
          <t xml:space="preserve">Default:
S&amp;M&amp;L: 5000
</t>
        </r>
        <r>
          <rPr>
            <sz val="9"/>
            <color indexed="81"/>
            <rFont val="Tahoma"/>
            <family val="2"/>
          </rPr>
          <t xml:space="preserve">
</t>
        </r>
      </text>
    </comment>
    <comment ref="G32" authorId="1" shapeId="0">
      <text>
        <r>
          <rPr>
            <b/>
            <sz val="9"/>
            <color indexed="81"/>
            <rFont val="Tahoma"/>
            <family val="2"/>
          </rPr>
          <t xml:space="preserve">Enter estimate or calculation based on hours used
</t>
        </r>
        <r>
          <rPr>
            <sz val="9"/>
            <color indexed="81"/>
            <rFont val="Tahoma"/>
            <family val="2"/>
          </rPr>
          <t xml:space="preserve">
</t>
        </r>
      </text>
    </comment>
    <comment ref="H32" authorId="1" shapeId="0">
      <text>
        <r>
          <rPr>
            <b/>
            <sz val="9"/>
            <color indexed="81"/>
            <rFont val="Tahoma"/>
            <family val="2"/>
          </rPr>
          <t>Default:
S: 50
M: 40
L: 20</t>
        </r>
        <r>
          <rPr>
            <sz val="9"/>
            <color indexed="81"/>
            <rFont val="Tahoma"/>
            <family val="2"/>
          </rPr>
          <t xml:space="preserve">
</t>
        </r>
      </text>
    </comment>
    <comment ref="J32" authorId="1" shapeId="0">
      <text>
        <r>
          <rPr>
            <b/>
            <sz val="9"/>
            <color indexed="81"/>
            <rFont val="Tahoma"/>
            <family val="2"/>
          </rPr>
          <t>Default % of default value:
2%</t>
        </r>
      </text>
    </comment>
    <comment ref="L32" authorId="1" shapeId="0">
      <text>
        <r>
          <rPr>
            <b/>
            <sz val="9"/>
            <color indexed="81"/>
            <rFont val="Tahoma"/>
            <family val="2"/>
          </rPr>
          <t>Default % of default value:
20%</t>
        </r>
      </text>
    </comment>
    <comment ref="D33" authorId="1" shapeId="0">
      <text>
        <r>
          <rPr>
            <b/>
            <sz val="9"/>
            <color indexed="81"/>
            <rFont val="Tahoma"/>
            <family val="2"/>
          </rPr>
          <t xml:space="preserve">Default:
S&amp;M&amp;L: 1
</t>
        </r>
        <r>
          <rPr>
            <sz val="9"/>
            <color indexed="81"/>
            <rFont val="Tahoma"/>
            <family val="2"/>
          </rPr>
          <t xml:space="preserve">
</t>
        </r>
      </text>
    </comment>
    <comment ref="E33" authorId="1" shapeId="0">
      <text>
        <r>
          <rPr>
            <b/>
            <sz val="9"/>
            <color indexed="81"/>
            <rFont val="Tahoma"/>
            <family val="2"/>
          </rPr>
          <t xml:space="preserve">Default:
S&amp;M&amp;L: 7738.78761047635
</t>
        </r>
        <r>
          <rPr>
            <sz val="9"/>
            <color indexed="81"/>
            <rFont val="Tahoma"/>
            <family val="2"/>
          </rPr>
          <t xml:space="preserve">
</t>
        </r>
      </text>
    </comment>
    <comment ref="G33" authorId="1" shapeId="0">
      <text>
        <r>
          <rPr>
            <b/>
            <sz val="9"/>
            <color indexed="81"/>
            <rFont val="Tahoma"/>
            <family val="2"/>
          </rPr>
          <t xml:space="preserve">Enter estimate or calculation based on hours used
</t>
        </r>
        <r>
          <rPr>
            <sz val="9"/>
            <color indexed="81"/>
            <rFont val="Tahoma"/>
            <family val="2"/>
          </rPr>
          <t xml:space="preserve">
</t>
        </r>
      </text>
    </comment>
    <comment ref="H33" authorId="1" shapeId="0">
      <text>
        <r>
          <rPr>
            <b/>
            <sz val="9"/>
            <color indexed="81"/>
            <rFont val="Tahoma"/>
            <family val="2"/>
          </rPr>
          <t>Default:
S: 50
M: 40
L: 20</t>
        </r>
        <r>
          <rPr>
            <sz val="9"/>
            <color indexed="81"/>
            <rFont val="Tahoma"/>
            <family val="2"/>
          </rPr>
          <t xml:space="preserve">
</t>
        </r>
      </text>
    </comment>
    <comment ref="J33" authorId="1" shapeId="0">
      <text>
        <r>
          <rPr>
            <b/>
            <sz val="9"/>
            <color indexed="81"/>
            <rFont val="Tahoma"/>
            <family val="2"/>
          </rPr>
          <t>Default % of default value:
2.28252631578947%</t>
        </r>
      </text>
    </comment>
    <comment ref="L33" authorId="1" shapeId="0">
      <text>
        <r>
          <rPr>
            <b/>
            <sz val="9"/>
            <color indexed="81"/>
            <rFont val="Tahoma"/>
            <family val="2"/>
          </rPr>
          <t>Default % of default value:
25%</t>
        </r>
      </text>
    </comment>
    <comment ref="D34" authorId="1" shapeId="0">
      <text>
        <r>
          <rPr>
            <b/>
            <sz val="9"/>
            <color indexed="81"/>
            <rFont val="Tahoma"/>
            <family val="2"/>
          </rPr>
          <t>Default:
S: 1
M&amp;L: 0</t>
        </r>
        <r>
          <rPr>
            <sz val="9"/>
            <color indexed="81"/>
            <rFont val="Tahoma"/>
            <family val="2"/>
          </rPr>
          <t xml:space="preserve">
</t>
        </r>
      </text>
    </comment>
    <comment ref="E34" authorId="1" shapeId="0">
      <text>
        <r>
          <rPr>
            <b/>
            <sz val="9"/>
            <color indexed="81"/>
            <rFont val="Tahoma"/>
            <family val="2"/>
          </rPr>
          <t xml:space="preserve">Default:
S: 22000
M: 45000
L: 57000
</t>
        </r>
        <r>
          <rPr>
            <sz val="9"/>
            <color indexed="81"/>
            <rFont val="Tahoma"/>
            <family val="2"/>
          </rPr>
          <t xml:space="preserve">
</t>
        </r>
      </text>
    </comment>
    <comment ref="G34" authorId="1" shapeId="0">
      <text>
        <r>
          <rPr>
            <b/>
            <sz val="9"/>
            <color indexed="81"/>
            <rFont val="Tahoma"/>
            <family val="2"/>
          </rPr>
          <t xml:space="preserve">Enter estimate or calculation based on hours used
</t>
        </r>
        <r>
          <rPr>
            <sz val="9"/>
            <color indexed="81"/>
            <rFont val="Tahoma"/>
            <family val="2"/>
          </rPr>
          <t xml:space="preserve">
</t>
        </r>
      </text>
    </comment>
    <comment ref="H34" authorId="1" shapeId="0">
      <text>
        <r>
          <rPr>
            <b/>
            <sz val="9"/>
            <color indexed="81"/>
            <rFont val="Tahoma"/>
            <family val="2"/>
          </rPr>
          <t>Default:
S: 50
M: 40
L: 20</t>
        </r>
        <r>
          <rPr>
            <sz val="9"/>
            <color indexed="81"/>
            <rFont val="Tahoma"/>
            <family val="2"/>
          </rPr>
          <t xml:space="preserve">
</t>
        </r>
      </text>
    </comment>
    <comment ref="J34" authorId="1" shapeId="0">
      <text>
        <r>
          <rPr>
            <b/>
            <sz val="9"/>
            <color indexed="81"/>
            <rFont val="Tahoma"/>
            <family val="2"/>
          </rPr>
          <t>Default % of default value:
2.38304545454545%</t>
        </r>
      </text>
    </comment>
    <comment ref="L34" authorId="1" shapeId="0">
      <text>
        <r>
          <rPr>
            <b/>
            <sz val="9"/>
            <color indexed="81"/>
            <rFont val="Tahoma"/>
            <family val="2"/>
          </rPr>
          <t>Default % of default value:
40%</t>
        </r>
      </text>
    </comment>
    <comment ref="D35" authorId="1" shapeId="0">
      <text>
        <r>
          <rPr>
            <b/>
            <sz val="9"/>
            <color indexed="81"/>
            <rFont val="Tahoma"/>
            <family val="2"/>
          </rPr>
          <t xml:space="preserve">Default:
S: 0
M: 1
L: 0
</t>
        </r>
        <r>
          <rPr>
            <sz val="9"/>
            <color indexed="81"/>
            <rFont val="Tahoma"/>
            <family val="2"/>
          </rPr>
          <t xml:space="preserve">
</t>
        </r>
      </text>
    </comment>
    <comment ref="E35" authorId="1" shapeId="0">
      <text>
        <r>
          <rPr>
            <b/>
            <sz val="9"/>
            <color indexed="81"/>
            <rFont val="Tahoma"/>
            <family val="2"/>
          </rPr>
          <t xml:space="preserve">Default:
S: 22000
M: 45000
L: 57000
</t>
        </r>
        <r>
          <rPr>
            <sz val="9"/>
            <color indexed="81"/>
            <rFont val="Tahoma"/>
            <family val="2"/>
          </rPr>
          <t xml:space="preserve">
</t>
        </r>
      </text>
    </comment>
    <comment ref="G35" authorId="1" shapeId="0">
      <text>
        <r>
          <rPr>
            <b/>
            <sz val="9"/>
            <color indexed="81"/>
            <rFont val="Tahoma"/>
            <family val="2"/>
          </rPr>
          <t xml:space="preserve">Enter estimate or calculation based on hours used
</t>
        </r>
        <r>
          <rPr>
            <sz val="9"/>
            <color indexed="81"/>
            <rFont val="Tahoma"/>
            <family val="2"/>
          </rPr>
          <t xml:space="preserve">
</t>
        </r>
      </text>
    </comment>
    <comment ref="H35" authorId="1" shapeId="0">
      <text>
        <r>
          <rPr>
            <b/>
            <sz val="9"/>
            <color indexed="81"/>
            <rFont val="Tahoma"/>
            <family val="2"/>
          </rPr>
          <t>Default:
S: 50
M: 40
L: 20</t>
        </r>
        <r>
          <rPr>
            <sz val="9"/>
            <color indexed="81"/>
            <rFont val="Tahoma"/>
            <family val="2"/>
          </rPr>
          <t xml:space="preserve">
</t>
        </r>
      </text>
    </comment>
    <comment ref="J35" authorId="1" shapeId="0">
      <text>
        <r>
          <rPr>
            <b/>
            <sz val="9"/>
            <color indexed="81"/>
            <rFont val="Tahoma"/>
            <family val="2"/>
          </rPr>
          <t>Default % of default value:
2.36733333333333%</t>
        </r>
      </text>
    </comment>
    <comment ref="L35" authorId="1" shapeId="0">
      <text>
        <r>
          <rPr>
            <b/>
            <sz val="9"/>
            <color indexed="81"/>
            <rFont val="Tahoma"/>
            <family val="2"/>
          </rPr>
          <t>Default % of default value:
40%</t>
        </r>
      </text>
    </comment>
    <comment ref="D36" authorId="1" shapeId="0">
      <text>
        <r>
          <rPr>
            <b/>
            <sz val="9"/>
            <color indexed="81"/>
            <rFont val="Tahoma"/>
            <family val="2"/>
          </rPr>
          <t xml:space="preserve">Default:
S&amp;M: 0
L: 1
</t>
        </r>
        <r>
          <rPr>
            <sz val="9"/>
            <color indexed="81"/>
            <rFont val="Tahoma"/>
            <family val="2"/>
          </rPr>
          <t xml:space="preserve">
</t>
        </r>
      </text>
    </comment>
    <comment ref="E36" authorId="1" shapeId="0">
      <text>
        <r>
          <rPr>
            <b/>
            <sz val="9"/>
            <color indexed="81"/>
            <rFont val="Tahoma"/>
            <family val="2"/>
          </rPr>
          <t xml:space="preserve">Default:
S: 22000
M: 45000
L: 57000
</t>
        </r>
        <r>
          <rPr>
            <sz val="9"/>
            <color indexed="81"/>
            <rFont val="Tahoma"/>
            <family val="2"/>
          </rPr>
          <t xml:space="preserve">
</t>
        </r>
      </text>
    </comment>
    <comment ref="G36" authorId="1" shapeId="0">
      <text>
        <r>
          <rPr>
            <b/>
            <sz val="9"/>
            <color indexed="81"/>
            <rFont val="Tahoma"/>
            <family val="2"/>
          </rPr>
          <t xml:space="preserve">Enter estimate or calculation based on hours used
</t>
        </r>
        <r>
          <rPr>
            <sz val="9"/>
            <color indexed="81"/>
            <rFont val="Tahoma"/>
            <family val="2"/>
          </rPr>
          <t xml:space="preserve">
</t>
        </r>
      </text>
    </comment>
    <comment ref="H36" authorId="1" shapeId="0">
      <text>
        <r>
          <rPr>
            <b/>
            <sz val="9"/>
            <color indexed="81"/>
            <rFont val="Tahoma"/>
            <family val="2"/>
          </rPr>
          <t>Default:
S: 50
M: 40
L: 20</t>
        </r>
      </text>
    </comment>
    <comment ref="J36" authorId="1" shapeId="0">
      <text>
        <r>
          <rPr>
            <b/>
            <sz val="9"/>
            <color indexed="81"/>
            <rFont val="Tahoma"/>
            <family val="2"/>
          </rPr>
          <t>Default % of default value:
2.71466666666667%</t>
        </r>
      </text>
    </comment>
    <comment ref="L36" authorId="1" shapeId="0">
      <text>
        <r>
          <rPr>
            <b/>
            <sz val="9"/>
            <color indexed="81"/>
            <rFont val="Tahoma"/>
            <family val="2"/>
          </rPr>
          <t>Default % of default value:
40%</t>
        </r>
      </text>
    </comment>
    <comment ref="D38" authorId="1" shapeId="0">
      <text>
        <r>
          <rPr>
            <b/>
            <sz val="9"/>
            <color indexed="81"/>
            <rFont val="Tahoma"/>
            <family val="2"/>
          </rPr>
          <t xml:space="preserve">Default:
S&amp;M&amp;L: 0
</t>
        </r>
        <r>
          <rPr>
            <sz val="9"/>
            <color indexed="81"/>
            <rFont val="Tahoma"/>
            <family val="2"/>
          </rPr>
          <t xml:space="preserve">
</t>
        </r>
      </text>
    </comment>
    <comment ref="E38" authorId="1" shapeId="0">
      <text>
        <r>
          <rPr>
            <b/>
            <sz val="9"/>
            <color indexed="81"/>
            <rFont val="Tahoma"/>
            <family val="2"/>
          </rPr>
          <t xml:space="preserve">Default:
S: 21000
M: 45000
L: 234000
</t>
        </r>
        <r>
          <rPr>
            <sz val="9"/>
            <color indexed="81"/>
            <rFont val="Tahoma"/>
            <family val="2"/>
          </rPr>
          <t xml:space="preserve">
</t>
        </r>
      </text>
    </comment>
    <comment ref="G38" authorId="1" shapeId="0">
      <text>
        <r>
          <rPr>
            <b/>
            <sz val="9"/>
            <color indexed="81"/>
            <rFont val="Tahoma"/>
            <family val="2"/>
          </rPr>
          <t xml:space="preserve">Enter estimate or calculation based on hours used
</t>
        </r>
        <r>
          <rPr>
            <sz val="9"/>
            <color indexed="81"/>
            <rFont val="Tahoma"/>
            <family val="2"/>
          </rPr>
          <t xml:space="preserve">
</t>
        </r>
      </text>
    </comment>
    <comment ref="H38" authorId="1" shapeId="0">
      <text>
        <r>
          <rPr>
            <b/>
            <sz val="9"/>
            <color indexed="81"/>
            <rFont val="Tahoma"/>
            <family val="2"/>
          </rPr>
          <t>Default:
S: 50
M: 40
L: 20</t>
        </r>
      </text>
    </comment>
    <comment ref="J38" authorId="1" shapeId="0">
      <text>
        <r>
          <rPr>
            <b/>
            <sz val="9"/>
            <color indexed="81"/>
            <rFont val="Tahoma"/>
            <family val="2"/>
          </rPr>
          <t>Default % of default value:
4.5%</t>
        </r>
      </text>
    </comment>
    <comment ref="L38" authorId="1" shapeId="0">
      <text>
        <r>
          <rPr>
            <b/>
            <sz val="9"/>
            <color indexed="81"/>
            <rFont val="Tahoma"/>
            <family val="2"/>
          </rPr>
          <t>Default % of default value:
50%</t>
        </r>
      </text>
    </comment>
    <comment ref="D39" authorId="1" shapeId="0">
      <text>
        <r>
          <rPr>
            <b/>
            <sz val="9"/>
            <color indexed="81"/>
            <rFont val="Tahoma"/>
            <family val="2"/>
          </rPr>
          <t xml:space="preserve">Default:
S&amp;M&amp;L: 0
</t>
        </r>
        <r>
          <rPr>
            <sz val="9"/>
            <color indexed="81"/>
            <rFont val="Tahoma"/>
            <family val="2"/>
          </rPr>
          <t xml:space="preserve">
</t>
        </r>
      </text>
    </comment>
    <comment ref="E39" authorId="1" shapeId="0">
      <text>
        <r>
          <rPr>
            <b/>
            <sz val="9"/>
            <color indexed="81"/>
            <rFont val="Tahoma"/>
            <family val="2"/>
          </rPr>
          <t xml:space="preserve">Default:
S: 21000
M: 45000
L: 234000
</t>
        </r>
        <r>
          <rPr>
            <sz val="9"/>
            <color indexed="81"/>
            <rFont val="Tahoma"/>
            <family val="2"/>
          </rPr>
          <t xml:space="preserve">
</t>
        </r>
      </text>
    </comment>
    <comment ref="G39" authorId="1" shapeId="0">
      <text>
        <r>
          <rPr>
            <b/>
            <sz val="9"/>
            <color indexed="81"/>
            <rFont val="Tahoma"/>
            <family val="2"/>
          </rPr>
          <t xml:space="preserve">Enter estimate or calculation based on hours used
</t>
        </r>
        <r>
          <rPr>
            <sz val="9"/>
            <color indexed="81"/>
            <rFont val="Tahoma"/>
            <family val="2"/>
          </rPr>
          <t xml:space="preserve">
</t>
        </r>
      </text>
    </comment>
    <comment ref="H39" authorId="1" shapeId="0">
      <text>
        <r>
          <rPr>
            <b/>
            <sz val="9"/>
            <color indexed="81"/>
            <rFont val="Tahoma"/>
            <family val="2"/>
          </rPr>
          <t>Default:
S: 50
M: 40
L: 20</t>
        </r>
      </text>
    </comment>
    <comment ref="J39" authorId="1" shapeId="0">
      <text>
        <r>
          <rPr>
            <b/>
            <sz val="9"/>
            <color indexed="81"/>
            <rFont val="Tahoma"/>
            <family val="2"/>
          </rPr>
          <t>Default % of default value:
4.5%</t>
        </r>
      </text>
    </comment>
    <comment ref="L39" authorId="1" shapeId="0">
      <text>
        <r>
          <rPr>
            <b/>
            <sz val="9"/>
            <color indexed="81"/>
            <rFont val="Tahoma"/>
            <family val="2"/>
          </rPr>
          <t>Default % of default value:
50%</t>
        </r>
      </text>
    </comment>
    <comment ref="D40" authorId="1" shapeId="0">
      <text>
        <r>
          <rPr>
            <b/>
            <sz val="9"/>
            <color indexed="81"/>
            <rFont val="Tahoma"/>
            <family val="2"/>
          </rPr>
          <t xml:space="preserve">Default:
S&amp;M&amp;L: 0
</t>
        </r>
        <r>
          <rPr>
            <sz val="9"/>
            <color indexed="81"/>
            <rFont val="Tahoma"/>
            <family val="2"/>
          </rPr>
          <t xml:space="preserve">
</t>
        </r>
      </text>
    </comment>
    <comment ref="E40" authorId="1" shapeId="0">
      <text>
        <r>
          <rPr>
            <b/>
            <sz val="9"/>
            <color indexed="81"/>
            <rFont val="Tahoma"/>
            <family val="2"/>
          </rPr>
          <t xml:space="preserve">Default:
S: 21000
M: 45000
L: 234000
</t>
        </r>
        <r>
          <rPr>
            <sz val="9"/>
            <color indexed="81"/>
            <rFont val="Tahoma"/>
            <family val="2"/>
          </rPr>
          <t xml:space="preserve">
</t>
        </r>
      </text>
    </comment>
    <comment ref="G40" authorId="1" shapeId="0">
      <text>
        <r>
          <rPr>
            <b/>
            <sz val="9"/>
            <color indexed="81"/>
            <rFont val="Tahoma"/>
            <family val="2"/>
          </rPr>
          <t xml:space="preserve">Enter estimate or calculation based on hours used
</t>
        </r>
        <r>
          <rPr>
            <sz val="9"/>
            <color indexed="81"/>
            <rFont val="Tahoma"/>
            <family val="2"/>
          </rPr>
          <t xml:space="preserve">
</t>
        </r>
      </text>
    </comment>
    <comment ref="H40" authorId="1" shapeId="0">
      <text>
        <r>
          <rPr>
            <b/>
            <sz val="9"/>
            <color indexed="81"/>
            <rFont val="Tahoma"/>
            <family val="2"/>
          </rPr>
          <t>Default:
S: 50
M: 40
L: 20</t>
        </r>
      </text>
    </comment>
    <comment ref="J40" authorId="1" shapeId="0">
      <text>
        <r>
          <rPr>
            <b/>
            <sz val="9"/>
            <color indexed="81"/>
            <rFont val="Tahoma"/>
            <family val="2"/>
          </rPr>
          <t>Default % of default value:
4.5%</t>
        </r>
      </text>
    </comment>
    <comment ref="L40" authorId="1" shapeId="0">
      <text>
        <r>
          <rPr>
            <b/>
            <sz val="9"/>
            <color indexed="81"/>
            <rFont val="Tahoma"/>
            <family val="2"/>
          </rPr>
          <t>Default % of default value:
50%</t>
        </r>
      </text>
    </comment>
    <comment ref="D42" authorId="1" shapeId="0">
      <text>
        <r>
          <rPr>
            <b/>
            <sz val="9"/>
            <color indexed="81"/>
            <rFont val="Tahoma"/>
            <family val="2"/>
          </rPr>
          <t xml:space="preserve">Default:
S&amp;M&amp;L: 1
</t>
        </r>
        <r>
          <rPr>
            <sz val="9"/>
            <color indexed="81"/>
            <rFont val="Tahoma"/>
            <family val="2"/>
          </rPr>
          <t xml:space="preserve">
</t>
        </r>
      </text>
    </comment>
    <comment ref="E42" authorId="1" shapeId="0">
      <text>
        <r>
          <rPr>
            <b/>
            <sz val="9"/>
            <color indexed="81"/>
            <rFont val="Tahoma"/>
            <family val="2"/>
          </rPr>
          <t xml:space="preserve">Default:
S&amp;M: 22000
L: 180000
</t>
        </r>
        <r>
          <rPr>
            <sz val="9"/>
            <color indexed="81"/>
            <rFont val="Tahoma"/>
            <family val="2"/>
          </rPr>
          <t xml:space="preserve">
</t>
        </r>
      </text>
    </comment>
    <comment ref="G42" authorId="1" shapeId="0">
      <text>
        <r>
          <rPr>
            <b/>
            <sz val="9"/>
            <color indexed="81"/>
            <rFont val="Tahoma"/>
            <family val="2"/>
          </rPr>
          <t xml:space="preserve">Enter estimate or calculation based on hours used
</t>
        </r>
        <r>
          <rPr>
            <sz val="9"/>
            <color indexed="81"/>
            <rFont val="Tahoma"/>
            <family val="2"/>
          </rPr>
          <t xml:space="preserve">
</t>
        </r>
      </text>
    </comment>
    <comment ref="H42" authorId="1" shapeId="0">
      <text>
        <r>
          <rPr>
            <b/>
            <sz val="9"/>
            <color indexed="81"/>
            <rFont val="Tahoma"/>
            <family val="2"/>
          </rPr>
          <t>Default:
S: 50
M: 40
L: 20</t>
        </r>
        <r>
          <rPr>
            <sz val="9"/>
            <color indexed="81"/>
            <rFont val="Tahoma"/>
            <family val="2"/>
          </rPr>
          <t xml:space="preserve">
</t>
        </r>
      </text>
    </comment>
    <comment ref="J42" authorId="1" shapeId="0">
      <text>
        <r>
          <rPr>
            <b/>
            <sz val="9"/>
            <color indexed="81"/>
            <rFont val="Tahoma"/>
            <family val="2"/>
          </rPr>
          <t>Default % of default value:
2.82190812720848%</t>
        </r>
      </text>
    </comment>
    <comment ref="L42" authorId="1" shapeId="0">
      <text>
        <r>
          <rPr>
            <b/>
            <sz val="9"/>
            <color indexed="81"/>
            <rFont val="Tahoma"/>
            <family val="2"/>
          </rPr>
          <t>Default % of default value:
19%</t>
        </r>
      </text>
    </comment>
    <comment ref="D43" authorId="1" shapeId="0">
      <text>
        <r>
          <rPr>
            <b/>
            <sz val="9"/>
            <color indexed="81"/>
            <rFont val="Tahoma"/>
            <family val="2"/>
          </rPr>
          <t xml:space="preserve">Default:
S&amp;M&amp;L: 1
</t>
        </r>
        <r>
          <rPr>
            <sz val="9"/>
            <color indexed="81"/>
            <rFont val="Tahoma"/>
            <family val="2"/>
          </rPr>
          <t xml:space="preserve">
</t>
        </r>
      </text>
    </comment>
    <comment ref="E43" authorId="1" shapeId="0">
      <text>
        <r>
          <rPr>
            <b/>
            <sz val="9"/>
            <color indexed="81"/>
            <rFont val="Tahoma"/>
            <family val="2"/>
          </rPr>
          <t xml:space="preserve">Default:
S&amp;M: 22000
L: 180000
</t>
        </r>
        <r>
          <rPr>
            <sz val="9"/>
            <color indexed="81"/>
            <rFont val="Tahoma"/>
            <family val="2"/>
          </rPr>
          <t xml:space="preserve">
</t>
        </r>
      </text>
    </comment>
    <comment ref="G43" authorId="1" shapeId="0">
      <text>
        <r>
          <rPr>
            <b/>
            <sz val="9"/>
            <color indexed="81"/>
            <rFont val="Tahoma"/>
            <family val="2"/>
          </rPr>
          <t xml:space="preserve">Enter estimate or calculation based on hours used
</t>
        </r>
        <r>
          <rPr>
            <sz val="9"/>
            <color indexed="81"/>
            <rFont val="Tahoma"/>
            <family val="2"/>
          </rPr>
          <t xml:space="preserve">
</t>
        </r>
      </text>
    </comment>
    <comment ref="H43" authorId="1" shapeId="0">
      <text>
        <r>
          <rPr>
            <b/>
            <sz val="9"/>
            <color indexed="81"/>
            <rFont val="Tahoma"/>
            <family val="2"/>
          </rPr>
          <t>Default:
S: 50
M: 40
L: 20</t>
        </r>
        <r>
          <rPr>
            <sz val="9"/>
            <color indexed="81"/>
            <rFont val="Tahoma"/>
            <family val="2"/>
          </rPr>
          <t xml:space="preserve">
</t>
        </r>
      </text>
    </comment>
    <comment ref="J43" authorId="1" shapeId="0">
      <text>
        <r>
          <rPr>
            <b/>
            <sz val="9"/>
            <color indexed="81"/>
            <rFont val="Tahoma"/>
            <family val="2"/>
          </rPr>
          <t>Default % of default value:
2.82190812720848%</t>
        </r>
      </text>
    </comment>
    <comment ref="L43" authorId="1" shapeId="0">
      <text>
        <r>
          <rPr>
            <b/>
            <sz val="9"/>
            <color indexed="81"/>
            <rFont val="Tahoma"/>
            <family val="2"/>
          </rPr>
          <t>Default % of default value:
19%</t>
        </r>
      </text>
    </comment>
    <comment ref="D44" authorId="1" shapeId="0">
      <text>
        <r>
          <rPr>
            <b/>
            <sz val="9"/>
            <color indexed="81"/>
            <rFont val="Tahoma"/>
            <family val="2"/>
          </rPr>
          <t xml:space="preserve">Default:
S&amp;M&amp;L: 1
</t>
        </r>
        <r>
          <rPr>
            <sz val="9"/>
            <color indexed="81"/>
            <rFont val="Tahoma"/>
            <family val="2"/>
          </rPr>
          <t xml:space="preserve">
</t>
        </r>
      </text>
    </comment>
    <comment ref="E44" authorId="1" shapeId="0">
      <text>
        <r>
          <rPr>
            <b/>
            <sz val="9"/>
            <color indexed="81"/>
            <rFont val="Tahoma"/>
            <family val="2"/>
          </rPr>
          <t xml:space="preserve">Default:
S&amp;M: 22000
L: 180000
</t>
        </r>
        <r>
          <rPr>
            <sz val="9"/>
            <color indexed="81"/>
            <rFont val="Tahoma"/>
            <family val="2"/>
          </rPr>
          <t xml:space="preserve">
</t>
        </r>
      </text>
    </comment>
    <comment ref="G44" authorId="1" shapeId="0">
      <text>
        <r>
          <rPr>
            <b/>
            <sz val="9"/>
            <color indexed="81"/>
            <rFont val="Tahoma"/>
            <family val="2"/>
          </rPr>
          <t xml:space="preserve">Enter estimate or calculation based on hours used
</t>
        </r>
        <r>
          <rPr>
            <sz val="9"/>
            <color indexed="81"/>
            <rFont val="Tahoma"/>
            <family val="2"/>
          </rPr>
          <t xml:space="preserve">
</t>
        </r>
      </text>
    </comment>
    <comment ref="H44" authorId="1" shapeId="0">
      <text>
        <r>
          <rPr>
            <b/>
            <sz val="9"/>
            <color indexed="81"/>
            <rFont val="Tahoma"/>
            <family val="2"/>
          </rPr>
          <t>Default:
S: 50
M: 40
L: 20</t>
        </r>
        <r>
          <rPr>
            <sz val="9"/>
            <color indexed="81"/>
            <rFont val="Tahoma"/>
            <family val="2"/>
          </rPr>
          <t xml:space="preserve">
</t>
        </r>
      </text>
    </comment>
    <comment ref="J44" authorId="1" shapeId="0">
      <text>
        <r>
          <rPr>
            <b/>
            <sz val="9"/>
            <color indexed="81"/>
            <rFont val="Tahoma"/>
            <family val="2"/>
          </rPr>
          <t>Default % of default value:
2.82190812720848%</t>
        </r>
      </text>
    </comment>
    <comment ref="L44" authorId="1" shapeId="0">
      <text>
        <r>
          <rPr>
            <b/>
            <sz val="9"/>
            <color indexed="81"/>
            <rFont val="Tahoma"/>
            <family val="2"/>
          </rPr>
          <t>Default % of default value:
19%</t>
        </r>
      </text>
    </comment>
    <comment ref="D45" authorId="1" shapeId="0">
      <text>
        <r>
          <rPr>
            <b/>
            <sz val="9"/>
            <color indexed="81"/>
            <rFont val="Tahoma"/>
            <family val="2"/>
          </rPr>
          <t xml:space="preserve">Default:
S&amp;M&amp;L: 1
</t>
        </r>
        <r>
          <rPr>
            <sz val="9"/>
            <color indexed="81"/>
            <rFont val="Tahoma"/>
            <family val="2"/>
          </rPr>
          <t xml:space="preserve">
</t>
        </r>
      </text>
    </comment>
    <comment ref="E45" authorId="1" shapeId="0">
      <text>
        <r>
          <rPr>
            <b/>
            <sz val="9"/>
            <color indexed="81"/>
            <rFont val="Tahoma"/>
            <family val="2"/>
          </rPr>
          <t xml:space="preserve">Default:
S&amp;M&amp;L: 7000
</t>
        </r>
        <r>
          <rPr>
            <sz val="9"/>
            <color indexed="81"/>
            <rFont val="Tahoma"/>
            <family val="2"/>
          </rPr>
          <t xml:space="preserve">
</t>
        </r>
      </text>
    </comment>
    <comment ref="G45" authorId="1" shapeId="0">
      <text>
        <r>
          <rPr>
            <b/>
            <sz val="9"/>
            <color indexed="81"/>
            <rFont val="Tahoma"/>
            <family val="2"/>
          </rPr>
          <t xml:space="preserve">Enter estimate or calculation based on hours used
</t>
        </r>
        <r>
          <rPr>
            <sz val="9"/>
            <color indexed="81"/>
            <rFont val="Tahoma"/>
            <family val="2"/>
          </rPr>
          <t xml:space="preserve">
</t>
        </r>
      </text>
    </comment>
    <comment ref="H45" authorId="1" shapeId="0">
      <text>
        <r>
          <rPr>
            <b/>
            <sz val="9"/>
            <color indexed="81"/>
            <rFont val="Tahoma"/>
            <family val="2"/>
          </rPr>
          <t>Default:
S: 50
M: 40
L: 20</t>
        </r>
        <r>
          <rPr>
            <sz val="9"/>
            <color indexed="81"/>
            <rFont val="Tahoma"/>
            <family val="2"/>
          </rPr>
          <t xml:space="preserve">
</t>
        </r>
      </text>
    </comment>
    <comment ref="J45" authorId="1" shapeId="0">
      <text>
        <r>
          <rPr>
            <b/>
            <sz val="9"/>
            <color indexed="81"/>
            <rFont val="Tahoma"/>
            <family val="2"/>
          </rPr>
          <t>Default % of default value:
2.82190812720848%</t>
        </r>
      </text>
    </comment>
    <comment ref="L45" authorId="1" shapeId="0">
      <text>
        <r>
          <rPr>
            <b/>
            <sz val="9"/>
            <color indexed="81"/>
            <rFont val="Tahoma"/>
            <family val="2"/>
          </rPr>
          <t>Default % of default value:
19%</t>
        </r>
      </text>
    </comment>
    <comment ref="D46" authorId="1" shapeId="0">
      <text>
        <r>
          <rPr>
            <b/>
            <sz val="9"/>
            <color indexed="81"/>
            <rFont val="Tahoma"/>
            <family val="2"/>
          </rPr>
          <t xml:space="preserve">Default:
S&amp;M&amp;L: 1
</t>
        </r>
        <r>
          <rPr>
            <sz val="9"/>
            <color indexed="81"/>
            <rFont val="Tahoma"/>
            <family val="2"/>
          </rPr>
          <t xml:space="preserve">
</t>
        </r>
      </text>
    </comment>
    <comment ref="E46" authorId="1" shapeId="0">
      <text>
        <r>
          <rPr>
            <b/>
            <sz val="9"/>
            <color indexed="81"/>
            <rFont val="Tahoma"/>
            <family val="2"/>
          </rPr>
          <t xml:space="preserve">Default:
S&amp;M&amp;L: 15750
</t>
        </r>
        <r>
          <rPr>
            <sz val="9"/>
            <color indexed="81"/>
            <rFont val="Tahoma"/>
            <family val="2"/>
          </rPr>
          <t xml:space="preserve">
</t>
        </r>
      </text>
    </comment>
    <comment ref="G46" authorId="1" shapeId="0">
      <text>
        <r>
          <rPr>
            <b/>
            <sz val="9"/>
            <color indexed="81"/>
            <rFont val="Tahoma"/>
            <family val="2"/>
          </rPr>
          <t xml:space="preserve">Enter estimate or calculation based on hours used
</t>
        </r>
        <r>
          <rPr>
            <sz val="9"/>
            <color indexed="81"/>
            <rFont val="Tahoma"/>
            <family val="2"/>
          </rPr>
          <t xml:space="preserve">
</t>
        </r>
      </text>
    </comment>
    <comment ref="H46" authorId="1" shapeId="0">
      <text>
        <r>
          <rPr>
            <b/>
            <sz val="9"/>
            <color indexed="81"/>
            <rFont val="Tahoma"/>
            <family val="2"/>
          </rPr>
          <t>Default:
S: 50
M: 40
L: 20</t>
        </r>
        <r>
          <rPr>
            <sz val="9"/>
            <color indexed="81"/>
            <rFont val="Tahoma"/>
            <family val="2"/>
          </rPr>
          <t xml:space="preserve">
</t>
        </r>
      </text>
    </comment>
    <comment ref="J46" authorId="1" shapeId="0">
      <text>
        <r>
          <rPr>
            <b/>
            <sz val="9"/>
            <color indexed="81"/>
            <rFont val="Tahoma"/>
            <family val="2"/>
          </rPr>
          <t>Default % of default value:
2.82190812720848%</t>
        </r>
      </text>
    </comment>
    <comment ref="L46" authorId="1" shapeId="0">
      <text>
        <r>
          <rPr>
            <b/>
            <sz val="9"/>
            <color indexed="81"/>
            <rFont val="Tahoma"/>
            <family val="2"/>
          </rPr>
          <t>Default % of default value:
19%</t>
        </r>
      </text>
    </comment>
    <comment ref="D47" authorId="1" shapeId="0">
      <text>
        <r>
          <rPr>
            <b/>
            <sz val="9"/>
            <color indexed="81"/>
            <rFont val="Tahoma"/>
            <family val="2"/>
          </rPr>
          <t xml:space="preserve">Default:
S&amp;M&amp;L: 1
</t>
        </r>
        <r>
          <rPr>
            <sz val="9"/>
            <color indexed="81"/>
            <rFont val="Tahoma"/>
            <family val="2"/>
          </rPr>
          <t xml:space="preserve">
</t>
        </r>
      </text>
    </comment>
    <comment ref="E47" authorId="1" shapeId="0">
      <text>
        <r>
          <rPr>
            <b/>
            <sz val="9"/>
            <color indexed="81"/>
            <rFont val="Tahoma"/>
            <family val="2"/>
          </rPr>
          <t xml:space="preserve">Default:
S&amp;M&amp;L: 16500
</t>
        </r>
        <r>
          <rPr>
            <sz val="9"/>
            <color indexed="81"/>
            <rFont val="Tahoma"/>
            <family val="2"/>
          </rPr>
          <t xml:space="preserve">
</t>
        </r>
      </text>
    </comment>
    <comment ref="G47" authorId="1" shapeId="0">
      <text>
        <r>
          <rPr>
            <b/>
            <sz val="9"/>
            <color indexed="81"/>
            <rFont val="Tahoma"/>
            <family val="2"/>
          </rPr>
          <t xml:space="preserve">Enter estimate or calculation based on hours used
</t>
        </r>
        <r>
          <rPr>
            <sz val="9"/>
            <color indexed="81"/>
            <rFont val="Tahoma"/>
            <family val="2"/>
          </rPr>
          <t xml:space="preserve">
</t>
        </r>
      </text>
    </comment>
    <comment ref="H47" authorId="1" shapeId="0">
      <text>
        <r>
          <rPr>
            <b/>
            <sz val="9"/>
            <color indexed="81"/>
            <rFont val="Tahoma"/>
            <family val="2"/>
          </rPr>
          <t>Default:
S: 50
M: 40
L: 20</t>
        </r>
        <r>
          <rPr>
            <sz val="9"/>
            <color indexed="81"/>
            <rFont val="Tahoma"/>
            <family val="2"/>
          </rPr>
          <t xml:space="preserve">
</t>
        </r>
      </text>
    </comment>
    <comment ref="J47" authorId="1" shapeId="0">
      <text>
        <r>
          <rPr>
            <b/>
            <sz val="9"/>
            <color indexed="81"/>
            <rFont val="Tahoma"/>
            <family val="2"/>
          </rPr>
          <t>Default % of default value:
2.82190812720848%</t>
        </r>
      </text>
    </comment>
    <comment ref="L47" authorId="1" shapeId="0">
      <text>
        <r>
          <rPr>
            <b/>
            <sz val="9"/>
            <color indexed="81"/>
            <rFont val="Tahoma"/>
            <family val="2"/>
          </rPr>
          <t>Default % of default value:
19%</t>
        </r>
      </text>
    </comment>
    <comment ref="D48" authorId="1" shapeId="0">
      <text>
        <r>
          <rPr>
            <b/>
            <sz val="9"/>
            <color indexed="81"/>
            <rFont val="Tahoma"/>
            <family val="2"/>
          </rPr>
          <t xml:space="preserve">Default:
S: 1
M&amp;L: 0
</t>
        </r>
        <r>
          <rPr>
            <sz val="9"/>
            <color indexed="81"/>
            <rFont val="Tahoma"/>
            <family val="2"/>
          </rPr>
          <t xml:space="preserve">
</t>
        </r>
      </text>
    </comment>
    <comment ref="E48" authorId="1" shapeId="0">
      <text>
        <r>
          <rPr>
            <b/>
            <sz val="9"/>
            <color indexed="81"/>
            <rFont val="Tahoma"/>
            <family val="2"/>
          </rPr>
          <t xml:space="preserve">Default:
S: 141500
M: 212250
L: 283000
</t>
        </r>
        <r>
          <rPr>
            <sz val="9"/>
            <color indexed="81"/>
            <rFont val="Tahoma"/>
            <family val="2"/>
          </rPr>
          <t xml:space="preserve">
</t>
        </r>
      </text>
    </comment>
    <comment ref="G48" authorId="1" shapeId="0">
      <text>
        <r>
          <rPr>
            <b/>
            <sz val="9"/>
            <color indexed="81"/>
            <rFont val="Tahoma"/>
            <family val="2"/>
          </rPr>
          <t xml:space="preserve">Enter estimate or calculation based on hours used
</t>
        </r>
        <r>
          <rPr>
            <sz val="9"/>
            <color indexed="81"/>
            <rFont val="Tahoma"/>
            <family val="2"/>
          </rPr>
          <t xml:space="preserve">
</t>
        </r>
      </text>
    </comment>
    <comment ref="H48" authorId="1" shapeId="0">
      <text>
        <r>
          <rPr>
            <b/>
            <sz val="9"/>
            <color indexed="81"/>
            <rFont val="Tahoma"/>
            <family val="2"/>
          </rPr>
          <t>Default:
S: 50
M: 40
L: 20</t>
        </r>
        <r>
          <rPr>
            <sz val="9"/>
            <color indexed="81"/>
            <rFont val="Tahoma"/>
            <family val="2"/>
          </rPr>
          <t xml:space="preserve">
</t>
        </r>
      </text>
    </comment>
    <comment ref="J48" authorId="1" shapeId="0">
      <text>
        <r>
          <rPr>
            <b/>
            <sz val="9"/>
            <color indexed="81"/>
            <rFont val="Tahoma"/>
            <family val="2"/>
          </rPr>
          <t>Default % of default value:
2.82190812720848%</t>
        </r>
      </text>
    </comment>
    <comment ref="L48" authorId="1" shapeId="0">
      <text>
        <r>
          <rPr>
            <b/>
            <sz val="9"/>
            <color indexed="81"/>
            <rFont val="Tahoma"/>
            <family val="2"/>
          </rPr>
          <t>Default % of default value:
19%</t>
        </r>
      </text>
    </comment>
    <comment ref="D49" authorId="1" shapeId="0">
      <text>
        <r>
          <rPr>
            <b/>
            <sz val="9"/>
            <color indexed="81"/>
            <rFont val="Tahoma"/>
            <family val="2"/>
          </rPr>
          <t xml:space="preserve">Default:
S: 0
M: 1
L: 0
</t>
        </r>
        <r>
          <rPr>
            <sz val="9"/>
            <color indexed="81"/>
            <rFont val="Tahoma"/>
            <family val="2"/>
          </rPr>
          <t xml:space="preserve">
</t>
        </r>
      </text>
    </comment>
    <comment ref="E49" authorId="1" shapeId="0">
      <text>
        <r>
          <rPr>
            <b/>
            <sz val="9"/>
            <color indexed="81"/>
            <rFont val="Tahoma"/>
            <family val="2"/>
          </rPr>
          <t>Default:
S: 141500
M: 212250
L: 283000</t>
        </r>
        <r>
          <rPr>
            <sz val="9"/>
            <color indexed="81"/>
            <rFont val="Tahoma"/>
            <family val="2"/>
          </rPr>
          <t xml:space="preserve">
</t>
        </r>
      </text>
    </comment>
    <comment ref="G49" authorId="1" shapeId="0">
      <text>
        <r>
          <rPr>
            <b/>
            <sz val="9"/>
            <color indexed="81"/>
            <rFont val="Tahoma"/>
            <family val="2"/>
          </rPr>
          <t xml:space="preserve">Enter estimate or calculation based on hours used
</t>
        </r>
        <r>
          <rPr>
            <sz val="9"/>
            <color indexed="81"/>
            <rFont val="Tahoma"/>
            <family val="2"/>
          </rPr>
          <t xml:space="preserve">
</t>
        </r>
      </text>
    </comment>
    <comment ref="H49" authorId="1" shapeId="0">
      <text>
        <r>
          <rPr>
            <b/>
            <sz val="9"/>
            <color indexed="81"/>
            <rFont val="Tahoma"/>
            <family val="2"/>
          </rPr>
          <t>Default:
S: 50
M: 40
L: 20</t>
        </r>
        <r>
          <rPr>
            <sz val="9"/>
            <color indexed="81"/>
            <rFont val="Tahoma"/>
            <family val="2"/>
          </rPr>
          <t xml:space="preserve">
</t>
        </r>
      </text>
    </comment>
    <comment ref="J49" authorId="1" shapeId="0">
      <text>
        <r>
          <rPr>
            <b/>
            <sz val="9"/>
            <color indexed="81"/>
            <rFont val="Tahoma"/>
            <family val="2"/>
          </rPr>
          <t>Default % of default value:
2.82190812720848%</t>
        </r>
      </text>
    </comment>
    <comment ref="L49" authorId="1" shapeId="0">
      <text>
        <r>
          <rPr>
            <b/>
            <sz val="9"/>
            <color indexed="81"/>
            <rFont val="Tahoma"/>
            <family val="2"/>
          </rPr>
          <t>Default % of default value:
19%</t>
        </r>
      </text>
    </comment>
    <comment ref="D50" authorId="1" shapeId="0">
      <text>
        <r>
          <rPr>
            <b/>
            <sz val="9"/>
            <color indexed="81"/>
            <rFont val="Tahoma"/>
            <family val="2"/>
          </rPr>
          <t xml:space="preserve">Default:
S&amp;M: 0
L: 1
</t>
        </r>
        <r>
          <rPr>
            <sz val="9"/>
            <color indexed="81"/>
            <rFont val="Tahoma"/>
            <family val="2"/>
          </rPr>
          <t xml:space="preserve">
</t>
        </r>
      </text>
    </comment>
    <comment ref="E50" authorId="1" shapeId="0">
      <text>
        <r>
          <rPr>
            <b/>
            <sz val="9"/>
            <color indexed="81"/>
            <rFont val="Tahoma"/>
            <family val="2"/>
          </rPr>
          <t>Default:
S: 141500
M: 212250
L: 283000</t>
        </r>
        <r>
          <rPr>
            <sz val="9"/>
            <color indexed="81"/>
            <rFont val="Tahoma"/>
            <family val="2"/>
          </rPr>
          <t xml:space="preserve">
</t>
        </r>
      </text>
    </comment>
    <comment ref="G50" authorId="1" shapeId="0">
      <text>
        <r>
          <rPr>
            <b/>
            <sz val="9"/>
            <color indexed="81"/>
            <rFont val="Tahoma"/>
            <family val="2"/>
          </rPr>
          <t xml:space="preserve">Enter estimate or calculation based on hours used
</t>
        </r>
        <r>
          <rPr>
            <sz val="9"/>
            <color indexed="81"/>
            <rFont val="Tahoma"/>
            <family val="2"/>
          </rPr>
          <t xml:space="preserve">
</t>
        </r>
      </text>
    </comment>
    <comment ref="H50" authorId="1" shapeId="0">
      <text>
        <r>
          <rPr>
            <b/>
            <sz val="9"/>
            <color indexed="81"/>
            <rFont val="Tahoma"/>
            <family val="2"/>
          </rPr>
          <t>Default:
S: 50
M: 40
L: 20</t>
        </r>
      </text>
    </comment>
    <comment ref="J50" authorId="1" shapeId="0">
      <text>
        <r>
          <rPr>
            <b/>
            <sz val="9"/>
            <color indexed="81"/>
            <rFont val="Tahoma"/>
            <family val="2"/>
          </rPr>
          <t>Default % of default value:
2.82190812720848%</t>
        </r>
      </text>
    </comment>
    <comment ref="L50" authorId="1" shapeId="0">
      <text>
        <r>
          <rPr>
            <b/>
            <sz val="9"/>
            <color indexed="81"/>
            <rFont val="Tahoma"/>
            <family val="2"/>
          </rPr>
          <t>Default % of default value:
19%</t>
        </r>
      </text>
    </comment>
    <comment ref="D51" authorId="1" shapeId="0">
      <text>
        <r>
          <rPr>
            <b/>
            <sz val="9"/>
            <color indexed="81"/>
            <rFont val="Tahoma"/>
            <family val="2"/>
          </rPr>
          <t xml:space="preserve">Default:
S: 1
M&amp;L: 0
</t>
        </r>
        <r>
          <rPr>
            <sz val="9"/>
            <color indexed="81"/>
            <rFont val="Tahoma"/>
            <family val="2"/>
          </rPr>
          <t xml:space="preserve">
</t>
        </r>
      </text>
    </comment>
    <comment ref="E51" authorId="1" shapeId="0">
      <text>
        <r>
          <rPr>
            <b/>
            <sz val="9"/>
            <color indexed="81"/>
            <rFont val="Tahoma"/>
            <family val="2"/>
          </rPr>
          <t>Default:
S: 32500
M: 43000
L: 56000</t>
        </r>
        <r>
          <rPr>
            <sz val="9"/>
            <color indexed="81"/>
            <rFont val="Tahoma"/>
            <family val="2"/>
          </rPr>
          <t xml:space="preserve">
</t>
        </r>
      </text>
    </comment>
    <comment ref="G51" authorId="1" shapeId="0">
      <text>
        <r>
          <rPr>
            <b/>
            <sz val="9"/>
            <color indexed="81"/>
            <rFont val="Tahoma"/>
            <family val="2"/>
          </rPr>
          <t xml:space="preserve">Enter estimate or calculation based on hours used
</t>
        </r>
        <r>
          <rPr>
            <sz val="9"/>
            <color indexed="81"/>
            <rFont val="Tahoma"/>
            <family val="2"/>
          </rPr>
          <t xml:space="preserve">
</t>
        </r>
      </text>
    </comment>
    <comment ref="H51" authorId="1" shapeId="0">
      <text>
        <r>
          <rPr>
            <b/>
            <sz val="9"/>
            <color indexed="81"/>
            <rFont val="Tahoma"/>
            <family val="2"/>
          </rPr>
          <t>Default:
S: 50
M: 40
L: 20</t>
        </r>
        <r>
          <rPr>
            <sz val="9"/>
            <color indexed="81"/>
            <rFont val="Tahoma"/>
            <family val="2"/>
          </rPr>
          <t xml:space="preserve">
</t>
        </r>
      </text>
    </comment>
    <comment ref="J51" authorId="1" shapeId="0">
      <text>
        <r>
          <rPr>
            <b/>
            <sz val="9"/>
            <color indexed="81"/>
            <rFont val="Tahoma"/>
            <family val="2"/>
          </rPr>
          <t>Default % of default value:
2.62786046511628%</t>
        </r>
      </text>
    </comment>
    <comment ref="L51" authorId="1" shapeId="0">
      <text>
        <r>
          <rPr>
            <b/>
            <sz val="9"/>
            <color indexed="81"/>
            <rFont val="Tahoma"/>
            <family val="2"/>
          </rPr>
          <t>Default % of default value:
19%</t>
        </r>
      </text>
    </comment>
    <comment ref="D52" authorId="1" shapeId="0">
      <text>
        <r>
          <rPr>
            <b/>
            <sz val="9"/>
            <color indexed="81"/>
            <rFont val="Tahoma"/>
            <family val="2"/>
          </rPr>
          <t xml:space="preserve">Default:
S: 0
M: 1
L: 0
</t>
        </r>
        <r>
          <rPr>
            <sz val="9"/>
            <color indexed="81"/>
            <rFont val="Tahoma"/>
            <family val="2"/>
          </rPr>
          <t xml:space="preserve">
</t>
        </r>
      </text>
    </comment>
    <comment ref="E52" authorId="1" shapeId="0">
      <text>
        <r>
          <rPr>
            <b/>
            <sz val="9"/>
            <color indexed="81"/>
            <rFont val="Tahoma"/>
            <family val="2"/>
          </rPr>
          <t>Default:
S: 32500
M: 43000
L: 56000</t>
        </r>
        <r>
          <rPr>
            <sz val="9"/>
            <color indexed="81"/>
            <rFont val="Tahoma"/>
            <family val="2"/>
          </rPr>
          <t xml:space="preserve">
</t>
        </r>
      </text>
    </comment>
    <comment ref="G52" authorId="1" shapeId="0">
      <text>
        <r>
          <rPr>
            <b/>
            <sz val="9"/>
            <color indexed="81"/>
            <rFont val="Tahoma"/>
            <family val="2"/>
          </rPr>
          <t xml:space="preserve">Enter estimate or calculation based on hours used
</t>
        </r>
        <r>
          <rPr>
            <sz val="9"/>
            <color indexed="81"/>
            <rFont val="Tahoma"/>
            <family val="2"/>
          </rPr>
          <t xml:space="preserve">
</t>
        </r>
      </text>
    </comment>
    <comment ref="H52" authorId="1" shapeId="0">
      <text>
        <r>
          <rPr>
            <b/>
            <sz val="9"/>
            <color indexed="81"/>
            <rFont val="Tahoma"/>
            <family val="2"/>
          </rPr>
          <t>Default:
S: 50
M: 40
L: 20</t>
        </r>
        <r>
          <rPr>
            <sz val="9"/>
            <color indexed="81"/>
            <rFont val="Tahoma"/>
            <family val="2"/>
          </rPr>
          <t xml:space="preserve">
</t>
        </r>
      </text>
    </comment>
    <comment ref="J52" authorId="1" shapeId="0">
      <text>
        <r>
          <rPr>
            <b/>
            <sz val="9"/>
            <color indexed="81"/>
            <rFont val="Tahoma"/>
            <family val="2"/>
          </rPr>
          <t>Default % of default value:
2.62786046511628%</t>
        </r>
      </text>
    </comment>
    <comment ref="L52" authorId="1" shapeId="0">
      <text>
        <r>
          <rPr>
            <b/>
            <sz val="9"/>
            <color indexed="81"/>
            <rFont val="Tahoma"/>
            <family val="2"/>
          </rPr>
          <t>Default % of default value:
19%</t>
        </r>
      </text>
    </comment>
    <comment ref="D53" authorId="1" shapeId="0">
      <text>
        <r>
          <rPr>
            <b/>
            <sz val="9"/>
            <color indexed="81"/>
            <rFont val="Tahoma"/>
            <family val="2"/>
          </rPr>
          <t xml:space="preserve">Default:
S&amp;M: 0
L: 1
</t>
        </r>
        <r>
          <rPr>
            <sz val="9"/>
            <color indexed="81"/>
            <rFont val="Tahoma"/>
            <family val="2"/>
          </rPr>
          <t xml:space="preserve">
</t>
        </r>
      </text>
    </comment>
    <comment ref="E53" authorId="1" shapeId="0">
      <text>
        <r>
          <rPr>
            <b/>
            <sz val="9"/>
            <color indexed="81"/>
            <rFont val="Tahoma"/>
            <family val="2"/>
          </rPr>
          <t>Default:
S: 32500
M: 43000
L: 56000</t>
        </r>
      </text>
    </comment>
    <comment ref="G53" authorId="1" shapeId="0">
      <text>
        <r>
          <rPr>
            <b/>
            <sz val="9"/>
            <color indexed="81"/>
            <rFont val="Tahoma"/>
            <family val="2"/>
          </rPr>
          <t xml:space="preserve">Enter estimate or calculation based on hours used
</t>
        </r>
        <r>
          <rPr>
            <sz val="9"/>
            <color indexed="81"/>
            <rFont val="Tahoma"/>
            <family val="2"/>
          </rPr>
          <t xml:space="preserve">
</t>
        </r>
      </text>
    </comment>
    <comment ref="H53" authorId="1" shapeId="0">
      <text>
        <r>
          <rPr>
            <b/>
            <sz val="9"/>
            <color indexed="81"/>
            <rFont val="Tahoma"/>
            <family val="2"/>
          </rPr>
          <t>Default:
S: 50
M: 40
L: 20</t>
        </r>
        <r>
          <rPr>
            <sz val="9"/>
            <color indexed="81"/>
            <rFont val="Tahoma"/>
            <family val="2"/>
          </rPr>
          <t xml:space="preserve">
</t>
        </r>
      </text>
    </comment>
    <comment ref="J53" authorId="1" shapeId="0">
      <text>
        <r>
          <rPr>
            <b/>
            <sz val="9"/>
            <color indexed="81"/>
            <rFont val="Tahoma"/>
            <family val="2"/>
          </rPr>
          <t>Default % of default value:
2.62786046511628%</t>
        </r>
      </text>
    </comment>
    <comment ref="L53" authorId="1" shapeId="0">
      <text>
        <r>
          <rPr>
            <b/>
            <sz val="9"/>
            <color indexed="81"/>
            <rFont val="Tahoma"/>
            <family val="2"/>
          </rPr>
          <t>Default % of default value:
19%</t>
        </r>
      </text>
    </comment>
    <comment ref="D54" authorId="1" shapeId="0">
      <text>
        <r>
          <rPr>
            <b/>
            <sz val="9"/>
            <color indexed="81"/>
            <rFont val="Tahoma"/>
            <family val="2"/>
          </rPr>
          <t>Default:
S: 1
M&amp;L: 0</t>
        </r>
        <r>
          <rPr>
            <sz val="9"/>
            <color indexed="81"/>
            <rFont val="Tahoma"/>
            <family val="2"/>
          </rPr>
          <t xml:space="preserve">
</t>
        </r>
      </text>
    </comment>
    <comment ref="E54" authorId="1" shapeId="0">
      <text>
        <r>
          <rPr>
            <b/>
            <sz val="9"/>
            <color indexed="81"/>
            <rFont val="Tahoma"/>
            <family val="2"/>
          </rPr>
          <t>Default:
S: 32500
M: 43000
L: 56000</t>
        </r>
        <r>
          <rPr>
            <sz val="9"/>
            <color indexed="81"/>
            <rFont val="Tahoma"/>
            <family val="2"/>
          </rPr>
          <t xml:space="preserve">
</t>
        </r>
      </text>
    </comment>
    <comment ref="G54" authorId="1" shapeId="0">
      <text>
        <r>
          <rPr>
            <b/>
            <sz val="9"/>
            <color indexed="81"/>
            <rFont val="Tahoma"/>
            <family val="2"/>
          </rPr>
          <t xml:space="preserve">Enter estimate or calculation based on hours used
</t>
        </r>
        <r>
          <rPr>
            <sz val="9"/>
            <color indexed="81"/>
            <rFont val="Tahoma"/>
            <family val="2"/>
          </rPr>
          <t xml:space="preserve">
</t>
        </r>
      </text>
    </comment>
    <comment ref="H54" authorId="1" shapeId="0">
      <text>
        <r>
          <rPr>
            <b/>
            <sz val="9"/>
            <color indexed="81"/>
            <rFont val="Tahoma"/>
            <family val="2"/>
          </rPr>
          <t>Default:
S: 50
M: 40
L: 20</t>
        </r>
        <r>
          <rPr>
            <sz val="9"/>
            <color indexed="81"/>
            <rFont val="Tahoma"/>
            <family val="2"/>
          </rPr>
          <t xml:space="preserve">
</t>
        </r>
      </text>
    </comment>
    <comment ref="J54" authorId="1" shapeId="0">
      <text>
        <r>
          <rPr>
            <b/>
            <sz val="9"/>
            <color indexed="81"/>
            <rFont val="Tahoma"/>
            <family val="2"/>
          </rPr>
          <t>Default % of default value:
2.62786046511628%</t>
        </r>
      </text>
    </comment>
    <comment ref="L54" authorId="1" shapeId="0">
      <text>
        <r>
          <rPr>
            <b/>
            <sz val="9"/>
            <color indexed="81"/>
            <rFont val="Tahoma"/>
            <family val="2"/>
          </rPr>
          <t>Default % of default value:
19%</t>
        </r>
      </text>
    </comment>
    <comment ref="D55" authorId="1" shapeId="0">
      <text>
        <r>
          <rPr>
            <b/>
            <sz val="9"/>
            <color indexed="81"/>
            <rFont val="Tahoma"/>
            <family val="2"/>
          </rPr>
          <t xml:space="preserve">Default:
S: 0
M: 1
L: 0
</t>
        </r>
        <r>
          <rPr>
            <sz val="9"/>
            <color indexed="81"/>
            <rFont val="Tahoma"/>
            <family val="2"/>
          </rPr>
          <t xml:space="preserve">
</t>
        </r>
      </text>
    </comment>
    <comment ref="E55" authorId="1" shapeId="0">
      <text>
        <r>
          <rPr>
            <b/>
            <sz val="9"/>
            <color indexed="81"/>
            <rFont val="Tahoma"/>
            <family val="2"/>
          </rPr>
          <t>Default:
S: 32500
M: 43000
L: 56000</t>
        </r>
        <r>
          <rPr>
            <sz val="9"/>
            <color indexed="81"/>
            <rFont val="Tahoma"/>
            <family val="2"/>
          </rPr>
          <t xml:space="preserve">
</t>
        </r>
      </text>
    </comment>
    <comment ref="G55" authorId="1" shapeId="0">
      <text>
        <r>
          <rPr>
            <b/>
            <sz val="9"/>
            <color indexed="81"/>
            <rFont val="Tahoma"/>
            <family val="2"/>
          </rPr>
          <t xml:space="preserve">Enter estimate or calculation based on hours used
</t>
        </r>
        <r>
          <rPr>
            <sz val="9"/>
            <color indexed="81"/>
            <rFont val="Tahoma"/>
            <family val="2"/>
          </rPr>
          <t xml:space="preserve">
</t>
        </r>
      </text>
    </comment>
    <comment ref="H55" authorId="1" shapeId="0">
      <text>
        <r>
          <rPr>
            <b/>
            <sz val="9"/>
            <color indexed="81"/>
            <rFont val="Tahoma"/>
            <family val="2"/>
          </rPr>
          <t>Default:
S: 50
M: 40
L: 20</t>
        </r>
        <r>
          <rPr>
            <sz val="9"/>
            <color indexed="81"/>
            <rFont val="Tahoma"/>
            <family val="2"/>
          </rPr>
          <t xml:space="preserve">
</t>
        </r>
      </text>
    </comment>
    <comment ref="J55" authorId="1" shapeId="0">
      <text>
        <r>
          <rPr>
            <b/>
            <sz val="9"/>
            <color indexed="81"/>
            <rFont val="Tahoma"/>
            <family val="2"/>
          </rPr>
          <t>Default % of default value:
2.62786046511628%</t>
        </r>
      </text>
    </comment>
    <comment ref="L55" authorId="1" shapeId="0">
      <text>
        <r>
          <rPr>
            <b/>
            <sz val="9"/>
            <color indexed="81"/>
            <rFont val="Tahoma"/>
            <family val="2"/>
          </rPr>
          <t>Default % of default value:
19%</t>
        </r>
      </text>
    </comment>
    <comment ref="D56" authorId="1" shapeId="0">
      <text>
        <r>
          <rPr>
            <b/>
            <sz val="9"/>
            <color indexed="81"/>
            <rFont val="Tahoma"/>
            <family val="2"/>
          </rPr>
          <t xml:space="preserve">Default:
S&amp;M: 0
L: 1
</t>
        </r>
        <r>
          <rPr>
            <sz val="9"/>
            <color indexed="81"/>
            <rFont val="Tahoma"/>
            <family val="2"/>
          </rPr>
          <t xml:space="preserve">
</t>
        </r>
      </text>
    </comment>
    <comment ref="E56" authorId="1" shapeId="0">
      <text>
        <r>
          <rPr>
            <b/>
            <sz val="9"/>
            <color indexed="81"/>
            <rFont val="Tahoma"/>
            <family val="2"/>
          </rPr>
          <t>Default:
S: 32500
M: 43000
L: 56000</t>
        </r>
      </text>
    </comment>
    <comment ref="G56" authorId="1" shapeId="0">
      <text>
        <r>
          <rPr>
            <b/>
            <sz val="9"/>
            <color indexed="81"/>
            <rFont val="Tahoma"/>
            <family val="2"/>
          </rPr>
          <t xml:space="preserve">Enter estimate or calculation based on hours used
</t>
        </r>
        <r>
          <rPr>
            <sz val="9"/>
            <color indexed="81"/>
            <rFont val="Tahoma"/>
            <family val="2"/>
          </rPr>
          <t xml:space="preserve">
</t>
        </r>
      </text>
    </comment>
    <comment ref="H56" authorId="1" shapeId="0">
      <text>
        <r>
          <rPr>
            <b/>
            <sz val="9"/>
            <color indexed="81"/>
            <rFont val="Tahoma"/>
            <family val="2"/>
          </rPr>
          <t>Default:
S: 50
M: 40
L: 20</t>
        </r>
      </text>
    </comment>
    <comment ref="J56" authorId="1" shapeId="0">
      <text>
        <r>
          <rPr>
            <b/>
            <sz val="9"/>
            <color indexed="81"/>
            <rFont val="Tahoma"/>
            <family val="2"/>
          </rPr>
          <t>Default % of default value:
2.62786046511628%</t>
        </r>
      </text>
    </comment>
    <comment ref="L56" authorId="1" shapeId="0">
      <text>
        <r>
          <rPr>
            <b/>
            <sz val="9"/>
            <color indexed="81"/>
            <rFont val="Tahoma"/>
            <family val="2"/>
          </rPr>
          <t>Default % of default value:
19%</t>
        </r>
      </text>
    </comment>
    <comment ref="D58" authorId="1" shapeId="0">
      <text>
        <r>
          <rPr>
            <b/>
            <sz val="9"/>
            <color indexed="81"/>
            <rFont val="Tahoma"/>
            <family val="2"/>
          </rPr>
          <t xml:space="preserve">Default:
S: 1
M&amp;L: 0
</t>
        </r>
        <r>
          <rPr>
            <sz val="9"/>
            <color indexed="81"/>
            <rFont val="Tahoma"/>
            <family val="2"/>
          </rPr>
          <t xml:space="preserve">
</t>
        </r>
      </text>
    </comment>
    <comment ref="E58" authorId="1" shapeId="0">
      <text>
        <r>
          <rPr>
            <b/>
            <sz val="9"/>
            <color indexed="81"/>
            <rFont val="Tahoma"/>
            <family val="2"/>
          </rPr>
          <t xml:space="preserve">Default:
S: 125
M: 627
L: 1254
</t>
        </r>
        <r>
          <rPr>
            <sz val="9"/>
            <color indexed="81"/>
            <rFont val="Tahoma"/>
            <family val="2"/>
          </rPr>
          <t xml:space="preserve">
</t>
        </r>
      </text>
    </comment>
    <comment ref="G58" authorId="1" shapeId="0">
      <text>
        <r>
          <rPr>
            <b/>
            <sz val="9"/>
            <color indexed="81"/>
            <rFont val="Tahoma"/>
            <family val="2"/>
          </rPr>
          <t xml:space="preserve">Enter estimate or calculation based on hours used
</t>
        </r>
        <r>
          <rPr>
            <sz val="9"/>
            <color indexed="81"/>
            <rFont val="Tahoma"/>
            <family val="2"/>
          </rPr>
          <t xml:space="preserve">
</t>
        </r>
      </text>
    </comment>
    <comment ref="H58" authorId="1" shapeId="0">
      <text>
        <r>
          <rPr>
            <b/>
            <sz val="9"/>
            <color indexed="81"/>
            <rFont val="Tahoma"/>
            <charset val="1"/>
          </rPr>
          <t>Default:
S: 50
M: 40
L: 20</t>
        </r>
        <r>
          <rPr>
            <sz val="9"/>
            <color indexed="81"/>
            <rFont val="Tahoma"/>
            <charset val="1"/>
          </rPr>
          <t xml:space="preserve">
</t>
        </r>
      </text>
    </comment>
    <comment ref="J58" authorId="1" shapeId="0">
      <text>
        <r>
          <rPr>
            <b/>
            <sz val="9"/>
            <color indexed="81"/>
            <rFont val="Tahoma"/>
            <charset val="1"/>
          </rPr>
          <t>Default % of default value:</t>
        </r>
        <r>
          <rPr>
            <sz val="9"/>
            <color indexed="81"/>
            <rFont val="Tahoma"/>
            <charset val="1"/>
          </rPr>
          <t xml:space="preserve">
</t>
        </r>
        <r>
          <rPr>
            <b/>
            <sz val="9"/>
            <color indexed="81"/>
            <rFont val="Tahoma"/>
            <family val="2"/>
          </rPr>
          <t>2%</t>
        </r>
      </text>
    </comment>
    <comment ref="L58" authorId="1" shapeId="0">
      <text>
        <r>
          <rPr>
            <b/>
            <sz val="9"/>
            <color indexed="81"/>
            <rFont val="Tahoma"/>
            <charset val="1"/>
          </rPr>
          <t>Default % of default value:</t>
        </r>
        <r>
          <rPr>
            <sz val="9"/>
            <color indexed="81"/>
            <rFont val="Tahoma"/>
            <charset val="1"/>
          </rPr>
          <t xml:space="preserve">
</t>
        </r>
        <r>
          <rPr>
            <b/>
            <sz val="9"/>
            <color indexed="81"/>
            <rFont val="Tahoma"/>
            <family val="2"/>
          </rPr>
          <t>35%</t>
        </r>
      </text>
    </comment>
    <comment ref="D59" authorId="1" shapeId="0">
      <text>
        <r>
          <rPr>
            <b/>
            <sz val="9"/>
            <color indexed="81"/>
            <rFont val="Tahoma"/>
            <family val="2"/>
          </rPr>
          <t xml:space="preserve">Default:
S: 0
M: 1
L: 0
</t>
        </r>
        <r>
          <rPr>
            <sz val="9"/>
            <color indexed="81"/>
            <rFont val="Tahoma"/>
            <family val="2"/>
          </rPr>
          <t xml:space="preserve">
</t>
        </r>
      </text>
    </comment>
    <comment ref="E59" authorId="1" shapeId="0">
      <text>
        <r>
          <rPr>
            <b/>
            <sz val="9"/>
            <color indexed="81"/>
            <rFont val="Tahoma"/>
            <family val="2"/>
          </rPr>
          <t xml:space="preserve">Default:
S: 125
M: 627
L: 1254
</t>
        </r>
        <r>
          <rPr>
            <sz val="9"/>
            <color indexed="81"/>
            <rFont val="Tahoma"/>
            <family val="2"/>
          </rPr>
          <t xml:space="preserve">
</t>
        </r>
      </text>
    </comment>
    <comment ref="G59" authorId="1" shapeId="0">
      <text>
        <r>
          <rPr>
            <b/>
            <sz val="9"/>
            <color indexed="81"/>
            <rFont val="Tahoma"/>
            <family val="2"/>
          </rPr>
          <t xml:space="preserve">Enter estimate or calculation based on hours used
</t>
        </r>
        <r>
          <rPr>
            <sz val="9"/>
            <color indexed="81"/>
            <rFont val="Tahoma"/>
            <family val="2"/>
          </rPr>
          <t xml:space="preserve">
</t>
        </r>
      </text>
    </comment>
    <comment ref="H59" authorId="1" shapeId="0">
      <text>
        <r>
          <rPr>
            <b/>
            <sz val="9"/>
            <color indexed="81"/>
            <rFont val="Tahoma"/>
            <charset val="1"/>
          </rPr>
          <t>Default:
S: 50
M: 40
L: 20</t>
        </r>
        <r>
          <rPr>
            <sz val="9"/>
            <color indexed="81"/>
            <rFont val="Tahoma"/>
            <charset val="1"/>
          </rPr>
          <t xml:space="preserve">
</t>
        </r>
      </text>
    </comment>
    <comment ref="J59" authorId="1" shapeId="0">
      <text>
        <r>
          <rPr>
            <b/>
            <sz val="9"/>
            <color indexed="81"/>
            <rFont val="Tahoma"/>
            <charset val="1"/>
          </rPr>
          <t>Default % of default value:
2%</t>
        </r>
      </text>
    </comment>
    <comment ref="L59" authorId="1" shapeId="0">
      <text>
        <r>
          <rPr>
            <b/>
            <sz val="9"/>
            <color indexed="81"/>
            <rFont val="Tahoma"/>
            <charset val="1"/>
          </rPr>
          <t>Default % of default value:
35%</t>
        </r>
        <r>
          <rPr>
            <sz val="9"/>
            <color indexed="81"/>
            <rFont val="Tahoma"/>
            <charset val="1"/>
          </rPr>
          <t xml:space="preserve">
</t>
        </r>
      </text>
    </comment>
    <comment ref="D60" authorId="1" shapeId="0">
      <text>
        <r>
          <rPr>
            <b/>
            <sz val="9"/>
            <color indexed="81"/>
            <rFont val="Tahoma"/>
            <family val="2"/>
          </rPr>
          <t xml:space="preserve">Default:
S&amp;M: 0
L: 1
</t>
        </r>
        <r>
          <rPr>
            <sz val="9"/>
            <color indexed="81"/>
            <rFont val="Tahoma"/>
            <family val="2"/>
          </rPr>
          <t xml:space="preserve">
</t>
        </r>
      </text>
    </comment>
    <comment ref="E60" authorId="1" shapeId="0">
      <text>
        <r>
          <rPr>
            <b/>
            <sz val="9"/>
            <color indexed="81"/>
            <rFont val="Tahoma"/>
            <family val="2"/>
          </rPr>
          <t xml:space="preserve">Default:
S: 125
M: 627
L: 1254
</t>
        </r>
        <r>
          <rPr>
            <sz val="9"/>
            <color indexed="81"/>
            <rFont val="Tahoma"/>
            <family val="2"/>
          </rPr>
          <t xml:space="preserve">
</t>
        </r>
      </text>
    </comment>
    <comment ref="G60" authorId="1" shapeId="0">
      <text>
        <r>
          <rPr>
            <b/>
            <sz val="9"/>
            <color indexed="81"/>
            <rFont val="Tahoma"/>
            <family val="2"/>
          </rPr>
          <t xml:space="preserve">Enter estimate or calculation based on hours used
</t>
        </r>
        <r>
          <rPr>
            <sz val="9"/>
            <color indexed="81"/>
            <rFont val="Tahoma"/>
            <family val="2"/>
          </rPr>
          <t xml:space="preserve">
</t>
        </r>
      </text>
    </comment>
    <comment ref="H60" authorId="1" shapeId="0">
      <text>
        <r>
          <rPr>
            <b/>
            <sz val="9"/>
            <color indexed="81"/>
            <rFont val="Tahoma"/>
            <charset val="1"/>
          </rPr>
          <t>Default:
S: 50
M: 40
L: 20</t>
        </r>
        <r>
          <rPr>
            <sz val="9"/>
            <color indexed="81"/>
            <rFont val="Tahoma"/>
            <charset val="1"/>
          </rPr>
          <t xml:space="preserve">
</t>
        </r>
      </text>
    </comment>
    <comment ref="J60" authorId="1" shapeId="0">
      <text>
        <r>
          <rPr>
            <b/>
            <sz val="9"/>
            <color indexed="81"/>
            <rFont val="Tahoma"/>
            <charset val="1"/>
          </rPr>
          <t>Default % of default value:
2%</t>
        </r>
      </text>
    </comment>
    <comment ref="L60" authorId="1" shapeId="0">
      <text>
        <r>
          <rPr>
            <b/>
            <sz val="9"/>
            <color indexed="81"/>
            <rFont val="Tahoma"/>
            <charset val="1"/>
          </rPr>
          <t>Default % of default value:
35%</t>
        </r>
        <r>
          <rPr>
            <sz val="9"/>
            <color indexed="81"/>
            <rFont val="Tahoma"/>
            <charset val="1"/>
          </rPr>
          <t xml:space="preserve">
</t>
        </r>
      </text>
    </comment>
    <comment ref="D61" authorId="1" shapeId="0">
      <text>
        <r>
          <rPr>
            <b/>
            <sz val="9"/>
            <color indexed="81"/>
            <rFont val="Tahoma"/>
            <family val="2"/>
          </rPr>
          <t xml:space="preserve">Default:
S: 1
M&amp;L: 0
</t>
        </r>
        <r>
          <rPr>
            <sz val="9"/>
            <color indexed="81"/>
            <rFont val="Tahoma"/>
            <family val="2"/>
          </rPr>
          <t xml:space="preserve">
</t>
        </r>
      </text>
    </comment>
    <comment ref="E61" authorId="1" shapeId="0">
      <text>
        <r>
          <rPr>
            <b/>
            <sz val="9"/>
            <color indexed="81"/>
            <rFont val="Tahoma"/>
            <family val="2"/>
          </rPr>
          <t>Default:
S: 1254
M: 6268
L: 12536</t>
        </r>
        <r>
          <rPr>
            <sz val="9"/>
            <color indexed="81"/>
            <rFont val="Tahoma"/>
            <family val="2"/>
          </rPr>
          <t xml:space="preserve">
</t>
        </r>
      </text>
    </comment>
    <comment ref="G61" authorId="1" shapeId="0">
      <text>
        <r>
          <rPr>
            <b/>
            <sz val="9"/>
            <color indexed="81"/>
            <rFont val="Tahoma"/>
            <family val="2"/>
          </rPr>
          <t xml:space="preserve">Enter estimate or calculation based on hours used
</t>
        </r>
        <r>
          <rPr>
            <sz val="9"/>
            <color indexed="81"/>
            <rFont val="Tahoma"/>
            <family val="2"/>
          </rPr>
          <t xml:space="preserve">
</t>
        </r>
      </text>
    </comment>
    <comment ref="H61" authorId="1" shapeId="0">
      <text>
        <r>
          <rPr>
            <b/>
            <sz val="9"/>
            <color indexed="81"/>
            <rFont val="Tahoma"/>
            <charset val="1"/>
          </rPr>
          <t>Default:
S: 50
M: 40
L: 20</t>
        </r>
        <r>
          <rPr>
            <sz val="9"/>
            <color indexed="81"/>
            <rFont val="Tahoma"/>
            <charset val="1"/>
          </rPr>
          <t xml:space="preserve">
</t>
        </r>
      </text>
    </comment>
    <comment ref="J61" authorId="1" shapeId="0">
      <text>
        <r>
          <rPr>
            <b/>
            <sz val="9"/>
            <color indexed="81"/>
            <rFont val="Tahoma"/>
            <charset val="1"/>
          </rPr>
          <t>Default % of default value:
2%</t>
        </r>
      </text>
    </comment>
    <comment ref="L61" authorId="1" shapeId="0">
      <text>
        <r>
          <rPr>
            <b/>
            <sz val="9"/>
            <color indexed="81"/>
            <rFont val="Tahoma"/>
            <charset val="1"/>
          </rPr>
          <t>Default % of default value:
35%</t>
        </r>
      </text>
    </comment>
    <comment ref="D62" authorId="1" shapeId="0">
      <text>
        <r>
          <rPr>
            <b/>
            <sz val="9"/>
            <color indexed="81"/>
            <rFont val="Tahoma"/>
            <family val="2"/>
          </rPr>
          <t xml:space="preserve">Default:
S: 0
M: 1
L: 0
</t>
        </r>
        <r>
          <rPr>
            <sz val="9"/>
            <color indexed="81"/>
            <rFont val="Tahoma"/>
            <family val="2"/>
          </rPr>
          <t xml:space="preserve">
</t>
        </r>
      </text>
    </comment>
    <comment ref="E62" authorId="1" shapeId="0">
      <text>
        <r>
          <rPr>
            <b/>
            <sz val="9"/>
            <color indexed="81"/>
            <rFont val="Tahoma"/>
            <family val="2"/>
          </rPr>
          <t>Default:
S: 1254
M: 6268
L: 12536</t>
        </r>
        <r>
          <rPr>
            <sz val="9"/>
            <color indexed="81"/>
            <rFont val="Tahoma"/>
            <family val="2"/>
          </rPr>
          <t xml:space="preserve">
</t>
        </r>
      </text>
    </comment>
    <comment ref="G62" authorId="1" shapeId="0">
      <text>
        <r>
          <rPr>
            <b/>
            <sz val="9"/>
            <color indexed="81"/>
            <rFont val="Tahoma"/>
            <family val="2"/>
          </rPr>
          <t xml:space="preserve">Enter estimate or calculation based on hours used
</t>
        </r>
        <r>
          <rPr>
            <sz val="9"/>
            <color indexed="81"/>
            <rFont val="Tahoma"/>
            <family val="2"/>
          </rPr>
          <t xml:space="preserve">
</t>
        </r>
      </text>
    </comment>
    <comment ref="H62" authorId="1" shapeId="0">
      <text>
        <r>
          <rPr>
            <b/>
            <sz val="9"/>
            <color indexed="81"/>
            <rFont val="Tahoma"/>
            <charset val="1"/>
          </rPr>
          <t>Default:
S: 50
M: 40
L: 20</t>
        </r>
        <r>
          <rPr>
            <sz val="9"/>
            <color indexed="81"/>
            <rFont val="Tahoma"/>
            <charset val="1"/>
          </rPr>
          <t xml:space="preserve">
</t>
        </r>
      </text>
    </comment>
    <comment ref="J62" authorId="1" shapeId="0">
      <text>
        <r>
          <rPr>
            <b/>
            <sz val="9"/>
            <color indexed="81"/>
            <rFont val="Tahoma"/>
            <charset val="1"/>
          </rPr>
          <t>Default % of default value:
2%</t>
        </r>
        <r>
          <rPr>
            <sz val="9"/>
            <color indexed="81"/>
            <rFont val="Tahoma"/>
            <charset val="1"/>
          </rPr>
          <t xml:space="preserve">
</t>
        </r>
      </text>
    </comment>
    <comment ref="L62" authorId="1" shapeId="0">
      <text>
        <r>
          <rPr>
            <b/>
            <sz val="9"/>
            <color indexed="81"/>
            <rFont val="Tahoma"/>
            <charset val="1"/>
          </rPr>
          <t>Default % of default value:
35%</t>
        </r>
      </text>
    </comment>
    <comment ref="D63" authorId="1" shapeId="0">
      <text>
        <r>
          <rPr>
            <b/>
            <sz val="9"/>
            <color indexed="81"/>
            <rFont val="Tahoma"/>
            <family val="2"/>
          </rPr>
          <t xml:space="preserve">Default:
S&amp;M: 0
L: 1
</t>
        </r>
        <r>
          <rPr>
            <sz val="9"/>
            <color indexed="81"/>
            <rFont val="Tahoma"/>
            <family val="2"/>
          </rPr>
          <t xml:space="preserve">
</t>
        </r>
      </text>
    </comment>
    <comment ref="E63" authorId="1" shapeId="0">
      <text>
        <r>
          <rPr>
            <b/>
            <sz val="9"/>
            <color indexed="81"/>
            <rFont val="Tahoma"/>
            <family val="2"/>
          </rPr>
          <t>Default:
S: 1254
M: 6268
L: 12536</t>
        </r>
      </text>
    </comment>
    <comment ref="G63" authorId="1" shapeId="0">
      <text>
        <r>
          <rPr>
            <b/>
            <sz val="9"/>
            <color indexed="81"/>
            <rFont val="Tahoma"/>
            <family val="2"/>
          </rPr>
          <t xml:space="preserve">Enter estimate or calculation based on hours used
</t>
        </r>
        <r>
          <rPr>
            <sz val="9"/>
            <color indexed="81"/>
            <rFont val="Tahoma"/>
            <family val="2"/>
          </rPr>
          <t xml:space="preserve">
</t>
        </r>
      </text>
    </comment>
    <comment ref="H63" authorId="1" shapeId="0">
      <text>
        <r>
          <rPr>
            <b/>
            <sz val="9"/>
            <color indexed="81"/>
            <rFont val="Tahoma"/>
            <charset val="1"/>
          </rPr>
          <t>Default:
S: 50
M: 40
L: 20</t>
        </r>
        <r>
          <rPr>
            <sz val="9"/>
            <color indexed="81"/>
            <rFont val="Tahoma"/>
            <charset val="1"/>
          </rPr>
          <t xml:space="preserve">
</t>
        </r>
      </text>
    </comment>
    <comment ref="J63" authorId="1" shapeId="0">
      <text>
        <r>
          <rPr>
            <b/>
            <sz val="9"/>
            <color indexed="81"/>
            <rFont val="Tahoma"/>
            <charset val="1"/>
          </rPr>
          <t>Default % of default value:
2%</t>
        </r>
      </text>
    </comment>
    <comment ref="L63" authorId="1" shapeId="0">
      <text>
        <r>
          <rPr>
            <b/>
            <sz val="9"/>
            <color indexed="81"/>
            <rFont val="Tahoma"/>
            <charset val="1"/>
          </rPr>
          <t>Default % of default value:
35%</t>
        </r>
      </text>
    </comment>
    <comment ref="D65" authorId="1" shapeId="0">
      <text>
        <r>
          <rPr>
            <b/>
            <sz val="9"/>
            <color indexed="81"/>
            <rFont val="Tahoma"/>
            <family val="2"/>
          </rPr>
          <t xml:space="preserve">Default:
S: 1
M&amp;L: 0
</t>
        </r>
        <r>
          <rPr>
            <sz val="9"/>
            <color indexed="81"/>
            <rFont val="Tahoma"/>
            <family val="2"/>
          </rPr>
          <t xml:space="preserve">
</t>
        </r>
      </text>
    </comment>
    <comment ref="E65" authorId="1" shapeId="0">
      <text>
        <r>
          <rPr>
            <b/>
            <sz val="9"/>
            <color indexed="81"/>
            <rFont val="Tahoma"/>
            <family val="2"/>
          </rPr>
          <t>Default:
S: 25000
M: 50000
L: 97500</t>
        </r>
      </text>
    </comment>
    <comment ref="G65" authorId="1" shapeId="0">
      <text>
        <r>
          <rPr>
            <b/>
            <sz val="9"/>
            <color indexed="81"/>
            <rFont val="Tahoma"/>
            <family val="2"/>
          </rPr>
          <t xml:space="preserve">Enter estimate or calculation based on hours used
</t>
        </r>
        <r>
          <rPr>
            <sz val="9"/>
            <color indexed="81"/>
            <rFont val="Tahoma"/>
            <family val="2"/>
          </rPr>
          <t xml:space="preserve">
</t>
        </r>
      </text>
    </comment>
    <comment ref="H65" authorId="1" shapeId="0">
      <text>
        <r>
          <rPr>
            <b/>
            <sz val="9"/>
            <color indexed="81"/>
            <rFont val="Tahoma"/>
            <charset val="1"/>
          </rPr>
          <t>Default:
S: 50
M: 40
L: 20</t>
        </r>
        <r>
          <rPr>
            <sz val="9"/>
            <color indexed="81"/>
            <rFont val="Tahoma"/>
            <charset val="1"/>
          </rPr>
          <t xml:space="preserve">
</t>
        </r>
      </text>
    </comment>
    <comment ref="J65" authorId="1" shapeId="0">
      <text>
        <r>
          <rPr>
            <b/>
            <sz val="9"/>
            <color indexed="81"/>
            <rFont val="Tahoma"/>
            <charset val="1"/>
          </rPr>
          <t>Default % of default value:
2%</t>
        </r>
        <r>
          <rPr>
            <sz val="9"/>
            <color indexed="81"/>
            <rFont val="Tahoma"/>
            <charset val="1"/>
          </rPr>
          <t xml:space="preserve">
</t>
        </r>
      </text>
    </comment>
    <comment ref="L65" authorId="1" shapeId="0">
      <text>
        <r>
          <rPr>
            <b/>
            <sz val="9"/>
            <color indexed="81"/>
            <rFont val="Tahoma"/>
            <charset val="1"/>
          </rPr>
          <t>Default % of default value:
19%</t>
        </r>
      </text>
    </comment>
    <comment ref="D66" authorId="1" shapeId="0">
      <text>
        <r>
          <rPr>
            <b/>
            <sz val="9"/>
            <color indexed="81"/>
            <rFont val="Tahoma"/>
            <family val="2"/>
          </rPr>
          <t xml:space="preserve">Default:
S: 0
M: 1
L: 0
</t>
        </r>
        <r>
          <rPr>
            <sz val="9"/>
            <color indexed="81"/>
            <rFont val="Tahoma"/>
            <family val="2"/>
          </rPr>
          <t xml:space="preserve">
</t>
        </r>
      </text>
    </comment>
    <comment ref="E66" authorId="1" shapeId="0">
      <text>
        <r>
          <rPr>
            <b/>
            <sz val="9"/>
            <color indexed="81"/>
            <rFont val="Tahoma"/>
            <family val="2"/>
          </rPr>
          <t>Default:
S: 25000
M: 50000
L: 97500</t>
        </r>
      </text>
    </comment>
    <comment ref="G66" authorId="1" shapeId="0">
      <text>
        <r>
          <rPr>
            <b/>
            <sz val="9"/>
            <color indexed="81"/>
            <rFont val="Tahoma"/>
            <family val="2"/>
          </rPr>
          <t xml:space="preserve">Enter estimate or calculation based on hours used
</t>
        </r>
        <r>
          <rPr>
            <sz val="9"/>
            <color indexed="81"/>
            <rFont val="Tahoma"/>
            <family val="2"/>
          </rPr>
          <t xml:space="preserve">
</t>
        </r>
      </text>
    </comment>
    <comment ref="H66" authorId="1" shapeId="0">
      <text>
        <r>
          <rPr>
            <b/>
            <sz val="9"/>
            <color indexed="81"/>
            <rFont val="Tahoma"/>
            <charset val="1"/>
          </rPr>
          <t>Default:
S: 50
M: 40
L: 20</t>
        </r>
        <r>
          <rPr>
            <sz val="9"/>
            <color indexed="81"/>
            <rFont val="Tahoma"/>
            <charset val="1"/>
          </rPr>
          <t xml:space="preserve">
</t>
        </r>
      </text>
    </comment>
    <comment ref="J66" authorId="1" shapeId="0">
      <text>
        <r>
          <rPr>
            <b/>
            <sz val="9"/>
            <color indexed="81"/>
            <rFont val="Tahoma"/>
            <charset val="1"/>
          </rPr>
          <t>Default % of default value:
2%</t>
        </r>
        <r>
          <rPr>
            <sz val="9"/>
            <color indexed="81"/>
            <rFont val="Tahoma"/>
            <charset val="1"/>
          </rPr>
          <t xml:space="preserve">
</t>
        </r>
      </text>
    </comment>
    <comment ref="L66" authorId="1" shapeId="0">
      <text>
        <r>
          <rPr>
            <b/>
            <sz val="9"/>
            <color indexed="81"/>
            <rFont val="Tahoma"/>
            <charset val="1"/>
          </rPr>
          <t>Default % of default value:
19%</t>
        </r>
        <r>
          <rPr>
            <sz val="9"/>
            <color indexed="81"/>
            <rFont val="Tahoma"/>
            <charset val="1"/>
          </rPr>
          <t xml:space="preserve">
</t>
        </r>
      </text>
    </comment>
    <comment ref="D67" authorId="1" shapeId="0">
      <text>
        <r>
          <rPr>
            <b/>
            <sz val="9"/>
            <color indexed="81"/>
            <rFont val="Tahoma"/>
            <family val="2"/>
          </rPr>
          <t xml:space="preserve">Default:
S&amp;M: 0
L: 1
</t>
        </r>
        <r>
          <rPr>
            <sz val="9"/>
            <color indexed="81"/>
            <rFont val="Tahoma"/>
            <family val="2"/>
          </rPr>
          <t xml:space="preserve">
</t>
        </r>
      </text>
    </comment>
    <comment ref="E67" authorId="1" shapeId="0">
      <text>
        <r>
          <rPr>
            <b/>
            <sz val="9"/>
            <color indexed="81"/>
            <rFont val="Tahoma"/>
            <family val="2"/>
          </rPr>
          <t>Default:
S: 25000
M: 50000
L: 97500</t>
        </r>
      </text>
    </comment>
    <comment ref="G67" authorId="1" shapeId="0">
      <text>
        <r>
          <rPr>
            <b/>
            <sz val="9"/>
            <color indexed="81"/>
            <rFont val="Tahoma"/>
            <family val="2"/>
          </rPr>
          <t xml:space="preserve">Enter estimate or calculation based on hours used
</t>
        </r>
        <r>
          <rPr>
            <sz val="9"/>
            <color indexed="81"/>
            <rFont val="Tahoma"/>
            <family val="2"/>
          </rPr>
          <t xml:space="preserve">
</t>
        </r>
      </text>
    </comment>
    <comment ref="H67" authorId="1" shapeId="0">
      <text>
        <r>
          <rPr>
            <b/>
            <sz val="9"/>
            <color indexed="81"/>
            <rFont val="Tahoma"/>
            <charset val="1"/>
          </rPr>
          <t>Default:
S: 50
M: 40
L: 20</t>
        </r>
        <r>
          <rPr>
            <sz val="9"/>
            <color indexed="81"/>
            <rFont val="Tahoma"/>
            <charset val="1"/>
          </rPr>
          <t xml:space="preserve">
</t>
        </r>
      </text>
    </comment>
    <comment ref="J67" authorId="1" shapeId="0">
      <text>
        <r>
          <rPr>
            <b/>
            <sz val="9"/>
            <color indexed="81"/>
            <rFont val="Tahoma"/>
            <charset val="1"/>
          </rPr>
          <t>Default % of default value:
2%</t>
        </r>
      </text>
    </comment>
    <comment ref="L67" authorId="1" shapeId="0">
      <text>
        <r>
          <rPr>
            <b/>
            <sz val="9"/>
            <color indexed="81"/>
            <rFont val="Tahoma"/>
            <charset val="1"/>
          </rPr>
          <t>Default % of default value:
19%</t>
        </r>
      </text>
    </comment>
    <comment ref="D69" authorId="1" shapeId="0">
      <text>
        <r>
          <rPr>
            <b/>
            <sz val="9"/>
            <color indexed="81"/>
            <rFont val="Tahoma"/>
            <family val="2"/>
          </rPr>
          <t xml:space="preserve">Default:
S: 1
M: 2
L: 3
</t>
        </r>
        <r>
          <rPr>
            <sz val="9"/>
            <color indexed="81"/>
            <rFont val="Tahoma"/>
            <family val="2"/>
          </rPr>
          <t xml:space="preserve">
</t>
        </r>
      </text>
    </comment>
    <comment ref="E69" authorId="1" shapeId="0">
      <text>
        <r>
          <rPr>
            <b/>
            <sz val="9"/>
            <color indexed="81"/>
            <rFont val="Tahoma"/>
            <family val="2"/>
          </rPr>
          <t xml:space="preserve">Default:
S&amp;M&amp;L: 5000
</t>
        </r>
        <r>
          <rPr>
            <sz val="9"/>
            <color indexed="81"/>
            <rFont val="Tahoma"/>
            <family val="2"/>
          </rPr>
          <t xml:space="preserve">
</t>
        </r>
      </text>
    </comment>
    <comment ref="G69" authorId="1" shapeId="0">
      <text>
        <r>
          <rPr>
            <b/>
            <sz val="9"/>
            <color indexed="81"/>
            <rFont val="Tahoma"/>
            <family val="2"/>
          </rPr>
          <t xml:space="preserve">Enter estimate or calculation based on hours used
</t>
        </r>
        <r>
          <rPr>
            <sz val="9"/>
            <color indexed="81"/>
            <rFont val="Tahoma"/>
            <family val="2"/>
          </rPr>
          <t xml:space="preserve">
</t>
        </r>
      </text>
    </comment>
    <comment ref="H69" authorId="1" shapeId="0">
      <text>
        <r>
          <rPr>
            <b/>
            <sz val="9"/>
            <color indexed="81"/>
            <rFont val="Tahoma"/>
            <family val="2"/>
          </rPr>
          <t>Default:
S: 50
M: 40
L: 20</t>
        </r>
        <r>
          <rPr>
            <sz val="9"/>
            <color indexed="81"/>
            <rFont val="Tahoma"/>
            <family val="2"/>
          </rPr>
          <t xml:space="preserve">
</t>
        </r>
      </text>
    </comment>
    <comment ref="J69" authorId="1" shapeId="0">
      <text>
        <r>
          <rPr>
            <b/>
            <sz val="9"/>
            <color indexed="81"/>
            <rFont val="Tahoma"/>
            <family val="2"/>
          </rPr>
          <t>Default % of default value:
2%</t>
        </r>
        <r>
          <rPr>
            <sz val="9"/>
            <color indexed="81"/>
            <rFont val="Tahoma"/>
            <family val="2"/>
          </rPr>
          <t xml:space="preserve">
</t>
        </r>
      </text>
    </comment>
    <comment ref="L69" authorId="1" shapeId="0">
      <text>
        <r>
          <rPr>
            <b/>
            <sz val="9"/>
            <color indexed="81"/>
            <rFont val="Tahoma"/>
            <family val="2"/>
          </rPr>
          <t>Default % of default value:
19%</t>
        </r>
      </text>
    </comment>
    <comment ref="D70" authorId="1" shapeId="0">
      <text>
        <r>
          <rPr>
            <b/>
            <sz val="9"/>
            <color indexed="81"/>
            <rFont val="Tahoma"/>
            <family val="2"/>
          </rPr>
          <t xml:space="preserve">Default:
S: 1
M: 2
L: 3
</t>
        </r>
        <r>
          <rPr>
            <sz val="9"/>
            <color indexed="81"/>
            <rFont val="Tahoma"/>
            <family val="2"/>
          </rPr>
          <t xml:space="preserve">
</t>
        </r>
      </text>
    </comment>
    <comment ref="E70" authorId="1" shapeId="0">
      <text>
        <r>
          <rPr>
            <b/>
            <sz val="9"/>
            <color indexed="81"/>
            <rFont val="Tahoma"/>
            <family val="2"/>
          </rPr>
          <t xml:space="preserve">Default:
S&amp;M&amp;L: 5000
</t>
        </r>
        <r>
          <rPr>
            <sz val="9"/>
            <color indexed="81"/>
            <rFont val="Tahoma"/>
            <family val="2"/>
          </rPr>
          <t xml:space="preserve">
</t>
        </r>
      </text>
    </comment>
    <comment ref="G70" authorId="1" shapeId="0">
      <text>
        <r>
          <rPr>
            <b/>
            <sz val="9"/>
            <color indexed="81"/>
            <rFont val="Tahoma"/>
            <family val="2"/>
          </rPr>
          <t xml:space="preserve">Enter estimate or calculation based on hours used
</t>
        </r>
        <r>
          <rPr>
            <sz val="9"/>
            <color indexed="81"/>
            <rFont val="Tahoma"/>
            <family val="2"/>
          </rPr>
          <t xml:space="preserve">
</t>
        </r>
      </text>
    </comment>
    <comment ref="H70" authorId="1" shapeId="0">
      <text>
        <r>
          <rPr>
            <b/>
            <sz val="9"/>
            <color indexed="81"/>
            <rFont val="Tahoma"/>
            <family val="2"/>
          </rPr>
          <t>Default:
S: 50
M: 40
L: 20</t>
        </r>
      </text>
    </comment>
    <comment ref="J70" authorId="1" shapeId="0">
      <text>
        <r>
          <rPr>
            <b/>
            <sz val="9"/>
            <color indexed="81"/>
            <rFont val="Tahoma"/>
            <family val="2"/>
          </rPr>
          <t>Default % of default value:
2%</t>
        </r>
      </text>
    </comment>
    <comment ref="L70" authorId="1" shapeId="0">
      <text>
        <r>
          <rPr>
            <b/>
            <sz val="9"/>
            <color indexed="81"/>
            <rFont val="Tahoma"/>
            <family val="2"/>
          </rPr>
          <t>Default % of default value:
19%</t>
        </r>
      </text>
    </comment>
    <comment ref="D71" authorId="1" shapeId="0">
      <text>
        <r>
          <rPr>
            <b/>
            <sz val="9"/>
            <color indexed="81"/>
            <rFont val="Tahoma"/>
            <family val="2"/>
          </rPr>
          <t xml:space="preserve">Default:
S: 1
M: 2
L: 3
</t>
        </r>
        <r>
          <rPr>
            <sz val="9"/>
            <color indexed="81"/>
            <rFont val="Tahoma"/>
            <family val="2"/>
          </rPr>
          <t xml:space="preserve">
</t>
        </r>
      </text>
    </comment>
    <comment ref="E71" authorId="1" shapeId="0">
      <text>
        <r>
          <rPr>
            <b/>
            <sz val="9"/>
            <color indexed="81"/>
            <rFont val="Tahoma"/>
            <family val="2"/>
          </rPr>
          <t xml:space="preserve">Default:
S&amp;M&amp;L: 5000
</t>
        </r>
        <r>
          <rPr>
            <sz val="9"/>
            <color indexed="81"/>
            <rFont val="Tahoma"/>
            <family val="2"/>
          </rPr>
          <t xml:space="preserve">
</t>
        </r>
      </text>
    </comment>
    <comment ref="G71" authorId="1" shapeId="0">
      <text>
        <r>
          <rPr>
            <b/>
            <sz val="9"/>
            <color indexed="81"/>
            <rFont val="Tahoma"/>
            <family val="2"/>
          </rPr>
          <t xml:space="preserve">Enter estimate or calculation based on hours used
</t>
        </r>
        <r>
          <rPr>
            <sz val="9"/>
            <color indexed="81"/>
            <rFont val="Tahoma"/>
            <family val="2"/>
          </rPr>
          <t xml:space="preserve">
</t>
        </r>
      </text>
    </comment>
    <comment ref="H71" authorId="1" shapeId="0">
      <text>
        <r>
          <rPr>
            <b/>
            <sz val="9"/>
            <color indexed="81"/>
            <rFont val="Tahoma"/>
            <family val="2"/>
          </rPr>
          <t>Default:
S: 50
M: 40
L: 20</t>
        </r>
        <r>
          <rPr>
            <sz val="9"/>
            <color indexed="81"/>
            <rFont val="Tahoma"/>
            <family val="2"/>
          </rPr>
          <t xml:space="preserve">
</t>
        </r>
      </text>
    </comment>
    <comment ref="J71" authorId="1" shapeId="0">
      <text>
        <r>
          <rPr>
            <b/>
            <sz val="9"/>
            <color indexed="81"/>
            <rFont val="Tahoma"/>
            <family val="2"/>
          </rPr>
          <t>Default % of default value:
2%</t>
        </r>
      </text>
    </comment>
    <comment ref="L71" authorId="1" shapeId="0">
      <text>
        <r>
          <rPr>
            <b/>
            <sz val="9"/>
            <color indexed="81"/>
            <rFont val="Tahoma"/>
            <family val="2"/>
          </rPr>
          <t>Default % of default value:
19%</t>
        </r>
      </text>
    </comment>
    <comment ref="D72" authorId="1" shapeId="0">
      <text>
        <r>
          <rPr>
            <b/>
            <sz val="9"/>
            <color indexed="81"/>
            <rFont val="Tahoma"/>
            <family val="2"/>
          </rPr>
          <t>Default:
S&amp;M&amp;L: 1
But may be different</t>
        </r>
      </text>
    </comment>
    <comment ref="E72" authorId="1" shapeId="0">
      <text>
        <r>
          <rPr>
            <b/>
            <sz val="9"/>
            <color indexed="81"/>
            <rFont val="Tahoma"/>
            <family val="2"/>
          </rPr>
          <t xml:space="preserve">Default:
S&amp;M&amp;L: 7521.81225691159
</t>
        </r>
        <r>
          <rPr>
            <sz val="9"/>
            <color indexed="81"/>
            <rFont val="Tahoma"/>
            <family val="2"/>
          </rPr>
          <t xml:space="preserve">
</t>
        </r>
      </text>
    </comment>
    <comment ref="G72" authorId="1" shapeId="0">
      <text>
        <r>
          <rPr>
            <b/>
            <sz val="9"/>
            <color indexed="81"/>
            <rFont val="Tahoma"/>
            <family val="2"/>
          </rPr>
          <t xml:space="preserve">Enter estimate or calculation based on hours used
</t>
        </r>
        <r>
          <rPr>
            <sz val="9"/>
            <color indexed="81"/>
            <rFont val="Tahoma"/>
            <family val="2"/>
          </rPr>
          <t xml:space="preserve">
</t>
        </r>
      </text>
    </comment>
    <comment ref="H72" authorId="1" shapeId="0">
      <text>
        <r>
          <rPr>
            <b/>
            <sz val="9"/>
            <color indexed="81"/>
            <rFont val="Tahoma"/>
            <family val="2"/>
          </rPr>
          <t>Default:
10</t>
        </r>
      </text>
    </comment>
    <comment ref="J72" authorId="1" shapeId="0">
      <text>
        <r>
          <rPr>
            <b/>
            <sz val="9"/>
            <color indexed="81"/>
            <rFont val="Tahoma"/>
            <family val="2"/>
          </rPr>
          <t>Default % of default value:
2%</t>
        </r>
      </text>
    </comment>
    <comment ref="L72" authorId="1" shapeId="0">
      <text>
        <r>
          <rPr>
            <b/>
            <sz val="9"/>
            <color indexed="81"/>
            <rFont val="Tahoma"/>
            <family val="2"/>
          </rPr>
          <t>Default % of default value:
19%</t>
        </r>
      </text>
    </comment>
    <comment ref="D73" authorId="1" shapeId="0">
      <text>
        <r>
          <rPr>
            <b/>
            <sz val="9"/>
            <color indexed="81"/>
            <rFont val="Tahoma"/>
            <family val="2"/>
          </rPr>
          <t>Default:
S&amp;M&amp;L: 1
But may be different</t>
        </r>
      </text>
    </comment>
    <comment ref="E73" authorId="1" shapeId="0">
      <text>
        <r>
          <rPr>
            <b/>
            <sz val="9"/>
            <color indexed="81"/>
            <rFont val="Tahoma"/>
            <family val="2"/>
          </rPr>
          <t xml:space="preserve">Default:
S&amp;M&amp;L: 7521.81225691159
</t>
        </r>
        <r>
          <rPr>
            <sz val="9"/>
            <color indexed="81"/>
            <rFont val="Tahoma"/>
            <family val="2"/>
          </rPr>
          <t xml:space="preserve">
</t>
        </r>
      </text>
    </comment>
    <comment ref="G73" authorId="1" shapeId="0">
      <text>
        <r>
          <rPr>
            <b/>
            <sz val="9"/>
            <color indexed="81"/>
            <rFont val="Tahoma"/>
            <family val="2"/>
          </rPr>
          <t>Enter estimate or calculation based on hours used</t>
        </r>
        <r>
          <rPr>
            <sz val="9"/>
            <color indexed="81"/>
            <rFont val="Tahoma"/>
            <family val="2"/>
          </rPr>
          <t xml:space="preserve">
</t>
        </r>
      </text>
    </comment>
    <comment ref="H73" authorId="1" shapeId="0">
      <text>
        <r>
          <rPr>
            <b/>
            <sz val="9"/>
            <color indexed="81"/>
            <rFont val="Tahoma"/>
            <family val="2"/>
          </rPr>
          <t>Default:
10</t>
        </r>
      </text>
    </comment>
    <comment ref="J73" authorId="1" shapeId="0">
      <text>
        <r>
          <rPr>
            <b/>
            <sz val="9"/>
            <color indexed="81"/>
            <rFont val="Tahoma"/>
            <family val="2"/>
          </rPr>
          <t>Default % of default value:
2%</t>
        </r>
      </text>
    </comment>
    <comment ref="L73" authorId="1" shapeId="0">
      <text>
        <r>
          <rPr>
            <b/>
            <sz val="9"/>
            <color indexed="81"/>
            <rFont val="Tahoma"/>
            <family val="2"/>
          </rPr>
          <t>Default % of default value:
19%</t>
        </r>
      </text>
    </comment>
    <comment ref="D74" authorId="1" shapeId="0">
      <text>
        <r>
          <rPr>
            <b/>
            <sz val="9"/>
            <color indexed="81"/>
            <rFont val="Tahoma"/>
            <family val="2"/>
          </rPr>
          <t>Default:
S&amp;M&amp;L: 1
But may be different</t>
        </r>
      </text>
    </comment>
    <comment ref="E74" authorId="1" shapeId="0">
      <text>
        <r>
          <rPr>
            <b/>
            <sz val="9"/>
            <color indexed="81"/>
            <rFont val="Tahoma"/>
            <family val="2"/>
          </rPr>
          <t xml:space="preserve">Default:
S&amp;M&amp;L: 7521.81225691159
</t>
        </r>
        <r>
          <rPr>
            <sz val="9"/>
            <color indexed="81"/>
            <rFont val="Tahoma"/>
            <family val="2"/>
          </rPr>
          <t xml:space="preserve">
</t>
        </r>
      </text>
    </comment>
    <comment ref="G74" authorId="1" shapeId="0">
      <text>
        <r>
          <rPr>
            <b/>
            <sz val="9"/>
            <color indexed="81"/>
            <rFont val="Tahoma"/>
            <family val="2"/>
          </rPr>
          <t xml:space="preserve">Enter estimate or calculation based on hours used
</t>
        </r>
        <r>
          <rPr>
            <sz val="9"/>
            <color indexed="81"/>
            <rFont val="Tahoma"/>
            <family val="2"/>
          </rPr>
          <t xml:space="preserve">
</t>
        </r>
      </text>
    </comment>
    <comment ref="H74" authorId="1" shapeId="0">
      <text>
        <r>
          <rPr>
            <b/>
            <sz val="9"/>
            <color indexed="81"/>
            <rFont val="Tahoma"/>
            <family val="2"/>
          </rPr>
          <t>Default:
10</t>
        </r>
        <r>
          <rPr>
            <sz val="9"/>
            <color indexed="81"/>
            <rFont val="Tahoma"/>
            <family val="2"/>
          </rPr>
          <t xml:space="preserve">
</t>
        </r>
      </text>
    </comment>
    <comment ref="J74" authorId="1" shapeId="0">
      <text>
        <r>
          <rPr>
            <b/>
            <sz val="9"/>
            <color indexed="81"/>
            <rFont val="Tahoma"/>
            <family val="2"/>
          </rPr>
          <t>Default % of default value:
2%</t>
        </r>
      </text>
    </comment>
    <comment ref="L74" authorId="1" shapeId="0">
      <text>
        <r>
          <rPr>
            <b/>
            <sz val="9"/>
            <color indexed="81"/>
            <rFont val="Tahoma"/>
            <family val="2"/>
          </rPr>
          <t>Default % of default value:
19%</t>
        </r>
      </text>
    </comment>
    <comment ref="E75" authorId="1" shapeId="0">
      <text>
        <r>
          <rPr>
            <b/>
            <sz val="9"/>
            <color indexed="81"/>
            <rFont val="Tahoma"/>
            <family val="2"/>
          </rPr>
          <t>Default:
S: 10
M: 21106
L: 36937</t>
        </r>
      </text>
    </comment>
    <comment ref="G75" authorId="1" shapeId="0">
      <text>
        <r>
          <rPr>
            <b/>
            <sz val="9"/>
            <color indexed="81"/>
            <rFont val="Tahoma"/>
            <family val="2"/>
          </rPr>
          <t>Enter estimate or calculation based on hours used</t>
        </r>
        <r>
          <rPr>
            <sz val="9"/>
            <color indexed="81"/>
            <rFont val="Tahoma"/>
            <family val="2"/>
          </rPr>
          <t xml:space="preserve">
</t>
        </r>
      </text>
    </comment>
    <comment ref="H75" authorId="1" shapeId="0">
      <text>
        <r>
          <rPr>
            <b/>
            <sz val="9"/>
            <color indexed="81"/>
            <rFont val="Tahoma"/>
            <family val="2"/>
          </rPr>
          <t>Default:
5</t>
        </r>
      </text>
    </comment>
    <comment ref="J75" authorId="1" shapeId="0">
      <text>
        <r>
          <rPr>
            <b/>
            <sz val="9"/>
            <color indexed="81"/>
            <rFont val="Tahoma"/>
            <family val="2"/>
          </rPr>
          <t>Default % of default value:
0%</t>
        </r>
      </text>
    </comment>
    <comment ref="L75" authorId="1" shapeId="0">
      <text>
        <r>
          <rPr>
            <b/>
            <sz val="9"/>
            <color indexed="81"/>
            <rFont val="Tahoma"/>
            <family val="2"/>
          </rPr>
          <t>Default % of default value:
0%</t>
        </r>
      </text>
    </comment>
    <comment ref="M75" authorId="1" shapeId="0">
      <text>
        <r>
          <rPr>
            <b/>
            <sz val="9"/>
            <color indexed="81"/>
            <rFont val="Tahoma"/>
            <family val="2"/>
          </rPr>
          <t>Default:
1500</t>
        </r>
        <r>
          <rPr>
            <sz val="9"/>
            <color indexed="81"/>
            <rFont val="Tahoma"/>
            <family val="2"/>
          </rPr>
          <t xml:space="preserve">
</t>
        </r>
      </text>
    </comment>
    <comment ref="D76" authorId="1" shapeId="0">
      <text>
        <r>
          <rPr>
            <b/>
            <sz val="9"/>
            <color indexed="81"/>
            <rFont val="Tahoma"/>
            <family val="2"/>
          </rPr>
          <t xml:space="preserve">Default:
S: 0
M&amp;L: 1
</t>
        </r>
        <r>
          <rPr>
            <sz val="9"/>
            <color indexed="81"/>
            <rFont val="Tahoma"/>
            <family val="2"/>
          </rPr>
          <t xml:space="preserve">
</t>
        </r>
      </text>
    </comment>
    <comment ref="E76" authorId="1" shapeId="0">
      <text>
        <r>
          <rPr>
            <b/>
            <sz val="9"/>
            <color indexed="81"/>
            <rFont val="Tahoma"/>
            <family val="2"/>
          </rPr>
          <t>Default:
S: 10
M: 21106
L: 36937</t>
        </r>
      </text>
    </comment>
    <comment ref="G76" authorId="1" shapeId="0">
      <text>
        <r>
          <rPr>
            <b/>
            <sz val="9"/>
            <color indexed="81"/>
            <rFont val="Tahoma"/>
            <family val="2"/>
          </rPr>
          <t>Enter estimate or calculation based on hours used</t>
        </r>
        <r>
          <rPr>
            <sz val="9"/>
            <color indexed="81"/>
            <rFont val="Tahoma"/>
            <family val="2"/>
          </rPr>
          <t xml:space="preserve">
</t>
        </r>
      </text>
    </comment>
    <comment ref="H76" authorId="1" shapeId="0">
      <text>
        <r>
          <rPr>
            <b/>
            <sz val="9"/>
            <color indexed="81"/>
            <rFont val="Tahoma"/>
            <family val="2"/>
          </rPr>
          <t xml:space="preserve">Default:
33
</t>
        </r>
      </text>
    </comment>
    <comment ref="J76" authorId="1" shapeId="0">
      <text>
        <r>
          <rPr>
            <b/>
            <sz val="9"/>
            <color indexed="81"/>
            <rFont val="Tahoma"/>
            <family val="2"/>
          </rPr>
          <t>Default % of default value:
1%</t>
        </r>
      </text>
    </comment>
    <comment ref="L76" authorId="1" shapeId="0">
      <text>
        <r>
          <rPr>
            <b/>
            <sz val="9"/>
            <color indexed="81"/>
            <rFont val="Tahoma"/>
            <family val="2"/>
          </rPr>
          <t>Default % of default value:
35%</t>
        </r>
      </text>
    </comment>
    <comment ref="D77" authorId="1" shapeId="0">
      <text>
        <r>
          <rPr>
            <b/>
            <sz val="9"/>
            <color indexed="81"/>
            <rFont val="Tahoma"/>
            <family val="2"/>
          </rPr>
          <t xml:space="preserve">Default:
S: 0
M&amp;L: 1
</t>
        </r>
        <r>
          <rPr>
            <sz val="9"/>
            <color indexed="81"/>
            <rFont val="Tahoma"/>
            <family val="2"/>
          </rPr>
          <t xml:space="preserve">
</t>
        </r>
      </text>
    </comment>
    <comment ref="E77" authorId="1" shapeId="0">
      <text>
        <r>
          <rPr>
            <b/>
            <sz val="9"/>
            <color indexed="81"/>
            <rFont val="Tahoma"/>
            <family val="2"/>
          </rPr>
          <t>Default:
S: 10
M: 21106
L: 36937</t>
        </r>
      </text>
    </comment>
    <comment ref="G77" authorId="1" shapeId="0">
      <text>
        <r>
          <rPr>
            <b/>
            <sz val="9"/>
            <color indexed="81"/>
            <rFont val="Tahoma"/>
            <family val="2"/>
          </rPr>
          <t>Enter estimate or calculation based on hours used</t>
        </r>
        <r>
          <rPr>
            <sz val="9"/>
            <color indexed="81"/>
            <rFont val="Tahoma"/>
            <family val="2"/>
          </rPr>
          <t xml:space="preserve">
</t>
        </r>
      </text>
    </comment>
    <comment ref="H77" authorId="1" shapeId="0">
      <text>
        <r>
          <rPr>
            <b/>
            <sz val="9"/>
            <color indexed="81"/>
            <rFont val="Tahoma"/>
            <family val="2"/>
          </rPr>
          <t xml:space="preserve">Default:
33
</t>
        </r>
        <r>
          <rPr>
            <sz val="9"/>
            <color indexed="81"/>
            <rFont val="Tahoma"/>
            <family val="2"/>
          </rPr>
          <t xml:space="preserve">
</t>
        </r>
      </text>
    </comment>
    <comment ref="J77" authorId="1" shapeId="0">
      <text>
        <r>
          <rPr>
            <b/>
            <sz val="9"/>
            <color indexed="81"/>
            <rFont val="Tahoma"/>
            <family val="2"/>
          </rPr>
          <t>Default % of default value:
1%</t>
        </r>
      </text>
    </comment>
    <comment ref="L77" authorId="1" shapeId="0">
      <text>
        <r>
          <rPr>
            <b/>
            <sz val="9"/>
            <color indexed="81"/>
            <rFont val="Tahoma"/>
            <family val="2"/>
          </rPr>
          <t>Default % of default value:
35%</t>
        </r>
      </text>
    </comment>
    <comment ref="D79" authorId="1" shapeId="0">
      <text>
        <r>
          <rPr>
            <b/>
            <sz val="9"/>
            <color indexed="81"/>
            <rFont val="Tahoma"/>
            <family val="2"/>
          </rPr>
          <t xml:space="preserve">Default:
S&amp;M&amp;L: 1
</t>
        </r>
        <r>
          <rPr>
            <sz val="9"/>
            <color indexed="81"/>
            <rFont val="Tahoma"/>
            <family val="2"/>
          </rPr>
          <t xml:space="preserve">
</t>
        </r>
      </text>
    </comment>
    <comment ref="E79" authorId="1" shapeId="0">
      <text>
        <r>
          <rPr>
            <b/>
            <sz val="9"/>
            <color indexed="81"/>
            <rFont val="Tahoma"/>
            <family val="2"/>
          </rPr>
          <t xml:space="preserve">Default:
S: 50000
M: 100000
L: 200000
</t>
        </r>
        <r>
          <rPr>
            <sz val="9"/>
            <color indexed="81"/>
            <rFont val="Tahoma"/>
            <family val="2"/>
          </rPr>
          <t xml:space="preserve">
</t>
        </r>
      </text>
    </comment>
    <comment ref="G79" authorId="1" shapeId="0">
      <text>
        <r>
          <rPr>
            <b/>
            <sz val="9"/>
            <color indexed="81"/>
            <rFont val="Tahoma"/>
            <family val="2"/>
          </rPr>
          <t>Enter estimate or calculation based on hours used</t>
        </r>
        <r>
          <rPr>
            <sz val="9"/>
            <color indexed="81"/>
            <rFont val="Tahoma"/>
            <family val="2"/>
          </rPr>
          <t xml:space="preserve">
</t>
        </r>
      </text>
    </comment>
    <comment ref="H79" authorId="1" shapeId="0">
      <text>
        <r>
          <rPr>
            <b/>
            <sz val="9"/>
            <color indexed="81"/>
            <rFont val="Tahoma"/>
            <family val="2"/>
          </rPr>
          <t xml:space="preserve">Default:
33
</t>
        </r>
      </text>
    </comment>
    <comment ref="J79" authorId="1" shapeId="0">
      <text>
        <r>
          <rPr>
            <b/>
            <sz val="9"/>
            <color indexed="81"/>
            <rFont val="Tahoma"/>
            <family val="2"/>
          </rPr>
          <t>Default % of default value:
1%</t>
        </r>
      </text>
    </comment>
    <comment ref="L79" authorId="1" shapeId="0">
      <text>
        <r>
          <rPr>
            <b/>
            <sz val="9"/>
            <color indexed="81"/>
            <rFont val="Tahoma"/>
            <family val="2"/>
          </rPr>
          <t>Default % of default value:
75%</t>
        </r>
      </text>
    </comment>
    <comment ref="D80" authorId="1" shapeId="0">
      <text>
        <r>
          <rPr>
            <b/>
            <sz val="9"/>
            <color indexed="81"/>
            <rFont val="Tahoma"/>
            <family val="2"/>
          </rPr>
          <t xml:space="preserve">Default:
S&amp;M&amp;L: 1
</t>
        </r>
        <r>
          <rPr>
            <sz val="9"/>
            <color indexed="81"/>
            <rFont val="Tahoma"/>
            <family val="2"/>
          </rPr>
          <t xml:space="preserve">
</t>
        </r>
      </text>
    </comment>
    <comment ref="E80" authorId="1" shapeId="0">
      <text>
        <r>
          <rPr>
            <b/>
            <sz val="9"/>
            <color indexed="81"/>
            <rFont val="Tahoma"/>
            <family val="2"/>
          </rPr>
          <t xml:space="preserve">Default:
S: 50000
M: 100000
L: 200000
</t>
        </r>
        <r>
          <rPr>
            <sz val="9"/>
            <color indexed="81"/>
            <rFont val="Tahoma"/>
            <family val="2"/>
          </rPr>
          <t xml:space="preserve">
</t>
        </r>
      </text>
    </comment>
    <comment ref="G80" authorId="1" shapeId="0">
      <text>
        <r>
          <rPr>
            <b/>
            <sz val="9"/>
            <color indexed="81"/>
            <rFont val="Tahoma"/>
            <family val="2"/>
          </rPr>
          <t>Enter estimate or calculation based on hours used</t>
        </r>
        <r>
          <rPr>
            <sz val="9"/>
            <color indexed="81"/>
            <rFont val="Tahoma"/>
            <family val="2"/>
          </rPr>
          <t xml:space="preserve">
</t>
        </r>
      </text>
    </comment>
    <comment ref="H80" authorId="1" shapeId="0">
      <text>
        <r>
          <rPr>
            <b/>
            <sz val="9"/>
            <color indexed="81"/>
            <rFont val="Tahoma"/>
            <family val="2"/>
          </rPr>
          <t xml:space="preserve">Default:
33
</t>
        </r>
        <r>
          <rPr>
            <sz val="9"/>
            <color indexed="81"/>
            <rFont val="Tahoma"/>
            <family val="2"/>
          </rPr>
          <t xml:space="preserve">
</t>
        </r>
      </text>
    </comment>
    <comment ref="J80" authorId="1" shapeId="0">
      <text>
        <r>
          <rPr>
            <b/>
            <sz val="9"/>
            <color indexed="81"/>
            <rFont val="Tahoma"/>
            <family val="2"/>
          </rPr>
          <t>Default % of default value:
1%</t>
        </r>
      </text>
    </comment>
    <comment ref="L80" authorId="1" shapeId="0">
      <text>
        <r>
          <rPr>
            <b/>
            <sz val="9"/>
            <color indexed="81"/>
            <rFont val="Tahoma"/>
            <family val="2"/>
          </rPr>
          <t>Default % of default value:
75%</t>
        </r>
      </text>
    </comment>
    <comment ref="D81" authorId="1" shapeId="0">
      <text>
        <r>
          <rPr>
            <b/>
            <sz val="9"/>
            <color indexed="81"/>
            <rFont val="Tahoma"/>
            <family val="2"/>
          </rPr>
          <t xml:space="preserve">Default:
S&amp;M&amp;L: 1
</t>
        </r>
        <r>
          <rPr>
            <sz val="9"/>
            <color indexed="81"/>
            <rFont val="Tahoma"/>
            <family val="2"/>
          </rPr>
          <t xml:space="preserve">
</t>
        </r>
      </text>
    </comment>
    <comment ref="E81" authorId="1" shapeId="0">
      <text>
        <r>
          <rPr>
            <b/>
            <sz val="9"/>
            <color indexed="81"/>
            <rFont val="Tahoma"/>
            <family val="2"/>
          </rPr>
          <t>Default:
S: 50000
M: 100000
L: 200000</t>
        </r>
      </text>
    </comment>
    <comment ref="G81" authorId="1" shapeId="0">
      <text>
        <r>
          <rPr>
            <b/>
            <sz val="9"/>
            <color indexed="81"/>
            <rFont val="Tahoma"/>
            <family val="2"/>
          </rPr>
          <t>Enter estimate or calculation based on hours used</t>
        </r>
        <r>
          <rPr>
            <sz val="9"/>
            <color indexed="81"/>
            <rFont val="Tahoma"/>
            <family val="2"/>
          </rPr>
          <t xml:space="preserve">
</t>
        </r>
      </text>
    </comment>
    <comment ref="H81" authorId="1" shapeId="0">
      <text>
        <r>
          <rPr>
            <b/>
            <sz val="9"/>
            <color indexed="81"/>
            <rFont val="Tahoma"/>
            <family val="2"/>
          </rPr>
          <t xml:space="preserve">Default:
33
</t>
        </r>
      </text>
    </comment>
    <comment ref="J81" authorId="1" shapeId="0">
      <text>
        <r>
          <rPr>
            <b/>
            <sz val="9"/>
            <color indexed="81"/>
            <rFont val="Tahoma"/>
            <family val="2"/>
          </rPr>
          <t>Default % of default value:
1%</t>
        </r>
      </text>
    </comment>
    <comment ref="L81" authorId="1" shapeId="0">
      <text>
        <r>
          <rPr>
            <b/>
            <sz val="9"/>
            <color indexed="81"/>
            <rFont val="Tahoma"/>
            <family val="2"/>
          </rPr>
          <t>Default % of default value:
75%</t>
        </r>
      </text>
    </comment>
  </commentList>
</comments>
</file>

<file path=xl/comments60.xml><?xml version="1.0" encoding="utf-8"?>
<comments xmlns="http://schemas.openxmlformats.org/spreadsheetml/2006/main">
  <authors>
    <author>REP</author>
    <author xml:space="preserve"> </author>
    <author>aaron hoshide</author>
  </authors>
  <commentList>
    <comment ref="F8" authorId="0" shapeId="0">
      <text>
        <r>
          <rPr>
            <sz val="8"/>
            <color indexed="81"/>
            <rFont val="Tahoma"/>
            <family val="2"/>
          </rPr>
          <t>Old value of $78/80,000 (=78/80000) same as other corn silage.  Old price (=65.6907/80000).</t>
        </r>
      </text>
    </comment>
    <comment ref="C10" authorId="0" shapeId="0">
      <text>
        <r>
          <rPr>
            <sz val="8"/>
            <color indexed="81"/>
            <rFont val="Tahoma"/>
            <family val="2"/>
          </rPr>
          <t>Conventional model assumes need 270 lb/acre of corn starter.</t>
        </r>
      </text>
    </comment>
    <comment ref="F10" authorId="1" shapeId="0">
      <text>
        <r>
          <rPr>
            <sz val="8"/>
            <color indexed="81"/>
            <rFont val="Tahoma"/>
            <family val="2"/>
          </rPr>
          <t>Assume same percent increase in price as for urea. Old price of $220/ton for this.
Old value:
=220+(220*'Key Data'!$F$71)</t>
        </r>
      </text>
    </comment>
    <comment ref="C11" authorId="0" shapeId="0">
      <text>
        <r>
          <rPr>
            <sz val="8"/>
            <color indexed="81"/>
            <rFont val="Tahoma"/>
            <family val="2"/>
          </rPr>
          <t>Conventional model assumes need 220 lb/acre of urea side dress and 130 lb/acre of muriate of potash</t>
        </r>
      </text>
    </comment>
    <comment ref="F11" authorId="1" shapeId="0">
      <text>
        <r>
          <rPr>
            <sz val="8"/>
            <color indexed="81"/>
            <rFont val="Tahoma"/>
            <family val="2"/>
          </rPr>
          <t>Assume same percent increase in price as for urea. Old price of $204/ton for this.
Old value:
=((N16*M16)+(N17*M17))+(((N16*M16)+(N17*M17))*'Key Data'!$F$71)</t>
        </r>
      </text>
    </comment>
    <comment ref="G11" authorId="0" shapeId="0">
      <text>
        <r>
          <rPr>
            <sz val="8"/>
            <color indexed="81"/>
            <rFont val="Tahoma"/>
            <family val="2"/>
          </rPr>
          <t>Assume this is for both urea and muriate of potash</t>
        </r>
      </text>
    </comment>
    <comment ref="C12" authorId="1" shapeId="0">
      <text>
        <r>
          <rPr>
            <sz val="8"/>
            <color indexed="81"/>
            <rFont val="Tahoma"/>
            <family val="2"/>
          </rPr>
          <t>Old value of 0.61 (=0.6065).</t>
        </r>
      </text>
    </comment>
    <comment ref="C14" authorId="0" shapeId="0">
      <text>
        <r>
          <rPr>
            <sz val="8"/>
            <color indexed="81"/>
            <rFont val="Tahoma"/>
            <family val="2"/>
          </rPr>
          <t>Assume same as silage corn.  Old value of 0.25 lb of Atrazine.</t>
        </r>
      </text>
    </comment>
    <comment ref="F14" authorId="0" shapeId="0">
      <text>
        <r>
          <rPr>
            <sz val="8"/>
            <color indexed="81"/>
            <rFont val="Tahoma"/>
            <family val="2"/>
          </rPr>
          <t>Adjusted by PPI to convert from 2002 surveyed cost to 2010. Assume same price as silage corn.  Old value of $2.76.</t>
        </r>
      </text>
    </comment>
    <comment ref="C15" authorId="0" shapeId="0">
      <text>
        <r>
          <rPr>
            <sz val="8"/>
            <color indexed="81"/>
            <rFont val="Tahoma"/>
            <family val="2"/>
          </rPr>
          <t>Assume same as silage corn.  Old value of 3 oz of Callisto.</t>
        </r>
      </text>
    </comment>
    <comment ref="F15" authorId="0" shapeId="0">
      <text>
        <r>
          <rPr>
            <sz val="8"/>
            <color indexed="81"/>
            <rFont val="Tahoma"/>
            <family val="2"/>
          </rPr>
          <t>Adjusted by PPI to convert from 2002 surveyed cost to 2010. Assume same as silage corn.  Old value of $4.06.</t>
        </r>
      </text>
    </comment>
    <comment ref="C20" authorId="1" shapeId="0">
      <text>
        <r>
          <rPr>
            <sz val="8"/>
            <color indexed="81"/>
            <rFont val="Tahoma"/>
            <family val="2"/>
          </rPr>
          <t>Old value of 0.32</t>
        </r>
      </text>
    </comment>
    <comment ref="C21" authorId="1" shapeId="0">
      <text>
        <r>
          <rPr>
            <sz val="8"/>
            <color indexed="81"/>
            <rFont val="Tahoma"/>
            <family val="2"/>
          </rPr>
          <t>Changed from broadcast urea</t>
        </r>
      </text>
    </comment>
    <comment ref="C22" authorId="1" shapeId="0">
      <text>
        <r>
          <rPr>
            <sz val="8"/>
            <color indexed="81"/>
            <rFont val="Tahoma"/>
            <family val="2"/>
          </rPr>
          <t>Old value of 0.0934185838781329</t>
        </r>
      </text>
    </comment>
    <comment ref="B27" authorId="1" shapeId="0">
      <text>
        <r>
          <rPr>
            <sz val="8"/>
            <color indexed="81"/>
            <rFont val="Tahoma"/>
            <family val="2"/>
          </rPr>
          <t>Assume that there is no change for this since it takes the same time to pass over the field.</t>
        </r>
      </text>
    </comment>
    <comment ref="C31" authorId="1" shapeId="0">
      <text>
        <r>
          <rPr>
            <sz val="8"/>
            <color indexed="81"/>
            <rFont val="Tahoma"/>
            <family val="2"/>
          </rPr>
          <t>Assume this is zero.</t>
        </r>
      </text>
    </comment>
    <comment ref="B43" authorId="1" shapeId="0">
      <text>
        <r>
          <rPr>
            <sz val="8"/>
            <color indexed="81"/>
            <rFont val="Tahoma"/>
            <family val="2"/>
          </rPr>
          <t>Assume that there is no change for this since it takes the same time to pass over the field.</t>
        </r>
      </text>
    </comment>
    <comment ref="C47" authorId="1" shapeId="0">
      <text>
        <r>
          <rPr>
            <sz val="8"/>
            <color indexed="81"/>
            <rFont val="Tahoma"/>
            <family val="2"/>
          </rPr>
          <t>Assume this is zero.</t>
        </r>
      </text>
    </comment>
    <comment ref="H47" authorId="2" shapeId="0">
      <text>
        <r>
          <rPr>
            <sz val="8"/>
            <color indexed="81"/>
            <rFont val="Tahoma"/>
            <family val="2"/>
          </rPr>
          <t>Assume no additional fuel costs</t>
        </r>
      </text>
    </comment>
    <comment ref="G50" authorId="2" shapeId="0">
      <text>
        <r>
          <rPr>
            <sz val="8"/>
            <color indexed="81"/>
            <rFont val="Tahoma"/>
            <family val="2"/>
          </rPr>
          <t>Old assumption of $35.25/acre for machinery repair costs.  When compare with PA grain corn budget revise to $13.43/acre that is based on crop equipment used for grain corn.</t>
        </r>
      </text>
    </comment>
    <comment ref="G51" authorId="2" shapeId="0">
      <text>
        <r>
          <rPr>
            <sz val="8"/>
            <color indexed="81"/>
            <rFont val="Tahoma"/>
            <family val="2"/>
          </rPr>
          <t>Assume $10/acre of supplies</t>
        </r>
      </text>
    </comment>
    <comment ref="A52" authorId="0" shapeId="0">
      <text>
        <r>
          <rPr>
            <sz val="8"/>
            <color indexed="81"/>
            <rFont val="Tahoma"/>
            <family val="2"/>
          </rPr>
          <t>Assume no crop insurance</t>
        </r>
      </text>
    </comment>
    <comment ref="F52" authorId="2" shapeId="0">
      <text>
        <r>
          <rPr>
            <sz val="8"/>
            <color indexed="81"/>
            <rFont val="Tahoma"/>
            <family val="2"/>
          </rPr>
          <t>Assume same as enterprise budget for potatoes</t>
        </r>
      </text>
    </comment>
    <comment ref="H53" authorId="2" shapeId="0">
      <text>
        <r>
          <rPr>
            <sz val="8"/>
            <color indexed="81"/>
            <rFont val="Tahoma"/>
            <family val="2"/>
          </rPr>
          <t>Assume no additional insurance</t>
        </r>
      </text>
    </comment>
    <comment ref="G55" authorId="2" shapeId="0">
      <text>
        <r>
          <rPr>
            <b/>
            <sz val="8"/>
            <color indexed="81"/>
            <rFont val="Tahoma"/>
            <family val="2"/>
          </rPr>
          <t>Old value assumes $2/acre to run fans. This is now specified under drying below.  
Assume 12 months at $50 a month divided by 300 acre model for utilities for workshop.</t>
        </r>
      </text>
    </comment>
    <comment ref="G56" authorId="0" shapeId="0">
      <text>
        <r>
          <rPr>
            <sz val="8"/>
            <color indexed="81"/>
            <rFont val="Tahoma"/>
            <family val="2"/>
          </rPr>
          <t>Assume no custom hire</t>
        </r>
      </text>
    </comment>
    <comment ref="J57" authorId="1" shapeId="0">
      <text>
        <r>
          <rPr>
            <sz val="8"/>
            <color indexed="81"/>
            <rFont val="Tahoma"/>
            <family val="2"/>
          </rPr>
          <t>Calculate this for wheat baseline of 500 bu x 60 lb/bu = 30,000 lb capacity.</t>
        </r>
      </text>
    </comment>
    <comment ref="A58" authorId="2" shapeId="0">
      <text>
        <r>
          <rPr>
            <sz val="8"/>
            <color indexed="81"/>
            <rFont val="Tahoma"/>
            <family val="2"/>
          </rPr>
          <t>Assume 25% of land is leased</t>
        </r>
      </text>
    </comment>
    <comment ref="J58" authorId="1" shapeId="0">
      <text>
        <r>
          <rPr>
            <sz val="8"/>
            <color indexed="81"/>
            <rFont val="Tahoma"/>
            <family val="2"/>
          </rPr>
          <t>Calculate this for wheat baseline of 1000 bu x 60 lb/bu = 60,000 lb capacity.</t>
        </r>
      </text>
    </comment>
    <comment ref="G59" authorId="0" shapeId="0">
      <text>
        <r>
          <rPr>
            <sz val="8"/>
            <color indexed="81"/>
            <rFont val="Tahoma"/>
            <family val="2"/>
          </rPr>
          <t>Assume no other rental</t>
        </r>
      </text>
    </comment>
    <comment ref="G60" authorId="0" shapeId="0">
      <text>
        <r>
          <rPr>
            <sz val="8"/>
            <color indexed="81"/>
            <rFont val="Tahoma"/>
            <family val="2"/>
          </rPr>
          <t>Assume this is in proportion to barley yield</t>
        </r>
      </text>
    </comment>
    <comment ref="P61" authorId="1" shapeId="0">
      <text>
        <r>
          <rPr>
            <sz val="8"/>
            <color indexed="81"/>
            <rFont val="Tahoma"/>
            <family val="2"/>
          </rPr>
          <t>Assume this is one way mileage since this is how freight and trucking is charged for small grains.
Assume truck to south central Maine which is assumed to be 200 miles away.</t>
        </r>
      </text>
    </comment>
    <comment ref="P64" authorId="1" shapeId="0">
      <text>
        <r>
          <rPr>
            <sz val="8"/>
            <color indexed="81"/>
            <rFont val="Tahoma"/>
            <family val="2"/>
          </rPr>
          <t>Assume this is one way mileage since this is how freight and trucking is charged for small grains.
Assume truck to south central Maine which is assumed to be 200 miles away.</t>
        </r>
      </text>
    </comment>
    <comment ref="G68" authorId="0" shapeId="0">
      <text>
        <r>
          <rPr>
            <sz val="8"/>
            <color indexed="81"/>
            <rFont val="Tahoma"/>
            <family val="2"/>
          </rPr>
          <t>Uses PA grain corn budget drying cost adjusted for lower yields in ME ($28.13 x (90/118.75bu) = $21.32 - $2 for fans already in budget = $19.32)</t>
        </r>
      </text>
    </comment>
    <comment ref="H68" authorId="2" shapeId="0">
      <text>
        <r>
          <rPr>
            <sz val="8"/>
            <color indexed="81"/>
            <rFont val="Tahoma"/>
            <family val="2"/>
          </rPr>
          <t>Old assumption of $0.01 per % point of moisture removed per bushel with 10% points removed.</t>
        </r>
      </text>
    </comment>
    <comment ref="B69" authorId="1" shapeId="0">
      <text>
        <r>
          <rPr>
            <sz val="8"/>
            <color indexed="81"/>
            <rFont val="Tahoma"/>
            <family val="2"/>
          </rPr>
          <t>Assume cost of storage is adjusted in proportion to assumed increase or decrease in yield.</t>
        </r>
      </text>
    </comment>
    <comment ref="G70" authorId="2" shapeId="0">
      <text>
        <r>
          <rPr>
            <sz val="8"/>
            <color indexed="81"/>
            <rFont val="Tahoma"/>
            <family val="2"/>
          </rPr>
          <t>Assume this is $5/acre</t>
        </r>
      </text>
    </comment>
    <comment ref="A71" authorId="0" shapeId="0">
      <text>
        <r>
          <rPr>
            <sz val="8"/>
            <color indexed="81"/>
            <rFont val="Tahoma"/>
            <family val="2"/>
          </rPr>
          <t>Assume no promotion tax for corn silage</t>
        </r>
      </text>
    </comment>
    <comment ref="G71" authorId="2" shapeId="0">
      <text>
        <r>
          <rPr>
            <sz val="8"/>
            <color indexed="81"/>
            <rFont val="Tahoma"/>
            <family val="2"/>
          </rPr>
          <t>Assume this is $0/acre</t>
        </r>
      </text>
    </comment>
  </commentList>
</comments>
</file>

<file path=xl/comments61.xml><?xml version="1.0" encoding="utf-8"?>
<comments xmlns="http://schemas.openxmlformats.org/spreadsheetml/2006/main">
  <authors>
    <author>REP</author>
    <author>aaron hoshide</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2" authorId="1" shapeId="0">
      <text>
        <r>
          <rPr>
            <sz val="8"/>
            <color indexed="81"/>
            <rFont val="Tahoma"/>
            <family val="2"/>
          </rPr>
          <t>Use for all crops except for sudan grass</t>
        </r>
      </text>
    </comment>
    <comment ref="D12" authorId="1" shapeId="0">
      <text>
        <r>
          <rPr>
            <sz val="8"/>
            <color indexed="81"/>
            <rFont val="Tahoma"/>
            <family val="2"/>
          </rPr>
          <t>Assume worth $28,000</t>
        </r>
      </text>
    </comment>
    <comment ref="C15" authorId="1" shapeId="0">
      <text>
        <r>
          <rPr>
            <sz val="8"/>
            <color indexed="81"/>
            <rFont val="Tahoma"/>
            <family val="2"/>
          </rPr>
          <t>Use for all crops except pasture and clover (assumed underseeded in small grain year).</t>
        </r>
      </text>
    </comment>
    <comment ref="D15" authorId="0" shapeId="0">
      <text>
        <r>
          <rPr>
            <sz val="8"/>
            <color indexed="81"/>
            <rFont val="Tahoma"/>
            <family val="2"/>
          </rPr>
          <t>Assume worth $15,800</t>
        </r>
      </text>
    </comment>
    <comment ref="C16" authorId="1" shapeId="0">
      <text>
        <r>
          <rPr>
            <sz val="8"/>
            <color indexed="81"/>
            <rFont val="Tahoma"/>
            <family val="2"/>
          </rPr>
          <t>Use for all crops except pasture and clover (assumed underseeded in small grain year).</t>
        </r>
      </text>
    </comment>
    <comment ref="D16" authorId="0" shapeId="0">
      <text>
        <r>
          <rPr>
            <sz val="8"/>
            <color indexed="81"/>
            <rFont val="Tahoma"/>
            <family val="2"/>
          </rPr>
          <t>Assume worth $12,000</t>
        </r>
      </text>
    </comment>
    <comment ref="C17" authorId="1"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$17,500</t>
        </r>
      </text>
    </comment>
    <comment ref="C20" authorId="1" shapeId="0">
      <text>
        <r>
          <rPr>
            <sz val="8"/>
            <color indexed="81"/>
            <rFont val="Tahoma"/>
            <family val="2"/>
          </rPr>
          <t>Use for all crops except soybeans</t>
        </r>
      </text>
    </comment>
    <comment ref="D20" authorId="1" shapeId="0">
      <text>
        <r>
          <rPr>
            <sz val="8"/>
            <color indexed="81"/>
            <rFont val="Tahoma"/>
            <family val="2"/>
          </rPr>
          <t>Assume worth $3000</t>
        </r>
      </text>
    </comment>
    <comment ref="C24" authorId="0" shapeId="0">
      <text>
        <r>
          <rPr>
            <sz val="8"/>
            <color indexed="81"/>
            <rFont val="Tahoma"/>
            <family val="2"/>
          </rPr>
          <t>Use for all crops except pasture and clover (assumed underseeded in small grain year).</t>
        </r>
      </text>
    </comment>
    <comment ref="D24" authorId="0" shapeId="0">
      <text>
        <r>
          <rPr>
            <sz val="8"/>
            <color indexed="81"/>
            <rFont val="Tahoma"/>
            <family val="2"/>
          </rPr>
          <t>Assume worth $24,500</t>
        </r>
      </text>
    </comment>
    <comment ref="C27" authorId="1" shapeId="0">
      <text>
        <r>
          <rPr>
            <sz val="8"/>
            <color indexed="81"/>
            <rFont val="Tahoma"/>
            <family val="2"/>
          </rPr>
          <t>Use for grain corn, barley, oats, rye, wheat, and soybeans</t>
        </r>
      </text>
    </comment>
    <comment ref="D27" authorId="0" shapeId="0">
      <text>
        <r>
          <rPr>
            <sz val="8"/>
            <color indexed="81"/>
            <rFont val="Tahoma"/>
            <family val="2"/>
          </rPr>
          <t>Assume $227,000 for combine</t>
        </r>
      </text>
    </comment>
    <comment ref="C28" authorId="1" shapeId="0">
      <text>
        <r>
          <rPr>
            <sz val="8"/>
            <color indexed="81"/>
            <rFont val="Tahoma"/>
            <family val="2"/>
          </rPr>
          <t>Use for grain corn, barley, oats, rye, wheat, and soybeans</t>
        </r>
      </text>
    </comment>
    <comment ref="C31" authorId="0" shapeId="0">
      <text>
        <r>
          <rPr>
            <sz val="8"/>
            <color indexed="81"/>
            <rFont val="Tahoma"/>
            <family val="2"/>
          </rPr>
          <t>Use for all crops</t>
        </r>
      </text>
    </comment>
    <comment ref="D31" authorId="0" shapeId="0">
      <text>
        <r>
          <rPr>
            <sz val="8"/>
            <color indexed="81"/>
            <rFont val="Tahoma"/>
            <family val="2"/>
          </rPr>
          <t>Assume worth $100</t>
        </r>
      </text>
    </comment>
    <comment ref="C32" authorId="0" shapeId="0">
      <text>
        <r>
          <rPr>
            <sz val="8"/>
            <color indexed="81"/>
            <rFont val="Tahoma"/>
            <family val="2"/>
          </rPr>
          <t>Use for all crops</t>
        </r>
      </text>
    </comment>
    <comment ref="D32" authorId="0" shapeId="0">
      <text>
        <r>
          <rPr>
            <sz val="8"/>
            <color indexed="81"/>
            <rFont val="Tahoma"/>
            <family val="2"/>
          </rPr>
          <t>Assume worth $1000</t>
        </r>
      </text>
    </comment>
    <comment ref="D35" authorId="0" shapeId="0">
      <text>
        <r>
          <rPr>
            <sz val="8"/>
            <color indexed="81"/>
            <rFont val="Tahoma"/>
            <family val="2"/>
          </rPr>
          <t>Assume about same cost as cooperating dairy farmer</t>
        </r>
      </text>
    </comment>
    <comment ref="D36" authorId="0" shapeId="0">
      <text>
        <r>
          <rPr>
            <sz val="8"/>
            <color indexed="81"/>
            <rFont val="Tahoma"/>
            <family val="2"/>
          </rPr>
          <t>Assume about same cost as cooperating dairy farmer</t>
        </r>
      </text>
    </comment>
    <comment ref="A37"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B39" authorId="1" shapeId="0">
      <text>
        <r>
          <rPr>
            <sz val="8"/>
            <color indexed="81"/>
            <rFont val="Tahoma"/>
            <family val="2"/>
          </rPr>
          <t>This is owned rotational acreage</t>
        </r>
      </text>
    </comment>
    <comment ref="C42" authorId="1" shapeId="0">
      <text>
        <r>
          <rPr>
            <sz val="8"/>
            <color indexed="81"/>
            <rFont val="Tahoma"/>
            <family val="2"/>
          </rPr>
          <t>Use for all crops</t>
        </r>
      </text>
    </comment>
    <comment ref="D42" authorId="0" shapeId="0">
      <text>
        <r>
          <rPr>
            <sz val="8"/>
            <color indexed="81"/>
            <rFont val="Tahoma"/>
            <family val="2"/>
          </rPr>
          <t>Assume worth $128,000</t>
        </r>
      </text>
    </comment>
  </commentList>
</comments>
</file>

<file path=xl/comments62.xml><?xml version="1.0" encoding="utf-8"?>
<comments xmlns="http://schemas.openxmlformats.org/spreadsheetml/2006/main">
  <authors>
    <author>aaron hoshide</author>
  </authors>
  <commentList>
    <comment ref="A26" authorId="0" shapeId="0">
      <text>
        <r>
          <rPr>
            <sz val="8"/>
            <color indexed="81"/>
            <rFont val="Tahoma"/>
            <family val="2"/>
          </rPr>
          <t>Includes promotion tax and leased land</t>
        </r>
      </text>
    </comment>
    <comment ref="A31" authorId="0" shapeId="0">
      <text>
        <r>
          <rPr>
            <sz val="8"/>
            <color indexed="81"/>
            <rFont val="Tahoma"/>
            <family val="2"/>
          </rPr>
          <t>Drying</t>
        </r>
      </text>
    </comment>
  </commentList>
</comments>
</file>

<file path=xl/comments63.xml><?xml version="1.0" encoding="utf-8"?>
<comments xmlns="http://schemas.openxmlformats.org/spreadsheetml/2006/main">
  <authors>
    <author>aaron hoshide</author>
    <author>REP</author>
    <author xml:space="preserve"> </author>
  </authors>
  <commentList>
    <comment ref="C9" authorId="0" shapeId="0">
      <text>
        <r>
          <rPr>
            <sz val="8"/>
            <color indexed="81"/>
            <rFont val="Tahoma"/>
            <family val="2"/>
          </rPr>
          <t xml:space="preserve">Use forage seeding rate:
http://ag.arizona.edu/pubs/crops/az9702.pdf
Old value of 30 lb/acre:
http://www.sarep.ucdavis.edu/cgi-bin/CCrop.exe/show_crop_36
</t>
        </r>
      </text>
    </comment>
    <comment ref="F9" authorId="0" shapeId="0">
      <text>
        <r>
          <rPr>
            <sz val="8"/>
            <color indexed="81"/>
            <rFont val="Tahoma"/>
            <family val="2"/>
          </rPr>
          <t>Assume $0.638/lb average for 2007-2009 (http://www.nass.usda.gov/Publications/Ag_Statistics/2010/Chapter04.pdf). 
Old value of $0.375 (=AVERAGE(0.35,0.4)) from: http://www.sarep.ucdavis.edu/cgi-bin/CCrop.exe/show_crop_36</t>
        </r>
      </text>
    </comment>
    <comment ref="C11" authorId="0" shapeId="0">
      <text>
        <r>
          <rPr>
            <sz val="8"/>
            <color indexed="81"/>
            <rFont val="Tahoma"/>
            <family val="2"/>
          </rPr>
          <t xml:space="preserve">Assume need 100 lb/acre of N or 218 lb of urea 46-0-0.  Nutrient requirement for sudan grass from: 
http://www.omafra.gov.on.ca/english/crops/facts/98-043.htm
For long-term coupled assume need less fertilizer like silage corn in same proportion.  Coupled needs 100 lb/acre of Urea 46-0-0, while conventional needs 125 lb/acre of Urea 46-0-0. </t>
        </r>
      </text>
    </comment>
    <comment ref="F11" authorId="1" shapeId="0">
      <text>
        <r>
          <rPr>
            <sz val="8"/>
            <color indexed="81"/>
            <rFont val="Tahoma"/>
            <family val="2"/>
          </rPr>
          <t>Assume percent increase in price for this. Old price of urea side dress for conventional dairy at $230/ton.
Old value:
=230+(230*'Key Data'!$F$71)</t>
        </r>
      </text>
    </comment>
    <comment ref="C12" authorId="2" shapeId="0">
      <text>
        <r>
          <rPr>
            <sz val="8"/>
            <color indexed="81"/>
            <rFont val="Tahoma"/>
            <family val="2"/>
          </rPr>
          <t>Old value of 0.61 (=0.6065).</t>
        </r>
      </text>
    </comment>
    <comment ref="C14" authorId="0" shapeId="0">
      <text>
        <r>
          <rPr>
            <sz val="8"/>
            <color indexed="81"/>
            <rFont val="Tahoma"/>
            <family val="2"/>
          </rPr>
          <t>Assume same as barley.  Conventional assumes use 1 pt/acre of MCPA Amine.</t>
        </r>
      </text>
    </comment>
    <comment ref="F14" authorId="2" shapeId="0">
      <text>
        <r>
          <rPr>
            <sz val="8"/>
            <color indexed="81"/>
            <rFont val="Tahoma"/>
            <family val="2"/>
          </rPr>
          <t xml:space="preserve">Adjusted by PPI to convert from 2002 surveyed cost to 2010. </t>
        </r>
      </text>
    </comment>
    <comment ref="C18" authorId="0" shapeId="0">
      <text>
        <r>
          <rPr>
            <sz val="8"/>
            <color indexed="81"/>
            <rFont val="Tahoma"/>
            <family val="2"/>
          </rPr>
          <t>Adjust this down to match total hours per acre for sudan grass.  Assume need less secondary tillage.</t>
        </r>
      </text>
    </comment>
    <comment ref="C20" authorId="2" shapeId="0">
      <text>
        <r>
          <rPr>
            <sz val="8"/>
            <color indexed="81"/>
            <rFont val="Tahoma"/>
            <family val="2"/>
          </rPr>
          <t>Old value of 0</t>
        </r>
      </text>
    </comment>
    <comment ref="C21" authorId="2" shapeId="0">
      <text>
        <r>
          <rPr>
            <sz val="8"/>
            <color indexed="81"/>
            <rFont val="Tahoma"/>
            <family val="2"/>
          </rPr>
          <t>Changed from broadcast urea</t>
        </r>
      </text>
    </comment>
    <comment ref="C25" authorId="0" shapeId="0">
      <text>
        <r>
          <rPr>
            <sz val="8"/>
            <color indexed="81"/>
            <rFont val="Tahoma"/>
            <family val="2"/>
          </rPr>
          <t>Assume longer than chisel plow and adjust for medium sized model.</t>
        </r>
      </text>
    </comment>
    <comment ref="C33" authorId="2" shapeId="0">
      <text>
        <r>
          <rPr>
            <sz val="8"/>
            <color indexed="81"/>
            <rFont val="Tahoma"/>
            <family val="2"/>
          </rPr>
          <t>Old value of 0</t>
        </r>
      </text>
    </comment>
    <comment ref="G43" authorId="0" shapeId="0">
      <text>
        <r>
          <rPr>
            <sz val="8"/>
            <color indexed="81"/>
            <rFont val="Tahoma"/>
            <family val="2"/>
          </rPr>
          <t>Assume this is zero.</t>
        </r>
      </text>
    </comment>
    <comment ref="G44" authorId="0" shapeId="0">
      <text>
        <r>
          <rPr>
            <sz val="8"/>
            <color indexed="81"/>
            <rFont val="Tahoma"/>
            <family val="2"/>
          </rPr>
          <t>Assume this is $10/acre.</t>
        </r>
      </text>
    </comment>
    <comment ref="G45" authorId="0" shapeId="0">
      <text>
        <r>
          <rPr>
            <sz val="8"/>
            <color indexed="81"/>
            <rFont val="Tahoma"/>
            <family val="2"/>
          </rPr>
          <t>Use enterprise budget crop insurance of $100 for 300 acres.</t>
        </r>
      </text>
    </comment>
    <comment ref="G46" authorId="0" shapeId="0">
      <text>
        <r>
          <rPr>
            <sz val="8"/>
            <color indexed="81"/>
            <rFont val="Tahoma"/>
            <family val="2"/>
          </rPr>
          <t>Assume this is zero.</t>
        </r>
      </text>
    </comment>
    <comment ref="G48" authorId="0" shapeId="0">
      <text>
        <r>
          <rPr>
            <b/>
            <sz val="8"/>
            <color indexed="81"/>
            <rFont val="Tahoma"/>
            <family val="2"/>
          </rPr>
          <t>Old value assumes $0/acre.  
Assume 12 months at $50 a month divided by 300 acre model for utilities for workshop.</t>
        </r>
      </text>
    </comment>
    <comment ref="G49" authorId="0" shapeId="0">
      <text>
        <r>
          <rPr>
            <sz val="8"/>
            <color indexed="81"/>
            <rFont val="Tahoma"/>
            <family val="2"/>
          </rPr>
          <t>Assume this is zero.</t>
        </r>
      </text>
    </comment>
    <comment ref="G52" authorId="0" shapeId="0">
      <text>
        <r>
          <rPr>
            <sz val="8"/>
            <color indexed="81"/>
            <rFont val="Tahoma"/>
            <family val="2"/>
          </rPr>
          <t>Assume no other rental.</t>
        </r>
      </text>
    </comment>
    <comment ref="G55" authorId="0" shapeId="0">
      <text>
        <r>
          <rPr>
            <sz val="8"/>
            <color indexed="81"/>
            <rFont val="Tahoma"/>
            <family val="2"/>
          </rPr>
          <t>Assume $5/acre for other variable miscellaneous expenses.</t>
        </r>
      </text>
    </comment>
  </commentList>
</comments>
</file>

<file path=xl/comments64.xml><?xml version="1.0" encoding="utf-8"?>
<comments xmlns="http://schemas.openxmlformats.org/spreadsheetml/2006/main">
  <authors>
    <author>aaron hoshide</author>
    <author>REP</author>
  </authors>
  <commentList>
    <comment ref="C9" authorId="0" shapeId="0">
      <text>
        <r>
          <rPr>
            <sz val="8"/>
            <color indexed="81"/>
            <rFont val="Tahoma"/>
            <family val="2"/>
          </rPr>
          <t>Use for all crops</t>
        </r>
      </text>
    </comment>
    <comment ref="D9" authorId="1" shapeId="0">
      <text>
        <r>
          <rPr>
            <sz val="8"/>
            <color indexed="81"/>
            <rFont val="Tahoma"/>
            <family val="2"/>
          </rPr>
          <t>Assume worth $110,000</t>
        </r>
      </text>
    </comment>
    <comment ref="B12" authorId="0" shapeId="0">
      <text>
        <r>
          <rPr>
            <sz val="8"/>
            <color indexed="81"/>
            <rFont val="Tahoma"/>
            <family val="2"/>
          </rPr>
          <t>Assume do not use since sudan grass is a cover crop.</t>
        </r>
      </text>
    </comment>
    <comment ref="C12" authorId="0" shapeId="0">
      <text>
        <r>
          <rPr>
            <sz val="8"/>
            <color indexed="81"/>
            <rFont val="Tahoma"/>
            <family val="2"/>
          </rPr>
          <t>Use for all crops except for sudan grass</t>
        </r>
      </text>
    </comment>
    <comment ref="D12" authorId="1" shapeId="0">
      <text>
        <r>
          <rPr>
            <sz val="8"/>
            <color indexed="81"/>
            <rFont val="Tahoma"/>
            <family val="2"/>
          </rPr>
          <t>Assume worth $28,000</t>
        </r>
      </text>
    </comment>
    <comment ref="C15" authorId="0" shapeId="0">
      <text>
        <r>
          <rPr>
            <sz val="8"/>
            <color indexed="81"/>
            <rFont val="Tahoma"/>
            <family val="2"/>
          </rPr>
          <t>Use for all crops except pasture and clover (assumed underseeded in small grain year).</t>
        </r>
      </text>
    </comment>
    <comment ref="D15" authorId="1" shapeId="0">
      <text>
        <r>
          <rPr>
            <sz val="8"/>
            <color indexed="81"/>
            <rFont val="Tahoma"/>
            <family val="2"/>
          </rPr>
          <t>Assume worth $15,800</t>
        </r>
      </text>
    </comment>
    <comment ref="C16" authorId="0" shapeId="0">
      <text>
        <r>
          <rPr>
            <sz val="8"/>
            <color indexed="81"/>
            <rFont val="Tahoma"/>
            <family val="2"/>
          </rPr>
          <t>Use for all crops except pasture and clover (assumed underseeded in small grain year).</t>
        </r>
      </text>
    </comment>
    <comment ref="D16" authorId="0" shapeId="0">
      <text>
        <r>
          <rPr>
            <sz val="8"/>
            <color indexed="81"/>
            <rFont val="Tahoma"/>
            <family val="2"/>
          </rPr>
          <t>Assume worth $12,000</t>
        </r>
      </text>
    </comment>
    <comment ref="C17" authorId="0" shapeId="0">
      <text>
        <r>
          <rPr>
            <sz val="8"/>
            <color indexed="81"/>
            <rFont val="Tahoma"/>
            <family val="2"/>
          </rPr>
          <t>Use for all crops except pasture and clover (assumed underseeded in small grain year).</t>
        </r>
      </text>
    </comment>
    <comment ref="D17" authorId="0" shapeId="0">
      <text>
        <r>
          <rPr>
            <sz val="8"/>
            <color indexed="81"/>
            <rFont val="Tahoma"/>
            <family val="2"/>
          </rPr>
          <t>Assume worth $17,500</t>
        </r>
      </text>
    </comment>
    <comment ref="C20" authorId="0" shapeId="0">
      <text>
        <r>
          <rPr>
            <sz val="8"/>
            <color indexed="81"/>
            <rFont val="Tahoma"/>
            <family val="2"/>
          </rPr>
          <t>Use for all crops except soybeans</t>
        </r>
      </text>
    </comment>
    <comment ref="D20" authorId="0" shapeId="0">
      <text>
        <r>
          <rPr>
            <sz val="8"/>
            <color indexed="81"/>
            <rFont val="Tahoma"/>
            <family val="2"/>
          </rPr>
          <t>Same as conventional small dairy ($3000)</t>
        </r>
      </text>
    </comment>
    <comment ref="C21" authorId="0" shapeId="0">
      <text>
        <r>
          <rPr>
            <sz val="8"/>
            <color indexed="81"/>
            <rFont val="Tahoma"/>
            <family val="2"/>
          </rPr>
          <t>Use for small grain crops</t>
        </r>
      </text>
    </comment>
    <comment ref="D21" authorId="1" shapeId="0">
      <text>
        <r>
          <rPr>
            <sz val="8"/>
            <color indexed="81"/>
            <rFont val="Tahoma"/>
            <family val="2"/>
          </rPr>
          <t>Assume worth $10,000</t>
        </r>
      </text>
    </comment>
    <comment ref="C24" authorId="1" shapeId="0">
      <text>
        <r>
          <rPr>
            <sz val="8"/>
            <color indexed="81"/>
            <rFont val="Tahoma"/>
            <family val="2"/>
          </rPr>
          <t>Use for all crops except pasture and clover (assumed underseeded in small grain year).</t>
        </r>
      </text>
    </comment>
    <comment ref="D24" authorId="1" shapeId="0">
      <text>
        <r>
          <rPr>
            <sz val="8"/>
            <color indexed="81"/>
            <rFont val="Tahoma"/>
            <family val="2"/>
          </rPr>
          <t>Assume worth $24,500</t>
        </r>
      </text>
    </comment>
    <comment ref="C27" authorId="1" shapeId="0">
      <text>
        <r>
          <rPr>
            <sz val="8"/>
            <color indexed="81"/>
            <rFont val="Tahoma"/>
            <family val="2"/>
          </rPr>
          <t>Use for all crops</t>
        </r>
      </text>
    </comment>
    <comment ref="D27" authorId="1" shapeId="0">
      <text>
        <r>
          <rPr>
            <sz val="8"/>
            <color indexed="81"/>
            <rFont val="Tahoma"/>
            <family val="2"/>
          </rPr>
          <t>Assume worth $100</t>
        </r>
      </text>
    </comment>
    <comment ref="C28" authorId="1" shapeId="0">
      <text>
        <r>
          <rPr>
            <sz val="8"/>
            <color indexed="81"/>
            <rFont val="Tahoma"/>
            <family val="2"/>
          </rPr>
          <t>Use for all crops</t>
        </r>
      </text>
    </comment>
    <comment ref="D28" authorId="1" shapeId="0">
      <text>
        <r>
          <rPr>
            <sz val="8"/>
            <color indexed="81"/>
            <rFont val="Tahoma"/>
            <family val="2"/>
          </rPr>
          <t>Assume worth $1000</t>
        </r>
      </text>
    </comment>
    <comment ref="D33" authorId="0" shapeId="0">
      <text>
        <r>
          <rPr>
            <sz val="8"/>
            <color indexed="81"/>
            <rFont val="Tahoma"/>
            <family val="2"/>
          </rPr>
          <t>Assume worth $128,000</t>
        </r>
      </text>
    </comment>
  </commentList>
</comments>
</file>

<file path=xl/comments65.xml><?xml version="1.0" encoding="utf-8"?>
<comments xmlns="http://schemas.openxmlformats.org/spreadsheetml/2006/main">
  <authors>
    <author>aaron hoshide</author>
  </authors>
  <commentList>
    <comment ref="C4" authorId="0" shapeId="0">
      <text>
        <r>
          <rPr>
            <sz val="8"/>
            <color indexed="81"/>
            <rFont val="Tahoma"/>
            <family val="2"/>
          </rPr>
          <t>Sources for yield:
1) http://www.mac.umaine.edu/projects/TerminationReports/067%20Jemison.htm 
2) http://www.omafra.gov.on.ca/english/crops/facts/98-043.htm</t>
        </r>
      </text>
    </comment>
    <comment ref="C5" authorId="0" shapeId="0">
      <text>
        <r>
          <rPr>
            <sz val="8"/>
            <color indexed="81"/>
            <rFont val="Tahoma"/>
            <family val="2"/>
          </rPr>
          <t>Sudan grass is a cover crop and is not sold.  Assume feed price as proxy.</t>
        </r>
      </text>
    </comment>
  </commentList>
</comments>
</file>

<file path=xl/comments66.xml><?xml version="1.0" encoding="utf-8"?>
<comments xmlns="http://schemas.openxmlformats.org/spreadsheetml/2006/main">
  <authors>
    <author>aaron hoshide</author>
    <author>REP</author>
    <author xml:space="preserve"> </author>
  </authors>
  <commentList>
    <comment ref="C9" authorId="0" shapeId="0">
      <text>
        <r>
          <rPr>
            <sz val="8"/>
            <color indexed="81"/>
            <rFont val="Tahoma"/>
            <family val="2"/>
          </rPr>
          <t>Assume typical recommended seeding rate for spring canola:
http://www.omafra.gov.on.ca/english/busdev/facts/pub60a4.htm
http://arec.oregonstate.edu/oaeb/files/pdf/EM8633.pdf</t>
        </r>
      </text>
    </comment>
    <comment ref="F9" authorId="0" shapeId="0">
      <text>
        <r>
          <rPr>
            <sz val="8"/>
            <color indexed="81"/>
            <rFont val="Tahoma"/>
            <family val="2"/>
          </rPr>
          <t>Assume winter canola seed price (non-GMO) for 2011:
http://www.omafra.gov.on.ca/english/busdev/facts/pub60a5.htm
GM seed more expensive at $9.78/lb (=48.9/5):
http://www.omafra.gov.on.ca/english/busdev/facts/pub60a4.htm</t>
        </r>
      </text>
    </comment>
    <comment ref="C11" authorId="1" shapeId="0">
      <text>
        <r>
          <rPr>
            <sz val="8"/>
            <color indexed="81"/>
            <rFont val="Tahoma"/>
            <family val="2"/>
          </rPr>
          <t>Use typical recommendation for spring canola:
http://www.omafra.gov.on.ca/english/busdev/facts/pub60a4.htm</t>
        </r>
      </text>
    </comment>
    <comment ref="F11" authorId="1" shapeId="0">
      <text>
        <r>
          <rPr>
            <sz val="8"/>
            <color indexed="81"/>
            <rFont val="Tahoma"/>
            <family val="2"/>
          </rPr>
          <t>Assume percent increase in price for this. Old price of urea side dress for conventional dairy at $230/ton.
Old value:
=230+(230*'Key Data'!$F$71)</t>
        </r>
      </text>
    </comment>
    <comment ref="A12" authorId="2" shapeId="0">
      <text>
        <r>
          <rPr>
            <sz val="8"/>
            <color indexed="81"/>
            <rFont val="Tahoma"/>
            <family val="2"/>
          </rPr>
          <t>21-0-0 24(S)</t>
        </r>
      </text>
    </comment>
    <comment ref="C12" authorId="1" shapeId="0">
      <text>
        <r>
          <rPr>
            <sz val="8"/>
            <color indexed="81"/>
            <rFont val="Tahoma"/>
            <family val="2"/>
          </rPr>
          <t>Use typical recommendation for spring canola:
http://www.omafra.gov.on.ca/english/busdev/facts/pub60a4.htm</t>
        </r>
      </text>
    </comment>
    <comment ref="F12" authorId="1" shapeId="0">
      <text>
        <r>
          <rPr>
            <sz val="8"/>
            <color indexed="81"/>
            <rFont val="Tahoma"/>
            <family val="2"/>
          </rPr>
          <t>Use:
http://www.tractorbynet.com/forums/ag-tractors-machinery/122926-fertilizer-price-check-ammonium-sulfate.html
Old value:
435</t>
        </r>
      </text>
    </comment>
    <comment ref="A13" authorId="2" shapeId="0">
      <text>
        <r>
          <rPr>
            <sz val="8"/>
            <color indexed="81"/>
            <rFont val="Tahoma"/>
            <family val="2"/>
          </rPr>
          <t xml:space="preserve">0-20-20 </t>
        </r>
      </text>
    </comment>
    <comment ref="C13" authorId="1" shapeId="0">
      <text>
        <r>
          <rPr>
            <sz val="8"/>
            <color indexed="81"/>
            <rFont val="Tahoma"/>
            <family val="2"/>
          </rPr>
          <t>Use typical recommendation for spring canola:
http://www.omafra.gov.on.ca/english/busdev/facts/pub60a4.htm</t>
        </r>
      </text>
    </comment>
    <comment ref="F13" authorId="1" shapeId="0">
      <text>
        <r>
          <rPr>
            <sz val="8"/>
            <color indexed="81"/>
            <rFont val="Tahoma"/>
            <family val="2"/>
          </rPr>
          <t>Assume same price as potato at plant fertilizer.
Old value:
=205+(205*'Key Data'!$F$71)</t>
        </r>
      </text>
    </comment>
    <comment ref="C14" authorId="2" shapeId="0">
      <text>
        <r>
          <rPr>
            <sz val="8"/>
            <color indexed="81"/>
            <rFont val="Tahoma"/>
            <family val="2"/>
          </rPr>
          <t>Old value of 0.61 (=0.6065).</t>
        </r>
      </text>
    </comment>
    <comment ref="C16" authorId="0" shapeId="0">
      <text>
        <r>
          <rPr>
            <sz val="8"/>
            <color indexed="81"/>
            <rFont val="Tahoma"/>
            <family val="2"/>
          </rPr>
          <t>Assume same as barley.  Conventional assumes use 1 pt/acre of MCPA Amine.</t>
        </r>
      </text>
    </comment>
    <comment ref="F16" authorId="2" shapeId="0">
      <text>
        <r>
          <rPr>
            <sz val="8"/>
            <color indexed="81"/>
            <rFont val="Tahoma"/>
            <family val="2"/>
          </rPr>
          <t xml:space="preserve">Adjusted by PPI to convert from 2002 surveyed cost to 2010. </t>
        </r>
      </text>
    </comment>
    <comment ref="C21" authorId="2" shapeId="0">
      <text>
        <r>
          <rPr>
            <sz val="8"/>
            <color indexed="81"/>
            <rFont val="Tahoma"/>
            <family val="2"/>
          </rPr>
          <t>Old value of 0.283205812177919</t>
        </r>
      </text>
    </comment>
    <comment ref="C22" authorId="2" shapeId="0">
      <text>
        <r>
          <rPr>
            <sz val="8"/>
            <color indexed="81"/>
            <rFont val="Tahoma"/>
            <family val="2"/>
          </rPr>
          <t>Changed from broadcast urea</t>
        </r>
      </text>
    </comment>
    <comment ref="C25" authorId="2" shapeId="0">
      <text>
        <r>
          <rPr>
            <sz val="8"/>
            <color indexed="81"/>
            <rFont val="Tahoma"/>
            <family val="2"/>
          </rPr>
          <t>Assume same as grain drill.</t>
        </r>
      </text>
    </comment>
    <comment ref="C27" authorId="2" shapeId="0">
      <text>
        <r>
          <rPr>
            <sz val="8"/>
            <color indexed="81"/>
            <rFont val="Tahoma"/>
            <family val="2"/>
          </rPr>
          <t>Assume same as small grains.</t>
        </r>
      </text>
    </comment>
    <comment ref="B28" authorId="2" shapeId="0">
      <text>
        <r>
          <rPr>
            <sz val="8"/>
            <color indexed="81"/>
            <rFont val="Tahoma"/>
            <family val="2"/>
          </rPr>
          <t>Assume that there is no change for this since it takes the same time to pass over the field.</t>
        </r>
      </text>
    </comment>
    <comment ref="C32" authorId="0" shapeId="0">
      <text>
        <r>
          <rPr>
            <sz val="8"/>
            <color indexed="81"/>
            <rFont val="Tahoma"/>
            <family val="2"/>
          </rPr>
          <t>Assume this is zero.
Old value assumes this is adjusted for lower oat yield compared to grain corn (1 hr ) to use concentrate grinder since barley used on farm.  Old value assumes this is for grinding for feed and trucking to dairy farm and certain percentage of conventional (0.337207629692987 hr).
=GCornOperCosts!C31*(FARMBUDGET!D14/GCornBudget!E4)</t>
        </r>
      </text>
    </comment>
    <comment ref="C41" authorId="2" shapeId="0">
      <text>
        <r>
          <rPr>
            <sz val="8"/>
            <color indexed="81"/>
            <rFont val="Tahoma"/>
            <family val="2"/>
          </rPr>
          <t>Assume same as grain drill.</t>
        </r>
      </text>
    </comment>
    <comment ref="C43" authorId="2" shapeId="0">
      <text>
        <r>
          <rPr>
            <sz val="8"/>
            <color indexed="81"/>
            <rFont val="Tahoma"/>
            <family val="2"/>
          </rPr>
          <t>Assume same as small grains.</t>
        </r>
      </text>
    </comment>
    <comment ref="B44" authorId="2" shapeId="0">
      <text>
        <r>
          <rPr>
            <sz val="8"/>
            <color indexed="81"/>
            <rFont val="Tahoma"/>
            <family val="2"/>
          </rPr>
          <t>Assume that there is no change for this since it takes the same time to pass over the field.</t>
        </r>
      </text>
    </comment>
    <comment ref="C48" authorId="0" shapeId="0">
      <text>
        <r>
          <rPr>
            <sz val="8"/>
            <color indexed="81"/>
            <rFont val="Tahoma"/>
            <family val="2"/>
          </rPr>
          <t>Assume this is zero.
Old value assumes this is adjusted for lower oat yield compared to grain corn (0.5 gal) to use concentrate grinder since barley used on farm.  Old value assumes this is for grinding for feed and trucking to dairy farm and certain percentage of conventional (0.458904409713779 gal).
=GCornOperCosts!C47*(FARMBUDGET!D14/GCornBudget!E4)</t>
        </r>
      </text>
    </comment>
    <comment ref="G51" authorId="0" shapeId="0">
      <text>
        <r>
          <rPr>
            <sz val="8"/>
            <color indexed="81"/>
            <rFont val="Tahoma"/>
            <family val="2"/>
          </rPr>
          <t>Assume this is zero.</t>
        </r>
      </text>
    </comment>
    <comment ref="G52" authorId="0" shapeId="0">
      <text>
        <r>
          <rPr>
            <sz val="8"/>
            <color indexed="81"/>
            <rFont val="Tahoma"/>
            <family val="2"/>
          </rPr>
          <t>Assume this is $10/acre.  Old value of $57.59/acre assumes same cost of supplies as 2001 Farm Credit budget.</t>
        </r>
      </text>
    </comment>
    <comment ref="H52" authorId="1" shapeId="0">
      <text>
        <r>
          <rPr>
            <sz val="8"/>
            <color indexed="81"/>
            <rFont val="Tahoma"/>
            <family val="2"/>
          </rPr>
          <t>Old equation (=E48*barley*G3).</t>
        </r>
      </text>
    </comment>
    <comment ref="A53" authorId="1" shapeId="0">
      <text>
        <r>
          <rPr>
            <sz val="8"/>
            <color indexed="81"/>
            <rFont val="Tahoma"/>
            <family val="2"/>
          </rPr>
          <t>No crop insurance.</t>
        </r>
      </text>
    </comment>
    <comment ref="G53" authorId="0" shapeId="0">
      <text>
        <r>
          <rPr>
            <sz val="8"/>
            <color indexed="81"/>
            <rFont val="Tahoma"/>
            <family val="2"/>
          </rPr>
          <t>Assume same as enterprise budget for potatoes</t>
        </r>
      </text>
    </comment>
    <comment ref="G54" authorId="0" shapeId="0">
      <text>
        <r>
          <rPr>
            <sz val="8"/>
            <color indexed="81"/>
            <rFont val="Tahoma"/>
            <family val="2"/>
          </rPr>
          <t>Assume this is zero.</t>
        </r>
      </text>
    </comment>
    <comment ref="G56" authorId="0"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G57" authorId="0" shapeId="0">
      <text>
        <r>
          <rPr>
            <sz val="8"/>
            <color indexed="81"/>
            <rFont val="Tahoma"/>
            <family val="2"/>
          </rPr>
          <t>Assume this is zero.</t>
        </r>
      </text>
    </comment>
    <comment ref="J58" authorId="2" shapeId="0">
      <text>
        <r>
          <rPr>
            <sz val="8"/>
            <color indexed="81"/>
            <rFont val="Tahoma"/>
            <family val="2"/>
          </rPr>
          <t>Calculate this for wheat baseline of 500 bu x 60 lb/bu = 30,000 lb capacity.</t>
        </r>
      </text>
    </comment>
    <comment ref="A59" authorId="0" shapeId="0">
      <text>
        <r>
          <rPr>
            <sz val="8"/>
            <color indexed="81"/>
            <rFont val="Tahoma"/>
            <family val="2"/>
          </rPr>
          <t>Assume 25% of land is leased.</t>
        </r>
      </text>
    </comment>
    <comment ref="J59" authorId="2" shapeId="0">
      <text>
        <r>
          <rPr>
            <sz val="8"/>
            <color indexed="81"/>
            <rFont val="Tahoma"/>
            <family val="2"/>
          </rPr>
          <t>Calculate this for wheat baseline of 1000 bu x 60 lb/bu = 60,000 lb capacity.</t>
        </r>
      </text>
    </comment>
    <comment ref="G60" authorId="1" shapeId="0">
      <text>
        <r>
          <rPr>
            <sz val="8"/>
            <color indexed="81"/>
            <rFont val="Tahoma"/>
            <family val="2"/>
          </rPr>
          <t>Assume no other rental.</t>
        </r>
      </text>
    </comment>
    <comment ref="P62" authorId="2"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P65" authorId="2" shapeId="0">
      <text>
        <r>
          <rPr>
            <sz val="8"/>
            <color indexed="81"/>
            <rFont val="Tahoma"/>
            <family val="2"/>
          </rPr>
          <t>This is one way mileage since this is how freight and trucking is charged.
For both soybeans and canola there are 2 options:
1) Quebec - 329 miles
2) Just outside Houlton - 50-60 miles</t>
        </r>
      </text>
    </comment>
    <comment ref="G69" authorId="0" shapeId="0">
      <text>
        <r>
          <rPr>
            <sz val="8"/>
            <color indexed="81"/>
            <rFont val="Tahoma"/>
            <family val="2"/>
          </rPr>
          <t>Assume this is zero. According to Tom Molloy sometimes this is done but sometimes this is not done.</t>
        </r>
      </text>
    </comment>
    <comment ref="G71" authorId="0" shapeId="0">
      <text>
        <r>
          <rPr>
            <sz val="8"/>
            <color indexed="81"/>
            <rFont val="Tahoma"/>
            <family val="2"/>
          </rPr>
          <t>Assume $5/acre for other variable miscellaneous expenses.</t>
        </r>
      </text>
    </comment>
    <comment ref="A72" authorId="0" shapeId="0">
      <text>
        <r>
          <rPr>
            <sz val="8"/>
            <color indexed="81"/>
            <rFont val="Tahoma"/>
            <family val="2"/>
          </rPr>
          <t>Assume no promotion tax on barley.</t>
        </r>
      </text>
    </comment>
    <comment ref="H73" authorId="1" shapeId="0">
      <text>
        <r>
          <rPr>
            <sz val="8"/>
            <color indexed="81"/>
            <rFont val="Tahoma"/>
            <family val="2"/>
          </rPr>
          <t>Assume this is zero.</t>
        </r>
      </text>
    </comment>
  </commentList>
</comments>
</file>

<file path=xl/comments67.xml><?xml version="1.0" encoding="utf-8"?>
<comments xmlns="http://schemas.openxmlformats.org/spreadsheetml/2006/main">
  <authors>
    <author>REP</author>
    <author>aaron hoshide</author>
    <author xml:space="preserve"> </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2" authorId="1" shapeId="0">
      <text>
        <r>
          <rPr>
            <sz val="8"/>
            <color indexed="81"/>
            <rFont val="Tahoma"/>
            <family val="2"/>
          </rPr>
          <t>Use for all crops except for sudan grass</t>
        </r>
      </text>
    </comment>
    <comment ref="D12" authorId="0" shapeId="0">
      <text>
        <r>
          <rPr>
            <sz val="8"/>
            <color indexed="81"/>
            <rFont val="Tahoma"/>
            <family val="2"/>
          </rPr>
          <t>Assume worth $28,000</t>
        </r>
      </text>
    </comment>
    <comment ref="C15" authorId="1" shapeId="0">
      <text>
        <r>
          <rPr>
            <sz val="8"/>
            <color indexed="81"/>
            <rFont val="Tahoma"/>
            <family val="2"/>
          </rPr>
          <t>Use for all crops except pasture and clover (assumed underseeded in small grain year).</t>
        </r>
      </text>
    </comment>
    <comment ref="D15" authorId="0" shapeId="0">
      <text>
        <r>
          <rPr>
            <sz val="8"/>
            <color indexed="81"/>
            <rFont val="Tahoma"/>
            <family val="2"/>
          </rPr>
          <t>Assume worth $15,800</t>
        </r>
      </text>
    </comment>
    <comment ref="C16" authorId="1" shapeId="0">
      <text>
        <r>
          <rPr>
            <sz val="8"/>
            <color indexed="81"/>
            <rFont val="Tahoma"/>
            <family val="2"/>
          </rPr>
          <t>Use for all crops except pasture and clover (assumed underseeded in small grain year).</t>
        </r>
      </text>
    </comment>
    <comment ref="D16" authorId="1" shapeId="0">
      <text>
        <r>
          <rPr>
            <sz val="8"/>
            <color indexed="81"/>
            <rFont val="Tahoma"/>
            <family val="2"/>
          </rPr>
          <t>Assume worth $12,000</t>
        </r>
      </text>
    </comment>
    <comment ref="C17" authorId="1" shapeId="0">
      <text>
        <r>
          <rPr>
            <sz val="8"/>
            <color indexed="81"/>
            <rFont val="Tahoma"/>
            <family val="2"/>
          </rPr>
          <t>Use for all crops except pasture and clover (assumed underseeded in small grain year).</t>
        </r>
      </text>
    </comment>
    <comment ref="D17" authorId="1" shapeId="0">
      <text>
        <r>
          <rPr>
            <sz val="8"/>
            <color indexed="81"/>
            <rFont val="Tahoma"/>
            <family val="2"/>
          </rPr>
          <t>Assume worth $17,500</t>
        </r>
      </text>
    </comment>
    <comment ref="C20" authorId="1" shapeId="0">
      <text>
        <r>
          <rPr>
            <sz val="8"/>
            <color indexed="81"/>
            <rFont val="Tahoma"/>
            <family val="2"/>
          </rPr>
          <t>Use for all crops except soybeans</t>
        </r>
      </text>
    </comment>
    <comment ref="D20" authorId="1" shapeId="0">
      <text>
        <r>
          <rPr>
            <sz val="8"/>
            <color indexed="81"/>
            <rFont val="Tahoma"/>
            <family val="2"/>
          </rPr>
          <t>Same as conventional small dairy ($3000)</t>
        </r>
      </text>
    </comment>
    <comment ref="C21" authorId="2" shapeId="0">
      <text>
        <r>
          <rPr>
            <sz val="8"/>
            <color indexed="81"/>
            <rFont val="Tahoma"/>
            <family val="2"/>
          </rPr>
          <t>Use for alfalfa, haylage, dry hay, and canola.</t>
        </r>
      </text>
    </comment>
    <comment ref="C24" authorId="0" shapeId="0">
      <text>
        <r>
          <rPr>
            <sz val="8"/>
            <color indexed="81"/>
            <rFont val="Tahoma"/>
            <family val="2"/>
          </rPr>
          <t>Use for all crops except pasture and clover (assumed underseeded in small grain year).</t>
        </r>
      </text>
    </comment>
    <comment ref="D24" authorId="0" shapeId="0">
      <text>
        <r>
          <rPr>
            <sz val="8"/>
            <color indexed="81"/>
            <rFont val="Tahoma"/>
            <family val="2"/>
          </rPr>
          <t>Assume worth $24,500</t>
        </r>
      </text>
    </comment>
    <comment ref="C27" authorId="1" shapeId="0">
      <text>
        <r>
          <rPr>
            <sz val="8"/>
            <color indexed="81"/>
            <rFont val="Tahoma"/>
            <family val="2"/>
          </rPr>
          <t>Use for grain corn, barley, oats, and soybeans</t>
        </r>
      </text>
    </comment>
    <comment ref="D27" authorId="0" shapeId="0">
      <text>
        <r>
          <rPr>
            <sz val="8"/>
            <color indexed="81"/>
            <rFont val="Tahoma"/>
            <family val="2"/>
          </rPr>
          <t>Assume $227,000 for combine</t>
        </r>
      </text>
    </comment>
    <comment ref="C28" authorId="1" shapeId="0">
      <text>
        <r>
          <rPr>
            <sz val="8"/>
            <color indexed="81"/>
            <rFont val="Tahoma"/>
            <family val="2"/>
          </rPr>
          <t>Use for grain corn, barley, oats, rye, wheat, and soybeans</t>
        </r>
      </text>
    </comment>
    <comment ref="D28" authorId="0" shapeId="0">
      <text>
        <r>
          <rPr>
            <sz val="8"/>
            <color indexed="81"/>
            <rFont val="Tahoma"/>
            <family val="2"/>
          </rPr>
          <t>Assume $23,000 for small grain combine head</t>
        </r>
      </text>
    </comment>
    <comment ref="C31" authorId="0" shapeId="0">
      <text>
        <r>
          <rPr>
            <sz val="8"/>
            <color indexed="81"/>
            <rFont val="Tahoma"/>
            <family val="2"/>
          </rPr>
          <t>Use for all crops</t>
        </r>
      </text>
    </comment>
    <comment ref="D31" authorId="0" shapeId="0">
      <text>
        <r>
          <rPr>
            <sz val="8"/>
            <color indexed="81"/>
            <rFont val="Tahoma"/>
            <family val="2"/>
          </rPr>
          <t>Assume worth $100</t>
        </r>
      </text>
    </comment>
    <comment ref="C32" authorId="0" shapeId="0">
      <text>
        <r>
          <rPr>
            <sz val="8"/>
            <color indexed="81"/>
            <rFont val="Tahoma"/>
            <family val="2"/>
          </rPr>
          <t>Use for all crops</t>
        </r>
      </text>
    </comment>
    <comment ref="D32" authorId="0" shapeId="0">
      <text>
        <r>
          <rPr>
            <sz val="8"/>
            <color indexed="81"/>
            <rFont val="Tahoma"/>
            <family val="2"/>
          </rPr>
          <t>Assume worth $1000</t>
        </r>
      </text>
    </comment>
    <comment ref="D35" authorId="1" shapeId="0">
      <text>
        <r>
          <rPr>
            <sz val="8"/>
            <color indexed="81"/>
            <rFont val="Tahoma"/>
            <family val="2"/>
          </rPr>
          <t>Assume about same cost as cooperating dairy farmer ($3000).</t>
        </r>
      </text>
    </comment>
    <comment ref="A36" authorId="1"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t>
        </r>
        <r>
          <rPr>
            <u/>
            <sz val="8"/>
            <color indexed="81"/>
            <rFont val="Tahoma"/>
            <family val="2"/>
          </rPr>
          <t>Source:</t>
        </r>
        <r>
          <rPr>
            <sz val="8"/>
            <color indexed="81"/>
            <rFont val="Tahoma"/>
            <family val="2"/>
          </rPr>
          <t xml:space="preserv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36" authorId="0" shapeId="0">
      <text>
        <r>
          <rPr>
            <sz val="8"/>
            <color indexed="81"/>
            <rFont val="Tahoma"/>
            <family val="2"/>
          </rPr>
          <t xml:space="preserve">Assume about same cost as cooperating dairy farmer ($29,464). </t>
        </r>
      </text>
    </comment>
    <comment ref="C41" authorId="1" shapeId="0">
      <text>
        <r>
          <rPr>
            <sz val="8"/>
            <color indexed="81"/>
            <rFont val="Tahoma"/>
            <family val="2"/>
          </rPr>
          <t>Use for all crops</t>
        </r>
      </text>
    </comment>
    <comment ref="D41" authorId="0" shapeId="0">
      <text>
        <r>
          <rPr>
            <sz val="8"/>
            <color indexed="81"/>
            <rFont val="Tahoma"/>
            <family val="2"/>
          </rPr>
          <t>Assume worth half as much as conventional large potato farm ($128,000)</t>
        </r>
      </text>
    </comment>
  </commentList>
</comments>
</file>

<file path=xl/comments68.xml><?xml version="1.0" encoding="utf-8"?>
<comments xmlns="http://schemas.openxmlformats.org/spreadsheetml/2006/main">
  <authors>
    <author>aaron hoshide</author>
  </authors>
  <commentList>
    <comment ref="A26" authorId="0" shapeId="0">
      <text>
        <r>
          <rPr>
            <sz val="8"/>
            <color indexed="81"/>
            <rFont val="Tahoma"/>
            <family val="2"/>
          </rPr>
          <t>Includes promotion tax and leased land</t>
        </r>
      </text>
    </comment>
  </commentList>
</comments>
</file>

<file path=xl/comments69.xml><?xml version="1.0" encoding="utf-8"?>
<comments xmlns="http://schemas.openxmlformats.org/spreadsheetml/2006/main">
  <authors>
    <author>aaron hoshide</author>
    <author>REP</author>
    <author xml:space="preserve"> </author>
    <author>School of Economics</author>
  </authors>
  <commentList>
    <comment ref="C9" authorId="0" shapeId="0">
      <text>
        <r>
          <rPr>
            <sz val="8"/>
            <color indexed="81"/>
            <rFont val="Tahoma"/>
            <family val="2"/>
          </rPr>
          <t>Use CA direct seeding rate:
http://ucanr.org/freepubs/docs/7211.pdf</t>
        </r>
      </text>
    </comment>
    <comment ref="F9" authorId="0" shapeId="0">
      <text>
        <r>
          <rPr>
            <sz val="8"/>
            <color indexed="81"/>
            <rFont val="Tahoma"/>
            <family val="2"/>
          </rPr>
          <t>Indirectly calculated price based on total of $150/acre spent on seed:
http://arec.oregonstate.edu/oaeb/files/pdf/AEB0003.pdf</t>
        </r>
      </text>
    </comment>
    <comment ref="C11" authorId="1" shapeId="0">
      <text>
        <r>
          <rPr>
            <sz val="8"/>
            <color indexed="81"/>
            <rFont val="Tahoma"/>
            <family val="2"/>
          </rPr>
          <t>Assume recommended fertilization rate:
http://arec.oregonstate.edu/oaeb/files/pdf/AEB0003.pdf</t>
        </r>
      </text>
    </comment>
    <comment ref="F11" authorId="1" shapeId="0">
      <text>
        <r>
          <rPr>
            <sz val="8"/>
            <color indexed="81"/>
            <rFont val="Tahoma"/>
            <family val="2"/>
          </rPr>
          <t>Assume same price as potato at plant fertilizer.
Old value:
=205+(205*'Key Data'!$F$71)</t>
        </r>
      </text>
    </comment>
    <comment ref="A12" authorId="2" shapeId="0">
      <text>
        <r>
          <rPr>
            <sz val="8"/>
            <color indexed="81"/>
            <rFont val="Tahoma"/>
            <family val="2"/>
          </rPr>
          <t>7-10-10</t>
        </r>
      </text>
    </comment>
    <comment ref="C12" authorId="1" shapeId="0">
      <text>
        <r>
          <rPr>
            <sz val="8"/>
            <color indexed="81"/>
            <rFont val="Tahoma"/>
            <family val="2"/>
          </rPr>
          <t>Assume recommended fertilization rate:
http://arec.oregonstate.edu/oaeb/files/pdf/AEB0003.pdf</t>
        </r>
      </text>
    </comment>
    <comment ref="F12" authorId="1" shapeId="0">
      <text>
        <r>
          <rPr>
            <sz val="8"/>
            <color indexed="81"/>
            <rFont val="Tahoma"/>
            <family val="2"/>
          </rPr>
          <t>Assume same price as potato at plant fertilizer.
Old value:
=205+(205*'Key Data'!$F$71)</t>
        </r>
      </text>
    </comment>
    <comment ref="C13" authorId="2" shapeId="0">
      <text>
        <r>
          <rPr>
            <sz val="8"/>
            <color indexed="81"/>
            <rFont val="Tahoma"/>
            <family val="2"/>
          </rPr>
          <t>Old value of 0.61 (=0.6065).</t>
        </r>
      </text>
    </comment>
    <comment ref="C15" authorId="0" shapeId="0">
      <text>
        <r>
          <rPr>
            <sz val="8"/>
            <color indexed="81"/>
            <rFont val="Tahoma"/>
            <family val="2"/>
          </rPr>
          <t>Assume same as barley but roughly double amount used to get $20/acre.  
Conventional assumes use 1 pt/acre of MCPA Amine.</t>
        </r>
      </text>
    </comment>
    <comment ref="F15" authorId="2" shapeId="0">
      <text>
        <r>
          <rPr>
            <sz val="8"/>
            <color indexed="81"/>
            <rFont val="Tahoma"/>
            <family val="2"/>
          </rPr>
          <t xml:space="preserve">Assume same herbicide cost as potatoes. Adjusted by PPI to convert from 2002 surveyed cost to 2010. </t>
        </r>
      </text>
    </comment>
    <comment ref="F17" authorId="2" shapeId="0">
      <text>
        <r>
          <rPr>
            <sz val="8"/>
            <color indexed="81"/>
            <rFont val="Tahoma"/>
            <family val="2"/>
          </rPr>
          <t xml:space="preserve">Assume same price as potato systemic. Adjusted by PPI to convert from 2002 surveyed cost to 2010. </t>
        </r>
      </text>
    </comment>
    <comment ref="F18" authorId="2" shapeId="0">
      <text>
        <r>
          <rPr>
            <sz val="8"/>
            <color indexed="81"/>
            <rFont val="Tahoma"/>
            <family val="2"/>
          </rPr>
          <t xml:space="preserve">Adjusted by PPI to convert from 2002 surveyed cost to 2010. </t>
        </r>
      </text>
    </comment>
    <comment ref="C23" authorId="2" shapeId="0">
      <text>
        <r>
          <rPr>
            <sz val="8"/>
            <color indexed="81"/>
            <rFont val="Tahoma"/>
            <family val="2"/>
          </rPr>
          <t>Old value of 0.283205812177919</t>
        </r>
      </text>
    </comment>
    <comment ref="C24" authorId="2" shapeId="0">
      <text>
        <r>
          <rPr>
            <sz val="8"/>
            <color indexed="81"/>
            <rFont val="Tahoma"/>
            <family val="2"/>
          </rPr>
          <t>Changed from broadcast urea</t>
        </r>
      </text>
    </comment>
    <comment ref="C27" authorId="2" shapeId="0">
      <text>
        <r>
          <rPr>
            <sz val="8"/>
            <color indexed="81"/>
            <rFont val="Tahoma"/>
            <family val="2"/>
          </rPr>
          <t>Assume same as grain drill.</t>
        </r>
      </text>
    </comment>
    <comment ref="C30" authorId="1" shapeId="0">
      <text>
        <r>
          <rPr>
            <sz val="8"/>
            <color indexed="81"/>
            <rFont val="Tahoma"/>
            <family val="2"/>
          </rPr>
          <t>Assume 14 hours of labor to hand weed broccoli:
http://arec.oregonstate.edu/oaeb/files/pdf/AEB0003.pdf</t>
        </r>
      </text>
    </comment>
    <comment ref="F30" authorId="2" shapeId="0">
      <text>
        <r>
          <rPr>
            <sz val="8"/>
            <color indexed="81"/>
            <rFont val="Tahoma"/>
            <family val="2"/>
          </rPr>
          <t>Assume migrant workers working at $11/hr:
http://arec.oregonstate.edu/oaeb/files/pdf/AEB0003.pdf</t>
        </r>
      </text>
    </comment>
    <comment ref="C31" authorId="1" shapeId="0">
      <text>
        <r>
          <rPr>
            <sz val="8"/>
            <color indexed="81"/>
            <rFont val="Tahoma"/>
            <family val="2"/>
          </rPr>
          <t xml:space="preserve">Assume 90 hours per acre for 2 harvests where packing in field.
Alabama study where 125 hours per acre for assumed 2 cuts and packing.
Old value from OR assumed 45 hours of labor to harvest broccoli so assumed double of this:
http://arec.oregonstate.edu/oaeb/files/pdf/AEB0003.pdf
</t>
        </r>
      </text>
    </comment>
    <comment ref="F31" authorId="2" shapeId="0">
      <text>
        <r>
          <rPr>
            <sz val="8"/>
            <color indexed="81"/>
            <rFont val="Tahoma"/>
            <family val="2"/>
          </rPr>
          <t>Assume migrant workers working at $11/hr:
http://arec.oregonstate.edu/oaeb/files/pdf/AEB0003.pdf</t>
        </r>
      </text>
    </comment>
    <comment ref="C33" authorId="2" shapeId="0">
      <text>
        <r>
          <rPr>
            <sz val="8"/>
            <color indexed="81"/>
            <rFont val="Tahoma"/>
            <family val="2"/>
          </rPr>
          <t>Assume same as OR budget:
Assume 45 hours of labor to harvest broccoli:
http://arec.oregonstate.edu/oaeb/files/pdf/AEB0003.pdf</t>
        </r>
      </text>
    </comment>
    <comment ref="C37" authorId="2" shapeId="0">
      <text>
        <r>
          <rPr>
            <sz val="8"/>
            <color indexed="81"/>
            <rFont val="Tahoma"/>
            <family val="2"/>
          </rPr>
          <t>Assume same as teading for hay.</t>
        </r>
      </text>
    </comment>
    <comment ref="C39" authorId="0" shapeId="0">
      <text>
        <r>
          <rPr>
            <sz val="8"/>
            <color indexed="81"/>
            <rFont val="Tahoma"/>
            <family val="2"/>
          </rPr>
          <t>Assume this is zero.</t>
        </r>
      </text>
    </comment>
    <comment ref="C48" authorId="2" shapeId="0">
      <text>
        <r>
          <rPr>
            <sz val="8"/>
            <color indexed="81"/>
            <rFont val="Tahoma"/>
            <family val="2"/>
          </rPr>
          <t>Assume same as grain drill.</t>
        </r>
      </text>
    </comment>
    <comment ref="C51" authorId="1" shapeId="0">
      <text>
        <r>
          <rPr>
            <sz val="8"/>
            <color indexed="81"/>
            <rFont val="Tahoma"/>
            <family val="2"/>
          </rPr>
          <t>Assume can transport workers for 100 acres on a gallon of diesel fuel.</t>
        </r>
      </text>
    </comment>
    <comment ref="C52" authorId="1" shapeId="0">
      <text>
        <r>
          <rPr>
            <sz val="8"/>
            <color indexed="81"/>
            <rFont val="Tahoma"/>
            <family val="2"/>
          </rPr>
          <t>Assume can transport workers for 100 acres on a gallon of diesel fuel.</t>
        </r>
      </text>
    </comment>
    <comment ref="C54" authorId="1" shapeId="0">
      <text>
        <r>
          <rPr>
            <sz val="8"/>
            <color indexed="81"/>
            <rFont val="Tahoma"/>
            <family val="2"/>
          </rPr>
          <t>Assume same fuel use as potato harvester.</t>
        </r>
      </text>
    </comment>
    <comment ref="C56" authorId="2" shapeId="0">
      <text>
        <r>
          <rPr>
            <sz val="8"/>
            <color indexed="81"/>
            <rFont val="Tahoma"/>
            <family val="2"/>
          </rPr>
          <t>Assume enough to get $11/acre:
Assume 45 hours of labor to harvest broccoli:
http://arec.oregonstate.edu/oaeb/files/pdf/AEB0003.pdf</t>
        </r>
      </text>
    </comment>
    <comment ref="C58" authorId="2" shapeId="0">
      <text>
        <r>
          <rPr>
            <sz val="8"/>
            <color indexed="81"/>
            <rFont val="Tahoma"/>
            <family val="2"/>
          </rPr>
          <t>Assume same as teading for hay.</t>
        </r>
      </text>
    </comment>
    <comment ref="C60" authorId="0" shapeId="0">
      <text>
        <r>
          <rPr>
            <sz val="8"/>
            <color indexed="81"/>
            <rFont val="Tahoma"/>
            <family val="2"/>
          </rPr>
          <t>Assume this is zero.</t>
        </r>
      </text>
    </comment>
    <comment ref="G63" authorId="0" shapeId="0">
      <text>
        <r>
          <rPr>
            <sz val="8"/>
            <color indexed="81"/>
            <rFont val="Tahoma"/>
            <family val="2"/>
          </rPr>
          <t>Assume this is zero.</t>
        </r>
      </text>
    </comment>
    <comment ref="G64" authorId="0" shapeId="0">
      <text>
        <r>
          <rPr>
            <sz val="8"/>
            <color indexed="81"/>
            <rFont val="Tahoma"/>
            <family val="2"/>
          </rPr>
          <t xml:space="preserve">Assume this is $0/acre. </t>
        </r>
      </text>
    </comment>
    <comment ref="F65" authorId="0" shapeId="0">
      <text>
        <r>
          <rPr>
            <sz val="8"/>
            <color indexed="81"/>
            <rFont val="Tahoma"/>
            <family val="2"/>
          </rPr>
          <t>Assume this.</t>
        </r>
      </text>
    </comment>
    <comment ref="F66" authorId="0" shapeId="0">
      <text>
        <r>
          <rPr>
            <sz val="8"/>
            <color indexed="81"/>
            <rFont val="Tahoma"/>
            <family val="2"/>
          </rPr>
          <t>Assume this.</t>
        </r>
      </text>
    </comment>
    <comment ref="A67" authorId="1" shapeId="0">
      <text>
        <r>
          <rPr>
            <sz val="8"/>
            <color indexed="81"/>
            <rFont val="Tahoma"/>
            <family val="2"/>
          </rPr>
          <t>No crop insurance.</t>
        </r>
      </text>
    </comment>
    <comment ref="G67" authorId="0" shapeId="0">
      <text>
        <r>
          <rPr>
            <sz val="8"/>
            <color indexed="81"/>
            <rFont val="Tahoma"/>
            <family val="2"/>
          </rPr>
          <t>Assume same as enterprise budget for potatoes</t>
        </r>
      </text>
    </comment>
    <comment ref="G68" authorId="0" shapeId="0">
      <text>
        <r>
          <rPr>
            <sz val="8"/>
            <color indexed="81"/>
            <rFont val="Tahoma"/>
            <family val="2"/>
          </rPr>
          <t>Assume this is zero.</t>
        </r>
      </text>
    </comment>
    <comment ref="G70" authorId="0" shapeId="0">
      <text>
        <r>
          <rPr>
            <b/>
            <sz val="8"/>
            <color indexed="81"/>
            <rFont val="Tahoma"/>
            <family val="2"/>
          </rPr>
          <t>Old value assumes $0/acre.  
Assume 12 months at $50 a month divided by 300 acre model for utilities for workshop.</t>
        </r>
      </text>
    </comment>
    <comment ref="G71" authorId="0" shapeId="0">
      <text>
        <r>
          <rPr>
            <sz val="8"/>
            <color indexed="81"/>
            <rFont val="Tahoma"/>
            <family val="2"/>
          </rPr>
          <t>Assume this is zero.</t>
        </r>
      </text>
    </comment>
    <comment ref="J72" authorId="2" shapeId="0">
      <text>
        <r>
          <rPr>
            <sz val="8"/>
            <color indexed="81"/>
            <rFont val="Tahoma"/>
            <family val="2"/>
          </rPr>
          <t>Calculate this for wheat baseline of 500 bu x 60 lb/bu = 30,000 lb capacity.</t>
        </r>
      </text>
    </comment>
    <comment ref="A73" authorId="0" shapeId="0">
      <text>
        <r>
          <rPr>
            <sz val="8"/>
            <color indexed="81"/>
            <rFont val="Tahoma"/>
            <family val="2"/>
          </rPr>
          <t>Assume 25% of land is leased.</t>
        </r>
      </text>
    </comment>
    <comment ref="J73" authorId="2" shapeId="0">
      <text>
        <r>
          <rPr>
            <sz val="8"/>
            <color indexed="81"/>
            <rFont val="Tahoma"/>
            <family val="2"/>
          </rPr>
          <t>Calculate this for wheat baseline of 1000 bu x 60 lb/bu = 60,000 lb capacity.</t>
        </r>
      </text>
    </comment>
    <comment ref="S73" authorId="3" shapeId="0">
      <text>
        <r>
          <rPr>
            <sz val="8"/>
            <color indexed="81"/>
            <rFont val="Tahoma"/>
            <family val="2"/>
          </rPr>
          <t>20 ton capacity of semi-trailer where fit in 2000 cases weighing 24.5 lb on average per case.</t>
        </r>
      </text>
    </comment>
    <comment ref="G74" authorId="1" shapeId="0">
      <text>
        <r>
          <rPr>
            <sz val="8"/>
            <color indexed="81"/>
            <rFont val="Tahoma"/>
            <family val="2"/>
          </rPr>
          <t>Assume no other rental.</t>
        </r>
      </text>
    </comment>
    <comment ref="G75" authorId="0" shapeId="0">
      <text/>
    </comment>
    <comment ref="P76" authorId="2" shapeId="0">
      <text>
        <r>
          <rPr>
            <sz val="8"/>
            <color indexed="81"/>
            <rFont val="Tahoma"/>
            <family val="2"/>
          </rPr>
          <t>Not transported by truck.</t>
        </r>
      </text>
    </comment>
    <comment ref="P79" authorId="2" shapeId="0">
      <text>
        <r>
          <rPr>
            <sz val="8"/>
            <color indexed="81"/>
            <rFont val="Tahoma"/>
            <family val="2"/>
          </rPr>
          <t>Assume this since marketed up and down whole Eastern seaboard and it is on average a 1000 mile round trip.</t>
        </r>
      </text>
    </comment>
    <comment ref="G80" authorId="3" shapeId="0">
      <text>
        <r>
          <rPr>
            <sz val="8"/>
            <color indexed="81"/>
            <rFont val="Tahoma"/>
            <family val="2"/>
          </rPr>
          <t>Consistent with old assumption of $60/acre that this is related to moving broccoli cases under bin trailer and fork lift line items:
http://arec.oregonstate.edu/oaeb/files/pdf/AEB0003.pdf</t>
        </r>
      </text>
    </comment>
    <comment ref="G82" authorId="0" shapeId="0">
      <text>
        <r>
          <rPr>
            <sz val="8"/>
            <color indexed="81"/>
            <rFont val="Tahoma"/>
            <family val="2"/>
          </rPr>
          <t>Assume this is zero.</t>
        </r>
      </text>
    </comment>
    <comment ref="G84" authorId="0" shapeId="0">
      <text>
        <r>
          <rPr>
            <sz val="8"/>
            <color indexed="81"/>
            <rFont val="Tahoma"/>
            <family val="2"/>
          </rPr>
          <t>Assume $5/acre for other variable miscellaneous expenses.</t>
        </r>
      </text>
    </comment>
    <comment ref="A85" authorId="0" shapeId="0">
      <text>
        <r>
          <rPr>
            <sz val="8"/>
            <color indexed="81"/>
            <rFont val="Tahoma"/>
            <family val="2"/>
          </rPr>
          <t>Assume no promotion tax on barley.</t>
        </r>
      </text>
    </comment>
  </commentList>
</comments>
</file>

<file path=xl/comments7.xml><?xml version="1.0" encoding="utf-8"?>
<comments xmlns="http://schemas.openxmlformats.org/spreadsheetml/2006/main">
  <authors>
    <author>REP</author>
    <author xml:space="preserve"> </author>
    <author>aaron hoshide</author>
    <author>Sensei</author>
    <author>Applied Economics</author>
    <author>Toshiba Preferred User</author>
    <author>School of Economics</author>
  </authors>
  <commentList>
    <comment ref="I2" authorId="0" shapeId="0">
      <text>
        <r>
          <rPr>
            <sz val="8"/>
            <color indexed="81"/>
            <rFont val="Tahoma"/>
            <family val="2"/>
          </rPr>
          <t>Use 3 of 5 trucks for all crops for harvest</t>
        </r>
      </text>
    </comment>
    <comment ref="K2" authorId="0" shapeId="0">
      <text>
        <r>
          <rPr>
            <sz val="8"/>
            <color indexed="81"/>
            <rFont val="Tahoma"/>
            <family val="2"/>
          </rPr>
          <t>Use 2 of 5 trucks for just potatoes and silage corn harvest</t>
        </r>
      </text>
    </comment>
    <comment ref="E4" authorId="1" shapeId="0">
      <text>
        <r>
          <rPr>
            <sz val="8"/>
            <color indexed="81"/>
            <rFont val="Tahoma"/>
            <family val="2"/>
          </rPr>
          <t>Old value of 4.05937007437007</t>
        </r>
      </text>
    </comment>
    <comment ref="E5" authorId="0" shapeId="0">
      <text>
        <r>
          <rPr>
            <sz val="8"/>
            <color indexed="81"/>
            <rFont val="Tahoma"/>
            <family val="2"/>
          </rPr>
          <t>Assume more than haylage so old value of 2.29380709124517</t>
        </r>
      </text>
    </comment>
    <comment ref="E6" authorId="1" shapeId="0">
      <text>
        <r>
          <rPr>
            <sz val="8"/>
            <color indexed="81"/>
            <rFont val="Tahoma"/>
            <family val="2"/>
          </rPr>
          <t>Old value of 3.28833333333333</t>
        </r>
      </text>
    </comment>
    <comment ref="E7" authorId="1" shapeId="0">
      <text>
        <r>
          <rPr>
            <sz val="8"/>
            <color indexed="81"/>
            <rFont val="Tahoma"/>
            <family val="2"/>
          </rPr>
          <t>Old value of 2.24769598013406</t>
        </r>
      </text>
    </comment>
    <comment ref="E8" authorId="1" shapeId="0">
      <text>
        <r>
          <rPr>
            <sz val="8"/>
            <color indexed="81"/>
            <rFont val="Tahoma"/>
            <family val="2"/>
          </rPr>
          <t>Old value of 2.24769598013406</t>
        </r>
      </text>
    </comment>
    <comment ref="E9" authorId="1" shapeId="0">
      <text>
        <r>
          <rPr>
            <sz val="8"/>
            <color indexed="81"/>
            <rFont val="Tahoma"/>
            <family val="2"/>
          </rPr>
          <t>Assume less than haylage/hay.  Blind assumption of 2 hours per acre.</t>
        </r>
      </text>
    </comment>
    <comment ref="E10" authorId="2" shapeId="0">
      <text>
        <r>
          <rPr>
            <sz val="8"/>
            <color indexed="81"/>
            <rFont val="Tahoma"/>
            <family val="2"/>
          </rPr>
          <t>This does not include set up and moving of fences and cows which does not involve machinery equipment (from operating costs worksheet for grazing). Old value of 1.26666666666667</t>
        </r>
      </text>
    </comment>
    <comment ref="E11" authorId="0" shapeId="0">
      <text>
        <r>
          <rPr>
            <sz val="8"/>
            <color indexed="81"/>
            <rFont val="Tahoma"/>
            <family val="2"/>
          </rPr>
          <t>IFAFS at 2.76 hr/acre</t>
        </r>
      </text>
    </comment>
    <comment ref="E12" authorId="1" shapeId="0">
      <text>
        <r>
          <rPr>
            <sz val="8"/>
            <color indexed="81"/>
            <rFont val="Tahoma"/>
            <family val="2"/>
          </rPr>
          <t>Old value of 1.14705295250983</t>
        </r>
      </text>
    </comment>
    <comment ref="E13" authorId="2" shapeId="0">
      <text>
        <r>
          <rPr>
            <sz val="8"/>
            <color indexed="81"/>
            <rFont val="Tahoma"/>
            <family val="2"/>
          </rPr>
          <t>Assume same as barley but adjust for yield in trucking. Old value (=1.14705295250983-0.14+(0.14*(B121/B116))).</t>
        </r>
      </text>
    </comment>
    <comment ref="E14" authorId="2" shapeId="0">
      <text>
        <r>
          <rPr>
            <sz val="8"/>
            <color indexed="81"/>
            <rFont val="Tahoma"/>
            <family val="2"/>
          </rPr>
          <t>Assume same as barley but adjust for yield in trucking. Old value (=1.14705295250983-0.14+(0.14*(B126/B116))).</t>
        </r>
      </text>
    </comment>
    <comment ref="E15" authorId="2" shapeId="0">
      <text>
        <r>
          <rPr>
            <sz val="8"/>
            <color indexed="81"/>
            <rFont val="Tahoma"/>
            <family val="2"/>
          </rPr>
          <t>Assume same as barley but adjust for yield in trucking. Old value (=1.14705295250983-0.14+(0.14*(B131/B116))).</t>
        </r>
      </text>
    </comment>
    <comment ref="E16" authorId="2" shapeId="0">
      <text>
        <r>
          <rPr>
            <sz val="8"/>
            <color indexed="81"/>
            <rFont val="Tahoma"/>
            <family val="2"/>
          </rPr>
          <t>Assume same as barley but adjust for yield in trucking. Old value (=1.14705295250983-0.14+(0.14*(B131/B116))).</t>
        </r>
      </text>
    </comment>
    <comment ref="E17" authorId="2" shapeId="0">
      <text>
        <r>
          <rPr>
            <b/>
            <sz val="8"/>
            <color indexed="81"/>
            <rFont val="Tahoma"/>
            <family val="2"/>
          </rPr>
          <t>Assume same as barley but adjust for yield in trucking.</t>
        </r>
      </text>
    </comment>
    <comment ref="E18" authorId="2" shapeId="0">
      <text>
        <r>
          <rPr>
            <b/>
            <sz val="8"/>
            <color indexed="81"/>
            <rFont val="Tahoma"/>
            <family val="2"/>
          </rPr>
          <t>Assume same as barley but adjust for yield in trucking.</t>
        </r>
      </text>
    </comment>
    <comment ref="E19" authorId="2" shapeId="0">
      <text>
        <r>
          <rPr>
            <b/>
            <sz val="8"/>
            <color indexed="81"/>
            <rFont val="Tahoma"/>
            <family val="2"/>
          </rPr>
          <t>Assume same as barley but adjust for yield in trucking.</t>
        </r>
      </text>
    </comment>
    <comment ref="E20" authorId="1" shapeId="0">
      <text>
        <r>
          <rPr>
            <sz val="8"/>
            <color indexed="81"/>
            <rFont val="Tahoma"/>
            <family val="2"/>
          </rPr>
          <t>Old value 2.10437652104426</t>
        </r>
      </text>
    </comment>
    <comment ref="E21" authorId="1" shapeId="0">
      <text>
        <r>
          <rPr>
            <sz val="8"/>
            <color indexed="81"/>
            <rFont val="Tahoma"/>
            <family val="2"/>
          </rPr>
          <t>Old value 2.10437652104426</t>
        </r>
      </text>
    </comment>
    <comment ref="E22" authorId="2" shapeId="0">
      <text>
        <r>
          <rPr>
            <sz val="8"/>
            <color indexed="81"/>
            <rFont val="Tahoma"/>
            <family val="2"/>
          </rPr>
          <t>Assume same as barley minus harvest and trucking but with additional mold board plowing. Assume sudan grass is just spread and disc harrowed in.  Operation additions and deletions adjusted by proportion of observed (1.15) and modeled (2.18) operation times for barley.  Also adjusted to ration of hours per acre for medium (1.15) and small (1.3) models.
Old value:
=(E252-((0.590012108703997-0.120362470175615)*(1.14705295250983/2.17505071657509))+(0.256655267286239*(1.14705295250983/2.17505071657509)))*(1.15/1.3)</t>
        </r>
      </text>
    </comment>
    <comment ref="E23" authorId="2" shapeId="0">
      <text>
        <r>
          <rPr>
            <sz val="8"/>
            <color indexed="81"/>
            <rFont val="Tahoma"/>
            <family val="2"/>
          </rPr>
          <t>Assume same as barley so old value of 1.29607843137255</t>
        </r>
      </text>
    </comment>
    <comment ref="E24" authorId="1" shapeId="0">
      <text>
        <r>
          <rPr>
            <sz val="8"/>
            <color indexed="81"/>
            <rFont val="Tahoma"/>
            <family val="2"/>
          </rPr>
          <t>No hand labor (subtract that out).
Assume less than potatoes but more than silage corn.  Blind assumption of 3.5 hours per acre (3.5).</t>
        </r>
      </text>
    </comment>
    <comment ref="F38" authorId="2" shapeId="0">
      <text>
        <r>
          <rPr>
            <sz val="8"/>
            <color indexed="81"/>
            <rFont val="Tahoma"/>
            <family val="2"/>
          </rPr>
          <t>Use 75% of value of potatoes and crops grown (even though in integrated cases forages stored at dairy farm).</t>
        </r>
      </text>
    </comment>
    <comment ref="L48" authorId="2" shapeId="0">
      <text>
        <r>
          <rPr>
            <sz val="8"/>
            <color indexed="81"/>
            <rFont val="Tahoma"/>
            <family val="2"/>
          </rPr>
          <t>Old value of 36.4%.</t>
        </r>
      </text>
    </comment>
    <comment ref="L49" authorId="2" shapeId="0">
      <text>
        <r>
          <rPr>
            <sz val="8"/>
            <color indexed="81"/>
            <rFont val="Tahoma"/>
            <family val="2"/>
          </rPr>
          <t>Old value for alfalfa baylage and silage was 45% dry matter</t>
        </r>
      </text>
    </comment>
    <comment ref="L50" authorId="0" shapeId="0">
      <text>
        <r>
          <rPr>
            <sz val="8"/>
            <color indexed="81"/>
            <rFont val="Tahoma"/>
            <family val="2"/>
          </rPr>
          <t>Old value assumes haylege is same moisture as corn silage at 36.4%.</t>
        </r>
      </text>
    </comment>
    <comment ref="L51" authorId="2" shapeId="0">
      <text>
        <r>
          <rPr>
            <sz val="8"/>
            <color indexed="81"/>
            <rFont val="Tahoma"/>
            <family val="2"/>
          </rPr>
          <t>Old value was 87.4% dry matter.</t>
        </r>
      </text>
    </comment>
    <comment ref="L52" authorId="2" shapeId="0">
      <text>
        <r>
          <rPr>
            <sz val="8"/>
            <color indexed="81"/>
            <rFont val="Tahoma"/>
            <family val="2"/>
          </rPr>
          <t>Assume this is the same as silage corn.</t>
        </r>
      </text>
    </comment>
    <comment ref="L53" authorId="2" shapeId="0">
      <text>
        <r>
          <rPr>
            <sz val="8"/>
            <color indexed="81"/>
            <rFont val="Tahoma"/>
            <family val="2"/>
          </rPr>
          <t>Assume this is between 70-75% moisture when first cut and then assume dry down to 26% moisture  (http://www.omafra.gov.on.ca/english/crops/facts/98-043.htm).</t>
        </r>
      </text>
    </comment>
    <comment ref="L54" authorId="2" shapeId="0">
      <text>
        <r>
          <rPr>
            <sz val="8"/>
            <color indexed="81"/>
            <rFont val="Tahoma"/>
            <family val="2"/>
          </rPr>
          <t>Assume this is between 75-80%.</t>
        </r>
      </text>
    </comment>
    <comment ref="L56" authorId="2" shapeId="0">
      <text>
        <r>
          <rPr>
            <sz val="8"/>
            <color indexed="81"/>
            <rFont val="Tahoma"/>
            <family val="2"/>
          </rPr>
          <t>Assume 30% moisture (http://www.uwex.edu/ces/crops/BuyingHMCorn.htm and http://edis.ifas.ufl.edu/pdffiles/DS/DS08700.pdf).</t>
        </r>
      </text>
    </comment>
    <comment ref="L57" authorId="0" shapeId="0">
      <text>
        <r>
          <rPr>
            <sz val="8"/>
            <color indexed="81"/>
            <rFont val="Tahoma"/>
            <family val="2"/>
          </rPr>
          <t>This is from:
http://www.ext.nodak.edu/extpubs/ageng/machine/ae945w.htm
Grain corn also listed at 15.5% moisture in Crop MD.</t>
        </r>
      </text>
    </comment>
    <comment ref="L58" authorId="0" shapeId="0">
      <text>
        <r>
          <rPr>
            <sz val="8"/>
            <color indexed="81"/>
            <rFont val="Tahoma"/>
            <family val="2"/>
          </rPr>
          <t>This is from:
http://www.ext.nodak.edu/extpubs/ageng/machine/ae945w.htm
Old values of barley listed at 13% moisture in Crop MD and 11% from key assumptions.</t>
        </r>
      </text>
    </comment>
    <comment ref="L59" authorId="0" shapeId="0">
      <text>
        <r>
          <rPr>
            <sz val="8"/>
            <color indexed="81"/>
            <rFont val="Tahoma"/>
            <family val="2"/>
          </rPr>
          <t xml:space="preserve">This is from:
http://www.ext.nodak.edu/extpubs/ageng/machine/ae945w.htm
Could assume same as barley (11%).  Old value for oats listed at 13% moisture in Crop MD.
</t>
        </r>
      </text>
    </comment>
    <comment ref="L60" authorId="0" shapeId="0">
      <text>
        <r>
          <rPr>
            <sz val="8"/>
            <color indexed="81"/>
            <rFont val="Tahoma"/>
            <family val="2"/>
          </rPr>
          <t xml:space="preserve">This is from:
http://www.ext.nodak.edu/extpubs/ageng/machine/ae945w.htm
Could assume same as barley (11%).  Old value for oats listed at 13% moisture in Crop MD.
</t>
        </r>
      </text>
    </comment>
    <comment ref="D61" authorId="3" shapeId="0">
      <text>
        <r>
          <rPr>
            <b/>
            <sz val="9"/>
            <color indexed="81"/>
            <rFont val="Tahoma"/>
            <family val="2"/>
          </rPr>
          <t>According to cooperating producer this could range from $0 to $150 per acre so assume same as initial at $50/acre</t>
        </r>
      </text>
    </comment>
    <comment ref="F61" authorId="3" shapeId="0">
      <text>
        <r>
          <rPr>
            <b/>
            <sz val="9"/>
            <color indexed="81"/>
            <rFont val="Tahoma"/>
            <family val="2"/>
          </rPr>
          <t xml:space="preserve">Old value:
=$550 </t>
        </r>
      </text>
    </comment>
    <comment ref="H61" authorId="3" shapeId="0">
      <text>
        <r>
          <rPr>
            <b/>
            <sz val="9"/>
            <color indexed="81"/>
            <rFont val="Tahoma"/>
            <family val="2"/>
          </rPr>
          <t>Default:
1%</t>
        </r>
      </text>
    </comment>
    <comment ref="L61" authorId="0" shapeId="0">
      <text>
        <r>
          <rPr>
            <sz val="8"/>
            <color indexed="81"/>
            <rFont val="Tahoma"/>
            <family val="2"/>
          </rPr>
          <t>This is from:
http://www.ext.nodak.edu/extpubs/ageng/machine/ae945w.htm
Could assume same as barley (11%).  Old value for wheat listed at 13% moisture in Crop MD.</t>
        </r>
      </text>
    </comment>
    <comment ref="L62" authorId="0" shapeId="0">
      <text>
        <r>
          <rPr>
            <sz val="8"/>
            <color indexed="81"/>
            <rFont val="Tahoma"/>
            <family val="2"/>
          </rPr>
          <t>This is from:
http://www.ext.nodak.edu/extpubs/ageng/machine/ae945w.htm
Could assume same as barley (11%).  Old value for wheat listed at 13% moisture in Crop MD.</t>
        </r>
      </text>
    </comment>
    <comment ref="L63" authorId="0" shapeId="0">
      <text>
        <r>
          <rPr>
            <sz val="8"/>
            <color indexed="81"/>
            <rFont val="Tahoma"/>
            <family val="2"/>
          </rPr>
          <t>This is from:
http://64.233.167.104/search?q=cache:DNfWPHYL7dYJ:www.ag.iastate.edu/farms/05reports/ne/PlantDateEffects.pdf+triticale+and+bushel+and+weight&amp;hl=en&amp;gl=us&amp;ct=clnk&amp;cd=3
Could assume triticale is same moisture as wheat (11%).  Old value was listed at 13% moisture in Crop MD.</t>
        </r>
      </text>
    </comment>
    <comment ref="L64" authorId="0" shapeId="0">
      <text>
        <r>
          <rPr>
            <sz val="8"/>
            <color indexed="81"/>
            <rFont val="Tahoma"/>
            <family val="2"/>
          </rPr>
          <t>Assume spelt is same moisture as wheat.  Old value for wheat was listed at 13% moisture in Crop MD.</t>
        </r>
      </text>
    </comment>
    <comment ref="D65" authorId="1" shapeId="0">
      <text>
        <r>
          <rPr>
            <b/>
            <sz val="8"/>
            <color indexed="81"/>
            <rFont val="Tahoma"/>
            <family val="2"/>
          </rPr>
          <t xml:space="preserve">Typical lube costs in are estimated to be 10-15% of diesel fuel costs (Andrew Plant, personal communication).  
This was changed to 12.5% of diesel fuel costs (average).
</t>
        </r>
      </text>
    </comment>
    <comment ref="F65" authorId="3" shapeId="0">
      <text>
        <r>
          <rPr>
            <b/>
            <sz val="9"/>
            <color indexed="81"/>
            <rFont val="Tahoma"/>
            <family val="2"/>
          </rPr>
          <t>Old value of $0 per acre</t>
        </r>
      </text>
    </comment>
    <comment ref="K65" authorId="3" shapeId="0">
      <text>
        <r>
          <rPr>
            <b/>
            <sz val="9"/>
            <color indexed="81"/>
            <rFont val="Tahoma"/>
            <family val="2"/>
          </rPr>
          <t>https://www.agmrc.org/commodities-products/specialty-crops/buckwheat-profile/</t>
        </r>
      </text>
    </comment>
    <comment ref="L65" authorId="0" shapeId="0">
      <text>
        <r>
          <rPr>
            <b/>
            <sz val="8"/>
            <color indexed="81"/>
            <rFont val="Tahoma"/>
            <family val="2"/>
          </rPr>
          <t>Assume buckwheat is same moisture as wheat.</t>
        </r>
      </text>
    </comment>
    <comment ref="K66" authorId="3" shapeId="0">
      <text>
        <r>
          <rPr>
            <b/>
            <sz val="9"/>
            <color indexed="81"/>
            <rFont val="Tahoma"/>
            <family val="2"/>
          </rPr>
          <t>http://www.ers.usda.gov/media/935958/ah697_002.pdf</t>
        </r>
        <r>
          <rPr>
            <sz val="9"/>
            <color indexed="81"/>
            <rFont val="Tahoma"/>
            <family val="2"/>
          </rPr>
          <t xml:space="preserve">
</t>
        </r>
      </text>
    </comment>
    <comment ref="L66" authorId="3" shapeId="0">
      <text>
        <r>
          <rPr>
            <b/>
            <sz val="9"/>
            <color indexed="81"/>
            <rFont val="Tahoma"/>
            <family val="2"/>
          </rPr>
          <t>Assume same as soybeans</t>
        </r>
        <r>
          <rPr>
            <sz val="9"/>
            <color indexed="81"/>
            <rFont val="Tahoma"/>
            <family val="2"/>
          </rPr>
          <t xml:space="preserve">
</t>
        </r>
      </text>
    </comment>
    <comment ref="L67" authorId="0" shapeId="0">
      <text>
        <r>
          <rPr>
            <b/>
            <sz val="8"/>
            <color indexed="81"/>
            <rFont val="Tahoma"/>
            <family val="2"/>
          </rPr>
          <t>Old value for soybeans listed at 12% moisture in Crop MD. Old value of 90% changed back.</t>
        </r>
      </text>
    </comment>
    <comment ref="L68" authorId="0" shapeId="0">
      <text>
        <r>
          <rPr>
            <sz val="8"/>
            <color indexed="81"/>
            <rFont val="Tahoma"/>
            <family val="2"/>
          </rPr>
          <t>Find ?% moisture in Crop MD.</t>
        </r>
      </text>
    </comment>
    <comment ref="D69" authorId="3" shapeId="0">
      <text>
        <r>
          <rPr>
            <b/>
            <sz val="9"/>
            <color indexed="81"/>
            <rFont val="Tahoma"/>
            <family val="2"/>
          </rPr>
          <t>Old value of $10 per acre</t>
        </r>
      </text>
    </comment>
    <comment ref="F69" authorId="3" shapeId="0">
      <text>
        <r>
          <rPr>
            <b/>
            <sz val="9"/>
            <color indexed="81"/>
            <rFont val="Tahoma"/>
            <family val="2"/>
          </rPr>
          <t>From Tom Molloy</t>
        </r>
      </text>
    </comment>
    <comment ref="D72" authorId="3" shapeId="0">
      <text>
        <r>
          <rPr>
            <b/>
            <sz val="9"/>
            <color indexed="81"/>
            <rFont val="Tahoma"/>
            <family val="2"/>
          </rPr>
          <t>$300 fixed per crop divided by 100 acres so $3 an acre</t>
        </r>
      </text>
    </comment>
    <comment ref="F72" authorId="3" shapeId="0">
      <text>
        <r>
          <rPr>
            <b/>
            <sz val="9"/>
            <color indexed="81"/>
            <rFont val="Tahoma"/>
            <family val="2"/>
          </rPr>
          <t>From Tom Molloy</t>
        </r>
      </text>
    </comment>
    <comment ref="I72" authorId="3" shapeId="0">
      <text>
        <r>
          <rPr>
            <b/>
            <sz val="9"/>
            <color indexed="81"/>
            <rFont val="Tahoma"/>
            <family val="2"/>
          </rPr>
          <t xml:space="preserve">Base on Iowa State calculator from 18% to 13% moisture
Old value:
=K66-(K68-I87)
Decide to just use original Iowa State estimate since consistent with Andrew Plant's own estimates which include loss of grain. </t>
        </r>
      </text>
    </comment>
    <comment ref="K72" authorId="3" shapeId="0">
      <text>
        <r>
          <rPr>
            <b/>
            <sz val="9"/>
            <color indexed="81"/>
            <rFont val="Tahoma"/>
            <family val="2"/>
          </rPr>
          <t>Base on Iowa State calculator from 18% to 13% moisture
0.535215359873673</t>
        </r>
      </text>
    </comment>
    <comment ref="K74" authorId="3" shapeId="0">
      <text>
        <r>
          <rPr>
            <b/>
            <sz val="9"/>
            <color indexed="81"/>
            <rFont val="Tahoma"/>
            <family val="2"/>
          </rPr>
          <t>Base on Iowa State calculator from 18% to 13% moisture</t>
        </r>
      </text>
    </comment>
    <comment ref="D75" authorId="3" shapeId="0">
      <text>
        <r>
          <rPr>
            <b/>
            <sz val="9"/>
            <color indexed="81"/>
            <rFont val="Tahoma"/>
            <family val="2"/>
          </rPr>
          <t>Assume this is 0
Old value of $5 per acre</t>
        </r>
      </text>
    </comment>
    <comment ref="F75" authorId="2" shapeId="0">
      <text>
        <r>
          <rPr>
            <b/>
            <sz val="8"/>
            <color indexed="81"/>
            <rFont val="Tahoma"/>
            <family val="2"/>
          </rPr>
          <t>Old value assumes $1/acre to run fans.  Old value of $4.73/acre assumes same cost of utilities as 2001 Farm Credit budget in proportion to yield.
Assume 12 months at $50 a month divided by 300 acre model for utilities for workshop.</t>
        </r>
      </text>
    </comment>
    <comment ref="I75" authorId="3" shapeId="0">
      <text>
        <r>
          <rPr>
            <b/>
            <sz val="9"/>
            <color indexed="81"/>
            <rFont val="Tahoma"/>
            <family val="2"/>
          </rPr>
          <t>Base on Iowa State calculator from 22% to 12% moisture</t>
        </r>
      </text>
    </comment>
    <comment ref="F80" authorId="1" shapeId="0">
      <text>
        <r>
          <rPr>
            <sz val="8"/>
            <color indexed="81"/>
            <rFont val="Tahoma"/>
            <family val="2"/>
          </rPr>
          <t>Old value of $421 (421).
http://www.farmdoc.illinois.edu/manage/newsletters/fefo10_02/fefo10_02.pdf</t>
        </r>
      </text>
    </comment>
    <comment ref="E85" authorId="1" shapeId="0">
      <text>
        <r>
          <rPr>
            <sz val="8"/>
            <color indexed="81"/>
            <rFont val="Tahoma"/>
            <family val="2"/>
          </rPr>
          <t>Assume same percent price increase as urea. Limestone in IL (http://www.valleyviewindustries.com/2010testresults.pdf) still close to $20/ton but assume this is more.</t>
        </r>
      </text>
    </comment>
    <comment ref="A88" authorId="1" shapeId="0">
      <text>
        <r>
          <rPr>
            <b/>
            <sz val="8"/>
            <color indexed="81"/>
            <rFont val="Tahoma"/>
            <family val="2"/>
          </rPr>
          <t>This is spring wheat.</t>
        </r>
      </text>
    </comment>
    <comment ref="E88" authorId="1" shapeId="0">
      <text>
        <r>
          <rPr>
            <b/>
            <sz val="8"/>
            <color indexed="81"/>
            <rFont val="Tahoma"/>
            <family val="2"/>
          </rPr>
          <t>According to Andrew Plant, add 1 ton every 3 years. Old value of 0.33
For organic stretch this for 5 years according to Tom Molloy</t>
        </r>
      </text>
    </comment>
    <comment ref="A91" authorId="1" shapeId="0">
      <text>
        <r>
          <rPr>
            <b/>
            <sz val="8"/>
            <color indexed="81"/>
            <rFont val="Tahoma"/>
            <family val="2"/>
          </rPr>
          <t>This is winter wheat.</t>
        </r>
      </text>
    </comment>
    <comment ref="A94" authorId="1" shapeId="0">
      <text>
        <r>
          <rPr>
            <b/>
            <sz val="8"/>
            <color indexed="81"/>
            <rFont val="Tahoma"/>
            <family val="2"/>
          </rPr>
          <t>This is spring or winter triticale. Most folks plant this as a winter grain.</t>
        </r>
      </text>
    </comment>
    <comment ref="E94" authorId="1" shapeId="0">
      <text>
        <r>
          <rPr>
            <b/>
            <sz val="8"/>
            <color indexed="81"/>
            <rFont val="Tahoma"/>
            <family val="2"/>
          </rPr>
          <t>According to Andrew Plant, add 1 ton every 3 years. Old value of 0.33
For organic stretch this for 5 years according to Tom Molloy</t>
        </r>
      </text>
    </comment>
    <comment ref="A97" authorId="1" shapeId="0">
      <text>
        <r>
          <rPr>
            <b/>
            <sz val="8"/>
            <color indexed="81"/>
            <rFont val="Tahoma"/>
            <family val="2"/>
          </rPr>
          <t>This is spring or winter spelt. Most folks plant this as a winter grain.</t>
        </r>
      </text>
    </comment>
    <comment ref="E97" authorId="3" shapeId="0">
      <text>
        <r>
          <rPr>
            <b/>
            <sz val="9"/>
            <color indexed="81"/>
            <rFont val="Tahoma"/>
            <family val="2"/>
          </rPr>
          <t>From Tom Molloy</t>
        </r>
      </text>
    </comment>
    <comment ref="G108" authorId="3" shapeId="0">
      <text>
        <r>
          <rPr>
            <b/>
            <sz val="9"/>
            <color indexed="81"/>
            <rFont val="Tahoma"/>
            <family val="2"/>
          </rPr>
          <t>Assume this</t>
        </r>
      </text>
    </comment>
    <comment ref="I108" authorId="3" shapeId="0">
      <text>
        <r>
          <rPr>
            <b/>
            <sz val="9"/>
            <color indexed="81"/>
            <rFont val="Tahoma"/>
            <family val="2"/>
          </rPr>
          <t>Assume this</t>
        </r>
      </text>
    </comment>
    <comment ref="L108" authorId="3" shapeId="0">
      <text>
        <r>
          <rPr>
            <b/>
            <sz val="9"/>
            <color indexed="81"/>
            <rFont val="Tahoma"/>
            <family val="2"/>
          </rPr>
          <t>Assume this default:
8</t>
        </r>
      </text>
    </comment>
    <comment ref="M108" authorId="3" shapeId="0">
      <text>
        <r>
          <rPr>
            <b/>
            <sz val="9"/>
            <color indexed="81"/>
            <rFont val="Tahoma"/>
            <family val="2"/>
          </rPr>
          <t>Assume this default:
5</t>
        </r>
      </text>
    </comment>
    <comment ref="N108" authorId="3" shapeId="0">
      <text>
        <r>
          <rPr>
            <b/>
            <sz val="9"/>
            <color indexed="81"/>
            <rFont val="Tahoma"/>
            <family val="2"/>
          </rPr>
          <t xml:space="preserve">Assume this default:
1
</t>
        </r>
      </text>
    </comment>
    <comment ref="O108" authorId="3" shapeId="0">
      <text>
        <r>
          <rPr>
            <b/>
            <sz val="9"/>
            <color indexed="81"/>
            <rFont val="Tahoma"/>
            <family val="2"/>
          </rPr>
          <t xml:space="preserve">Assume this default:
1
</t>
        </r>
      </text>
    </comment>
    <comment ref="G109" authorId="3" shapeId="0">
      <text>
        <r>
          <rPr>
            <b/>
            <sz val="9"/>
            <color indexed="81"/>
            <rFont val="Tahoma"/>
            <family val="2"/>
          </rPr>
          <t>Assume this</t>
        </r>
      </text>
    </comment>
    <comment ref="I109" authorId="3" shapeId="0">
      <text>
        <r>
          <rPr>
            <b/>
            <sz val="9"/>
            <color indexed="81"/>
            <rFont val="Tahoma"/>
            <family val="2"/>
          </rPr>
          <t>Assume this</t>
        </r>
      </text>
    </comment>
    <comment ref="L109" authorId="3" shapeId="0">
      <text>
        <r>
          <rPr>
            <b/>
            <sz val="9"/>
            <color indexed="81"/>
            <rFont val="Tahoma"/>
            <family val="2"/>
          </rPr>
          <t>Assume this default:
8</t>
        </r>
      </text>
    </comment>
    <comment ref="M109" authorId="3" shapeId="0">
      <text>
        <r>
          <rPr>
            <b/>
            <sz val="9"/>
            <color indexed="81"/>
            <rFont val="Tahoma"/>
            <family val="2"/>
          </rPr>
          <t xml:space="preserve">Assume this default:
1
</t>
        </r>
      </text>
    </comment>
    <comment ref="N109" authorId="3" shapeId="0">
      <text>
        <r>
          <rPr>
            <b/>
            <sz val="9"/>
            <color indexed="81"/>
            <rFont val="Tahoma"/>
            <family val="2"/>
          </rPr>
          <t xml:space="preserve">Assume this default:
1
</t>
        </r>
      </text>
    </comment>
    <comment ref="O109" authorId="3" shapeId="0">
      <text>
        <r>
          <rPr>
            <b/>
            <sz val="9"/>
            <color indexed="81"/>
            <rFont val="Tahoma"/>
            <family val="2"/>
          </rPr>
          <t xml:space="preserve">Assume this default:
1
</t>
        </r>
      </text>
    </comment>
    <comment ref="L110" authorId="3" shapeId="0">
      <text>
        <r>
          <rPr>
            <b/>
            <sz val="9"/>
            <color indexed="81"/>
            <rFont val="Tahoma"/>
            <family val="2"/>
          </rPr>
          <t xml:space="preserve">Assume this default:
1
</t>
        </r>
      </text>
    </comment>
    <comment ref="M110" authorId="3" shapeId="0">
      <text>
        <r>
          <rPr>
            <b/>
            <sz val="9"/>
            <color indexed="81"/>
            <rFont val="Tahoma"/>
            <family val="2"/>
          </rPr>
          <t>Assume this default:
7</t>
        </r>
      </text>
    </comment>
    <comment ref="N110" authorId="3" shapeId="0">
      <text>
        <r>
          <rPr>
            <b/>
            <sz val="9"/>
            <color indexed="81"/>
            <rFont val="Tahoma"/>
            <family val="2"/>
          </rPr>
          <t xml:space="preserve">Assume this default:
26
</t>
        </r>
      </text>
    </comment>
    <comment ref="O110" authorId="3" shapeId="0">
      <text>
        <r>
          <rPr>
            <b/>
            <sz val="9"/>
            <color indexed="81"/>
            <rFont val="Tahoma"/>
            <family val="2"/>
          </rPr>
          <t xml:space="preserve">Assume this default:
1
</t>
        </r>
      </text>
    </comment>
    <comment ref="I111" authorId="3" shapeId="0">
      <text>
        <r>
          <rPr>
            <b/>
            <sz val="9"/>
            <color indexed="81"/>
            <rFont val="Tahoma"/>
            <family val="2"/>
          </rPr>
          <t>Assume this</t>
        </r>
      </text>
    </comment>
    <comment ref="L111" authorId="3" shapeId="0">
      <text>
        <r>
          <rPr>
            <b/>
            <sz val="9"/>
            <color indexed="81"/>
            <rFont val="Tahoma"/>
            <family val="2"/>
          </rPr>
          <t xml:space="preserve">Assume this default:
1
</t>
        </r>
      </text>
    </comment>
    <comment ref="M111" authorId="3" shapeId="0">
      <text>
        <r>
          <rPr>
            <b/>
            <sz val="9"/>
            <color indexed="81"/>
            <rFont val="Tahoma"/>
            <family val="2"/>
          </rPr>
          <t>Assume this default:
5</t>
        </r>
      </text>
    </comment>
    <comment ref="N111" authorId="3" shapeId="0">
      <text>
        <r>
          <rPr>
            <b/>
            <sz val="9"/>
            <color indexed="81"/>
            <rFont val="Tahoma"/>
            <family val="2"/>
          </rPr>
          <t xml:space="preserve">Assume this default:
26
</t>
        </r>
      </text>
    </comment>
    <comment ref="O111" authorId="3" shapeId="0">
      <text>
        <r>
          <rPr>
            <b/>
            <sz val="9"/>
            <color indexed="81"/>
            <rFont val="Tahoma"/>
            <family val="2"/>
          </rPr>
          <t xml:space="preserve">Assume this default:
1
</t>
        </r>
      </text>
    </comment>
    <comment ref="I112" authorId="3" shapeId="0">
      <text>
        <r>
          <rPr>
            <b/>
            <sz val="9"/>
            <color indexed="81"/>
            <rFont val="Tahoma"/>
            <family val="2"/>
          </rPr>
          <t>Assume this</t>
        </r>
      </text>
    </comment>
    <comment ref="I113" authorId="3" shapeId="0">
      <text>
        <r>
          <rPr>
            <b/>
            <sz val="9"/>
            <color indexed="81"/>
            <rFont val="Tahoma"/>
            <family val="2"/>
          </rPr>
          <t>Assume this default:
200</t>
        </r>
      </text>
    </comment>
    <comment ref="L113" authorId="3" shapeId="0">
      <text>
        <r>
          <rPr>
            <b/>
            <sz val="9"/>
            <color indexed="81"/>
            <rFont val="Tahoma"/>
            <family val="2"/>
          </rPr>
          <t>Assume this default:
8</t>
        </r>
      </text>
    </comment>
    <comment ref="M113" authorId="3" shapeId="0">
      <text>
        <r>
          <rPr>
            <b/>
            <sz val="9"/>
            <color indexed="81"/>
            <rFont val="Tahoma"/>
            <family val="2"/>
          </rPr>
          <t>Assume this default:
0</t>
        </r>
      </text>
    </comment>
    <comment ref="N113" authorId="3" shapeId="0">
      <text>
        <r>
          <rPr>
            <b/>
            <sz val="9"/>
            <color indexed="81"/>
            <rFont val="Tahoma"/>
            <family val="2"/>
          </rPr>
          <t xml:space="preserve">Assume this default:
1
</t>
        </r>
      </text>
    </comment>
    <comment ref="O113" authorId="3" shapeId="0">
      <text>
        <r>
          <rPr>
            <b/>
            <sz val="9"/>
            <color indexed="81"/>
            <rFont val="Tahoma"/>
            <family val="2"/>
          </rPr>
          <t xml:space="preserve">Assume this default:
1
</t>
        </r>
      </text>
    </comment>
    <comment ref="P113" authorId="3" shapeId="0">
      <text>
        <r>
          <rPr>
            <b/>
            <sz val="9"/>
            <color indexed="81"/>
            <rFont val="Tahoma"/>
            <family val="2"/>
          </rPr>
          <t>Assume this default:
0</t>
        </r>
      </text>
    </comment>
    <comment ref="I114" authorId="3" shapeId="0">
      <text>
        <r>
          <rPr>
            <b/>
            <sz val="9"/>
            <color indexed="81"/>
            <rFont val="Tahoma"/>
            <family val="2"/>
          </rPr>
          <t>Assume this default:
500</t>
        </r>
      </text>
    </comment>
    <comment ref="I115" authorId="3" shapeId="0">
      <text>
        <r>
          <rPr>
            <b/>
            <sz val="9"/>
            <color indexed="81"/>
            <rFont val="Tahoma"/>
            <family val="2"/>
          </rPr>
          <t>Assume this default:
250</t>
        </r>
      </text>
    </comment>
    <comment ref="B118" authorId="2" shapeId="0">
      <text>
        <r>
          <rPr>
            <sz val="8"/>
            <color indexed="81"/>
            <rFont val="Tahoma"/>
            <family val="2"/>
          </rPr>
          <t>Assume similar to conventional large dairy farms and that there is no grassland</t>
        </r>
      </text>
    </comment>
    <comment ref="B119" authorId="2" shapeId="0">
      <text>
        <r>
          <rPr>
            <sz val="8"/>
            <color indexed="81"/>
            <rFont val="Tahoma"/>
            <family val="2"/>
          </rPr>
          <t>Assume similar to conventional large dairy farms and that there is no grassland</t>
        </r>
      </text>
    </comment>
    <comment ref="F121" authorId="2" shapeId="0">
      <text>
        <r>
          <rPr>
            <sz val="8"/>
            <color indexed="81"/>
            <rFont val="Tahoma"/>
            <family val="2"/>
          </rPr>
          <t>Shipped in 1999</t>
        </r>
      </text>
    </comment>
    <comment ref="H121" authorId="1" shapeId="0">
      <text>
        <r>
          <rPr>
            <sz val="8"/>
            <color indexed="81"/>
            <rFont val="Tahoma"/>
            <family val="2"/>
          </rPr>
          <t>From IFAFS project.  Contract prices for 2000-2003 time frame.</t>
        </r>
      </text>
    </comment>
    <comment ref="B122" authorId="1" shapeId="0">
      <text>
        <r>
          <rPr>
            <sz val="8"/>
            <color indexed="81"/>
            <rFont val="Tahoma"/>
            <family val="2"/>
          </rPr>
          <t>Old value assumes $2.75/gal so consistent with recent analyses.  Old value of $2.50/gal.  Old value of $3.50/gal.</t>
        </r>
      </text>
    </comment>
    <comment ref="I122" authorId="1" shapeId="0">
      <text>
        <r>
          <rPr>
            <sz val="8"/>
            <color indexed="81"/>
            <rFont val="Tahoma"/>
            <family val="2"/>
          </rPr>
          <t>Assume same proportion to chips as for IFAFS.</t>
        </r>
      </text>
    </comment>
    <comment ref="B123" authorId="1" shapeId="0">
      <text>
        <r>
          <rPr>
            <sz val="8"/>
            <color indexed="81"/>
            <rFont val="Tahoma"/>
            <family val="2"/>
          </rPr>
          <t>Old value of $15/hr too high even though consistent with recent analyses.  Old value of $9.40/hr.
For US according to Tom Molloy mean is $12.29/hour for a farm worker. For supervisor this is $20.46/hour (if owner).</t>
        </r>
      </text>
    </comment>
    <comment ref="I123" authorId="1" shapeId="0">
      <text>
        <r>
          <rPr>
            <sz val="8"/>
            <color indexed="81"/>
            <rFont val="Tahoma"/>
            <family val="2"/>
          </rPr>
          <t xml:space="preserve">From cooperating farmer. Average contract price of $8-9.  Less for straight out of field.  Up to $12 for long-term storage varieties. </t>
        </r>
      </text>
    </comment>
    <comment ref="K123" authorId="2" shapeId="0">
      <text>
        <r>
          <rPr>
            <sz val="8"/>
            <color indexed="81"/>
            <rFont val="Tahoma"/>
            <family val="2"/>
          </rPr>
          <t>From FVA worksheet (Weighted average of McCain's contract price)</t>
        </r>
      </text>
    </comment>
    <comment ref="B125" authorId="2" shapeId="0">
      <text>
        <r>
          <rPr>
            <sz val="8"/>
            <color indexed="81"/>
            <rFont val="Tahoma"/>
            <family val="2"/>
          </rPr>
          <t>Use average from cooperating producer with chip contract so more consistent with other research.  Old value (=I100).
Share-weighted price for fries and chips.  Price for chips surveyed from cooperating producer.  Price for fries assumed to be same proportion to price for chips as when did IFAFS research.
Old value of $8.50 (=AVERAGE(8,9)).  The $8.50 per cwt is closer to the typical base contract price.  Assume producer gets some bonuses.  Could be as high as $10-$12 per cwt.</t>
        </r>
      </text>
    </comment>
    <comment ref="C125" authorId="1" shapeId="0">
      <text>
        <r>
          <rPr>
            <sz val="8"/>
            <color indexed="81"/>
            <rFont val="Tahoma"/>
            <family val="2"/>
          </rPr>
          <t>Assume same percent increase in price as for seed potato.
This is a share-weighted contract price for french fry and chipping potatoes.</t>
        </r>
      </text>
    </comment>
    <comment ref="G127" authorId="0" shapeId="0">
      <text>
        <r>
          <rPr>
            <sz val="8"/>
            <color indexed="81"/>
            <rFont val="Tahoma"/>
            <family val="2"/>
          </rPr>
          <t>Assume no yield response in short term and variable yield response in long term:
1) 0% to 20% based on MPEP results
2) -10% to 0% for diseased tubers from higher soil moisture based on MPEP results</t>
        </r>
      </text>
    </comment>
    <comment ref="B128" authorId="2" shapeId="0">
      <text>
        <r>
          <rPr>
            <sz val="8"/>
            <color indexed="81"/>
            <rFont val="Tahoma"/>
            <family val="2"/>
          </rPr>
          <t>Assume culls have no value</t>
        </r>
      </text>
    </comment>
    <comment ref="P129" authorId="0" shapeId="0">
      <text>
        <r>
          <rPr>
            <sz val="8"/>
            <color indexed="81"/>
            <rFont val="Tahoma"/>
            <family val="2"/>
          </rPr>
          <t>This is from enterprise budget from Tim Dalton</t>
        </r>
      </text>
    </comment>
    <comment ref="W129" authorId="0" shapeId="0">
      <text>
        <r>
          <rPr>
            <sz val="8"/>
            <color indexed="81"/>
            <rFont val="Tahoma"/>
            <family val="2"/>
          </rPr>
          <t>From Lauchlin Titus:
1-(207) 873-2108
1-(207) 314-2655 (Cell)</t>
        </r>
      </text>
    </comment>
    <comment ref="B132" authorId="2" shapeId="0">
      <text>
        <r>
          <rPr>
            <sz val="8"/>
            <color indexed="81"/>
            <rFont val="Tahoma"/>
            <family val="2"/>
          </rPr>
          <t xml:space="preserve">This is a share weighted marketable yield for french fries (290 cwt/acre) and chips (260 cwt/acre).  About 60% of the potatoes in Aroostook are grown for processing (45% for fries and 15% for chips).  Old assumption of 250 cwt/acre based on historical average for Maine potatoes.
</t>
        </r>
      </text>
    </comment>
    <comment ref="C132" authorId="2" shapeId="0">
      <text>
        <r>
          <rPr>
            <sz val="8"/>
            <color indexed="81"/>
            <rFont val="Tahoma"/>
            <family val="2"/>
          </rPr>
          <t>Typical marketable yield</t>
        </r>
      </text>
    </comment>
    <comment ref="D132" authorId="2" shapeId="0">
      <text>
        <r>
          <rPr>
            <sz val="8"/>
            <color indexed="81"/>
            <rFont val="Tahoma"/>
            <family val="2"/>
          </rPr>
          <t>Typical marketable yield</t>
        </r>
      </text>
    </comment>
    <comment ref="G132" authorId="2" shapeId="0">
      <text>
        <r>
          <rPr>
            <sz val="8"/>
            <color indexed="81"/>
            <rFont val="Tahoma"/>
            <family val="2"/>
          </rPr>
          <t>Typical proportion</t>
        </r>
      </text>
    </comment>
    <comment ref="G133" authorId="2" shapeId="0">
      <text>
        <r>
          <rPr>
            <sz val="8"/>
            <color indexed="81"/>
            <rFont val="Tahoma"/>
            <family val="2"/>
          </rPr>
          <t>Typical proportion</t>
        </r>
      </text>
    </comment>
    <comment ref="W133" authorId="0" shapeId="0">
      <text>
        <r>
          <rPr>
            <sz val="8"/>
            <color indexed="81"/>
            <rFont val="Tahoma"/>
            <family val="2"/>
          </rPr>
          <t>Assume same proportion as enterprise budget</t>
        </r>
      </text>
    </comment>
    <comment ref="G134" authorId="2" shapeId="0">
      <text>
        <r>
          <rPr>
            <sz val="8"/>
            <color indexed="81"/>
            <rFont val="Tahoma"/>
            <family val="2"/>
          </rPr>
          <t>Typical proportion</t>
        </r>
      </text>
    </comment>
    <comment ref="W134" authorId="0" shapeId="0">
      <text>
        <r>
          <rPr>
            <sz val="8"/>
            <color indexed="81"/>
            <rFont val="Tahoma"/>
            <family val="2"/>
          </rPr>
          <t>Assume same proportion as enterprise budget</t>
        </r>
      </text>
    </comment>
    <comment ref="B136" authorId="0" shapeId="0">
      <text>
        <r>
          <rPr>
            <sz val="8"/>
            <color indexed="81"/>
            <rFont val="Tahoma"/>
            <family val="2"/>
          </rPr>
          <t>Adjusted by PPI to convert from 2002 surveyed cost to 2010. Use alfalfa haylage cost of $50/ton from Penn State (http://agguide.agronomy/psu.edu/CM/Sec12/sec122f.htm).  Cooperating farmer's price for alfalfa is $30/ton, while another cooperating farmer's price for alfalfa haylage is $90/ton.</t>
        </r>
      </text>
    </comment>
    <comment ref="M138" authorId="1" shapeId="0">
      <text>
        <r>
          <rPr>
            <sz val="8"/>
            <color indexed="81"/>
            <rFont val="Tahoma"/>
            <family val="2"/>
          </rPr>
          <t>Not seasonally adjusted: http://www.economagic.com/blsppi.htm</t>
        </r>
      </text>
    </comment>
    <comment ref="N138" authorId="1" shapeId="0">
      <text>
        <r>
          <rPr>
            <sz val="8"/>
            <color indexed="81"/>
            <rFont val="Tahoma"/>
            <family val="2"/>
          </rPr>
          <t>Not seasonally adjusted: http://www.economagic.com/blsppi.htm</t>
        </r>
      </text>
    </comment>
    <comment ref="O138" authorId="1" shapeId="0">
      <text>
        <r>
          <rPr>
            <sz val="8"/>
            <color indexed="81"/>
            <rFont val="Tahoma"/>
            <family val="2"/>
          </rPr>
          <t>Not seasonally adjusted: http://www.economagic.com/blsppi.htm</t>
        </r>
      </text>
    </comment>
    <comment ref="B139" authorId="0" shapeId="0">
      <text>
        <r>
          <rPr>
            <sz val="8"/>
            <color indexed="81"/>
            <rFont val="Tahoma"/>
            <family val="2"/>
          </rPr>
          <t>Assume same as Aroostook dairy.  For alfalfa just established, get 4 ton/acre (Cooperating farmer). For established alfalfa, another cooperating farmer gets 3 cuts of 6, 4, and 3 tons respectively for a total of 13 tons fresh weight.</t>
        </r>
      </text>
    </comment>
    <comment ref="B143" authorId="1" shapeId="0">
      <text>
        <r>
          <rPr>
            <sz val="8"/>
            <color indexed="81"/>
            <rFont val="Tahoma"/>
            <family val="2"/>
          </rPr>
          <t>Adjusted by PPI to convert from 2002 surveyed cost to 2010. Assume same as hay since forage.</t>
        </r>
      </text>
    </comment>
    <comment ref="B146" authorId="1" shapeId="0">
      <text>
        <r>
          <rPr>
            <sz val="8"/>
            <color indexed="81"/>
            <rFont val="Tahoma"/>
            <family val="2"/>
          </rPr>
          <t>2007-09 average for Maine was 16.2 tons/acre. Average for Maine for 2000-09 was 17.5 tons/acre. Assume lower yield for Aroostook.</t>
        </r>
      </text>
    </comment>
    <comment ref="B148" authorId="0" shapeId="0">
      <text>
        <r>
          <rPr>
            <sz val="8"/>
            <color indexed="81"/>
            <rFont val="Tahoma"/>
            <family val="2"/>
          </rPr>
          <t xml:space="preserve">Old value of $30 per ton. Adjusted by PPI to convert from 2002 surveyed cost to 2010. </t>
        </r>
      </text>
    </comment>
    <comment ref="E148" authorId="0" shapeId="0">
      <text>
        <r>
          <rPr>
            <sz val="8"/>
            <color indexed="81"/>
            <rFont val="Tahoma"/>
            <family val="2"/>
          </rPr>
          <t>Old value of $22.50 per bale. Adjusted by PPI to convert from 2002 surveyed cost to 2010.</t>
        </r>
      </text>
    </comment>
    <comment ref="H148" authorId="0" shapeId="0">
      <text>
        <r>
          <rPr>
            <sz val="8"/>
            <color indexed="81"/>
            <rFont val="Tahoma"/>
            <family val="2"/>
          </rPr>
          <t>Old value of $1.88 per bale. Adjusted by PPI to convert from 2002 surveyed cost to 2010.</t>
        </r>
      </text>
    </comment>
    <comment ref="I151" authorId="1" shapeId="0">
      <text>
        <r>
          <rPr>
            <sz val="8"/>
            <color indexed="81"/>
            <rFont val="Tahoma"/>
            <family val="2"/>
          </rPr>
          <t>Assume 2 tons of DM per acre. See calculation on "HayBudget" worksheet.</t>
        </r>
      </text>
    </comment>
    <comment ref="C152" authorId="1" shapeId="0">
      <text>
        <r>
          <rPr>
            <sz val="8"/>
            <color indexed="81"/>
            <rFont val="Tahoma"/>
            <family val="2"/>
          </rPr>
          <t>Assume same as alfalfa.</t>
        </r>
      </text>
    </comment>
    <comment ref="J154" authorId="1" shapeId="0">
      <text>
        <r>
          <rPr>
            <sz val="8"/>
            <color indexed="81"/>
            <rFont val="Tahoma"/>
            <family val="2"/>
          </rPr>
          <t>Assume same as alfalfa.</t>
        </r>
      </text>
    </comment>
    <comment ref="B155" authorId="1" shapeId="0">
      <text>
        <r>
          <rPr>
            <sz val="8"/>
            <color indexed="81"/>
            <rFont val="Tahoma"/>
            <family val="2"/>
          </rPr>
          <t xml:space="preserve">Use 2009 price:
http://www.uky.edu/Ag/CDBREC/introsheets/clover.pdf
 </t>
        </r>
      </text>
    </comment>
    <comment ref="B158" authorId="1" shapeId="0">
      <text>
        <r>
          <rPr>
            <sz val="8"/>
            <color indexed="81"/>
            <rFont val="Tahoma"/>
            <family val="2"/>
          </rPr>
          <t>Use lower yield estimate:
http://www.uky.edu/Ag/CDBREC/introsheets/clover.pdf
Can be same as alfalfa:
http://forage.okstate.edu/text/redclov.htm</t>
        </r>
      </text>
    </comment>
    <comment ref="C159" authorId="1" shapeId="0">
      <text>
        <r>
          <rPr>
            <sz val="8"/>
            <color indexed="81"/>
            <rFont val="Tahoma"/>
            <family val="2"/>
          </rPr>
          <t>Assume same as alfalfa.</t>
        </r>
      </text>
    </comment>
    <comment ref="B162" authorId="1" shapeId="0">
      <text>
        <r>
          <rPr>
            <sz val="8"/>
            <color indexed="81"/>
            <rFont val="Tahoma"/>
            <family val="2"/>
          </rPr>
          <t>Assume same as haylage.</t>
        </r>
      </text>
    </comment>
    <comment ref="B165" authorId="1" shapeId="0">
      <text>
        <r>
          <rPr>
            <sz val="8"/>
            <color indexed="81"/>
            <rFont val="Tahoma"/>
            <family val="2"/>
          </rPr>
          <t>Assume no fertilization so 100 40-lb square bales to the acre equivalent so 4000 lb/acre or 2 tons/acre.</t>
        </r>
      </text>
    </comment>
    <comment ref="C166" authorId="1" shapeId="0">
      <text>
        <r>
          <rPr>
            <sz val="8"/>
            <color indexed="81"/>
            <rFont val="Tahoma"/>
            <family val="2"/>
          </rPr>
          <t>Assume same as alfalfa.</t>
        </r>
      </text>
    </comment>
    <comment ref="B169" authorId="0" shapeId="0">
      <text>
        <r>
          <rPr>
            <sz val="8"/>
            <color indexed="81"/>
            <rFont val="Tahoma"/>
            <family val="2"/>
          </rPr>
          <t>Use U.S. average price of $3.98666666666667/bu for 2007-09.
Adjusted by PPI to convert from 2002 surveyed cost to 2010 (=2.5+(2.5*$F$84)) so get $4.71/bu. 
Old value ($3/bu).  $2.50/bu is 4 year average for New York (2000 to 2003):
Nov. 2000 ($2.20/bu)
Nov. 2001 ($2.28/bu)
Nov. 2002 ($2.96/bu)
Nov. 2003 ($2.56/bu)
Avg. ($2.50/bu)</t>
        </r>
      </text>
    </comment>
    <comment ref="B172" authorId="1" shapeId="0">
      <text>
        <r>
          <rPr>
            <sz val="8"/>
            <color indexed="81"/>
            <rFont val="Tahoma"/>
            <family val="2"/>
          </rPr>
          <t>Based on cooperating producers in central Maine.</t>
        </r>
      </text>
    </comment>
    <comment ref="B176" authorId="3" shapeId="0">
      <text>
        <r>
          <rPr>
            <b/>
            <sz val="9"/>
            <color indexed="81"/>
            <rFont val="Tahoma"/>
            <family val="2"/>
          </rPr>
          <t>Old value:
=IF(B165=1,O168,Q168)</t>
        </r>
      </text>
    </comment>
    <comment ref="E177"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H177" authorId="2" shapeId="0">
      <text>
        <r>
          <rPr>
            <b/>
            <sz val="8"/>
            <color indexed="81"/>
            <rFont val="Tahoma"/>
            <family val="2"/>
          </rPr>
          <t>Maine Straw Directory:
http://umaine.edu/livestock/straw/
For oat and rye straw.  Assume all square bales for straw priced the same.</t>
        </r>
      </text>
    </comment>
    <comment ref="E178" authorId="3" shapeId="0">
      <text>
        <r>
          <rPr>
            <b/>
            <sz val="9"/>
            <color indexed="81"/>
            <rFont val="Tahoma"/>
            <family val="2"/>
          </rPr>
          <t>Default:
1000</t>
        </r>
      </text>
    </comment>
    <comment ref="H178" authorId="3" shapeId="0">
      <text>
        <r>
          <rPr>
            <b/>
            <sz val="9"/>
            <color indexed="81"/>
            <rFont val="Tahoma"/>
            <family val="2"/>
          </rPr>
          <t>Default:
40</t>
        </r>
      </text>
    </comment>
    <comment ref="B180" authorId="3" shapeId="0">
      <text>
        <r>
          <rPr>
            <b/>
            <sz val="9"/>
            <color indexed="81"/>
            <rFont val="Tahoma"/>
            <family val="2"/>
          </rPr>
          <t>Old value:
=(M168/$K$55)+((M168/$K$55)*F169)</t>
        </r>
      </text>
    </comment>
    <comment ref="J180"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Q180" authorId="1" shapeId="0">
      <text>
        <r>
          <rPr>
            <sz val="8"/>
            <color indexed="81"/>
            <rFont val="Tahoma"/>
            <family val="2"/>
          </rPr>
          <t>Malt Barley $4.90/bu from personal communication with Andrew Plant.
Old value used 2007-09 average for Maine of $3.08/bu.  
Adjusted by PPI to convert from 2002 surveyed cost to 2010 (=1.5+(1.5*$F$84)) to get $2.83/bu. 
Old conventional value is $4.90
Feed grade is $10.71/bu</t>
        </r>
      </text>
    </comment>
    <comment ref="B181" authorId="2" shapeId="0">
      <text>
        <r>
          <rPr>
            <b/>
            <sz val="8"/>
            <color indexed="81"/>
            <rFont val="Tahoma"/>
            <family val="2"/>
          </rPr>
          <t>2007-09 average for Maine was 58.3333333333333 bu/acre. Average for Maine for 2000-09 was 63 bu/acre. Use 10-year average since past few years very low yield.
If use average of 1992 and 1997 Agriculture Census for Maine (70.8 bu/acre)
For comparison, average for 1992 and 1997 Census for Aroostook County was 71.5 bu/acre and for MPEP (Presque Isle) between 1992 and 1997, the average was 68 bu/acre
Old value:
=63+(63*F156)
From Tom Molloy</t>
        </r>
      </text>
    </comment>
    <comment ref="J181"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B184" authorId="3" shapeId="0">
      <text>
        <r>
          <rPr>
            <b/>
            <sz val="9"/>
            <color indexed="81"/>
            <rFont val="Tahoma"/>
            <family val="2"/>
          </rPr>
          <t>Old value:
=IF(B172=1,O175,Q175)</t>
        </r>
      </text>
    </comment>
    <comment ref="E185"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H185" authorId="2" shapeId="0">
      <text>
        <r>
          <rPr>
            <b/>
            <sz val="8"/>
            <color indexed="81"/>
            <rFont val="Tahoma"/>
            <family val="2"/>
          </rPr>
          <t>Maine Straw Directory:
http://umaine.edu/livestock/straw/
For oat and rye straw.  Assume all square bales for straw priced the same.</t>
        </r>
      </text>
    </comment>
    <comment ref="E186" authorId="3" shapeId="0">
      <text>
        <r>
          <rPr>
            <b/>
            <sz val="9"/>
            <color indexed="81"/>
            <rFont val="Tahoma"/>
            <family val="2"/>
          </rPr>
          <t>Default:
1000</t>
        </r>
      </text>
    </comment>
    <comment ref="H186" authorId="3" shapeId="0">
      <text>
        <r>
          <rPr>
            <b/>
            <sz val="9"/>
            <color indexed="81"/>
            <rFont val="Tahoma"/>
            <family val="2"/>
          </rPr>
          <t>Default:
40</t>
        </r>
      </text>
    </comment>
    <comment ref="B188" authorId="3" shapeId="0">
      <text>
        <r>
          <rPr>
            <b/>
            <sz val="9"/>
            <color indexed="81"/>
            <rFont val="Tahoma"/>
            <family val="2"/>
          </rPr>
          <t>Old value:
=(M175/$K$56)+((M175/$K$56)*F176)</t>
        </r>
      </text>
    </comment>
    <comment ref="J188" authorId="1" shapeId="0">
      <text>
        <r>
          <rPr>
            <b/>
            <sz val="8"/>
            <color indexed="81"/>
            <rFont val="Tahoma"/>
            <family val="2"/>
          </rPr>
          <t>From personal communication with Andrew Plant, typical yields on straw will likely be 1 ton/ac barley, 1.5 ton/ac oat and wheat.  
Old value of 1.4 from:  http://bioweb.sungrant.org/Technical/Biomass+Resources/Agricultural+Resources/Crop+Residues/Miscellaneous+Grain+Crop+Straws/Default.htm</t>
        </r>
      </text>
    </comment>
    <comment ref="M188" authorId="3" shapeId="0">
      <text>
        <r>
          <rPr>
            <b/>
            <sz val="9"/>
            <color indexed="81"/>
            <rFont val="Tahoma"/>
            <family val="2"/>
          </rPr>
          <t>Bumped up to make to even 62 bushels per acre.</t>
        </r>
      </text>
    </comment>
    <comment ref="O188" authorId="3" shapeId="0">
      <text>
        <r>
          <rPr>
            <b/>
            <sz val="9"/>
            <color indexed="81"/>
            <rFont val="Tahoma"/>
            <family val="2"/>
          </rPr>
          <t>From Tom Molloy</t>
        </r>
      </text>
    </comment>
    <comment ref="Q188" authorId="2" shapeId="0">
      <text>
        <r>
          <rPr>
            <b/>
            <sz val="8"/>
            <color indexed="81"/>
            <rFont val="Tahoma"/>
            <family val="2"/>
          </rPr>
          <t>From personal comunication with Andrew Plant, small grains US1 grade Oat: $3.15/bu. For US2 feed grade, you can typically see a 20-40% discount from the US1 prices- Up here, would likely be more towards the 30-40% discount range.  Assume average of 35% reduction.
Old value of $2.08 used 2007-09 average for Maine of $2.08333333333333/bu (2.08333333333333).
Adjusted by PPI to convert from 2002 surveyed cost to 2010 (=AVERAGE(1.85,2.06)+(AVERAGE(1.85,2.06)*$F$84)) to get $3.68/bu. 
Average national conventional price for Midwest and not west coast (http://www.newfarm.org/opx/).  
Old conventional value is $2.05
Assume $10.71 so same as barley for feed. National organic statistics it was $5.47/bu for organic oats feed grade nationally. In NE, range of $5.50 to $6.25 per bu. From Organic Trader newsletter.</t>
        </r>
      </text>
    </comment>
    <comment ref="B189" authorId="2" shapeId="0">
      <text>
        <r>
          <rPr>
            <b/>
            <sz val="8"/>
            <color indexed="81"/>
            <rFont val="Tahoma"/>
            <family val="2"/>
          </rPr>
          <t>2007-09 average for Maine was 66.6666666666667 bu/acre. Average for Maine for 2000-09 was 71.3 bu/acre. Use 10-year average to be consistent with barley.
Average of 1992 and 1997 Census of Agriculture statistics for all Maine counties growing these crops.  U.S. Department of Agriculture, New England Agricultural Statistics Service (USDA-NEASS), 1997 Census of Agriculture (http://govinfo.kerr.orst.edu/php/agri/area_to_county.php)
Old value:
=71.3+(71.3*F163)
From Tom Molloy</t>
        </r>
        <r>
          <rPr>
            <sz val="8"/>
            <color indexed="81"/>
            <rFont val="Tahoma"/>
            <family val="2"/>
          </rPr>
          <t xml:space="preserve">
</t>
        </r>
      </text>
    </comment>
    <comment ref="J189" authorId="1" shapeId="0">
      <text>
        <r>
          <rPr>
            <b/>
            <sz val="8"/>
            <color indexed="81"/>
            <rFont val="Tahoma"/>
            <family val="2"/>
          </rPr>
          <t>From personal communication with Andrew Plant, typical yields on straw will likely be 1 ton/ac barley, 1.5 ton/ac oat and wheat.  
Old value of 1.4 from:  http://bioweb.sungrant.org/Technical/Biomass+Resources/Agricultural+Resources/Crop+Residues/Miscellaneous+Grain+Crop+Straws/Default.htm</t>
        </r>
      </text>
    </comment>
    <comment ref="B192" authorId="3" shapeId="0">
      <text>
        <r>
          <rPr>
            <b/>
            <sz val="9"/>
            <color indexed="81"/>
            <rFont val="Tahoma"/>
            <family val="2"/>
          </rPr>
          <t>Old value:
=IF(B179=1,O182,Q182)</t>
        </r>
      </text>
    </comment>
    <comment ref="E193"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H193" authorId="2" shapeId="0">
      <text>
        <r>
          <rPr>
            <b/>
            <sz val="8"/>
            <color indexed="81"/>
            <rFont val="Tahoma"/>
            <family val="2"/>
          </rPr>
          <t>Maine Straw Directory:
http://umaine.edu/livestock/straw/
For oat and rye straw.  Assume all square bales for straw priced the same.</t>
        </r>
      </text>
    </comment>
    <comment ref="E194" authorId="3" shapeId="0">
      <text>
        <r>
          <rPr>
            <b/>
            <sz val="9"/>
            <color indexed="81"/>
            <rFont val="Tahoma"/>
            <family val="2"/>
          </rPr>
          <t>Default:
1000</t>
        </r>
      </text>
    </comment>
    <comment ref="H194" authorId="3" shapeId="0">
      <text>
        <r>
          <rPr>
            <b/>
            <sz val="9"/>
            <color indexed="81"/>
            <rFont val="Tahoma"/>
            <family val="2"/>
          </rPr>
          <t>Default:
40</t>
        </r>
      </text>
    </comment>
    <comment ref="B196" authorId="3" shapeId="0">
      <text>
        <r>
          <rPr>
            <b/>
            <sz val="9"/>
            <color indexed="81"/>
            <rFont val="Tahoma"/>
            <family val="2"/>
          </rPr>
          <t>Old value:
=(M182/$K$57)+((M182/$K$57)*F183)</t>
        </r>
      </text>
    </comment>
    <comment ref="J196" authorId="1" shapeId="0">
      <text>
        <r>
          <rPr>
            <b/>
            <sz val="8"/>
            <color indexed="81"/>
            <rFont val="Tahoma"/>
            <family val="2"/>
          </rPr>
          <t>Did not get this from Andrew Plant so assume literature value:
http://bioweb.sungrant.org/Technical/Biomass+Resources/Agricultural+Resources/Crop+Residues/Miscellaneous+Grain+Crop+Straws/Default.htm</t>
        </r>
      </text>
    </comment>
    <comment ref="M196" authorId="3" shapeId="0">
      <text>
        <r>
          <rPr>
            <b/>
            <sz val="9"/>
            <color indexed="81"/>
            <rFont val="Tahoma"/>
            <family val="2"/>
          </rPr>
          <t>Bumped up to make to even 28 bushels per acre.</t>
        </r>
      </text>
    </comment>
    <comment ref="O196" authorId="3" shapeId="0">
      <text>
        <r>
          <rPr>
            <b/>
            <sz val="9"/>
            <color indexed="81"/>
            <rFont val="Tahoma"/>
            <family val="2"/>
          </rPr>
          <t>From Tom Molloy</t>
        </r>
      </text>
    </comment>
    <comment ref="Q196" authorId="2" shapeId="0">
      <text>
        <r>
          <rPr>
            <sz val="8"/>
            <color indexed="81"/>
            <rFont val="Tahoma"/>
            <family val="2"/>
          </rPr>
          <t xml:space="preserve">2007-09 US Average price. Old price of $5.37 per bu. 
According to Tom Molloy seed market has developed due to USDA's cover cropping program. Go with $11.20/bu from Organic Alberta but they got this from USDA.
</t>
        </r>
      </text>
    </comment>
    <comment ref="B197" authorId="2" shapeId="0">
      <text>
        <r>
          <rPr>
            <b/>
            <sz val="8"/>
            <color indexed="81"/>
            <rFont val="Tahoma"/>
            <family val="2"/>
          </rPr>
          <t>2007-09 US average yield. 2000-09 US average yield was 27.1 bu/acre.
Assume 1,800 lb per acre based on Tom Molloy estimate from growing.</t>
        </r>
      </text>
    </comment>
    <comment ref="J197" authorId="1" shapeId="0">
      <text>
        <r>
          <rPr>
            <b/>
            <sz val="8"/>
            <color indexed="81"/>
            <rFont val="Tahoma"/>
            <family val="2"/>
          </rPr>
          <t>Did not get this from Andrew Plant so assume literature value:
http://bioweb.sungrant.org/Technical/Biomass+Resources/Agricultural+Resources/Crop+Residues/Miscellaneous+Grain+Crop+Straws/Default.htm</t>
        </r>
      </text>
    </comment>
    <comment ref="B200" authorId="3" shapeId="0">
      <text>
        <r>
          <rPr>
            <b/>
            <sz val="9"/>
            <color indexed="81"/>
            <rFont val="Tahoma"/>
            <family val="2"/>
          </rPr>
          <t>Old value:
=($K$27*B186*O189)+($K$27*B187*Q189)+($K$28*B186*O190)+($K$28*B187*Q190)</t>
        </r>
      </text>
    </comment>
    <comment ref="E201"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H201" authorId="2" shapeId="0">
      <text>
        <r>
          <rPr>
            <b/>
            <sz val="8"/>
            <color indexed="81"/>
            <rFont val="Tahoma"/>
            <family val="2"/>
          </rPr>
          <t>Maine Straw Directory:
http://umaine.edu/livestock/straw/
For oat and rye straw.  Assume all square bales for straw priced the same.</t>
        </r>
      </text>
    </comment>
    <comment ref="E202" authorId="3" shapeId="0">
      <text>
        <r>
          <rPr>
            <b/>
            <sz val="9"/>
            <color indexed="81"/>
            <rFont val="Tahoma"/>
            <family val="2"/>
          </rPr>
          <t>Default:
1000</t>
        </r>
      </text>
    </comment>
    <comment ref="H202" authorId="3" shapeId="0">
      <text>
        <r>
          <rPr>
            <b/>
            <sz val="9"/>
            <color indexed="81"/>
            <rFont val="Tahoma"/>
            <family val="2"/>
          </rPr>
          <t>Default:
40</t>
        </r>
      </text>
    </comment>
    <comment ref="B204" authorId="3" shapeId="0">
      <text>
        <r>
          <rPr>
            <b/>
            <sz val="9"/>
            <color indexed="81"/>
            <rFont val="Tahoma"/>
            <family val="2"/>
          </rPr>
          <t>Old value:
=B190+(B190*F190)</t>
        </r>
      </text>
    </comment>
    <comment ref="J204"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M204" authorId="3" shapeId="0">
      <text>
        <r>
          <rPr>
            <b/>
            <sz val="9"/>
            <color indexed="81"/>
            <rFont val="Tahoma"/>
            <family val="2"/>
          </rPr>
          <t>Bumped up to make to even 34 bushels per acre.</t>
        </r>
      </text>
    </comment>
    <comment ref="O204" authorId="2" shapeId="0">
      <text>
        <r>
          <rPr>
            <sz val="8"/>
            <color indexed="81"/>
            <rFont val="Tahoma"/>
            <family val="2"/>
          </rPr>
          <t>Wheat $7.15/bu from personal communication with Andrew Plant.
Old value of $6.04 from 2007-09 US Average price (6.03666666666667). Assume for all categories.
$16.24/bu for food for bread wheat for 3rd quarter 2015 for hard red spring and for hard red winter this is high at $23.43/bu. For livestock feed this is $10.32 for feed grade for hard red winter wheat for feed. Assume same for spring.</t>
        </r>
      </text>
    </comment>
    <comment ref="Q204" authorId="2" shapeId="0">
      <text>
        <r>
          <rPr>
            <sz val="8"/>
            <color indexed="81"/>
            <rFont val="Tahoma"/>
            <family val="2"/>
          </rPr>
          <t>Wheat $7.15/bu from personal communication with Andrew Plant.
Old value of $6.04 from 2007-09 US Average price (6.03666666666667). Assume for all categories.
$16.24/bu for food for bread wheat for 3rd quarter 2015 for hard red spring and for hard red winter this is high at $23.43/bu. For livestock feed this is $10.32 for feed grade for hard red winter wheat for feed. Assume same for spring.</t>
        </r>
      </text>
    </comment>
    <comment ref="B205" authorId="2" shapeId="0">
      <text>
        <r>
          <rPr>
            <sz val="8"/>
            <color indexed="81"/>
            <rFont val="Tahoma"/>
            <family val="2"/>
          </rPr>
          <t>Average yield for Aroostook= 45bu/ac from personal communication with Andrew Plant.
=45+(45*F177)
Old value of 40.9 from 2007-09 US average yield for "Other Spring Wheat." In this category, 2000-09 US average yield was 37.84 bu/acre.
Use 2,000 lb per acre from Tom Molloy for spring and 2,500 lb per acre for winter wheat.</t>
        </r>
      </text>
    </comment>
    <comment ref="J205"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B208" authorId="3" shapeId="0">
      <text>
        <r>
          <rPr>
            <b/>
            <sz val="9"/>
            <color indexed="81"/>
            <rFont val="Tahoma"/>
            <family val="2"/>
          </rPr>
          <t>Old value:
=($K$27*B186*O189)+($K$27*B187*Q189)+($K$28*B186*O190)+($K$28*B187*Q190)</t>
        </r>
      </text>
    </comment>
    <comment ref="E209"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t>
        </r>
      </text>
    </comment>
    <comment ref="H209" authorId="2" shapeId="0">
      <text>
        <r>
          <rPr>
            <b/>
            <sz val="8"/>
            <color indexed="81"/>
            <rFont val="Tahoma"/>
            <family val="2"/>
          </rPr>
          <t>Maine Straw Directory:
http://umaine.edu/livestock/straw/
For oat and rye straw.  Assume all square bales for straw priced the same.</t>
        </r>
      </text>
    </comment>
    <comment ref="E210" authorId="3" shapeId="0">
      <text>
        <r>
          <rPr>
            <b/>
            <sz val="9"/>
            <color indexed="81"/>
            <rFont val="Tahoma"/>
            <family val="2"/>
          </rPr>
          <t>Default:
1000</t>
        </r>
      </text>
    </comment>
    <comment ref="H210" authorId="3" shapeId="0">
      <text>
        <r>
          <rPr>
            <b/>
            <sz val="9"/>
            <color indexed="81"/>
            <rFont val="Tahoma"/>
            <family val="2"/>
          </rPr>
          <t>Default:
40</t>
        </r>
      </text>
    </comment>
    <comment ref="B212" authorId="3" shapeId="0">
      <text>
        <r>
          <rPr>
            <b/>
            <sz val="9"/>
            <color indexed="81"/>
            <rFont val="Tahoma"/>
            <family val="2"/>
          </rPr>
          <t>Old value:
=B190+(B190*F190)</t>
        </r>
      </text>
    </comment>
    <comment ref="J212"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M212" authorId="3" shapeId="0">
      <text>
        <r>
          <rPr>
            <b/>
            <sz val="9"/>
            <color indexed="81"/>
            <rFont val="Tahoma"/>
            <family val="2"/>
          </rPr>
          <t>Bumped up to make to even 42 bushels per acre.</t>
        </r>
      </text>
    </comment>
    <comment ref="O212" authorId="2" shapeId="0">
      <text>
        <r>
          <rPr>
            <sz val="8"/>
            <color indexed="81"/>
            <rFont val="Tahoma"/>
            <family val="2"/>
          </rPr>
          <t>Wheat $7.15/bu from personal communication with Andrew Plant.
Old value of $6.04 from 2007-09 US Average price (6.03666666666667). Assume for all categories.
$16.24/bu for food for bread wheat for 3rd quarter 2015 for hard red spring and for hard red winter this is high at $23.43/bu. For livestock feed this is $10.32 for feed grade for hard red winter wheat for feed. Assume same for spring.</t>
        </r>
      </text>
    </comment>
    <comment ref="Q212" authorId="2" shapeId="0">
      <text>
        <r>
          <rPr>
            <sz val="8"/>
            <color indexed="81"/>
            <rFont val="Tahoma"/>
            <family val="2"/>
          </rPr>
          <t>Wheat $7.15/bu from personal communication with Andrew Plant.
Old value of $6.04 from 2007-09 US Average price (6.03666666666667). Assume for all categories.
$16.24/bu for food for bread wheat for 3rd quarter 2015 for hard red spring and for hard red winter this is high at $23.43/bu. For livestock feed this is $10.32 for feed grade for hard red winter wheat for feed. Assume same for spring.</t>
        </r>
      </text>
    </comment>
    <comment ref="B213" authorId="2" shapeId="0">
      <text>
        <r>
          <rPr>
            <sz val="8"/>
            <color indexed="81"/>
            <rFont val="Tahoma"/>
            <family val="2"/>
          </rPr>
          <t>Average yield for Aroostook= 45bu/ac from personal communication with Andrew Plant.
=45+(45*F177)
Old value of 40.9 from 2007-09 US average yield for "Other Spring Wheat." In this category, 2000-09 US average yield was 37.84 bu/acre.
Use 2,000 lb per acre from Tom Molloy for spring and 2,500 lb per acre for winter wheat.</t>
        </r>
      </text>
    </comment>
    <comment ref="J213"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t>
        </r>
      </text>
    </comment>
    <comment ref="B216" authorId="3" shapeId="0">
      <text>
        <r>
          <rPr>
            <b/>
            <sz val="9"/>
            <color indexed="81"/>
            <rFont val="Tahoma"/>
            <family val="2"/>
          </rPr>
          <t>Old value:
=($K$27*B193*O196)+($K$27*B194*Q196)+($K$28*B193*O197)+($K$28*B194*Q197)</t>
        </r>
      </text>
    </comment>
    <comment ref="E217"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
Assume same as wheat</t>
        </r>
      </text>
    </comment>
    <comment ref="H217" authorId="2" shapeId="0">
      <text>
        <r>
          <rPr>
            <b/>
            <sz val="8"/>
            <color indexed="81"/>
            <rFont val="Tahoma"/>
            <family val="2"/>
          </rPr>
          <t>Maine Straw Directory:
http://umaine.edu/livestock/straw/
For oat and rye straw.  Assume all square bales for straw priced the same. Assume same as other small grains</t>
        </r>
      </text>
    </comment>
    <comment ref="E218" authorId="3" shapeId="0">
      <text>
        <r>
          <rPr>
            <b/>
            <sz val="9"/>
            <color indexed="81"/>
            <rFont val="Tahoma"/>
            <family val="2"/>
          </rPr>
          <t>Assume same as wheat
Default:
1000</t>
        </r>
      </text>
    </comment>
    <comment ref="H218" authorId="3" shapeId="0">
      <text>
        <r>
          <rPr>
            <b/>
            <sz val="9"/>
            <color indexed="81"/>
            <rFont val="Tahoma"/>
            <family val="2"/>
          </rPr>
          <t>Assume same as wheat
Default:
40</t>
        </r>
      </text>
    </comment>
    <comment ref="B220" authorId="3" shapeId="0">
      <text>
        <r>
          <rPr>
            <b/>
            <sz val="9"/>
            <color indexed="81"/>
            <rFont val="Tahoma"/>
            <family val="2"/>
          </rPr>
          <t>Old value:
=B197+(B197*F197)</t>
        </r>
      </text>
    </comment>
    <comment ref="J220"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M220" authorId="3" shapeId="0">
      <text>
        <r>
          <rPr>
            <b/>
            <sz val="9"/>
            <color indexed="81"/>
            <rFont val="Tahoma"/>
            <family val="2"/>
          </rPr>
          <t>Bumped up to make to even 36 bushels per acre.</t>
        </r>
      </text>
    </comment>
    <comment ref="B221" authorId="2" shapeId="0">
      <text>
        <r>
          <rPr>
            <sz val="8"/>
            <color indexed="81"/>
            <rFont val="Tahoma"/>
            <family val="2"/>
          </rPr>
          <t>Average yield for Aroostook= 45bu/ac from personal communication with Andrew Plant.
=45+(45*F177)
Old value of 40.9 from 2007-09 US average yield for "Other Spring Wheat." In this category, 2000-09 US average yield was 37.84 bu/acre.
Use 2,000 lb per acre from Tom Molloy for spring and 2,500 lb per acre for winter wheat.</t>
        </r>
      </text>
    </comment>
    <comment ref="J221"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M221" authorId="3" shapeId="0">
      <text>
        <r>
          <rPr>
            <b/>
            <sz val="9"/>
            <color indexed="81"/>
            <rFont val="Tahoma"/>
            <family val="2"/>
          </rPr>
          <t>Bumped up to make to even 42 bushels per acre.</t>
        </r>
      </text>
    </comment>
    <comment ref="O221" authorId="3" shapeId="0">
      <text>
        <r>
          <rPr>
            <b/>
            <sz val="9"/>
            <color indexed="81"/>
            <rFont val="Tahoma"/>
            <family val="2"/>
          </rPr>
          <t>From Tom Molloy</t>
        </r>
      </text>
    </comment>
    <comment ref="Q221" authorId="1" shapeId="0">
      <text>
        <r>
          <rPr>
            <b/>
            <sz val="8"/>
            <color indexed="81"/>
            <rFont val="Tahoma"/>
            <family val="2"/>
          </rPr>
          <t>Malt Barley $4.90/bu from personal communication with Andrew Plant.
Old value used 2007-09 average for Maine of $3.08/bu.  
Adjusted by PPI to convert from 2002 surveyed cost to 2010 (=1.5+(1.5*$F$84)) to get $2.83/bu. 
Old conventional value is $4.90
Feed grade is assumed same as barley which is $10.71/bu</t>
        </r>
      </text>
    </comment>
    <comment ref="O222" authorId="3" shapeId="0">
      <text>
        <r>
          <rPr>
            <b/>
            <sz val="9"/>
            <color indexed="81"/>
            <rFont val="Tahoma"/>
            <family val="2"/>
          </rPr>
          <t>From Tom Molloy</t>
        </r>
      </text>
    </comment>
    <comment ref="Q222" authorId="1" shapeId="0">
      <text>
        <r>
          <rPr>
            <b/>
            <sz val="8"/>
            <color indexed="81"/>
            <rFont val="Tahoma"/>
            <family val="2"/>
          </rPr>
          <t>Malt Barley $4.90/bu from personal communication with Andrew Plant.
Old value used 2007-09 average for Maine of $3.08/bu.  
Adjusted by PPI to convert from 2002 surveyed cost to 2010 (=1.5+(1.5*$F$84)) to get $2.83/bu. 
Old conventional value is $4.90
Feed grade is assumed same as barley which is $10.71/bu</t>
        </r>
      </text>
    </comment>
    <comment ref="B224" authorId="3" shapeId="0">
      <text>
        <r>
          <rPr>
            <b/>
            <sz val="9"/>
            <color indexed="81"/>
            <rFont val="Tahoma"/>
            <family val="2"/>
          </rPr>
          <t>Old value:
=($K$27*B200*O203)+($K$27*B201*Q203)+($K$28*B200*O204)+($K$28*B201*Q204)</t>
        </r>
      </text>
    </comment>
    <comment ref="E225" authorId="2" shapeId="0">
      <text>
        <r>
          <rPr>
            <b/>
            <sz val="8"/>
            <color indexed="81"/>
            <rFont val="Tahoma"/>
            <family val="2"/>
          </rPr>
          <t>Straw prices per round bale average around here $35-$45/bale from personal communication with Andrew Plant.
Old value of $100 per round bale (=$L$151*(E151/2000)) assumed low end ($200/ton) and not average of $200 to $400 per ton so less expensive than square bales.  Assume price the same for all straw.
Assume same as wheat</t>
        </r>
      </text>
    </comment>
    <comment ref="H225" authorId="2" shapeId="0">
      <text>
        <r>
          <rPr>
            <b/>
            <sz val="8"/>
            <color indexed="81"/>
            <rFont val="Tahoma"/>
            <family val="2"/>
          </rPr>
          <t>Maine Straw Directory:
http://umaine.edu/livestock/straw/
For oat and rye straw.  Assume all square bales for straw priced the same. Assume same as other small grains</t>
        </r>
      </text>
    </comment>
    <comment ref="E226" authorId="3" shapeId="0">
      <text>
        <r>
          <rPr>
            <b/>
            <sz val="9"/>
            <color indexed="81"/>
            <rFont val="Tahoma"/>
            <family val="2"/>
          </rPr>
          <t>Assume same as wheat
Default:
1000</t>
        </r>
      </text>
    </comment>
    <comment ref="H226" authorId="3" shapeId="0">
      <text>
        <r>
          <rPr>
            <b/>
            <sz val="9"/>
            <color indexed="81"/>
            <rFont val="Tahoma"/>
            <family val="2"/>
          </rPr>
          <t>Assume same as wheat
Default:
40</t>
        </r>
      </text>
    </comment>
    <comment ref="B228" authorId="3" shapeId="0">
      <text>
        <r>
          <rPr>
            <b/>
            <sz val="9"/>
            <color indexed="81"/>
            <rFont val="Tahoma"/>
            <family val="2"/>
          </rPr>
          <t>Old value:
=B204+(B204*F204)</t>
        </r>
      </text>
    </comment>
    <comment ref="J228"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M228" authorId="3" shapeId="0">
      <text>
        <r>
          <rPr>
            <b/>
            <sz val="9"/>
            <color indexed="81"/>
            <rFont val="Tahoma"/>
            <family val="2"/>
          </rPr>
          <t>Bumped up to make to even 34 bushels per acre.</t>
        </r>
      </text>
    </comment>
    <comment ref="B229" authorId="2" shapeId="0">
      <text>
        <r>
          <rPr>
            <sz val="8"/>
            <color indexed="81"/>
            <rFont val="Tahoma"/>
            <family val="2"/>
          </rPr>
          <t>Average yield for Aroostook= 45bu/ac from personal communication with Andrew Plant.
=45+(45*F177)
Old value of 40.9 from 2007-09 US average yield for "Other Spring Wheat." In this category, 2000-09 US average yield was 37.84 bu/acre.
Use 2,000 lb per acre from Tom Molloy for spring and 2,500 lb per acre for winter wheat.</t>
        </r>
      </text>
    </comment>
    <comment ref="J229" authorId="1" shapeId="0">
      <text>
        <r>
          <rPr>
            <b/>
            <sz val="8"/>
            <color indexed="81"/>
            <rFont val="Tahoma"/>
            <family val="2"/>
          </rPr>
          <t>From personal communication with Andrew Plant, typical yields on straw will likely be 1 ton/ac barley, 1.5 ton/ac oat and wheat.  
Old value of 1.5 from:  http://bioweb.sungrant.org/Technical/Biomass+Resources/Agricultural+Resources/Crop+Residues/Miscellaneous+Grain+Crop+Straws/Default.htm
Assume same as wheat</t>
        </r>
      </text>
    </comment>
    <comment ref="M229" authorId="3" shapeId="0">
      <text>
        <r>
          <rPr>
            <b/>
            <sz val="9"/>
            <color indexed="81"/>
            <rFont val="Tahoma"/>
            <family val="2"/>
          </rPr>
          <t>Bumped up to make to even 42 bushels per acre.</t>
        </r>
      </text>
    </comment>
    <comment ref="O229" authorId="3" shapeId="0">
      <text>
        <r>
          <rPr>
            <b/>
            <sz val="9"/>
            <color indexed="81"/>
            <rFont val="Tahoma"/>
            <family val="2"/>
          </rPr>
          <t>Old value of $27/bu (=AVERAGE(24,30)) from Tom Molloy (what Jake Dyer received from a grist mill).
=0.4*60
=0.5*60
Update with new data from Tom Molloy.</t>
        </r>
      </text>
    </comment>
    <comment ref="O230" authorId="3" shapeId="0">
      <text>
        <r>
          <rPr>
            <b/>
            <sz val="9"/>
            <color indexed="81"/>
            <rFont val="Tahoma"/>
            <family val="2"/>
          </rPr>
          <t>Old value of $27/bu (=AVERAGE(24,30)) from Tom Molloy (what Jake Dyer received from a grist mill).
=0.4*60
=0.5*60
Update with new data from Tom Molloy.</t>
        </r>
      </text>
    </comment>
    <comment ref="B232" authorId="3" shapeId="0">
      <text>
        <r>
          <rPr>
            <b/>
            <sz val="9"/>
            <color indexed="81"/>
            <rFont val="Tahoma"/>
            <family val="2"/>
          </rPr>
          <t>Old value:
=IF(B207=1,O210,Q210)</t>
        </r>
      </text>
    </comment>
    <comment ref="M236" authorId="3" shapeId="0">
      <text>
        <r>
          <rPr>
            <b/>
            <sz val="9"/>
            <color indexed="81"/>
            <rFont val="Tahoma"/>
            <family val="2"/>
          </rPr>
          <t>Adjusted to make 15 bushels per acre.</t>
        </r>
      </text>
    </comment>
    <comment ref="O236" authorId="3" shapeId="0">
      <text>
        <r>
          <rPr>
            <b/>
            <sz val="9"/>
            <color indexed="81"/>
            <rFont val="Tahoma"/>
            <family val="2"/>
          </rPr>
          <t>https://www.agmrc.org/commodities-products/specialty-crops/buckwheat-profile/</t>
        </r>
      </text>
    </comment>
    <comment ref="B240" authorId="3" shapeId="0">
      <text>
        <r>
          <rPr>
            <b/>
            <sz val="9"/>
            <color indexed="81"/>
            <rFont val="Tahoma"/>
            <family val="2"/>
          </rPr>
          <t>Old value:
=IF(B207=1,O210,Q210)</t>
        </r>
      </text>
    </comment>
    <comment ref="B244" authorId="3" shapeId="0">
      <text>
        <r>
          <rPr>
            <b/>
            <sz val="9"/>
            <color indexed="81"/>
            <rFont val="Tahoma"/>
            <family val="2"/>
          </rPr>
          <t>Old value:
=(M210/$K$61)+((M210/$K$61)*F210)</t>
        </r>
      </text>
    </comment>
    <comment ref="M244" authorId="3" shapeId="0">
      <text>
        <r>
          <rPr>
            <b/>
            <sz val="9"/>
            <color indexed="81"/>
            <rFont val="Tahoma"/>
            <family val="2"/>
          </rPr>
          <t>Bumped up to make to even 34 bushels per acre.</t>
        </r>
      </text>
    </comment>
    <comment ref="Q244" authorId="3" shapeId="0">
      <text>
        <r>
          <rPr>
            <b/>
            <sz val="9"/>
            <color indexed="81"/>
            <rFont val="Tahoma"/>
            <family val="2"/>
          </rPr>
          <t>From Tom Molloy</t>
        </r>
      </text>
    </comment>
    <comment ref="B245" authorId="0" shapeId="0">
      <text>
        <r>
          <rPr>
            <sz val="8"/>
            <color indexed="81"/>
            <rFont val="Tahoma"/>
            <family val="2"/>
          </rPr>
          <t xml:space="preserve">2007-09 US average yield. 2000-09 US average yield was 40.24 bu/acre.
Tim Griffins recommended yield of 45 bu/acre for central Maine (Old yield from a cooperating farmer is 75 bu/acre and this cooperating farmer is one of the best soybean producers in the state).
For organic go with </t>
        </r>
      </text>
    </comment>
    <comment ref="B248" authorId="3" shapeId="0">
      <text>
        <r>
          <rPr>
            <b/>
            <sz val="9"/>
            <color indexed="81"/>
            <rFont val="Tahoma"/>
            <family val="2"/>
          </rPr>
          <t>Old value:
=IF(B214=1,O217,Q217)</t>
        </r>
      </text>
    </comment>
    <comment ref="B252" authorId="3" shapeId="0">
      <text>
        <r>
          <rPr>
            <b/>
            <sz val="9"/>
            <color indexed="81"/>
            <rFont val="Tahoma"/>
            <family val="2"/>
          </rPr>
          <t>Old value:
=(M217/$K$62)+((M217/$K$62)*F217)</t>
        </r>
      </text>
    </comment>
    <comment ref="O252" authorId="1" shapeId="0">
      <text>
        <r>
          <rPr>
            <sz val="8"/>
            <color indexed="81"/>
            <rFont val="Tahoma"/>
            <family val="2"/>
          </rPr>
          <t>Soybean $12.90/bu from personal communication with Andrew Plant.
Old value used 2007-09 US average price of $9.84 (9.84).
Adjusted by PPI to convert from 2002 surveyed cost to 2010 (=5.6+(5.6*$F$84)) to get $10.55/bu.  
For organic soybeans for food grade is $28.98/bu for 3rd quarter 2015. For feed grade is same quarter is $23.79/bu. Based on USDA news.</t>
        </r>
      </text>
    </comment>
    <comment ref="Q252" authorId="1" shapeId="0">
      <text>
        <r>
          <rPr>
            <sz val="8"/>
            <color indexed="81"/>
            <rFont val="Tahoma"/>
            <family val="2"/>
          </rPr>
          <t>Soybean $12.90/bu from personal communication with Andrew Plant.
Old value used 2007-09 US average price of $9.84 (9.84).
Adjusted by PPI to convert from 2002 surveyed cost to 2010 (=5.6+(5.6*$F$84)) to get $10.55/bu.  
For organic soybeans for food grade is $28.98/bu for 3rd quarter 2015. For feed grade is same quarter is $23.79/bu. Based on USDA news.</t>
        </r>
      </text>
    </comment>
    <comment ref="B253" authorId="0" shapeId="0">
      <text>
        <r>
          <rPr>
            <b/>
            <sz val="8"/>
            <color indexed="81"/>
            <rFont val="Tahoma"/>
            <family val="2"/>
          </rPr>
          <t>2007-09 US average yield. 2000-09 US average yield was 40.24 bu/acre.
Tim Griffins recommended yield of 45 bu/acre for central Maine (Old yield from a cooperating farmer is 75 bu/acre and this cooperating farmer is one of the best soybean producers in the state).
For organic go with Tom Molloy estimate</t>
        </r>
      </text>
    </comment>
    <comment ref="B255" authorId="2" shapeId="0">
      <text>
        <r>
          <rPr>
            <sz val="8"/>
            <color indexed="81"/>
            <rFont val="Tahoma"/>
            <family val="2"/>
          </rPr>
          <t>For this analysis assume not harvesting for forage and just plowing down for organic matter.
Assume $30/ton in 2002:
http://ag.arizona.edu/pubs/crops/az9702.pdf
Adjusted by PPI to convert from 2002 surveyed cost to 2010: =30+(30*$O$115)</t>
        </r>
      </text>
    </comment>
    <comment ref="B258" authorId="2" shapeId="0">
      <text>
        <r>
          <rPr>
            <sz val="8"/>
            <color indexed="81"/>
            <rFont val="Tahoma"/>
            <family val="2"/>
          </rPr>
          <t>Sources for yield:
1) http://www.mac.umaine.edu/projects/TerminationReports/067%20Jemison.htm 
2) http://www.omafra.gov.on.ca/english/crops/facts/98-043.htm
Consistent with Ketterings et al. 2002.</t>
        </r>
      </text>
    </comment>
    <comment ref="N258" authorId="1" shapeId="0">
      <text>
        <r>
          <rPr>
            <sz val="8"/>
            <color indexed="81"/>
            <rFont val="Tahoma"/>
            <family val="2"/>
          </rPr>
          <t>US $ to Canadian $
Used monthly average:
http://www.oanda.com/currency/historical-rates/</t>
        </r>
      </text>
    </comment>
    <comment ref="B260" authorId="2" shapeId="0">
      <text>
        <r>
          <rPr>
            <sz val="8"/>
            <color indexed="81"/>
            <rFont val="Tahoma"/>
            <family val="2"/>
          </rPr>
          <t xml:space="preserve">Canola $560/ton from personal communication with Andrew Plant.
Old value of $19.68/cwt (=L182*100) based on typical price of $0.25141679282894/lb
http://www.omafra.gov.on.ca/english/busdev/facts/pub60a4.htm
</t>
        </r>
      </text>
    </comment>
    <comment ref="I261" authorId="1" shapeId="0">
      <text>
        <r>
          <rPr>
            <sz val="8"/>
            <color indexed="81"/>
            <rFont val="Tahoma"/>
            <family val="2"/>
          </rPr>
          <t xml:space="preserve">2011 exchange rate using monthly average:
0.9767
http://www.oanda.com/currency/historical-rates/
</t>
        </r>
      </text>
    </comment>
    <comment ref="B263" authorId="2" shapeId="0">
      <text>
        <r>
          <rPr>
            <sz val="8"/>
            <color indexed="81"/>
            <rFont val="Tahoma"/>
            <family val="2"/>
          </rPr>
          <t xml:space="preserve">Canola 1500lb/acre from personal communication with Andrew Plant.
Old value assumed typical yield of 20 cwt/acre (20):
http://www.ag.ndsu.edu/pubs/plantsci/soilfert/sf1122w.htm
http://www.omafra.gov.on.ca/english/busdev/facts/pub60a4.htm
</t>
        </r>
      </text>
    </comment>
    <comment ref="B265" authorId="2" shapeId="0">
      <text>
        <r>
          <rPr>
            <sz val="8"/>
            <color indexed="81"/>
            <rFont val="Tahoma"/>
            <family val="2"/>
          </rPr>
          <t xml:space="preserve">Use OR budget price of $500/ton ($25 per cwt). (=(500/2000)*100)
2007-09 US Average price is $36.90 per cwt (=36.9).
</t>
        </r>
      </text>
    </comment>
    <comment ref="B268" authorId="2" shapeId="0">
      <text>
        <r>
          <rPr>
            <sz val="8"/>
            <color indexed="81"/>
            <rFont val="Tahoma"/>
            <family val="2"/>
          </rPr>
          <t xml:space="preserve">Updated yield from Maine at 92.2767857142857 cwt/acre.
Old value of 80 cwt/acre. Assume typical recommended yield of 8000 lb/acre or 80 cwt/acre in PA.  Yield for US from CA and AZ and high. (=80+(80*F196))
2007-09 US average yield was 154.666666666667 cwt/acre. 2000-09 US average yield was 147.5 cwt/acre which is heavily weighted toward CA.
</t>
        </r>
      </text>
    </comment>
    <comment ref="I271" authorId="3" shapeId="0">
      <text>
        <r>
          <rPr>
            <b/>
            <sz val="9"/>
            <color indexed="81"/>
            <rFont val="Tahoma"/>
            <family val="2"/>
          </rPr>
          <t>Default:
50</t>
        </r>
      </text>
    </comment>
    <comment ref="J271" authorId="1" shapeId="0">
      <text>
        <r>
          <rPr>
            <b/>
            <sz val="8"/>
            <color indexed="81"/>
            <rFont val="Tahoma"/>
            <family val="2"/>
          </rPr>
          <t>This adjusts the default assumed % maintenance and upkeep for all assumed structures and equipment to quickly adjust total farm maintenance and upkeep to be closer to the total amount paid by the farm.
Default value of 100% for no adjustment.</t>
        </r>
      </text>
    </comment>
    <comment ref="S271" authorId="1" shapeId="0">
      <text>
        <r>
          <rPr>
            <b/>
            <sz val="8"/>
            <color indexed="81"/>
            <rFont val="Tahoma"/>
            <family val="2"/>
          </rPr>
          <t>Default from cooperating producer:
45</t>
        </r>
      </text>
    </comment>
    <comment ref="I272" authorId="3" shapeId="0">
      <text>
        <r>
          <rPr>
            <b/>
            <sz val="9"/>
            <color indexed="81"/>
            <rFont val="Tahoma"/>
            <family val="2"/>
          </rPr>
          <t>Default:
40</t>
        </r>
      </text>
    </comment>
    <comment ref="O272" authorId="3" shapeId="0">
      <text>
        <r>
          <rPr>
            <b/>
            <sz val="9"/>
            <color indexed="81"/>
            <rFont val="Tahoma"/>
            <family val="2"/>
          </rPr>
          <t>Default:
0</t>
        </r>
      </text>
    </comment>
    <comment ref="I273" authorId="3" shapeId="0">
      <text>
        <r>
          <rPr>
            <b/>
            <sz val="9"/>
            <color indexed="81"/>
            <rFont val="Tahoma"/>
            <family val="2"/>
          </rPr>
          <t>Default:
20</t>
        </r>
      </text>
    </comment>
    <comment ref="F274" authorId="0" shapeId="0">
      <text>
        <r>
          <rPr>
            <sz val="8"/>
            <color indexed="81"/>
            <rFont val="Tahoma"/>
            <family val="2"/>
          </rPr>
          <t>Adjust useful life for remaining years left in life and change to 1 yr expected life if useful life has expired</t>
        </r>
      </text>
    </comment>
    <comment ref="G274" authorId="0" shapeId="0">
      <text>
        <r>
          <rPr>
            <sz val="8"/>
            <color indexed="81"/>
            <rFont val="Tahoma"/>
            <family val="2"/>
          </rPr>
          <t>Adjust useful life for remaining years left in life and change to 1 yr expected life if useful life has expired</t>
        </r>
      </text>
    </comment>
    <comment ref="K274" authorId="1" shapeId="0">
      <text>
        <r>
          <rPr>
            <sz val="8"/>
            <color indexed="81"/>
            <rFont val="Tahoma"/>
            <family val="2"/>
          </rPr>
          <t>Not seasonally adjusted: http://www.economagic.com/blsppi.htm</t>
        </r>
      </text>
    </comment>
    <comment ref="L274" authorId="1" shapeId="0">
      <text>
        <r>
          <rPr>
            <sz val="8"/>
            <color indexed="81"/>
            <rFont val="Tahoma"/>
            <family val="2"/>
          </rPr>
          <t>Not seasonally adjusted: http://www.economagic.com/blsppi.htm</t>
        </r>
      </text>
    </comment>
    <comment ref="B276" authorId="3" shapeId="0">
      <text>
        <r>
          <rPr>
            <b/>
            <sz val="9"/>
            <color indexed="81"/>
            <rFont val="Tahoma"/>
            <family val="2"/>
          </rPr>
          <t>Drop to cut capital costs. Old value of 1.</t>
        </r>
      </text>
    </comment>
    <comment ref="D276" authorId="0" shapeId="0">
      <text>
        <r>
          <rPr>
            <b/>
            <sz val="8"/>
            <color indexed="81"/>
            <rFont val="Tahoma"/>
            <family val="2"/>
          </rPr>
          <t>Default:
65000
Updated from MN Extension Excel file "Farm machine estimates" for 75 hp tractor.
Old value of $12,536 if adjusted by PPI to convert from 2002 surveyed cost to 2010 (=E198+(E198*$I$195)). Assume same as conventional M/L potato.</t>
        </r>
      </text>
    </comment>
    <comment ref="E276" authorId="3" shapeId="0">
      <text>
        <r>
          <rPr>
            <b/>
            <sz val="9"/>
            <color indexed="81"/>
            <rFont val="Tahoma"/>
            <family val="2"/>
          </rPr>
          <t>Old value:
$10,000</t>
        </r>
      </text>
    </comment>
    <comment ref="G276" authorId="3" shapeId="0">
      <text>
        <r>
          <rPr>
            <b/>
            <sz val="9"/>
            <color indexed="81"/>
            <rFont val="Tahoma"/>
            <family val="2"/>
          </rPr>
          <t>Old value:
7</t>
        </r>
      </text>
    </comment>
    <comment ref="H276" authorId="1" shapeId="0">
      <text>
        <r>
          <rPr>
            <b/>
            <sz val="8"/>
            <color indexed="81"/>
            <rFont val="Tahoma"/>
            <family val="2"/>
          </rPr>
          <t>Default:
=(2.3*400)/65000
0.0141538461538462
Old value of 2%
Old value of 4.5%</t>
        </r>
      </text>
    </comment>
    <comment ref="I276"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76" authorId="3" shapeId="0">
      <text>
        <r>
          <rPr>
            <b/>
            <sz val="9"/>
            <color indexed="81"/>
            <rFont val="Tahoma"/>
            <family val="2"/>
          </rPr>
          <t>Assume default:
1</t>
        </r>
      </text>
    </comment>
    <comment ref="C277" authorId="2" shapeId="0">
      <text>
        <r>
          <rPr>
            <sz val="8"/>
            <color indexed="81"/>
            <rFont val="Tahoma"/>
            <family val="2"/>
          </rPr>
          <t>Use for both potatoes and dry hay</t>
        </r>
      </text>
    </comment>
    <comment ref="D277" authorId="0" shapeId="0">
      <text>
        <r>
          <rPr>
            <b/>
            <sz val="8"/>
            <color indexed="81"/>
            <rFont val="Tahoma"/>
            <family val="2"/>
          </rPr>
          <t>Default:
119000
Updated from MN Extension Excel file "Farm machine estimates" for 105 hp tractor.
Old value of $12,536 if adjusted by PPI to convert from 2002 surveyed cost to 2010 (=E197+(E197*$I$195)). Assume same as conventional M/L potato.</t>
        </r>
      </text>
    </comment>
    <comment ref="E277" authorId="3" shapeId="0">
      <text>
        <r>
          <rPr>
            <b/>
            <sz val="9"/>
            <color indexed="81"/>
            <rFont val="Tahoma"/>
            <family val="2"/>
          </rPr>
          <t>Old value:
$10,000</t>
        </r>
      </text>
    </comment>
    <comment ref="G277" authorId="3" shapeId="0">
      <text>
        <r>
          <rPr>
            <b/>
            <sz val="9"/>
            <color indexed="81"/>
            <rFont val="Tahoma"/>
            <family val="2"/>
          </rPr>
          <t>Old value:
7</t>
        </r>
      </text>
    </comment>
    <comment ref="H277" authorId="1" shapeId="0">
      <text>
        <r>
          <rPr>
            <b/>
            <sz val="8"/>
            <color indexed="81"/>
            <rFont val="Tahoma"/>
            <family val="2"/>
          </rPr>
          <t>Default:
=(3.57*450)/119000
0.0135
Old value of 2%
Old value of 4.5%</t>
        </r>
      </text>
    </comment>
    <comment ref="I277"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77" authorId="3" shapeId="0">
      <text>
        <r>
          <rPr>
            <b/>
            <sz val="9"/>
            <color indexed="81"/>
            <rFont val="Tahoma"/>
            <family val="2"/>
          </rPr>
          <t>Assume default:
0</t>
        </r>
      </text>
    </comment>
    <comment ref="B278" authorId="3" shapeId="0">
      <text>
        <r>
          <rPr>
            <b/>
            <sz val="9"/>
            <color indexed="81"/>
            <rFont val="Tahoma"/>
            <family val="2"/>
          </rPr>
          <t>Drop to cut capital costs. Old value of 1.</t>
        </r>
      </text>
    </comment>
    <comment ref="D278" authorId="0" shapeId="0">
      <text>
        <r>
          <rPr>
            <b/>
            <sz val="8"/>
            <color indexed="81"/>
            <rFont val="Tahoma"/>
            <family val="2"/>
          </rPr>
          <t>Default:
141000
Updated from MN Extension Excel file "Farm machine estimates" for 130 hp tractor.
Old value of $12,536 if adjusted by PPI to convert from 2002 surveyed cost to 2010 (=E198+(E198*$I$195)). Assume same as conventional M/L potato.</t>
        </r>
      </text>
    </comment>
    <comment ref="E278" authorId="3" shapeId="0">
      <text>
        <r>
          <rPr>
            <b/>
            <sz val="9"/>
            <color indexed="81"/>
            <rFont val="Tahoma"/>
            <family val="2"/>
          </rPr>
          <t>Old value:
$10,000</t>
        </r>
      </text>
    </comment>
    <comment ref="G278" authorId="3" shapeId="0">
      <text>
        <r>
          <rPr>
            <b/>
            <sz val="9"/>
            <color indexed="81"/>
            <rFont val="Tahoma"/>
            <family val="2"/>
          </rPr>
          <t>Old value:
7</t>
        </r>
      </text>
    </comment>
    <comment ref="H278" authorId="1" shapeId="0">
      <text>
        <r>
          <rPr>
            <b/>
            <sz val="8"/>
            <color indexed="81"/>
            <rFont val="Tahoma"/>
            <family val="2"/>
          </rPr>
          <t>Default:
=(4.23*450)/141000
0.0135
Old value of 2%
Old value of 4.5%</t>
        </r>
      </text>
    </comment>
    <comment ref="I278"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78" authorId="3" shapeId="0">
      <text>
        <r>
          <rPr>
            <b/>
            <sz val="9"/>
            <color indexed="81"/>
            <rFont val="Tahoma"/>
            <family val="2"/>
          </rPr>
          <t>Assume default:
1</t>
        </r>
      </text>
    </comment>
    <comment ref="C279" authorId="2" shapeId="0">
      <text>
        <r>
          <rPr>
            <sz val="8"/>
            <color indexed="81"/>
            <rFont val="Tahoma"/>
            <family val="2"/>
          </rPr>
          <t>Use for both potatoes and haylage</t>
        </r>
      </text>
    </comment>
    <comment ref="D279" authorId="0" shapeId="0">
      <text>
        <r>
          <rPr>
            <b/>
            <sz val="8"/>
            <color indexed="81"/>
            <rFont val="Tahoma"/>
            <family val="2"/>
          </rPr>
          <t>Default:
189000
Updated from MN Extension Excel file "Farm machine estimates" for 160 HP tractor.
Old value of $100,291 if adjusted by PPI to convert from 2002 surveyed cost to 2010. Assume same as conventional M/L potato (=E196+(E196*$I$195)) so old value of $100,291.</t>
        </r>
      </text>
    </comment>
    <comment ref="E279" authorId="3" shapeId="0">
      <text>
        <r>
          <rPr>
            <b/>
            <sz val="9"/>
            <color indexed="81"/>
            <rFont val="Tahoma"/>
            <family val="2"/>
          </rPr>
          <t>Old value:
$80,000</t>
        </r>
      </text>
    </comment>
    <comment ref="G279" authorId="3" shapeId="0">
      <text>
        <r>
          <rPr>
            <b/>
            <sz val="9"/>
            <color indexed="81"/>
            <rFont val="Tahoma"/>
            <family val="2"/>
          </rPr>
          <t>Old value:
7</t>
        </r>
      </text>
    </comment>
    <comment ref="H279" authorId="1" shapeId="0">
      <text>
        <r>
          <rPr>
            <b/>
            <sz val="8"/>
            <color indexed="81"/>
            <rFont val="Tahoma"/>
            <family val="2"/>
          </rPr>
          <t>Default:
=(6.3*500)/189000
0.0166666666666667
Old value of 2%
Old value of 4.5%</t>
        </r>
      </text>
    </comment>
    <comment ref="I279"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79" authorId="3" shapeId="0">
      <text>
        <r>
          <rPr>
            <b/>
            <sz val="9"/>
            <color indexed="81"/>
            <rFont val="Tahoma"/>
            <family val="2"/>
          </rPr>
          <t>Assume default:
0</t>
        </r>
      </text>
    </comment>
    <comment ref="A280" authorId="1" shapeId="0">
      <text>
        <r>
          <rPr>
            <sz val="8"/>
            <color indexed="81"/>
            <rFont val="Tahoma"/>
            <family val="2"/>
          </rPr>
          <t>Old value of "Large tractor (185 hp)"</t>
        </r>
      </text>
    </comment>
    <comment ref="C280" authorId="2" shapeId="0">
      <text>
        <r>
          <rPr>
            <sz val="8"/>
            <color indexed="81"/>
            <rFont val="Tahoma"/>
            <family val="2"/>
          </rPr>
          <t>Use for all crops</t>
        </r>
      </text>
    </comment>
    <comment ref="D280" authorId="0" shapeId="0">
      <text>
        <r>
          <rPr>
            <b/>
            <sz val="8"/>
            <color indexed="81"/>
            <rFont val="Tahoma"/>
            <family val="2"/>
          </rPr>
          <t>Default:
235000
Updated from MN Extension Excel file "Farm machine estimates" for 200 hp tractor.
Old value of $137,291 if adjusted by PPI to convert from 2002 surveyed cost to 2010. Assume same as conventional M/L potato (=E195+(E195*$I$195)) so old value of $137,900.</t>
        </r>
      </text>
    </comment>
    <comment ref="E280" authorId="3" shapeId="0">
      <text>
        <r>
          <rPr>
            <b/>
            <sz val="9"/>
            <color indexed="81"/>
            <rFont val="Tahoma"/>
            <family val="2"/>
          </rPr>
          <t>Old value:
$110,000
Old value for 185 hp tractor is $110,000.</t>
        </r>
      </text>
    </comment>
    <comment ref="G280" authorId="3" shapeId="0">
      <text>
        <r>
          <rPr>
            <b/>
            <sz val="9"/>
            <color indexed="81"/>
            <rFont val="Tahoma"/>
            <family val="2"/>
          </rPr>
          <t>Old value:
7</t>
        </r>
      </text>
    </comment>
    <comment ref="H280" authorId="1" shapeId="0">
      <text>
        <r>
          <rPr>
            <b/>
            <sz val="8"/>
            <color indexed="81"/>
            <rFont val="Tahoma"/>
            <family val="2"/>
          </rPr>
          <t>Default:
=(7.83*500)/235000
0.0166595744680851
Old value of 2%
Old value of 4.5%</t>
        </r>
      </text>
    </comment>
    <comment ref="I280"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80" authorId="3" shapeId="0">
      <text>
        <r>
          <rPr>
            <b/>
            <sz val="9"/>
            <color indexed="81"/>
            <rFont val="Tahoma"/>
            <family val="2"/>
          </rPr>
          <t>Assume default:
0</t>
        </r>
      </text>
    </comment>
    <comment ref="C281" authorId="2" shapeId="0">
      <text>
        <r>
          <rPr>
            <sz val="8"/>
            <color indexed="81"/>
            <rFont val="Tahoma"/>
            <family val="2"/>
          </rPr>
          <t>Use for both potatoes and dry hay</t>
        </r>
      </text>
    </comment>
    <comment ref="D281" authorId="0" shapeId="0">
      <text>
        <r>
          <rPr>
            <b/>
            <sz val="8"/>
            <color indexed="81"/>
            <rFont val="Tahoma"/>
            <family val="2"/>
          </rPr>
          <t>Updated from MN Extension Excel file "Farm machine estimates" for 105 hp tractor.
Old value of $12,536 if adjusted by PPI to convert from 2002 surveyed cost to 2010 (=E197+(E197*$I$195)). Assume same as conventional M/L potato.</t>
        </r>
      </text>
    </comment>
    <comment ref="H281" authorId="1" shapeId="0">
      <text>
        <r>
          <rPr>
            <b/>
            <sz val="8"/>
            <color indexed="81"/>
            <rFont val="Tahoma"/>
            <family val="2"/>
          </rPr>
          <t>Old value of 2%
Old value of 4.5%</t>
        </r>
      </text>
    </comment>
    <comment ref="I281" authorId="1" shapeId="0">
      <text>
        <r>
          <rPr>
            <b/>
            <sz val="8"/>
            <color indexed="81"/>
            <rFont val="Tahoma"/>
            <family val="2"/>
          </rPr>
          <t>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B282" authorId="3" shapeId="0">
      <text>
        <r>
          <rPr>
            <b/>
            <sz val="9"/>
            <color indexed="81"/>
            <rFont val="Tahoma"/>
            <family val="2"/>
          </rPr>
          <t>Drop to cut capital costs. Old value of 1.</t>
        </r>
      </text>
    </comment>
    <comment ref="D282" authorId="0" shapeId="0">
      <text>
        <r>
          <rPr>
            <b/>
            <sz val="8"/>
            <color indexed="81"/>
            <rFont val="Tahoma"/>
            <family val="2"/>
          </rPr>
          <t>Default:
65000
Updated from MN Extension Excel file "Farm machine estimates" for 75 hp tractor.
Old value of $12,536 if adjusted by PPI to convert from 2002 surveyed cost to 2010 (=E198+(E198*$I$195)). Assume same as conventional M/L potato.</t>
        </r>
      </text>
    </comment>
    <comment ref="E282" authorId="3" shapeId="0">
      <text>
        <r>
          <rPr>
            <b/>
            <sz val="9"/>
            <color indexed="81"/>
            <rFont val="Tahoma"/>
            <family val="2"/>
          </rPr>
          <t>Old value:
$10,000</t>
        </r>
      </text>
    </comment>
    <comment ref="G282" authorId="3" shapeId="0">
      <text>
        <r>
          <rPr>
            <b/>
            <sz val="9"/>
            <color indexed="81"/>
            <rFont val="Tahoma"/>
            <family val="2"/>
          </rPr>
          <t>Old value:
7</t>
        </r>
      </text>
    </comment>
    <comment ref="H282" authorId="1" shapeId="0">
      <text>
        <r>
          <rPr>
            <b/>
            <sz val="8"/>
            <color indexed="81"/>
            <rFont val="Tahoma"/>
            <family val="2"/>
          </rPr>
          <t>Default:
=(2.3*400)/65000
0.0141538461538462
Old value of 2%
Old value of 4.5%</t>
        </r>
      </text>
    </comment>
    <comment ref="I282"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82" authorId="3" shapeId="0">
      <text>
        <r>
          <rPr>
            <b/>
            <sz val="9"/>
            <color indexed="81"/>
            <rFont val="Tahoma"/>
            <family val="2"/>
          </rPr>
          <t>Assume default:
0</t>
        </r>
      </text>
    </comment>
    <comment ref="C283" authorId="2" shapeId="0">
      <text>
        <r>
          <rPr>
            <sz val="8"/>
            <color indexed="81"/>
            <rFont val="Tahoma"/>
            <family val="2"/>
          </rPr>
          <t>Use for both potatoes and dry hay</t>
        </r>
      </text>
    </comment>
    <comment ref="D283" authorId="0" shapeId="0">
      <text>
        <r>
          <rPr>
            <b/>
            <sz val="8"/>
            <color indexed="81"/>
            <rFont val="Tahoma"/>
            <family val="2"/>
          </rPr>
          <t>Default:
119000
Updated from MN Extension Excel file "Farm machine estimates" for 105 hp tractor.
Old value of $12,536 if adjusted by PPI to convert from 2002 surveyed cost to 2010 (=E197+(E197*$I$195)). Assume same as conventional M/L potato.</t>
        </r>
      </text>
    </comment>
    <comment ref="E283" authorId="3" shapeId="0">
      <text>
        <r>
          <rPr>
            <b/>
            <sz val="9"/>
            <color indexed="81"/>
            <rFont val="Tahoma"/>
            <family val="2"/>
          </rPr>
          <t>Old value:
$10,000</t>
        </r>
      </text>
    </comment>
    <comment ref="G283" authorId="3" shapeId="0">
      <text>
        <r>
          <rPr>
            <b/>
            <sz val="9"/>
            <color indexed="81"/>
            <rFont val="Tahoma"/>
            <family val="2"/>
          </rPr>
          <t>Old value:
7</t>
        </r>
      </text>
    </comment>
    <comment ref="H283" authorId="1" shapeId="0">
      <text>
        <r>
          <rPr>
            <b/>
            <sz val="8"/>
            <color indexed="81"/>
            <rFont val="Tahoma"/>
            <family val="2"/>
          </rPr>
          <t>Default:
=(3.57*450)/119000
0.0135
Old value of 2%
Old value of 4.5%</t>
        </r>
      </text>
    </comment>
    <comment ref="I283"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83" authorId="3" shapeId="0">
      <text>
        <r>
          <rPr>
            <b/>
            <sz val="9"/>
            <color indexed="81"/>
            <rFont val="Tahoma"/>
            <family val="2"/>
          </rPr>
          <t>Assume default:
1</t>
        </r>
      </text>
    </comment>
    <comment ref="B284" authorId="3" shapeId="0">
      <text>
        <r>
          <rPr>
            <b/>
            <sz val="9"/>
            <color indexed="81"/>
            <rFont val="Tahoma"/>
            <family val="2"/>
          </rPr>
          <t>Drop to cut capital costs. Old value of 1.</t>
        </r>
      </text>
    </comment>
    <comment ref="D284" authorId="0" shapeId="0">
      <text>
        <r>
          <rPr>
            <b/>
            <sz val="8"/>
            <color indexed="81"/>
            <rFont val="Tahoma"/>
            <family val="2"/>
          </rPr>
          <t>Default:
141000
Updated from MN Extension Excel file "Farm machine estimates" for 130 hp tractor.
Old value of $12,536 if adjusted by PPI to convert from 2002 surveyed cost to 2010 (=E198+(E198*$I$195)). Assume same as conventional M/L potato.</t>
        </r>
      </text>
    </comment>
    <comment ref="E284" authorId="3" shapeId="0">
      <text>
        <r>
          <rPr>
            <b/>
            <sz val="9"/>
            <color indexed="81"/>
            <rFont val="Tahoma"/>
            <family val="2"/>
          </rPr>
          <t>Old value:
$10,000</t>
        </r>
      </text>
    </comment>
    <comment ref="G284" authorId="3" shapeId="0">
      <text>
        <r>
          <rPr>
            <b/>
            <sz val="9"/>
            <color indexed="81"/>
            <rFont val="Tahoma"/>
            <family val="2"/>
          </rPr>
          <t>Old value:
7</t>
        </r>
      </text>
    </comment>
    <comment ref="H284" authorId="1" shapeId="0">
      <text>
        <r>
          <rPr>
            <b/>
            <sz val="8"/>
            <color indexed="81"/>
            <rFont val="Tahoma"/>
            <family val="2"/>
          </rPr>
          <t>Default:
=(4.23*450)/141000
0.0135
Old value of 2%
Old value of 4.5%</t>
        </r>
      </text>
    </comment>
    <comment ref="I284"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84" authorId="3" shapeId="0">
      <text>
        <r>
          <rPr>
            <b/>
            <sz val="9"/>
            <color indexed="81"/>
            <rFont val="Tahoma"/>
            <family val="2"/>
          </rPr>
          <t>Assume default:
0</t>
        </r>
      </text>
    </comment>
    <comment ref="C285" authorId="2" shapeId="0">
      <text>
        <r>
          <rPr>
            <sz val="8"/>
            <color indexed="81"/>
            <rFont val="Tahoma"/>
            <family val="2"/>
          </rPr>
          <t>Use for both potatoes and haylage</t>
        </r>
      </text>
    </comment>
    <comment ref="D285" authorId="0" shapeId="0">
      <text>
        <r>
          <rPr>
            <b/>
            <sz val="8"/>
            <color indexed="81"/>
            <rFont val="Tahoma"/>
            <family val="2"/>
          </rPr>
          <t>Default:
189000
Updated from MN Extension Excel file "Farm machine estimates" for 160 HP tractor.
Old value of $100,291 if adjusted by PPI to convert from 2002 surveyed cost to 2010. Assume same as conventional M/L potato (=E196+(E196*$I$195)) so old value of $100,291.</t>
        </r>
      </text>
    </comment>
    <comment ref="E285" authorId="3" shapeId="0">
      <text>
        <r>
          <rPr>
            <b/>
            <sz val="9"/>
            <color indexed="81"/>
            <rFont val="Tahoma"/>
            <family val="2"/>
          </rPr>
          <t>Old value:
$80,000</t>
        </r>
      </text>
    </comment>
    <comment ref="G285" authorId="3" shapeId="0">
      <text>
        <r>
          <rPr>
            <b/>
            <sz val="9"/>
            <color indexed="81"/>
            <rFont val="Tahoma"/>
            <family val="2"/>
          </rPr>
          <t>Old value:
7</t>
        </r>
      </text>
    </comment>
    <comment ref="H285" authorId="1" shapeId="0">
      <text>
        <r>
          <rPr>
            <b/>
            <sz val="8"/>
            <color indexed="81"/>
            <rFont val="Tahoma"/>
            <family val="2"/>
          </rPr>
          <t>Default:
=(6.3*500)/189000
0.0166666666666667
Old value of 2%
Old value of 4.5%</t>
        </r>
      </text>
    </comment>
    <comment ref="I285"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85" authorId="3" shapeId="0">
      <text>
        <r>
          <rPr>
            <b/>
            <sz val="9"/>
            <color indexed="81"/>
            <rFont val="Tahoma"/>
            <family val="2"/>
          </rPr>
          <t>Assume default:
1</t>
        </r>
      </text>
    </comment>
    <comment ref="A286" authorId="1" shapeId="0">
      <text>
        <r>
          <rPr>
            <sz val="8"/>
            <color indexed="81"/>
            <rFont val="Tahoma"/>
            <family val="2"/>
          </rPr>
          <t>Old value of "Large tractor (185 hp)"</t>
        </r>
      </text>
    </comment>
    <comment ref="C286" authorId="2" shapeId="0">
      <text>
        <r>
          <rPr>
            <sz val="8"/>
            <color indexed="81"/>
            <rFont val="Tahoma"/>
            <family val="2"/>
          </rPr>
          <t>Use for all crops</t>
        </r>
      </text>
    </comment>
    <comment ref="D286" authorId="0" shapeId="0">
      <text>
        <r>
          <rPr>
            <b/>
            <sz val="8"/>
            <color indexed="81"/>
            <rFont val="Tahoma"/>
            <family val="2"/>
          </rPr>
          <t>Default:
235000
Updated from MN Extension Excel file "Farm machine estimates" for 200 hp tractor.
Old value of $137,291 if adjusted by PPI to convert from 2002 surveyed cost to 2010. Assume same as conventional M/L potato (=E195+(E195*$I$195)) so old value of $137,900.</t>
        </r>
      </text>
    </comment>
    <comment ref="E286" authorId="3" shapeId="0">
      <text>
        <r>
          <rPr>
            <b/>
            <sz val="9"/>
            <color indexed="81"/>
            <rFont val="Tahoma"/>
            <family val="2"/>
          </rPr>
          <t>Old value:
$110,000
Old value for 185 hp tractor is $110,000.</t>
        </r>
      </text>
    </comment>
    <comment ref="G286" authorId="3" shapeId="0">
      <text>
        <r>
          <rPr>
            <b/>
            <sz val="9"/>
            <color indexed="81"/>
            <rFont val="Tahoma"/>
            <family val="2"/>
          </rPr>
          <t>Old value:
7</t>
        </r>
      </text>
    </comment>
    <comment ref="H286" authorId="1" shapeId="0">
      <text>
        <r>
          <rPr>
            <b/>
            <sz val="8"/>
            <color indexed="81"/>
            <rFont val="Tahoma"/>
            <family val="2"/>
          </rPr>
          <t>Default:
=(7.83*500)/235000
0.0166595744680851
Old value of 2%
Old value of 4.5%</t>
        </r>
      </text>
    </comment>
    <comment ref="I286"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86" authorId="3" shapeId="0">
      <text>
        <r>
          <rPr>
            <b/>
            <sz val="9"/>
            <color indexed="81"/>
            <rFont val="Tahoma"/>
            <family val="2"/>
          </rPr>
          <t>Assume default:
0</t>
        </r>
      </text>
    </comment>
    <comment ref="C287" authorId="2" shapeId="0">
      <text>
        <r>
          <rPr>
            <sz val="8"/>
            <color indexed="81"/>
            <rFont val="Tahoma"/>
            <family val="2"/>
          </rPr>
          <t>Use for both potatoes and dry hay</t>
        </r>
      </text>
    </comment>
    <comment ref="D287" authorId="0" shapeId="0">
      <text>
        <r>
          <rPr>
            <b/>
            <sz val="8"/>
            <color indexed="81"/>
            <rFont val="Tahoma"/>
            <family val="2"/>
          </rPr>
          <t>Updated from MN Extension Excel file "Farm machine estimates" for 105 hp tractor.
Old value of $12,536 if adjusted by PPI to convert from 2002 surveyed cost to 2010 (=E197+(E197*$I$195)). Assume same as conventional M/L potato.</t>
        </r>
      </text>
    </comment>
    <comment ref="H287" authorId="1" shapeId="0">
      <text>
        <r>
          <rPr>
            <b/>
            <sz val="8"/>
            <color indexed="81"/>
            <rFont val="Tahoma"/>
            <family val="2"/>
          </rPr>
          <t>Old value of 2%
Old value of 4.5%</t>
        </r>
      </text>
    </comment>
    <comment ref="I287" authorId="1" shapeId="0">
      <text>
        <r>
          <rPr>
            <b/>
            <sz val="8"/>
            <color indexed="81"/>
            <rFont val="Tahoma"/>
            <family val="2"/>
          </rPr>
          <t>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B288" authorId="3" shapeId="0">
      <text>
        <r>
          <rPr>
            <b/>
            <sz val="9"/>
            <color indexed="81"/>
            <rFont val="Tahoma"/>
            <family val="2"/>
          </rPr>
          <t>Drop to cut capital costs. Old value of 1.</t>
        </r>
      </text>
    </comment>
    <comment ref="D288" authorId="0" shapeId="0">
      <text>
        <r>
          <rPr>
            <b/>
            <sz val="8"/>
            <color indexed="81"/>
            <rFont val="Tahoma"/>
            <family val="2"/>
          </rPr>
          <t>Default:
65000
Updated from MN Extension Excel file "Farm machine estimates" for 75 hp tractor.
Old value of $12,536 if adjusted by PPI to convert from 2002 surveyed cost to 2010 (=E198+(E198*$I$195)). Assume same as conventional M/L potato.</t>
        </r>
      </text>
    </comment>
    <comment ref="E288" authorId="3" shapeId="0">
      <text>
        <r>
          <rPr>
            <b/>
            <sz val="9"/>
            <color indexed="81"/>
            <rFont val="Tahoma"/>
            <family val="2"/>
          </rPr>
          <t>Old value:
$10,000</t>
        </r>
      </text>
    </comment>
    <comment ref="G288" authorId="3" shapeId="0">
      <text>
        <r>
          <rPr>
            <b/>
            <sz val="9"/>
            <color indexed="81"/>
            <rFont val="Tahoma"/>
            <family val="2"/>
          </rPr>
          <t>Old value:
7</t>
        </r>
      </text>
    </comment>
    <comment ref="H288" authorId="1" shapeId="0">
      <text>
        <r>
          <rPr>
            <b/>
            <sz val="8"/>
            <color indexed="81"/>
            <rFont val="Tahoma"/>
            <family val="2"/>
          </rPr>
          <t>Default:
=(2.3*400)/65000
0.0141538461538462
Old value of 2%
Old value of 4.5%</t>
        </r>
      </text>
    </comment>
    <comment ref="I288"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88" authorId="3" shapeId="0">
      <text>
        <r>
          <rPr>
            <b/>
            <sz val="9"/>
            <color indexed="81"/>
            <rFont val="Tahoma"/>
            <family val="2"/>
          </rPr>
          <t>Assume default:
0</t>
        </r>
      </text>
    </comment>
    <comment ref="C289" authorId="2" shapeId="0">
      <text>
        <r>
          <rPr>
            <sz val="8"/>
            <color indexed="81"/>
            <rFont val="Tahoma"/>
            <family val="2"/>
          </rPr>
          <t>Use for both potatoes and dry hay</t>
        </r>
      </text>
    </comment>
    <comment ref="D289" authorId="0" shapeId="0">
      <text>
        <r>
          <rPr>
            <b/>
            <sz val="8"/>
            <color indexed="81"/>
            <rFont val="Tahoma"/>
            <family val="2"/>
          </rPr>
          <t>Default:
119000
Updated from MN Extension Excel file "Farm machine estimates" for 105 hp tractor.
Old value of $12,536 if adjusted by PPI to convert from 2002 surveyed cost to 2010 (=E197+(E197*$I$195)). Assume same as conventional M/L potato.</t>
        </r>
      </text>
    </comment>
    <comment ref="E289" authorId="3" shapeId="0">
      <text>
        <r>
          <rPr>
            <b/>
            <sz val="9"/>
            <color indexed="81"/>
            <rFont val="Tahoma"/>
            <family val="2"/>
          </rPr>
          <t>Old value:
$10,000</t>
        </r>
      </text>
    </comment>
    <comment ref="G289" authorId="3" shapeId="0">
      <text>
        <r>
          <rPr>
            <b/>
            <sz val="9"/>
            <color indexed="81"/>
            <rFont val="Tahoma"/>
            <family val="2"/>
          </rPr>
          <t>Old value:
7</t>
        </r>
      </text>
    </comment>
    <comment ref="H289" authorId="1" shapeId="0">
      <text>
        <r>
          <rPr>
            <b/>
            <sz val="8"/>
            <color indexed="81"/>
            <rFont val="Tahoma"/>
            <family val="2"/>
          </rPr>
          <t>Default:
=(3.57*450)/119000
0.0135
Old value of 2%
Old value of 4.5%</t>
        </r>
      </text>
    </comment>
    <comment ref="I289"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89" authorId="3" shapeId="0">
      <text>
        <r>
          <rPr>
            <b/>
            <sz val="9"/>
            <color indexed="81"/>
            <rFont val="Tahoma"/>
            <family val="2"/>
          </rPr>
          <t>Assume default:
0</t>
        </r>
      </text>
    </comment>
    <comment ref="B290" authorId="3" shapeId="0">
      <text>
        <r>
          <rPr>
            <b/>
            <sz val="9"/>
            <color indexed="81"/>
            <rFont val="Tahoma"/>
            <family val="2"/>
          </rPr>
          <t>Drop to cut capital costs. Old value of 1.</t>
        </r>
      </text>
    </comment>
    <comment ref="D290" authorId="0" shapeId="0">
      <text>
        <r>
          <rPr>
            <b/>
            <sz val="8"/>
            <color indexed="81"/>
            <rFont val="Tahoma"/>
            <family val="2"/>
          </rPr>
          <t>Default:
141000
Updated from MN Extension Excel file "Farm machine estimates" for 130 hp tractor.
Old value of $12,536 if adjusted by PPI to convert from 2002 surveyed cost to 2010 (=E198+(E198*$I$195)). Assume same as conventional M/L potato.</t>
        </r>
      </text>
    </comment>
    <comment ref="E290" authorId="3" shapeId="0">
      <text>
        <r>
          <rPr>
            <b/>
            <sz val="9"/>
            <color indexed="81"/>
            <rFont val="Tahoma"/>
            <family val="2"/>
          </rPr>
          <t>Old value:
$10,000</t>
        </r>
      </text>
    </comment>
    <comment ref="G290" authorId="3" shapeId="0">
      <text>
        <r>
          <rPr>
            <b/>
            <sz val="9"/>
            <color indexed="81"/>
            <rFont val="Tahoma"/>
            <family val="2"/>
          </rPr>
          <t>Old value:
7</t>
        </r>
      </text>
    </comment>
    <comment ref="H290" authorId="1" shapeId="0">
      <text>
        <r>
          <rPr>
            <b/>
            <sz val="8"/>
            <color indexed="81"/>
            <rFont val="Tahoma"/>
            <family val="2"/>
          </rPr>
          <t>Default:
=(4.23*450)/141000
0.0135
Old value of 2%
Old value of 4.5%</t>
        </r>
      </text>
    </comment>
    <comment ref="I290" authorId="1" shapeId="0">
      <text>
        <r>
          <rPr>
            <b/>
            <sz val="8"/>
            <color indexed="81"/>
            <rFont val="Tahoma"/>
            <family val="2"/>
          </rPr>
          <t>Default:
43%
From "Estimating Farm Machinery Costs" in Ag Decision Maker, File A3-29, prepared by William Edwards,
extension economist,
515-294-6161,
wedwards@iastate.edu
Use "89-149 HP Tractor" at 600 annual hours</t>
        </r>
        <r>
          <rPr>
            <sz val="8"/>
            <color indexed="81"/>
            <rFont val="Tahoma"/>
            <family val="2"/>
          </rPr>
          <t xml:space="preserve">
</t>
        </r>
      </text>
    </comment>
    <comment ref="M290" authorId="3" shapeId="0">
      <text>
        <r>
          <rPr>
            <b/>
            <sz val="9"/>
            <color indexed="81"/>
            <rFont val="Tahoma"/>
            <family val="2"/>
          </rPr>
          <t>Assume default:
0</t>
        </r>
      </text>
    </comment>
    <comment ref="C291" authorId="2" shapeId="0">
      <text>
        <r>
          <rPr>
            <sz val="8"/>
            <color indexed="81"/>
            <rFont val="Tahoma"/>
            <family val="2"/>
          </rPr>
          <t>Use for all crops</t>
        </r>
      </text>
    </comment>
    <comment ref="D291" authorId="0" shapeId="0">
      <text>
        <r>
          <rPr>
            <b/>
            <sz val="8"/>
            <color indexed="81"/>
            <rFont val="Tahoma"/>
            <family val="2"/>
          </rPr>
          <t>Default:
189000
Updated from MN Extension Excel file "Farm machine estimates" for 160 HP tractor.
Old value of $100,291 if adjusted by PPI to convert from 2002 surveyed cost to 2010. Assume same as conventional M/L potato (=E196+(E196*$I$195)) so old value of $100,291.</t>
        </r>
      </text>
    </comment>
    <comment ref="E291" authorId="3" shapeId="0">
      <text>
        <r>
          <rPr>
            <b/>
            <sz val="9"/>
            <color indexed="81"/>
            <rFont val="Tahoma"/>
            <family val="2"/>
          </rPr>
          <t>Old value:
$80,000</t>
        </r>
      </text>
    </comment>
    <comment ref="G291" authorId="3" shapeId="0">
      <text>
        <r>
          <rPr>
            <b/>
            <sz val="9"/>
            <color indexed="81"/>
            <rFont val="Tahoma"/>
            <family val="2"/>
          </rPr>
          <t>Old value:
7</t>
        </r>
      </text>
    </comment>
    <comment ref="H291" authorId="1" shapeId="0">
      <text>
        <r>
          <rPr>
            <b/>
            <sz val="8"/>
            <color indexed="81"/>
            <rFont val="Tahoma"/>
            <family val="2"/>
          </rPr>
          <t>Default:
=(6.3*500)/189000
0.0166666666666667
Old value of 2%
Old value of 4.5%</t>
        </r>
      </text>
    </comment>
    <comment ref="I291"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91" authorId="3" shapeId="0">
      <text>
        <r>
          <rPr>
            <b/>
            <sz val="9"/>
            <color indexed="81"/>
            <rFont val="Tahoma"/>
            <family val="2"/>
          </rPr>
          <t>Assume default:
1</t>
        </r>
      </text>
    </comment>
    <comment ref="A292" authorId="1" shapeId="0">
      <text>
        <r>
          <rPr>
            <sz val="8"/>
            <color indexed="81"/>
            <rFont val="Tahoma"/>
            <family val="2"/>
          </rPr>
          <t>Old value of "Large tractor (185 hp)"</t>
        </r>
      </text>
    </comment>
    <comment ref="C292" authorId="2" shapeId="0">
      <text>
        <r>
          <rPr>
            <sz val="8"/>
            <color indexed="81"/>
            <rFont val="Tahoma"/>
            <family val="2"/>
          </rPr>
          <t>Use for all crops</t>
        </r>
      </text>
    </comment>
    <comment ref="D292" authorId="0" shapeId="0">
      <text>
        <r>
          <rPr>
            <b/>
            <sz val="8"/>
            <color indexed="81"/>
            <rFont val="Tahoma"/>
            <family val="2"/>
          </rPr>
          <t>Default:
235000
Updated from MN Extension Excel file "Farm machine estimates" for 200 hp tractor.
Old value of $137,291 if adjusted by PPI to convert from 2002 surveyed cost to 2010. Assume same as conventional M/L potato (=E195+(E195*$I$195)) so old value of $137,900.</t>
        </r>
      </text>
    </comment>
    <comment ref="E292" authorId="3" shapeId="0">
      <text>
        <r>
          <rPr>
            <b/>
            <sz val="9"/>
            <color indexed="81"/>
            <rFont val="Tahoma"/>
            <family val="2"/>
          </rPr>
          <t>Old value:
$110,000
Old value for 185 hp tractor is $110,000.</t>
        </r>
      </text>
    </comment>
    <comment ref="G292" authorId="3" shapeId="0">
      <text>
        <r>
          <rPr>
            <b/>
            <sz val="9"/>
            <color indexed="81"/>
            <rFont val="Tahoma"/>
            <family val="2"/>
          </rPr>
          <t>Old value:
7</t>
        </r>
      </text>
    </comment>
    <comment ref="H292" authorId="1" shapeId="0">
      <text>
        <r>
          <rPr>
            <b/>
            <sz val="8"/>
            <color indexed="81"/>
            <rFont val="Tahoma"/>
            <family val="2"/>
          </rPr>
          <t>Default:
=(7.83*500)/235000
0.0166595744680851
Old value of 2%
Old value of 4.5%</t>
        </r>
      </text>
    </comment>
    <comment ref="I292" authorId="1" shapeId="0">
      <text>
        <r>
          <rPr>
            <b/>
            <sz val="8"/>
            <color indexed="81"/>
            <rFont val="Tahoma"/>
            <family val="2"/>
          </rPr>
          <t xml:space="preserve">Default:
38%
From "Estimating Farm Machinery Costs" in Ag Decision Maker, File A3-29, prepared by William Edwards,
extension economist,
515-294-6161,
wedwards@iastate.edu
Use "150+ HP Tractor" at 600 annual hours
</t>
        </r>
        <r>
          <rPr>
            <sz val="8"/>
            <color indexed="81"/>
            <rFont val="Tahoma"/>
            <family val="2"/>
          </rPr>
          <t xml:space="preserve">
</t>
        </r>
      </text>
    </comment>
    <comment ref="M292" authorId="3" shapeId="0">
      <text>
        <r>
          <rPr>
            <b/>
            <sz val="9"/>
            <color indexed="81"/>
            <rFont val="Tahoma"/>
            <family val="2"/>
          </rPr>
          <t>Assume default:
1</t>
        </r>
      </text>
    </comment>
    <comment ref="C293" authorId="2" shapeId="0">
      <text>
        <r>
          <rPr>
            <sz val="8"/>
            <color indexed="81"/>
            <rFont val="Tahoma"/>
            <family val="2"/>
          </rPr>
          <t>Use for both potatoes and haylage</t>
        </r>
      </text>
    </comment>
    <comment ref="D293" authorId="0" shapeId="0">
      <text>
        <r>
          <rPr>
            <b/>
            <sz val="8"/>
            <color indexed="81"/>
            <rFont val="Tahoma"/>
            <family val="2"/>
          </rPr>
          <t>Updated from MN Extension Excel file "Farm machine estimates" for 160 HP tractor.
Old value of $100,291 if adjusted by PPI to convert from 2002 surveyed cost to 2010. Assume same as conventional M/L potato (=E196+(E196*$I$195)) so old value of $100,291.</t>
        </r>
      </text>
    </comment>
    <comment ref="H293" authorId="1" shapeId="0">
      <text>
        <r>
          <rPr>
            <b/>
            <sz val="8"/>
            <color indexed="81"/>
            <rFont val="Tahoma"/>
            <family val="2"/>
          </rPr>
          <t>Old value of 2%
Old value of 4.5%</t>
        </r>
      </text>
    </comment>
    <comment ref="I293" authorId="1" shapeId="0">
      <text>
        <r>
          <rPr>
            <b/>
            <sz val="8"/>
            <color indexed="81"/>
            <rFont val="Tahoma"/>
            <family val="2"/>
          </rPr>
          <t>From "Estimating Farm Machinery Costs" in Ag Decision Maker, File A3-29, prepared by William Edwards,
extension economist,
515-294-6161,
wedwards@iastate.edu
Use "150+ HP Tractor" at 600 annual hours</t>
        </r>
        <r>
          <rPr>
            <sz val="8"/>
            <color indexed="81"/>
            <rFont val="Tahoma"/>
            <family val="2"/>
          </rPr>
          <t xml:space="preserve">
</t>
        </r>
      </text>
    </comment>
    <comment ref="E296" authorId="3" shapeId="0">
      <text>
        <r>
          <rPr>
            <b/>
            <sz val="9"/>
            <color indexed="81"/>
            <rFont val="Tahoma"/>
            <family val="2"/>
          </rPr>
          <t>Old value</t>
        </r>
      </text>
    </comment>
    <comment ref="F296" authorId="0" shapeId="0">
      <text>
        <r>
          <rPr>
            <sz val="8"/>
            <color indexed="81"/>
            <rFont val="Tahoma"/>
            <family val="2"/>
          </rPr>
          <t>Adjust useful life for remaining years left in life and change to 1 yr expected life if useful life has expired</t>
        </r>
      </text>
    </comment>
    <comment ref="G296" authorId="0" shapeId="0">
      <text>
        <r>
          <rPr>
            <sz val="8"/>
            <color indexed="81"/>
            <rFont val="Tahoma"/>
            <family val="2"/>
          </rPr>
          <t>Adjust useful life for remaining years left in life and change to 1 yr expected life if useful life has expired</t>
        </r>
      </text>
    </comment>
    <comment ref="C297" authorId="2" shapeId="0">
      <text>
        <r>
          <rPr>
            <sz val="8"/>
            <color indexed="81"/>
            <rFont val="Tahoma"/>
            <family val="2"/>
          </rPr>
          <t>Use for all crops except for sudan grass</t>
        </r>
      </text>
    </comment>
    <comment ref="D297" authorId="2" shapeId="0">
      <text>
        <r>
          <rPr>
            <b/>
            <sz val="8"/>
            <color indexed="81"/>
            <rFont val="Tahoma"/>
            <family val="2"/>
          </rPr>
          <t>Default:
=E262+(E262*$K$257)
35101.7905322541
Adjusted by PPI to convert from 2002 surveyed cost to 2010. Assume same as conventional ML potato.</t>
        </r>
      </text>
    </comment>
    <comment ref="E297" authorId="3" shapeId="0">
      <text>
        <r>
          <rPr>
            <b/>
            <sz val="9"/>
            <color indexed="81"/>
            <rFont val="Tahoma"/>
            <family val="2"/>
          </rPr>
          <t>Old value:
$28,000</t>
        </r>
      </text>
    </comment>
    <comment ref="F297" authorId="3" shapeId="0">
      <text>
        <r>
          <rPr>
            <b/>
            <sz val="9"/>
            <color indexed="81"/>
            <rFont val="Tahoma"/>
            <family val="2"/>
          </rPr>
          <t>Changed to go off CP worksheet
=IF($G$238=1,$I$238,($O$301/N264)*$Q$301)
=$Q$258/((barley+oats+rye+wheat+triticale+spelt+peas+soy)/$T$258)
8 years too low if use acres so adjust this upward using annual hours.</t>
        </r>
      </text>
    </comment>
    <comment ref="G297" authorId="3" shapeId="0">
      <text>
        <r>
          <rPr>
            <b/>
            <sz val="9"/>
            <color indexed="81"/>
            <rFont val="Tahoma"/>
            <family val="2"/>
          </rPr>
          <t>Old value:
10</t>
        </r>
      </text>
    </comment>
    <comment ref="H297" authorId="1" shapeId="0">
      <text>
        <r>
          <rPr>
            <b/>
            <sz val="8"/>
            <color indexed="81"/>
            <rFont val="Tahoma"/>
            <family val="2"/>
          </rPr>
          <t>Default:
2%
Old value of 2%
Old value of 4.5%</t>
        </r>
      </text>
    </comment>
    <comment ref="I297" authorId="1" shapeId="0">
      <text>
        <r>
          <rPr>
            <b/>
            <sz val="8"/>
            <color indexed="81"/>
            <rFont val="Tahoma"/>
            <family val="2"/>
          </rPr>
          <t>Default:
26%
From "Estimating Farm Machinery Costs" in Ag Decision Maker, File A3-29, prepared by William Edwards,
extension economist,
515-294-6161,
wedwards@iastate.edu
Use "Vehicles"</t>
        </r>
        <r>
          <rPr>
            <sz val="8"/>
            <color indexed="81"/>
            <rFont val="Tahoma"/>
            <family val="2"/>
          </rPr>
          <t xml:space="preserve">
</t>
        </r>
      </text>
    </comment>
    <comment ref="M297" authorId="2" shapeId="0">
      <text>
        <r>
          <rPr>
            <b/>
            <sz val="8"/>
            <color indexed="81"/>
            <rFont val="Tahoma"/>
            <family val="2"/>
          </rPr>
          <t>Assume default:
1
Assume same as conventional ML
Old value of 3</t>
        </r>
      </text>
    </comment>
    <comment ref="C298" authorId="2" shapeId="0">
      <text>
        <r>
          <rPr>
            <sz val="8"/>
            <color indexed="81"/>
            <rFont val="Tahoma"/>
            <family val="2"/>
          </rPr>
          <t>Use for all crops except for sudan grass</t>
        </r>
      </text>
    </comment>
    <comment ref="D298" authorId="2" shapeId="0">
      <text>
        <r>
          <rPr>
            <b/>
            <sz val="8"/>
            <color indexed="81"/>
            <rFont val="Tahoma"/>
            <family val="2"/>
          </rPr>
          <t>Default:
=E263+(E263*$K$257)
35101.7905322541
Adjusted by PPI to convert from 2002 surveyed cost to 2010. Assume same as conventional ML potato.</t>
        </r>
      </text>
    </comment>
    <comment ref="E298" authorId="3" shapeId="0">
      <text>
        <r>
          <rPr>
            <b/>
            <sz val="9"/>
            <color indexed="81"/>
            <rFont val="Tahoma"/>
            <family val="2"/>
          </rPr>
          <t>Old value:
$28,000</t>
        </r>
      </text>
    </comment>
    <comment ref="F298" authorId="3" shapeId="0">
      <text>
        <r>
          <rPr>
            <b/>
            <sz val="9"/>
            <color indexed="81"/>
            <rFont val="Tahoma"/>
            <family val="2"/>
          </rPr>
          <t xml:space="preserve">Changed to go off CP worksheet
=IF($G$238=1,$I$239,($O$301/N265)*$Q$301)
=$Q$258/((barley+oats+rye+wheat+triticale+spelt+peas+soy)/$T$258)
8 years too low if use acres so adjust this upward using annual hours.
</t>
        </r>
      </text>
    </comment>
    <comment ref="G298" authorId="3" shapeId="0">
      <text>
        <r>
          <rPr>
            <b/>
            <sz val="9"/>
            <color indexed="81"/>
            <rFont val="Tahoma"/>
            <family val="2"/>
          </rPr>
          <t>Old value:
10</t>
        </r>
      </text>
    </comment>
    <comment ref="H298" authorId="1" shapeId="0">
      <text>
        <r>
          <rPr>
            <b/>
            <sz val="8"/>
            <color indexed="81"/>
            <rFont val="Tahoma"/>
            <family val="2"/>
          </rPr>
          <t>Default:
2%
Old value of 2%
Old value of 4.5%</t>
        </r>
      </text>
    </comment>
    <comment ref="I298" authorId="1" shapeId="0">
      <text>
        <r>
          <rPr>
            <b/>
            <sz val="8"/>
            <color indexed="81"/>
            <rFont val="Tahoma"/>
            <family val="2"/>
          </rPr>
          <t>Default:
26%
From "Estimating Farm Machinery Costs" in Ag Decision Maker, File A3-29, prepared by William Edwards,
extension economist,
515-294-6161,
wedwards@iastate.edu
Use "Vehicles"</t>
        </r>
        <r>
          <rPr>
            <sz val="8"/>
            <color indexed="81"/>
            <rFont val="Tahoma"/>
            <family val="2"/>
          </rPr>
          <t xml:space="preserve">
</t>
        </r>
      </text>
    </comment>
    <comment ref="M298" authorId="3" shapeId="0">
      <text>
        <r>
          <rPr>
            <b/>
            <sz val="9"/>
            <color indexed="81"/>
            <rFont val="Tahoma"/>
            <family val="2"/>
          </rPr>
          <t>Assume default:
3</t>
        </r>
      </text>
    </comment>
    <comment ref="C299" authorId="2" shapeId="0">
      <text>
        <r>
          <rPr>
            <sz val="8"/>
            <color indexed="81"/>
            <rFont val="Tahoma"/>
            <family val="2"/>
          </rPr>
          <t>Use for all crops except for sudan grass</t>
        </r>
      </text>
    </comment>
    <comment ref="D299" authorId="2" shapeId="0">
      <text>
        <r>
          <rPr>
            <b/>
            <sz val="8"/>
            <color indexed="81"/>
            <rFont val="Tahoma"/>
            <family val="2"/>
          </rPr>
          <t>Default:
=E264+(E264*$K$257)
35101.7905322541
Adjusted by PPI to convert from 2002 surveyed cost to 2010. Assume same as conventional ML potato.</t>
        </r>
      </text>
    </comment>
    <comment ref="E299" authorId="3" shapeId="0">
      <text>
        <r>
          <rPr>
            <b/>
            <sz val="9"/>
            <color indexed="81"/>
            <rFont val="Tahoma"/>
            <family val="2"/>
          </rPr>
          <t>Old value:
$28,000</t>
        </r>
      </text>
    </comment>
    <comment ref="F299" authorId="3" shapeId="0">
      <text>
        <r>
          <rPr>
            <b/>
            <sz val="9"/>
            <color indexed="81"/>
            <rFont val="Tahoma"/>
            <family val="2"/>
          </rPr>
          <t>Changed to go off CP worksheet
=IF($G$238=1,$I$240,($O$301/N266)*$Q$301)
=$Q$258/((barley+oats+rye+wheat+triticale+spelt+peas+soy)/$T$258)
8 years too low if use acres so adjust this upward using annual hours.</t>
        </r>
      </text>
    </comment>
    <comment ref="G299" authorId="3" shapeId="0">
      <text>
        <r>
          <rPr>
            <b/>
            <sz val="9"/>
            <color indexed="81"/>
            <rFont val="Tahoma"/>
            <family val="2"/>
          </rPr>
          <t>Old value:
10</t>
        </r>
      </text>
    </comment>
    <comment ref="H299" authorId="1" shapeId="0">
      <text>
        <r>
          <rPr>
            <b/>
            <sz val="8"/>
            <color indexed="81"/>
            <rFont val="Tahoma"/>
            <family val="2"/>
          </rPr>
          <t>Default:
2%
Old value of 2%
Old value of 4.5%</t>
        </r>
      </text>
    </comment>
    <comment ref="I299" authorId="1" shapeId="0">
      <text>
        <r>
          <rPr>
            <b/>
            <sz val="8"/>
            <color indexed="81"/>
            <rFont val="Tahoma"/>
            <family val="2"/>
          </rPr>
          <t>Default:
26%
From "Estimating Farm Machinery Costs" in Ag Decision Maker, File A3-29, prepared by William Edwards,
extension economist,
515-294-6161,
wedwards@iastate.edu
Use "Vehicles"</t>
        </r>
        <r>
          <rPr>
            <sz val="8"/>
            <color indexed="81"/>
            <rFont val="Tahoma"/>
            <family val="2"/>
          </rPr>
          <t xml:space="preserve">
</t>
        </r>
      </text>
    </comment>
    <comment ref="M299" authorId="3" shapeId="0">
      <text>
        <r>
          <rPr>
            <b/>
            <sz val="9"/>
            <color indexed="81"/>
            <rFont val="Tahoma"/>
            <family val="2"/>
          </rPr>
          <t>Assume default:
5</t>
        </r>
      </text>
    </comment>
    <comment ref="C300" authorId="2" shapeId="0">
      <text>
        <r>
          <rPr>
            <sz val="8"/>
            <color indexed="81"/>
            <rFont val="Tahoma"/>
            <family val="2"/>
          </rPr>
          <t>Use for all crops except for sudan grass</t>
        </r>
      </text>
    </comment>
    <comment ref="D300" authorId="2" shapeId="0">
      <text>
        <r>
          <rPr>
            <b/>
            <sz val="8"/>
            <color indexed="81"/>
            <rFont val="Tahoma"/>
            <family val="2"/>
          </rPr>
          <t>Default:
=E262+(E262*$K$257)
35101.7905322541
Adjusted by PPI to convert from 2002 surveyed cost to 2010. Assume same as conventional ML potato.</t>
        </r>
      </text>
    </comment>
    <comment ref="E300" authorId="3" shapeId="0">
      <text>
        <r>
          <rPr>
            <b/>
            <sz val="9"/>
            <color indexed="81"/>
            <rFont val="Tahoma"/>
            <family val="2"/>
          </rPr>
          <t>Assume same as bulk body truck</t>
        </r>
      </text>
    </comment>
    <comment ref="F300" authorId="3" shapeId="0">
      <text>
        <r>
          <rPr>
            <b/>
            <sz val="9"/>
            <color indexed="81"/>
            <rFont val="Tahoma"/>
            <family val="2"/>
          </rPr>
          <t xml:space="preserve">Changed to go off CP worksheet
</t>
        </r>
      </text>
    </comment>
    <comment ref="G300" authorId="3" shapeId="0">
      <text>
        <r>
          <rPr>
            <b/>
            <sz val="9"/>
            <color indexed="81"/>
            <rFont val="Tahoma"/>
            <family val="2"/>
          </rPr>
          <t>Old value:
10</t>
        </r>
      </text>
    </comment>
    <comment ref="H300" authorId="1" shapeId="0">
      <text>
        <r>
          <rPr>
            <b/>
            <sz val="8"/>
            <color indexed="81"/>
            <rFont val="Tahoma"/>
            <family val="2"/>
          </rPr>
          <t>Assume same as bulk body truck</t>
        </r>
      </text>
    </comment>
    <comment ref="I300" authorId="1" shapeId="0">
      <text>
        <r>
          <rPr>
            <b/>
            <sz val="8"/>
            <color indexed="81"/>
            <rFont val="Tahoma"/>
            <family val="2"/>
          </rPr>
          <t>Assume same as bulk body truck</t>
        </r>
        <r>
          <rPr>
            <sz val="8"/>
            <color indexed="81"/>
            <rFont val="Tahoma"/>
            <family val="2"/>
          </rPr>
          <t xml:space="preserve">
</t>
        </r>
      </text>
    </comment>
    <comment ref="M300" authorId="2" shapeId="0">
      <text>
        <r>
          <rPr>
            <b/>
            <sz val="8"/>
            <color indexed="81"/>
            <rFont val="Tahoma"/>
            <family val="2"/>
          </rPr>
          <t>Assume default:
1
Assume same as conventional ML
Old value of 3</t>
        </r>
      </text>
    </comment>
    <comment ref="C301" authorId="2" shapeId="0">
      <text>
        <r>
          <rPr>
            <sz val="8"/>
            <color indexed="81"/>
            <rFont val="Tahoma"/>
            <family val="2"/>
          </rPr>
          <t>Use for all crops except for sudan grass</t>
        </r>
      </text>
    </comment>
    <comment ref="D301" authorId="2" shapeId="0">
      <text>
        <r>
          <rPr>
            <b/>
            <sz val="8"/>
            <color indexed="81"/>
            <rFont val="Tahoma"/>
            <family val="2"/>
          </rPr>
          <t>Default:
=E263+(E263*$K$257)
35101.7905322541
Adjusted by PPI to convert from 2002 surveyed cost to 2010. Assume same as conventional ML potato.</t>
        </r>
      </text>
    </comment>
    <comment ref="E301" authorId="3" shapeId="0">
      <text>
        <r>
          <rPr>
            <b/>
            <sz val="9"/>
            <color indexed="81"/>
            <rFont val="Tahoma"/>
            <family val="2"/>
          </rPr>
          <t>Assume same as bulk body truck</t>
        </r>
      </text>
    </comment>
    <comment ref="F301" authorId="3" shapeId="0">
      <text>
        <r>
          <rPr>
            <b/>
            <sz val="9"/>
            <color indexed="81"/>
            <rFont val="Tahoma"/>
            <family val="2"/>
          </rPr>
          <t xml:space="preserve">Changed to go off CP worksheet
</t>
        </r>
      </text>
    </comment>
    <comment ref="G301" authorId="3" shapeId="0">
      <text>
        <r>
          <rPr>
            <b/>
            <sz val="9"/>
            <color indexed="81"/>
            <rFont val="Tahoma"/>
            <family val="2"/>
          </rPr>
          <t>Old value:
10</t>
        </r>
      </text>
    </comment>
    <comment ref="H301" authorId="1" shapeId="0">
      <text>
        <r>
          <rPr>
            <b/>
            <sz val="8"/>
            <color indexed="81"/>
            <rFont val="Tahoma"/>
            <family val="2"/>
          </rPr>
          <t>Assume same as bulk body truck</t>
        </r>
      </text>
    </comment>
    <comment ref="I301" authorId="1" shapeId="0">
      <text>
        <r>
          <rPr>
            <b/>
            <sz val="8"/>
            <color indexed="81"/>
            <rFont val="Tahoma"/>
            <family val="2"/>
          </rPr>
          <t>Assume same as bulk body truck</t>
        </r>
        <r>
          <rPr>
            <sz val="8"/>
            <color indexed="81"/>
            <rFont val="Tahoma"/>
            <family val="2"/>
          </rPr>
          <t xml:space="preserve">
</t>
        </r>
      </text>
    </comment>
    <comment ref="M301" authorId="3" shapeId="0">
      <text>
        <r>
          <rPr>
            <b/>
            <sz val="9"/>
            <color indexed="81"/>
            <rFont val="Tahoma"/>
            <family val="2"/>
          </rPr>
          <t>Assume default:
1</t>
        </r>
      </text>
    </comment>
    <comment ref="C302" authorId="2" shapeId="0">
      <text>
        <r>
          <rPr>
            <sz val="8"/>
            <color indexed="81"/>
            <rFont val="Tahoma"/>
            <family val="2"/>
          </rPr>
          <t>Use for all crops except for sudan grass</t>
        </r>
      </text>
    </comment>
    <comment ref="D302" authorId="2" shapeId="0">
      <text>
        <r>
          <rPr>
            <b/>
            <sz val="8"/>
            <color indexed="81"/>
            <rFont val="Tahoma"/>
            <family val="2"/>
          </rPr>
          <t>Default:
=E264+(E264*$K$257)
35101.7905322541
Adjusted by PPI to convert from 2002 surveyed cost to 2010. Assume same as conventional ML potato.</t>
        </r>
      </text>
    </comment>
    <comment ref="E302" authorId="3" shapeId="0">
      <text>
        <r>
          <rPr>
            <b/>
            <sz val="9"/>
            <color indexed="81"/>
            <rFont val="Tahoma"/>
            <family val="2"/>
          </rPr>
          <t>Assume same as bulk body truck</t>
        </r>
      </text>
    </comment>
    <comment ref="F302" authorId="3" shapeId="0">
      <text>
        <r>
          <rPr>
            <b/>
            <sz val="9"/>
            <color indexed="81"/>
            <rFont val="Tahoma"/>
            <family val="2"/>
          </rPr>
          <t xml:space="preserve">Changed to go off CP worksheet
</t>
        </r>
      </text>
    </comment>
    <comment ref="G302" authorId="3" shapeId="0">
      <text>
        <r>
          <rPr>
            <b/>
            <sz val="9"/>
            <color indexed="81"/>
            <rFont val="Tahoma"/>
            <family val="2"/>
          </rPr>
          <t>Old value:
10</t>
        </r>
      </text>
    </comment>
    <comment ref="H302" authorId="1" shapeId="0">
      <text>
        <r>
          <rPr>
            <b/>
            <sz val="8"/>
            <color indexed="81"/>
            <rFont val="Tahoma"/>
            <family val="2"/>
          </rPr>
          <t>Assume same as bulk body truck</t>
        </r>
      </text>
    </comment>
    <comment ref="I302" authorId="1" shapeId="0">
      <text>
        <r>
          <rPr>
            <b/>
            <sz val="8"/>
            <color indexed="81"/>
            <rFont val="Tahoma"/>
            <family val="2"/>
          </rPr>
          <t>Assume same as bulk body truck</t>
        </r>
        <r>
          <rPr>
            <sz val="8"/>
            <color indexed="81"/>
            <rFont val="Tahoma"/>
            <family val="2"/>
          </rPr>
          <t xml:space="preserve">
</t>
        </r>
      </text>
    </comment>
    <comment ref="M302" authorId="3" shapeId="0">
      <text>
        <r>
          <rPr>
            <b/>
            <sz val="9"/>
            <color indexed="81"/>
            <rFont val="Tahoma"/>
            <family val="2"/>
          </rPr>
          <t>Assume default:
1</t>
        </r>
      </text>
    </comment>
    <comment ref="C303" authorId="2" shapeId="0">
      <text>
        <r>
          <rPr>
            <sz val="8"/>
            <color indexed="81"/>
            <rFont val="Tahoma"/>
            <family val="2"/>
          </rPr>
          <t>Use for all crops except for sudan grass</t>
        </r>
      </text>
    </comment>
    <comment ref="D303" authorId="2" shapeId="0">
      <text>
        <r>
          <rPr>
            <b/>
            <sz val="8"/>
            <color indexed="81"/>
            <rFont val="Tahoma"/>
            <family val="2"/>
          </rPr>
          <t>Default:
=E264+(E264*$K$257)
35101.7905322541
Adjusted by PPI to convert from 2002 surveyed cost to 2010. Assume same as conventional ML potato.</t>
        </r>
      </text>
    </comment>
    <comment ref="E303" authorId="3" shapeId="0">
      <text>
        <r>
          <rPr>
            <b/>
            <sz val="9"/>
            <color indexed="81"/>
            <rFont val="Tahoma"/>
            <family val="2"/>
          </rPr>
          <t>Assume same as for wild BB survey</t>
        </r>
      </text>
    </comment>
    <comment ref="F303" authorId="3" shapeId="0">
      <text>
        <r>
          <rPr>
            <b/>
            <sz val="9"/>
            <color indexed="81"/>
            <rFont val="Tahoma"/>
            <family val="2"/>
          </rPr>
          <t xml:space="preserve">Changed to go off CP worksheet
</t>
        </r>
      </text>
    </comment>
    <comment ref="G303" authorId="3" shapeId="0">
      <text>
        <r>
          <rPr>
            <b/>
            <sz val="9"/>
            <color indexed="81"/>
            <rFont val="Tahoma"/>
            <family val="2"/>
          </rPr>
          <t>Old value:
10</t>
        </r>
      </text>
    </comment>
    <comment ref="H303" authorId="1" shapeId="0">
      <text>
        <r>
          <rPr>
            <b/>
            <sz val="8"/>
            <color indexed="81"/>
            <rFont val="Tahoma"/>
            <family val="2"/>
          </rPr>
          <t>Assume same as bulk body truck</t>
        </r>
      </text>
    </comment>
    <comment ref="I303" authorId="1" shapeId="0">
      <text>
        <r>
          <rPr>
            <b/>
            <sz val="8"/>
            <color indexed="81"/>
            <rFont val="Tahoma"/>
            <family val="2"/>
          </rPr>
          <t>Assume same as bulk body truck</t>
        </r>
        <r>
          <rPr>
            <sz val="8"/>
            <color indexed="81"/>
            <rFont val="Tahoma"/>
            <family val="2"/>
          </rPr>
          <t xml:space="preserve">
</t>
        </r>
      </text>
    </comment>
    <comment ref="M303" authorId="3" shapeId="0">
      <text>
        <r>
          <rPr>
            <b/>
            <sz val="9"/>
            <color indexed="81"/>
            <rFont val="Tahoma"/>
            <family val="2"/>
          </rPr>
          <t>Assume default for large only:
1</t>
        </r>
      </text>
    </comment>
    <comment ref="B304" authorId="1" shapeId="0">
      <text>
        <r>
          <rPr>
            <sz val="8"/>
            <color indexed="81"/>
            <rFont val="Tahoma"/>
            <family val="2"/>
          </rPr>
          <t>Assume same as conventional ML
Old value for medium of 2</t>
        </r>
      </text>
    </comment>
    <comment ref="C304" authorId="2" shapeId="0">
      <text>
        <r>
          <rPr>
            <sz val="8"/>
            <color indexed="81"/>
            <rFont val="Tahoma"/>
            <family val="2"/>
          </rPr>
          <t>Use for just potatoes and corn silage</t>
        </r>
      </text>
    </comment>
    <comment ref="D304" authorId="2" shapeId="0">
      <text>
        <r>
          <rPr>
            <sz val="8"/>
            <color indexed="81"/>
            <rFont val="Tahoma"/>
            <family val="2"/>
          </rPr>
          <t>Adjusted by PPI to convert from 2002 surveyed cost to 2010. Assume same as conventional ML potato.</t>
        </r>
      </text>
    </comment>
    <comment ref="H304" authorId="1" shapeId="0">
      <text>
        <r>
          <rPr>
            <b/>
            <sz val="8"/>
            <color indexed="81"/>
            <rFont val="Tahoma"/>
            <family val="2"/>
          </rPr>
          <t>Old value of 2%</t>
        </r>
      </text>
    </comment>
    <comment ref="I304" authorId="1" shapeId="0">
      <text>
        <r>
          <rPr>
            <b/>
            <sz val="8"/>
            <color indexed="81"/>
            <rFont val="Tahoma"/>
            <family val="2"/>
          </rPr>
          <t>From "Estimating Farm Machinery Costs" in Ag Decision Maker, File A3-29, prepared by William Edwards,
extension economist,
515-294-6161,
wedwards@iastate.edu
Use "Vehicles"</t>
        </r>
        <r>
          <rPr>
            <sz val="8"/>
            <color indexed="81"/>
            <rFont val="Tahoma"/>
            <family val="2"/>
          </rPr>
          <t xml:space="preserve">
</t>
        </r>
      </text>
    </comment>
    <comment ref="D305" authorId="2" shapeId="0">
      <text>
        <r>
          <rPr>
            <sz val="8"/>
            <color indexed="81"/>
            <rFont val="Tahoma"/>
            <family val="2"/>
          </rPr>
          <t>Adjusted by PPI to convert from 2002 surveyed cost to 2010. Assume same as conventional ML potato.</t>
        </r>
      </text>
    </comment>
    <comment ref="E305" authorId="1" shapeId="0">
      <text>
        <r>
          <rPr>
            <sz val="8"/>
            <color indexed="81"/>
            <rFont val="Tahoma"/>
            <family val="2"/>
          </rPr>
          <t>Assume same as medium/large conventional potato at $5,000</t>
        </r>
      </text>
    </comment>
    <comment ref="H305" authorId="1" shapeId="0">
      <text>
        <r>
          <rPr>
            <b/>
            <sz val="8"/>
            <color indexed="81"/>
            <rFont val="Tahoma"/>
            <family val="2"/>
          </rPr>
          <t>Old value of 2%</t>
        </r>
      </text>
    </comment>
    <comment ref="I305" authorId="1" shapeId="0">
      <text>
        <r>
          <rPr>
            <b/>
            <sz val="8"/>
            <color indexed="81"/>
            <rFont val="Tahoma"/>
            <family val="2"/>
          </rPr>
          <t>From "Estimating Farm Machinery Costs" in Ag Decision Maker, File A3-29, prepared by William Edwards,
extension economist,
515-294-6161,
wedwards@iastate.edu
Use "Vehicles"</t>
        </r>
        <r>
          <rPr>
            <sz val="8"/>
            <color indexed="81"/>
            <rFont val="Tahoma"/>
            <family val="2"/>
          </rPr>
          <t xml:space="preserve">
</t>
        </r>
      </text>
    </comment>
    <comment ref="D306" authorId="2" shapeId="0">
      <text>
        <r>
          <rPr>
            <sz val="8"/>
            <color indexed="81"/>
            <rFont val="Tahoma"/>
            <family val="2"/>
          </rPr>
          <t>Adjusted by PPI to convert from 2002 surveyed cost to 2010. Assume same as conventional ML potato.</t>
        </r>
      </text>
    </comment>
    <comment ref="E306" authorId="1" shapeId="0">
      <text>
        <r>
          <rPr>
            <sz val="8"/>
            <color indexed="81"/>
            <rFont val="Tahoma"/>
            <family val="2"/>
          </rPr>
          <t xml:space="preserve">Assume same as medium/large conventional potato </t>
        </r>
      </text>
    </comment>
    <comment ref="H306" authorId="1" shapeId="0">
      <text>
        <r>
          <rPr>
            <b/>
            <sz val="8"/>
            <color indexed="81"/>
            <rFont val="Tahoma"/>
            <family val="2"/>
          </rPr>
          <t>Old value of 2%</t>
        </r>
      </text>
    </comment>
    <comment ref="I306" authorId="1" shapeId="0">
      <text>
        <r>
          <rPr>
            <b/>
            <sz val="8"/>
            <color indexed="81"/>
            <rFont val="Tahoma"/>
            <family val="2"/>
          </rPr>
          <t>From "Estimating Farm Machinery Costs" in Ag Decision Maker, File A3-29, prepared by William Edwards,
extension economist,
515-294-6161,
wedwards@iastate.edu
Use "Vehicles"</t>
        </r>
        <r>
          <rPr>
            <sz val="8"/>
            <color indexed="81"/>
            <rFont val="Tahoma"/>
            <family val="2"/>
          </rPr>
          <t xml:space="preserve">
</t>
        </r>
      </text>
    </comment>
    <comment ref="E309" authorId="3" shapeId="0">
      <text>
        <r>
          <rPr>
            <b/>
            <sz val="9"/>
            <color indexed="81"/>
            <rFont val="Tahoma"/>
            <family val="2"/>
          </rPr>
          <t>Old value</t>
        </r>
      </text>
    </comment>
    <comment ref="F309" authorId="0" shapeId="0">
      <text>
        <r>
          <rPr>
            <sz val="8"/>
            <color indexed="81"/>
            <rFont val="Tahoma"/>
            <family val="2"/>
          </rPr>
          <t>Adjust useful life for remaining years left in life and change to 1 yr expected life if useful life has expired</t>
        </r>
      </text>
    </comment>
    <comment ref="G309" authorId="0" shapeId="0">
      <text>
        <r>
          <rPr>
            <sz val="8"/>
            <color indexed="81"/>
            <rFont val="Tahoma"/>
            <family val="2"/>
          </rPr>
          <t>Adjust useful life for remaining years left in life and change to 1 yr expected life if useful life has expired</t>
        </r>
      </text>
    </comment>
    <comment ref="C310" authorId="2" shapeId="0">
      <text>
        <r>
          <rPr>
            <sz val="8"/>
            <color indexed="81"/>
            <rFont val="Tahoma"/>
            <family val="2"/>
          </rPr>
          <t>Use for all crops except haylage</t>
        </r>
      </text>
    </comment>
    <comment ref="D310" authorId="1" shapeId="0">
      <text>
        <r>
          <rPr>
            <b/>
            <sz val="8"/>
            <color indexed="81"/>
            <rFont val="Tahoma"/>
            <family val="2"/>
          </rPr>
          <t xml:space="preserve">Default:
28000
Updated from MN Extension Excel file "Farm machine estimates" for 9-ft moldboard plow.
</t>
        </r>
      </text>
    </comment>
    <comment ref="E310" authorId="3" shapeId="0">
      <text>
        <r>
          <rPr>
            <b/>
            <sz val="9"/>
            <color indexed="81"/>
            <rFont val="Tahoma"/>
            <family val="2"/>
          </rPr>
          <t>Old value:
n/a</t>
        </r>
      </text>
    </comment>
    <comment ref="F310" authorId="3" shapeId="0">
      <text>
        <r>
          <rPr>
            <b/>
            <sz val="9"/>
            <color indexed="81"/>
            <rFont val="Tahoma"/>
            <family val="2"/>
          </rPr>
          <t>Changed to go off CP worksheet
=IF($G$238=1,$I$238,($O$301/N273)*$Q$301)
=$Q$258/((barley+oats+rye+wheat+triticale+spelt+peas+soy)/$T$258)
8 years too low if use acres so adjust this upward using annual hours.</t>
        </r>
      </text>
    </comment>
    <comment ref="G310" authorId="3" shapeId="0">
      <text>
        <r>
          <rPr>
            <b/>
            <sz val="9"/>
            <color indexed="81"/>
            <rFont val="Tahoma"/>
            <family val="2"/>
          </rPr>
          <t>Old value:
10</t>
        </r>
      </text>
    </comment>
    <comment ref="H310" authorId="1" shapeId="0">
      <text>
        <r>
          <rPr>
            <b/>
            <sz val="8"/>
            <color indexed="81"/>
            <rFont val="Tahoma"/>
            <family val="2"/>
          </rPr>
          <t xml:space="preserve">Default:
=(2.89*501)/28000
0.0517103571428571
Updated from MN Extension Excel file "Farm machine estimates" for 9-ft moldboard plow where repairs are $2.89/acre times 501 acres per year divided by $28,000 value of implement.
</t>
        </r>
      </text>
    </comment>
    <comment ref="I310"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0" authorId="3" shapeId="0">
      <text>
        <r>
          <rPr>
            <b/>
            <sz val="9"/>
            <color indexed="81"/>
            <rFont val="Tahoma"/>
            <family val="2"/>
          </rPr>
          <t>Assume default:
1</t>
        </r>
      </text>
    </comment>
    <comment ref="C311" authorId="2" shapeId="0">
      <text>
        <r>
          <rPr>
            <sz val="8"/>
            <color indexed="81"/>
            <rFont val="Tahoma"/>
            <family val="2"/>
          </rPr>
          <t>Use for all crops except haylage</t>
        </r>
      </text>
    </comment>
    <comment ref="D311" authorId="1" shapeId="0">
      <text>
        <r>
          <rPr>
            <b/>
            <sz val="8"/>
            <color indexed="81"/>
            <rFont val="Tahoma"/>
            <family val="2"/>
          </rPr>
          <t>Default:
28000
Updated from MN Extension Excel file "Farm machine estimates" for 9-ft moldboard plow.</t>
        </r>
      </text>
    </comment>
    <comment ref="E311" authorId="3" shapeId="0">
      <text>
        <r>
          <rPr>
            <b/>
            <sz val="9"/>
            <color indexed="81"/>
            <rFont val="Tahoma"/>
            <family val="2"/>
          </rPr>
          <t>Old value:
n/a</t>
        </r>
      </text>
    </comment>
    <comment ref="F311" authorId="3" shapeId="0">
      <text>
        <r>
          <rPr>
            <b/>
            <sz val="9"/>
            <color indexed="81"/>
            <rFont val="Tahoma"/>
            <family val="2"/>
          </rPr>
          <t>Changed to go off CP worksheet
=IF($G$238=1,$I$239,($O$301/N274)*$Q$301)
=$Q$258/((barley+oats+rye+wheat+triticale+spelt+peas+soy)/$T$258)
8 years too low if use acres so adjust this upward using annual hours.</t>
        </r>
      </text>
    </comment>
    <comment ref="G311" authorId="3" shapeId="0">
      <text>
        <r>
          <rPr>
            <b/>
            <sz val="9"/>
            <color indexed="81"/>
            <rFont val="Tahoma"/>
            <family val="2"/>
          </rPr>
          <t>Old value:
10</t>
        </r>
      </text>
    </comment>
    <comment ref="H311" authorId="1" shapeId="0">
      <text>
        <r>
          <rPr>
            <b/>
            <sz val="8"/>
            <color indexed="81"/>
            <rFont val="Tahoma"/>
            <family val="2"/>
          </rPr>
          <t xml:space="preserve">Default:
=(2.89*501)/28000
0.0517103571428571
Updated from MN Extension Excel file "Farm machine estimates" for 9-ft moldboard plow where repairs are $2.89/acre times 501 acres per year divided by $28,000 value of implement.
</t>
        </r>
      </text>
    </comment>
    <comment ref="I311"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1" authorId="3" shapeId="0">
      <text>
        <r>
          <rPr>
            <b/>
            <sz val="9"/>
            <color indexed="81"/>
            <rFont val="Tahoma"/>
            <family val="2"/>
          </rPr>
          <t>Assume default:
1</t>
        </r>
      </text>
    </comment>
    <comment ref="C312" authorId="2" shapeId="0">
      <text>
        <r>
          <rPr>
            <sz val="8"/>
            <color indexed="81"/>
            <rFont val="Tahoma"/>
            <family val="2"/>
          </rPr>
          <t>Use for all crops except haylage</t>
        </r>
      </text>
    </comment>
    <comment ref="D312" authorId="1" shapeId="0">
      <text>
        <r>
          <rPr>
            <b/>
            <sz val="8"/>
            <color indexed="81"/>
            <rFont val="Tahoma"/>
            <family val="2"/>
          </rPr>
          <t xml:space="preserve">Default:
42000
Updated from MN Extension Excel file "Farm machine estimates" for 12-ft moldboard plow.
</t>
        </r>
      </text>
    </comment>
    <comment ref="E312" authorId="3" shapeId="0">
      <text>
        <r>
          <rPr>
            <b/>
            <sz val="9"/>
            <color indexed="81"/>
            <rFont val="Tahoma"/>
            <family val="2"/>
          </rPr>
          <t>Old value:
n/a</t>
        </r>
      </text>
    </comment>
    <comment ref="F312" authorId="3" shapeId="0">
      <text>
        <r>
          <rPr>
            <b/>
            <sz val="9"/>
            <color indexed="81"/>
            <rFont val="Tahoma"/>
            <family val="2"/>
          </rPr>
          <t>Changed to go off CP worksheet
=IF($G$238=1,$I$240,($O$301/N275)*$Q$301)
=$Q$258/((barley+oats+rye+wheat+triticale+spelt+peas+soy)/$T$258)
8 years too low if use acres so adjust this upward using annual hours.</t>
        </r>
      </text>
    </comment>
    <comment ref="G312" authorId="3" shapeId="0">
      <text>
        <r>
          <rPr>
            <b/>
            <sz val="9"/>
            <color indexed="81"/>
            <rFont val="Tahoma"/>
            <family val="2"/>
          </rPr>
          <t>Old value:
10</t>
        </r>
      </text>
    </comment>
    <comment ref="H312" authorId="1" shapeId="0">
      <text>
        <r>
          <rPr>
            <b/>
            <sz val="8"/>
            <color indexed="81"/>
            <rFont val="Tahoma"/>
            <family val="2"/>
          </rPr>
          <t xml:space="preserve">Default:
=(3.26*668)/42000
0.0518495238095238
Updated from MN Extension Excel file "Farm machine estimates" for 12-ft moldboard plow where repairs are $3.26/acre times 668 acres per year divided by $42,000 value of implement.
</t>
        </r>
      </text>
    </comment>
    <comment ref="I312"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2" authorId="3" shapeId="0">
      <text>
        <r>
          <rPr>
            <b/>
            <sz val="9"/>
            <color indexed="81"/>
            <rFont val="Tahoma"/>
            <family val="2"/>
          </rPr>
          <t>Assume default:
1</t>
        </r>
      </text>
    </comment>
    <comment ref="C313" authorId="2" shapeId="0">
      <text>
        <r>
          <rPr>
            <sz val="8"/>
            <color indexed="81"/>
            <rFont val="Tahoma"/>
            <family val="2"/>
          </rPr>
          <t>Use for all crops except haylage</t>
        </r>
      </text>
    </comment>
    <comment ref="D313" authorId="1" shapeId="0">
      <text>
        <r>
          <rPr>
            <b/>
            <sz val="8"/>
            <color indexed="81"/>
            <rFont val="Tahoma"/>
            <family val="2"/>
          </rPr>
          <t>Default:
19000
Updated from MN Extension Excel file "Farm machine estimates" for 15-ft chisel plow.
Old value of $19,807 (=E219+(E219*$I$195)) if adjusted by PPI to convert from 2002 surveyed cost to 2010. 
Old value of $17,000</t>
        </r>
      </text>
    </comment>
    <comment ref="E313" authorId="3" shapeId="0">
      <text>
        <r>
          <rPr>
            <b/>
            <sz val="9"/>
            <color indexed="81"/>
            <rFont val="Tahoma"/>
            <family val="2"/>
          </rPr>
          <t>Old value:
15800</t>
        </r>
      </text>
    </comment>
    <comment ref="F313" authorId="3" shapeId="0">
      <text>
        <r>
          <rPr>
            <b/>
            <sz val="9"/>
            <color indexed="81"/>
            <rFont val="Tahoma"/>
            <family val="2"/>
          </rPr>
          <t>Changed to go off CP worksheet
=IF($G$238=1,$I$238,($O$301/N276)*$Q$301)
=$Q$258/((barley+oats+rye+wheat+triticale+spelt+peas+soy)/$T$258)
8 years too low if use acres so adjust this upward using annual hours.</t>
        </r>
      </text>
    </comment>
    <comment ref="G313" authorId="3" shapeId="0">
      <text>
        <r>
          <rPr>
            <b/>
            <sz val="9"/>
            <color indexed="81"/>
            <rFont val="Tahoma"/>
            <family val="2"/>
          </rPr>
          <t>Old value:
10</t>
        </r>
      </text>
    </comment>
    <comment ref="H313" authorId="1" shapeId="0">
      <text>
        <r>
          <rPr>
            <b/>
            <sz val="8"/>
            <color indexed="81"/>
            <rFont val="Tahoma"/>
            <family val="2"/>
          </rPr>
          <t>Default:
=(0.68*680)/19000
0.0243368421052632
Updated from MN Extension Excel file "Farm machine estimates" for 15-ft chisel plow where repairs are $0.68/acre times 680 acres per year divided by $18,000 value of implement.
Old value of 2%
Old value of 4.5%</t>
        </r>
      </text>
    </comment>
    <comment ref="I313"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3" authorId="3" shapeId="0">
      <text>
        <r>
          <rPr>
            <b/>
            <sz val="9"/>
            <color indexed="81"/>
            <rFont val="Tahoma"/>
            <family val="2"/>
          </rPr>
          <t>Assume default:
1</t>
        </r>
      </text>
    </comment>
    <comment ref="C314" authorId="2" shapeId="0">
      <text>
        <r>
          <rPr>
            <sz val="8"/>
            <color indexed="81"/>
            <rFont val="Tahoma"/>
            <family val="2"/>
          </rPr>
          <t>Use for all crops except haylage</t>
        </r>
      </text>
    </comment>
    <comment ref="D314" authorId="1" shapeId="0">
      <text>
        <r>
          <rPr>
            <b/>
            <sz val="8"/>
            <color indexed="81"/>
            <rFont val="Tahoma"/>
            <family val="2"/>
          </rPr>
          <t>Default:
19000
Updated from MN Extension Excel file "Farm machine estimates" for 15-ft chisel plow.
Old value of $19,807 (=E219+(E219*$I$195)) if adjusted by PPI to convert from 2002 surveyed cost to 2010. 
Old value of $17,000</t>
        </r>
      </text>
    </comment>
    <comment ref="E314" authorId="3" shapeId="0">
      <text>
        <r>
          <rPr>
            <b/>
            <sz val="9"/>
            <color indexed="81"/>
            <rFont val="Tahoma"/>
            <family val="2"/>
          </rPr>
          <t>Old value:
15800</t>
        </r>
      </text>
    </comment>
    <comment ref="F314" authorId="3" shapeId="0">
      <text>
        <r>
          <rPr>
            <b/>
            <sz val="9"/>
            <color indexed="81"/>
            <rFont val="Tahoma"/>
            <family val="2"/>
          </rPr>
          <t>Changed to go off CP worksheet
=IF($G$238=1,$I$239,($O$301/N277)*$Q$301)
=$Q$258/((barley+oats+rye+wheat+triticale+spelt+peas+soy)/$T$258)
8 years too low if use acres so adjust this upward using annual hours.</t>
        </r>
      </text>
    </comment>
    <comment ref="G314" authorId="3" shapeId="0">
      <text>
        <r>
          <rPr>
            <b/>
            <sz val="9"/>
            <color indexed="81"/>
            <rFont val="Tahoma"/>
            <family val="2"/>
          </rPr>
          <t>Old value:
10</t>
        </r>
      </text>
    </comment>
    <comment ref="H314" authorId="1" shapeId="0">
      <text>
        <r>
          <rPr>
            <b/>
            <sz val="8"/>
            <color indexed="81"/>
            <rFont val="Tahoma"/>
            <family val="2"/>
          </rPr>
          <t>Default:
=(0.68*680)/19000
0.0243368421052632
Updated from MN Extension Excel file "Farm machine estimates" for 15-ft chisel plow where repairs are $0.68/acre times 680 acres per year divided by $18,000 value of implement.
Old value of 2%
Old value of 4.5%</t>
        </r>
      </text>
    </comment>
    <comment ref="I314"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4" authorId="3" shapeId="0">
      <text>
        <r>
          <rPr>
            <b/>
            <sz val="9"/>
            <color indexed="81"/>
            <rFont val="Tahoma"/>
            <family val="2"/>
          </rPr>
          <t>Assume default:
1</t>
        </r>
      </text>
    </comment>
    <comment ref="C315" authorId="2" shapeId="0">
      <text>
        <r>
          <rPr>
            <sz val="8"/>
            <color indexed="81"/>
            <rFont val="Tahoma"/>
            <family val="2"/>
          </rPr>
          <t>Use for all crops except haylage</t>
        </r>
      </text>
    </comment>
    <comment ref="D315" authorId="1" shapeId="0">
      <text>
        <r>
          <rPr>
            <b/>
            <sz val="8"/>
            <color indexed="81"/>
            <rFont val="Tahoma"/>
            <family val="2"/>
          </rPr>
          <t xml:space="preserve">Default:
35000
Updated from MN Extension Excel file "Farm machine estimates" for 23-ft chisel plow.
</t>
        </r>
      </text>
    </comment>
    <comment ref="E315" authorId="3" shapeId="0">
      <text>
        <r>
          <rPr>
            <b/>
            <sz val="9"/>
            <color indexed="81"/>
            <rFont val="Tahoma"/>
            <family val="2"/>
          </rPr>
          <t>Old value:
n/a</t>
        </r>
      </text>
    </comment>
    <comment ref="F315" authorId="3" shapeId="0">
      <text>
        <r>
          <rPr>
            <b/>
            <sz val="9"/>
            <color indexed="81"/>
            <rFont val="Tahoma"/>
            <family val="2"/>
          </rPr>
          <t>Changed to go off CP worksheet
=IF($G$238=1,$I$240,($O$301/N278)*$Q$301)
=$Q$258/((barley+oats+rye+wheat+triticale+spelt+peas+soy)/$T$258)
8 years too low if use acres so adjust this upward using annual hours.</t>
        </r>
      </text>
    </comment>
    <comment ref="G315" authorId="3" shapeId="0">
      <text>
        <r>
          <rPr>
            <b/>
            <sz val="9"/>
            <color indexed="81"/>
            <rFont val="Tahoma"/>
            <family val="2"/>
          </rPr>
          <t>Old value:
10</t>
        </r>
      </text>
    </comment>
    <comment ref="H315" authorId="1" shapeId="0">
      <text>
        <r>
          <rPr>
            <b/>
            <sz val="8"/>
            <color indexed="81"/>
            <rFont val="Tahoma"/>
            <family val="2"/>
          </rPr>
          <t xml:space="preserve">Default:
=(0.82*1043)/35000
0.024436
Updated from MN Extension Excel file "Farm machine estimates" for 23-ft chisel plow where repairs are $0.82/acre times 1,043 acres per year divided by $35,000 value of implement.
</t>
        </r>
      </text>
    </comment>
    <comment ref="I315" authorId="1" shapeId="0">
      <text>
        <r>
          <rPr>
            <b/>
            <sz val="8"/>
            <color indexed="81"/>
            <rFont val="Tahoma"/>
            <family val="2"/>
          </rPr>
          <t>Default:
33%
From "Estimating Farm Machinery Costs" in Ag Decision Maker, File A3-29, prepared by William Edwards,
extension economist,
515-294-6161,
wedwards@iastate.edu
Use "Plows"</t>
        </r>
        <r>
          <rPr>
            <sz val="8"/>
            <color indexed="81"/>
            <rFont val="Tahoma"/>
            <family val="2"/>
          </rPr>
          <t xml:space="preserve">
</t>
        </r>
      </text>
    </comment>
    <comment ref="M315" authorId="3" shapeId="0">
      <text>
        <r>
          <rPr>
            <b/>
            <sz val="9"/>
            <color indexed="81"/>
            <rFont val="Tahoma"/>
            <family val="2"/>
          </rPr>
          <t>Assume default:
1</t>
        </r>
      </text>
    </comment>
    <comment ref="C316" authorId="2" shapeId="0">
      <text>
        <r>
          <rPr>
            <sz val="8"/>
            <color indexed="81"/>
            <rFont val="Tahoma"/>
            <family val="2"/>
          </rPr>
          <t>Use for all crops except haylage</t>
        </r>
      </text>
    </comment>
    <comment ref="D316" authorId="1" shapeId="0">
      <text>
        <r>
          <rPr>
            <b/>
            <sz val="8"/>
            <color indexed="81"/>
            <rFont val="Tahoma"/>
            <family val="2"/>
          </rPr>
          <t>Default:
19000
Updated from MN Extension Excel file "Farm machine estimates" for 12-ft offset disk.
Old value of $15,044 (=E220+(E220*$I$195)) if adjusted by PPI to convert from 2002 surveyed cost to 2010. 
Old value of $15,000</t>
        </r>
      </text>
    </comment>
    <comment ref="E316" authorId="3" shapeId="0">
      <text>
        <r>
          <rPr>
            <b/>
            <sz val="9"/>
            <color indexed="81"/>
            <rFont val="Tahoma"/>
            <family val="2"/>
          </rPr>
          <t>Old value:
12000</t>
        </r>
      </text>
    </comment>
    <comment ref="F316" authorId="3" shapeId="0">
      <text>
        <r>
          <rPr>
            <b/>
            <sz val="9"/>
            <color indexed="81"/>
            <rFont val="Tahoma"/>
            <family val="2"/>
          </rPr>
          <t>Changed to go off CP worksheet
=IF($G$238=1,$I$238,($O$301/N279)*$Q$301)
=$Q$258/((barley+oats+rye+wheat+triticale+spelt+peas+soy)/$T$258)
8 years too low if use acres so adjust this upward using annual hours.</t>
        </r>
      </text>
    </comment>
    <comment ref="G316" authorId="3" shapeId="0">
      <text>
        <r>
          <rPr>
            <b/>
            <sz val="9"/>
            <color indexed="81"/>
            <rFont val="Tahoma"/>
            <family val="2"/>
          </rPr>
          <t>Old value:
10</t>
        </r>
      </text>
    </comment>
    <comment ref="H316" authorId="1" shapeId="0">
      <text>
        <r>
          <rPr>
            <b/>
            <sz val="8"/>
            <color indexed="81"/>
            <rFont val="Tahoma"/>
            <family val="2"/>
          </rPr>
          <t xml:space="preserve">Default:
=(0.78*556)/19000
0.0228252631578947
Updated from MN Extension Excel file "Farm machine estimates" for 12-ft disk harrow where repairs are $0.78/acre times 556 acres per year divided by $19,000 value of implement.
</t>
        </r>
      </text>
    </comment>
    <comment ref="I316"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16" authorId="3" shapeId="0">
      <text>
        <r>
          <rPr>
            <b/>
            <sz val="9"/>
            <color indexed="81"/>
            <rFont val="Tahoma"/>
            <family val="2"/>
          </rPr>
          <t>Assume default:
1</t>
        </r>
      </text>
    </comment>
    <comment ref="C317" authorId="2" shapeId="0">
      <text>
        <r>
          <rPr>
            <sz val="8"/>
            <color indexed="81"/>
            <rFont val="Tahoma"/>
            <family val="2"/>
          </rPr>
          <t>Use for all crops except haylage</t>
        </r>
      </text>
    </comment>
    <comment ref="D317" authorId="1" shapeId="0">
      <text>
        <r>
          <rPr>
            <b/>
            <sz val="8"/>
            <color indexed="81"/>
            <rFont val="Tahoma"/>
            <family val="2"/>
          </rPr>
          <t xml:space="preserve">Default:
40000
Updated from MN Extension Excel file "Farm machine estimates" for 21-ft tandem disk rigid.
</t>
        </r>
      </text>
    </comment>
    <comment ref="E317" authorId="3" shapeId="0">
      <text>
        <r>
          <rPr>
            <b/>
            <sz val="9"/>
            <color indexed="81"/>
            <rFont val="Tahoma"/>
            <family val="2"/>
          </rPr>
          <t>Old value:
12000</t>
        </r>
      </text>
    </comment>
    <comment ref="F317" authorId="3" shapeId="0">
      <text>
        <r>
          <rPr>
            <b/>
            <sz val="9"/>
            <color indexed="81"/>
            <rFont val="Tahoma"/>
            <family val="2"/>
          </rPr>
          <t>Changed to go off CP worksheet
=IF($G$238=1,$I$239,($O$301/N280)*$Q$301)
=$Q$258/((barley+oats+rye+wheat+triticale+spelt+peas+soy)/$T$258)
8 years too low if use acres so adjust this upward using annual hours.</t>
        </r>
      </text>
    </comment>
    <comment ref="G317" authorId="3" shapeId="0">
      <text>
        <r>
          <rPr>
            <b/>
            <sz val="9"/>
            <color indexed="81"/>
            <rFont val="Tahoma"/>
            <family val="2"/>
          </rPr>
          <t>Old value:
10</t>
        </r>
      </text>
    </comment>
    <comment ref="H317" authorId="1" shapeId="0">
      <text>
        <r>
          <rPr>
            <b/>
            <sz val="8"/>
            <color indexed="81"/>
            <rFont val="Tahoma"/>
            <family val="2"/>
          </rPr>
          <t xml:space="preserve">Default:
=(1.1*1222)/40000
0.033605
Updated from MN Extension Excel file "Farm machine estimates" for 21-ft disk harrow where repairs are $1.10/acre times 1,222 acres per year divided by $40,000 value of implement.
</t>
        </r>
      </text>
    </comment>
    <comment ref="I317"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17" authorId="3" shapeId="0">
      <text>
        <r>
          <rPr>
            <b/>
            <sz val="9"/>
            <color indexed="81"/>
            <rFont val="Tahoma"/>
            <family val="2"/>
          </rPr>
          <t>Assume default:
1</t>
        </r>
      </text>
    </comment>
    <comment ref="C318" authorId="2" shapeId="0">
      <text>
        <r>
          <rPr>
            <sz val="8"/>
            <color indexed="81"/>
            <rFont val="Tahoma"/>
            <family val="2"/>
          </rPr>
          <t>Use for all crops except haylage</t>
        </r>
      </text>
    </comment>
    <comment ref="D318" authorId="1" shapeId="0">
      <text>
        <r>
          <rPr>
            <b/>
            <sz val="8"/>
            <color indexed="81"/>
            <rFont val="Tahoma"/>
            <family val="2"/>
          </rPr>
          <t xml:space="preserve">Default:
55000
Updated from MN Extension Excel file "Farm machine estimates" for 30-ft tandem disk fold.
</t>
        </r>
      </text>
    </comment>
    <comment ref="E318" authorId="3" shapeId="0">
      <text>
        <r>
          <rPr>
            <b/>
            <sz val="9"/>
            <color indexed="81"/>
            <rFont val="Tahoma"/>
            <family val="2"/>
          </rPr>
          <t>Old value:
12000</t>
        </r>
      </text>
    </comment>
    <comment ref="F318" authorId="3" shapeId="0">
      <text>
        <r>
          <rPr>
            <b/>
            <sz val="9"/>
            <color indexed="81"/>
            <rFont val="Tahoma"/>
            <family val="2"/>
          </rPr>
          <t>Changed to go off CP worksheet
=IF($G$238=1,$I$240,($O$301/N281)*$Q$301)
=$Q$258/((barley+oats+rye+wheat+triticale+spelt+peas+soy)/$T$258)
8 years too low if use acres so adjust this upward using annual hours.</t>
        </r>
      </text>
    </comment>
    <comment ref="G318" authorId="3" shapeId="0">
      <text>
        <r>
          <rPr>
            <b/>
            <sz val="9"/>
            <color indexed="81"/>
            <rFont val="Tahoma"/>
            <family val="2"/>
          </rPr>
          <t>Old value:
10</t>
        </r>
      </text>
    </comment>
    <comment ref="H318" authorId="1" shapeId="0">
      <text>
        <r>
          <rPr>
            <b/>
            <sz val="8"/>
            <color indexed="81"/>
            <rFont val="Tahoma"/>
            <family val="2"/>
          </rPr>
          <t xml:space="preserve">Default:
=(1.05*1745)/55000
0.0333136363636364
Updated from MN Extension Excel file "Farm machine estimates" for 30-ft disk harrow where repairs are $1.05/acre times 1,745 acres per year divided by $55,000 value of implement.
</t>
        </r>
      </text>
    </comment>
    <comment ref="I318"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18" authorId="3" shapeId="0">
      <text>
        <r>
          <rPr>
            <b/>
            <sz val="9"/>
            <color indexed="81"/>
            <rFont val="Tahoma"/>
            <family val="2"/>
          </rPr>
          <t>Assume default:
1</t>
        </r>
      </text>
    </comment>
    <comment ref="C319" authorId="2" shapeId="0">
      <text>
        <r>
          <rPr>
            <sz val="8"/>
            <color indexed="81"/>
            <rFont val="Tahoma"/>
            <family val="2"/>
          </rPr>
          <t>Use for all crops except haylage</t>
        </r>
      </text>
    </comment>
    <comment ref="D319" authorId="1" shapeId="0">
      <text>
        <r>
          <rPr>
            <b/>
            <sz val="8"/>
            <color indexed="81"/>
            <rFont val="Tahoma"/>
            <family val="2"/>
          </rPr>
          <t>Default:
26000
Updated from MN Extension Excel file "Farm machine estimates" for 18-ft field cultivator.
Old value of $25,000 adjusted by PPI to convert from 2002 surveyed cost to 2010. Old value:
=E252+(E252*$I$225)</t>
        </r>
      </text>
    </comment>
    <comment ref="E319" authorId="1" shapeId="0">
      <text>
        <r>
          <rPr>
            <b/>
            <sz val="8"/>
            <color indexed="81"/>
            <rFont val="Tahoma"/>
            <family val="2"/>
          </rPr>
          <t>Old value:
13125
Old value of $17,500 for medium model.</t>
        </r>
        <r>
          <rPr>
            <sz val="8"/>
            <color indexed="81"/>
            <rFont val="Tahoma"/>
            <family val="2"/>
          </rPr>
          <t xml:space="preserve">
</t>
        </r>
      </text>
    </comment>
    <comment ref="F319" authorId="3" shapeId="0">
      <text>
        <r>
          <rPr>
            <b/>
            <sz val="9"/>
            <color indexed="81"/>
            <rFont val="Tahoma"/>
            <family val="2"/>
          </rPr>
          <t>Changed to go off CP worksheet
=IF($G$238=1,$I$238,($O$301/N282)*$Q$301)
=$Q$258/((barley+oats+rye+wheat+triticale+spelt+peas+soy)/$T$258)
8 years too low if use acres so adjust this upward using annual hours.</t>
        </r>
      </text>
    </comment>
    <comment ref="G319" authorId="3" shapeId="0">
      <text>
        <r>
          <rPr>
            <b/>
            <sz val="9"/>
            <color indexed="81"/>
            <rFont val="Tahoma"/>
            <family val="2"/>
          </rPr>
          <t>Old value:
10</t>
        </r>
      </text>
    </comment>
    <comment ref="H319" authorId="1" shapeId="0">
      <text>
        <r>
          <rPr>
            <b/>
            <sz val="8"/>
            <color indexed="81"/>
            <rFont val="Tahoma"/>
            <family val="2"/>
          </rPr>
          <t xml:space="preserve">Default:
=(0.65*1298)/26000
0.03245
Updated from MN Extension Excel file "Farm machine estimates" for 18-ft field cultivator where repairs are $0.65/acre times 1,298 acres per year divided by $26,000 value of implement.
</t>
        </r>
      </text>
    </comment>
    <comment ref="I319"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19" authorId="3" shapeId="0">
      <text>
        <r>
          <rPr>
            <b/>
            <sz val="9"/>
            <color indexed="81"/>
            <rFont val="Tahoma"/>
            <family val="2"/>
          </rPr>
          <t>Assume default:
1</t>
        </r>
      </text>
    </comment>
    <comment ref="C320" authorId="2" shapeId="0">
      <text>
        <r>
          <rPr>
            <sz val="8"/>
            <color indexed="81"/>
            <rFont val="Tahoma"/>
            <family val="2"/>
          </rPr>
          <t>Use for all crops except haylage</t>
        </r>
      </text>
    </comment>
    <comment ref="D320" authorId="1" shapeId="0">
      <text>
        <r>
          <rPr>
            <b/>
            <sz val="8"/>
            <color indexed="81"/>
            <rFont val="Tahoma"/>
            <family val="2"/>
          </rPr>
          <t xml:space="preserve">Default:
26000
Updated from MN Extension Excel file "Farm machine estimates" for 18-ft field cultivator.
</t>
        </r>
      </text>
    </comment>
    <comment ref="E320" authorId="1" shapeId="0">
      <text>
        <r>
          <rPr>
            <b/>
            <sz val="8"/>
            <color indexed="81"/>
            <rFont val="Tahoma"/>
            <family val="2"/>
          </rPr>
          <t>Old value:
13125
Old value of $17,500 for medium model.</t>
        </r>
        <r>
          <rPr>
            <sz val="8"/>
            <color indexed="81"/>
            <rFont val="Tahoma"/>
            <family val="2"/>
          </rPr>
          <t xml:space="preserve">
</t>
        </r>
      </text>
    </comment>
    <comment ref="F320" authorId="3" shapeId="0">
      <text>
        <r>
          <rPr>
            <b/>
            <sz val="9"/>
            <color indexed="81"/>
            <rFont val="Tahoma"/>
            <family val="2"/>
          </rPr>
          <t>Changed to go off CP worksheet
=IF($G$238=1,$I$239,($O$301/N283)*$Q$301)
=$Q$258/((barley+oats+rye+wheat+triticale+spelt+peas+soy)/$T$258)
8 years too low if use acres so adjust this upward using annual hours.</t>
        </r>
      </text>
    </comment>
    <comment ref="G320" authorId="3" shapeId="0">
      <text>
        <r>
          <rPr>
            <b/>
            <sz val="9"/>
            <color indexed="81"/>
            <rFont val="Tahoma"/>
            <family val="2"/>
          </rPr>
          <t>Old value:
10</t>
        </r>
      </text>
    </comment>
    <comment ref="H320" authorId="1" shapeId="0">
      <text>
        <r>
          <rPr>
            <b/>
            <sz val="8"/>
            <color indexed="81"/>
            <rFont val="Tahoma"/>
            <family val="2"/>
          </rPr>
          <t xml:space="preserve">Default:
=(0.65*1298)/26000
0.03245
Updated from MN Extension Excel file "Farm machine estimates" for 18-ft field cultivator where repairs are $0.65/acre times 1,298 acres per year divided by $26,000 value of implement.
</t>
        </r>
      </text>
    </comment>
    <comment ref="I320"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20" authorId="3" shapeId="0">
      <text>
        <r>
          <rPr>
            <b/>
            <sz val="9"/>
            <color indexed="81"/>
            <rFont val="Tahoma"/>
            <family val="2"/>
          </rPr>
          <t>Assume default:
1</t>
        </r>
      </text>
    </comment>
    <comment ref="C321" authorId="2" shapeId="0">
      <text>
        <r>
          <rPr>
            <sz val="8"/>
            <color indexed="81"/>
            <rFont val="Tahoma"/>
            <family val="2"/>
          </rPr>
          <t>Use for all crops except haylage</t>
        </r>
      </text>
    </comment>
    <comment ref="D321" authorId="1" shapeId="0">
      <text>
        <r>
          <rPr>
            <b/>
            <sz val="8"/>
            <color indexed="81"/>
            <rFont val="Tahoma"/>
            <family val="2"/>
          </rPr>
          <t>Default:
26000
Updated from MN Extension Excel file "Farm machine estimates" for 18-ft field cultivator.
Old value of $25,000 adjusted by PPI to convert from 2002 surveyed cost to 2010. Old value:
=E252+(E252*$I$225)</t>
        </r>
      </text>
    </comment>
    <comment ref="E321" authorId="1" shapeId="0">
      <text>
        <r>
          <rPr>
            <b/>
            <sz val="8"/>
            <color indexed="81"/>
            <rFont val="Tahoma"/>
            <family val="2"/>
          </rPr>
          <t>Old value:
13125
Old value of $17,500 for medium model.</t>
        </r>
        <r>
          <rPr>
            <sz val="8"/>
            <color indexed="81"/>
            <rFont val="Tahoma"/>
            <family val="2"/>
          </rPr>
          <t xml:space="preserve">
</t>
        </r>
      </text>
    </comment>
    <comment ref="F321" authorId="3" shapeId="0">
      <text>
        <r>
          <rPr>
            <b/>
            <sz val="9"/>
            <color indexed="81"/>
            <rFont val="Tahoma"/>
            <family val="2"/>
          </rPr>
          <t>Changed to go off CP worksheet
=IF($G$238=1,$I$240,($O$301/N284)*$Q$301)
=$Q$258/((barley+oats+rye+wheat+triticale+spelt+peas+soy)/$T$258)
8 years too low if use acres so adjust this upward using annual hours.</t>
        </r>
      </text>
    </comment>
    <comment ref="G321" authorId="3" shapeId="0">
      <text>
        <r>
          <rPr>
            <b/>
            <sz val="9"/>
            <color indexed="81"/>
            <rFont val="Tahoma"/>
            <family val="2"/>
          </rPr>
          <t>Old value:
10</t>
        </r>
      </text>
    </comment>
    <comment ref="H321" authorId="1" shapeId="0">
      <text>
        <r>
          <rPr>
            <b/>
            <sz val="8"/>
            <color indexed="81"/>
            <rFont val="Tahoma"/>
            <family val="2"/>
          </rPr>
          <t xml:space="preserve">Default:
=(0.65*1298)/26000
0.03245
Updated from MN Extension Excel file "Farm machine estimates" for 18-ft field cultivator where repairs are $0.65/acre times 1,298 acres per year divided by $26,000 value of implement.
</t>
        </r>
      </text>
    </comment>
    <comment ref="I321" authorId="1" shapeId="0">
      <text>
        <r>
          <rPr>
            <b/>
            <sz val="8"/>
            <color indexed="81"/>
            <rFont val="Tahoma"/>
            <family val="2"/>
          </rPr>
          <t>Default:
30%
From "Estimating Farm Machinery Costs" in Ag Decision Maker, File A3-29, prepared by William Edwards,
extension economist,
515-294-6161,
wedwards@iastate.edu
Use "Other Tillage"</t>
        </r>
        <r>
          <rPr>
            <sz val="8"/>
            <color indexed="81"/>
            <rFont val="Tahoma"/>
            <family val="2"/>
          </rPr>
          <t xml:space="preserve">
</t>
        </r>
      </text>
    </comment>
    <comment ref="M321" authorId="3" shapeId="0">
      <text>
        <r>
          <rPr>
            <b/>
            <sz val="9"/>
            <color indexed="81"/>
            <rFont val="Tahoma"/>
            <family val="2"/>
          </rPr>
          <t>Assume default:
1</t>
        </r>
      </text>
    </comment>
    <comment ref="D322" authorId="1" shapeId="0">
      <text>
        <r>
          <rPr>
            <b/>
            <sz val="8"/>
            <color indexed="81"/>
            <rFont val="Tahoma"/>
            <family val="2"/>
          </rPr>
          <t>Default:
15000
Updated from MN Extension Excel file "Farm machine estimates" for 6-row potato cultivator, 19 ft.
Old value of $12,536 (=E222+(E222*$I$195)) if adjusted by PPI to convert from 2002 surveyed cost to 2010. 
Old value of $13,000</t>
        </r>
      </text>
    </comment>
    <comment ref="E322" authorId="1" shapeId="0">
      <text>
        <r>
          <rPr>
            <b/>
            <sz val="8"/>
            <color indexed="81"/>
            <rFont val="Tahoma"/>
            <family val="2"/>
          </rPr>
          <t>Old value:
10000
Assume same as conventional potato M/L.  Old value of $5010 is an average price for a cultivator based on two cooperating potato farmers.</t>
        </r>
      </text>
    </comment>
    <comment ref="F322" authorId="3" shapeId="0">
      <text>
        <r>
          <rPr>
            <b/>
            <sz val="9"/>
            <color indexed="81"/>
            <rFont val="Tahoma"/>
            <family val="2"/>
          </rPr>
          <t>Changed to go off CP worksheet
=IF($G$238=1,$I$238,J285)
=$Q$258/((peas+soy)/$T$258)
24 years feasible if use acres but use annual hours to be consistent.</t>
        </r>
      </text>
    </comment>
    <comment ref="G322" authorId="3" shapeId="0">
      <text>
        <r>
          <rPr>
            <b/>
            <sz val="9"/>
            <color indexed="81"/>
            <rFont val="Tahoma"/>
            <family val="2"/>
          </rPr>
          <t>Old value:
10</t>
        </r>
      </text>
    </comment>
    <comment ref="H322" authorId="1" shapeId="0">
      <text>
        <r>
          <rPr>
            <b/>
            <sz val="8"/>
            <color indexed="81"/>
            <rFont val="Tahoma"/>
            <family val="2"/>
          </rPr>
          <t>Default:
=(0.53*1545)/35000
0.0233957142857143
Updated from MN Extension Excel file "Farm machine estimates" for 30-ft row cultivator where repairs are $0.53/acre times 1,545 acres per year divided by $35,000 value of implement.
2016 MN Extension Excel file did not have smaller implement.</t>
        </r>
      </text>
    </comment>
    <comment ref="I322" authorId="3" shapeId="0">
      <text>
        <r>
          <rPr>
            <b/>
            <sz val="9"/>
            <color indexed="81"/>
            <rFont val="Tahoma"/>
            <family val="2"/>
          </rPr>
          <t>Default:
=5000/15000
33.333333%
Estimated by Tom Molloy</t>
        </r>
      </text>
    </comment>
    <comment ref="M322" authorId="3" shapeId="0">
      <text>
        <r>
          <rPr>
            <b/>
            <sz val="9"/>
            <color indexed="81"/>
            <rFont val="Tahoma"/>
            <family val="2"/>
          </rPr>
          <t>Assume default:
1</t>
        </r>
      </text>
    </comment>
    <comment ref="D323" authorId="1" shapeId="0">
      <text>
        <r>
          <rPr>
            <b/>
            <sz val="8"/>
            <color indexed="81"/>
            <rFont val="Tahoma"/>
            <family val="2"/>
          </rPr>
          <t xml:space="preserve">Default:
35000
Updated from MN Extension Excel file "Farm machine estimates" for 12-row potato cultivator, 30 ft.
</t>
        </r>
      </text>
    </comment>
    <comment ref="E323" authorId="1" shapeId="0">
      <text>
        <r>
          <rPr>
            <b/>
            <sz val="8"/>
            <color indexed="81"/>
            <rFont val="Tahoma"/>
            <family val="2"/>
          </rPr>
          <t>Old value:
10000
Assume same as conventional potato M/L.  Old value of $5010 is an average price for a cultivator based on two cooperating potato farmers.</t>
        </r>
      </text>
    </comment>
    <comment ref="F323" authorId="3" shapeId="0">
      <text>
        <r>
          <rPr>
            <b/>
            <sz val="9"/>
            <color indexed="81"/>
            <rFont val="Tahoma"/>
            <family val="2"/>
          </rPr>
          <t>Changed to go off CP worksheet
=IF($G$238=1,$I$239,J286)
=$Q$258/((peas+soy)/$T$258)
24 years feasible if use acres but use annual hours to be consistent.</t>
        </r>
      </text>
    </comment>
    <comment ref="G323" authorId="3" shapeId="0">
      <text>
        <r>
          <rPr>
            <b/>
            <sz val="9"/>
            <color indexed="81"/>
            <rFont val="Tahoma"/>
            <family val="2"/>
          </rPr>
          <t>Old value:
10</t>
        </r>
      </text>
    </comment>
    <comment ref="H323" authorId="1" shapeId="0">
      <text>
        <r>
          <rPr>
            <b/>
            <sz val="8"/>
            <color indexed="81"/>
            <rFont val="Tahoma"/>
            <family val="2"/>
          </rPr>
          <t>Default:
=(0.53*1545)/35000
0.0233957142857143
Updated from MN Extension Excel file "Farm machine estimates" for 30-ft row cultivator where repairs are $0.53/acre times 1,545 acres per year divided by $35,000 value of implement.
2016 MN Extension Excel file did not have smaller implement.</t>
        </r>
      </text>
    </comment>
    <comment ref="I323" authorId="3" shapeId="0">
      <text>
        <r>
          <rPr>
            <b/>
            <sz val="9"/>
            <color indexed="81"/>
            <rFont val="Tahoma"/>
            <family val="2"/>
          </rPr>
          <t>Default:
=5000/15000
33.333333%
Estimated by Tom Molloy</t>
        </r>
      </text>
    </comment>
    <comment ref="M323" authorId="3" shapeId="0">
      <text>
        <r>
          <rPr>
            <b/>
            <sz val="9"/>
            <color indexed="81"/>
            <rFont val="Tahoma"/>
            <family val="2"/>
          </rPr>
          <t>Assume default:
1</t>
        </r>
      </text>
    </comment>
    <comment ref="D324" authorId="1" shapeId="0">
      <text>
        <r>
          <rPr>
            <b/>
            <sz val="8"/>
            <color indexed="81"/>
            <rFont val="Tahoma"/>
            <family val="2"/>
          </rPr>
          <t xml:space="preserve">Default:
35000
Updated from MN Extension Excel file "Farm machine estimates" for 12-row potato cultivator, 30 ft.
</t>
        </r>
      </text>
    </comment>
    <comment ref="E324" authorId="1" shapeId="0">
      <text>
        <r>
          <rPr>
            <b/>
            <sz val="8"/>
            <color indexed="81"/>
            <rFont val="Tahoma"/>
            <family val="2"/>
          </rPr>
          <t>Old value:
10000
Assume same as conventional potato M/L.  Old value of $5010 is an average price for a cultivator based on two cooperating potato farmers.</t>
        </r>
      </text>
    </comment>
    <comment ref="F324" authorId="3" shapeId="0">
      <text>
        <r>
          <rPr>
            <b/>
            <sz val="9"/>
            <color indexed="81"/>
            <rFont val="Tahoma"/>
            <family val="2"/>
          </rPr>
          <t>Changed to go off CP worksheet
=IF($G$238=1,$I$240,J287)
=$Q$258/((peas+soy)/$T$258)
24 years feasible if use acres but use annual hours to be consistent.</t>
        </r>
      </text>
    </comment>
    <comment ref="G324" authorId="3" shapeId="0">
      <text>
        <r>
          <rPr>
            <b/>
            <sz val="9"/>
            <color indexed="81"/>
            <rFont val="Tahoma"/>
            <family val="2"/>
          </rPr>
          <t>Old value:
10</t>
        </r>
      </text>
    </comment>
    <comment ref="H324" authorId="1" shapeId="0">
      <text>
        <r>
          <rPr>
            <b/>
            <sz val="8"/>
            <color indexed="81"/>
            <rFont val="Tahoma"/>
            <family val="2"/>
          </rPr>
          <t>Default:
=(0.53*1545)/35000
0.0233957142857143
Updated from MN Extension Excel file "Farm machine estimates" for 30-ft row cultivator where repairs are $0.53/acre times 1,545 acres per year divided by $35,000 value of implement.
2016 MN Extension Excel file did not have smaller implement.</t>
        </r>
      </text>
    </comment>
    <comment ref="I324" authorId="3" shapeId="0">
      <text>
        <r>
          <rPr>
            <b/>
            <sz val="9"/>
            <color indexed="81"/>
            <rFont val="Tahoma"/>
            <family val="2"/>
          </rPr>
          <t>Default:
=5000/15000
33.333333%
Estimated by Tom Molloy</t>
        </r>
      </text>
    </comment>
    <comment ref="M324" authorId="3" shapeId="0">
      <text>
        <r>
          <rPr>
            <b/>
            <sz val="9"/>
            <color indexed="81"/>
            <rFont val="Tahoma"/>
            <family val="2"/>
          </rPr>
          <t>Assume default:
1</t>
        </r>
      </text>
    </comment>
    <comment ref="D325" authorId="3" shapeId="0">
      <text>
        <r>
          <rPr>
            <b/>
            <sz val="9"/>
            <color indexed="81"/>
            <rFont val="Tahoma"/>
            <family val="2"/>
          </rPr>
          <t>Default:
5000</t>
        </r>
      </text>
    </comment>
    <comment ref="E325" authorId="3" shapeId="0">
      <text>
        <r>
          <rPr>
            <b/>
            <sz val="9"/>
            <color indexed="81"/>
            <rFont val="Tahoma"/>
            <family val="2"/>
          </rPr>
          <t>Old value:
n/a</t>
        </r>
      </text>
    </comment>
    <comment ref="F325" authorId="3" shapeId="0">
      <text>
        <r>
          <rPr>
            <b/>
            <sz val="9"/>
            <color indexed="81"/>
            <rFont val="Tahoma"/>
            <family val="2"/>
          </rPr>
          <t>Changed to go off CP worksheet
=IF($G$238=1,$I$238,J288)
=$Q$258/((barley+oats+rye+wheat+triticale+spelt+peas+soy)/$T$258)
8 years too low if use acres so adjust this upward using annual hours.</t>
        </r>
      </text>
    </comment>
    <comment ref="G325" authorId="3" shapeId="0">
      <text>
        <r>
          <rPr>
            <b/>
            <sz val="9"/>
            <color indexed="81"/>
            <rFont val="Tahoma"/>
            <family val="2"/>
          </rPr>
          <t>Old value:
10</t>
        </r>
      </text>
    </comment>
    <comment ref="H325" authorId="1" shapeId="0">
      <text>
        <r>
          <rPr>
            <b/>
            <sz val="8"/>
            <color indexed="81"/>
            <rFont val="Tahoma"/>
            <family val="2"/>
          </rPr>
          <t xml:space="preserve">Default:
Tom Molloy estimates at 2%
Old value of 1%
Old value of 4.5%
</t>
        </r>
      </text>
    </comment>
    <comment ref="I325" authorId="3" shapeId="0">
      <text>
        <r>
          <rPr>
            <b/>
            <sz val="9"/>
            <color indexed="81"/>
            <rFont val="Tahoma"/>
            <family val="2"/>
          </rPr>
          <t>Default:
=1000/5000
20%
Estimated by Tom Molloy</t>
        </r>
      </text>
    </comment>
    <comment ref="M325" authorId="3" shapeId="0">
      <text>
        <r>
          <rPr>
            <b/>
            <sz val="9"/>
            <color indexed="81"/>
            <rFont val="Tahoma"/>
            <family val="2"/>
          </rPr>
          <t>Assume default:
1</t>
        </r>
      </text>
    </comment>
    <comment ref="D326" authorId="3" shapeId="0">
      <text>
        <r>
          <rPr>
            <b/>
            <sz val="9"/>
            <color indexed="81"/>
            <rFont val="Tahoma"/>
            <family val="2"/>
          </rPr>
          <t>Default:
5000</t>
        </r>
      </text>
    </comment>
    <comment ref="E326" authorId="3" shapeId="0">
      <text>
        <r>
          <rPr>
            <b/>
            <sz val="9"/>
            <color indexed="81"/>
            <rFont val="Tahoma"/>
            <family val="2"/>
          </rPr>
          <t>Old value:
n/a</t>
        </r>
      </text>
    </comment>
    <comment ref="F326" authorId="3" shapeId="0">
      <text>
        <r>
          <rPr>
            <b/>
            <sz val="9"/>
            <color indexed="81"/>
            <rFont val="Tahoma"/>
            <family val="2"/>
          </rPr>
          <t>Changed to go off CP worksheet
=IF($G$238=1,$I$239,J289)
=$Q$258/((barley+oats+rye+wheat+triticale+spelt+peas+soy)/$T$258)
8 years too low if use acres so adjust this upward using annual hours.</t>
        </r>
      </text>
    </comment>
    <comment ref="G326" authorId="3" shapeId="0">
      <text>
        <r>
          <rPr>
            <b/>
            <sz val="9"/>
            <color indexed="81"/>
            <rFont val="Tahoma"/>
            <family val="2"/>
          </rPr>
          <t>Old value:
10</t>
        </r>
      </text>
    </comment>
    <comment ref="H326" authorId="1" shapeId="0">
      <text>
        <r>
          <rPr>
            <b/>
            <sz val="8"/>
            <color indexed="81"/>
            <rFont val="Tahoma"/>
            <family val="2"/>
          </rPr>
          <t xml:space="preserve">Default:
Tom Molloy estimates at 2%
Old value of 1%
Old value of 4.5%
</t>
        </r>
      </text>
    </comment>
    <comment ref="I326" authorId="3" shapeId="0">
      <text>
        <r>
          <rPr>
            <b/>
            <sz val="9"/>
            <color indexed="81"/>
            <rFont val="Tahoma"/>
            <family val="2"/>
          </rPr>
          <t>Default:
=1000/5000
20%
Estimated by Tom Molloy</t>
        </r>
      </text>
    </comment>
    <comment ref="M326" authorId="3" shapeId="0">
      <text>
        <r>
          <rPr>
            <b/>
            <sz val="9"/>
            <color indexed="81"/>
            <rFont val="Tahoma"/>
            <family val="2"/>
          </rPr>
          <t>Assume default:
1</t>
        </r>
      </text>
    </comment>
    <comment ref="D327" authorId="3" shapeId="0">
      <text>
        <r>
          <rPr>
            <b/>
            <sz val="9"/>
            <color indexed="81"/>
            <rFont val="Tahoma"/>
            <family val="2"/>
          </rPr>
          <t>Default:
5000</t>
        </r>
      </text>
    </comment>
    <comment ref="E327" authorId="3" shapeId="0">
      <text>
        <r>
          <rPr>
            <b/>
            <sz val="9"/>
            <color indexed="81"/>
            <rFont val="Tahoma"/>
            <family val="2"/>
          </rPr>
          <t>Old value:
n/a</t>
        </r>
      </text>
    </comment>
    <comment ref="F327" authorId="3" shapeId="0">
      <text>
        <r>
          <rPr>
            <b/>
            <sz val="9"/>
            <color indexed="81"/>
            <rFont val="Tahoma"/>
            <family val="2"/>
          </rPr>
          <t>Changed to go off CP worksheet
=IF($G$238=1,$I$240,J290)
=$Q$258/((barley+oats+rye+wheat+triticale+spelt+peas+soy)/$T$258)
8 years too low if use acres so adjust this upward using annual hours.</t>
        </r>
      </text>
    </comment>
    <comment ref="G327" authorId="3" shapeId="0">
      <text>
        <r>
          <rPr>
            <b/>
            <sz val="9"/>
            <color indexed="81"/>
            <rFont val="Tahoma"/>
            <family val="2"/>
          </rPr>
          <t>Old value:
10</t>
        </r>
      </text>
    </comment>
    <comment ref="H327" authorId="1" shapeId="0">
      <text>
        <r>
          <rPr>
            <b/>
            <sz val="8"/>
            <color indexed="81"/>
            <rFont val="Tahoma"/>
            <family val="2"/>
          </rPr>
          <t xml:space="preserve">Default:
Tom Molloy estimates at 2%
Old value of 1%
Old value of 4.5%
</t>
        </r>
      </text>
    </comment>
    <comment ref="I327" authorId="3" shapeId="0">
      <text>
        <r>
          <rPr>
            <b/>
            <sz val="9"/>
            <color indexed="81"/>
            <rFont val="Tahoma"/>
            <family val="2"/>
          </rPr>
          <t>Default:
=1000/5000
20%
Estimated by Tom Molloy</t>
        </r>
      </text>
    </comment>
    <comment ref="M327" authorId="3" shapeId="0">
      <text>
        <r>
          <rPr>
            <b/>
            <sz val="9"/>
            <color indexed="81"/>
            <rFont val="Tahoma"/>
            <family val="2"/>
          </rPr>
          <t>Assume default:
1</t>
        </r>
      </text>
    </comment>
    <comment ref="D328" authorId="1" shapeId="0">
      <text>
        <r>
          <rPr>
            <sz val="8"/>
            <color indexed="81"/>
            <rFont val="Tahoma"/>
            <family val="2"/>
          </rPr>
          <t xml:space="preserve">Adjusted by PPI to convert from 2002 surveyed cost to 2010. </t>
        </r>
      </text>
    </comment>
    <comment ref="E328" authorId="1" shapeId="0">
      <text>
        <r>
          <rPr>
            <b/>
            <sz val="8"/>
            <color indexed="81"/>
            <rFont val="Tahoma"/>
            <family val="2"/>
          </rPr>
          <t>Old value of $2,500 for medium model.</t>
        </r>
      </text>
    </comment>
    <comment ref="H328" authorId="1" shapeId="0">
      <text>
        <r>
          <rPr>
            <b/>
            <sz val="8"/>
            <color indexed="81"/>
            <rFont val="Tahoma"/>
            <family val="2"/>
          </rPr>
          <t>Old value of 1%</t>
        </r>
      </text>
    </comment>
    <comment ref="I328" authorId="1" shapeId="0">
      <text>
        <r>
          <rPr>
            <b/>
            <sz val="8"/>
            <color indexed="81"/>
            <rFont val="Tahoma"/>
            <family val="2"/>
          </rPr>
          <t>From "Estimating Farm Machinery Costs" in Ag Decision Maker, File A3-29, prepared by William Edwards,
extension economist,
515-294-6161,
wedwards@iastate.edu
Use "Other Tillage"</t>
        </r>
        <r>
          <rPr>
            <sz val="8"/>
            <color indexed="81"/>
            <rFont val="Tahoma"/>
            <family val="2"/>
          </rPr>
          <t xml:space="preserve">
</t>
        </r>
      </text>
    </comment>
    <comment ref="E331" authorId="3" shapeId="0">
      <text>
        <r>
          <rPr>
            <b/>
            <sz val="9"/>
            <color indexed="81"/>
            <rFont val="Tahoma"/>
            <family val="2"/>
          </rPr>
          <t>Old value</t>
        </r>
      </text>
    </comment>
    <comment ref="F331" authorId="0" shapeId="0">
      <text>
        <r>
          <rPr>
            <sz val="8"/>
            <color indexed="81"/>
            <rFont val="Tahoma"/>
            <family val="2"/>
          </rPr>
          <t>Adjust useful life for remaining years left in life and change to 1 yr expected life if useful life has expired</t>
        </r>
      </text>
    </comment>
    <comment ref="G331" authorId="0" shapeId="0">
      <text>
        <r>
          <rPr>
            <sz val="8"/>
            <color indexed="81"/>
            <rFont val="Tahoma"/>
            <family val="2"/>
          </rPr>
          <t>Adjust useful life for remaining years left in life and change to 1 yr expected life if useful life has expired</t>
        </r>
      </text>
    </comment>
    <comment ref="D332" authorId="2" shapeId="0">
      <text>
        <r>
          <rPr>
            <sz val="8"/>
            <color indexed="81"/>
            <rFont val="Tahoma"/>
            <family val="2"/>
          </rPr>
          <t>Adjusted by PPI to convert from 2002 surveyed cost to 2010. Same as conventional large dairy.</t>
        </r>
      </text>
    </comment>
    <comment ref="E332" authorId="1" shapeId="0">
      <text>
        <r>
          <rPr>
            <sz val="8"/>
            <color indexed="81"/>
            <rFont val="Tahoma"/>
            <family val="2"/>
          </rPr>
          <t>Assume same as medium/large conventional potato so old value $2,500</t>
        </r>
      </text>
    </comment>
    <comment ref="H332" authorId="1" shapeId="0">
      <text>
        <r>
          <rPr>
            <b/>
            <sz val="8"/>
            <color indexed="81"/>
            <rFont val="Tahoma"/>
            <family val="2"/>
          </rPr>
          <t>Old value of 0.5%</t>
        </r>
      </text>
    </comment>
    <comment ref="I332" authorId="1" shapeId="0">
      <text>
        <r>
          <rPr>
            <b/>
            <sz val="8"/>
            <color indexed="81"/>
            <rFont val="Tahoma"/>
            <family val="2"/>
          </rPr>
          <t xml:space="preserve">From "Estimating Farm Machinery Costs" in Ag Decision Maker, File A3-29, prepared by William Edwards,
extension economist,
515-294-6161,
wedwards@iastate.edu
Use "Planter, Drill, Sprayer" interpolated to 33 years
</t>
        </r>
        <r>
          <rPr>
            <sz val="8"/>
            <color indexed="81"/>
            <rFont val="Tahoma"/>
            <family val="2"/>
          </rPr>
          <t xml:space="preserve">
</t>
        </r>
      </text>
    </comment>
    <comment ref="D333" authorId="2" shapeId="0">
      <text>
        <r>
          <rPr>
            <sz val="8"/>
            <color indexed="81"/>
            <rFont val="Tahoma"/>
            <family val="2"/>
          </rPr>
          <t>Adjusted by PPI to convert from 2002 surveyed cost to 2010. Same as conventional large dairy.</t>
        </r>
      </text>
    </comment>
    <comment ref="E333" authorId="1" shapeId="0">
      <text>
        <r>
          <rPr>
            <sz val="8"/>
            <color indexed="81"/>
            <rFont val="Tahoma"/>
            <family val="2"/>
          </rPr>
          <t>Assume same as a cooperating potato farmer ($5000).  Old value of $17,552.</t>
        </r>
      </text>
    </comment>
    <comment ref="F333" authorId="0" shapeId="0">
      <text>
        <r>
          <rPr>
            <sz val="8"/>
            <color indexed="81"/>
            <rFont val="Tahoma"/>
            <family val="2"/>
          </rPr>
          <t>Assume useful life of seed cutter is 33 years</t>
        </r>
      </text>
    </comment>
    <comment ref="G333" authorId="0" shapeId="0">
      <text>
        <r>
          <rPr>
            <sz val="8"/>
            <color indexed="81"/>
            <rFont val="Tahoma"/>
            <family val="2"/>
          </rPr>
          <t>Assume useful life of seed cutter is 33 years</t>
        </r>
      </text>
    </comment>
    <comment ref="H333" authorId="1" shapeId="0">
      <text>
        <r>
          <rPr>
            <b/>
            <sz val="8"/>
            <color indexed="81"/>
            <rFont val="Tahoma"/>
            <family val="2"/>
          </rPr>
          <t>Old value of 0.5%</t>
        </r>
      </text>
    </comment>
    <comment ref="I333" authorId="1" shapeId="0">
      <text>
        <r>
          <rPr>
            <b/>
            <sz val="8"/>
            <color indexed="81"/>
            <rFont val="Tahoma"/>
            <family val="2"/>
          </rPr>
          <t xml:space="preserve">From "Estimating Farm Machinery Costs" in Ag Decision Maker, File A3-29, prepared by William Edwards,
extension economist,
515-294-6161,
wedwards@iastate.edu
Use "Planter, Drill, Sprayer" interpolated to 33 years
</t>
        </r>
        <r>
          <rPr>
            <sz val="8"/>
            <color indexed="81"/>
            <rFont val="Tahoma"/>
            <family val="2"/>
          </rPr>
          <t xml:space="preserve">
</t>
        </r>
      </text>
    </comment>
    <comment ref="B334" authorId="3" shapeId="0">
      <text>
        <r>
          <rPr>
            <b/>
            <sz val="9"/>
            <color indexed="81"/>
            <rFont val="Tahoma"/>
            <family val="2"/>
          </rPr>
          <t>Old value of 1</t>
        </r>
      </text>
    </comment>
    <comment ref="C334" authorId="2" shapeId="0">
      <text>
        <r>
          <rPr>
            <sz val="8"/>
            <color indexed="81"/>
            <rFont val="Tahoma"/>
            <family val="2"/>
          </rPr>
          <t>Use for all crops except soybeans</t>
        </r>
      </text>
    </comment>
    <comment ref="D334" authorId="2" shapeId="0">
      <text>
        <r>
          <rPr>
            <sz val="8"/>
            <color indexed="81"/>
            <rFont val="Tahoma"/>
            <family val="2"/>
          </rPr>
          <t>Adjusted by PPI to convert from 2002 surveyed cost to 2010. Same as conventional large dairy.</t>
        </r>
      </text>
    </comment>
    <comment ref="E334" authorId="1" shapeId="0">
      <text>
        <r>
          <rPr>
            <b/>
            <sz val="8"/>
            <color indexed="81"/>
            <rFont val="Tahoma"/>
            <family val="2"/>
          </rPr>
          <t>Old value of $3,000 for medium model.</t>
        </r>
        <r>
          <rPr>
            <sz val="8"/>
            <color indexed="81"/>
            <rFont val="Tahoma"/>
            <family val="2"/>
          </rPr>
          <t xml:space="preserve">
</t>
        </r>
      </text>
    </comment>
    <comment ref="H334" authorId="1" shapeId="0">
      <text>
        <r>
          <rPr>
            <b/>
            <sz val="8"/>
            <color indexed="81"/>
            <rFont val="Tahoma"/>
            <family val="2"/>
          </rPr>
          <t>Old value of 1%</t>
        </r>
      </text>
    </comment>
    <comment ref="I334"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Q334" authorId="4" shapeId="0">
      <text>
        <r>
          <rPr>
            <b/>
            <sz val="8"/>
            <color indexed="81"/>
            <rFont val="Tahoma"/>
            <family val="2"/>
          </rPr>
          <t>Applied Economics:</t>
        </r>
        <r>
          <rPr>
            <sz val="8"/>
            <color indexed="81"/>
            <rFont val="Tahoma"/>
            <family val="2"/>
          </rPr>
          <t xml:space="preserve">
This is the years owned as entered in the Data_Impl database times annual hours, or the ASAE useful life if less.</t>
        </r>
      </text>
    </comment>
    <comment ref="C335" authorId="3" shapeId="0">
      <text>
        <r>
          <rPr>
            <b/>
            <sz val="9"/>
            <color indexed="81"/>
            <rFont val="Tahoma"/>
            <family val="2"/>
          </rPr>
          <t>For Chilean nitrate on winter grains</t>
        </r>
      </text>
    </comment>
    <comment ref="D335" authorId="3" shapeId="0">
      <text>
        <r>
          <rPr>
            <b/>
            <sz val="9"/>
            <color indexed="81"/>
            <rFont val="Tahoma"/>
            <family val="2"/>
          </rPr>
          <t>Default:
5000</t>
        </r>
      </text>
    </comment>
    <comment ref="E335" authorId="3" shapeId="0">
      <text>
        <r>
          <rPr>
            <b/>
            <sz val="9"/>
            <color indexed="81"/>
            <rFont val="Tahoma"/>
            <family val="2"/>
          </rPr>
          <t>Old value:
n/a</t>
        </r>
      </text>
    </comment>
    <comment ref="F335" authorId="3" shapeId="0">
      <text>
        <r>
          <rPr>
            <b/>
            <sz val="9"/>
            <color indexed="81"/>
            <rFont val="Tahoma"/>
            <family val="2"/>
          </rPr>
          <t>Changed to go off CP worksheet
=IF($G$238=1,$I$238,J298)
=($O$258/N255)*$Q$258
187.3 years too high if use annual hours so adjust this using acres</t>
        </r>
      </text>
    </comment>
    <comment ref="G335" authorId="3" shapeId="0">
      <text>
        <r>
          <rPr>
            <b/>
            <sz val="9"/>
            <color indexed="81"/>
            <rFont val="Tahoma"/>
            <family val="2"/>
          </rPr>
          <t>Old value:
10</t>
        </r>
      </text>
    </comment>
    <comment ref="H335" authorId="1" shapeId="0">
      <text>
        <r>
          <rPr>
            <b/>
            <sz val="8"/>
            <color indexed="81"/>
            <rFont val="Tahoma"/>
            <family val="2"/>
          </rPr>
          <t xml:space="preserve">Assume same as lely default:
2%
Old value of 1%
Old value of 4.5%
</t>
        </r>
      </text>
    </comment>
    <comment ref="I335" authorId="3" shapeId="0">
      <text>
        <r>
          <rPr>
            <b/>
            <sz val="9"/>
            <color indexed="81"/>
            <rFont val="Tahoma"/>
            <family val="2"/>
          </rPr>
          <t>Default:
=1000/5000
20%
Estimated by Tom Molloy</t>
        </r>
      </text>
    </comment>
    <comment ref="J335" authorId="3" shapeId="0">
      <text>
        <r>
          <rPr>
            <b/>
            <sz val="9"/>
            <color indexed="81"/>
            <rFont val="Tahoma"/>
            <family val="2"/>
          </rPr>
          <t>=($O$258/N255)*$Q$258
187.3 years too high if use annual hours so adjust this using acres</t>
        </r>
      </text>
    </comment>
    <comment ref="M335" authorId="3" shapeId="0">
      <text>
        <r>
          <rPr>
            <b/>
            <sz val="9"/>
            <color indexed="81"/>
            <rFont val="Tahoma"/>
            <family val="2"/>
          </rPr>
          <t>Assume default:
1</t>
        </r>
      </text>
    </comment>
    <comment ref="N335" authorId="3" shapeId="0">
      <text>
        <r>
          <rPr>
            <b/>
            <sz val="9"/>
            <color indexed="81"/>
            <rFont val="Tahoma"/>
            <family val="2"/>
          </rPr>
          <t>For winter wheat only and not spring wheat so set to 1 to over-ride.</t>
        </r>
      </text>
    </comment>
    <comment ref="W335" authorId="3" shapeId="0">
      <text>
        <r>
          <rPr>
            <b/>
            <sz val="9"/>
            <color indexed="81"/>
            <rFont val="Tahoma"/>
            <family val="2"/>
          </rPr>
          <t>=($O$258/N255)*$Q$258
187.3 years too high if use annual hours so adjust this using acres</t>
        </r>
      </text>
    </comment>
    <comment ref="C336" authorId="3" shapeId="0">
      <text>
        <r>
          <rPr>
            <b/>
            <sz val="9"/>
            <color indexed="81"/>
            <rFont val="Tahoma"/>
            <family val="2"/>
          </rPr>
          <t>For Chilean nitrate on winter grains</t>
        </r>
      </text>
    </comment>
    <comment ref="D336" authorId="3" shapeId="0">
      <text>
        <r>
          <rPr>
            <b/>
            <sz val="9"/>
            <color indexed="81"/>
            <rFont val="Tahoma"/>
            <family val="2"/>
          </rPr>
          <t>Default:
5000</t>
        </r>
      </text>
    </comment>
    <comment ref="E336" authorId="3" shapeId="0">
      <text>
        <r>
          <rPr>
            <b/>
            <sz val="9"/>
            <color indexed="81"/>
            <rFont val="Tahoma"/>
            <family val="2"/>
          </rPr>
          <t>Old value:
n/a</t>
        </r>
      </text>
    </comment>
    <comment ref="F336" authorId="3" shapeId="0">
      <text>
        <r>
          <rPr>
            <b/>
            <sz val="9"/>
            <color indexed="81"/>
            <rFont val="Tahoma"/>
            <family val="2"/>
          </rPr>
          <t>Changed to go off CP worksheet
=IF($G$238=1,$I$239,J299)
=($O$258/N255)*$Q$258
187.3 years too high if use annual hours so adjust this using acres</t>
        </r>
      </text>
    </comment>
    <comment ref="G336" authorId="3" shapeId="0">
      <text>
        <r>
          <rPr>
            <b/>
            <sz val="9"/>
            <color indexed="81"/>
            <rFont val="Tahoma"/>
            <family val="2"/>
          </rPr>
          <t>Old value:
10</t>
        </r>
      </text>
    </comment>
    <comment ref="H336" authorId="1" shapeId="0">
      <text>
        <r>
          <rPr>
            <b/>
            <sz val="8"/>
            <color indexed="81"/>
            <rFont val="Tahoma"/>
            <family val="2"/>
          </rPr>
          <t xml:space="preserve">Assume same as lely default:
2%
Old value of 1%
Old value of 4.5%
</t>
        </r>
      </text>
    </comment>
    <comment ref="I336" authorId="3" shapeId="0">
      <text>
        <r>
          <rPr>
            <b/>
            <sz val="9"/>
            <color indexed="81"/>
            <rFont val="Tahoma"/>
            <family val="2"/>
          </rPr>
          <t>Default:
=1000/5000
20%
Estimated by Tom Molloy</t>
        </r>
      </text>
    </comment>
    <comment ref="J336" authorId="3" shapeId="0">
      <text>
        <r>
          <rPr>
            <b/>
            <sz val="9"/>
            <color indexed="81"/>
            <rFont val="Tahoma"/>
            <family val="2"/>
          </rPr>
          <t>=($O$258/N255)*$Q$258
187.3 years too high if use annual hours so adjust this using acres</t>
        </r>
      </text>
    </comment>
    <comment ref="M336" authorId="3" shapeId="0">
      <text>
        <r>
          <rPr>
            <b/>
            <sz val="9"/>
            <color indexed="81"/>
            <rFont val="Tahoma"/>
            <family val="2"/>
          </rPr>
          <t>Assume default:
1</t>
        </r>
      </text>
    </comment>
    <comment ref="W336" authorId="3" shapeId="0">
      <text>
        <r>
          <rPr>
            <b/>
            <sz val="9"/>
            <color indexed="81"/>
            <rFont val="Tahoma"/>
            <family val="2"/>
          </rPr>
          <t>=($O$258/N255)*$Q$258
187.3 years too high if use annual hours so adjust this using acres</t>
        </r>
      </text>
    </comment>
    <comment ref="C337" authorId="3" shapeId="0">
      <text>
        <r>
          <rPr>
            <b/>
            <sz val="9"/>
            <color indexed="81"/>
            <rFont val="Tahoma"/>
            <family val="2"/>
          </rPr>
          <t>For Chilean nitrate on winter grains</t>
        </r>
      </text>
    </comment>
    <comment ref="D337" authorId="3" shapeId="0">
      <text>
        <r>
          <rPr>
            <b/>
            <sz val="9"/>
            <color indexed="81"/>
            <rFont val="Tahoma"/>
            <family val="2"/>
          </rPr>
          <t>Default:
5000</t>
        </r>
      </text>
    </comment>
    <comment ref="E337" authorId="3" shapeId="0">
      <text>
        <r>
          <rPr>
            <b/>
            <sz val="9"/>
            <color indexed="81"/>
            <rFont val="Tahoma"/>
            <family val="2"/>
          </rPr>
          <t>Old value:
n/a</t>
        </r>
      </text>
    </comment>
    <comment ref="F337" authorId="3" shapeId="0">
      <text>
        <r>
          <rPr>
            <b/>
            <sz val="9"/>
            <color indexed="81"/>
            <rFont val="Tahoma"/>
            <family val="2"/>
          </rPr>
          <t>Changed to go off CP worksheet
=IF($G$238=1,$I$240,J300)
=($O$258/N255)*$Q$258
187.3 years too high if use annual hours so adjust this using acres</t>
        </r>
      </text>
    </comment>
    <comment ref="G337" authorId="3" shapeId="0">
      <text>
        <r>
          <rPr>
            <b/>
            <sz val="9"/>
            <color indexed="81"/>
            <rFont val="Tahoma"/>
            <family val="2"/>
          </rPr>
          <t>Old value:
10</t>
        </r>
      </text>
    </comment>
    <comment ref="H337" authorId="1" shapeId="0">
      <text>
        <r>
          <rPr>
            <b/>
            <sz val="8"/>
            <color indexed="81"/>
            <rFont val="Tahoma"/>
            <family val="2"/>
          </rPr>
          <t xml:space="preserve">Assume same as lely default:
2%
Old value of 1%
Old value of 4.5%
</t>
        </r>
      </text>
    </comment>
    <comment ref="I337" authorId="3" shapeId="0">
      <text>
        <r>
          <rPr>
            <b/>
            <sz val="9"/>
            <color indexed="81"/>
            <rFont val="Tahoma"/>
            <family val="2"/>
          </rPr>
          <t>Default:
=1000/5000
20%
Estimated by Tom Molloy</t>
        </r>
      </text>
    </comment>
    <comment ref="J337" authorId="3" shapeId="0">
      <text>
        <r>
          <rPr>
            <b/>
            <sz val="9"/>
            <color indexed="81"/>
            <rFont val="Tahoma"/>
            <family val="2"/>
          </rPr>
          <t>=($O$258/N255)*$Q$258
187.3 years too high if use annual hours so adjust this using acres</t>
        </r>
      </text>
    </comment>
    <comment ref="M337" authorId="3" shapeId="0">
      <text>
        <r>
          <rPr>
            <b/>
            <sz val="9"/>
            <color indexed="81"/>
            <rFont val="Tahoma"/>
            <family val="2"/>
          </rPr>
          <t>Assume default:
1</t>
        </r>
      </text>
    </comment>
    <comment ref="W337" authorId="3" shapeId="0">
      <text>
        <r>
          <rPr>
            <b/>
            <sz val="9"/>
            <color indexed="81"/>
            <rFont val="Tahoma"/>
            <family val="2"/>
          </rPr>
          <t>=($O$258/N255)*$Q$258
187.3 years too high if use annual hours so adjust this using acres</t>
        </r>
      </text>
    </comment>
    <comment ref="C338" authorId="3" shapeId="0">
      <text>
        <r>
          <rPr>
            <b/>
            <sz val="9"/>
            <color indexed="81"/>
            <rFont val="Tahoma"/>
            <family val="2"/>
          </rPr>
          <t>Solid manure spreader for chicken manure</t>
        </r>
      </text>
    </comment>
    <comment ref="D338" authorId="2" shapeId="0">
      <text>
        <r>
          <rPr>
            <b/>
            <sz val="8"/>
            <color indexed="81"/>
            <rFont val="Tahoma"/>
            <family val="2"/>
          </rPr>
          <t>Default:
=E296+(E296*$K$257)
7738.78761047635
Adjusted by PPI to convert from 2002 surveyed cost to 2010. Same as conventional large dairy.</t>
        </r>
      </text>
    </comment>
    <comment ref="E338" authorId="1" shapeId="0">
      <text>
        <r>
          <rPr>
            <b/>
            <sz val="8"/>
            <color indexed="81"/>
            <rFont val="Tahoma"/>
            <family val="2"/>
          </rPr>
          <t>Old value assumed same as small/medium conventional dairy:
6173.07692307692</t>
        </r>
      </text>
    </comment>
    <comment ref="F338" authorId="3" shapeId="0">
      <text>
        <r>
          <rPr>
            <b/>
            <sz val="9"/>
            <color indexed="81"/>
            <rFont val="Tahoma"/>
            <family val="2"/>
          </rPr>
          <t>Changed to go off CP worksheet
=IF($G$238=1,$I$238,J301)
=$Q$258/((barley+oats+rye+wheat+triticale+spelt+peas+soy)/$T$258)
8 years too low if use acres so adjust this upward using annual hours.</t>
        </r>
      </text>
    </comment>
    <comment ref="G338" authorId="3" shapeId="0">
      <text>
        <r>
          <rPr>
            <b/>
            <sz val="9"/>
            <color indexed="81"/>
            <rFont val="Tahoma"/>
            <family val="2"/>
          </rPr>
          <t>Old value:
10</t>
        </r>
      </text>
    </comment>
    <comment ref="H338" authorId="1" shapeId="0">
      <text>
        <r>
          <rPr>
            <b/>
            <sz val="8"/>
            <color indexed="81"/>
            <rFont val="Tahoma"/>
            <family val="2"/>
          </rPr>
          <t xml:space="preserve">Assume same as small disk harrow default:
2.28252631578947%
Old value of 1%
Old value of 4.5%  
</t>
        </r>
      </text>
    </comment>
    <comment ref="I338" authorId="3" shapeId="0">
      <text>
        <r>
          <rPr>
            <b/>
            <sz val="9"/>
            <color indexed="81"/>
            <rFont val="Tahoma"/>
            <family val="2"/>
          </rPr>
          <t>Default:
25%
Assume same as small/medium conventional dairy</t>
        </r>
      </text>
    </comment>
    <comment ref="M338" authorId="3" shapeId="0">
      <text>
        <r>
          <rPr>
            <b/>
            <sz val="9"/>
            <color indexed="81"/>
            <rFont val="Tahoma"/>
            <family val="2"/>
          </rPr>
          <t>Assume default:
1</t>
        </r>
      </text>
    </comment>
    <comment ref="C339" authorId="3" shapeId="0">
      <text>
        <r>
          <rPr>
            <b/>
            <sz val="9"/>
            <color indexed="81"/>
            <rFont val="Tahoma"/>
            <family val="2"/>
          </rPr>
          <t>Solid manure spreader for chicken manure</t>
        </r>
      </text>
    </comment>
    <comment ref="D339" authorId="2" shapeId="0">
      <text>
        <r>
          <rPr>
            <b/>
            <sz val="8"/>
            <color indexed="81"/>
            <rFont val="Tahoma"/>
            <family val="2"/>
          </rPr>
          <t>Default:
=E297+(E297*$K$257)
7738.78761047635
Adjusted by PPI to convert from 2002 surveyed cost to 2010. Same as conventional large dairy.</t>
        </r>
      </text>
    </comment>
    <comment ref="E339" authorId="1" shapeId="0">
      <text>
        <r>
          <rPr>
            <b/>
            <sz val="8"/>
            <color indexed="81"/>
            <rFont val="Tahoma"/>
            <family val="2"/>
          </rPr>
          <t>Old value assumed same as small/medium conventional dairy:
6173.07692307692</t>
        </r>
      </text>
    </comment>
    <comment ref="F339" authorId="3" shapeId="0">
      <text>
        <r>
          <rPr>
            <b/>
            <sz val="9"/>
            <color indexed="81"/>
            <rFont val="Tahoma"/>
            <family val="2"/>
          </rPr>
          <t>Changed to go off CP worksheet
=IF($G$238=1,$I$239,J302)
=$Q$258/((barley+oats+rye+wheat+triticale+spelt+peas+soy)/$T$258)
8 years too low if use acres so adjust this upward using annual hours.</t>
        </r>
      </text>
    </comment>
    <comment ref="G339" authorId="3" shapeId="0">
      <text>
        <r>
          <rPr>
            <b/>
            <sz val="9"/>
            <color indexed="81"/>
            <rFont val="Tahoma"/>
            <family val="2"/>
          </rPr>
          <t>Old value:
10</t>
        </r>
      </text>
    </comment>
    <comment ref="H339" authorId="1" shapeId="0">
      <text>
        <r>
          <rPr>
            <b/>
            <sz val="8"/>
            <color indexed="81"/>
            <rFont val="Tahoma"/>
            <family val="2"/>
          </rPr>
          <t xml:space="preserve">Assume same as small disk harrow default:
2.28252631578947%
Old value of 1%
Old value of 4.5%  
</t>
        </r>
      </text>
    </comment>
    <comment ref="I339" authorId="3" shapeId="0">
      <text>
        <r>
          <rPr>
            <b/>
            <sz val="9"/>
            <color indexed="81"/>
            <rFont val="Tahoma"/>
            <family val="2"/>
          </rPr>
          <t>Default:
25%
Assume same as small/medium conventional dairy</t>
        </r>
      </text>
    </comment>
    <comment ref="M339" authorId="3" shapeId="0">
      <text>
        <r>
          <rPr>
            <b/>
            <sz val="9"/>
            <color indexed="81"/>
            <rFont val="Tahoma"/>
            <family val="2"/>
          </rPr>
          <t>Assume default:
1</t>
        </r>
      </text>
    </comment>
    <comment ref="C340" authorId="3" shapeId="0">
      <text>
        <r>
          <rPr>
            <b/>
            <sz val="9"/>
            <color indexed="81"/>
            <rFont val="Tahoma"/>
            <family val="2"/>
          </rPr>
          <t>Solid manure spreader for chicken manure</t>
        </r>
      </text>
    </comment>
    <comment ref="D340" authorId="2" shapeId="0">
      <text>
        <r>
          <rPr>
            <b/>
            <sz val="8"/>
            <color indexed="81"/>
            <rFont val="Tahoma"/>
            <family val="2"/>
          </rPr>
          <t>Default:
=E298+(E298*$K$257)
7738.78761047635
Adjusted by PPI to convert from 2002 surveyed cost to 2010. Same as conventional large dairy.</t>
        </r>
      </text>
    </comment>
    <comment ref="E340" authorId="1" shapeId="0">
      <text>
        <r>
          <rPr>
            <b/>
            <sz val="8"/>
            <color indexed="81"/>
            <rFont val="Tahoma"/>
            <family val="2"/>
          </rPr>
          <t>Old value assumed same as small/medium conventional dairy:
6173.07692307692</t>
        </r>
      </text>
    </comment>
    <comment ref="F340" authorId="3" shapeId="0">
      <text>
        <r>
          <rPr>
            <b/>
            <sz val="9"/>
            <color indexed="81"/>
            <rFont val="Tahoma"/>
            <family val="2"/>
          </rPr>
          <t>Changed to go off CP worksheet
=IF($G$238=1,$I$240,J303)
=$Q$258/((barley+oats+rye+wheat+triticale+spelt+peas+soy)/$T$258)
8 years too low if use acres so adjust this upward using annual hours.</t>
        </r>
      </text>
    </comment>
    <comment ref="G340" authorId="3" shapeId="0">
      <text>
        <r>
          <rPr>
            <b/>
            <sz val="9"/>
            <color indexed="81"/>
            <rFont val="Tahoma"/>
            <family val="2"/>
          </rPr>
          <t>Old value:
10</t>
        </r>
      </text>
    </comment>
    <comment ref="H340" authorId="1" shapeId="0">
      <text>
        <r>
          <rPr>
            <b/>
            <sz val="8"/>
            <color indexed="81"/>
            <rFont val="Tahoma"/>
            <family val="2"/>
          </rPr>
          <t xml:space="preserve">Assume same as small disk harrow default:
2.28252631578947%
Old value of 1%
Old value of 4.5%  
</t>
        </r>
      </text>
    </comment>
    <comment ref="I340" authorId="3" shapeId="0">
      <text>
        <r>
          <rPr>
            <b/>
            <sz val="9"/>
            <color indexed="81"/>
            <rFont val="Tahoma"/>
            <family val="2"/>
          </rPr>
          <t>Default:
25%
Assume same as small/medium conventional dairy</t>
        </r>
      </text>
    </comment>
    <comment ref="M340" authorId="3" shapeId="0">
      <text>
        <r>
          <rPr>
            <b/>
            <sz val="9"/>
            <color indexed="81"/>
            <rFont val="Tahoma"/>
            <family val="2"/>
          </rPr>
          <t>Assume default:
1</t>
        </r>
      </text>
    </comment>
    <comment ref="O340" authorId="4" shapeId="0">
      <text>
        <r>
          <rPr>
            <b/>
            <sz val="8"/>
            <color indexed="81"/>
            <rFont val="Tahoma"/>
            <family val="2"/>
          </rPr>
          <t>Applied Economics:</t>
        </r>
        <r>
          <rPr>
            <sz val="8"/>
            <color indexed="81"/>
            <rFont val="Tahoma"/>
            <family val="2"/>
          </rPr>
          <t xml:space="preserve">
Base annual hours entered in the Data_Impl database.</t>
        </r>
      </text>
    </comment>
    <comment ref="D341" authorId="2" shapeId="0">
      <text>
        <r>
          <rPr>
            <sz val="8"/>
            <color indexed="81"/>
            <rFont val="Tahoma"/>
            <family val="2"/>
          </rPr>
          <t>Updated from MN Extension Excel file "Farm machine estimates" for 4-row potato planter.
Old value of $60,174 (=E210+(E210*$I$195)) if adjusted by PPI to convert from 2002 surveyed cost to 2010. Same as conventional large dairy.</t>
        </r>
      </text>
    </comment>
    <comment ref="E341" authorId="1" shapeId="0">
      <text>
        <r>
          <rPr>
            <sz val="8"/>
            <color indexed="81"/>
            <rFont val="Tahoma"/>
            <family val="2"/>
          </rPr>
          <t>Assume same as conventional potato M/L.  Old value of $36,776.</t>
        </r>
      </text>
    </comment>
    <comment ref="H341" authorId="1" shapeId="0">
      <text>
        <r>
          <rPr>
            <b/>
            <sz val="8"/>
            <color indexed="81"/>
            <rFont val="Tahoma"/>
            <family val="2"/>
          </rPr>
          <t>Old value of 2%</t>
        </r>
      </text>
    </comment>
    <comment ref="I341"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D342" authorId="2" shapeId="0">
      <text>
        <r>
          <rPr>
            <sz val="8"/>
            <color indexed="81"/>
            <rFont val="Tahoma"/>
            <family val="2"/>
          </rPr>
          <t>Adjusted by PPI to convert from 2002 surveyed cost to 2010. Same as conventional large dairy.</t>
        </r>
      </text>
    </comment>
    <comment ref="E342" authorId="1" shapeId="0">
      <text>
        <r>
          <rPr>
            <sz val="8"/>
            <color indexed="81"/>
            <rFont val="Tahoma"/>
            <family val="2"/>
          </rPr>
          <t>Assume same as medium/large conventional potato so old value of $2,600</t>
        </r>
      </text>
    </comment>
    <comment ref="H342" authorId="1" shapeId="0">
      <text>
        <r>
          <rPr>
            <b/>
            <sz val="8"/>
            <color indexed="81"/>
            <rFont val="Tahoma"/>
            <family val="2"/>
          </rPr>
          <t>Old value of 1%</t>
        </r>
      </text>
    </comment>
    <comment ref="I342" authorId="1" shapeId="0">
      <text>
        <r>
          <rPr>
            <b/>
            <sz val="8"/>
            <color indexed="81"/>
            <rFont val="Tahoma"/>
            <family val="2"/>
          </rPr>
          <t xml:space="preserve">From "Estimating Farm Machinery Costs" in Ag Decision Maker, File A3-29, prepared by William Edwards,
extension economist,
515-294-6161,
wedwards@iastate.edu
Use "Planter, Drill, Sprayer" interpolated to 33 years
</t>
        </r>
        <r>
          <rPr>
            <sz val="8"/>
            <color indexed="81"/>
            <rFont val="Tahoma"/>
            <family val="2"/>
          </rPr>
          <t xml:space="preserve">
</t>
        </r>
      </text>
    </comment>
    <comment ref="C343" authorId="2" shapeId="0">
      <text>
        <r>
          <rPr>
            <sz val="8"/>
            <color indexed="81"/>
            <rFont val="Tahoma"/>
            <family val="2"/>
          </rPr>
          <t>Use for small grain crops</t>
        </r>
      </text>
    </comment>
    <comment ref="D343" authorId="0" shapeId="0">
      <text>
        <r>
          <rPr>
            <b/>
            <sz val="8"/>
            <color indexed="81"/>
            <rFont val="Tahoma"/>
            <family val="2"/>
          </rPr>
          <t>Default:
22000
Updated from MN Extension Excel file "Farm machine estimates" for 16-ft presswheel drill.
Old value of $12,536 (=E212+(E212*$I$195)) if adjusted by PPI to convert from 2002 surveyed cost to 2010. Assume $10,000 for grain drill. 
Old value of $33,000</t>
        </r>
      </text>
    </comment>
    <comment ref="E343" authorId="3" shapeId="0">
      <text>
        <r>
          <rPr>
            <b/>
            <sz val="9"/>
            <color indexed="81"/>
            <rFont val="Tahoma"/>
            <family val="2"/>
          </rPr>
          <t>Old value:
$10,000</t>
        </r>
      </text>
    </comment>
    <comment ref="F343" authorId="3" shapeId="0">
      <text>
        <r>
          <rPr>
            <b/>
            <sz val="9"/>
            <color indexed="81"/>
            <rFont val="Tahoma"/>
            <family val="2"/>
          </rPr>
          <t>Changed to go off CP worksheet
=IF($G$238=1,$I$238,($O$301/N306)*$Q$301)
=$Q$258/((barley+oats+rye+wheat+triticale+spelt+peas+soy)/$T$258)
8 years too low if use acres so adjust this upward using annual hours.</t>
        </r>
      </text>
    </comment>
    <comment ref="G343" authorId="3" shapeId="0">
      <text>
        <r>
          <rPr>
            <b/>
            <sz val="9"/>
            <color indexed="81"/>
            <rFont val="Tahoma"/>
            <family val="2"/>
          </rPr>
          <t>Old value:
10</t>
        </r>
      </text>
    </comment>
    <comment ref="H343" authorId="1" shapeId="0">
      <text>
        <r>
          <rPr>
            <b/>
            <sz val="8"/>
            <color indexed="81"/>
            <rFont val="Tahoma"/>
            <family val="2"/>
          </rPr>
          <t xml:space="preserve">Default:
=(1.03*509)/22000
0.0238304545454545
Updated from MN Extension Excel file "Farm machine estimates" for 16-ft presswheel drill where repairs are $1.03/acre times 509 acres per year divided by $22,000 value of implement.
</t>
        </r>
      </text>
    </comment>
    <comment ref="I343" authorId="1" shapeId="0">
      <text>
        <r>
          <rPr>
            <b/>
            <sz val="8"/>
            <color indexed="81"/>
            <rFont val="Tahoma"/>
            <family val="2"/>
          </rPr>
          <t xml:space="preserve">Default:
40%
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M343" authorId="3" shapeId="0">
      <text>
        <r>
          <rPr>
            <b/>
            <sz val="9"/>
            <color indexed="81"/>
            <rFont val="Tahoma"/>
            <family val="2"/>
          </rPr>
          <t>Assume default:
1</t>
        </r>
      </text>
    </comment>
    <comment ref="C344" authorId="2" shapeId="0">
      <text>
        <r>
          <rPr>
            <sz val="8"/>
            <color indexed="81"/>
            <rFont val="Tahoma"/>
            <family val="2"/>
          </rPr>
          <t>Use for small grain crops</t>
        </r>
      </text>
    </comment>
    <comment ref="D344" authorId="0" shapeId="0">
      <text>
        <r>
          <rPr>
            <b/>
            <sz val="8"/>
            <color indexed="81"/>
            <rFont val="Tahoma"/>
            <family val="2"/>
          </rPr>
          <t>Default:
45000
Updated from MN Extension Excel file "Farm machine estimates" for 16-ft presswheel drill.
Old value of $12,536 (=E212+(E212*$I$195)) if adjusted by PPI to convert from 2002 surveyed cost to 2010. Assume $10,000 for grain drill. 
Old value of $33,000</t>
        </r>
      </text>
    </comment>
    <comment ref="E344" authorId="3" shapeId="0">
      <text>
        <r>
          <rPr>
            <b/>
            <sz val="9"/>
            <color indexed="81"/>
            <rFont val="Tahoma"/>
            <family val="2"/>
          </rPr>
          <t>Old value:
$10,000</t>
        </r>
      </text>
    </comment>
    <comment ref="F344" authorId="3" shapeId="0">
      <text>
        <r>
          <rPr>
            <b/>
            <sz val="9"/>
            <color indexed="81"/>
            <rFont val="Tahoma"/>
            <family val="2"/>
          </rPr>
          <t>Changed to go off CP worksheet
=IF($G$238=1,$I$239,($O$301/N307)*$Q$301)
=$Q$258/((barley+oats+rye+wheat+triticale+spelt+peas+soy)/$T$258)
8 years too low if use acres so adjust this upward using annual hours.</t>
        </r>
      </text>
    </comment>
    <comment ref="G344" authorId="3" shapeId="0">
      <text>
        <r>
          <rPr>
            <b/>
            <sz val="9"/>
            <color indexed="81"/>
            <rFont val="Tahoma"/>
            <family val="2"/>
          </rPr>
          <t>Old value:
10</t>
        </r>
      </text>
    </comment>
    <comment ref="H344" authorId="1" shapeId="0">
      <text>
        <r>
          <rPr>
            <b/>
            <sz val="8"/>
            <color indexed="81"/>
            <rFont val="Tahoma"/>
            <family val="2"/>
          </rPr>
          <t xml:space="preserve">Default:
=(1.34*795)/45000
0.0236733333333333
Updated from MN Extension Excel file "Farm machine estimates" for 25-ft presswheel drill where repairs are $1.34/acre times 795 acres per year divided by $45,000 value of implement.
</t>
        </r>
      </text>
    </comment>
    <comment ref="I344" authorId="1" shapeId="0">
      <text>
        <r>
          <rPr>
            <b/>
            <sz val="8"/>
            <color indexed="81"/>
            <rFont val="Tahoma"/>
            <family val="2"/>
          </rPr>
          <t xml:space="preserve">Default:
40%
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M344" authorId="3" shapeId="0">
      <text>
        <r>
          <rPr>
            <b/>
            <sz val="9"/>
            <color indexed="81"/>
            <rFont val="Tahoma"/>
            <family val="2"/>
          </rPr>
          <t>Assume default:
1</t>
        </r>
      </text>
    </comment>
    <comment ref="C345" authorId="2" shapeId="0">
      <text>
        <r>
          <rPr>
            <sz val="8"/>
            <color indexed="81"/>
            <rFont val="Tahoma"/>
            <family val="2"/>
          </rPr>
          <t>Use for small grain crops</t>
        </r>
      </text>
    </comment>
    <comment ref="D345" authorId="0" shapeId="0">
      <text>
        <r>
          <rPr>
            <b/>
            <sz val="8"/>
            <color indexed="81"/>
            <rFont val="Tahoma"/>
            <family val="2"/>
          </rPr>
          <t>Default:
57000
Updated from MN Extension Excel file "Farm machine estimates" for 16-ft presswheel drill.
Old value of $12,536 (=E212+(E212*$I$195)) if adjusted by PPI to convert from 2002 surveyed cost to 2010. Assume $10,000 for grain drill. 
Old value of $33,000</t>
        </r>
      </text>
    </comment>
    <comment ref="E345" authorId="3" shapeId="0">
      <text>
        <r>
          <rPr>
            <b/>
            <sz val="9"/>
            <color indexed="81"/>
            <rFont val="Tahoma"/>
            <family val="2"/>
          </rPr>
          <t>Old value:
$10,000</t>
        </r>
      </text>
    </comment>
    <comment ref="F345" authorId="3" shapeId="0">
      <text>
        <r>
          <rPr>
            <b/>
            <sz val="9"/>
            <color indexed="81"/>
            <rFont val="Tahoma"/>
            <family val="2"/>
          </rPr>
          <t>Changed to go off CP worksheet
=IF($G$238=1,$I$240,($O$301/N308)*$Q$301)
=$Q$258/((barley+oats+rye+wheat+triticale+spelt+peas+soy)/$T$258)
8 years too low if use acres so adjust this upward using annual hours.</t>
        </r>
      </text>
    </comment>
    <comment ref="G345" authorId="3" shapeId="0">
      <text>
        <r>
          <rPr>
            <b/>
            <sz val="9"/>
            <color indexed="81"/>
            <rFont val="Tahoma"/>
            <family val="2"/>
          </rPr>
          <t>Old value:
10</t>
        </r>
      </text>
    </comment>
    <comment ref="H345" authorId="1" shapeId="0">
      <text>
        <r>
          <rPr>
            <b/>
            <sz val="8"/>
            <color indexed="81"/>
            <rFont val="Tahoma"/>
            <family val="2"/>
          </rPr>
          <t xml:space="preserve">Default:
=(1.52*1018)/57000
0.0271466666666667
Updated from MN Extension Excel file "Farm machine estimates" for 30-ft presswheel drill where repairs are $1.52/acre times 1,018 acres per year divided by $57,000 value of implement.
</t>
        </r>
      </text>
    </comment>
    <comment ref="I345" authorId="1" shapeId="0">
      <text>
        <r>
          <rPr>
            <b/>
            <sz val="8"/>
            <color indexed="81"/>
            <rFont val="Tahoma"/>
            <family val="2"/>
          </rPr>
          <t xml:space="preserve">Default:
40%
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M345" authorId="3" shapeId="0">
      <text>
        <r>
          <rPr>
            <b/>
            <sz val="9"/>
            <color indexed="81"/>
            <rFont val="Tahoma"/>
            <family val="2"/>
          </rPr>
          <t>Assume default:
1</t>
        </r>
      </text>
    </comment>
    <comment ref="C346" authorId="2" shapeId="0">
      <text>
        <r>
          <rPr>
            <sz val="8"/>
            <color indexed="81"/>
            <rFont val="Tahoma"/>
            <family val="2"/>
          </rPr>
          <t>Use for silage and grain corn</t>
        </r>
      </text>
    </comment>
    <comment ref="D346" authorId="1" shapeId="0">
      <text>
        <r>
          <rPr>
            <sz val="8"/>
            <color indexed="81"/>
            <rFont val="Tahoma"/>
            <family val="2"/>
          </rPr>
          <t xml:space="preserve">Updated from MN Extension Excel file "Farm machine estimates" for 15-ft 6-row corn planterl.
Old value of $7,522 (=E213+(E213*$I$195)) if adjusted by PPI to convert from 2002 surveyed cost to 2010. </t>
        </r>
      </text>
    </comment>
    <comment ref="H346" authorId="1" shapeId="0">
      <text>
        <r>
          <rPr>
            <b/>
            <sz val="8"/>
            <color indexed="81"/>
            <rFont val="Tahoma"/>
            <family val="2"/>
          </rPr>
          <t>Old value of 2%</t>
        </r>
      </text>
    </comment>
    <comment ref="I346"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D347" authorId="1" shapeId="0">
      <text>
        <r>
          <rPr>
            <sz val="8"/>
            <color indexed="81"/>
            <rFont val="Tahoma"/>
            <family val="2"/>
          </rPr>
          <t xml:space="preserve">Assume same as grain drill.
Updated from MN Extension Excel file "Farm machine estimates" for 6-row potato planter.
Old value of $10,029 (=E214+(E214*$I$195)) if adjusted by PPI to convert from 2002 surveyed cost to 2010. </t>
        </r>
      </text>
    </comment>
    <comment ref="F347" authorId="5" shapeId="0">
      <text>
        <r>
          <rPr>
            <sz val="8"/>
            <color indexed="81"/>
            <rFont val="Tahoma"/>
            <family val="2"/>
          </rPr>
          <t>Assume 10 year useful life</t>
        </r>
      </text>
    </comment>
    <comment ref="G347" authorId="5" shapeId="0">
      <text>
        <r>
          <rPr>
            <sz val="8"/>
            <color indexed="81"/>
            <rFont val="Tahoma"/>
            <family val="2"/>
          </rPr>
          <t>Assume 10 year useful life</t>
        </r>
      </text>
    </comment>
    <comment ref="H347" authorId="1" shapeId="0">
      <text>
        <r>
          <rPr>
            <b/>
            <sz val="8"/>
            <color indexed="81"/>
            <rFont val="Tahoma"/>
            <family val="2"/>
          </rPr>
          <t>Old value of 2%</t>
        </r>
      </text>
    </comment>
    <comment ref="I347"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B348" authorId="3" shapeId="0">
      <text>
        <r>
          <rPr>
            <b/>
            <sz val="9"/>
            <color indexed="81"/>
            <rFont val="Tahoma"/>
            <family val="2"/>
          </rPr>
          <t>Old value of 1</t>
        </r>
      </text>
    </comment>
    <comment ref="D348" authorId="1" shapeId="0">
      <text>
        <r>
          <rPr>
            <sz val="8"/>
            <color indexed="81"/>
            <rFont val="Tahoma"/>
            <family val="2"/>
          </rPr>
          <t xml:space="preserve">Assume same as corn planter. 
Updated from MN Extension Excel file "Farm machine estimates" for 15-ft 6-row corn planterl.
Old value of $7,522 (=E215+(E215*$I$195)) if adjusted by PPI to convert from 2002 surveyed cost to 2010. </t>
        </r>
      </text>
    </comment>
    <comment ref="H348" authorId="1" shapeId="0">
      <text>
        <r>
          <rPr>
            <b/>
            <sz val="8"/>
            <color indexed="81"/>
            <rFont val="Tahoma"/>
            <family val="2"/>
          </rPr>
          <t>Old value of 2%</t>
        </r>
      </text>
    </comment>
    <comment ref="I348"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C349" authorId="2" shapeId="0">
      <text>
        <r>
          <rPr>
            <sz val="8"/>
            <color indexed="81"/>
            <rFont val="Tahoma"/>
            <family val="2"/>
          </rPr>
          <t>Use just for broccoli</t>
        </r>
      </text>
    </comment>
    <comment ref="D349" authorId="1" shapeId="0">
      <text>
        <r>
          <rPr>
            <sz val="8"/>
            <color indexed="81"/>
            <rFont val="Tahoma"/>
            <family val="2"/>
          </rPr>
          <t>From OR budget:
http://arec.oregonstate.edu/oaeb/files/pdf/AEB0003.pdf</t>
        </r>
      </text>
    </comment>
    <comment ref="H349" authorId="1" shapeId="0">
      <text>
        <r>
          <rPr>
            <b/>
            <sz val="8"/>
            <color indexed="81"/>
            <rFont val="Tahoma"/>
            <family val="2"/>
          </rPr>
          <t>Old value of 2%</t>
        </r>
      </text>
    </comment>
    <comment ref="I349" authorId="1" shapeId="0">
      <text>
        <r>
          <rPr>
            <b/>
            <sz val="8"/>
            <color indexed="81"/>
            <rFont val="Tahoma"/>
            <family val="2"/>
          </rPr>
          <t xml:space="preserve">From "Estimating Farm Machinery Costs" in Ag Decision Maker, File A3-29, prepared by William Edwards,
extension economist,
515-294-6161,
wedwards@iastate.edu
Use "Planter, Drill, Sprayer"
</t>
        </r>
        <r>
          <rPr>
            <sz val="8"/>
            <color indexed="81"/>
            <rFont val="Tahoma"/>
            <family val="2"/>
          </rPr>
          <t xml:space="preserve">
</t>
        </r>
      </text>
    </comment>
    <comment ref="E352" authorId="3" shapeId="0">
      <text>
        <r>
          <rPr>
            <b/>
            <sz val="9"/>
            <color indexed="81"/>
            <rFont val="Tahoma"/>
            <family val="2"/>
          </rPr>
          <t>Old value</t>
        </r>
      </text>
    </comment>
    <comment ref="F352" authorId="0" shapeId="0">
      <text>
        <r>
          <rPr>
            <sz val="8"/>
            <color indexed="81"/>
            <rFont val="Tahoma"/>
            <family val="2"/>
          </rPr>
          <t>Adjust useful life for remaining years left in life and change to 1 yr expected life if useful life has expired</t>
        </r>
      </text>
    </comment>
    <comment ref="G352" authorId="0" shapeId="0">
      <text>
        <r>
          <rPr>
            <sz val="8"/>
            <color indexed="81"/>
            <rFont val="Tahoma"/>
            <family val="2"/>
          </rPr>
          <t>Adjust useful life for remaining years left in life and change to 1 yr expected life if useful life has expired</t>
        </r>
      </text>
    </comment>
    <comment ref="B353" authorId="3" shapeId="0">
      <text>
        <r>
          <rPr>
            <b/>
            <sz val="9"/>
            <color indexed="81"/>
            <rFont val="Tahoma"/>
            <family val="2"/>
          </rPr>
          <t>Old value of 1</t>
        </r>
      </text>
    </comment>
    <comment ref="C353" authorId="0" shapeId="0">
      <text>
        <r>
          <rPr>
            <sz val="8"/>
            <color indexed="81"/>
            <rFont val="Tahoma"/>
            <family val="2"/>
          </rPr>
          <t>Use for all crops except haylage</t>
        </r>
      </text>
    </comment>
    <comment ref="D353" authorId="0" shapeId="0">
      <text>
        <r>
          <rPr>
            <b/>
            <sz val="8"/>
            <color indexed="81"/>
            <rFont val="Tahoma"/>
            <family val="2"/>
          </rPr>
          <t>Default:
21000
Updated from MN Extension Excel file "Farm machine estimates" for tractor mounted boom sprayer, 50 ft.
Old value of $30,714 (=E226+(E226*$I$195)) if adjusted by PPI to convert from 2002 surveyed cost to 2010. Assume same as conventional M/L sprayer.</t>
        </r>
      </text>
    </comment>
    <comment ref="E353" authorId="3" shapeId="0">
      <text>
        <r>
          <rPr>
            <b/>
            <sz val="9"/>
            <color indexed="81"/>
            <rFont val="Tahoma"/>
            <family val="2"/>
          </rPr>
          <t>Old value:
$24,500</t>
        </r>
      </text>
    </comment>
    <comment ref="G353" authorId="3" shapeId="0">
      <text>
        <r>
          <rPr>
            <b/>
            <sz val="9"/>
            <color indexed="81"/>
            <rFont val="Tahoma"/>
            <family val="2"/>
          </rPr>
          <t>Old value:
5
Assumed same as small</t>
        </r>
      </text>
    </comment>
    <comment ref="H353" authorId="1" shapeId="0">
      <text>
        <r>
          <rPr>
            <b/>
            <sz val="8"/>
            <color indexed="81"/>
            <rFont val="Tahoma"/>
            <family val="2"/>
          </rPr>
          <t>Default:
4.5%
Old value of 2%</t>
        </r>
      </text>
    </comment>
    <comment ref="I353" authorId="1" shapeId="0">
      <text>
        <r>
          <rPr>
            <b/>
            <sz val="8"/>
            <color indexed="81"/>
            <rFont val="Tahoma"/>
            <family val="2"/>
          </rPr>
          <t>Default:
50%
From "Estimating Farm Machinery Costs" in Ag Decision Maker, File A3-29, prepared by William Edwards,
extension economist,
515-294-6161,
wedwards@iastate.edu
Use "Planter, Drill, Sprayer"</t>
        </r>
        <r>
          <rPr>
            <sz val="8"/>
            <color indexed="81"/>
            <rFont val="Tahoma"/>
            <family val="2"/>
          </rPr>
          <t xml:space="preserve">
</t>
        </r>
      </text>
    </comment>
    <comment ref="M353" authorId="3" shapeId="0">
      <text>
        <r>
          <rPr>
            <b/>
            <sz val="9"/>
            <color indexed="81"/>
            <rFont val="Tahoma"/>
            <family val="2"/>
          </rPr>
          <t>Assume default:
1</t>
        </r>
      </text>
    </comment>
    <comment ref="B354" authorId="3" shapeId="0">
      <text>
        <r>
          <rPr>
            <b/>
            <sz val="9"/>
            <color indexed="81"/>
            <rFont val="Tahoma"/>
            <family val="2"/>
          </rPr>
          <t>Old value of 1</t>
        </r>
      </text>
    </comment>
    <comment ref="C354" authorId="0" shapeId="0">
      <text>
        <r>
          <rPr>
            <sz val="8"/>
            <color indexed="81"/>
            <rFont val="Tahoma"/>
            <family val="2"/>
          </rPr>
          <t>Use for all crops except haylage</t>
        </r>
      </text>
    </comment>
    <comment ref="D354" authorId="0" shapeId="0">
      <text>
        <r>
          <rPr>
            <b/>
            <sz val="8"/>
            <color indexed="81"/>
            <rFont val="Tahoma"/>
            <family val="2"/>
          </rPr>
          <t xml:space="preserve">Default:
45000
From MN Extension Excel file "Farm machine estimates" for 90-ft pull-type boom sprayer.
</t>
        </r>
      </text>
    </comment>
    <comment ref="E354" authorId="3" shapeId="0">
      <text>
        <r>
          <rPr>
            <b/>
            <sz val="9"/>
            <color indexed="81"/>
            <rFont val="Tahoma"/>
            <family val="2"/>
          </rPr>
          <t>Old value:
n/a</t>
        </r>
      </text>
    </comment>
    <comment ref="G354" authorId="3" shapeId="0">
      <text>
        <r>
          <rPr>
            <b/>
            <sz val="9"/>
            <color indexed="81"/>
            <rFont val="Tahoma"/>
            <family val="2"/>
          </rPr>
          <t>Old value:
5
Assumed same as small</t>
        </r>
      </text>
    </comment>
    <comment ref="H354" authorId="3" shapeId="0">
      <text>
        <r>
          <rPr>
            <b/>
            <sz val="9"/>
            <color indexed="81"/>
            <rFont val="Tahoma"/>
            <family val="2"/>
          </rPr>
          <t>Default:
4.5%
Assume same as small</t>
        </r>
      </text>
    </comment>
    <comment ref="I354" authorId="3" shapeId="0">
      <text>
        <r>
          <rPr>
            <b/>
            <sz val="9"/>
            <color indexed="81"/>
            <rFont val="Tahoma"/>
            <family val="2"/>
          </rPr>
          <t>Default:
50%
Assume same as small</t>
        </r>
      </text>
    </comment>
    <comment ref="M354" authorId="3" shapeId="0">
      <text>
        <r>
          <rPr>
            <b/>
            <sz val="9"/>
            <color indexed="81"/>
            <rFont val="Tahoma"/>
            <family val="2"/>
          </rPr>
          <t>Assume default:
1</t>
        </r>
      </text>
    </comment>
    <comment ref="B355" authorId="3" shapeId="0">
      <text>
        <r>
          <rPr>
            <b/>
            <sz val="9"/>
            <color indexed="81"/>
            <rFont val="Tahoma"/>
            <family val="2"/>
          </rPr>
          <t>Old value of 1</t>
        </r>
      </text>
    </comment>
    <comment ref="C355" authorId="0" shapeId="0">
      <text>
        <r>
          <rPr>
            <sz val="8"/>
            <color indexed="81"/>
            <rFont val="Tahoma"/>
            <family val="2"/>
          </rPr>
          <t>Use for all crops except haylage</t>
        </r>
      </text>
    </comment>
    <comment ref="D355" authorId="0" shapeId="0">
      <text>
        <r>
          <rPr>
            <b/>
            <sz val="8"/>
            <color indexed="81"/>
            <rFont val="Tahoma"/>
            <family val="2"/>
          </rPr>
          <t xml:space="preserve">Default:
234000
From MN Extension Excel file "Farm machine estimates" for 80-ft self-propelled boom sprayer.
</t>
        </r>
      </text>
    </comment>
    <comment ref="E355" authorId="3" shapeId="0">
      <text>
        <r>
          <rPr>
            <b/>
            <sz val="9"/>
            <color indexed="81"/>
            <rFont val="Tahoma"/>
            <family val="2"/>
          </rPr>
          <t>Old value:
n/a</t>
        </r>
      </text>
    </comment>
    <comment ref="G355" authorId="3" shapeId="0">
      <text>
        <r>
          <rPr>
            <b/>
            <sz val="9"/>
            <color indexed="81"/>
            <rFont val="Tahoma"/>
            <family val="2"/>
          </rPr>
          <t>Old value:
5
Assumed same as small</t>
        </r>
      </text>
    </comment>
    <comment ref="H355" authorId="3" shapeId="0">
      <text>
        <r>
          <rPr>
            <b/>
            <sz val="9"/>
            <color indexed="81"/>
            <rFont val="Tahoma"/>
            <family val="2"/>
          </rPr>
          <t>Default:
4.5%
Assume same as small</t>
        </r>
      </text>
    </comment>
    <comment ref="I355" authorId="3" shapeId="0">
      <text>
        <r>
          <rPr>
            <b/>
            <sz val="9"/>
            <color indexed="81"/>
            <rFont val="Tahoma"/>
            <family val="2"/>
          </rPr>
          <t>Default:
50%
Assume same as small</t>
        </r>
      </text>
    </comment>
    <comment ref="M355" authorId="3" shapeId="0">
      <text>
        <r>
          <rPr>
            <b/>
            <sz val="9"/>
            <color indexed="81"/>
            <rFont val="Tahoma"/>
            <family val="2"/>
          </rPr>
          <t>Assume default:
1</t>
        </r>
      </text>
    </comment>
    <comment ref="E358" authorId="3" shapeId="0">
      <text>
        <r>
          <rPr>
            <b/>
            <sz val="9"/>
            <color indexed="81"/>
            <rFont val="Tahoma"/>
            <family val="2"/>
          </rPr>
          <t>Old value</t>
        </r>
      </text>
    </comment>
    <comment ref="F358" authorId="0" shapeId="0">
      <text>
        <r>
          <rPr>
            <sz val="8"/>
            <color indexed="81"/>
            <rFont val="Tahoma"/>
            <family val="2"/>
          </rPr>
          <t>Adjust useful life for remaining years left in life and change to 1 yr expected life if useful life has expired</t>
        </r>
      </text>
    </comment>
    <comment ref="G358" authorId="0" shapeId="0">
      <text>
        <r>
          <rPr>
            <sz val="8"/>
            <color indexed="81"/>
            <rFont val="Tahoma"/>
            <family val="2"/>
          </rPr>
          <t>Adjust useful life for remaining years left in life and change to 1 yr expected life if useful life has expired</t>
        </r>
      </text>
    </comment>
    <comment ref="B359" authorId="1" shapeId="0">
      <text>
        <r>
          <rPr>
            <b/>
            <sz val="8"/>
            <color indexed="81"/>
            <rFont val="Tahoma"/>
            <family val="2"/>
          </rPr>
          <t>Old value of 4.
Older value of 8.</t>
        </r>
      </text>
    </comment>
    <comment ref="D359" authorId="1" shapeId="0">
      <text>
        <r>
          <rPr>
            <sz val="8"/>
            <color indexed="81"/>
            <rFont val="Tahoma"/>
            <family val="2"/>
          </rPr>
          <t xml:space="preserve">Adjusted by PPI to convert from 2002 surveyed cost to 2010. </t>
        </r>
      </text>
    </comment>
    <comment ref="E359" authorId="2" shapeId="0">
      <text>
        <r>
          <rPr>
            <sz val="8"/>
            <color indexed="81"/>
            <rFont val="Tahoma"/>
            <family val="2"/>
          </rPr>
          <t>Assume same as conventional medium/large potato farm</t>
        </r>
      </text>
    </comment>
    <comment ref="F359" authorId="2" shapeId="0">
      <text>
        <r>
          <rPr>
            <sz val="8"/>
            <color indexed="81"/>
            <rFont val="Tahoma"/>
            <family val="2"/>
          </rPr>
          <t>Assume 10 year useful life</t>
        </r>
      </text>
    </comment>
    <comment ref="G359" authorId="2" shapeId="0">
      <text>
        <r>
          <rPr>
            <sz val="8"/>
            <color indexed="81"/>
            <rFont val="Tahoma"/>
            <family val="2"/>
          </rPr>
          <t>Assume 10 year useful life</t>
        </r>
      </text>
    </comment>
    <comment ref="H359" authorId="1" shapeId="0">
      <text>
        <r>
          <rPr>
            <b/>
            <sz val="8"/>
            <color indexed="81"/>
            <rFont val="Tahoma"/>
            <family val="2"/>
          </rPr>
          <t>Old value of 1%</t>
        </r>
      </text>
    </comment>
    <comment ref="I359"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B360" authorId="1" shapeId="0">
      <text>
        <r>
          <rPr>
            <b/>
            <sz val="8"/>
            <color indexed="81"/>
            <rFont val="Tahoma"/>
            <family val="2"/>
          </rPr>
          <t>Old value of 3.
Older value of 6.</t>
        </r>
        <r>
          <rPr>
            <sz val="8"/>
            <color indexed="81"/>
            <rFont val="Tahoma"/>
            <family val="2"/>
          </rPr>
          <t xml:space="preserve">
</t>
        </r>
      </text>
    </comment>
    <comment ref="D360" authorId="1" shapeId="0">
      <text>
        <r>
          <rPr>
            <sz val="8"/>
            <color indexed="81"/>
            <rFont val="Tahoma"/>
            <family val="2"/>
          </rPr>
          <t xml:space="preserve">Adjusted by PPI to convert from 2002 surveyed cost to 2010. </t>
        </r>
      </text>
    </comment>
    <comment ref="E360" authorId="2" shapeId="0">
      <text>
        <r>
          <rPr>
            <sz val="8"/>
            <color indexed="81"/>
            <rFont val="Tahoma"/>
            <family val="2"/>
          </rPr>
          <t>Assume same as conventional medium/large potato farm</t>
        </r>
      </text>
    </comment>
    <comment ref="F360" authorId="2" shapeId="0">
      <text>
        <r>
          <rPr>
            <sz val="8"/>
            <color indexed="81"/>
            <rFont val="Tahoma"/>
            <family val="2"/>
          </rPr>
          <t>Assume 10 year useful life</t>
        </r>
      </text>
    </comment>
    <comment ref="G360" authorId="2" shapeId="0">
      <text>
        <r>
          <rPr>
            <sz val="8"/>
            <color indexed="81"/>
            <rFont val="Tahoma"/>
            <family val="2"/>
          </rPr>
          <t>Assume 10 year useful life</t>
        </r>
      </text>
    </comment>
    <comment ref="H360" authorId="1" shapeId="0">
      <text>
        <r>
          <rPr>
            <b/>
            <sz val="8"/>
            <color indexed="81"/>
            <rFont val="Tahoma"/>
            <family val="2"/>
          </rPr>
          <t>Old value of 1%</t>
        </r>
      </text>
    </comment>
    <comment ref="I360"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B361" authorId="1" shapeId="0">
      <text>
        <r>
          <rPr>
            <b/>
            <sz val="8"/>
            <color indexed="81"/>
            <rFont val="Tahoma"/>
            <family val="2"/>
          </rPr>
          <t>Old value of 2.
Older value of 3.</t>
        </r>
        <r>
          <rPr>
            <sz val="8"/>
            <color indexed="81"/>
            <rFont val="Tahoma"/>
            <family val="2"/>
          </rPr>
          <t xml:space="preserve">
</t>
        </r>
      </text>
    </comment>
    <comment ref="D361" authorId="1" shapeId="0">
      <text>
        <r>
          <rPr>
            <sz val="8"/>
            <color indexed="81"/>
            <rFont val="Tahoma"/>
            <family val="2"/>
          </rPr>
          <t xml:space="preserve">Adjusted by PPI to convert from 2002 surveyed cost to 2010. </t>
        </r>
      </text>
    </comment>
    <comment ref="E361" authorId="2" shapeId="0">
      <text>
        <r>
          <rPr>
            <sz val="8"/>
            <color indexed="81"/>
            <rFont val="Tahoma"/>
            <family val="2"/>
          </rPr>
          <t>Assume same as conventional medium/large potato farm</t>
        </r>
      </text>
    </comment>
    <comment ref="F361" authorId="2" shapeId="0">
      <text>
        <r>
          <rPr>
            <sz val="8"/>
            <color indexed="81"/>
            <rFont val="Tahoma"/>
            <family val="2"/>
          </rPr>
          <t>Assume 10 year useful life</t>
        </r>
      </text>
    </comment>
    <comment ref="G361" authorId="2" shapeId="0">
      <text>
        <r>
          <rPr>
            <sz val="8"/>
            <color indexed="81"/>
            <rFont val="Tahoma"/>
            <family val="2"/>
          </rPr>
          <t>Assume 10 year useful life</t>
        </r>
      </text>
    </comment>
    <comment ref="H361" authorId="1" shapeId="0">
      <text>
        <r>
          <rPr>
            <b/>
            <sz val="8"/>
            <color indexed="81"/>
            <rFont val="Tahoma"/>
            <family val="2"/>
          </rPr>
          <t>Old value of 1%</t>
        </r>
      </text>
    </comment>
    <comment ref="I361"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B362" authorId="1" shapeId="0">
      <text>
        <r>
          <rPr>
            <b/>
            <sz val="8"/>
            <color indexed="81"/>
            <rFont val="Tahoma"/>
            <family val="2"/>
          </rPr>
          <t>Old value or 1.
Older value of 2.</t>
        </r>
        <r>
          <rPr>
            <sz val="8"/>
            <color indexed="81"/>
            <rFont val="Tahoma"/>
            <family val="2"/>
          </rPr>
          <t xml:space="preserve">
</t>
        </r>
      </text>
    </comment>
    <comment ref="D362" authorId="1" shapeId="0">
      <text>
        <r>
          <rPr>
            <sz val="8"/>
            <color indexed="81"/>
            <rFont val="Tahoma"/>
            <family val="2"/>
          </rPr>
          <t xml:space="preserve">Adjusted by PPI to convert from 2002 surveyed cost to 2010. </t>
        </r>
      </text>
    </comment>
    <comment ref="E362" authorId="2" shapeId="0">
      <text>
        <r>
          <rPr>
            <sz val="8"/>
            <color indexed="81"/>
            <rFont val="Tahoma"/>
            <family val="2"/>
          </rPr>
          <t>Assume same as conventional medium/large potato farm</t>
        </r>
      </text>
    </comment>
    <comment ref="F362" authorId="2" shapeId="0">
      <text>
        <r>
          <rPr>
            <sz val="8"/>
            <color indexed="81"/>
            <rFont val="Tahoma"/>
            <family val="2"/>
          </rPr>
          <t>Assume 10 year useful life</t>
        </r>
      </text>
    </comment>
    <comment ref="G362" authorId="2" shapeId="0">
      <text>
        <r>
          <rPr>
            <sz val="8"/>
            <color indexed="81"/>
            <rFont val="Tahoma"/>
            <family val="2"/>
          </rPr>
          <t>Assume 10 year useful life</t>
        </r>
      </text>
    </comment>
    <comment ref="H362" authorId="1" shapeId="0">
      <text>
        <r>
          <rPr>
            <b/>
            <sz val="8"/>
            <color indexed="81"/>
            <rFont val="Tahoma"/>
            <family val="2"/>
          </rPr>
          <t>Old value of 1%</t>
        </r>
      </text>
    </comment>
    <comment ref="I362"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B363" authorId="1" shapeId="0">
      <text>
        <r>
          <rPr>
            <b/>
            <sz val="8"/>
            <color indexed="81"/>
            <rFont val="Tahoma"/>
            <family val="2"/>
          </rPr>
          <t>Old value or 1.
Older value of 2.</t>
        </r>
        <r>
          <rPr>
            <sz val="8"/>
            <color indexed="81"/>
            <rFont val="Tahoma"/>
            <family val="2"/>
          </rPr>
          <t xml:space="preserve">
</t>
        </r>
      </text>
    </comment>
    <comment ref="D363" authorId="1" shapeId="0">
      <text>
        <r>
          <rPr>
            <sz val="8"/>
            <color indexed="81"/>
            <rFont val="Tahoma"/>
            <family val="2"/>
          </rPr>
          <t xml:space="preserve">Adjusted by PPI to convert from 2002 surveyed cost to 2010. </t>
        </r>
      </text>
    </comment>
    <comment ref="E363" authorId="2" shapeId="0">
      <text>
        <r>
          <rPr>
            <sz val="8"/>
            <color indexed="81"/>
            <rFont val="Tahoma"/>
            <family val="2"/>
          </rPr>
          <t>Assume same as conventional medium/large potato farm</t>
        </r>
      </text>
    </comment>
    <comment ref="F363" authorId="2" shapeId="0">
      <text>
        <r>
          <rPr>
            <sz val="8"/>
            <color indexed="81"/>
            <rFont val="Tahoma"/>
            <family val="2"/>
          </rPr>
          <t>Assume 10 year useful life</t>
        </r>
      </text>
    </comment>
    <comment ref="G363" authorId="2" shapeId="0">
      <text>
        <r>
          <rPr>
            <sz val="8"/>
            <color indexed="81"/>
            <rFont val="Tahoma"/>
            <family val="2"/>
          </rPr>
          <t>Assume 10 year useful life</t>
        </r>
      </text>
    </comment>
    <comment ref="H363" authorId="1" shapeId="0">
      <text>
        <r>
          <rPr>
            <b/>
            <sz val="8"/>
            <color indexed="81"/>
            <rFont val="Tahoma"/>
            <family val="2"/>
          </rPr>
          <t>Old value of 1%</t>
        </r>
      </text>
    </comment>
    <comment ref="I363"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E366" authorId="3" shapeId="0">
      <text>
        <r>
          <rPr>
            <b/>
            <sz val="9"/>
            <color indexed="81"/>
            <rFont val="Tahoma"/>
            <family val="2"/>
          </rPr>
          <t>Old value</t>
        </r>
      </text>
    </comment>
    <comment ref="F366" authorId="0" shapeId="0">
      <text>
        <r>
          <rPr>
            <sz val="8"/>
            <color indexed="81"/>
            <rFont val="Tahoma"/>
            <family val="2"/>
          </rPr>
          <t>Adjust useful life for remaining years left in life and change to 1 yr expected life if useful life has expired</t>
        </r>
      </text>
    </comment>
    <comment ref="G366" authorId="0" shapeId="0">
      <text>
        <r>
          <rPr>
            <sz val="8"/>
            <color indexed="81"/>
            <rFont val="Tahoma"/>
            <family val="2"/>
          </rPr>
          <t>Adjust useful life for remaining years left in life and change to 1 yr expected life if useful life has expired</t>
        </r>
      </text>
    </comment>
    <comment ref="D367" authorId="1" shapeId="0">
      <text>
        <r>
          <rPr>
            <sz val="8"/>
            <color indexed="81"/>
            <rFont val="Tahoma"/>
            <family val="2"/>
          </rPr>
          <t xml:space="preserve">Updated from MN Extension Excel file "Farm machine estimates" for potato harvester, 2 row.
Old value of $106,559 (=E236+(E236*$I$195)) if adjusted by PPI to convert from 2002 surveyed cost to 2010. </t>
        </r>
      </text>
    </comment>
    <comment ref="E367" authorId="0" shapeId="0">
      <text>
        <r>
          <rPr>
            <sz val="8"/>
            <color indexed="81"/>
            <rFont val="Tahoma"/>
            <family val="2"/>
          </rPr>
          <t>Assume same as conventional potato M/L.  Old value of $64,373 is average from two cooperating potato farmers.</t>
        </r>
      </text>
    </comment>
    <comment ref="H367" authorId="1" shapeId="0">
      <text>
        <r>
          <rPr>
            <b/>
            <sz val="8"/>
            <color indexed="81"/>
            <rFont val="Tahoma"/>
            <family val="2"/>
          </rPr>
          <t>Old value of 2%</t>
        </r>
      </text>
    </comment>
    <comment ref="I367"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B368" authorId="3" shapeId="0">
      <text>
        <r>
          <rPr>
            <b/>
            <sz val="9"/>
            <color indexed="81"/>
            <rFont val="Tahoma"/>
            <family val="2"/>
          </rPr>
          <t>Old value of 2.</t>
        </r>
      </text>
    </comment>
    <comment ref="D368" authorId="1" shapeId="0">
      <text>
        <r>
          <rPr>
            <sz val="8"/>
            <color indexed="81"/>
            <rFont val="Tahoma"/>
            <family val="2"/>
          </rPr>
          <t xml:space="preserve">Adjusted by PPI to convert from 2002 surveyed cost to 2010. </t>
        </r>
      </text>
    </comment>
    <comment ref="E368" authorId="0" shapeId="0">
      <text>
        <r>
          <rPr>
            <sz val="8"/>
            <color indexed="81"/>
            <rFont val="Tahoma"/>
            <family val="2"/>
          </rPr>
          <t>Assume same as conventional potato M/L.  Old value of $38,693 is average from two cooperating potato farmers.</t>
        </r>
      </text>
    </comment>
    <comment ref="H368" authorId="1" shapeId="0">
      <text>
        <r>
          <rPr>
            <b/>
            <sz val="8"/>
            <color indexed="81"/>
            <rFont val="Tahoma"/>
            <family val="2"/>
          </rPr>
          <t>Old value of 2%</t>
        </r>
      </text>
    </comment>
    <comment ref="I368"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C369" authorId="2" shapeId="0">
      <text>
        <r>
          <rPr>
            <sz val="8"/>
            <color indexed="81"/>
            <rFont val="Tahoma"/>
            <family val="2"/>
          </rPr>
          <t>Use to mow grazing pasture</t>
        </r>
      </text>
    </comment>
    <comment ref="D369" authorId="1" shapeId="0">
      <text>
        <r>
          <rPr>
            <sz val="8"/>
            <color indexed="81"/>
            <rFont val="Tahoma"/>
            <family val="2"/>
          </rPr>
          <t xml:space="preserve">Not updated from MN Extension Excel file "Farm machine estimates" since only $4000 for rotary hay mower 6 ft.
Adjusted by PPI to convert from 2002 surveyed cost to 2010. </t>
        </r>
      </text>
    </comment>
    <comment ref="E369" authorId="2" shapeId="0">
      <text>
        <r>
          <rPr>
            <sz val="8"/>
            <color indexed="81"/>
            <rFont val="Tahoma"/>
            <family val="2"/>
          </rPr>
          <t>Assume same as conventional small dairy</t>
        </r>
      </text>
    </comment>
    <comment ref="H369" authorId="1" shapeId="0">
      <text>
        <r>
          <rPr>
            <b/>
            <sz val="8"/>
            <color indexed="81"/>
            <rFont val="Tahoma"/>
            <family val="2"/>
          </rPr>
          <t>Old value of 2%</t>
        </r>
      </text>
    </comment>
    <comment ref="I369" authorId="1" shapeId="0">
      <text>
        <r>
          <rPr>
            <b/>
            <sz val="8"/>
            <color indexed="81"/>
            <rFont val="Tahoma"/>
            <family val="2"/>
          </rPr>
          <t>From "Estimating Farm Machinery Costs" in Ag Decision Maker, File A3-29, prepared by William Edwards,
extension economist,
515-294-6161,
wedwards@iastate.edu
Use "Mower, Chopper"</t>
        </r>
        <r>
          <rPr>
            <sz val="8"/>
            <color indexed="81"/>
            <rFont val="Tahoma"/>
            <family val="2"/>
          </rPr>
          <t xml:space="preserve">
</t>
        </r>
      </text>
    </comment>
    <comment ref="C370" authorId="2" shapeId="0">
      <text>
        <r>
          <rPr>
            <sz val="8"/>
            <color indexed="81"/>
            <rFont val="Tahoma"/>
            <family val="2"/>
          </rPr>
          <t>Use for alfalfa and haylage</t>
        </r>
      </text>
    </comment>
    <comment ref="D370" authorId="1" shapeId="0">
      <text>
        <r>
          <rPr>
            <sz val="8"/>
            <color indexed="81"/>
            <rFont val="Tahoma"/>
            <family val="2"/>
          </rPr>
          <t xml:space="preserve">Updated from MN Extension Excel file "Farm machine estimates" for mower-conditioner, 9 ft.
Old value of $18,805 (=E239+(E239*$I$195)) if adjusted by PPI to convert from 2002 surveyed cost to 2010. </t>
        </r>
      </text>
    </comment>
    <comment ref="H370" authorId="1" shapeId="0">
      <text>
        <r>
          <rPr>
            <b/>
            <sz val="8"/>
            <color indexed="81"/>
            <rFont val="Tahoma"/>
            <family val="2"/>
          </rPr>
          <t>Old value of 2%</t>
        </r>
      </text>
    </comment>
    <comment ref="I370" authorId="1" shapeId="0">
      <text>
        <r>
          <rPr>
            <b/>
            <sz val="8"/>
            <color indexed="81"/>
            <rFont val="Tahoma"/>
            <family val="2"/>
          </rPr>
          <t xml:space="preserve">From "Estimating Farm Machinery Costs" in Ag Decision Maker, File A3-29, prepared by William Edwards,
extension economist,
515-294-6161,
wedwards@iastate.edu
Use "Mower, Chopper"
</t>
        </r>
        <r>
          <rPr>
            <sz val="8"/>
            <color indexed="81"/>
            <rFont val="Tahoma"/>
            <family val="2"/>
          </rPr>
          <t xml:space="preserve">
</t>
        </r>
      </text>
    </comment>
    <comment ref="B371" authorId="1" shapeId="0">
      <text>
        <r>
          <rPr>
            <sz val="8"/>
            <color indexed="81"/>
            <rFont val="Tahoma"/>
            <family val="2"/>
          </rPr>
          <t>Old value for medium of 1</t>
        </r>
      </text>
    </comment>
    <comment ref="C371" authorId="2" shapeId="0">
      <text>
        <r>
          <rPr>
            <sz val="8"/>
            <color indexed="81"/>
            <rFont val="Tahoma"/>
            <family val="2"/>
          </rPr>
          <t>Use for both corn silage and haylage</t>
        </r>
      </text>
    </comment>
    <comment ref="D371" authorId="0" shapeId="0">
      <text>
        <r>
          <rPr>
            <sz val="8"/>
            <color indexed="81"/>
            <rFont val="Tahoma"/>
            <family val="2"/>
          </rPr>
          <t>Updated from MN Extension Excel file "Farm machine estimates" for 570 hp forage harvester.
Old value of $25,073 (=E240+(E240*$I$195)) if adjusted by PPI to convert from 2002 surveyed cost to 2010. Assume $20,000 for chopper.</t>
        </r>
      </text>
    </comment>
    <comment ref="E371" authorId="1" shapeId="0">
      <text>
        <r>
          <rPr>
            <sz val="8"/>
            <color indexed="81"/>
            <rFont val="Tahoma"/>
            <family val="2"/>
          </rPr>
          <t>Assume this.</t>
        </r>
      </text>
    </comment>
    <comment ref="H371" authorId="1" shapeId="0">
      <text>
        <r>
          <rPr>
            <b/>
            <sz val="8"/>
            <color indexed="81"/>
            <rFont val="Tahoma"/>
            <family val="2"/>
          </rPr>
          <t>Old value of 2%</t>
        </r>
      </text>
    </comment>
    <comment ref="I371" authorId="1" shapeId="0">
      <text>
        <r>
          <rPr>
            <b/>
            <sz val="8"/>
            <color indexed="81"/>
            <rFont val="Tahoma"/>
            <family val="2"/>
          </rPr>
          <t>From "Estimating Farm Machinery Costs" in Ag Decision Maker, File A3-29, prepared by William Edwards,
extension economist,
515-294-6161,
wedwards@iastate.edu
Use "Mower, Chopper"</t>
        </r>
        <r>
          <rPr>
            <sz val="8"/>
            <color indexed="81"/>
            <rFont val="Tahoma"/>
            <family val="2"/>
          </rPr>
          <t xml:space="preserve">
</t>
        </r>
      </text>
    </comment>
    <comment ref="C372" authorId="2" shapeId="0">
      <text>
        <r>
          <rPr>
            <sz val="8"/>
            <color indexed="81"/>
            <rFont val="Tahoma"/>
            <family val="2"/>
          </rPr>
          <t>Use for both corn silage and haylage</t>
        </r>
      </text>
    </comment>
    <comment ref="D372" authorId="0" shapeId="0">
      <text>
        <r>
          <rPr>
            <sz val="8"/>
            <color indexed="81"/>
            <rFont val="Tahoma"/>
            <family val="2"/>
          </rPr>
          <t>Updated from MN Extension Excel file "Farm machine estimates" for pickup head for12 ft pick-up head for 105 HP tractor.
Old value of $25,073 (=E240+(E240*$I$195)) if adjusted by PPI to convert from 2002 surveyed cost to 2010. Assume $20,000 for chopper.</t>
        </r>
      </text>
    </comment>
    <comment ref="H372" authorId="1" shapeId="0">
      <text>
        <r>
          <rPr>
            <b/>
            <sz val="8"/>
            <color indexed="81"/>
            <rFont val="Tahoma"/>
            <family val="2"/>
          </rPr>
          <t>Old value of 2%</t>
        </r>
      </text>
    </comment>
    <comment ref="I372" authorId="1" shapeId="0">
      <text>
        <r>
          <rPr>
            <b/>
            <sz val="8"/>
            <color indexed="81"/>
            <rFont val="Tahoma"/>
            <family val="2"/>
          </rPr>
          <t>From "Estimating Farm Machinery Costs" in Ag Decision Maker, File A3-29, prepared by William Edwards,
extension economist,
515-294-6161,
wedwards@iastate.edu
Use "Mower, Chopper"</t>
        </r>
        <r>
          <rPr>
            <sz val="8"/>
            <color indexed="81"/>
            <rFont val="Tahoma"/>
            <family val="2"/>
          </rPr>
          <t xml:space="preserve">
</t>
        </r>
      </text>
    </comment>
    <comment ref="C373" authorId="2" shapeId="0">
      <text>
        <r>
          <rPr>
            <sz val="8"/>
            <color indexed="81"/>
            <rFont val="Tahoma"/>
            <family val="2"/>
          </rPr>
          <t>Use for both corn silage and haylage</t>
        </r>
      </text>
    </comment>
    <comment ref="D373" authorId="0" shapeId="0">
      <text>
        <r>
          <rPr>
            <sz val="8"/>
            <color indexed="81"/>
            <rFont val="Tahoma"/>
            <family val="2"/>
          </rPr>
          <t>Updated from MN Extension Excel file "Farm machine estimates" for corn head 2 Row, 5 ft for105 HP tractor.
Old value of $25,073 (=E240+(E240*$I$195)) if adjusted by PPI to convert from 2002 surveyed cost to 2010. Assume $20,000 for chopper.</t>
        </r>
      </text>
    </comment>
    <comment ref="H373" authorId="1" shapeId="0">
      <text>
        <r>
          <rPr>
            <b/>
            <sz val="8"/>
            <color indexed="81"/>
            <rFont val="Tahoma"/>
            <family val="2"/>
          </rPr>
          <t>Old value of 2%</t>
        </r>
      </text>
    </comment>
    <comment ref="I373" authorId="1" shapeId="0">
      <text>
        <r>
          <rPr>
            <b/>
            <sz val="8"/>
            <color indexed="81"/>
            <rFont val="Tahoma"/>
            <family val="2"/>
          </rPr>
          <t>From "Estimating Farm Machinery Costs" in Ag Decision Maker, File A3-29, prepared by William Edwards,
extension economist,
515-294-6161,
wedwards@iastate.edu
Use "Mower, Chopper"</t>
        </r>
        <r>
          <rPr>
            <sz val="8"/>
            <color indexed="81"/>
            <rFont val="Tahoma"/>
            <family val="2"/>
          </rPr>
          <t xml:space="preserve">
</t>
        </r>
      </text>
    </comment>
    <comment ref="D374" authorId="1" shapeId="0">
      <text>
        <r>
          <rPr>
            <sz val="8"/>
            <color indexed="81"/>
            <rFont val="Tahoma"/>
            <family val="2"/>
          </rPr>
          <t xml:space="preserve">Assume half of rake.
Updated from MN Extension Excel file "Farm machine estimates" for hay rake (wheel, 2-16') 30 ft.
Old value of $3,761 (=E241+(E241*$I$195)) if adjusted by PPI to convert from 2002 surveyed cost to 2010.  </t>
        </r>
      </text>
    </comment>
    <comment ref="E374" authorId="1" shapeId="0">
      <text>
        <r>
          <rPr>
            <sz val="8"/>
            <color indexed="81"/>
            <rFont val="Tahoma"/>
            <family val="2"/>
          </rPr>
          <t>Assume worth $3000.</t>
        </r>
      </text>
    </comment>
    <comment ref="H374" authorId="1" shapeId="0">
      <text>
        <r>
          <rPr>
            <b/>
            <sz val="8"/>
            <color indexed="81"/>
            <rFont val="Tahoma"/>
            <family val="2"/>
          </rPr>
          <t>Old value of 2%</t>
        </r>
      </text>
    </comment>
    <comment ref="I374" authorId="1" shapeId="0">
      <text>
        <r>
          <rPr>
            <b/>
            <sz val="8"/>
            <color indexed="81"/>
            <rFont val="Tahoma"/>
            <family val="2"/>
          </rPr>
          <t>From "Estimating Farm Machinery Costs" in Ag Decision Maker, File A3-29, prepared by William Edwards,
extension economist,
515-294-6161,
wedwards@iastate.edu
Use "Swather, Raker"</t>
        </r>
        <r>
          <rPr>
            <sz val="8"/>
            <color indexed="81"/>
            <rFont val="Tahoma"/>
            <family val="2"/>
          </rPr>
          <t xml:space="preserve">
</t>
        </r>
      </text>
    </comment>
    <comment ref="L374" authorId="1" shapeId="0">
      <text>
        <r>
          <rPr>
            <b/>
            <sz val="8"/>
            <color indexed="81"/>
            <rFont val="Tahoma"/>
            <family val="2"/>
          </rPr>
          <t>Assume same as rake</t>
        </r>
      </text>
    </comment>
    <comment ref="D375" authorId="1" shapeId="0">
      <text>
        <r>
          <rPr>
            <b/>
            <sz val="8"/>
            <color indexed="81"/>
            <rFont val="Tahoma"/>
            <family val="2"/>
          </rPr>
          <t>From cooperating farmer</t>
        </r>
      </text>
    </comment>
    <comment ref="F375" authorId="3" shapeId="0">
      <text>
        <r>
          <rPr>
            <b/>
            <sz val="9"/>
            <color indexed="81"/>
            <rFont val="Tahoma"/>
            <family val="2"/>
          </rPr>
          <t xml:space="preserve">Changed to go off CP worksheet
</t>
        </r>
      </text>
    </comment>
    <comment ref="G375" authorId="3" shapeId="0">
      <text>
        <r>
          <rPr>
            <b/>
            <sz val="9"/>
            <color indexed="81"/>
            <rFont val="Tahoma"/>
            <family val="2"/>
          </rPr>
          <t>Old value:
10</t>
        </r>
      </text>
    </comment>
    <comment ref="H375" authorId="1" shapeId="0">
      <text>
        <r>
          <rPr>
            <b/>
            <sz val="8"/>
            <color indexed="81"/>
            <rFont val="Tahoma"/>
            <family val="2"/>
          </rPr>
          <t>Assume same as combine</t>
        </r>
      </text>
    </comment>
    <comment ref="I375" authorId="1" shapeId="0">
      <text>
        <r>
          <rPr>
            <b/>
            <sz val="8"/>
            <color indexed="81"/>
            <rFont val="Tahoma"/>
            <family val="2"/>
          </rPr>
          <t>Assume same as combine</t>
        </r>
      </text>
    </comment>
    <comment ref="M375" authorId="3" shapeId="0">
      <text>
        <r>
          <rPr>
            <b/>
            <sz val="9"/>
            <color indexed="81"/>
            <rFont val="Tahoma"/>
            <family val="2"/>
          </rPr>
          <t>Assume default:
1</t>
        </r>
      </text>
    </comment>
    <comment ref="D376" authorId="1" shapeId="0">
      <text>
        <r>
          <rPr>
            <b/>
            <sz val="8"/>
            <color indexed="81"/>
            <rFont val="Tahoma"/>
            <family val="2"/>
          </rPr>
          <t>From cooperating farmer</t>
        </r>
      </text>
    </comment>
    <comment ref="F376" authorId="3" shapeId="0">
      <text>
        <r>
          <rPr>
            <b/>
            <sz val="9"/>
            <color indexed="81"/>
            <rFont val="Tahoma"/>
            <family val="2"/>
          </rPr>
          <t xml:space="preserve">Changed to go off CP worksheet
</t>
        </r>
      </text>
    </comment>
    <comment ref="G376" authorId="3" shapeId="0">
      <text>
        <r>
          <rPr>
            <b/>
            <sz val="9"/>
            <color indexed="81"/>
            <rFont val="Tahoma"/>
            <family val="2"/>
          </rPr>
          <t>Old value:
10</t>
        </r>
      </text>
    </comment>
    <comment ref="H376" authorId="1" shapeId="0">
      <text>
        <r>
          <rPr>
            <b/>
            <sz val="8"/>
            <color indexed="81"/>
            <rFont val="Tahoma"/>
            <family val="2"/>
          </rPr>
          <t>Assume same as combine</t>
        </r>
      </text>
    </comment>
    <comment ref="I376" authorId="1" shapeId="0">
      <text>
        <r>
          <rPr>
            <b/>
            <sz val="8"/>
            <color indexed="81"/>
            <rFont val="Tahoma"/>
            <family val="2"/>
          </rPr>
          <t>Assume same as combine</t>
        </r>
      </text>
    </comment>
    <comment ref="M376" authorId="3" shapeId="0">
      <text>
        <r>
          <rPr>
            <b/>
            <sz val="9"/>
            <color indexed="81"/>
            <rFont val="Tahoma"/>
            <family val="2"/>
          </rPr>
          <t>Assume default:
1</t>
        </r>
      </text>
    </comment>
    <comment ref="D377" authorId="1" shapeId="0">
      <text>
        <r>
          <rPr>
            <b/>
            <sz val="8"/>
            <color indexed="81"/>
            <rFont val="Tahoma"/>
            <family val="2"/>
          </rPr>
          <t>From cooperating farmer</t>
        </r>
      </text>
    </comment>
    <comment ref="F377" authorId="3" shapeId="0">
      <text>
        <r>
          <rPr>
            <b/>
            <sz val="9"/>
            <color indexed="81"/>
            <rFont val="Tahoma"/>
            <family val="2"/>
          </rPr>
          <t xml:space="preserve">Changed to go off CP worksheet
</t>
        </r>
      </text>
    </comment>
    <comment ref="G377" authorId="3" shapeId="0">
      <text>
        <r>
          <rPr>
            <b/>
            <sz val="9"/>
            <color indexed="81"/>
            <rFont val="Tahoma"/>
            <family val="2"/>
          </rPr>
          <t>Old value:
10</t>
        </r>
      </text>
    </comment>
    <comment ref="H377" authorId="1" shapeId="0">
      <text>
        <r>
          <rPr>
            <b/>
            <sz val="8"/>
            <color indexed="81"/>
            <rFont val="Tahoma"/>
            <family val="2"/>
          </rPr>
          <t>Assume same as combine</t>
        </r>
      </text>
    </comment>
    <comment ref="I377" authorId="1" shapeId="0">
      <text>
        <r>
          <rPr>
            <b/>
            <sz val="8"/>
            <color indexed="81"/>
            <rFont val="Tahoma"/>
            <family val="2"/>
          </rPr>
          <t>Assume same as combine</t>
        </r>
      </text>
    </comment>
    <comment ref="M377" authorId="3" shapeId="0">
      <text>
        <r>
          <rPr>
            <b/>
            <sz val="9"/>
            <color indexed="81"/>
            <rFont val="Tahoma"/>
            <family val="2"/>
          </rPr>
          <t>Assume default:
1</t>
        </r>
      </text>
    </comment>
    <comment ref="D378" authorId="1" shapeId="0">
      <text>
        <r>
          <rPr>
            <b/>
            <sz val="8"/>
            <color indexed="81"/>
            <rFont val="Tahoma"/>
            <family val="2"/>
          </rPr>
          <t xml:space="preserve">Updated from MN Extension Excel file "Farm machine estimates" for hay rake 9 ft.
Old value of $1,254 (=E242+(E242*$I$195)) if adjusted by PPI to convert from 2002 surveyed cost to 2010. </t>
        </r>
      </text>
    </comment>
    <comment ref="E378" authorId="2" shapeId="0">
      <text>
        <r>
          <rPr>
            <sz val="8"/>
            <color indexed="81"/>
            <rFont val="Tahoma"/>
            <family val="2"/>
          </rPr>
          <t>Assume worth $1000.</t>
        </r>
      </text>
    </comment>
    <comment ref="F378" authorId="3" shapeId="0">
      <text>
        <r>
          <rPr>
            <b/>
            <sz val="9"/>
            <color indexed="81"/>
            <rFont val="Tahoma"/>
            <family val="2"/>
          </rPr>
          <t xml:space="preserve">Changed to go off CP worksheet
</t>
        </r>
      </text>
    </comment>
    <comment ref="G378" authorId="3" shapeId="0">
      <text>
        <r>
          <rPr>
            <b/>
            <sz val="9"/>
            <color indexed="81"/>
            <rFont val="Tahoma"/>
            <family val="2"/>
          </rPr>
          <t>Old value:
10</t>
        </r>
      </text>
    </comment>
    <comment ref="H378" authorId="1" shapeId="0">
      <text>
        <r>
          <rPr>
            <b/>
            <sz val="8"/>
            <color indexed="81"/>
            <rFont val="Tahoma"/>
            <family val="2"/>
          </rPr>
          <t>Old value of 2%</t>
        </r>
      </text>
    </comment>
    <comment ref="I378" authorId="1" shapeId="0">
      <text>
        <r>
          <rPr>
            <b/>
            <sz val="8"/>
            <color indexed="81"/>
            <rFont val="Tahoma"/>
            <family val="2"/>
          </rPr>
          <t>From "Estimating Farm Machinery Costs" in Ag Decision Maker, File A3-29, prepared by William Edwards,
extension economist,
515-294-6161,
wedwards@iastate.edu
Use "Swather, Raker"</t>
        </r>
        <r>
          <rPr>
            <sz val="8"/>
            <color indexed="81"/>
            <rFont val="Tahoma"/>
            <family val="2"/>
          </rPr>
          <t xml:space="preserve">
</t>
        </r>
      </text>
    </comment>
    <comment ref="M378" authorId="3" shapeId="0">
      <text>
        <r>
          <rPr>
            <b/>
            <sz val="9"/>
            <color indexed="81"/>
            <rFont val="Tahoma"/>
            <family val="2"/>
          </rPr>
          <t>Assume default:
1</t>
        </r>
      </text>
    </comment>
    <comment ref="D379" authorId="1" shapeId="0">
      <text>
        <r>
          <rPr>
            <b/>
            <sz val="8"/>
            <color indexed="81"/>
            <rFont val="Tahoma"/>
            <family val="2"/>
          </rPr>
          <t>Updated from MN Extension Excel file "Farm machine estimates" for round baler 1000 lb, 20 ft.
Old value of $6,268 (=E243+(E243*$I$195)) if adjusted by PPI to convert from 2002 surveyed cost to 2010. 
Assume 75% of medium model value.</t>
        </r>
      </text>
    </comment>
    <comment ref="F379" authorId="3" shapeId="0">
      <text>
        <r>
          <rPr>
            <b/>
            <sz val="9"/>
            <color indexed="81"/>
            <rFont val="Tahoma"/>
            <family val="2"/>
          </rPr>
          <t xml:space="preserve">Changed to go off CP worksheet
</t>
        </r>
      </text>
    </comment>
    <comment ref="G379" authorId="3" shapeId="0">
      <text>
        <r>
          <rPr>
            <b/>
            <sz val="9"/>
            <color indexed="81"/>
            <rFont val="Tahoma"/>
            <family val="2"/>
          </rPr>
          <t>Old value:
8</t>
        </r>
      </text>
    </comment>
    <comment ref="H379" authorId="1" shapeId="0">
      <text>
        <r>
          <rPr>
            <b/>
            <sz val="8"/>
            <color indexed="81"/>
            <rFont val="Tahoma"/>
            <family val="2"/>
          </rPr>
          <t>Old value of 2%</t>
        </r>
      </text>
    </comment>
    <comment ref="I379" authorId="1" shapeId="0">
      <text>
        <r>
          <rPr>
            <b/>
            <sz val="8"/>
            <color indexed="81"/>
            <rFont val="Tahoma"/>
            <family val="2"/>
          </rPr>
          <t>From "Estimating Farm Machinery Costs" in Ag Decision Maker, File A3-29, prepared by William Edwards,
extension economist,
515-294-6161,
wedwards@iastate.edu
Use "Baler"</t>
        </r>
        <r>
          <rPr>
            <sz val="8"/>
            <color indexed="81"/>
            <rFont val="Tahoma"/>
            <family val="2"/>
          </rPr>
          <t xml:space="preserve">
</t>
        </r>
      </text>
    </comment>
    <comment ref="M379" authorId="3" shapeId="0">
      <text>
        <r>
          <rPr>
            <b/>
            <sz val="9"/>
            <color indexed="81"/>
            <rFont val="Tahoma"/>
            <family val="2"/>
          </rPr>
          <t>Assume default:
1</t>
        </r>
      </text>
    </comment>
    <comment ref="D380" authorId="1" shapeId="0">
      <text>
        <r>
          <rPr>
            <b/>
            <sz val="8"/>
            <color indexed="81"/>
            <rFont val="Tahoma"/>
            <family val="2"/>
          </rPr>
          <t>Updated from MN Extension Excel file "Farm machine estimates" for hay baler PTO twine 12 ft.
Old value fo $4,388 (=E244+(E244*$I$195)) if adjusted by PPI to convert from 2002 surveyed cost to 2010. 
Assume 75% of medium model value.</t>
        </r>
      </text>
    </comment>
    <comment ref="F380" authorId="3" shapeId="0">
      <text>
        <r>
          <rPr>
            <b/>
            <sz val="9"/>
            <color indexed="81"/>
            <rFont val="Tahoma"/>
            <family val="2"/>
          </rPr>
          <t xml:space="preserve">Changed to go off CP worksheet
</t>
        </r>
      </text>
    </comment>
    <comment ref="G380" authorId="3" shapeId="0">
      <text>
        <r>
          <rPr>
            <b/>
            <sz val="9"/>
            <color indexed="81"/>
            <rFont val="Tahoma"/>
            <family val="2"/>
          </rPr>
          <t>Old value:
8</t>
        </r>
      </text>
    </comment>
    <comment ref="H380" authorId="1" shapeId="0">
      <text>
        <r>
          <rPr>
            <b/>
            <sz val="8"/>
            <color indexed="81"/>
            <rFont val="Tahoma"/>
            <family val="2"/>
          </rPr>
          <t>Old value of 2%</t>
        </r>
      </text>
    </comment>
    <comment ref="I380" authorId="1" shapeId="0">
      <text>
        <r>
          <rPr>
            <b/>
            <sz val="8"/>
            <color indexed="81"/>
            <rFont val="Tahoma"/>
            <family val="2"/>
          </rPr>
          <t>From "Estimating Farm Machinery Costs" in Ag Decision Maker, File A3-29, prepared by William Edwards,
extension economist,
515-294-6161,
wedwards@iastate.edu
Use "Baler"</t>
        </r>
        <r>
          <rPr>
            <sz val="8"/>
            <color indexed="81"/>
            <rFont val="Tahoma"/>
            <family val="2"/>
          </rPr>
          <t xml:space="preserve">
</t>
        </r>
      </text>
    </comment>
    <comment ref="M380" authorId="3" shapeId="0">
      <text>
        <r>
          <rPr>
            <b/>
            <sz val="9"/>
            <color indexed="81"/>
            <rFont val="Tahoma"/>
            <family val="2"/>
          </rPr>
          <t>Assume default:
1</t>
        </r>
      </text>
    </comment>
    <comment ref="C381" authorId="2" shapeId="0">
      <text>
        <r>
          <rPr>
            <b/>
            <sz val="8"/>
            <color indexed="81"/>
            <rFont val="Tahoma"/>
            <family val="2"/>
          </rPr>
          <t>Use for smal grains, soybeans, and peas</t>
        </r>
      </text>
    </comment>
    <comment ref="D381" authorId="1" shapeId="0">
      <text>
        <r>
          <rPr>
            <b/>
            <sz val="8"/>
            <color indexed="81"/>
            <rFont val="Tahoma"/>
            <family val="2"/>
          </rPr>
          <t>Default:
=O336*P336
141500
Updated from MN Extension Excel file "Farm machine estimates" for 275 hp combine.
Old value of $31,341 (=E245+(E245*$I$195)) if adjusted by PPI to convert from 2002 surveyed cost to 2010. 
Assume 75% of medium model value.</t>
        </r>
      </text>
    </comment>
    <comment ref="E381" authorId="1" shapeId="0">
      <text>
        <r>
          <rPr>
            <b/>
            <sz val="8"/>
            <color indexed="81"/>
            <rFont val="Tahoma"/>
            <family val="2"/>
          </rPr>
          <t>Old value:
181073
Adjusted this to get $227,000 for 265 hp whole combine (Andrew Plant, personal communication):
"The costs of your combine in the key data page appears to be only for the head.  check the minn. mach cost worksheets I gave you.  Heads about $26,000, combine itself $255,000."
Old value of $25,000.</t>
        </r>
      </text>
    </comment>
    <comment ref="F381" authorId="3" shapeId="0">
      <text>
        <r>
          <rPr>
            <b/>
            <sz val="9"/>
            <color indexed="81"/>
            <rFont val="Tahoma"/>
            <family val="2"/>
          </rPr>
          <t>Changed to go off CP worksheet
=IF($G$238=1,$I$238,($O$252/N341)*$R$252)
Assume this is more like a tractor so use tractor equipment hours to useful life table.</t>
        </r>
      </text>
    </comment>
    <comment ref="G381" authorId="3" shapeId="0">
      <text>
        <r>
          <rPr>
            <b/>
            <sz val="9"/>
            <color indexed="81"/>
            <rFont val="Tahoma"/>
            <family val="2"/>
          </rPr>
          <t>Old value:
10</t>
        </r>
      </text>
    </comment>
    <comment ref="H381" authorId="1" shapeId="0">
      <text>
        <r>
          <rPr>
            <b/>
            <sz val="8"/>
            <color indexed="81"/>
            <rFont val="Tahoma"/>
            <family val="2"/>
          </rPr>
          <t>Assume same as large default:
=(26.62*300)/283000
0.0282190812720848
Old value of 2%
Old value of 4.5%</t>
        </r>
      </text>
    </comment>
    <comment ref="I381"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M381" authorId="3" shapeId="0">
      <text>
        <r>
          <rPr>
            <b/>
            <sz val="9"/>
            <color indexed="81"/>
            <rFont val="Tahoma"/>
            <family val="2"/>
          </rPr>
          <t>Assume default:
1</t>
        </r>
      </text>
    </comment>
    <comment ref="O381" authorId="1" shapeId="0">
      <text>
        <r>
          <rPr>
            <b/>
            <sz val="8"/>
            <color indexed="81"/>
            <rFont val="Tahoma"/>
            <family val="2"/>
          </rPr>
          <t>Updated from MN Extension Excel file "Farm machine estimates" for 275 hp combine.
Old value of $31,341 (=E245+(E245*$I$195)) if adjusted by PPI to convert from 2002 surveyed cost to 2010. 
Assume 75% of medium model value.</t>
        </r>
      </text>
    </comment>
    <comment ref="P381" authorId="3" shapeId="0">
      <text>
        <r>
          <rPr>
            <b/>
            <sz val="9"/>
            <color indexed="81"/>
            <rFont val="Tahoma"/>
            <family val="2"/>
          </rPr>
          <t>Assume this</t>
        </r>
      </text>
    </comment>
    <comment ref="C382" authorId="2" shapeId="0">
      <text>
        <r>
          <rPr>
            <b/>
            <sz val="8"/>
            <color indexed="81"/>
            <rFont val="Tahoma"/>
            <family val="2"/>
          </rPr>
          <t>Use for smal grains, soybeans, and peas</t>
        </r>
      </text>
    </comment>
    <comment ref="D382" authorId="1" shapeId="0">
      <text>
        <r>
          <rPr>
            <b/>
            <sz val="8"/>
            <color indexed="81"/>
            <rFont val="Tahoma"/>
            <family val="2"/>
          </rPr>
          <t>Default:
=O337*P337
212250
Updated from MN Extension Excel file "Farm machine estimates" for 275 hp combine.
Old value of $31,341 (=E245+(E245*$I$195)) if adjusted by PPI to convert from 2002 surveyed cost to 2010. 
Assume 75% of medium model value.</t>
        </r>
      </text>
    </comment>
    <comment ref="E382" authorId="1" shapeId="0">
      <text>
        <r>
          <rPr>
            <b/>
            <sz val="8"/>
            <color indexed="81"/>
            <rFont val="Tahoma"/>
            <family val="2"/>
          </rPr>
          <t>Old value:
181073
Adjusted this to get $227,000 for 265 hp whole combine (Andrew Plant, personal communication):
"The costs of your combine in the key data page appears to be only for the head.  check the minn. mach cost worksheets I gave you.  Heads about $26,000, combine itself $255,000."
Old value of $25,000.</t>
        </r>
      </text>
    </comment>
    <comment ref="F382" authorId="3" shapeId="0">
      <text>
        <r>
          <rPr>
            <b/>
            <sz val="9"/>
            <color indexed="81"/>
            <rFont val="Tahoma"/>
            <family val="2"/>
          </rPr>
          <t>Changed to go off CP worksheet
=IF($G$238=1,$I$239,($O$252/N342)*$R$252)
Assume this is more like a tractor so use tractor equipment hours to useful life table.</t>
        </r>
      </text>
    </comment>
    <comment ref="G382" authorId="3" shapeId="0">
      <text>
        <r>
          <rPr>
            <b/>
            <sz val="9"/>
            <color indexed="81"/>
            <rFont val="Tahoma"/>
            <family val="2"/>
          </rPr>
          <t>Old value:
10</t>
        </r>
      </text>
    </comment>
    <comment ref="H382" authorId="1" shapeId="0">
      <text>
        <r>
          <rPr>
            <b/>
            <sz val="8"/>
            <color indexed="81"/>
            <rFont val="Tahoma"/>
            <family val="2"/>
          </rPr>
          <t>Assume same as large default:
=(26.62*300)/283000
0.0282190812720848
Old value of 2%
Old value of 4.5%</t>
        </r>
      </text>
    </comment>
    <comment ref="I382"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M382" authorId="3" shapeId="0">
      <text>
        <r>
          <rPr>
            <b/>
            <sz val="9"/>
            <color indexed="81"/>
            <rFont val="Tahoma"/>
            <family val="2"/>
          </rPr>
          <t>Assume default:
1</t>
        </r>
      </text>
    </comment>
    <comment ref="O382" authorId="1" shapeId="0">
      <text>
        <r>
          <rPr>
            <b/>
            <sz val="8"/>
            <color indexed="81"/>
            <rFont val="Tahoma"/>
            <family val="2"/>
          </rPr>
          <t>Updated from MN Extension Excel file "Farm machine estimates" for 275 hp combine.
Old value of $31,341 (=E245+(E245*$I$195)) if adjusted by PPI to convert from 2002 surveyed cost to 2010. 
Assume 75% of medium model value.</t>
        </r>
      </text>
    </comment>
    <comment ref="P382" authorId="3" shapeId="0">
      <text>
        <r>
          <rPr>
            <b/>
            <sz val="9"/>
            <color indexed="81"/>
            <rFont val="Tahoma"/>
            <family val="2"/>
          </rPr>
          <t>Assume this</t>
        </r>
      </text>
    </comment>
    <comment ref="C383" authorId="2" shapeId="0">
      <text>
        <r>
          <rPr>
            <b/>
            <sz val="8"/>
            <color indexed="81"/>
            <rFont val="Tahoma"/>
            <family val="2"/>
          </rPr>
          <t>Use for smal grains, soybeans, and peas</t>
        </r>
      </text>
    </comment>
    <comment ref="D383" authorId="1" shapeId="0">
      <text>
        <r>
          <rPr>
            <b/>
            <sz val="8"/>
            <color indexed="81"/>
            <rFont val="Tahoma"/>
            <family val="2"/>
          </rPr>
          <t>Default:
=O338*P338
283000
Updated from MN Extension Excel file "Farm machine estimates" for 275 hp combine.
Old value of $31,341 (=E245+(E245*$I$195)) if adjusted by PPI to convert from 2002 surveyed cost to 2010. 
Assume 75% of medium model value.</t>
        </r>
      </text>
    </comment>
    <comment ref="E383" authorId="1" shapeId="0">
      <text>
        <r>
          <rPr>
            <b/>
            <sz val="8"/>
            <color indexed="81"/>
            <rFont val="Tahoma"/>
            <family val="2"/>
          </rPr>
          <t>Old value:
181073
Adjusted this to get $227,000 for 265 hp whole combine (Andrew Plant, personal communication):
"The costs of your combine in the key data page appears to be only for the head.  check the minn. mach cost worksheets I gave you.  Heads about $26,000, combine itself $255,000."
Old value of $25,000.</t>
        </r>
      </text>
    </comment>
    <comment ref="F383" authorId="3" shapeId="0">
      <text>
        <r>
          <rPr>
            <b/>
            <sz val="9"/>
            <color indexed="81"/>
            <rFont val="Tahoma"/>
            <family val="2"/>
          </rPr>
          <t>Changed to go off CP worksheet
=IF($G$238=1,$I$240,($O$252/N343)*$R$252)
Assume this is more like a tractor so use tractor equipment hours to useful life table.</t>
        </r>
      </text>
    </comment>
    <comment ref="G383" authorId="3" shapeId="0">
      <text>
        <r>
          <rPr>
            <b/>
            <sz val="9"/>
            <color indexed="81"/>
            <rFont val="Tahoma"/>
            <family val="2"/>
          </rPr>
          <t>Old value:
10</t>
        </r>
      </text>
    </comment>
    <comment ref="H383" authorId="1" shapeId="0">
      <text>
        <r>
          <rPr>
            <b/>
            <sz val="8"/>
            <color indexed="81"/>
            <rFont val="Tahoma"/>
            <family val="2"/>
          </rPr>
          <t>Default:
=(26.62*300)/283000
0.0282190812720848
Old value of 2%
Old value of 4.5%</t>
        </r>
      </text>
    </comment>
    <comment ref="I383"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M383" authorId="3" shapeId="0">
      <text>
        <r>
          <rPr>
            <b/>
            <sz val="9"/>
            <color indexed="81"/>
            <rFont val="Tahoma"/>
            <family val="2"/>
          </rPr>
          <t>Assume default:
1</t>
        </r>
      </text>
    </comment>
    <comment ref="O383" authorId="1" shapeId="0">
      <text>
        <r>
          <rPr>
            <b/>
            <sz val="8"/>
            <color indexed="81"/>
            <rFont val="Tahoma"/>
            <family val="2"/>
          </rPr>
          <t>Updated from MN Extension Excel file "Farm machine estimates" for 275 hp combine.
Old value of $31,341 (=E245+(E245*$I$195)) if adjusted by PPI to convert from 2002 surveyed cost to 2010. 
Assume 75% of medium model value.</t>
        </r>
      </text>
    </comment>
    <comment ref="C384" authorId="2" shapeId="0">
      <text>
        <r>
          <rPr>
            <sz val="8"/>
            <color indexed="81"/>
            <rFont val="Tahoma"/>
            <family val="2"/>
          </rPr>
          <t>Use for both corn silage and haylage</t>
        </r>
      </text>
    </comment>
    <comment ref="D384" authorId="0" shapeId="0">
      <text>
        <r>
          <rPr>
            <sz val="8"/>
            <color indexed="81"/>
            <rFont val="Tahoma"/>
            <family val="2"/>
          </rPr>
          <t>Updated from MN Extension Excel file "Farm machine estimates" for pickup head for Combine Corn Hd 6 Row-30, 15 ft.
Old value of $25,073 (=E240+(E240*$I$195)) if adjusted by PPI to convert from 2002 surveyed cost to 2010. Assume $20,000 for chopper.</t>
        </r>
      </text>
    </comment>
    <comment ref="H384" authorId="1" shapeId="0">
      <text>
        <r>
          <rPr>
            <b/>
            <sz val="8"/>
            <color indexed="81"/>
            <rFont val="Tahoma"/>
            <family val="2"/>
          </rPr>
          <t>Old value of 2%</t>
        </r>
      </text>
    </comment>
    <comment ref="I384"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C385" authorId="2" shapeId="0">
      <text>
        <r>
          <rPr>
            <b/>
            <sz val="8"/>
            <color indexed="81"/>
            <rFont val="Tahoma"/>
            <family val="2"/>
          </rPr>
          <t>Use for small grains</t>
        </r>
      </text>
    </comment>
    <comment ref="D385" authorId="0" shapeId="0">
      <text>
        <r>
          <rPr>
            <b/>
            <sz val="8"/>
            <color indexed="81"/>
            <rFont val="Tahoma"/>
            <family val="2"/>
          </rPr>
          <t xml:space="preserve">Default:
=43000*0.75
32250
Assume 75% of medium model value.
Updated from MN Extension Excel file "Farm machine estimates" for Combine Grain Head 15 ft (275 HP).
Old value of $25,073 (=E240+(E240*$I$195)) if adjusted by PPI to convert from 2002 surveyed cost to 2010. Assume $20,000 for chopper.
</t>
        </r>
      </text>
    </comment>
    <comment ref="E385" authorId="3" shapeId="0">
      <text>
        <r>
          <rPr>
            <b/>
            <sz val="9"/>
            <color indexed="81"/>
            <rFont val="Tahoma"/>
            <family val="2"/>
          </rPr>
          <t>Old value:
$20,000</t>
        </r>
      </text>
    </comment>
    <comment ref="F385" authorId="3" shapeId="0">
      <text>
        <r>
          <rPr>
            <b/>
            <sz val="9"/>
            <color indexed="81"/>
            <rFont val="Tahoma"/>
            <family val="2"/>
          </rPr>
          <t>Changed to go off CP worksheet
=IF($G$238=1,$I$238,J345)
Assume this is more like a tractor so use tractor equipment hours to useful life table.</t>
        </r>
      </text>
    </comment>
    <comment ref="G385" authorId="3" shapeId="0">
      <text>
        <r>
          <rPr>
            <b/>
            <sz val="9"/>
            <color indexed="81"/>
            <rFont val="Tahoma"/>
            <family val="2"/>
          </rPr>
          <t>Old value:
10</t>
        </r>
      </text>
    </comment>
    <comment ref="H385" authorId="1" shapeId="0">
      <text>
        <r>
          <rPr>
            <b/>
            <sz val="8"/>
            <color indexed="81"/>
            <rFont val="Tahoma"/>
            <family val="2"/>
          </rPr>
          <t>Assume same as large default:
=(1.11*1018)/43000
0.0262786046511628
Old value of 2%
Old value of 4.5%</t>
        </r>
      </text>
    </comment>
    <comment ref="I385"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85" authorId="1" shapeId="0">
      <text>
        <r>
          <rPr>
            <b/>
            <sz val="8"/>
            <color indexed="81"/>
            <rFont val="Tahoma"/>
            <family val="2"/>
          </rPr>
          <t>Old assumption was average of corn and soy:
=AVERAGE(I281,I283)
Assume same as corn</t>
        </r>
        <r>
          <rPr>
            <sz val="8"/>
            <color indexed="81"/>
            <rFont val="Tahoma"/>
            <family val="2"/>
          </rPr>
          <t xml:space="preserve">
</t>
        </r>
      </text>
    </comment>
    <comment ref="M385" authorId="3" shapeId="0">
      <text>
        <r>
          <rPr>
            <b/>
            <sz val="9"/>
            <color indexed="81"/>
            <rFont val="Tahoma"/>
            <family val="2"/>
          </rPr>
          <t>Assume default:
1</t>
        </r>
      </text>
    </comment>
    <comment ref="C386" authorId="2" shapeId="0">
      <text>
        <r>
          <rPr>
            <b/>
            <sz val="8"/>
            <color indexed="81"/>
            <rFont val="Tahoma"/>
            <family val="2"/>
          </rPr>
          <t>Use for small grains</t>
        </r>
      </text>
    </comment>
    <comment ref="D386" authorId="0" shapeId="0">
      <text>
        <r>
          <rPr>
            <b/>
            <sz val="8"/>
            <color indexed="81"/>
            <rFont val="Tahoma"/>
            <family val="2"/>
          </rPr>
          <t>Default:
43000
Updated from MN Extension Excel file "Farm machine estimates" for Combine Grain Head 15 ft (275 HP).
Old value of $25,073 (=E240+(E240*$I$195)) if adjusted by PPI to convert from 2002 surveyed cost to 2010. Assume $20,000 for chopper.
Assume 75% of medium model value.</t>
        </r>
      </text>
    </comment>
    <comment ref="E386" authorId="3" shapeId="0">
      <text>
        <r>
          <rPr>
            <b/>
            <sz val="9"/>
            <color indexed="81"/>
            <rFont val="Tahoma"/>
            <family val="2"/>
          </rPr>
          <t>Old value:
$20,000</t>
        </r>
      </text>
    </comment>
    <comment ref="F386" authorId="3" shapeId="0">
      <text>
        <r>
          <rPr>
            <b/>
            <sz val="9"/>
            <color indexed="81"/>
            <rFont val="Tahoma"/>
            <family val="2"/>
          </rPr>
          <t>Changed to go off CP worksheet
=IF($G$238=1,$I$239,J346)
Assume this is more like a tractor so use tractor equipment hours to useful life table.</t>
        </r>
      </text>
    </comment>
    <comment ref="G386" authorId="3" shapeId="0">
      <text>
        <r>
          <rPr>
            <b/>
            <sz val="9"/>
            <color indexed="81"/>
            <rFont val="Tahoma"/>
            <family val="2"/>
          </rPr>
          <t>Old value:
10</t>
        </r>
      </text>
    </comment>
    <comment ref="H386" authorId="1" shapeId="0">
      <text>
        <r>
          <rPr>
            <b/>
            <sz val="8"/>
            <color indexed="81"/>
            <rFont val="Tahoma"/>
            <family val="2"/>
          </rPr>
          <t>Assume same as large default:
=(1.11*1018)/43000
0.0262786046511628
Old value of 2%
Old value of 4.5%</t>
        </r>
      </text>
    </comment>
    <comment ref="I386"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86" authorId="1" shapeId="0">
      <text>
        <r>
          <rPr>
            <b/>
            <sz val="8"/>
            <color indexed="81"/>
            <rFont val="Tahoma"/>
            <family val="2"/>
          </rPr>
          <t>Old assumption was average of corn and soy:
=AVERAGE(I281,I283)
Assume same as corn</t>
        </r>
        <r>
          <rPr>
            <sz val="8"/>
            <color indexed="81"/>
            <rFont val="Tahoma"/>
            <family val="2"/>
          </rPr>
          <t xml:space="preserve">
</t>
        </r>
      </text>
    </comment>
    <comment ref="M386" authorId="3" shapeId="0">
      <text>
        <r>
          <rPr>
            <b/>
            <sz val="9"/>
            <color indexed="81"/>
            <rFont val="Tahoma"/>
            <family val="2"/>
          </rPr>
          <t>Assume default:
1</t>
        </r>
      </text>
    </comment>
    <comment ref="C387" authorId="2" shapeId="0">
      <text>
        <r>
          <rPr>
            <b/>
            <sz val="8"/>
            <color indexed="81"/>
            <rFont val="Tahoma"/>
            <family val="2"/>
          </rPr>
          <t>Use for small grains</t>
        </r>
      </text>
    </comment>
    <comment ref="D387" authorId="0" shapeId="0">
      <text>
        <r>
          <rPr>
            <b/>
            <sz val="8"/>
            <color indexed="81"/>
            <rFont val="Tahoma"/>
            <family val="2"/>
          </rPr>
          <t>Default:
56000
Updated from MN Extension Excel file "Farm machine estimates" for Combine Grain Head 30 ft (275 HP).
Old value of $25,073 (=E240+(E240*$I$195)) if adjusted by PPI to convert from 2002 surveyed cost to 2010. Assume $20,000 for chopper.
Assume 75% of medium model value.</t>
        </r>
      </text>
    </comment>
    <comment ref="E387" authorId="3" shapeId="0">
      <text>
        <r>
          <rPr>
            <b/>
            <sz val="9"/>
            <color indexed="81"/>
            <rFont val="Tahoma"/>
            <family val="2"/>
          </rPr>
          <t>Old value:
$20,000</t>
        </r>
      </text>
    </comment>
    <comment ref="F387" authorId="3" shapeId="0">
      <text>
        <r>
          <rPr>
            <b/>
            <sz val="9"/>
            <color indexed="81"/>
            <rFont val="Tahoma"/>
            <family val="2"/>
          </rPr>
          <t>Changed to go off CP worksheet
=IF($G$238=1,$I$240,J347)
Assume this is more like a tractor so use tractor equipment hours to useful life table.</t>
        </r>
      </text>
    </comment>
    <comment ref="G387" authorId="3" shapeId="0">
      <text>
        <r>
          <rPr>
            <b/>
            <sz val="9"/>
            <color indexed="81"/>
            <rFont val="Tahoma"/>
            <family val="2"/>
          </rPr>
          <t>Old value:
10</t>
        </r>
      </text>
    </comment>
    <comment ref="H387" authorId="1" shapeId="0">
      <text>
        <r>
          <rPr>
            <b/>
            <sz val="8"/>
            <color indexed="81"/>
            <rFont val="Tahoma"/>
            <family val="2"/>
          </rPr>
          <t>Default:
=(1.11*1018)/43000
0.0262786046511628
Old value of 2%
Old value of 4.5%</t>
        </r>
      </text>
    </comment>
    <comment ref="I387"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87" authorId="1" shapeId="0">
      <text>
        <r>
          <rPr>
            <b/>
            <sz val="8"/>
            <color indexed="81"/>
            <rFont val="Tahoma"/>
            <family val="2"/>
          </rPr>
          <t>Old assumption was average of corn and soy:
=AVERAGE(I281,I283)
Assume same as corn</t>
        </r>
        <r>
          <rPr>
            <sz val="8"/>
            <color indexed="81"/>
            <rFont val="Tahoma"/>
            <family val="2"/>
          </rPr>
          <t xml:space="preserve">
</t>
        </r>
      </text>
    </comment>
    <comment ref="M387" authorId="3" shapeId="0">
      <text>
        <r>
          <rPr>
            <b/>
            <sz val="9"/>
            <color indexed="81"/>
            <rFont val="Tahoma"/>
            <family val="2"/>
          </rPr>
          <t>Assume default:
1</t>
        </r>
      </text>
    </comment>
    <comment ref="C388" authorId="2" shapeId="0">
      <text>
        <r>
          <rPr>
            <b/>
            <sz val="8"/>
            <color indexed="81"/>
            <rFont val="Tahoma"/>
            <family val="2"/>
          </rPr>
          <t>Use for soybean and peas</t>
        </r>
      </text>
    </comment>
    <comment ref="D388" authorId="0" shapeId="0">
      <text>
        <r>
          <rPr>
            <b/>
            <sz val="8"/>
            <color indexed="81"/>
            <rFont val="Tahoma"/>
            <family val="2"/>
          </rPr>
          <t xml:space="preserve">Default:
32250
Assume 75% of medium model value.
Updated from MN Extension Excel file "Farm machine estimates" for Combine Grain Head 15 ft (275 HP).
Old value of $25,073 (=E240+(E240*$I$195)) if adjusted by PPI to convert from 2002 surveyed cost to 2010. Assume $20,000 for chopper.
</t>
        </r>
      </text>
    </comment>
    <comment ref="E388" authorId="3" shapeId="0">
      <text>
        <r>
          <rPr>
            <b/>
            <sz val="9"/>
            <color indexed="81"/>
            <rFont val="Tahoma"/>
            <family val="2"/>
          </rPr>
          <t>Old value:
$20,000</t>
        </r>
      </text>
    </comment>
    <comment ref="F388" authorId="3" shapeId="0">
      <text>
        <r>
          <rPr>
            <b/>
            <sz val="9"/>
            <color indexed="81"/>
            <rFont val="Tahoma"/>
            <family val="2"/>
          </rPr>
          <t>Changed to go off CP worksheet
=IF($G$238=1,$I$238,J348)
Assume this is more like a tractor so use tractor equipment hours to useful life table.</t>
        </r>
      </text>
    </comment>
    <comment ref="G388" authorId="3" shapeId="0">
      <text>
        <r>
          <rPr>
            <b/>
            <sz val="9"/>
            <color indexed="81"/>
            <rFont val="Tahoma"/>
            <family val="2"/>
          </rPr>
          <t>Old value:
10</t>
        </r>
      </text>
    </comment>
    <comment ref="H388" authorId="1" shapeId="0">
      <text>
        <r>
          <rPr>
            <b/>
            <sz val="8"/>
            <color indexed="81"/>
            <rFont val="Tahoma"/>
            <family val="2"/>
          </rPr>
          <t>Assume same as large default:
=(1.11*1018)/43000
0.0262786046511628
Old value of 2%
Old value of 4.5%</t>
        </r>
      </text>
    </comment>
    <comment ref="I388"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88" authorId="3" shapeId="0">
      <text>
        <r>
          <rPr>
            <b/>
            <sz val="9"/>
            <color indexed="81"/>
            <rFont val="Tahoma"/>
            <family val="2"/>
          </rPr>
          <t>Adjust so double time based on Tom Molloy. Old value:
=25/18</t>
        </r>
      </text>
    </comment>
    <comment ref="M388" authorId="3" shapeId="0">
      <text>
        <r>
          <rPr>
            <b/>
            <sz val="9"/>
            <color indexed="81"/>
            <rFont val="Tahoma"/>
            <family val="2"/>
          </rPr>
          <t>Assume default:
1</t>
        </r>
      </text>
    </comment>
    <comment ref="C389" authorId="2" shapeId="0">
      <text>
        <r>
          <rPr>
            <b/>
            <sz val="8"/>
            <color indexed="81"/>
            <rFont val="Tahoma"/>
            <family val="2"/>
          </rPr>
          <t>Use for soybean and peas</t>
        </r>
      </text>
    </comment>
    <comment ref="D389" authorId="0" shapeId="0">
      <text>
        <r>
          <rPr>
            <b/>
            <sz val="8"/>
            <color indexed="81"/>
            <rFont val="Tahoma"/>
            <family val="2"/>
          </rPr>
          <t>Default:
43000
Updated from MN Extension Excel file "Farm machine estimates" for Combine Grain Head 15 ft (275 HP).
Old value of $25,073 (=E240+(E240*$I$195)) if adjusted by PPI to convert from 2002 surveyed cost to 2010. Assume $20,000 for chopper.
Assume 75% of medium model value.</t>
        </r>
      </text>
    </comment>
    <comment ref="E389" authorId="3" shapeId="0">
      <text>
        <r>
          <rPr>
            <b/>
            <sz val="9"/>
            <color indexed="81"/>
            <rFont val="Tahoma"/>
            <family val="2"/>
          </rPr>
          <t>Old value:
$20,000</t>
        </r>
      </text>
    </comment>
    <comment ref="F389" authorId="3" shapeId="0">
      <text>
        <r>
          <rPr>
            <b/>
            <sz val="9"/>
            <color indexed="81"/>
            <rFont val="Tahoma"/>
            <family val="2"/>
          </rPr>
          <t>Changed to go off CP worksheet
=IF($G$238=1,$I$239,J349)
Assume this is more like a tractor so use tractor equipment hours to useful life table.</t>
        </r>
      </text>
    </comment>
    <comment ref="G389" authorId="3" shapeId="0">
      <text>
        <r>
          <rPr>
            <b/>
            <sz val="9"/>
            <color indexed="81"/>
            <rFont val="Tahoma"/>
            <family val="2"/>
          </rPr>
          <t>Old value:
10</t>
        </r>
      </text>
    </comment>
    <comment ref="H389" authorId="1" shapeId="0">
      <text>
        <r>
          <rPr>
            <b/>
            <sz val="8"/>
            <color indexed="81"/>
            <rFont val="Tahoma"/>
            <family val="2"/>
          </rPr>
          <t>Assume same as large default:
=(1.11*1018)/43000
0.0262786046511628
Old value of 2%
Old value of 4.5%</t>
        </r>
      </text>
    </comment>
    <comment ref="I389"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89" authorId="3" shapeId="0">
      <text>
        <r>
          <rPr>
            <b/>
            <sz val="9"/>
            <color indexed="81"/>
            <rFont val="Tahoma"/>
            <family val="2"/>
          </rPr>
          <t>Adjust so double time based on Tom Molloy. Old value:
=25/18</t>
        </r>
      </text>
    </comment>
    <comment ref="M389" authorId="3" shapeId="0">
      <text>
        <r>
          <rPr>
            <b/>
            <sz val="9"/>
            <color indexed="81"/>
            <rFont val="Tahoma"/>
            <family val="2"/>
          </rPr>
          <t>Assume default:
1</t>
        </r>
      </text>
    </comment>
    <comment ref="C390" authorId="2" shapeId="0">
      <text>
        <r>
          <rPr>
            <b/>
            <sz val="8"/>
            <color indexed="81"/>
            <rFont val="Tahoma"/>
            <family val="2"/>
          </rPr>
          <t>Use for soybean and peas</t>
        </r>
      </text>
    </comment>
    <comment ref="D390" authorId="0" shapeId="0">
      <text>
        <r>
          <rPr>
            <b/>
            <sz val="8"/>
            <color indexed="81"/>
            <rFont val="Tahoma"/>
            <family val="2"/>
          </rPr>
          <t>Default:
56000
Updated from MN Extension Excel file "Farm machine estimates" for Combine Grain Head 30 ft (275 HP).
Old value of $25,073 (=E240+(E240*$I$195)) if adjusted by PPI to convert from 2002 surveyed cost to 2010. Assume $20,000 for chopper.
Assume 75% of medium model value.</t>
        </r>
      </text>
    </comment>
    <comment ref="E390" authorId="3" shapeId="0">
      <text>
        <r>
          <rPr>
            <b/>
            <sz val="9"/>
            <color indexed="81"/>
            <rFont val="Tahoma"/>
            <family val="2"/>
          </rPr>
          <t>Old value:
$20,000</t>
        </r>
      </text>
    </comment>
    <comment ref="F390" authorId="3" shapeId="0">
      <text>
        <r>
          <rPr>
            <b/>
            <sz val="9"/>
            <color indexed="81"/>
            <rFont val="Tahoma"/>
            <family val="2"/>
          </rPr>
          <t>Changed to go off CP worksheet
=IF($G$238=1,$I$240,J350)
Assume this is more like a tractor so use tractor equipment hours to useful life table.</t>
        </r>
      </text>
    </comment>
    <comment ref="G390" authorId="3" shapeId="0">
      <text>
        <r>
          <rPr>
            <b/>
            <sz val="9"/>
            <color indexed="81"/>
            <rFont val="Tahoma"/>
            <family val="2"/>
          </rPr>
          <t>Old value:
10</t>
        </r>
      </text>
    </comment>
    <comment ref="H390" authorId="1" shapeId="0">
      <text>
        <r>
          <rPr>
            <b/>
            <sz val="8"/>
            <color indexed="81"/>
            <rFont val="Tahoma"/>
            <family val="2"/>
          </rPr>
          <t>Default:
=(1.11*1018)/43000
0.0262786046511628
Old value of 2%
Old value of 4.5%</t>
        </r>
      </text>
    </comment>
    <comment ref="I390" authorId="1" shapeId="0">
      <text>
        <r>
          <rPr>
            <b/>
            <sz val="8"/>
            <color indexed="81"/>
            <rFont val="Tahoma"/>
            <family val="2"/>
          </rPr>
          <t xml:space="preserve">Default:
19%
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L390" authorId="3" shapeId="0">
      <text>
        <r>
          <rPr>
            <b/>
            <sz val="9"/>
            <color indexed="81"/>
            <rFont val="Tahoma"/>
            <family val="2"/>
          </rPr>
          <t>Adjust so double time based on Tom Molloy. Old value:
=25/18</t>
        </r>
      </text>
    </comment>
    <comment ref="M390" authorId="3" shapeId="0">
      <text>
        <r>
          <rPr>
            <b/>
            <sz val="9"/>
            <color indexed="81"/>
            <rFont val="Tahoma"/>
            <family val="2"/>
          </rPr>
          <t>Assume default:
1</t>
        </r>
      </text>
    </comment>
    <comment ref="C391" authorId="2" shapeId="0">
      <text>
        <r>
          <rPr>
            <sz val="8"/>
            <color indexed="81"/>
            <rFont val="Tahoma"/>
            <family val="2"/>
          </rPr>
          <t>Use just for broccoli</t>
        </r>
      </text>
    </comment>
    <comment ref="D391" authorId="1" shapeId="0">
      <text>
        <r>
          <rPr>
            <sz val="8"/>
            <color indexed="81"/>
            <rFont val="Tahoma"/>
            <family val="2"/>
          </rPr>
          <t xml:space="preserve">Assume this. </t>
        </r>
      </text>
    </comment>
    <comment ref="H391" authorId="1" shapeId="0">
      <text>
        <r>
          <rPr>
            <b/>
            <sz val="8"/>
            <color indexed="81"/>
            <rFont val="Tahoma"/>
            <family val="2"/>
          </rPr>
          <t>Old value of 2%</t>
        </r>
      </text>
    </comment>
    <comment ref="I391"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E394" authorId="3" shapeId="0">
      <text>
        <r>
          <rPr>
            <b/>
            <sz val="9"/>
            <color indexed="81"/>
            <rFont val="Tahoma"/>
            <family val="2"/>
          </rPr>
          <t>Old value</t>
        </r>
      </text>
    </comment>
    <comment ref="F394" authorId="0" shapeId="0">
      <text>
        <r>
          <rPr>
            <sz val="8"/>
            <color indexed="81"/>
            <rFont val="Tahoma"/>
            <family val="2"/>
          </rPr>
          <t>Adjust useful life for remaining years left in life and change to 1 yr expected life if useful life has expired</t>
        </r>
      </text>
    </comment>
    <comment ref="G394" authorId="0" shapeId="0">
      <text>
        <r>
          <rPr>
            <sz val="8"/>
            <color indexed="81"/>
            <rFont val="Tahoma"/>
            <family val="2"/>
          </rPr>
          <t>Adjust useful life for remaining years left in life and change to 1 yr expected life if useful life has expired</t>
        </r>
      </text>
    </comment>
    <comment ref="C395" authorId="0" shapeId="0">
      <text>
        <r>
          <rPr>
            <b/>
            <sz val="8"/>
            <color indexed="81"/>
            <rFont val="Tahoma"/>
            <family val="2"/>
          </rPr>
          <t>Use for all crops</t>
        </r>
      </text>
    </comment>
    <comment ref="D395" authorId="0" shapeId="0">
      <text>
        <r>
          <rPr>
            <b/>
            <sz val="8"/>
            <color indexed="81"/>
            <rFont val="Tahoma"/>
            <family val="2"/>
          </rPr>
          <t>Default:
=E350+(E350*$K$240)
125.363537615193
Adjusted by PPI to convert from 2002 surveyed cost to 2010. Assume worth $100.</t>
        </r>
      </text>
    </comment>
    <comment ref="E395" authorId="3" shapeId="0">
      <text>
        <r>
          <rPr>
            <b/>
            <sz val="9"/>
            <color indexed="81"/>
            <rFont val="Tahoma"/>
            <family val="2"/>
          </rPr>
          <t>Old value:
$100</t>
        </r>
      </text>
    </comment>
    <comment ref="F395" authorId="3" shapeId="0">
      <text>
        <r>
          <rPr>
            <b/>
            <sz val="9"/>
            <color indexed="81"/>
            <rFont val="Tahoma"/>
            <charset val="1"/>
          </rPr>
          <t>Changed to go off CP worksheet
Old value:
10</t>
        </r>
      </text>
    </comment>
    <comment ref="G395" authorId="3" shapeId="0">
      <text>
        <r>
          <rPr>
            <b/>
            <sz val="9"/>
            <color indexed="81"/>
            <rFont val="Tahoma"/>
            <family val="2"/>
          </rPr>
          <t>Old value:
10</t>
        </r>
      </text>
    </comment>
    <comment ref="H395" authorId="1" shapeId="0">
      <text>
        <r>
          <rPr>
            <b/>
            <sz val="8"/>
            <color indexed="81"/>
            <rFont val="Tahoma"/>
            <family val="2"/>
          </rPr>
          <t>Default:
2%
Old value of 2%
Old value of 4.5%</t>
        </r>
      </text>
    </comment>
    <comment ref="I395"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395" authorId="3" shapeId="0">
      <text>
        <r>
          <rPr>
            <b/>
            <sz val="9"/>
            <color indexed="81"/>
            <rFont val="Tahoma"/>
            <family val="2"/>
          </rPr>
          <t>Assume default:
1</t>
        </r>
      </text>
    </comment>
    <comment ref="C396" authorId="0" shapeId="0">
      <text>
        <r>
          <rPr>
            <b/>
            <sz val="8"/>
            <color indexed="81"/>
            <rFont val="Tahoma"/>
            <family val="2"/>
          </rPr>
          <t>Use for all crops</t>
        </r>
      </text>
    </comment>
    <comment ref="D396" authorId="0" shapeId="0">
      <text>
        <r>
          <rPr>
            <b/>
            <sz val="8"/>
            <color indexed="81"/>
            <rFont val="Tahoma"/>
            <family val="2"/>
          </rPr>
          <t>Default:
=E351+(E351*$K$240)
1253.63537615193
Adjusted by PPI to convert from 2002 surveyed cost to 2010. Assume worth $1,000.</t>
        </r>
      </text>
    </comment>
    <comment ref="E396" authorId="3" shapeId="0">
      <text>
        <r>
          <rPr>
            <b/>
            <sz val="9"/>
            <color indexed="81"/>
            <rFont val="Tahoma"/>
            <family val="2"/>
          </rPr>
          <t>Old value:
$1,000</t>
        </r>
      </text>
    </comment>
    <comment ref="F396" authorId="3" shapeId="0">
      <text>
        <r>
          <rPr>
            <b/>
            <sz val="9"/>
            <color indexed="81"/>
            <rFont val="Tahoma"/>
            <charset val="1"/>
          </rPr>
          <t>Changed to go off CP worksheet
Old value:
10</t>
        </r>
      </text>
    </comment>
    <comment ref="G396" authorId="3" shapeId="0">
      <text>
        <r>
          <rPr>
            <b/>
            <sz val="9"/>
            <color indexed="81"/>
            <rFont val="Tahoma"/>
            <family val="2"/>
          </rPr>
          <t>Old value:
10</t>
        </r>
      </text>
    </comment>
    <comment ref="H396" authorId="1" shapeId="0">
      <text>
        <r>
          <rPr>
            <b/>
            <sz val="8"/>
            <color indexed="81"/>
            <rFont val="Tahoma"/>
            <family val="2"/>
          </rPr>
          <t>Default:
2%
Old value of 2%
Old value of 4.5%</t>
        </r>
      </text>
    </comment>
    <comment ref="I396"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396" authorId="3" shapeId="0">
      <text>
        <r>
          <rPr>
            <b/>
            <sz val="9"/>
            <color indexed="81"/>
            <rFont val="Tahoma"/>
            <family val="2"/>
          </rPr>
          <t>Assume default:
1</t>
        </r>
      </text>
    </comment>
    <comment ref="C397" authorId="0" shapeId="0">
      <text>
        <r>
          <rPr>
            <b/>
            <sz val="8"/>
            <color indexed="81"/>
            <rFont val="Tahoma"/>
            <family val="2"/>
          </rPr>
          <t>Use for all crops</t>
        </r>
      </text>
    </comment>
    <comment ref="D397" authorId="0" shapeId="0">
      <text>
        <r>
          <rPr>
            <b/>
            <sz val="8"/>
            <color indexed="81"/>
            <rFont val="Tahoma"/>
            <family val="2"/>
          </rPr>
          <t>Default:
=E352+(E352*$K$240)
626.817688075966
Adjusted by PPI to convert from 2002 surveyed cost to 2010. Assume worth $500.</t>
        </r>
      </text>
    </comment>
    <comment ref="E397" authorId="3" shapeId="0">
      <text>
        <r>
          <rPr>
            <b/>
            <sz val="9"/>
            <color indexed="81"/>
            <rFont val="Tahoma"/>
            <family val="2"/>
          </rPr>
          <t xml:space="preserve">Old value:
$500
Assume this
</t>
        </r>
      </text>
    </comment>
    <comment ref="F397" authorId="3" shapeId="0">
      <text>
        <r>
          <rPr>
            <b/>
            <sz val="9"/>
            <color indexed="81"/>
            <rFont val="Tahoma"/>
            <charset val="1"/>
          </rPr>
          <t>Changed to go off CP worksheet
Old value:
10</t>
        </r>
      </text>
    </comment>
    <comment ref="G397" authorId="3" shapeId="0">
      <text>
        <r>
          <rPr>
            <b/>
            <sz val="9"/>
            <color indexed="81"/>
            <rFont val="Tahoma"/>
            <family val="2"/>
          </rPr>
          <t>Old value:
10</t>
        </r>
      </text>
    </comment>
    <comment ref="H397" authorId="1" shapeId="0">
      <text>
        <r>
          <rPr>
            <b/>
            <sz val="8"/>
            <color indexed="81"/>
            <rFont val="Tahoma"/>
            <family val="2"/>
          </rPr>
          <t>Default:
2%
Old value of 2%
Old value of 4.5%</t>
        </r>
      </text>
    </comment>
    <comment ref="I397"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397" authorId="3" shapeId="0">
      <text>
        <r>
          <rPr>
            <b/>
            <sz val="9"/>
            <color indexed="81"/>
            <rFont val="Tahoma"/>
            <family val="2"/>
          </rPr>
          <t>Assume default:
1</t>
        </r>
      </text>
    </comment>
    <comment ref="C398" authorId="0" shapeId="0">
      <text>
        <r>
          <rPr>
            <b/>
            <sz val="8"/>
            <color indexed="81"/>
            <rFont val="Tahoma"/>
            <family val="2"/>
          </rPr>
          <t>Use for all crops</t>
        </r>
      </text>
    </comment>
    <comment ref="D398" authorId="0" shapeId="0">
      <text>
        <r>
          <rPr>
            <b/>
            <sz val="8"/>
            <color indexed="81"/>
            <rFont val="Tahoma"/>
            <family val="2"/>
          </rPr>
          <t>Default:
=E353+(E353*$K$240)
6268.17688075966
Adjusted by PPI to convert from 2002 surveyed cost to 2010. Assume worth $5,000.</t>
        </r>
      </text>
    </comment>
    <comment ref="E398" authorId="3" shapeId="0">
      <text>
        <r>
          <rPr>
            <b/>
            <sz val="9"/>
            <color indexed="81"/>
            <rFont val="Tahoma"/>
            <family val="2"/>
          </rPr>
          <t>Old value:
$5,000
Assume this</t>
        </r>
      </text>
    </comment>
    <comment ref="F398" authorId="3" shapeId="0">
      <text>
        <r>
          <rPr>
            <b/>
            <sz val="9"/>
            <color indexed="81"/>
            <rFont val="Tahoma"/>
            <charset val="1"/>
          </rPr>
          <t>Changed to go off CP worksheet
Old value:
10</t>
        </r>
      </text>
    </comment>
    <comment ref="G398" authorId="3" shapeId="0">
      <text>
        <r>
          <rPr>
            <b/>
            <sz val="9"/>
            <color indexed="81"/>
            <rFont val="Tahoma"/>
            <family val="2"/>
          </rPr>
          <t>Old value:
10</t>
        </r>
      </text>
    </comment>
    <comment ref="H398" authorId="1" shapeId="0">
      <text>
        <r>
          <rPr>
            <b/>
            <sz val="8"/>
            <color indexed="81"/>
            <rFont val="Tahoma"/>
            <family val="2"/>
          </rPr>
          <t>Default:
2%
Old value of 2%
Old value of 4.5%</t>
        </r>
      </text>
    </comment>
    <comment ref="I398"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398" authorId="3" shapeId="0">
      <text>
        <r>
          <rPr>
            <b/>
            <sz val="9"/>
            <color indexed="81"/>
            <rFont val="Tahoma"/>
            <family val="2"/>
          </rPr>
          <t>Assume default:
1</t>
        </r>
      </text>
    </comment>
    <comment ref="C399" authorId="0" shapeId="0">
      <text>
        <r>
          <rPr>
            <b/>
            <sz val="8"/>
            <color indexed="81"/>
            <rFont val="Tahoma"/>
            <family val="2"/>
          </rPr>
          <t>Use for all crops</t>
        </r>
      </text>
    </comment>
    <comment ref="D399" authorId="0" shapeId="0">
      <text>
        <r>
          <rPr>
            <b/>
            <sz val="8"/>
            <color indexed="81"/>
            <rFont val="Tahoma"/>
            <family val="2"/>
          </rPr>
          <t>Default:
=E354+(E354*$K$240)
1253.63537615193
Adjusted by PPI to convert from 2002 surveyed cost to 2010. Assume worth $1,000.</t>
        </r>
      </text>
    </comment>
    <comment ref="E399" authorId="3" shapeId="0">
      <text>
        <r>
          <rPr>
            <b/>
            <sz val="9"/>
            <color indexed="81"/>
            <rFont val="Tahoma"/>
            <family val="2"/>
          </rPr>
          <t>Old value:
$1,000
Assume this</t>
        </r>
      </text>
    </comment>
    <comment ref="F399" authorId="3" shapeId="0">
      <text>
        <r>
          <rPr>
            <b/>
            <sz val="9"/>
            <color indexed="81"/>
            <rFont val="Tahoma"/>
            <charset val="1"/>
          </rPr>
          <t>Changed to go off CP worksheet
Old value:
10</t>
        </r>
      </text>
    </comment>
    <comment ref="G399" authorId="3" shapeId="0">
      <text>
        <r>
          <rPr>
            <b/>
            <sz val="9"/>
            <color indexed="81"/>
            <rFont val="Tahoma"/>
            <family val="2"/>
          </rPr>
          <t>Old value:
10</t>
        </r>
      </text>
    </comment>
    <comment ref="H399" authorId="1" shapeId="0">
      <text>
        <r>
          <rPr>
            <b/>
            <sz val="8"/>
            <color indexed="81"/>
            <rFont val="Tahoma"/>
            <family val="2"/>
          </rPr>
          <t>Default:
2%
Old value of 2%
Old value of 4.5%</t>
        </r>
      </text>
    </comment>
    <comment ref="I399"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399" authorId="3" shapeId="0">
      <text>
        <r>
          <rPr>
            <b/>
            <sz val="9"/>
            <color indexed="81"/>
            <rFont val="Tahoma"/>
            <family val="2"/>
          </rPr>
          <t>Assume default:
1</t>
        </r>
      </text>
    </comment>
    <comment ref="C400" authorId="0" shapeId="0">
      <text>
        <r>
          <rPr>
            <b/>
            <sz val="8"/>
            <color indexed="81"/>
            <rFont val="Tahoma"/>
            <family val="2"/>
          </rPr>
          <t>Use for all crops</t>
        </r>
      </text>
    </comment>
    <comment ref="D400" authorId="0" shapeId="0">
      <text>
        <r>
          <rPr>
            <b/>
            <sz val="8"/>
            <color indexed="81"/>
            <rFont val="Tahoma"/>
            <family val="2"/>
          </rPr>
          <t>Default:
=E355+(E355*$K$240)
12536.3537615193
Adjusted by PPI to convert from 2002 surveyed cost to 2010. Assume worth $10,000.</t>
        </r>
      </text>
    </comment>
    <comment ref="E400" authorId="3" shapeId="0">
      <text>
        <r>
          <rPr>
            <b/>
            <sz val="9"/>
            <color indexed="81"/>
            <rFont val="Tahoma"/>
            <family val="2"/>
          </rPr>
          <t>Old value:
$10,000
Assume this</t>
        </r>
      </text>
    </comment>
    <comment ref="F400" authorId="3" shapeId="0">
      <text>
        <r>
          <rPr>
            <b/>
            <sz val="9"/>
            <color indexed="81"/>
            <rFont val="Tahoma"/>
            <charset val="1"/>
          </rPr>
          <t>Changed to go off CP worksheet
Old value:
10</t>
        </r>
      </text>
    </comment>
    <comment ref="G400" authorId="3" shapeId="0">
      <text>
        <r>
          <rPr>
            <b/>
            <sz val="9"/>
            <color indexed="81"/>
            <rFont val="Tahoma"/>
            <family val="2"/>
          </rPr>
          <t>Old value:
10</t>
        </r>
      </text>
    </comment>
    <comment ref="H400" authorId="1" shapeId="0">
      <text>
        <r>
          <rPr>
            <b/>
            <sz val="8"/>
            <color indexed="81"/>
            <rFont val="Tahoma"/>
            <family val="2"/>
          </rPr>
          <t>Default:
2%
Old value of 2%
Old value of 4.5%</t>
        </r>
      </text>
    </comment>
    <comment ref="I400"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M400" authorId="3" shapeId="0">
      <text>
        <r>
          <rPr>
            <b/>
            <sz val="9"/>
            <color indexed="81"/>
            <rFont val="Tahoma"/>
            <family val="2"/>
          </rPr>
          <t>Assume default:
1</t>
        </r>
      </text>
    </comment>
    <comment ref="E403" authorId="3" shapeId="0">
      <text>
        <r>
          <rPr>
            <b/>
            <sz val="9"/>
            <color indexed="81"/>
            <rFont val="Tahoma"/>
            <family val="2"/>
          </rPr>
          <t>Old value</t>
        </r>
      </text>
    </comment>
    <comment ref="F403" authorId="0" shapeId="0">
      <text>
        <r>
          <rPr>
            <sz val="8"/>
            <color indexed="81"/>
            <rFont val="Tahoma"/>
            <family val="2"/>
          </rPr>
          <t>Adjust useful life for remaining years left in life and change to 1 yr expected life if useful life has expired</t>
        </r>
      </text>
    </comment>
    <comment ref="G403" authorId="0" shapeId="0">
      <text>
        <r>
          <rPr>
            <sz val="8"/>
            <color indexed="81"/>
            <rFont val="Tahoma"/>
            <family val="2"/>
          </rPr>
          <t>Adjust useful life for remaining years left in life and change to 1 yr expected life if useful life has expired</t>
        </r>
      </text>
    </comment>
    <comment ref="C404" authorId="0" shapeId="0">
      <text>
        <r>
          <rPr>
            <sz val="8"/>
            <color indexed="81"/>
            <rFont val="Tahoma"/>
            <family val="2"/>
          </rPr>
          <t>Use for just grazing</t>
        </r>
      </text>
    </comment>
    <comment ref="H404" authorId="1" shapeId="0">
      <text>
        <r>
          <rPr>
            <b/>
            <sz val="8"/>
            <color indexed="81"/>
            <rFont val="Tahoma"/>
            <family val="2"/>
          </rPr>
          <t>Old value of 1%</t>
        </r>
      </text>
    </comment>
    <comment ref="K404" authorId="1" shapeId="0">
      <text>
        <r>
          <rPr>
            <sz val="8"/>
            <color indexed="81"/>
            <rFont val="Tahoma"/>
            <family val="2"/>
          </rPr>
          <t xml:space="preserve">Adjusted by PPI to convert from 2002 surveyed cost to 2010. </t>
        </r>
      </text>
    </comment>
    <comment ref="L404" authorId="1" shapeId="0">
      <text>
        <r>
          <rPr>
            <u/>
            <sz val="8"/>
            <color indexed="81"/>
            <rFont val="Tahoma"/>
            <family val="2"/>
          </rPr>
          <t>Use 2002 Nebraska study</t>
        </r>
        <r>
          <rPr>
            <sz val="8"/>
            <color indexed="81"/>
            <rFont val="Tahoma"/>
            <family val="2"/>
          </rPr>
          <t>:
http://digitalcommons.unl.edu/cgi/viewcontent.cgi?article=1074&amp;context=extensionhist&amp;sei-redir=1#search=%22cost%20fencing%20grazing%22</t>
        </r>
      </text>
    </comment>
    <comment ref="C405" authorId="0" shapeId="0">
      <text>
        <r>
          <rPr>
            <sz val="8"/>
            <color indexed="81"/>
            <rFont val="Tahoma"/>
            <family val="2"/>
          </rPr>
          <t>Use for just grazing</t>
        </r>
      </text>
    </comment>
    <comment ref="E405" authorId="1" shapeId="0">
      <text>
        <r>
          <rPr>
            <sz val="8"/>
            <color indexed="81"/>
            <rFont val="Tahoma"/>
            <family val="2"/>
          </rPr>
          <t>Assume need 3 cross polywires per paddock. Also assume split field into quadrants so need 2 more cross wires per paddock.</t>
        </r>
      </text>
    </comment>
    <comment ref="H405" authorId="1" shapeId="0">
      <text>
        <r>
          <rPr>
            <b/>
            <sz val="8"/>
            <color indexed="81"/>
            <rFont val="Tahoma"/>
            <family val="2"/>
          </rPr>
          <t>Old value of 1%</t>
        </r>
      </text>
    </comment>
    <comment ref="K405" authorId="1" shapeId="0">
      <text>
        <r>
          <rPr>
            <sz val="8"/>
            <color indexed="81"/>
            <rFont val="Tahoma"/>
            <family val="2"/>
          </rPr>
          <t xml:space="preserve">Adjusted by PPI to convert from 2002 surveyed cost to 2010. </t>
        </r>
      </text>
    </comment>
    <comment ref="L405" authorId="1" shapeId="0">
      <text>
        <r>
          <rPr>
            <u/>
            <sz val="8"/>
            <color indexed="81"/>
            <rFont val="Tahoma"/>
            <family val="2"/>
          </rPr>
          <t>Use 2002 Nebraska study</t>
        </r>
        <r>
          <rPr>
            <sz val="8"/>
            <color indexed="81"/>
            <rFont val="Tahoma"/>
            <family val="2"/>
          </rPr>
          <t>:
http://digitalcommons.unl.edu/cgi/viewcontent.cgi?article=1074&amp;context=extensionhist&amp;sei-redir=1#search=%22cost%20fencing%20grazing%22</t>
        </r>
      </text>
    </comment>
    <comment ref="E408" authorId="3" shapeId="0">
      <text>
        <r>
          <rPr>
            <b/>
            <sz val="9"/>
            <color indexed="81"/>
            <rFont val="Tahoma"/>
            <family val="2"/>
          </rPr>
          <t>Old value</t>
        </r>
      </text>
    </comment>
    <comment ref="F408" authorId="0" shapeId="0">
      <text>
        <r>
          <rPr>
            <sz val="8"/>
            <color indexed="81"/>
            <rFont val="Tahoma"/>
            <family val="2"/>
          </rPr>
          <t>Adjust useful life for remaining years left in life and change to 1 yr expected life if useful life has expired</t>
        </r>
      </text>
    </comment>
    <comment ref="G408" authorId="0" shapeId="0">
      <text>
        <r>
          <rPr>
            <sz val="8"/>
            <color indexed="81"/>
            <rFont val="Tahoma"/>
            <family val="2"/>
          </rPr>
          <t>Adjust useful life for remaining years left in life and change to 1 yr expected life if useful life has expired</t>
        </r>
      </text>
    </comment>
    <comment ref="D409" authorId="1" shapeId="0">
      <text>
        <r>
          <rPr>
            <sz val="8"/>
            <color indexed="81"/>
            <rFont val="Tahoma"/>
            <family val="2"/>
          </rPr>
          <t xml:space="preserve">Adjusted by PPI to convert from 2002 surveyed cost to 2010. </t>
        </r>
      </text>
    </comment>
    <comment ref="E409" authorId="1" shapeId="0">
      <text>
        <r>
          <rPr>
            <b/>
            <sz val="8"/>
            <color indexed="81"/>
            <rFont val="Tahoma"/>
            <family val="2"/>
          </rPr>
          <t>Old value of $20,000 for mediume model.</t>
        </r>
      </text>
    </comment>
    <comment ref="H409" authorId="1" shapeId="0">
      <text>
        <r>
          <rPr>
            <b/>
            <sz val="8"/>
            <color indexed="81"/>
            <rFont val="Tahoma"/>
            <family val="2"/>
          </rPr>
          <t>Old value of 2%</t>
        </r>
      </text>
    </comment>
    <comment ref="I409"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D410" authorId="1" shapeId="0">
      <text>
        <r>
          <rPr>
            <sz val="8"/>
            <color indexed="81"/>
            <rFont val="Tahoma"/>
            <family val="2"/>
          </rPr>
          <t xml:space="preserve">Adjusted by PPI to convert from 2002 surveyed cost to 2010. </t>
        </r>
      </text>
    </comment>
    <comment ref="E410" authorId="2" shapeId="0">
      <text>
        <r>
          <rPr>
            <sz val="8"/>
            <color indexed="81"/>
            <rFont val="Tahoma"/>
            <family val="2"/>
          </rPr>
          <t>Assume $20,000 from a cooperating potato farmer.</t>
        </r>
      </text>
    </comment>
    <comment ref="H410" authorId="1" shapeId="0">
      <text>
        <r>
          <rPr>
            <b/>
            <sz val="8"/>
            <color indexed="81"/>
            <rFont val="Tahoma"/>
            <family val="2"/>
          </rPr>
          <t>Old value of 2%</t>
        </r>
      </text>
    </comment>
    <comment ref="I410"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B411" authorId="3" shapeId="0">
      <text>
        <r>
          <rPr>
            <b/>
            <sz val="9"/>
            <color indexed="81"/>
            <rFont val="Tahoma"/>
            <family val="2"/>
          </rPr>
          <t>Old value of 2.</t>
        </r>
      </text>
    </comment>
    <comment ref="D411" authorId="1" shapeId="0">
      <text>
        <r>
          <rPr>
            <sz val="8"/>
            <color indexed="81"/>
            <rFont val="Tahoma"/>
            <family val="2"/>
          </rPr>
          <t xml:space="preserve">Adjusted by PPI to convert from 2002 surveyed cost to 2010. </t>
        </r>
      </text>
    </comment>
    <comment ref="E411" authorId="2" shapeId="0">
      <text>
        <r>
          <rPr>
            <sz val="8"/>
            <color indexed="81"/>
            <rFont val="Tahoma"/>
            <family val="2"/>
          </rPr>
          <t>From a cooperating potato farmer</t>
        </r>
      </text>
    </comment>
    <comment ref="H411" authorId="1" shapeId="0">
      <text>
        <r>
          <rPr>
            <b/>
            <sz val="8"/>
            <color indexed="81"/>
            <rFont val="Tahoma"/>
            <family val="2"/>
          </rPr>
          <t>Old value of 2%</t>
        </r>
      </text>
    </comment>
    <comment ref="I411"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D412" authorId="1" shapeId="0">
      <text>
        <r>
          <rPr>
            <sz val="8"/>
            <color indexed="81"/>
            <rFont val="Tahoma"/>
            <family val="2"/>
          </rPr>
          <t xml:space="preserve">Adjusted by PPI to convert from 2002 surveyed cost to 2010. </t>
        </r>
      </text>
    </comment>
    <comment ref="E412" authorId="2" shapeId="0">
      <text>
        <r>
          <rPr>
            <sz val="8"/>
            <color indexed="81"/>
            <rFont val="Tahoma"/>
            <family val="2"/>
          </rPr>
          <t>Assume same packing line as conventional potato M/L.  Old value of $18,947 for elevators from cooperating potato farmer.  Old value of $15,000 for medium model.</t>
        </r>
      </text>
    </comment>
    <comment ref="H412" authorId="1" shapeId="0">
      <text>
        <r>
          <rPr>
            <b/>
            <sz val="8"/>
            <color indexed="81"/>
            <rFont val="Tahoma"/>
            <family val="2"/>
          </rPr>
          <t>Old value of 2%</t>
        </r>
      </text>
    </comment>
    <comment ref="I412"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D413" authorId="1" shapeId="0">
      <text>
        <r>
          <rPr>
            <sz val="8"/>
            <color indexed="81"/>
            <rFont val="Tahoma"/>
            <family val="2"/>
          </rPr>
          <t xml:space="preserve">Adjusted by PPI to convert from 2002 surveyed cost to 2010. </t>
        </r>
      </text>
    </comment>
    <comment ref="E413" authorId="0" shapeId="0">
      <text>
        <r>
          <rPr>
            <sz val="8"/>
            <color indexed="81"/>
            <rFont val="Tahoma"/>
            <family val="2"/>
          </rPr>
          <t xml:space="preserve">Assume same as conventional potato M/L.  Old value of $32,346 is average from cooperating potato farmers.
</t>
        </r>
      </text>
    </comment>
    <comment ref="H413" authorId="1" shapeId="0">
      <text>
        <r>
          <rPr>
            <b/>
            <sz val="8"/>
            <color indexed="81"/>
            <rFont val="Tahoma"/>
            <family val="2"/>
          </rPr>
          <t>Old value of 2%</t>
        </r>
      </text>
    </comment>
    <comment ref="I413" authorId="1" shapeId="0">
      <text>
        <r>
          <rPr>
            <b/>
            <sz val="8"/>
            <color indexed="81"/>
            <rFont val="Tahoma"/>
            <family val="2"/>
          </rPr>
          <t xml:space="preserve">From "Estimating Farm Machinery Costs" in Ag Decision Maker, File A3-29, prepared by William Edwards,
extension economist,
515-294-6161,
wedwards@iastate.edu
Use "Combine, Forage Harvestor"
</t>
        </r>
        <r>
          <rPr>
            <sz val="8"/>
            <color indexed="81"/>
            <rFont val="Tahoma"/>
            <family val="2"/>
          </rPr>
          <t xml:space="preserve">
</t>
        </r>
      </text>
    </comment>
    <comment ref="E416" authorId="3" shapeId="0">
      <text>
        <r>
          <rPr>
            <b/>
            <sz val="9"/>
            <color indexed="81"/>
            <rFont val="Tahoma"/>
            <family val="2"/>
          </rPr>
          <t>Old value</t>
        </r>
      </text>
    </comment>
    <comment ref="F416" authorId="0" shapeId="0">
      <text>
        <r>
          <rPr>
            <sz val="8"/>
            <color indexed="81"/>
            <rFont val="Tahoma"/>
            <family val="2"/>
          </rPr>
          <t>Adjust useful life for remaining years left in life and change to 1 yr expected life if useful life has expired</t>
        </r>
      </text>
    </comment>
    <comment ref="G416" authorId="0" shapeId="0">
      <text>
        <r>
          <rPr>
            <sz val="8"/>
            <color indexed="81"/>
            <rFont val="Tahoma"/>
            <family val="2"/>
          </rPr>
          <t>Adjust useful life for remaining years left in life and change to 1 yr expected life if useful life has expired</t>
        </r>
      </text>
    </comment>
    <comment ref="D417" authorId="1" shapeId="0">
      <text>
        <r>
          <rPr>
            <b/>
            <sz val="8"/>
            <color indexed="81"/>
            <rFont val="Tahoma"/>
            <family val="2"/>
          </rPr>
          <t>Default:
25000
Based on smaller cooperating organic wheat producer for if buy new</t>
        </r>
      </text>
    </comment>
    <comment ref="E417" authorId="3" shapeId="0">
      <text>
        <r>
          <rPr>
            <b/>
            <sz val="9"/>
            <color indexed="81"/>
            <rFont val="Tahoma"/>
            <family val="2"/>
          </rPr>
          <t>Old value:
n/a</t>
        </r>
      </text>
    </comment>
    <comment ref="F417" authorId="3" shapeId="0">
      <text>
        <r>
          <rPr>
            <b/>
            <sz val="9"/>
            <color indexed="81"/>
            <rFont val="Tahoma"/>
            <family val="2"/>
          </rPr>
          <t>Changed to go off CP worksheet
=IF($G$238=1,$I$238,J377)
Based on cooperating organic wheat producer</t>
        </r>
      </text>
    </comment>
    <comment ref="G417" authorId="3" shapeId="0">
      <text>
        <r>
          <rPr>
            <b/>
            <sz val="9"/>
            <color indexed="81"/>
            <rFont val="Tahoma"/>
            <family val="2"/>
          </rPr>
          <t>Old value:
n/a</t>
        </r>
      </text>
    </comment>
    <comment ref="H417" authorId="1" shapeId="0">
      <text>
        <r>
          <rPr>
            <b/>
            <sz val="8"/>
            <color indexed="81"/>
            <rFont val="Tahoma"/>
            <family val="2"/>
          </rPr>
          <t xml:space="preserve">Default:
2%
Assume this </t>
        </r>
      </text>
    </comment>
    <comment ref="I417" authorId="1" shapeId="0">
      <text>
        <r>
          <rPr>
            <b/>
            <sz val="8"/>
            <color indexed="81"/>
            <rFont val="Tahoma"/>
            <family val="2"/>
          </rPr>
          <t>Default:
19%
Assume same as auger</t>
        </r>
      </text>
    </comment>
    <comment ref="J417" authorId="3" shapeId="0">
      <text>
        <r>
          <rPr>
            <b/>
            <sz val="9"/>
            <color indexed="81"/>
            <rFont val="Tahoma"/>
            <family val="2"/>
          </rPr>
          <t>Based on cooperating organic wheat producer</t>
        </r>
      </text>
    </comment>
    <comment ref="M417" authorId="3" shapeId="0">
      <text>
        <r>
          <rPr>
            <b/>
            <sz val="9"/>
            <color indexed="81"/>
            <rFont val="Tahoma"/>
            <family val="2"/>
          </rPr>
          <t>Assume default:
1</t>
        </r>
      </text>
    </comment>
    <comment ref="D418" authorId="1" shapeId="0">
      <text>
        <r>
          <rPr>
            <b/>
            <sz val="8"/>
            <color indexed="81"/>
            <rFont val="Tahoma"/>
            <family val="2"/>
          </rPr>
          <t>Default:
50000
Based on smaller cooperating organic wheat producer for if buy new</t>
        </r>
      </text>
    </comment>
    <comment ref="E418" authorId="3" shapeId="0">
      <text>
        <r>
          <rPr>
            <b/>
            <sz val="9"/>
            <color indexed="81"/>
            <rFont val="Tahoma"/>
            <family val="2"/>
          </rPr>
          <t>Old value:
n/a</t>
        </r>
      </text>
    </comment>
    <comment ref="F418" authorId="3" shapeId="0">
      <text>
        <r>
          <rPr>
            <b/>
            <sz val="9"/>
            <color indexed="81"/>
            <rFont val="Tahoma"/>
            <family val="2"/>
          </rPr>
          <t>Changed to go off CP worksheet
=IF($G$238=1,$I$239,J378)
Based on cooperating organic wheat producer</t>
        </r>
      </text>
    </comment>
    <comment ref="G418" authorId="3" shapeId="0">
      <text>
        <r>
          <rPr>
            <b/>
            <sz val="9"/>
            <color indexed="81"/>
            <rFont val="Tahoma"/>
            <family val="2"/>
          </rPr>
          <t>Old value:
n/a</t>
        </r>
      </text>
    </comment>
    <comment ref="H418" authorId="1" shapeId="0">
      <text>
        <r>
          <rPr>
            <b/>
            <sz val="8"/>
            <color indexed="81"/>
            <rFont val="Tahoma"/>
            <family val="2"/>
          </rPr>
          <t xml:space="preserve">Default:
2%
Assume this </t>
        </r>
      </text>
    </comment>
    <comment ref="I418" authorId="1" shapeId="0">
      <text>
        <r>
          <rPr>
            <b/>
            <sz val="8"/>
            <color indexed="81"/>
            <rFont val="Tahoma"/>
            <family val="2"/>
          </rPr>
          <t>Default:
19%
Assume same as auger</t>
        </r>
      </text>
    </comment>
    <comment ref="J418" authorId="3" shapeId="0">
      <text>
        <r>
          <rPr>
            <b/>
            <sz val="9"/>
            <color indexed="81"/>
            <rFont val="Tahoma"/>
            <family val="2"/>
          </rPr>
          <t>Based on cooperating organic wheat producer</t>
        </r>
      </text>
    </comment>
    <comment ref="M418" authorId="3" shapeId="0">
      <text>
        <r>
          <rPr>
            <b/>
            <sz val="9"/>
            <color indexed="81"/>
            <rFont val="Tahoma"/>
            <family val="2"/>
          </rPr>
          <t>Assume default:
1</t>
        </r>
      </text>
    </comment>
    <comment ref="D419" authorId="1" shapeId="0">
      <text>
        <r>
          <rPr>
            <b/>
            <sz val="8"/>
            <color indexed="81"/>
            <rFont val="Tahoma"/>
            <family val="2"/>
          </rPr>
          <t>Default:
97500
Based on cooperating large organic wheat producer range for if buy new</t>
        </r>
      </text>
    </comment>
    <comment ref="E419" authorId="3" shapeId="0">
      <text>
        <r>
          <rPr>
            <b/>
            <sz val="9"/>
            <color indexed="81"/>
            <rFont val="Tahoma"/>
            <family val="2"/>
          </rPr>
          <t>Old value:
n/a</t>
        </r>
      </text>
    </comment>
    <comment ref="F419" authorId="3" shapeId="0">
      <text>
        <r>
          <rPr>
            <b/>
            <sz val="9"/>
            <color indexed="81"/>
            <rFont val="Tahoma"/>
            <family val="2"/>
          </rPr>
          <t>Changed to go off CP worksheet
=IF($G$238=1,$I$240,J379)
Based on cooperating organic wheat producer</t>
        </r>
      </text>
    </comment>
    <comment ref="G419" authorId="3" shapeId="0">
      <text>
        <r>
          <rPr>
            <b/>
            <sz val="9"/>
            <color indexed="81"/>
            <rFont val="Tahoma"/>
            <family val="2"/>
          </rPr>
          <t>Old value:
n/a</t>
        </r>
      </text>
    </comment>
    <comment ref="H419" authorId="1" shapeId="0">
      <text>
        <r>
          <rPr>
            <b/>
            <sz val="8"/>
            <color indexed="81"/>
            <rFont val="Tahoma"/>
            <family val="2"/>
          </rPr>
          <t xml:space="preserve">Default:
2%
Assume this </t>
        </r>
      </text>
    </comment>
    <comment ref="I419" authorId="1" shapeId="0">
      <text>
        <r>
          <rPr>
            <b/>
            <sz val="8"/>
            <color indexed="81"/>
            <rFont val="Tahoma"/>
            <family val="2"/>
          </rPr>
          <t>Default:
19%
Assume same as auger</t>
        </r>
      </text>
    </comment>
    <comment ref="J419" authorId="3" shapeId="0">
      <text>
        <r>
          <rPr>
            <b/>
            <sz val="9"/>
            <color indexed="81"/>
            <rFont val="Tahoma"/>
            <family val="2"/>
          </rPr>
          <t>Based on cooperating organic wheat producer</t>
        </r>
      </text>
    </comment>
    <comment ref="M419" authorId="3" shapeId="0">
      <text>
        <r>
          <rPr>
            <b/>
            <sz val="9"/>
            <color indexed="81"/>
            <rFont val="Tahoma"/>
            <family val="2"/>
          </rPr>
          <t>Assume default:
1</t>
        </r>
      </text>
    </comment>
    <comment ref="E422" authorId="3" shapeId="0">
      <text>
        <r>
          <rPr>
            <b/>
            <sz val="9"/>
            <color indexed="81"/>
            <rFont val="Tahoma"/>
            <family val="2"/>
          </rPr>
          <t>Old value</t>
        </r>
      </text>
    </comment>
    <comment ref="F422" authorId="0" shapeId="0">
      <text>
        <r>
          <rPr>
            <sz val="8"/>
            <color indexed="81"/>
            <rFont val="Tahoma"/>
            <family val="2"/>
          </rPr>
          <t>Adjust useful life for remaining years left in life and change to 1 yr expected life if useful life has expired</t>
        </r>
      </text>
    </comment>
    <comment ref="G422" authorId="0" shapeId="0">
      <text>
        <r>
          <rPr>
            <sz val="8"/>
            <color indexed="81"/>
            <rFont val="Tahoma"/>
            <family val="2"/>
          </rPr>
          <t>Adjust useful life for remaining years left in life and change to 1 yr expected life if useful life has expired</t>
        </r>
      </text>
    </comment>
    <comment ref="D423" authorId="1" shapeId="0">
      <text>
        <r>
          <rPr>
            <b/>
            <sz val="8"/>
            <color indexed="81"/>
            <rFont val="Tahoma"/>
            <family val="2"/>
          </rPr>
          <t>Default:
4000
Adjusted by PPI to convert from 2002 surveyed cost to 2010. 
Old value:
=E278+(E278*$I$204)</t>
        </r>
      </text>
    </comment>
    <comment ref="E423" authorId="0" shapeId="0">
      <text>
        <r>
          <rPr>
            <b/>
            <sz val="8"/>
            <color indexed="81"/>
            <rFont val="Tahoma"/>
            <family val="2"/>
          </rPr>
          <t>Old value:
3000
Assume about same cost as cooperating dairy farmer</t>
        </r>
      </text>
    </comment>
    <comment ref="F423" authorId="3" shapeId="0">
      <text>
        <r>
          <rPr>
            <b/>
            <sz val="9"/>
            <color indexed="81"/>
            <rFont val="Tahoma"/>
            <family val="2"/>
          </rPr>
          <t>Changed to go off CP worksheet
=IF($G$238=1,$I$238,($O$301/N383)*$Q$301)
=$Q$258/((barley+oats+rye+wheat+triticale+spelt+peas+soy)/$T$258)
8 years too low if use acres so adjust this upward using annual hours.</t>
        </r>
      </text>
    </comment>
    <comment ref="G423" authorId="3" shapeId="0">
      <text>
        <r>
          <rPr>
            <b/>
            <sz val="9"/>
            <color indexed="81"/>
            <rFont val="Tahoma"/>
            <family val="2"/>
          </rPr>
          <t>Old value:
10</t>
        </r>
      </text>
    </comment>
    <comment ref="H423" authorId="1" shapeId="0">
      <text>
        <r>
          <rPr>
            <b/>
            <sz val="8"/>
            <color indexed="81"/>
            <rFont val="Tahoma"/>
            <family val="2"/>
          </rPr>
          <t>Default:
2%
Old value of 2%
Old value of 4.5%</t>
        </r>
      </text>
    </comment>
    <comment ref="I423" authorId="1" shapeId="0">
      <text>
        <r>
          <rPr>
            <b/>
            <sz val="8"/>
            <color indexed="81"/>
            <rFont val="Tahoma"/>
            <family val="2"/>
          </rPr>
          <t>Default:
19%
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J423" authorId="3" shapeId="0">
      <text>
        <r>
          <rPr>
            <b/>
            <sz val="9"/>
            <color indexed="81"/>
            <rFont val="Tahoma"/>
            <family val="2"/>
          </rPr>
          <t>Assume this</t>
        </r>
      </text>
    </comment>
    <comment ref="M423" authorId="3" shapeId="0">
      <text>
        <r>
          <rPr>
            <b/>
            <sz val="9"/>
            <color indexed="81"/>
            <rFont val="Tahoma"/>
            <family val="2"/>
          </rPr>
          <t>Assume default:
1</t>
        </r>
      </text>
    </comment>
    <comment ref="D424" authorId="1" shapeId="0">
      <text>
        <r>
          <rPr>
            <b/>
            <sz val="8"/>
            <color indexed="81"/>
            <rFont val="Tahoma"/>
            <family val="2"/>
          </rPr>
          <t>Default:
4000
Adjusted by PPI to convert from 2002 surveyed cost to 2010. 
Old value:
=E278+(E278*$I$204)</t>
        </r>
      </text>
    </comment>
    <comment ref="E424" authorId="0" shapeId="0">
      <text>
        <r>
          <rPr>
            <b/>
            <sz val="8"/>
            <color indexed="81"/>
            <rFont val="Tahoma"/>
            <family val="2"/>
          </rPr>
          <t>Old value:
3000
Assume about same cost as cooperating dairy farmer</t>
        </r>
      </text>
    </comment>
    <comment ref="F424" authorId="3" shapeId="0">
      <text>
        <r>
          <rPr>
            <b/>
            <sz val="9"/>
            <color indexed="81"/>
            <rFont val="Tahoma"/>
            <family val="2"/>
          </rPr>
          <t>Changed to go off CP worksheet
=IF($G$238=1,$I$239,($O$301/N384)*$Q$301)
=$Q$258/((barley+oats+rye+wheat+triticale+spelt+peas+soy)/$T$258)
8 years too low if use acres so adjust this upward using annual hours.</t>
        </r>
      </text>
    </comment>
    <comment ref="G424" authorId="3" shapeId="0">
      <text>
        <r>
          <rPr>
            <b/>
            <sz val="9"/>
            <color indexed="81"/>
            <rFont val="Tahoma"/>
            <family val="2"/>
          </rPr>
          <t>Old value:
10</t>
        </r>
      </text>
    </comment>
    <comment ref="H424" authorId="1" shapeId="0">
      <text>
        <r>
          <rPr>
            <b/>
            <sz val="8"/>
            <color indexed="81"/>
            <rFont val="Tahoma"/>
            <family val="2"/>
          </rPr>
          <t>Default:
2%
Old value of 2%
Old value of 4.5%</t>
        </r>
      </text>
    </comment>
    <comment ref="I424" authorId="1" shapeId="0">
      <text>
        <r>
          <rPr>
            <b/>
            <sz val="8"/>
            <color indexed="81"/>
            <rFont val="Tahoma"/>
            <family val="2"/>
          </rPr>
          <t>Default:
19%
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J424" authorId="3" shapeId="0">
      <text>
        <r>
          <rPr>
            <b/>
            <sz val="9"/>
            <color indexed="81"/>
            <rFont val="Tahoma"/>
            <family val="2"/>
          </rPr>
          <t>Assume this</t>
        </r>
      </text>
    </comment>
    <comment ref="M424" authorId="3" shapeId="0">
      <text>
        <r>
          <rPr>
            <b/>
            <sz val="9"/>
            <color indexed="81"/>
            <rFont val="Tahoma"/>
            <family val="2"/>
          </rPr>
          <t>Assume default:
1</t>
        </r>
      </text>
    </comment>
    <comment ref="O424" authorId="3" shapeId="0">
      <text>
        <r>
          <rPr>
            <b/>
            <sz val="9"/>
            <color indexed="81"/>
            <rFont val="Tahoma"/>
            <family val="2"/>
          </rPr>
          <t xml:space="preserve">Base this on 4 inch auger at 45 degree angle and auger RPM=200 for corn grain adjusted to other small grain and pulse bushel weights relative to corn
http://www.agmachinery.okstate.edu/MachineryManagement/Auger%20Conveyors.pdf </t>
        </r>
      </text>
    </comment>
    <comment ref="Q424" authorId="3" shapeId="0">
      <text>
        <r>
          <rPr>
            <b/>
            <sz val="9"/>
            <color indexed="81"/>
            <rFont val="Tahoma"/>
            <family val="2"/>
          </rPr>
          <t xml:space="preserve">Base this on 4 inch auger at 45 degree angle for corn grain adjusted to other small grain and pulse bushel weights relative to corn
http://www.agmachinery.okstate.edu/MachineryManagement/Auger%20Conveyors.pdf </t>
        </r>
      </text>
    </comment>
    <comment ref="D425" authorId="1" shapeId="0">
      <text>
        <r>
          <rPr>
            <b/>
            <sz val="8"/>
            <color indexed="81"/>
            <rFont val="Tahoma"/>
            <family val="2"/>
          </rPr>
          <t>Default:
4000
Adjusted by PPI to convert from 2002 surveyed cost to 2010. 
Old value:
=E278+(E278*$I$204)</t>
        </r>
      </text>
    </comment>
    <comment ref="E425" authorId="0" shapeId="0">
      <text>
        <r>
          <rPr>
            <b/>
            <sz val="8"/>
            <color indexed="81"/>
            <rFont val="Tahoma"/>
            <family val="2"/>
          </rPr>
          <t>Old value:
3000
Assume about same cost as cooperating dairy farmer</t>
        </r>
      </text>
    </comment>
    <comment ref="F425" authorId="3" shapeId="0">
      <text>
        <r>
          <rPr>
            <b/>
            <sz val="9"/>
            <color indexed="81"/>
            <rFont val="Tahoma"/>
            <family val="2"/>
          </rPr>
          <t>Changed to go off CP worksheet
=IF($G$238=1,$I$240,($O$301/N385)*$Q$301)
=$Q$258/((barley+oats+rye+wheat+triticale+spelt+peas+soy)/$T$258)
8 years too low if use acres so adjust this upward using annual hours.</t>
        </r>
      </text>
    </comment>
    <comment ref="G425" authorId="3" shapeId="0">
      <text>
        <r>
          <rPr>
            <b/>
            <sz val="9"/>
            <color indexed="81"/>
            <rFont val="Tahoma"/>
            <family val="2"/>
          </rPr>
          <t>Old value:
10</t>
        </r>
      </text>
    </comment>
    <comment ref="H425" authorId="1" shapeId="0">
      <text>
        <r>
          <rPr>
            <b/>
            <sz val="8"/>
            <color indexed="81"/>
            <rFont val="Tahoma"/>
            <family val="2"/>
          </rPr>
          <t>Default:
2%
Old value of 2%
Old value of 4.5%</t>
        </r>
      </text>
    </comment>
    <comment ref="I425" authorId="1" shapeId="0">
      <text>
        <r>
          <rPr>
            <b/>
            <sz val="8"/>
            <color indexed="81"/>
            <rFont val="Tahoma"/>
            <family val="2"/>
          </rPr>
          <t>Default:
19%
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J425" authorId="3" shapeId="0">
      <text>
        <r>
          <rPr>
            <b/>
            <sz val="9"/>
            <color indexed="81"/>
            <rFont val="Tahoma"/>
            <family val="2"/>
          </rPr>
          <t>Assume this</t>
        </r>
      </text>
    </comment>
    <comment ref="M425" authorId="3" shapeId="0">
      <text>
        <r>
          <rPr>
            <b/>
            <sz val="9"/>
            <color indexed="81"/>
            <rFont val="Tahoma"/>
            <family val="2"/>
          </rPr>
          <t>Assume default:
1</t>
        </r>
      </text>
    </comment>
    <comment ref="D426" authorId="1" shapeId="0">
      <text>
        <r>
          <rPr>
            <sz val="8"/>
            <color indexed="81"/>
            <rFont val="Tahoma"/>
            <family val="2"/>
          </rPr>
          <t xml:space="preserve">Adjusted by PPI to convert from 2002 surveyed cost to 2010. </t>
        </r>
      </text>
    </comment>
    <comment ref="E426" authorId="2" shapeId="0">
      <text>
        <r>
          <rPr>
            <sz val="8"/>
            <color indexed="81"/>
            <rFont val="Tahoma"/>
            <family val="2"/>
          </rPr>
          <t>Assume about same cost as cooperating dairy farmer</t>
        </r>
      </text>
    </comment>
    <comment ref="F426" authorId="2" shapeId="0">
      <text>
        <r>
          <rPr>
            <sz val="8"/>
            <color indexed="81"/>
            <rFont val="Tahoma"/>
            <family val="2"/>
          </rPr>
          <t>Assume 10 yr useful life</t>
        </r>
      </text>
    </comment>
    <comment ref="G426" authorId="2" shapeId="0">
      <text>
        <r>
          <rPr>
            <sz val="8"/>
            <color indexed="81"/>
            <rFont val="Tahoma"/>
            <family val="2"/>
          </rPr>
          <t>Assume 10 yr useful life</t>
        </r>
      </text>
    </comment>
    <comment ref="H426" authorId="1" shapeId="0">
      <text>
        <r>
          <rPr>
            <b/>
            <sz val="8"/>
            <color indexed="81"/>
            <rFont val="Tahoma"/>
            <family val="2"/>
          </rPr>
          <t>Old value of 2%
Old value of 4.5%</t>
        </r>
      </text>
    </comment>
    <comment ref="I426"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27" authorId="1" shapeId="0">
      <text>
        <r>
          <rPr>
            <b/>
            <sz val="8"/>
            <color indexed="81"/>
            <rFont val="Tahoma"/>
            <family val="2"/>
          </rPr>
          <t xml:space="preserve">Adjusted by PPI to convert from 2002 surveyed cost to 2010. </t>
        </r>
      </text>
    </comment>
    <comment ref="E427" authorId="0" shapeId="0">
      <text>
        <r>
          <rPr>
            <sz val="8"/>
            <color indexed="81"/>
            <rFont val="Tahoma"/>
            <family val="2"/>
          </rPr>
          <t>Assume about same cost as cooperating dairy farmer</t>
        </r>
      </text>
    </comment>
    <comment ref="F427" authorId="3" shapeId="0">
      <text>
        <r>
          <rPr>
            <b/>
            <sz val="9"/>
            <color indexed="81"/>
            <rFont val="Tahoma"/>
            <family val="2"/>
          </rPr>
          <t>If use estimated hours then this is too short of a useful life at 5.4 years so use default assumption of 10 years useful life.
=($O$244/N319)*$R$244</t>
        </r>
      </text>
    </comment>
    <comment ref="G427" authorId="2" shapeId="0">
      <text>
        <r>
          <rPr>
            <sz val="8"/>
            <color indexed="81"/>
            <rFont val="Tahoma"/>
            <family val="2"/>
          </rPr>
          <t>Assume 10 yr useful life</t>
        </r>
      </text>
    </comment>
    <comment ref="H427" authorId="1" shapeId="0">
      <text>
        <r>
          <rPr>
            <b/>
            <sz val="8"/>
            <color indexed="81"/>
            <rFont val="Tahoma"/>
            <family val="2"/>
          </rPr>
          <t>Default:
2%
Old value of 2%
Old value of 4.5%</t>
        </r>
      </text>
    </comment>
    <comment ref="I427" authorId="1" shapeId="0">
      <text>
        <r>
          <rPr>
            <b/>
            <sz val="8"/>
            <color indexed="81"/>
            <rFont val="Tahoma"/>
            <family val="2"/>
          </rPr>
          <t>Default:
19%
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28" authorId="2" shapeId="0">
      <text>
        <r>
          <rPr>
            <b/>
            <sz val="8"/>
            <color indexed="81"/>
            <rFont val="Tahoma"/>
            <family val="2"/>
          </rPr>
          <t xml:space="preserve">Based on survey of cooperating organic grain and pulse farmer. Using tote bags at 1,500 lb capacity (technically 2,000 lb or 1 ton per bag but do not fill to capacity) at $10/bag. 
</t>
        </r>
      </text>
    </comment>
    <comment ref="E428"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28" authorId="3" shapeId="0">
      <text>
        <r>
          <rPr>
            <b/>
            <sz val="9"/>
            <color indexed="81"/>
            <rFont val="Tahoma"/>
            <family val="2"/>
          </rPr>
          <t xml:space="preserve">Default:
5
Assume this.
</t>
        </r>
      </text>
    </comment>
    <comment ref="H428" authorId="1" shapeId="0">
      <text>
        <r>
          <rPr>
            <b/>
            <sz val="8"/>
            <color indexed="81"/>
            <rFont val="Tahoma"/>
            <family val="2"/>
          </rPr>
          <t>Default:
0%
Assume this is 0%</t>
        </r>
      </text>
    </comment>
    <comment ref="I428" authorId="1" shapeId="0">
      <text>
        <r>
          <rPr>
            <b/>
            <sz val="8"/>
            <color indexed="81"/>
            <rFont val="Tahoma"/>
            <family val="2"/>
          </rPr>
          <t>Default:
0%
Assume this is 0%</t>
        </r>
      </text>
    </comment>
    <comment ref="K428" authorId="0" shapeId="0">
      <text>
        <r>
          <rPr>
            <b/>
            <sz val="8"/>
            <color indexed="81"/>
            <rFont val="Tahoma"/>
            <family val="2"/>
          </rPr>
          <t>Old value:
6000
Assume about same cost as cooperating dairy farmer</t>
        </r>
      </text>
    </comment>
    <comment ref="A429"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29" authorId="1" shapeId="0">
      <text>
        <r>
          <rPr>
            <sz val="8"/>
            <color indexed="81"/>
            <rFont val="Tahoma"/>
            <family val="2"/>
          </rPr>
          <t xml:space="preserve">Adjusted by PPI to convert from 2002 surveyed cost to 2010. </t>
        </r>
      </text>
    </comment>
    <comment ref="E429" authorId="1" shapeId="0">
      <text>
        <r>
          <rPr>
            <b/>
            <sz val="8"/>
            <color indexed="81"/>
            <rFont val="Tahoma"/>
            <family val="2"/>
          </rPr>
          <t>Old small value has enough capacity for 100-200 acres of grain.
Value of $29,464 for medium model (old) has capacity for large at 300-400 acres of grain.</t>
        </r>
        <r>
          <rPr>
            <sz val="8"/>
            <color indexed="81"/>
            <rFont val="Tahoma"/>
            <family val="2"/>
          </rPr>
          <t xml:space="preserve">
</t>
        </r>
      </text>
    </comment>
    <comment ref="F429" authorId="3" shapeId="0">
      <text>
        <r>
          <rPr>
            <b/>
            <sz val="9"/>
            <color indexed="81"/>
            <rFont val="Tahoma"/>
            <family val="2"/>
          </rPr>
          <t>Assume this is the same as buildings.</t>
        </r>
      </text>
    </comment>
    <comment ref="H429" authorId="1" shapeId="0">
      <text>
        <r>
          <rPr>
            <b/>
            <sz val="8"/>
            <color indexed="81"/>
            <rFont val="Tahoma"/>
            <family val="2"/>
          </rPr>
          <t>Old value of 1%
Old value of 4.5%</t>
        </r>
      </text>
    </comment>
    <comment ref="I429"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J429" authorId="3" shapeId="0">
      <text>
        <r>
          <rPr>
            <b/>
            <sz val="9"/>
            <color indexed="81"/>
            <rFont val="Tahoma"/>
            <family val="2"/>
          </rPr>
          <t>Assume this</t>
        </r>
      </text>
    </comment>
    <comment ref="K429" authorId="2" shapeId="0">
      <text>
        <r>
          <rPr>
            <b/>
            <sz val="8"/>
            <color indexed="81"/>
            <rFont val="Tahoma"/>
            <family val="2"/>
          </rPr>
          <t>Assume 10 yr useful life</t>
        </r>
      </text>
    </comment>
    <comment ref="A430"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30" authorId="1" shapeId="0">
      <text>
        <r>
          <rPr>
            <sz val="8"/>
            <color indexed="81"/>
            <rFont val="Tahoma"/>
            <family val="2"/>
          </rPr>
          <t xml:space="preserve">Adjusted by PPI to convert from 2002 surveyed cost to 2010. </t>
        </r>
      </text>
    </comment>
    <comment ref="E430" authorId="1" shapeId="0">
      <text>
        <r>
          <rPr>
            <b/>
            <sz val="8"/>
            <color indexed="81"/>
            <rFont val="Tahoma"/>
            <family val="2"/>
          </rPr>
          <t>Value of $29,464 for medium model (old) has capacity for large at 300-400 acres of grain.
Old value of $29,464 for medium model was adjusted (=E361*(E361/E360)).</t>
        </r>
        <r>
          <rPr>
            <sz val="8"/>
            <color indexed="81"/>
            <rFont val="Tahoma"/>
            <family val="2"/>
          </rPr>
          <t xml:space="preserve">
</t>
        </r>
      </text>
    </comment>
    <comment ref="F430" authorId="3" shapeId="0">
      <text>
        <r>
          <rPr>
            <b/>
            <sz val="9"/>
            <color indexed="81"/>
            <rFont val="Tahoma"/>
            <family val="2"/>
          </rPr>
          <t>Assume this is the same as buildings.</t>
        </r>
      </text>
    </comment>
    <comment ref="H430" authorId="1" shapeId="0">
      <text>
        <r>
          <rPr>
            <b/>
            <sz val="8"/>
            <color indexed="81"/>
            <rFont val="Tahoma"/>
            <family val="2"/>
          </rPr>
          <t>Old value of 1%
Old value of 4.5%</t>
        </r>
      </text>
    </comment>
    <comment ref="I430"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J430" authorId="3" shapeId="0">
      <text>
        <r>
          <rPr>
            <b/>
            <sz val="9"/>
            <color indexed="81"/>
            <rFont val="Tahoma"/>
            <family val="2"/>
          </rPr>
          <t>Assume this</t>
        </r>
      </text>
    </comment>
    <comment ref="K430" authorId="1" shapeId="0">
      <text>
        <r>
          <rPr>
            <b/>
            <sz val="8"/>
            <color indexed="81"/>
            <rFont val="Tahoma"/>
            <family val="2"/>
          </rPr>
          <t>Old value of 2%
Old value of 4.5%</t>
        </r>
      </text>
    </comment>
    <comment ref="D431" authorId="1" shapeId="0">
      <text>
        <r>
          <rPr>
            <b/>
            <sz val="8"/>
            <color indexed="81"/>
            <rFont val="Tahoma"/>
            <family val="2"/>
          </rPr>
          <t xml:space="preserve">Default:
=E386+(E386*$K$240)
7521.81225691159
Adjusted by PPI to convert from 2002 surveyed cost to 2010. </t>
        </r>
      </text>
    </comment>
    <comment ref="E431" authorId="0" shapeId="0">
      <text>
        <r>
          <rPr>
            <b/>
            <sz val="8"/>
            <color indexed="81"/>
            <rFont val="Tahoma"/>
            <family val="2"/>
          </rPr>
          <t>Old value:
6000
Assume about same cost as cooperating dairy farmer</t>
        </r>
      </text>
    </comment>
    <comment ref="F431" authorId="3" shapeId="0">
      <text>
        <r>
          <rPr>
            <b/>
            <sz val="9"/>
            <color indexed="81"/>
            <rFont val="Tahoma"/>
            <family val="2"/>
          </rPr>
          <t>Changed to go off CP worksheet
If use estimated hours then this is too short of a useful life at 5.4 years so use default assumption of 10 years useful life.
=($O$244/N321)*$R$244</t>
        </r>
      </text>
    </comment>
    <comment ref="G431" authorId="2" shapeId="0">
      <text>
        <r>
          <rPr>
            <b/>
            <sz val="8"/>
            <color indexed="81"/>
            <rFont val="Tahoma"/>
            <family val="2"/>
          </rPr>
          <t>Assume 10 yr useful life</t>
        </r>
      </text>
    </comment>
    <comment ref="H431" authorId="1" shapeId="0">
      <text>
        <r>
          <rPr>
            <b/>
            <sz val="8"/>
            <color indexed="81"/>
            <rFont val="Tahoma"/>
            <family val="2"/>
          </rPr>
          <t>Old value of 2%
Old value of 4.5%</t>
        </r>
      </text>
    </comment>
    <comment ref="I431"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31"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32" authorId="1" shapeId="0">
      <text>
        <r>
          <rPr>
            <b/>
            <sz val="8"/>
            <color indexed="81"/>
            <rFont val="Tahoma"/>
            <family val="2"/>
          </rPr>
          <t xml:space="preserve">Default:
=E386+(E386*$K$240)
7521.81225691159
Adjusted by PPI to convert from 2002 surveyed cost to 2010. </t>
        </r>
      </text>
    </comment>
    <comment ref="E432" authorId="0" shapeId="0">
      <text>
        <r>
          <rPr>
            <b/>
            <sz val="8"/>
            <color indexed="81"/>
            <rFont val="Tahoma"/>
            <family val="2"/>
          </rPr>
          <t>Old value:
6000
Assume about same cost as cooperating dairy farmer</t>
        </r>
      </text>
    </comment>
    <comment ref="F432" authorId="3" shapeId="0">
      <text>
        <r>
          <rPr>
            <b/>
            <sz val="9"/>
            <color indexed="81"/>
            <rFont val="Tahoma"/>
            <family val="2"/>
          </rPr>
          <t>If use estimated hours then this is too short of a useful life at 5.4 years so use default assumption of 10 years useful life.
=($O$244/N321)*$R$244</t>
        </r>
      </text>
    </comment>
    <comment ref="G432" authorId="2" shapeId="0">
      <text>
        <r>
          <rPr>
            <b/>
            <sz val="8"/>
            <color indexed="81"/>
            <rFont val="Tahoma"/>
            <family val="2"/>
          </rPr>
          <t>Assume 10 yr useful life</t>
        </r>
      </text>
    </comment>
    <comment ref="H432" authorId="1" shapeId="0">
      <text>
        <r>
          <rPr>
            <b/>
            <sz val="8"/>
            <color indexed="81"/>
            <rFont val="Tahoma"/>
            <family val="2"/>
          </rPr>
          <t>Old value of 2%
Old value of 4.5%</t>
        </r>
      </text>
    </comment>
    <comment ref="I432"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33" authorId="1" shapeId="0">
      <text>
        <r>
          <rPr>
            <b/>
            <sz val="8"/>
            <color indexed="81"/>
            <rFont val="Tahoma"/>
            <family val="2"/>
          </rPr>
          <t xml:space="preserve">Default:
=E386+(E386*$K$240)
7521.81225691159
Adjusted by PPI to convert from 2002 surveyed cost to 2010. </t>
        </r>
      </text>
    </comment>
    <comment ref="E433" authorId="0" shapeId="0">
      <text>
        <r>
          <rPr>
            <b/>
            <sz val="8"/>
            <color indexed="81"/>
            <rFont val="Tahoma"/>
            <family val="2"/>
          </rPr>
          <t>Old value:
6000
Assume about same cost as cooperating dairy farmer</t>
        </r>
      </text>
    </comment>
    <comment ref="F433" authorId="3" shapeId="0">
      <text>
        <r>
          <rPr>
            <b/>
            <sz val="9"/>
            <color indexed="81"/>
            <rFont val="Tahoma"/>
            <family val="2"/>
          </rPr>
          <t>If use estimated hours then this is too short of a useful life at 5.4 years so use default assumption of 10 years useful life.
=($O$244/N321)*$R$244</t>
        </r>
      </text>
    </comment>
    <comment ref="G433" authorId="2" shapeId="0">
      <text>
        <r>
          <rPr>
            <b/>
            <sz val="8"/>
            <color indexed="81"/>
            <rFont val="Tahoma"/>
            <family val="2"/>
          </rPr>
          <t>Assume 10 yr useful life</t>
        </r>
      </text>
    </comment>
    <comment ref="H433" authorId="1" shapeId="0">
      <text>
        <r>
          <rPr>
            <b/>
            <sz val="8"/>
            <color indexed="81"/>
            <rFont val="Tahoma"/>
            <family val="2"/>
          </rPr>
          <t>Old value of 2%
Old value of 4.5%</t>
        </r>
      </text>
    </comment>
    <comment ref="I433"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34"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34"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34" authorId="3" shapeId="0">
      <text>
        <r>
          <rPr>
            <b/>
            <sz val="9"/>
            <color indexed="81"/>
            <rFont val="Tahoma"/>
            <family val="2"/>
          </rPr>
          <t xml:space="preserve">Default:
5
Assume this.
</t>
        </r>
      </text>
    </comment>
    <comment ref="G434" authorId="2" shapeId="0">
      <text>
        <r>
          <rPr>
            <b/>
            <sz val="8"/>
            <color indexed="81"/>
            <rFont val="Tahoma"/>
            <family val="2"/>
          </rPr>
          <t>Assume 5 yr useful life
Old value:
n/a</t>
        </r>
      </text>
    </comment>
    <comment ref="H434" authorId="1" shapeId="0">
      <text>
        <r>
          <rPr>
            <b/>
            <sz val="8"/>
            <color indexed="81"/>
            <rFont val="Tahoma"/>
            <family val="2"/>
          </rPr>
          <t>Default:
0%
Assume this is 0%</t>
        </r>
      </text>
    </comment>
    <comment ref="I434" authorId="1" shapeId="0">
      <text>
        <r>
          <rPr>
            <b/>
            <sz val="8"/>
            <color indexed="81"/>
            <rFont val="Tahoma"/>
            <family val="2"/>
          </rPr>
          <t>Default:
0%
Assume this is 0%</t>
        </r>
      </text>
    </comment>
    <comment ref="K434" authorId="3" shapeId="0">
      <text>
        <r>
          <rPr>
            <b/>
            <sz val="9"/>
            <color indexed="81"/>
            <rFont val="Tahoma"/>
            <family val="2"/>
          </rPr>
          <t>Default:
1500</t>
        </r>
      </text>
    </comment>
    <comment ref="M434" authorId="3" shapeId="0">
      <text>
        <r>
          <rPr>
            <b/>
            <sz val="9"/>
            <color indexed="81"/>
            <rFont val="Tahoma"/>
            <family val="2"/>
          </rPr>
          <t>Calculated to left</t>
        </r>
      </text>
    </comment>
    <comment ref="A435"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35" authorId="1" shapeId="0">
      <text>
        <r>
          <rPr>
            <b/>
            <sz val="8"/>
            <color indexed="81"/>
            <rFont val="Tahoma"/>
            <family val="2"/>
          </rPr>
          <t xml:space="preserve">Default:
=E388+(E388*$K$240)
21106.2051928939
Adjusted by PPI to convert from 2002 surveyed cost to 2010. </t>
        </r>
      </text>
    </comment>
    <comment ref="E435"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35" authorId="3" shapeId="0">
      <text>
        <r>
          <rPr>
            <b/>
            <sz val="9"/>
            <color indexed="81"/>
            <rFont val="Tahoma"/>
            <family val="2"/>
          </rPr>
          <t>Default:
33
Assume this is the same as buildings.</t>
        </r>
      </text>
    </comment>
    <comment ref="G435" authorId="2" shapeId="0">
      <text>
        <r>
          <rPr>
            <b/>
            <sz val="8"/>
            <color indexed="81"/>
            <rFont val="Tahoma"/>
            <family val="2"/>
          </rPr>
          <t>Assume 33 yr useful life
Old value:
10</t>
        </r>
      </text>
    </comment>
    <comment ref="H435" authorId="1" shapeId="0">
      <text>
        <r>
          <rPr>
            <b/>
            <sz val="8"/>
            <color indexed="81"/>
            <rFont val="Tahoma"/>
            <family val="2"/>
          </rPr>
          <t>Default:
1%
Old value of 1%
Old value of 4.5%</t>
        </r>
      </text>
    </comment>
    <comment ref="I435"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35" authorId="3" shapeId="0">
      <text>
        <r>
          <rPr>
            <b/>
            <sz val="9"/>
            <color indexed="81"/>
            <rFont val="Tahoma"/>
            <family val="2"/>
          </rPr>
          <t>Assume this</t>
        </r>
      </text>
    </comment>
    <comment ref="K435" authorId="3" shapeId="0">
      <text>
        <r>
          <rPr>
            <b/>
            <sz val="9"/>
            <color indexed="81"/>
            <rFont val="Tahoma"/>
            <family val="2"/>
          </rPr>
          <t xml:space="preserve">Default:
10
Based on cooperating organic small grain and pulse farmer
Old value of $16,836 for small model adjusted down based on survey of cooperating small organic grain and pulse farmer using grain tote bags. Number of bags calculated to adjust with grain/pulse yield and area planted.
</t>
        </r>
      </text>
    </comment>
    <comment ref="M435" authorId="3" shapeId="0">
      <text>
        <r>
          <rPr>
            <b/>
            <sz val="9"/>
            <color indexed="81"/>
            <rFont val="Tahoma"/>
            <family val="2"/>
          </rPr>
          <t>Assume default:
1</t>
        </r>
      </text>
    </comment>
    <comment ref="Q435" authorId="3" shapeId="0">
      <text>
        <r>
          <rPr>
            <b/>
            <sz val="9"/>
            <color indexed="81"/>
            <rFont val="Tahoma"/>
            <family val="2"/>
          </rPr>
          <t>http://www.extension.umn.edu/agriculture/corn/harvest/natural-air-corn-drying/</t>
        </r>
      </text>
    </comment>
    <comment ref="A436"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36" authorId="1" shapeId="0">
      <text>
        <r>
          <rPr>
            <b/>
            <sz val="8"/>
            <color indexed="81"/>
            <rFont val="Tahoma"/>
            <family val="2"/>
          </rPr>
          <t xml:space="preserve">Default:
=E389+(E389*$K$240)
36937.1127229405
Adjusted by PPI to convert from 2002 surveyed cost to 2010. </t>
        </r>
      </text>
    </comment>
    <comment ref="E436"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36" authorId="3" shapeId="0">
      <text>
        <r>
          <rPr>
            <b/>
            <sz val="9"/>
            <color indexed="81"/>
            <rFont val="Tahoma"/>
            <family val="2"/>
          </rPr>
          <t>Default:
33
Assume this is the same as buildings.</t>
        </r>
      </text>
    </comment>
    <comment ref="G436" authorId="2" shapeId="0">
      <text>
        <r>
          <rPr>
            <b/>
            <sz val="8"/>
            <color indexed="81"/>
            <rFont val="Tahoma"/>
            <family val="2"/>
          </rPr>
          <t>Assume 33 yr useful life
Old value:
10</t>
        </r>
      </text>
    </comment>
    <comment ref="H436" authorId="1" shapeId="0">
      <text>
        <r>
          <rPr>
            <b/>
            <sz val="8"/>
            <color indexed="81"/>
            <rFont val="Tahoma"/>
            <family val="2"/>
          </rPr>
          <t>Default:
1%
Old value of 1%
Old value of 4.5%</t>
        </r>
      </text>
    </comment>
    <comment ref="I436"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36" authorId="3" shapeId="0">
      <text>
        <r>
          <rPr>
            <b/>
            <sz val="9"/>
            <color indexed="81"/>
            <rFont val="Tahoma"/>
            <family val="2"/>
          </rPr>
          <t>Assume this</t>
        </r>
      </text>
    </comment>
    <comment ref="K436" authorId="2" shapeId="0">
      <text>
        <r>
          <rPr>
            <b/>
            <sz val="8"/>
            <color indexed="81"/>
            <rFont val="Tahoma"/>
            <family val="2"/>
          </rPr>
          <t>Assume 5 yr useful life
Old value:
n/a</t>
        </r>
      </text>
    </comment>
    <comment ref="M436" authorId="3" shapeId="0">
      <text>
        <r>
          <rPr>
            <b/>
            <sz val="9"/>
            <color indexed="81"/>
            <rFont val="Tahoma"/>
            <family val="2"/>
          </rPr>
          <t>Assume default:
1</t>
        </r>
      </text>
    </comment>
    <comment ref="D437" authorId="1" shapeId="0">
      <text>
        <r>
          <rPr>
            <b/>
            <sz val="8"/>
            <color indexed="81"/>
            <rFont val="Tahoma"/>
            <family val="2"/>
          </rPr>
          <t xml:space="preserve">Default:
=E390+(E390*$K$240)
7521.81225691159
Adjusted by PPI to convert from 2002 surveyed cost to 2010. </t>
        </r>
      </text>
    </comment>
    <comment ref="E437" authorId="0" shapeId="0">
      <text>
        <r>
          <rPr>
            <b/>
            <sz val="8"/>
            <color indexed="81"/>
            <rFont val="Tahoma"/>
            <family val="2"/>
          </rPr>
          <t>Old value:
6000
Assume about same cost as cooperating dairy farmer</t>
        </r>
      </text>
    </comment>
    <comment ref="F437" authorId="3" shapeId="0">
      <text>
        <r>
          <rPr>
            <b/>
            <sz val="9"/>
            <color indexed="81"/>
            <rFont val="Tahoma"/>
            <family val="2"/>
          </rPr>
          <t>If use estimated hours then this is too short of a useful life at 5.4 years so use default assumption of 10 years useful life.
=($O$244/N323)*$R$244</t>
        </r>
      </text>
    </comment>
    <comment ref="G437" authorId="2" shapeId="0">
      <text>
        <r>
          <rPr>
            <b/>
            <sz val="8"/>
            <color indexed="81"/>
            <rFont val="Tahoma"/>
            <family val="2"/>
          </rPr>
          <t>Assume 10 yr useful life</t>
        </r>
      </text>
    </comment>
    <comment ref="H437" authorId="1" shapeId="0">
      <text>
        <r>
          <rPr>
            <b/>
            <sz val="8"/>
            <color indexed="81"/>
            <rFont val="Tahoma"/>
            <family val="2"/>
          </rPr>
          <t>Old value of 2%
Old value of 4.5%</t>
        </r>
      </text>
    </comment>
    <comment ref="I437"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37" authorId="1" shapeId="0">
      <text>
        <r>
          <rPr>
            <b/>
            <sz val="8"/>
            <color indexed="81"/>
            <rFont val="Tahoma"/>
            <family val="2"/>
          </rPr>
          <t>Default:
0%
Assume this is 0%</t>
        </r>
      </text>
    </comment>
    <comment ref="D438" authorId="1" shapeId="0">
      <text>
        <r>
          <rPr>
            <b/>
            <sz val="8"/>
            <color indexed="81"/>
            <rFont val="Tahoma"/>
            <family val="2"/>
          </rPr>
          <t xml:space="preserve">Default:
=E390+(E390*$K$240)
7521.81225691159
Adjusted by PPI to convert from 2002 surveyed cost to 2010. </t>
        </r>
      </text>
    </comment>
    <comment ref="E438" authorId="0" shapeId="0">
      <text>
        <r>
          <rPr>
            <b/>
            <sz val="8"/>
            <color indexed="81"/>
            <rFont val="Tahoma"/>
            <family val="2"/>
          </rPr>
          <t>Old value:
6000
Assume about same cost as cooperating dairy farmer</t>
        </r>
      </text>
    </comment>
    <comment ref="F438" authorId="3" shapeId="0">
      <text>
        <r>
          <rPr>
            <b/>
            <sz val="9"/>
            <color indexed="81"/>
            <rFont val="Tahoma"/>
            <family val="2"/>
          </rPr>
          <t>If use estimated hours then this is too short of a useful life at 5.4 years so use default assumption of 10 years useful life.
=($O$244/N323)*$R$244</t>
        </r>
      </text>
    </comment>
    <comment ref="G438" authorId="2" shapeId="0">
      <text>
        <r>
          <rPr>
            <b/>
            <sz val="8"/>
            <color indexed="81"/>
            <rFont val="Tahoma"/>
            <family val="2"/>
          </rPr>
          <t>Assume 10 yr useful life</t>
        </r>
      </text>
    </comment>
    <comment ref="H438" authorId="1" shapeId="0">
      <text>
        <r>
          <rPr>
            <b/>
            <sz val="8"/>
            <color indexed="81"/>
            <rFont val="Tahoma"/>
            <family val="2"/>
          </rPr>
          <t>Old value of 2%
Old value of 4.5%</t>
        </r>
      </text>
    </comment>
    <comment ref="I438"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38" authorId="1" shapeId="0">
      <text>
        <r>
          <rPr>
            <b/>
            <sz val="8"/>
            <color indexed="81"/>
            <rFont val="Tahoma"/>
            <family val="2"/>
          </rPr>
          <t>Default:
0%
Assume this is 0%</t>
        </r>
      </text>
    </comment>
    <comment ref="D439" authorId="1" shapeId="0">
      <text>
        <r>
          <rPr>
            <b/>
            <sz val="8"/>
            <color indexed="81"/>
            <rFont val="Tahoma"/>
            <family val="2"/>
          </rPr>
          <t xml:space="preserve">Default:
=E390+(E390*$K$240)
7521.81225691159
Adjusted by PPI to convert from 2002 surveyed cost to 2010. </t>
        </r>
      </text>
    </comment>
    <comment ref="E439" authorId="0" shapeId="0">
      <text>
        <r>
          <rPr>
            <b/>
            <sz val="8"/>
            <color indexed="81"/>
            <rFont val="Tahoma"/>
            <family val="2"/>
          </rPr>
          <t>Old value:
6000
Assume about same cost as cooperating dairy farmer</t>
        </r>
      </text>
    </comment>
    <comment ref="F439" authorId="3" shapeId="0">
      <text>
        <r>
          <rPr>
            <b/>
            <sz val="9"/>
            <color indexed="81"/>
            <rFont val="Tahoma"/>
            <family val="2"/>
          </rPr>
          <t>If use estimated hours then this is too short of a useful life at 5.4 years so use default assumption of 10 years useful life.
=($O$244/N323)*$R$244</t>
        </r>
      </text>
    </comment>
    <comment ref="G439" authorId="2" shapeId="0">
      <text>
        <r>
          <rPr>
            <b/>
            <sz val="8"/>
            <color indexed="81"/>
            <rFont val="Tahoma"/>
            <family val="2"/>
          </rPr>
          <t>Assume 10 yr useful life</t>
        </r>
      </text>
    </comment>
    <comment ref="H439" authorId="1" shapeId="0">
      <text>
        <r>
          <rPr>
            <b/>
            <sz val="8"/>
            <color indexed="81"/>
            <rFont val="Tahoma"/>
            <family val="2"/>
          </rPr>
          <t>Old value of 2%
Old value of 4.5%</t>
        </r>
      </text>
    </comment>
    <comment ref="I439"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40"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40"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40" authorId="3" shapeId="0">
      <text>
        <r>
          <rPr>
            <b/>
            <sz val="9"/>
            <color indexed="81"/>
            <rFont val="Tahoma"/>
            <family val="2"/>
          </rPr>
          <t xml:space="preserve">Default:
5
Assume this.
</t>
        </r>
      </text>
    </comment>
    <comment ref="G440" authorId="2" shapeId="0">
      <text>
        <r>
          <rPr>
            <b/>
            <sz val="8"/>
            <color indexed="81"/>
            <rFont val="Tahoma"/>
            <family val="2"/>
          </rPr>
          <t>Assume 5 yr useful life
Old value:
n/a</t>
        </r>
      </text>
    </comment>
    <comment ref="H440" authorId="1" shapeId="0">
      <text>
        <r>
          <rPr>
            <b/>
            <sz val="8"/>
            <color indexed="81"/>
            <rFont val="Tahoma"/>
            <family val="2"/>
          </rPr>
          <t>Default:
0%
Assume this is 0%</t>
        </r>
      </text>
    </comment>
    <comment ref="I440" authorId="1" shapeId="0">
      <text>
        <r>
          <rPr>
            <b/>
            <sz val="8"/>
            <color indexed="81"/>
            <rFont val="Tahoma"/>
            <family val="2"/>
          </rPr>
          <t>Default:
0%
Assume this is 0%</t>
        </r>
      </text>
    </comment>
    <comment ref="M440" authorId="3" shapeId="0">
      <text>
        <r>
          <rPr>
            <b/>
            <sz val="9"/>
            <color indexed="81"/>
            <rFont val="Tahoma"/>
            <family val="2"/>
          </rPr>
          <t>Calculated to left</t>
        </r>
      </text>
    </comment>
    <comment ref="A441"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41" authorId="1" shapeId="0">
      <text>
        <r>
          <rPr>
            <b/>
            <sz val="8"/>
            <color indexed="81"/>
            <rFont val="Tahoma"/>
            <family val="2"/>
          </rPr>
          <t xml:space="preserve">Default:
=E392+(E392*$K$240)
21106.2051928939
Adjusted by PPI to convert from 2002 surveyed cost to 2010. </t>
        </r>
      </text>
    </comment>
    <comment ref="E441"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41" authorId="3" shapeId="0">
      <text>
        <r>
          <rPr>
            <b/>
            <sz val="9"/>
            <color indexed="81"/>
            <rFont val="Tahoma"/>
            <family val="2"/>
          </rPr>
          <t>Default:
33
Assume this is the same as buildings.</t>
        </r>
      </text>
    </comment>
    <comment ref="G441" authorId="2" shapeId="0">
      <text>
        <r>
          <rPr>
            <b/>
            <sz val="8"/>
            <color indexed="81"/>
            <rFont val="Tahoma"/>
            <family val="2"/>
          </rPr>
          <t>Assume 33 yr useful life
Old value:
10</t>
        </r>
      </text>
    </comment>
    <comment ref="H441" authorId="1" shapeId="0">
      <text>
        <r>
          <rPr>
            <b/>
            <sz val="8"/>
            <color indexed="81"/>
            <rFont val="Tahoma"/>
            <family val="2"/>
          </rPr>
          <t>Default:
1%
Old value of 1%
Old value of 4.5%</t>
        </r>
      </text>
    </comment>
    <comment ref="I441"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41" authorId="3" shapeId="0">
      <text>
        <r>
          <rPr>
            <b/>
            <sz val="9"/>
            <color indexed="81"/>
            <rFont val="Tahoma"/>
            <family val="2"/>
          </rPr>
          <t>Assume this</t>
        </r>
      </text>
    </comment>
    <comment ref="K441"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M441" authorId="3" shapeId="0">
      <text>
        <r>
          <rPr>
            <b/>
            <sz val="9"/>
            <color indexed="81"/>
            <rFont val="Tahoma"/>
            <family val="2"/>
          </rPr>
          <t>Assume default:
1</t>
        </r>
      </text>
    </comment>
    <comment ref="A442"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42" authorId="1" shapeId="0">
      <text>
        <r>
          <rPr>
            <b/>
            <sz val="8"/>
            <color indexed="81"/>
            <rFont val="Tahoma"/>
            <family val="2"/>
          </rPr>
          <t xml:space="preserve">Default:
=E393+(E393*$K$240)
36937.1127229405
Adjusted by PPI to convert from 2002 surveyed cost to 2010. </t>
        </r>
      </text>
    </comment>
    <comment ref="E442"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42" authorId="3" shapeId="0">
      <text>
        <r>
          <rPr>
            <b/>
            <sz val="9"/>
            <color indexed="81"/>
            <rFont val="Tahoma"/>
            <family val="2"/>
          </rPr>
          <t>Default:
33
Assume this is the same as buildings.</t>
        </r>
      </text>
    </comment>
    <comment ref="G442" authorId="2" shapeId="0">
      <text>
        <r>
          <rPr>
            <b/>
            <sz val="8"/>
            <color indexed="81"/>
            <rFont val="Tahoma"/>
            <family val="2"/>
          </rPr>
          <t>Assume 33 yr useful life
Old value:
10</t>
        </r>
      </text>
    </comment>
    <comment ref="H442" authorId="1" shapeId="0">
      <text>
        <r>
          <rPr>
            <b/>
            <sz val="8"/>
            <color indexed="81"/>
            <rFont val="Tahoma"/>
            <family val="2"/>
          </rPr>
          <t>Default:
1%
Old value of 1%
Old value of 4.5%</t>
        </r>
      </text>
    </comment>
    <comment ref="I442"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42" authorId="3" shapeId="0">
      <text>
        <r>
          <rPr>
            <b/>
            <sz val="9"/>
            <color indexed="81"/>
            <rFont val="Tahoma"/>
            <family val="2"/>
          </rPr>
          <t>Assume this</t>
        </r>
      </text>
    </comment>
    <comment ref="K442" authorId="2" shapeId="0">
      <text>
        <r>
          <rPr>
            <b/>
            <sz val="8"/>
            <color indexed="81"/>
            <rFont val="Tahoma"/>
            <family val="2"/>
          </rPr>
          <t>Assume 33 yr useful life
Old value:
10</t>
        </r>
      </text>
    </comment>
    <comment ref="M442" authorId="3" shapeId="0">
      <text>
        <r>
          <rPr>
            <b/>
            <sz val="9"/>
            <color indexed="81"/>
            <rFont val="Tahoma"/>
            <family val="2"/>
          </rPr>
          <t>Assume default:
1</t>
        </r>
      </text>
    </comment>
    <comment ref="D443" authorId="1" shapeId="0">
      <text>
        <r>
          <rPr>
            <b/>
            <sz val="8"/>
            <color indexed="81"/>
            <rFont val="Tahoma"/>
            <family val="2"/>
          </rPr>
          <t xml:space="preserve">Default:
=E394+(E394*$K$240)
7521.81225691159
Adjusted by PPI to convert from 2002 surveyed cost to 2010. </t>
        </r>
      </text>
    </comment>
    <comment ref="E443" authorId="0" shapeId="0">
      <text>
        <r>
          <rPr>
            <b/>
            <sz val="8"/>
            <color indexed="81"/>
            <rFont val="Tahoma"/>
            <family val="2"/>
          </rPr>
          <t>Old value:
6000
Assume about same cost as cooperating dairy farmer</t>
        </r>
      </text>
    </comment>
    <comment ref="F443" authorId="3" shapeId="0">
      <text>
        <r>
          <rPr>
            <b/>
            <sz val="9"/>
            <color indexed="81"/>
            <rFont val="Tahoma"/>
            <family val="2"/>
          </rPr>
          <t>If use estimated hours then this is too short of a useful life at 5.4 years so use default assumption of 10 years useful life.
=($O$244/N325)*$R$244</t>
        </r>
      </text>
    </comment>
    <comment ref="G443" authorId="2" shapeId="0">
      <text>
        <r>
          <rPr>
            <b/>
            <sz val="8"/>
            <color indexed="81"/>
            <rFont val="Tahoma"/>
            <family val="2"/>
          </rPr>
          <t>Assume 10 yr useful life</t>
        </r>
      </text>
    </comment>
    <comment ref="H443" authorId="1" shapeId="0">
      <text>
        <r>
          <rPr>
            <b/>
            <sz val="8"/>
            <color indexed="81"/>
            <rFont val="Tahoma"/>
            <family val="2"/>
          </rPr>
          <t>Old value of 2%
Old value of 4.5%</t>
        </r>
      </text>
    </comment>
    <comment ref="I443"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43" authorId="1" shapeId="0">
      <text>
        <r>
          <rPr>
            <b/>
            <sz val="8"/>
            <color indexed="81"/>
            <rFont val="Tahoma"/>
            <family val="2"/>
          </rPr>
          <t>Default:
1%
Old value of 1%
Old value of 4.5%</t>
        </r>
      </text>
    </comment>
    <comment ref="D444" authorId="1" shapeId="0">
      <text>
        <r>
          <rPr>
            <b/>
            <sz val="8"/>
            <color indexed="81"/>
            <rFont val="Tahoma"/>
            <family val="2"/>
          </rPr>
          <t xml:space="preserve">Default:
=E394+(E394*$K$240)
7521.81225691159
Adjusted by PPI to convert from 2002 surveyed cost to 2010. </t>
        </r>
      </text>
    </comment>
    <comment ref="E444" authorId="0" shapeId="0">
      <text>
        <r>
          <rPr>
            <b/>
            <sz val="8"/>
            <color indexed="81"/>
            <rFont val="Tahoma"/>
            <family val="2"/>
          </rPr>
          <t>Old value:
6000
Assume about same cost as cooperating dairy farmer</t>
        </r>
      </text>
    </comment>
    <comment ref="F444" authorId="3" shapeId="0">
      <text>
        <r>
          <rPr>
            <b/>
            <sz val="9"/>
            <color indexed="81"/>
            <rFont val="Tahoma"/>
            <family val="2"/>
          </rPr>
          <t>If use estimated hours then this is too short of a useful life at 5.4 years so use default assumption of 10 years useful life.
=($O$244/N325)*$R$244</t>
        </r>
      </text>
    </comment>
    <comment ref="G444" authorId="2" shapeId="0">
      <text>
        <r>
          <rPr>
            <b/>
            <sz val="8"/>
            <color indexed="81"/>
            <rFont val="Tahoma"/>
            <family val="2"/>
          </rPr>
          <t>Assume 10 yr useful life</t>
        </r>
      </text>
    </comment>
    <comment ref="H444" authorId="1" shapeId="0">
      <text>
        <r>
          <rPr>
            <b/>
            <sz val="8"/>
            <color indexed="81"/>
            <rFont val="Tahoma"/>
            <family val="2"/>
          </rPr>
          <t>Old value of 2%
Old value of 4.5%</t>
        </r>
      </text>
    </comment>
    <comment ref="I444"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44"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D445" authorId="1" shapeId="0">
      <text>
        <r>
          <rPr>
            <b/>
            <sz val="8"/>
            <color indexed="81"/>
            <rFont val="Tahoma"/>
            <family val="2"/>
          </rPr>
          <t xml:space="preserve">Default:
=E394+(E394*$K$240)
7521.81225691159
Adjusted by PPI to convert from 2002 surveyed cost to 2010. </t>
        </r>
      </text>
    </comment>
    <comment ref="E445" authorId="0" shapeId="0">
      <text>
        <r>
          <rPr>
            <b/>
            <sz val="8"/>
            <color indexed="81"/>
            <rFont val="Tahoma"/>
            <family val="2"/>
          </rPr>
          <t>Old value:
6000
Assume about same cost as cooperating dairy farmer</t>
        </r>
      </text>
    </comment>
    <comment ref="F445" authorId="3" shapeId="0">
      <text>
        <r>
          <rPr>
            <b/>
            <sz val="9"/>
            <color indexed="81"/>
            <rFont val="Tahoma"/>
            <family val="2"/>
          </rPr>
          <t>If use estimated hours then this is too short of a useful life at 5.4 years so use default assumption of 10 years useful life.
=($O$244/N325)*$R$244</t>
        </r>
      </text>
    </comment>
    <comment ref="G445" authorId="2" shapeId="0">
      <text>
        <r>
          <rPr>
            <b/>
            <sz val="8"/>
            <color indexed="81"/>
            <rFont val="Tahoma"/>
            <family val="2"/>
          </rPr>
          <t>Assume 10 yr useful life</t>
        </r>
      </text>
    </comment>
    <comment ref="H445" authorId="1" shapeId="0">
      <text>
        <r>
          <rPr>
            <b/>
            <sz val="8"/>
            <color indexed="81"/>
            <rFont val="Tahoma"/>
            <family val="2"/>
          </rPr>
          <t>Old value of 2%
Old value of 4.5%</t>
        </r>
      </text>
    </comment>
    <comment ref="I445"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46"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46"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46" authorId="3" shapeId="0">
      <text>
        <r>
          <rPr>
            <b/>
            <sz val="9"/>
            <color indexed="81"/>
            <rFont val="Tahoma"/>
            <family val="2"/>
          </rPr>
          <t xml:space="preserve">Default:
5
Assume this.
</t>
        </r>
      </text>
    </comment>
    <comment ref="G446" authorId="2" shapeId="0">
      <text>
        <r>
          <rPr>
            <b/>
            <sz val="8"/>
            <color indexed="81"/>
            <rFont val="Tahoma"/>
            <family val="2"/>
          </rPr>
          <t>Assume 5 yr useful life
Old value:
n/a</t>
        </r>
      </text>
    </comment>
    <comment ref="H446" authorId="1" shapeId="0">
      <text>
        <r>
          <rPr>
            <b/>
            <sz val="8"/>
            <color indexed="81"/>
            <rFont val="Tahoma"/>
            <family val="2"/>
          </rPr>
          <t>Default:
0%
Assume this is 0%</t>
        </r>
      </text>
    </comment>
    <comment ref="I446" authorId="1" shapeId="0">
      <text>
        <r>
          <rPr>
            <b/>
            <sz val="8"/>
            <color indexed="81"/>
            <rFont val="Tahoma"/>
            <family val="2"/>
          </rPr>
          <t>Default:
0%
Assume this is 0%</t>
        </r>
      </text>
    </comment>
    <comment ref="M446" authorId="3" shapeId="0">
      <text>
        <r>
          <rPr>
            <b/>
            <sz val="9"/>
            <color indexed="81"/>
            <rFont val="Tahoma"/>
            <family val="2"/>
          </rPr>
          <t>Calculated to left</t>
        </r>
      </text>
    </comment>
    <comment ref="A447"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47" authorId="1" shapeId="0">
      <text>
        <r>
          <rPr>
            <b/>
            <sz val="8"/>
            <color indexed="81"/>
            <rFont val="Tahoma"/>
            <family val="2"/>
          </rPr>
          <t xml:space="preserve">Default:
=E396+(E396*$K$240)
21106.2051928939
Adjusted by PPI to convert from 2002 surveyed cost to 2010. </t>
        </r>
      </text>
    </comment>
    <comment ref="E447"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47" authorId="3" shapeId="0">
      <text>
        <r>
          <rPr>
            <b/>
            <sz val="9"/>
            <color indexed="81"/>
            <rFont val="Tahoma"/>
            <family val="2"/>
          </rPr>
          <t>Default:
33
Assume this is the same as buildings.</t>
        </r>
      </text>
    </comment>
    <comment ref="G447" authorId="2" shapeId="0">
      <text>
        <r>
          <rPr>
            <b/>
            <sz val="8"/>
            <color indexed="81"/>
            <rFont val="Tahoma"/>
            <family val="2"/>
          </rPr>
          <t>Assume 33 yr useful life
Old value:
10</t>
        </r>
      </text>
    </comment>
    <comment ref="H447" authorId="1" shapeId="0">
      <text>
        <r>
          <rPr>
            <b/>
            <sz val="8"/>
            <color indexed="81"/>
            <rFont val="Tahoma"/>
            <family val="2"/>
          </rPr>
          <t>Default:
1%
Old value of 1%
Old value of 4.5%</t>
        </r>
      </text>
    </comment>
    <comment ref="I447"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47" authorId="3" shapeId="0">
      <text>
        <r>
          <rPr>
            <b/>
            <sz val="9"/>
            <color indexed="81"/>
            <rFont val="Tahoma"/>
            <family val="2"/>
          </rPr>
          <t>Assume this</t>
        </r>
      </text>
    </comment>
    <comment ref="K447"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M447" authorId="3" shapeId="0">
      <text>
        <r>
          <rPr>
            <b/>
            <sz val="9"/>
            <color indexed="81"/>
            <rFont val="Tahoma"/>
            <family val="2"/>
          </rPr>
          <t>Assume default:
1</t>
        </r>
      </text>
    </comment>
    <comment ref="A448"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48" authorId="1" shapeId="0">
      <text>
        <r>
          <rPr>
            <b/>
            <sz val="8"/>
            <color indexed="81"/>
            <rFont val="Tahoma"/>
            <family val="2"/>
          </rPr>
          <t xml:space="preserve">Default:
=E397+(E397*$K$240)
36937.1127229405
Adjusted by PPI to convert from 2002 surveyed cost to 2010. </t>
        </r>
      </text>
    </comment>
    <comment ref="E448"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48" authorId="3" shapeId="0">
      <text>
        <r>
          <rPr>
            <b/>
            <sz val="9"/>
            <color indexed="81"/>
            <rFont val="Tahoma"/>
            <family val="2"/>
          </rPr>
          <t>Default:
33
Assume this is the same as buildings.</t>
        </r>
      </text>
    </comment>
    <comment ref="G448" authorId="2" shapeId="0">
      <text>
        <r>
          <rPr>
            <b/>
            <sz val="8"/>
            <color indexed="81"/>
            <rFont val="Tahoma"/>
            <family val="2"/>
          </rPr>
          <t>Assume 33 yr useful life
Old value:
10</t>
        </r>
      </text>
    </comment>
    <comment ref="H448" authorId="1" shapeId="0">
      <text>
        <r>
          <rPr>
            <b/>
            <sz val="8"/>
            <color indexed="81"/>
            <rFont val="Tahoma"/>
            <family val="2"/>
          </rPr>
          <t>Default:
1%
Old value of 1%
Old value of 4.5%</t>
        </r>
      </text>
    </comment>
    <comment ref="I448"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48" authorId="3" shapeId="0">
      <text>
        <r>
          <rPr>
            <b/>
            <sz val="9"/>
            <color indexed="81"/>
            <rFont val="Tahoma"/>
            <family val="2"/>
          </rPr>
          <t>Assume this</t>
        </r>
      </text>
    </comment>
    <comment ref="K448" authorId="2" shapeId="0">
      <text>
        <r>
          <rPr>
            <b/>
            <sz val="8"/>
            <color indexed="81"/>
            <rFont val="Tahoma"/>
            <family val="2"/>
          </rPr>
          <t>Assume 33 yr useful life
Old value:
10</t>
        </r>
      </text>
    </comment>
    <comment ref="M448" authorId="3" shapeId="0">
      <text>
        <r>
          <rPr>
            <b/>
            <sz val="9"/>
            <color indexed="81"/>
            <rFont val="Tahoma"/>
            <family val="2"/>
          </rPr>
          <t>Assume default:
1</t>
        </r>
      </text>
    </comment>
    <comment ref="D449" authorId="1" shapeId="0">
      <text>
        <r>
          <rPr>
            <b/>
            <sz val="8"/>
            <color indexed="81"/>
            <rFont val="Tahoma"/>
            <family val="2"/>
          </rPr>
          <t xml:space="preserve">Default:
=E398+(E398*$K$240)
7521.81225691159
Adjusted by PPI to convert from 2002 surveyed cost to 2010. </t>
        </r>
      </text>
    </comment>
    <comment ref="E449" authorId="0" shapeId="0">
      <text>
        <r>
          <rPr>
            <b/>
            <sz val="8"/>
            <color indexed="81"/>
            <rFont val="Tahoma"/>
            <family val="2"/>
          </rPr>
          <t>Old value:
6000
Assume about same cost as cooperating dairy farmer</t>
        </r>
      </text>
    </comment>
    <comment ref="F449" authorId="3" shapeId="0">
      <text>
        <r>
          <rPr>
            <b/>
            <sz val="9"/>
            <color indexed="81"/>
            <rFont val="Tahoma"/>
            <family val="2"/>
          </rPr>
          <t>If use estimated hours then this is too short of a useful life at 5.4 years so use default assumption of 10 years useful life.
=($O$244/N327)*$R$244</t>
        </r>
      </text>
    </comment>
    <comment ref="G449" authorId="2" shapeId="0">
      <text>
        <r>
          <rPr>
            <b/>
            <sz val="8"/>
            <color indexed="81"/>
            <rFont val="Tahoma"/>
            <family val="2"/>
          </rPr>
          <t>Assume 10 yr useful life</t>
        </r>
      </text>
    </comment>
    <comment ref="H449" authorId="1" shapeId="0">
      <text>
        <r>
          <rPr>
            <b/>
            <sz val="8"/>
            <color indexed="81"/>
            <rFont val="Tahoma"/>
            <family val="2"/>
          </rPr>
          <t>Old value of 2%
Old value of 4.5%</t>
        </r>
      </text>
    </comment>
    <comment ref="I449"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49" authorId="1" shapeId="0">
      <text>
        <r>
          <rPr>
            <b/>
            <sz val="8"/>
            <color indexed="81"/>
            <rFont val="Tahoma"/>
            <family val="2"/>
          </rPr>
          <t>Default:
1%
Old value of 1%
Old value of 4.5%</t>
        </r>
      </text>
    </comment>
    <comment ref="D450" authorId="1" shapeId="0">
      <text>
        <r>
          <rPr>
            <b/>
            <sz val="8"/>
            <color indexed="81"/>
            <rFont val="Tahoma"/>
            <family val="2"/>
          </rPr>
          <t xml:space="preserve">Default:
=E398+(E398*$K$240)
7521.81225691159
Adjusted by PPI to convert from 2002 surveyed cost to 2010. </t>
        </r>
      </text>
    </comment>
    <comment ref="E450" authorId="0" shapeId="0">
      <text>
        <r>
          <rPr>
            <b/>
            <sz val="8"/>
            <color indexed="81"/>
            <rFont val="Tahoma"/>
            <family val="2"/>
          </rPr>
          <t>Old value:
6000
Assume about same cost as cooperating dairy farmer</t>
        </r>
      </text>
    </comment>
    <comment ref="F450" authorId="3" shapeId="0">
      <text>
        <r>
          <rPr>
            <b/>
            <sz val="9"/>
            <color indexed="81"/>
            <rFont val="Tahoma"/>
            <family val="2"/>
          </rPr>
          <t>If use estimated hours then this is too short of a useful life at 5.4 years so use default assumption of 10 years useful life.
=($O$244/N327)*$R$244</t>
        </r>
      </text>
    </comment>
    <comment ref="G450" authorId="2" shapeId="0">
      <text>
        <r>
          <rPr>
            <b/>
            <sz val="8"/>
            <color indexed="81"/>
            <rFont val="Tahoma"/>
            <family val="2"/>
          </rPr>
          <t>Assume 10 yr useful life</t>
        </r>
      </text>
    </comment>
    <comment ref="H450" authorId="1" shapeId="0">
      <text>
        <r>
          <rPr>
            <b/>
            <sz val="8"/>
            <color indexed="81"/>
            <rFont val="Tahoma"/>
            <family val="2"/>
          </rPr>
          <t>Old value of 2%
Old value of 4.5%</t>
        </r>
      </text>
    </comment>
    <comment ref="I450"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K450"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D451" authorId="1" shapeId="0">
      <text>
        <r>
          <rPr>
            <b/>
            <sz val="8"/>
            <color indexed="81"/>
            <rFont val="Tahoma"/>
            <family val="2"/>
          </rPr>
          <t xml:space="preserve">Default:
=E398+(E398*$K$240)
7521.81225691159
Adjusted by PPI to convert from 2002 surveyed cost to 2010. </t>
        </r>
      </text>
    </comment>
    <comment ref="E451" authorId="0" shapeId="0">
      <text>
        <r>
          <rPr>
            <b/>
            <sz val="8"/>
            <color indexed="81"/>
            <rFont val="Tahoma"/>
            <family val="2"/>
          </rPr>
          <t>Old value:
6000
Assume about same cost as cooperating dairy farmer</t>
        </r>
      </text>
    </comment>
    <comment ref="F451" authorId="3" shapeId="0">
      <text>
        <r>
          <rPr>
            <b/>
            <sz val="9"/>
            <color indexed="81"/>
            <rFont val="Tahoma"/>
            <family val="2"/>
          </rPr>
          <t>If use estimated hours then this is too short of a useful life at 5.4 years so use default assumption of 10 years useful life.
=($O$244/N327)*$R$244</t>
        </r>
      </text>
    </comment>
    <comment ref="G451" authorId="2" shapeId="0">
      <text>
        <r>
          <rPr>
            <b/>
            <sz val="8"/>
            <color indexed="81"/>
            <rFont val="Tahoma"/>
            <family val="2"/>
          </rPr>
          <t>Assume 10 yr useful life</t>
        </r>
      </text>
    </comment>
    <comment ref="H451" authorId="1" shapeId="0">
      <text>
        <r>
          <rPr>
            <b/>
            <sz val="8"/>
            <color indexed="81"/>
            <rFont val="Tahoma"/>
            <family val="2"/>
          </rPr>
          <t>Old value of 2%
Old value of 4.5%</t>
        </r>
      </text>
    </comment>
    <comment ref="I451"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52"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52"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52" authorId="3" shapeId="0">
      <text>
        <r>
          <rPr>
            <b/>
            <sz val="9"/>
            <color indexed="81"/>
            <rFont val="Tahoma"/>
            <family val="2"/>
          </rPr>
          <t xml:space="preserve">Default:
5
Assume this.
</t>
        </r>
      </text>
    </comment>
    <comment ref="G452" authorId="2" shapeId="0">
      <text>
        <r>
          <rPr>
            <b/>
            <sz val="8"/>
            <color indexed="81"/>
            <rFont val="Tahoma"/>
            <family val="2"/>
          </rPr>
          <t>Assume 5 yr useful life
Old value:
n/a</t>
        </r>
      </text>
    </comment>
    <comment ref="H452" authorId="1" shapeId="0">
      <text>
        <r>
          <rPr>
            <b/>
            <sz val="8"/>
            <color indexed="81"/>
            <rFont val="Tahoma"/>
            <family val="2"/>
          </rPr>
          <t>Default:
0%
Assume this is 0%</t>
        </r>
      </text>
    </comment>
    <comment ref="I452" authorId="1" shapeId="0">
      <text>
        <r>
          <rPr>
            <b/>
            <sz val="8"/>
            <color indexed="81"/>
            <rFont val="Tahoma"/>
            <family val="2"/>
          </rPr>
          <t>Default:
0%
Assume this is 0%</t>
        </r>
      </text>
    </comment>
    <comment ref="M452" authorId="3" shapeId="0">
      <text>
        <r>
          <rPr>
            <b/>
            <sz val="9"/>
            <color indexed="81"/>
            <rFont val="Tahoma"/>
            <family val="2"/>
          </rPr>
          <t>Calculated to left</t>
        </r>
      </text>
    </comment>
    <comment ref="A453"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53" authorId="1" shapeId="0">
      <text>
        <r>
          <rPr>
            <b/>
            <sz val="8"/>
            <color indexed="81"/>
            <rFont val="Tahoma"/>
            <family val="2"/>
          </rPr>
          <t xml:space="preserve">Default:
=E400+(E400*$K$240)
21106.2051928939
Adjusted by PPI to convert from 2002 surveyed cost to 2010. </t>
        </r>
      </text>
    </comment>
    <comment ref="E453"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53" authorId="3" shapeId="0">
      <text>
        <r>
          <rPr>
            <b/>
            <sz val="9"/>
            <color indexed="81"/>
            <rFont val="Tahoma"/>
            <family val="2"/>
          </rPr>
          <t>Default:
33
Assume this is the same as buildings.</t>
        </r>
      </text>
    </comment>
    <comment ref="G453" authorId="2" shapeId="0">
      <text>
        <r>
          <rPr>
            <b/>
            <sz val="8"/>
            <color indexed="81"/>
            <rFont val="Tahoma"/>
            <family val="2"/>
          </rPr>
          <t>Assume 33 yr useful life
Old value:
10</t>
        </r>
      </text>
    </comment>
    <comment ref="H453" authorId="1" shapeId="0">
      <text>
        <r>
          <rPr>
            <b/>
            <sz val="8"/>
            <color indexed="81"/>
            <rFont val="Tahoma"/>
            <family val="2"/>
          </rPr>
          <t>Default:
1%
Old value of 1%
Old value of 4.5%</t>
        </r>
      </text>
    </comment>
    <comment ref="I453"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53" authorId="3" shapeId="0">
      <text>
        <r>
          <rPr>
            <b/>
            <sz val="9"/>
            <color indexed="81"/>
            <rFont val="Tahoma"/>
            <family val="2"/>
          </rPr>
          <t>Assume this</t>
        </r>
      </text>
    </comment>
    <comment ref="M453" authorId="3" shapeId="0">
      <text>
        <r>
          <rPr>
            <b/>
            <sz val="9"/>
            <color indexed="81"/>
            <rFont val="Tahoma"/>
            <family val="2"/>
          </rPr>
          <t>Assume default:
1</t>
        </r>
      </text>
    </comment>
    <comment ref="A454"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54" authorId="1" shapeId="0">
      <text>
        <r>
          <rPr>
            <b/>
            <sz val="8"/>
            <color indexed="81"/>
            <rFont val="Tahoma"/>
            <family val="2"/>
          </rPr>
          <t xml:space="preserve">Default:
=E401+(E401*$K$240)
36937.1127229405
Adjusted by PPI to convert from 2002 surveyed cost to 2010. </t>
        </r>
      </text>
    </comment>
    <comment ref="E454"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54" authorId="3" shapeId="0">
      <text>
        <r>
          <rPr>
            <b/>
            <sz val="9"/>
            <color indexed="81"/>
            <rFont val="Tahoma"/>
            <family val="2"/>
          </rPr>
          <t>Default:
33
Assume this is the same as buildings.</t>
        </r>
      </text>
    </comment>
    <comment ref="G454" authorId="2" shapeId="0">
      <text>
        <r>
          <rPr>
            <b/>
            <sz val="8"/>
            <color indexed="81"/>
            <rFont val="Tahoma"/>
            <family val="2"/>
          </rPr>
          <t>Assume 33 yr useful life
Old value:
10</t>
        </r>
      </text>
    </comment>
    <comment ref="H454" authorId="1" shapeId="0">
      <text>
        <r>
          <rPr>
            <b/>
            <sz val="8"/>
            <color indexed="81"/>
            <rFont val="Tahoma"/>
            <family val="2"/>
          </rPr>
          <t>Default:
1%
Old value of 1%
Old value of 4.5%</t>
        </r>
      </text>
    </comment>
    <comment ref="I454"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54" authorId="3" shapeId="0">
      <text>
        <r>
          <rPr>
            <b/>
            <sz val="9"/>
            <color indexed="81"/>
            <rFont val="Tahoma"/>
            <family val="2"/>
          </rPr>
          <t>Assume this</t>
        </r>
      </text>
    </comment>
    <comment ref="M454" authorId="3" shapeId="0">
      <text>
        <r>
          <rPr>
            <b/>
            <sz val="9"/>
            <color indexed="81"/>
            <rFont val="Tahoma"/>
            <family val="2"/>
          </rPr>
          <t>Assume default:
1</t>
        </r>
      </text>
    </comment>
    <comment ref="D455" authorId="1" shapeId="0">
      <text>
        <r>
          <rPr>
            <b/>
            <sz val="8"/>
            <color indexed="81"/>
            <rFont val="Tahoma"/>
            <family val="2"/>
          </rPr>
          <t xml:space="preserve">Default:
=E398+(E398*$K$240)
7521.81225691159
Adjusted by PPI to convert from 2002 surveyed cost to 2010. </t>
        </r>
      </text>
    </comment>
    <comment ref="E455" authorId="0" shapeId="0">
      <text>
        <r>
          <rPr>
            <b/>
            <sz val="8"/>
            <color indexed="81"/>
            <rFont val="Tahoma"/>
            <family val="2"/>
          </rPr>
          <t>Old value:
6000
Assume about same cost as cooperating dairy farmer</t>
        </r>
      </text>
    </comment>
    <comment ref="F455" authorId="3" shapeId="0">
      <text>
        <r>
          <rPr>
            <b/>
            <sz val="9"/>
            <color indexed="81"/>
            <rFont val="Tahoma"/>
            <family val="2"/>
          </rPr>
          <t>If use estimated hours then this is too short of a useful life at 5.4 years so use default assumption of 10 years useful life.
=($O$244/N327)*$R$244</t>
        </r>
      </text>
    </comment>
    <comment ref="G455" authorId="2" shapeId="0">
      <text>
        <r>
          <rPr>
            <b/>
            <sz val="8"/>
            <color indexed="81"/>
            <rFont val="Tahoma"/>
            <family val="2"/>
          </rPr>
          <t>Assume 10 yr useful life</t>
        </r>
      </text>
    </comment>
    <comment ref="H455" authorId="1" shapeId="0">
      <text>
        <r>
          <rPr>
            <b/>
            <sz val="8"/>
            <color indexed="81"/>
            <rFont val="Tahoma"/>
            <family val="2"/>
          </rPr>
          <t>Old value of 2%
Old value of 4.5%</t>
        </r>
      </text>
    </comment>
    <comment ref="I455"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56" authorId="1" shapeId="0">
      <text>
        <r>
          <rPr>
            <b/>
            <sz val="8"/>
            <color indexed="81"/>
            <rFont val="Tahoma"/>
            <family val="2"/>
          </rPr>
          <t xml:space="preserve">Default:
=E398+(E398*$K$240)
7521.81225691159
Adjusted by PPI to convert from 2002 surveyed cost to 2010. </t>
        </r>
      </text>
    </comment>
    <comment ref="E456" authorId="0" shapeId="0">
      <text>
        <r>
          <rPr>
            <b/>
            <sz val="8"/>
            <color indexed="81"/>
            <rFont val="Tahoma"/>
            <family val="2"/>
          </rPr>
          <t>Old value:
6000
Assume about same cost as cooperating dairy farmer</t>
        </r>
      </text>
    </comment>
    <comment ref="F456" authorId="3" shapeId="0">
      <text>
        <r>
          <rPr>
            <b/>
            <sz val="9"/>
            <color indexed="81"/>
            <rFont val="Tahoma"/>
            <family val="2"/>
          </rPr>
          <t>If use estimated hours then this is too short of a useful life at 5.4 years so use default assumption of 10 years useful life.
=($O$244/N327)*$R$244</t>
        </r>
      </text>
    </comment>
    <comment ref="G456" authorId="2" shapeId="0">
      <text>
        <r>
          <rPr>
            <b/>
            <sz val="8"/>
            <color indexed="81"/>
            <rFont val="Tahoma"/>
            <family val="2"/>
          </rPr>
          <t>Assume 10 yr useful life</t>
        </r>
      </text>
    </comment>
    <comment ref="H456" authorId="1" shapeId="0">
      <text>
        <r>
          <rPr>
            <b/>
            <sz val="8"/>
            <color indexed="81"/>
            <rFont val="Tahoma"/>
            <family val="2"/>
          </rPr>
          <t>Old value of 2%
Old value of 4.5%</t>
        </r>
      </text>
    </comment>
    <comment ref="I456"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57" authorId="1" shapeId="0">
      <text>
        <r>
          <rPr>
            <b/>
            <sz val="8"/>
            <color indexed="81"/>
            <rFont val="Tahoma"/>
            <family val="2"/>
          </rPr>
          <t xml:space="preserve">Default:
=E398+(E398*$K$240)
7521.81225691159
Adjusted by PPI to convert from 2002 surveyed cost to 2010. </t>
        </r>
      </text>
    </comment>
    <comment ref="E457" authorId="0" shapeId="0">
      <text>
        <r>
          <rPr>
            <b/>
            <sz val="8"/>
            <color indexed="81"/>
            <rFont val="Tahoma"/>
            <family val="2"/>
          </rPr>
          <t>Old value:
6000
Assume about same cost as cooperating dairy farmer</t>
        </r>
      </text>
    </comment>
    <comment ref="F457" authorId="3" shapeId="0">
      <text>
        <r>
          <rPr>
            <b/>
            <sz val="9"/>
            <color indexed="81"/>
            <rFont val="Tahoma"/>
            <family val="2"/>
          </rPr>
          <t>If use estimated hours then this is too short of a useful life at 5.4 years so use default assumption of 10 years useful life.
=($O$244/N327)*$R$244</t>
        </r>
      </text>
    </comment>
    <comment ref="G457" authorId="2" shapeId="0">
      <text>
        <r>
          <rPr>
            <b/>
            <sz val="8"/>
            <color indexed="81"/>
            <rFont val="Tahoma"/>
            <family val="2"/>
          </rPr>
          <t>Assume 10 yr useful life</t>
        </r>
      </text>
    </comment>
    <comment ref="H457" authorId="1" shapeId="0">
      <text>
        <r>
          <rPr>
            <b/>
            <sz val="8"/>
            <color indexed="81"/>
            <rFont val="Tahoma"/>
            <family val="2"/>
          </rPr>
          <t>Old value of 2%
Old value of 4.5%</t>
        </r>
      </text>
    </comment>
    <comment ref="I457"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58"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58"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58" authorId="3" shapeId="0">
      <text>
        <r>
          <rPr>
            <b/>
            <sz val="9"/>
            <color indexed="81"/>
            <rFont val="Tahoma"/>
            <family val="2"/>
          </rPr>
          <t xml:space="preserve">Default:
5
Assume this.
</t>
        </r>
      </text>
    </comment>
    <comment ref="G458" authorId="2" shapeId="0">
      <text>
        <r>
          <rPr>
            <b/>
            <sz val="8"/>
            <color indexed="81"/>
            <rFont val="Tahoma"/>
            <family val="2"/>
          </rPr>
          <t>Assume 5 yr useful life
Old value:
n/a</t>
        </r>
      </text>
    </comment>
    <comment ref="H458" authorId="1" shapeId="0">
      <text>
        <r>
          <rPr>
            <b/>
            <sz val="8"/>
            <color indexed="81"/>
            <rFont val="Tahoma"/>
            <family val="2"/>
          </rPr>
          <t>Default:
0%
Assume this is 0%</t>
        </r>
      </text>
    </comment>
    <comment ref="I458" authorId="1" shapeId="0">
      <text>
        <r>
          <rPr>
            <b/>
            <sz val="8"/>
            <color indexed="81"/>
            <rFont val="Tahoma"/>
            <family val="2"/>
          </rPr>
          <t>Default:
0%
Assume this is 0%</t>
        </r>
      </text>
    </comment>
    <comment ref="M458" authorId="3" shapeId="0">
      <text>
        <r>
          <rPr>
            <b/>
            <sz val="9"/>
            <color indexed="81"/>
            <rFont val="Tahoma"/>
            <family val="2"/>
          </rPr>
          <t>Calculated to left</t>
        </r>
      </text>
    </comment>
    <comment ref="A459"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59" authorId="1" shapeId="0">
      <text>
        <r>
          <rPr>
            <b/>
            <sz val="8"/>
            <color indexed="81"/>
            <rFont val="Tahoma"/>
            <family val="2"/>
          </rPr>
          <t xml:space="preserve">Default:
=E400+(E400*$K$240)
21106.2051928939
Adjusted by PPI to convert from 2002 surveyed cost to 2010. </t>
        </r>
      </text>
    </comment>
    <comment ref="E459"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59" authorId="3" shapeId="0">
      <text>
        <r>
          <rPr>
            <b/>
            <sz val="9"/>
            <color indexed="81"/>
            <rFont val="Tahoma"/>
            <family val="2"/>
          </rPr>
          <t>Default:
33
Assume this is the same as buildings.</t>
        </r>
      </text>
    </comment>
    <comment ref="G459" authorId="2" shapeId="0">
      <text>
        <r>
          <rPr>
            <b/>
            <sz val="8"/>
            <color indexed="81"/>
            <rFont val="Tahoma"/>
            <family val="2"/>
          </rPr>
          <t>Assume 33 yr useful life
Old value:
10</t>
        </r>
      </text>
    </comment>
    <comment ref="H459" authorId="1" shapeId="0">
      <text>
        <r>
          <rPr>
            <b/>
            <sz val="8"/>
            <color indexed="81"/>
            <rFont val="Tahoma"/>
            <family val="2"/>
          </rPr>
          <t>Default:
1%
Old value of 1%
Old value of 4.5%</t>
        </r>
      </text>
    </comment>
    <comment ref="I459"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59" authorId="3" shapeId="0">
      <text>
        <r>
          <rPr>
            <b/>
            <sz val="9"/>
            <color indexed="81"/>
            <rFont val="Tahoma"/>
            <family val="2"/>
          </rPr>
          <t>Assume this</t>
        </r>
      </text>
    </comment>
    <comment ref="M459" authorId="3" shapeId="0">
      <text>
        <r>
          <rPr>
            <b/>
            <sz val="9"/>
            <color indexed="81"/>
            <rFont val="Tahoma"/>
            <family val="2"/>
          </rPr>
          <t>Assume default:
1</t>
        </r>
      </text>
    </comment>
    <comment ref="A460"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60" authorId="1" shapeId="0">
      <text>
        <r>
          <rPr>
            <b/>
            <sz val="8"/>
            <color indexed="81"/>
            <rFont val="Tahoma"/>
            <family val="2"/>
          </rPr>
          <t xml:space="preserve">Default:
=E401+(E401*$K$240)
36937.1127229405
Adjusted by PPI to convert from 2002 surveyed cost to 2010. </t>
        </r>
      </text>
    </comment>
    <comment ref="E460"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60" authorId="3" shapeId="0">
      <text>
        <r>
          <rPr>
            <b/>
            <sz val="9"/>
            <color indexed="81"/>
            <rFont val="Tahoma"/>
            <family val="2"/>
          </rPr>
          <t>Default:
33
Assume this is the same as buildings.</t>
        </r>
      </text>
    </comment>
    <comment ref="G460" authorId="2" shapeId="0">
      <text>
        <r>
          <rPr>
            <b/>
            <sz val="8"/>
            <color indexed="81"/>
            <rFont val="Tahoma"/>
            <family val="2"/>
          </rPr>
          <t>Assume 33 yr useful life
Old value:
10</t>
        </r>
      </text>
    </comment>
    <comment ref="H460" authorId="1" shapeId="0">
      <text>
        <r>
          <rPr>
            <b/>
            <sz val="8"/>
            <color indexed="81"/>
            <rFont val="Tahoma"/>
            <family val="2"/>
          </rPr>
          <t>Default:
1%
Old value of 1%
Old value of 4.5%</t>
        </r>
      </text>
    </comment>
    <comment ref="I460"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60" authorId="3" shapeId="0">
      <text>
        <r>
          <rPr>
            <b/>
            <sz val="9"/>
            <color indexed="81"/>
            <rFont val="Tahoma"/>
            <family val="2"/>
          </rPr>
          <t>Assume this</t>
        </r>
      </text>
    </comment>
    <comment ref="M460" authorId="3" shapeId="0">
      <text>
        <r>
          <rPr>
            <b/>
            <sz val="9"/>
            <color indexed="81"/>
            <rFont val="Tahoma"/>
            <family val="2"/>
          </rPr>
          <t>Assume default:
1</t>
        </r>
      </text>
    </comment>
    <comment ref="D461" authorId="1" shapeId="0">
      <text>
        <r>
          <rPr>
            <b/>
            <sz val="8"/>
            <color indexed="81"/>
            <rFont val="Tahoma"/>
            <family val="2"/>
          </rPr>
          <t xml:space="preserve">Default:
=E402+(E402*$K$240)
7521.81225691159
Adjusted by PPI to convert from 2002 surveyed cost to 2010. </t>
        </r>
      </text>
    </comment>
    <comment ref="E461" authorId="0" shapeId="0">
      <text>
        <r>
          <rPr>
            <b/>
            <sz val="8"/>
            <color indexed="81"/>
            <rFont val="Tahoma"/>
            <family val="2"/>
          </rPr>
          <t>Old value:
6000
Assume about same cost as cooperating dairy farmer</t>
        </r>
      </text>
    </comment>
    <comment ref="F461" authorId="3" shapeId="0">
      <text>
        <r>
          <rPr>
            <b/>
            <sz val="9"/>
            <color indexed="81"/>
            <rFont val="Tahoma"/>
            <family val="2"/>
          </rPr>
          <t>If use estimated hours then this is too short of a useful life at 5.4 years so use default assumption of 10 years useful life.
=($O$244/N329)*$R$244</t>
        </r>
      </text>
    </comment>
    <comment ref="G461" authorId="2" shapeId="0">
      <text>
        <r>
          <rPr>
            <b/>
            <sz val="8"/>
            <color indexed="81"/>
            <rFont val="Tahoma"/>
            <family val="2"/>
          </rPr>
          <t>Assume 10 yr useful life</t>
        </r>
      </text>
    </comment>
    <comment ref="H461" authorId="1" shapeId="0">
      <text>
        <r>
          <rPr>
            <b/>
            <sz val="8"/>
            <color indexed="81"/>
            <rFont val="Tahoma"/>
            <family val="2"/>
          </rPr>
          <t>Old value of 2%
Old value of 4.5%</t>
        </r>
      </text>
    </comment>
    <comment ref="I461"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62" authorId="1" shapeId="0">
      <text>
        <r>
          <rPr>
            <b/>
            <sz val="8"/>
            <color indexed="81"/>
            <rFont val="Tahoma"/>
            <family val="2"/>
          </rPr>
          <t xml:space="preserve">Default:
=E402+(E402*$K$240)
7521.81225691159
Adjusted by PPI to convert from 2002 surveyed cost to 2010. </t>
        </r>
      </text>
    </comment>
    <comment ref="E462" authorId="0" shapeId="0">
      <text>
        <r>
          <rPr>
            <b/>
            <sz val="8"/>
            <color indexed="81"/>
            <rFont val="Tahoma"/>
            <family val="2"/>
          </rPr>
          <t>Old value:
6000
Assume about same cost as cooperating dairy farmer</t>
        </r>
      </text>
    </comment>
    <comment ref="F462" authorId="3" shapeId="0">
      <text>
        <r>
          <rPr>
            <b/>
            <sz val="9"/>
            <color indexed="81"/>
            <rFont val="Tahoma"/>
            <family val="2"/>
          </rPr>
          <t>If use estimated hours then this is too short of a useful life at 5.4 years so use default assumption of 10 years useful life.
=($O$244/N329)*$R$244</t>
        </r>
      </text>
    </comment>
    <comment ref="G462" authorId="2" shapeId="0">
      <text>
        <r>
          <rPr>
            <b/>
            <sz val="8"/>
            <color indexed="81"/>
            <rFont val="Tahoma"/>
            <family val="2"/>
          </rPr>
          <t>Assume 10 yr useful life</t>
        </r>
      </text>
    </comment>
    <comment ref="H462" authorId="1" shapeId="0">
      <text>
        <r>
          <rPr>
            <b/>
            <sz val="8"/>
            <color indexed="81"/>
            <rFont val="Tahoma"/>
            <family val="2"/>
          </rPr>
          <t>Old value of 2%
Old value of 4.5%</t>
        </r>
      </text>
    </comment>
    <comment ref="I462"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63" authorId="1" shapeId="0">
      <text>
        <r>
          <rPr>
            <b/>
            <sz val="8"/>
            <color indexed="81"/>
            <rFont val="Tahoma"/>
            <family val="2"/>
          </rPr>
          <t xml:space="preserve">Default:
=E402+(E402*$K$240)
7521.81225691159
Adjusted by PPI to convert from 2002 surveyed cost to 2010. </t>
        </r>
      </text>
    </comment>
    <comment ref="E463" authorId="0" shapeId="0">
      <text>
        <r>
          <rPr>
            <b/>
            <sz val="8"/>
            <color indexed="81"/>
            <rFont val="Tahoma"/>
            <family val="2"/>
          </rPr>
          <t>Old value:
6000
Assume about same cost as cooperating dairy farmer</t>
        </r>
      </text>
    </comment>
    <comment ref="F463" authorId="3" shapeId="0">
      <text>
        <r>
          <rPr>
            <b/>
            <sz val="9"/>
            <color indexed="81"/>
            <rFont val="Tahoma"/>
            <family val="2"/>
          </rPr>
          <t>If use estimated hours then this is too short of a useful life at 5.4 years so use default assumption of 10 years useful life.
=($O$244/N329)*$R$244</t>
        </r>
      </text>
    </comment>
    <comment ref="G463" authorId="2" shapeId="0">
      <text>
        <r>
          <rPr>
            <b/>
            <sz val="8"/>
            <color indexed="81"/>
            <rFont val="Tahoma"/>
            <family val="2"/>
          </rPr>
          <t>Assume 10 yr useful life</t>
        </r>
      </text>
    </comment>
    <comment ref="H463" authorId="1" shapeId="0">
      <text>
        <r>
          <rPr>
            <b/>
            <sz val="8"/>
            <color indexed="81"/>
            <rFont val="Tahoma"/>
            <family val="2"/>
          </rPr>
          <t>Old value of 2%
Old value of 4.5%</t>
        </r>
      </text>
    </comment>
    <comment ref="I463"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64"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64"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64" authorId="3" shapeId="0">
      <text>
        <r>
          <rPr>
            <b/>
            <sz val="9"/>
            <color indexed="81"/>
            <rFont val="Tahoma"/>
            <family val="2"/>
          </rPr>
          <t xml:space="preserve">Default:
5
Assume this.
</t>
        </r>
      </text>
    </comment>
    <comment ref="G464" authorId="2" shapeId="0">
      <text>
        <r>
          <rPr>
            <b/>
            <sz val="8"/>
            <color indexed="81"/>
            <rFont val="Tahoma"/>
            <family val="2"/>
          </rPr>
          <t>Assume 5 yr useful life
Old value:
n/a</t>
        </r>
      </text>
    </comment>
    <comment ref="H464" authorId="1" shapeId="0">
      <text>
        <r>
          <rPr>
            <b/>
            <sz val="8"/>
            <color indexed="81"/>
            <rFont val="Tahoma"/>
            <family val="2"/>
          </rPr>
          <t>Default:
0%
Assume this is 0%</t>
        </r>
      </text>
    </comment>
    <comment ref="I464" authorId="1" shapeId="0">
      <text>
        <r>
          <rPr>
            <b/>
            <sz val="8"/>
            <color indexed="81"/>
            <rFont val="Tahoma"/>
            <family val="2"/>
          </rPr>
          <t>Default:
0%
Assume this is 0%</t>
        </r>
      </text>
    </comment>
    <comment ref="M464" authorId="3" shapeId="0">
      <text>
        <r>
          <rPr>
            <b/>
            <sz val="9"/>
            <color indexed="81"/>
            <rFont val="Tahoma"/>
            <family val="2"/>
          </rPr>
          <t>Calculated to left</t>
        </r>
      </text>
    </comment>
    <comment ref="A465"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65" authorId="1" shapeId="0">
      <text>
        <r>
          <rPr>
            <b/>
            <sz val="8"/>
            <color indexed="81"/>
            <rFont val="Tahoma"/>
            <family val="2"/>
          </rPr>
          <t xml:space="preserve">Default:
=E404+(E404*$K$240)
21106.2051928939
Adjusted by PPI to convert from 2002 surveyed cost to 2010. </t>
        </r>
      </text>
    </comment>
    <comment ref="E465"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65" authorId="3" shapeId="0">
      <text>
        <r>
          <rPr>
            <b/>
            <sz val="9"/>
            <color indexed="81"/>
            <rFont val="Tahoma"/>
            <family val="2"/>
          </rPr>
          <t>Default:
33
Assume this is the same as buildings.</t>
        </r>
      </text>
    </comment>
    <comment ref="G465" authorId="2" shapeId="0">
      <text>
        <r>
          <rPr>
            <b/>
            <sz val="8"/>
            <color indexed="81"/>
            <rFont val="Tahoma"/>
            <family val="2"/>
          </rPr>
          <t>Assume 33 yr useful life
Old value:
10</t>
        </r>
      </text>
    </comment>
    <comment ref="H465" authorId="1" shapeId="0">
      <text>
        <r>
          <rPr>
            <b/>
            <sz val="8"/>
            <color indexed="81"/>
            <rFont val="Tahoma"/>
            <family val="2"/>
          </rPr>
          <t>Default:
1%
Old value of 1%
Old value of 4.5%</t>
        </r>
      </text>
    </comment>
    <comment ref="I465"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65" authorId="3" shapeId="0">
      <text>
        <r>
          <rPr>
            <b/>
            <sz val="9"/>
            <color indexed="81"/>
            <rFont val="Tahoma"/>
            <family val="2"/>
          </rPr>
          <t>Assume this</t>
        </r>
      </text>
    </comment>
    <comment ref="M465" authorId="3" shapeId="0">
      <text>
        <r>
          <rPr>
            <b/>
            <sz val="9"/>
            <color indexed="81"/>
            <rFont val="Tahoma"/>
            <family val="2"/>
          </rPr>
          <t>Assume default:
1</t>
        </r>
      </text>
    </comment>
    <comment ref="A466"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66" authorId="1" shapeId="0">
      <text>
        <r>
          <rPr>
            <b/>
            <sz val="8"/>
            <color indexed="81"/>
            <rFont val="Tahoma"/>
            <family val="2"/>
          </rPr>
          <t xml:space="preserve">Default:
=E405+(E405*$K$240)
36937.1127229405
Adjusted by PPI to convert from 2002 surveyed cost to 2010. </t>
        </r>
      </text>
    </comment>
    <comment ref="E466"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66" authorId="3" shapeId="0">
      <text>
        <r>
          <rPr>
            <b/>
            <sz val="9"/>
            <color indexed="81"/>
            <rFont val="Tahoma"/>
            <family val="2"/>
          </rPr>
          <t>Default:
33
Assume this is the same as buildings.</t>
        </r>
      </text>
    </comment>
    <comment ref="G466" authorId="2" shapeId="0">
      <text>
        <r>
          <rPr>
            <b/>
            <sz val="8"/>
            <color indexed="81"/>
            <rFont val="Tahoma"/>
            <family val="2"/>
          </rPr>
          <t>Assume 33 yr useful life
Old value:
10</t>
        </r>
      </text>
    </comment>
    <comment ref="H466" authorId="1" shapeId="0">
      <text>
        <r>
          <rPr>
            <b/>
            <sz val="8"/>
            <color indexed="81"/>
            <rFont val="Tahoma"/>
            <family val="2"/>
          </rPr>
          <t>Default:
1%
Old value of 1%
Old value of 4.5%</t>
        </r>
      </text>
    </comment>
    <comment ref="I466"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66" authorId="3" shapeId="0">
      <text>
        <r>
          <rPr>
            <b/>
            <sz val="9"/>
            <color indexed="81"/>
            <rFont val="Tahoma"/>
            <family val="2"/>
          </rPr>
          <t>Assume this</t>
        </r>
      </text>
    </comment>
    <comment ref="M466" authorId="3" shapeId="0">
      <text>
        <r>
          <rPr>
            <b/>
            <sz val="9"/>
            <color indexed="81"/>
            <rFont val="Tahoma"/>
            <family val="2"/>
          </rPr>
          <t>Assume default:
1</t>
        </r>
      </text>
    </comment>
    <comment ref="D467" authorId="1" shapeId="0">
      <text>
        <r>
          <rPr>
            <b/>
            <sz val="8"/>
            <color indexed="81"/>
            <rFont val="Tahoma"/>
            <family val="2"/>
          </rPr>
          <t xml:space="preserve">Default:
=E406+(E406*$K$240)
7521.81225691159
Adjusted by PPI to convert from 2002 surveyed cost to 2010. </t>
        </r>
      </text>
    </comment>
    <comment ref="E467" authorId="0" shapeId="0">
      <text>
        <r>
          <rPr>
            <b/>
            <sz val="8"/>
            <color indexed="81"/>
            <rFont val="Tahoma"/>
            <family val="2"/>
          </rPr>
          <t>Old value:
6000
Assume about same cost as cooperating dairy farmer</t>
        </r>
      </text>
    </comment>
    <comment ref="F467" authorId="3" shapeId="0">
      <text>
        <r>
          <rPr>
            <b/>
            <sz val="9"/>
            <color indexed="81"/>
            <rFont val="Tahoma"/>
            <family val="2"/>
          </rPr>
          <t>If use estimated hours then this is too short of a useful life at 5.4 years so use default assumption of 10 years useful life.
=($O$244/N331)*$R$244</t>
        </r>
      </text>
    </comment>
    <comment ref="G467" authorId="2" shapeId="0">
      <text>
        <r>
          <rPr>
            <b/>
            <sz val="8"/>
            <color indexed="81"/>
            <rFont val="Tahoma"/>
            <family val="2"/>
          </rPr>
          <t>Assume 10 yr useful life</t>
        </r>
      </text>
    </comment>
    <comment ref="H467" authorId="1" shapeId="0">
      <text>
        <r>
          <rPr>
            <b/>
            <sz val="8"/>
            <color indexed="81"/>
            <rFont val="Tahoma"/>
            <family val="2"/>
          </rPr>
          <t>Old value of 2%
Old value of 4.5%</t>
        </r>
      </text>
    </comment>
    <comment ref="I467"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68" authorId="1" shapeId="0">
      <text>
        <r>
          <rPr>
            <b/>
            <sz val="8"/>
            <color indexed="81"/>
            <rFont val="Tahoma"/>
            <family val="2"/>
          </rPr>
          <t xml:space="preserve">Default:
=E406+(E406*$K$240)
7521.81225691159
Adjusted by PPI to convert from 2002 surveyed cost to 2010. </t>
        </r>
      </text>
    </comment>
    <comment ref="E468" authorId="0" shapeId="0">
      <text>
        <r>
          <rPr>
            <b/>
            <sz val="8"/>
            <color indexed="81"/>
            <rFont val="Tahoma"/>
            <family val="2"/>
          </rPr>
          <t>Old value:
6000
Assume about same cost as cooperating dairy farmer</t>
        </r>
      </text>
    </comment>
    <comment ref="F468" authorId="3" shapeId="0">
      <text>
        <r>
          <rPr>
            <b/>
            <sz val="9"/>
            <color indexed="81"/>
            <rFont val="Tahoma"/>
            <family val="2"/>
          </rPr>
          <t>If use estimated hours then this is too short of a useful life at 5.4 years so use default assumption of 10 years useful life.
=($O$244/N331)*$R$244</t>
        </r>
      </text>
    </comment>
    <comment ref="G468" authorId="2" shapeId="0">
      <text>
        <r>
          <rPr>
            <b/>
            <sz val="8"/>
            <color indexed="81"/>
            <rFont val="Tahoma"/>
            <family val="2"/>
          </rPr>
          <t>Assume 10 yr useful life</t>
        </r>
      </text>
    </comment>
    <comment ref="H468" authorId="1" shapeId="0">
      <text>
        <r>
          <rPr>
            <b/>
            <sz val="8"/>
            <color indexed="81"/>
            <rFont val="Tahoma"/>
            <family val="2"/>
          </rPr>
          <t>Old value of 2%
Old value of 4.5%</t>
        </r>
      </text>
    </comment>
    <comment ref="I468"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69" authorId="1" shapeId="0">
      <text>
        <r>
          <rPr>
            <b/>
            <sz val="8"/>
            <color indexed="81"/>
            <rFont val="Tahoma"/>
            <family val="2"/>
          </rPr>
          <t xml:space="preserve">Default:
=E406+(E406*$K$240)
7521.81225691159
Adjusted by PPI to convert from 2002 surveyed cost to 2010. </t>
        </r>
      </text>
    </comment>
    <comment ref="E469" authorId="0" shapeId="0">
      <text>
        <r>
          <rPr>
            <b/>
            <sz val="8"/>
            <color indexed="81"/>
            <rFont val="Tahoma"/>
            <family val="2"/>
          </rPr>
          <t>Old value:
6000
Assume about same cost as cooperating dairy farmer</t>
        </r>
      </text>
    </comment>
    <comment ref="F469" authorId="3" shapeId="0">
      <text>
        <r>
          <rPr>
            <b/>
            <sz val="9"/>
            <color indexed="81"/>
            <rFont val="Tahoma"/>
            <family val="2"/>
          </rPr>
          <t>If use estimated hours then this is too short of a useful life at 5.4 years so use default assumption of 10 years useful life.
=($O$244/N331)*$R$244</t>
        </r>
      </text>
    </comment>
    <comment ref="G469" authorId="2" shapeId="0">
      <text>
        <r>
          <rPr>
            <b/>
            <sz val="8"/>
            <color indexed="81"/>
            <rFont val="Tahoma"/>
            <family val="2"/>
          </rPr>
          <t>Assume 10 yr useful life</t>
        </r>
      </text>
    </comment>
    <comment ref="H469" authorId="1" shapeId="0">
      <text>
        <r>
          <rPr>
            <b/>
            <sz val="8"/>
            <color indexed="81"/>
            <rFont val="Tahoma"/>
            <family val="2"/>
          </rPr>
          <t>Old value of 2%
Old value of 4.5%</t>
        </r>
      </text>
    </comment>
    <comment ref="I469"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70"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70"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70" authorId="3" shapeId="0">
      <text>
        <r>
          <rPr>
            <b/>
            <sz val="9"/>
            <color indexed="81"/>
            <rFont val="Tahoma"/>
            <family val="2"/>
          </rPr>
          <t xml:space="preserve">Default:
5
Assume this.
</t>
        </r>
      </text>
    </comment>
    <comment ref="G470" authorId="2" shapeId="0">
      <text>
        <r>
          <rPr>
            <b/>
            <sz val="8"/>
            <color indexed="81"/>
            <rFont val="Tahoma"/>
            <family val="2"/>
          </rPr>
          <t>Assume 5 yr useful life
Old value:
n/a</t>
        </r>
      </text>
    </comment>
    <comment ref="H470" authorId="1" shapeId="0">
      <text>
        <r>
          <rPr>
            <b/>
            <sz val="8"/>
            <color indexed="81"/>
            <rFont val="Tahoma"/>
            <family val="2"/>
          </rPr>
          <t>Default:
0%
Assume this is 0%</t>
        </r>
      </text>
    </comment>
    <comment ref="I470" authorId="1" shapeId="0">
      <text>
        <r>
          <rPr>
            <b/>
            <sz val="8"/>
            <color indexed="81"/>
            <rFont val="Tahoma"/>
            <family val="2"/>
          </rPr>
          <t>Default:
0%
Assume this is 0%</t>
        </r>
      </text>
    </comment>
    <comment ref="M470" authorId="3" shapeId="0">
      <text>
        <r>
          <rPr>
            <b/>
            <sz val="9"/>
            <color indexed="81"/>
            <rFont val="Tahoma"/>
            <family val="2"/>
          </rPr>
          <t>Calculated to left</t>
        </r>
      </text>
    </comment>
    <comment ref="A471"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71" authorId="1" shapeId="0">
      <text>
        <r>
          <rPr>
            <b/>
            <sz val="8"/>
            <color indexed="81"/>
            <rFont val="Tahoma"/>
            <family val="2"/>
          </rPr>
          <t xml:space="preserve">Default:
=E408+(E408*$K$240)
21106.2051928939
Adjusted by PPI to convert from 2002 surveyed cost to 2010. </t>
        </r>
      </text>
    </comment>
    <comment ref="E471"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71" authorId="3" shapeId="0">
      <text>
        <r>
          <rPr>
            <b/>
            <sz val="9"/>
            <color indexed="81"/>
            <rFont val="Tahoma"/>
            <family val="2"/>
          </rPr>
          <t>Default:
33
Assume this is the same as buildings.</t>
        </r>
      </text>
    </comment>
    <comment ref="G471" authorId="2" shapeId="0">
      <text>
        <r>
          <rPr>
            <b/>
            <sz val="8"/>
            <color indexed="81"/>
            <rFont val="Tahoma"/>
            <family val="2"/>
          </rPr>
          <t>Assume 33 yr useful life
Old value:
10</t>
        </r>
      </text>
    </comment>
    <comment ref="H471" authorId="1" shapeId="0">
      <text>
        <r>
          <rPr>
            <b/>
            <sz val="8"/>
            <color indexed="81"/>
            <rFont val="Tahoma"/>
            <family val="2"/>
          </rPr>
          <t>Default:
1%
Old value of 1%
Old value of 4.5%</t>
        </r>
      </text>
    </comment>
    <comment ref="I471"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71" authorId="3" shapeId="0">
      <text>
        <r>
          <rPr>
            <b/>
            <sz val="9"/>
            <color indexed="81"/>
            <rFont val="Tahoma"/>
            <family val="2"/>
          </rPr>
          <t>Assume this</t>
        </r>
      </text>
    </comment>
    <comment ref="M471" authorId="3" shapeId="0">
      <text>
        <r>
          <rPr>
            <b/>
            <sz val="9"/>
            <color indexed="81"/>
            <rFont val="Tahoma"/>
            <family val="2"/>
          </rPr>
          <t>Assume default:
1</t>
        </r>
      </text>
    </comment>
    <comment ref="A472"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72" authorId="1" shapeId="0">
      <text>
        <r>
          <rPr>
            <b/>
            <sz val="8"/>
            <color indexed="81"/>
            <rFont val="Tahoma"/>
            <family val="2"/>
          </rPr>
          <t xml:space="preserve">Default:
=E409+(E409*$K$240)
36937.1127229405
Adjusted by PPI to convert from 2002 surveyed cost to 2010. </t>
        </r>
      </text>
    </comment>
    <comment ref="E472"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72" authorId="3" shapeId="0">
      <text>
        <r>
          <rPr>
            <b/>
            <sz val="9"/>
            <color indexed="81"/>
            <rFont val="Tahoma"/>
            <family val="2"/>
          </rPr>
          <t>Default:
33
Assume this is the same as buildings.</t>
        </r>
      </text>
    </comment>
    <comment ref="G472" authorId="2" shapeId="0">
      <text>
        <r>
          <rPr>
            <b/>
            <sz val="8"/>
            <color indexed="81"/>
            <rFont val="Tahoma"/>
            <family val="2"/>
          </rPr>
          <t>Assume 33 yr useful life
Old value:
10</t>
        </r>
      </text>
    </comment>
    <comment ref="H472" authorId="1" shapeId="0">
      <text>
        <r>
          <rPr>
            <b/>
            <sz val="8"/>
            <color indexed="81"/>
            <rFont val="Tahoma"/>
            <family val="2"/>
          </rPr>
          <t>Default:
1%
Old value of 1%
Old value of 4.5%</t>
        </r>
      </text>
    </comment>
    <comment ref="I472"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72" authorId="3" shapeId="0">
      <text>
        <r>
          <rPr>
            <b/>
            <sz val="9"/>
            <color indexed="81"/>
            <rFont val="Tahoma"/>
            <family val="2"/>
          </rPr>
          <t>Assume this</t>
        </r>
      </text>
    </comment>
    <comment ref="M472" authorId="3" shapeId="0">
      <text>
        <r>
          <rPr>
            <b/>
            <sz val="9"/>
            <color indexed="81"/>
            <rFont val="Tahoma"/>
            <family val="2"/>
          </rPr>
          <t>Assume default:
1</t>
        </r>
      </text>
    </comment>
    <comment ref="D473" authorId="1" shapeId="0">
      <text>
        <r>
          <rPr>
            <b/>
            <sz val="8"/>
            <color indexed="81"/>
            <rFont val="Tahoma"/>
            <family val="2"/>
          </rPr>
          <t xml:space="preserve">Default:
=E406+(E406*$K$240)
7521.81225691159
Adjusted by PPI to convert from 2002 surveyed cost to 2010. </t>
        </r>
      </text>
    </comment>
    <comment ref="E473" authorId="0" shapeId="0">
      <text>
        <r>
          <rPr>
            <b/>
            <sz val="8"/>
            <color indexed="81"/>
            <rFont val="Tahoma"/>
            <family val="2"/>
          </rPr>
          <t>Old value:
6000
Assume about same cost as cooperating dairy farmer</t>
        </r>
      </text>
    </comment>
    <comment ref="F473" authorId="3" shapeId="0">
      <text>
        <r>
          <rPr>
            <b/>
            <sz val="9"/>
            <color indexed="81"/>
            <rFont val="Tahoma"/>
            <family val="2"/>
          </rPr>
          <t>If use estimated hours then this is too short of a useful life at 5.4 years so use default assumption of 10 years useful life.
=($O$244/N331)*$R$244</t>
        </r>
      </text>
    </comment>
    <comment ref="G473" authorId="2" shapeId="0">
      <text>
        <r>
          <rPr>
            <b/>
            <sz val="8"/>
            <color indexed="81"/>
            <rFont val="Tahoma"/>
            <family val="2"/>
          </rPr>
          <t>Assume 10 yr useful life</t>
        </r>
      </text>
    </comment>
    <comment ref="H473" authorId="1" shapeId="0">
      <text>
        <r>
          <rPr>
            <b/>
            <sz val="8"/>
            <color indexed="81"/>
            <rFont val="Tahoma"/>
            <family val="2"/>
          </rPr>
          <t>Old value of 2%
Old value of 4.5%</t>
        </r>
      </text>
    </comment>
    <comment ref="I473"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74" authorId="1" shapeId="0">
      <text>
        <r>
          <rPr>
            <b/>
            <sz val="8"/>
            <color indexed="81"/>
            <rFont val="Tahoma"/>
            <family val="2"/>
          </rPr>
          <t xml:space="preserve">Default:
=E406+(E406*$K$240)
7521.81225691159
Adjusted by PPI to convert from 2002 surveyed cost to 2010. </t>
        </r>
      </text>
    </comment>
    <comment ref="E474" authorId="0" shapeId="0">
      <text>
        <r>
          <rPr>
            <b/>
            <sz val="8"/>
            <color indexed="81"/>
            <rFont val="Tahoma"/>
            <family val="2"/>
          </rPr>
          <t>Old value:
6000
Assume about same cost as cooperating dairy farmer</t>
        </r>
      </text>
    </comment>
    <comment ref="F474" authorId="3" shapeId="0">
      <text>
        <r>
          <rPr>
            <b/>
            <sz val="9"/>
            <color indexed="81"/>
            <rFont val="Tahoma"/>
            <family val="2"/>
          </rPr>
          <t>If use estimated hours then this is too short of a useful life at 5.4 years so use default assumption of 10 years useful life.
=($O$244/N331)*$R$244</t>
        </r>
      </text>
    </comment>
    <comment ref="G474" authorId="2" shapeId="0">
      <text>
        <r>
          <rPr>
            <b/>
            <sz val="8"/>
            <color indexed="81"/>
            <rFont val="Tahoma"/>
            <family val="2"/>
          </rPr>
          <t>Assume 10 yr useful life</t>
        </r>
      </text>
    </comment>
    <comment ref="H474" authorId="1" shapeId="0">
      <text>
        <r>
          <rPr>
            <b/>
            <sz val="8"/>
            <color indexed="81"/>
            <rFont val="Tahoma"/>
            <family val="2"/>
          </rPr>
          <t>Old value of 2%
Old value of 4.5%</t>
        </r>
      </text>
    </comment>
    <comment ref="I474"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75" authorId="1" shapeId="0">
      <text>
        <r>
          <rPr>
            <b/>
            <sz val="8"/>
            <color indexed="81"/>
            <rFont val="Tahoma"/>
            <family val="2"/>
          </rPr>
          <t xml:space="preserve">Default:
=E406+(E406*$K$240)
7521.81225691159
Adjusted by PPI to convert from 2002 surveyed cost to 2010. </t>
        </r>
      </text>
    </comment>
    <comment ref="E475" authorId="0" shapeId="0">
      <text>
        <r>
          <rPr>
            <b/>
            <sz val="8"/>
            <color indexed="81"/>
            <rFont val="Tahoma"/>
            <family val="2"/>
          </rPr>
          <t>Old value:
6000
Assume about same cost as cooperating dairy farmer</t>
        </r>
      </text>
    </comment>
    <comment ref="F475" authorId="3" shapeId="0">
      <text>
        <r>
          <rPr>
            <b/>
            <sz val="9"/>
            <color indexed="81"/>
            <rFont val="Tahoma"/>
            <family val="2"/>
          </rPr>
          <t>If use estimated hours then this is too short of a useful life at 5.4 years so use default assumption of 10 years useful life.
=($O$244/N331)*$R$244</t>
        </r>
      </text>
    </comment>
    <comment ref="G475" authorId="2" shapeId="0">
      <text>
        <r>
          <rPr>
            <b/>
            <sz val="8"/>
            <color indexed="81"/>
            <rFont val="Tahoma"/>
            <family val="2"/>
          </rPr>
          <t>Assume 10 yr useful life</t>
        </r>
      </text>
    </comment>
    <comment ref="H475" authorId="1" shapeId="0">
      <text>
        <r>
          <rPr>
            <b/>
            <sz val="8"/>
            <color indexed="81"/>
            <rFont val="Tahoma"/>
            <family val="2"/>
          </rPr>
          <t>Old value of 2%
Old value of 4.5%</t>
        </r>
      </text>
    </comment>
    <comment ref="I475"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76"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76"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76" authorId="3" shapeId="0">
      <text>
        <r>
          <rPr>
            <b/>
            <sz val="9"/>
            <color indexed="81"/>
            <rFont val="Tahoma"/>
            <family val="2"/>
          </rPr>
          <t xml:space="preserve">Default:
5
Assume this.
</t>
        </r>
      </text>
    </comment>
    <comment ref="G476" authorId="2" shapeId="0">
      <text>
        <r>
          <rPr>
            <b/>
            <sz val="8"/>
            <color indexed="81"/>
            <rFont val="Tahoma"/>
            <family val="2"/>
          </rPr>
          <t>Assume 5 yr useful life
Old value:
n/a</t>
        </r>
      </text>
    </comment>
    <comment ref="H476" authorId="1" shapeId="0">
      <text>
        <r>
          <rPr>
            <b/>
            <sz val="8"/>
            <color indexed="81"/>
            <rFont val="Tahoma"/>
            <family val="2"/>
          </rPr>
          <t>Default:
0%
Assume this is 0%</t>
        </r>
      </text>
    </comment>
    <comment ref="I476" authorId="1" shapeId="0">
      <text>
        <r>
          <rPr>
            <b/>
            <sz val="8"/>
            <color indexed="81"/>
            <rFont val="Tahoma"/>
            <family val="2"/>
          </rPr>
          <t>Default:
0%
Assume this is 0%</t>
        </r>
      </text>
    </comment>
    <comment ref="M476" authorId="3" shapeId="0">
      <text>
        <r>
          <rPr>
            <b/>
            <sz val="9"/>
            <color indexed="81"/>
            <rFont val="Tahoma"/>
            <family val="2"/>
          </rPr>
          <t>Calculated to left</t>
        </r>
      </text>
    </comment>
    <comment ref="A477"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77" authorId="1" shapeId="0">
      <text>
        <r>
          <rPr>
            <b/>
            <sz val="8"/>
            <color indexed="81"/>
            <rFont val="Tahoma"/>
            <family val="2"/>
          </rPr>
          <t xml:space="preserve">Default:
=E408+(E408*$K$240)
21106.2051928939
Adjusted by PPI to convert from 2002 surveyed cost to 2010. </t>
        </r>
      </text>
    </comment>
    <comment ref="E477"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77" authorId="3" shapeId="0">
      <text>
        <r>
          <rPr>
            <b/>
            <sz val="9"/>
            <color indexed="81"/>
            <rFont val="Tahoma"/>
            <family val="2"/>
          </rPr>
          <t>Default:
33
Assume this is the same as buildings.</t>
        </r>
      </text>
    </comment>
    <comment ref="G477" authorId="2" shapeId="0">
      <text>
        <r>
          <rPr>
            <b/>
            <sz val="8"/>
            <color indexed="81"/>
            <rFont val="Tahoma"/>
            <family val="2"/>
          </rPr>
          <t>Assume 33 yr useful life
Old value:
10</t>
        </r>
      </text>
    </comment>
    <comment ref="H477" authorId="1" shapeId="0">
      <text>
        <r>
          <rPr>
            <b/>
            <sz val="8"/>
            <color indexed="81"/>
            <rFont val="Tahoma"/>
            <family val="2"/>
          </rPr>
          <t>Default:
1%
Old value of 1%
Old value of 4.5%</t>
        </r>
      </text>
    </comment>
    <comment ref="I477"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77" authorId="3" shapeId="0">
      <text>
        <r>
          <rPr>
            <b/>
            <sz val="9"/>
            <color indexed="81"/>
            <rFont val="Tahoma"/>
            <family val="2"/>
          </rPr>
          <t>Assume this</t>
        </r>
      </text>
    </comment>
    <comment ref="M477" authorId="3" shapeId="0">
      <text>
        <r>
          <rPr>
            <b/>
            <sz val="9"/>
            <color indexed="81"/>
            <rFont val="Tahoma"/>
            <family val="2"/>
          </rPr>
          <t>Assume default:
1</t>
        </r>
      </text>
    </comment>
    <comment ref="A478"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78" authorId="1" shapeId="0">
      <text>
        <r>
          <rPr>
            <b/>
            <sz val="8"/>
            <color indexed="81"/>
            <rFont val="Tahoma"/>
            <family val="2"/>
          </rPr>
          <t xml:space="preserve">Default:
=E409+(E409*$K$240)
36937.1127229405
Adjusted by PPI to convert from 2002 surveyed cost to 2010. </t>
        </r>
      </text>
    </comment>
    <comment ref="E478"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78" authorId="3" shapeId="0">
      <text>
        <r>
          <rPr>
            <b/>
            <sz val="9"/>
            <color indexed="81"/>
            <rFont val="Tahoma"/>
            <family val="2"/>
          </rPr>
          <t>Default:
33
Assume this is the same as buildings.</t>
        </r>
      </text>
    </comment>
    <comment ref="G478" authorId="2" shapeId="0">
      <text>
        <r>
          <rPr>
            <b/>
            <sz val="8"/>
            <color indexed="81"/>
            <rFont val="Tahoma"/>
            <family val="2"/>
          </rPr>
          <t>Assume 33 yr useful life
Old value:
10</t>
        </r>
      </text>
    </comment>
    <comment ref="H478" authorId="1" shapeId="0">
      <text>
        <r>
          <rPr>
            <b/>
            <sz val="8"/>
            <color indexed="81"/>
            <rFont val="Tahoma"/>
            <family val="2"/>
          </rPr>
          <t>Default:
1%
Old value of 1%
Old value of 4.5%</t>
        </r>
      </text>
    </comment>
    <comment ref="I478"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78" authorId="3" shapeId="0">
      <text>
        <r>
          <rPr>
            <b/>
            <sz val="9"/>
            <color indexed="81"/>
            <rFont val="Tahoma"/>
            <family val="2"/>
          </rPr>
          <t>Assume this</t>
        </r>
      </text>
    </comment>
    <comment ref="M478" authorId="3" shapeId="0">
      <text>
        <r>
          <rPr>
            <b/>
            <sz val="9"/>
            <color indexed="81"/>
            <rFont val="Tahoma"/>
            <family val="2"/>
          </rPr>
          <t>Assume default:
1</t>
        </r>
      </text>
    </comment>
    <comment ref="D479" authorId="1" shapeId="0">
      <text>
        <r>
          <rPr>
            <b/>
            <sz val="8"/>
            <color indexed="81"/>
            <rFont val="Tahoma"/>
            <family val="2"/>
          </rPr>
          <t xml:space="preserve">Default:
=E410+(E410*$K$240)
7521.81225691159
Adjusted by PPI to convert from 2002 surveyed cost to 2010. </t>
        </r>
      </text>
    </comment>
    <comment ref="E479" authorId="0" shapeId="0">
      <text>
        <r>
          <rPr>
            <b/>
            <sz val="8"/>
            <color indexed="81"/>
            <rFont val="Tahoma"/>
            <family val="2"/>
          </rPr>
          <t>Old value:
6000
Assume about same cost as cooperating dairy farmer</t>
        </r>
      </text>
    </comment>
    <comment ref="F479" authorId="3" shapeId="0">
      <text>
        <r>
          <rPr>
            <b/>
            <sz val="9"/>
            <color indexed="81"/>
            <rFont val="Tahoma"/>
            <family val="2"/>
          </rPr>
          <t>If use estimated hours then this is too short of a useful life at 5.4 years so use default assumption of 10 years useful life.
=($O$244/N333)*$R$244</t>
        </r>
      </text>
    </comment>
    <comment ref="G479" authorId="2" shapeId="0">
      <text>
        <r>
          <rPr>
            <b/>
            <sz val="8"/>
            <color indexed="81"/>
            <rFont val="Tahoma"/>
            <family val="2"/>
          </rPr>
          <t>Assume 10 yr useful life</t>
        </r>
      </text>
    </comment>
    <comment ref="H479" authorId="1" shapeId="0">
      <text>
        <r>
          <rPr>
            <b/>
            <sz val="8"/>
            <color indexed="81"/>
            <rFont val="Tahoma"/>
            <family val="2"/>
          </rPr>
          <t>Old value of 2%
Old value of 4.5%</t>
        </r>
      </text>
    </comment>
    <comment ref="I479"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80" authorId="1" shapeId="0">
      <text>
        <r>
          <rPr>
            <b/>
            <sz val="8"/>
            <color indexed="81"/>
            <rFont val="Tahoma"/>
            <family val="2"/>
          </rPr>
          <t xml:space="preserve">Default:
=E410+(E410*$K$240)
7521.81225691159
Adjusted by PPI to convert from 2002 surveyed cost to 2010. </t>
        </r>
      </text>
    </comment>
    <comment ref="E480" authorId="0" shapeId="0">
      <text>
        <r>
          <rPr>
            <b/>
            <sz val="8"/>
            <color indexed="81"/>
            <rFont val="Tahoma"/>
            <family val="2"/>
          </rPr>
          <t>Old value:
6000
Assume about same cost as cooperating dairy farmer</t>
        </r>
      </text>
    </comment>
    <comment ref="F480" authorId="3" shapeId="0">
      <text>
        <r>
          <rPr>
            <b/>
            <sz val="9"/>
            <color indexed="81"/>
            <rFont val="Tahoma"/>
            <family val="2"/>
          </rPr>
          <t>If use estimated hours then this is too short of a useful life at 5.4 years so use default assumption of 10 years useful life.
=($O$244/N333)*$R$244</t>
        </r>
      </text>
    </comment>
    <comment ref="G480" authorId="2" shapeId="0">
      <text>
        <r>
          <rPr>
            <b/>
            <sz val="8"/>
            <color indexed="81"/>
            <rFont val="Tahoma"/>
            <family val="2"/>
          </rPr>
          <t>Assume 10 yr useful life</t>
        </r>
      </text>
    </comment>
    <comment ref="H480" authorId="1" shapeId="0">
      <text>
        <r>
          <rPr>
            <b/>
            <sz val="8"/>
            <color indexed="81"/>
            <rFont val="Tahoma"/>
            <family val="2"/>
          </rPr>
          <t>Old value of 2%
Old value of 4.5%</t>
        </r>
      </text>
    </comment>
    <comment ref="I480"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81" authorId="1" shapeId="0">
      <text>
        <r>
          <rPr>
            <b/>
            <sz val="8"/>
            <color indexed="81"/>
            <rFont val="Tahoma"/>
            <family val="2"/>
          </rPr>
          <t xml:space="preserve">Default:
=E410+(E410*$K$240)
7521.81225691159
Adjusted by PPI to convert from 2002 surveyed cost to 2010. </t>
        </r>
      </text>
    </comment>
    <comment ref="E481" authorId="0" shapeId="0">
      <text>
        <r>
          <rPr>
            <b/>
            <sz val="8"/>
            <color indexed="81"/>
            <rFont val="Tahoma"/>
            <family val="2"/>
          </rPr>
          <t>Old value:
6000
Assume about same cost as cooperating dairy farmer</t>
        </r>
      </text>
    </comment>
    <comment ref="F481" authorId="3" shapeId="0">
      <text>
        <r>
          <rPr>
            <b/>
            <sz val="9"/>
            <color indexed="81"/>
            <rFont val="Tahoma"/>
            <family val="2"/>
          </rPr>
          <t>If use estimated hours then this is too short of a useful life at 5.4 years so use default assumption of 10 years useful life.
=($O$244/N333)*$R$244</t>
        </r>
      </text>
    </comment>
    <comment ref="G481" authorId="2" shapeId="0">
      <text>
        <r>
          <rPr>
            <b/>
            <sz val="8"/>
            <color indexed="81"/>
            <rFont val="Tahoma"/>
            <family val="2"/>
          </rPr>
          <t>Assume 10 yr useful life</t>
        </r>
      </text>
    </comment>
    <comment ref="H481" authorId="1" shapeId="0">
      <text>
        <r>
          <rPr>
            <b/>
            <sz val="8"/>
            <color indexed="81"/>
            <rFont val="Tahoma"/>
            <family val="2"/>
          </rPr>
          <t>Old value of 2%
Old value of 4.5%</t>
        </r>
      </text>
    </comment>
    <comment ref="I481"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82"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82"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82" authorId="3" shapeId="0">
      <text>
        <r>
          <rPr>
            <b/>
            <sz val="9"/>
            <color indexed="81"/>
            <rFont val="Tahoma"/>
            <family val="2"/>
          </rPr>
          <t xml:space="preserve">Default:
5
Assume this.
</t>
        </r>
      </text>
    </comment>
    <comment ref="G482" authorId="2" shapeId="0">
      <text>
        <r>
          <rPr>
            <b/>
            <sz val="8"/>
            <color indexed="81"/>
            <rFont val="Tahoma"/>
            <family val="2"/>
          </rPr>
          <t>Assume 5 yr useful life
Old value:
n/a</t>
        </r>
      </text>
    </comment>
    <comment ref="H482" authorId="1" shapeId="0">
      <text>
        <r>
          <rPr>
            <b/>
            <sz val="8"/>
            <color indexed="81"/>
            <rFont val="Tahoma"/>
            <family val="2"/>
          </rPr>
          <t>Default:
0%
Assume this is 0%</t>
        </r>
      </text>
    </comment>
    <comment ref="I482" authorId="1" shapeId="0">
      <text>
        <r>
          <rPr>
            <b/>
            <sz val="8"/>
            <color indexed="81"/>
            <rFont val="Tahoma"/>
            <family val="2"/>
          </rPr>
          <t>Default:
0%
Assume this is 0%</t>
        </r>
      </text>
    </comment>
    <comment ref="M482" authorId="3" shapeId="0">
      <text>
        <r>
          <rPr>
            <b/>
            <sz val="9"/>
            <color indexed="81"/>
            <rFont val="Tahoma"/>
            <family val="2"/>
          </rPr>
          <t>Calculated to left</t>
        </r>
      </text>
    </comment>
    <comment ref="A483"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83" authorId="1" shapeId="0">
      <text>
        <r>
          <rPr>
            <b/>
            <sz val="8"/>
            <color indexed="81"/>
            <rFont val="Tahoma"/>
            <family val="2"/>
          </rPr>
          <t xml:space="preserve">Default:
=E412+(E412*$K$240)
21106.2051928939
Adjusted by PPI to convert from 2002 surveyed cost to 2010. </t>
        </r>
      </text>
    </comment>
    <comment ref="E483"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83" authorId="3" shapeId="0">
      <text>
        <r>
          <rPr>
            <b/>
            <sz val="9"/>
            <color indexed="81"/>
            <rFont val="Tahoma"/>
            <family val="2"/>
          </rPr>
          <t>Default:
33
Assume this is the same as buildings.</t>
        </r>
      </text>
    </comment>
    <comment ref="G483" authorId="2" shapeId="0">
      <text>
        <r>
          <rPr>
            <b/>
            <sz val="8"/>
            <color indexed="81"/>
            <rFont val="Tahoma"/>
            <family val="2"/>
          </rPr>
          <t>Assume 33 yr useful life
Old value:
10</t>
        </r>
      </text>
    </comment>
    <comment ref="H483" authorId="1" shapeId="0">
      <text>
        <r>
          <rPr>
            <b/>
            <sz val="8"/>
            <color indexed="81"/>
            <rFont val="Tahoma"/>
            <family val="2"/>
          </rPr>
          <t>Default:
1%
Old value of 1%
Old value of 4.5%</t>
        </r>
      </text>
    </comment>
    <comment ref="I483"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83" authorId="3" shapeId="0">
      <text>
        <r>
          <rPr>
            <b/>
            <sz val="9"/>
            <color indexed="81"/>
            <rFont val="Tahoma"/>
            <family val="2"/>
          </rPr>
          <t>Assume this</t>
        </r>
      </text>
    </comment>
    <comment ref="M483" authorId="3" shapeId="0">
      <text>
        <r>
          <rPr>
            <b/>
            <sz val="9"/>
            <color indexed="81"/>
            <rFont val="Tahoma"/>
            <family val="2"/>
          </rPr>
          <t>Assume default:
1</t>
        </r>
      </text>
    </comment>
    <comment ref="A484"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84" authorId="1" shapeId="0">
      <text>
        <r>
          <rPr>
            <b/>
            <sz val="8"/>
            <color indexed="81"/>
            <rFont val="Tahoma"/>
            <family val="2"/>
          </rPr>
          <t xml:space="preserve">Default:
=E413+(E413*$K$240)
36937.1127229405
Adjusted by PPI to convert from 2002 surveyed cost to 2010. </t>
        </r>
      </text>
    </comment>
    <comment ref="E484"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84" authorId="3" shapeId="0">
      <text>
        <r>
          <rPr>
            <b/>
            <sz val="9"/>
            <color indexed="81"/>
            <rFont val="Tahoma"/>
            <family val="2"/>
          </rPr>
          <t>Default:
33
Assume this is the same as buildings.</t>
        </r>
      </text>
    </comment>
    <comment ref="G484" authorId="2" shapeId="0">
      <text>
        <r>
          <rPr>
            <b/>
            <sz val="8"/>
            <color indexed="81"/>
            <rFont val="Tahoma"/>
            <family val="2"/>
          </rPr>
          <t>Assume 33 yr useful life
Old value:
10</t>
        </r>
      </text>
    </comment>
    <comment ref="H484" authorId="1" shapeId="0">
      <text>
        <r>
          <rPr>
            <b/>
            <sz val="8"/>
            <color indexed="81"/>
            <rFont val="Tahoma"/>
            <family val="2"/>
          </rPr>
          <t>Default:
1%
Old value of 1%
Old value of 4.5%</t>
        </r>
      </text>
    </comment>
    <comment ref="I484"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84" authorId="3" shapeId="0">
      <text>
        <r>
          <rPr>
            <b/>
            <sz val="9"/>
            <color indexed="81"/>
            <rFont val="Tahoma"/>
            <family val="2"/>
          </rPr>
          <t>Assume this</t>
        </r>
      </text>
    </comment>
    <comment ref="M484" authorId="3" shapeId="0">
      <text>
        <r>
          <rPr>
            <b/>
            <sz val="9"/>
            <color indexed="81"/>
            <rFont val="Tahoma"/>
            <family val="2"/>
          </rPr>
          <t>Assume default:
1</t>
        </r>
      </text>
    </comment>
    <comment ref="D485" authorId="1" shapeId="0">
      <text>
        <r>
          <rPr>
            <b/>
            <sz val="8"/>
            <color indexed="81"/>
            <rFont val="Tahoma"/>
            <family val="2"/>
          </rPr>
          <t xml:space="preserve">Default:
=E414+(E414*$K$240)
7521.81225691159
Adjusted by PPI to convert from 2002 surveyed cost to 2010. </t>
        </r>
      </text>
    </comment>
    <comment ref="E485" authorId="0" shapeId="0">
      <text>
        <r>
          <rPr>
            <b/>
            <sz val="8"/>
            <color indexed="81"/>
            <rFont val="Tahoma"/>
            <family val="2"/>
          </rPr>
          <t>Old value:
6000
Assume about same cost as cooperating dairy farmer</t>
        </r>
      </text>
    </comment>
    <comment ref="F485" authorId="3" shapeId="0">
      <text>
        <r>
          <rPr>
            <b/>
            <sz val="9"/>
            <color indexed="81"/>
            <rFont val="Tahoma"/>
            <family val="2"/>
          </rPr>
          <t>If use estimated hours then this is too short of a useful life at 5.4 years so use default assumption of 10 years useful life.
=($O$244/N335)*$R$244</t>
        </r>
      </text>
    </comment>
    <comment ref="G485" authorId="2" shapeId="0">
      <text>
        <r>
          <rPr>
            <b/>
            <sz val="8"/>
            <color indexed="81"/>
            <rFont val="Tahoma"/>
            <family val="2"/>
          </rPr>
          <t>Assume 10 yr useful life</t>
        </r>
      </text>
    </comment>
    <comment ref="H485" authorId="1" shapeId="0">
      <text>
        <r>
          <rPr>
            <b/>
            <sz val="8"/>
            <color indexed="81"/>
            <rFont val="Tahoma"/>
            <family val="2"/>
          </rPr>
          <t>Old value of 2%
Old value of 4.5%</t>
        </r>
      </text>
    </comment>
    <comment ref="I485"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86" authorId="1" shapeId="0">
      <text>
        <r>
          <rPr>
            <b/>
            <sz val="8"/>
            <color indexed="81"/>
            <rFont val="Tahoma"/>
            <family val="2"/>
          </rPr>
          <t xml:space="preserve">Default:
=E414+(E414*$K$240)
7521.81225691159
Adjusted by PPI to convert from 2002 surveyed cost to 2010. </t>
        </r>
      </text>
    </comment>
    <comment ref="E486" authorId="0" shapeId="0">
      <text>
        <r>
          <rPr>
            <b/>
            <sz val="8"/>
            <color indexed="81"/>
            <rFont val="Tahoma"/>
            <family val="2"/>
          </rPr>
          <t>Old value:
6000
Assume about same cost as cooperating dairy farmer</t>
        </r>
      </text>
    </comment>
    <comment ref="F486" authorId="3" shapeId="0">
      <text>
        <r>
          <rPr>
            <b/>
            <sz val="9"/>
            <color indexed="81"/>
            <rFont val="Tahoma"/>
            <family val="2"/>
          </rPr>
          <t>If use estimated hours then this is too short of a useful life at 5.4 years so use default assumption of 10 years useful life.
=($O$244/N335)*$R$244</t>
        </r>
      </text>
    </comment>
    <comment ref="G486" authorId="2" shapeId="0">
      <text>
        <r>
          <rPr>
            <b/>
            <sz val="8"/>
            <color indexed="81"/>
            <rFont val="Tahoma"/>
            <family val="2"/>
          </rPr>
          <t>Assume 10 yr useful life</t>
        </r>
      </text>
    </comment>
    <comment ref="H486" authorId="1" shapeId="0">
      <text>
        <r>
          <rPr>
            <b/>
            <sz val="8"/>
            <color indexed="81"/>
            <rFont val="Tahoma"/>
            <family val="2"/>
          </rPr>
          <t>Old value of 2%
Old value of 4.5%</t>
        </r>
      </text>
    </comment>
    <comment ref="I486"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D487" authorId="1" shapeId="0">
      <text>
        <r>
          <rPr>
            <b/>
            <sz val="8"/>
            <color indexed="81"/>
            <rFont val="Tahoma"/>
            <family val="2"/>
          </rPr>
          <t xml:space="preserve">Default:
=E414+(E414*$K$240)
7521.81225691159
Adjusted by PPI to convert from 2002 surveyed cost to 2010. </t>
        </r>
      </text>
    </comment>
    <comment ref="E487" authorId="0" shapeId="0">
      <text>
        <r>
          <rPr>
            <b/>
            <sz val="8"/>
            <color indexed="81"/>
            <rFont val="Tahoma"/>
            <family val="2"/>
          </rPr>
          <t>Old value:
6000
Assume about same cost as cooperating dairy farmer</t>
        </r>
      </text>
    </comment>
    <comment ref="F487" authorId="3" shapeId="0">
      <text>
        <r>
          <rPr>
            <b/>
            <sz val="9"/>
            <color indexed="81"/>
            <rFont val="Tahoma"/>
            <family val="2"/>
          </rPr>
          <t>If use estimated hours then this is too short of a useful life at 5.4 years so use default assumption of 10 years useful life.
=($O$244/N335)*$R$244</t>
        </r>
      </text>
    </comment>
    <comment ref="G487" authorId="2" shapeId="0">
      <text>
        <r>
          <rPr>
            <b/>
            <sz val="8"/>
            <color indexed="81"/>
            <rFont val="Tahoma"/>
            <family val="2"/>
          </rPr>
          <t>Assume 10 yr useful life</t>
        </r>
      </text>
    </comment>
    <comment ref="H487" authorId="1" shapeId="0">
      <text>
        <r>
          <rPr>
            <b/>
            <sz val="8"/>
            <color indexed="81"/>
            <rFont val="Tahoma"/>
            <family val="2"/>
          </rPr>
          <t>Old value of 2%
Old value of 4.5%</t>
        </r>
      </text>
    </comment>
    <comment ref="I487" authorId="1" shapeId="0">
      <text>
        <r>
          <rPr>
            <b/>
            <sz val="8"/>
            <color indexed="81"/>
            <rFont val="Tahoma"/>
            <family val="2"/>
          </rPr>
          <t>From "Estimating Farm Machinery Costs" in Ag Decision Maker, File A3-29, prepared by William Edwards,
extension economist,
515-294-6161,
wedwards@iastate.edu</t>
        </r>
        <r>
          <rPr>
            <sz val="8"/>
            <color indexed="81"/>
            <rFont val="Tahoma"/>
            <family val="2"/>
          </rPr>
          <t xml:space="preserve">
</t>
        </r>
        <r>
          <rPr>
            <b/>
            <sz val="8"/>
            <color indexed="81"/>
            <rFont val="Tahoma"/>
            <family val="2"/>
          </rPr>
          <t>Use "Combine, Forage Harvestor"</t>
        </r>
        <r>
          <rPr>
            <sz val="8"/>
            <color indexed="81"/>
            <rFont val="Tahoma"/>
            <family val="2"/>
          </rPr>
          <t xml:space="preserve">
</t>
        </r>
      </text>
    </comment>
    <comment ref="A488"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E488" authorId="1" shapeId="0">
      <text>
        <r>
          <rPr>
            <b/>
            <sz val="8"/>
            <color indexed="81"/>
            <rFont val="Tahoma"/>
            <family val="2"/>
          </rPr>
          <t>Default:
10
Old value of $16,836 for small model adjusted down based on survey of cooperating small organic grain and pulse farmer using grain tote bags. Number of bags calculated to adjust with grain/pulse yield and area planted.</t>
        </r>
        <r>
          <rPr>
            <sz val="8"/>
            <color indexed="81"/>
            <rFont val="Tahoma"/>
            <family val="2"/>
          </rPr>
          <t xml:space="preserve">
</t>
        </r>
      </text>
    </comment>
    <comment ref="F488" authorId="3" shapeId="0">
      <text>
        <r>
          <rPr>
            <b/>
            <sz val="9"/>
            <color indexed="81"/>
            <rFont val="Tahoma"/>
            <family val="2"/>
          </rPr>
          <t xml:space="preserve">Default:
5
Assume this.
</t>
        </r>
      </text>
    </comment>
    <comment ref="G488" authorId="2" shapeId="0">
      <text>
        <r>
          <rPr>
            <b/>
            <sz val="8"/>
            <color indexed="81"/>
            <rFont val="Tahoma"/>
            <family val="2"/>
          </rPr>
          <t>Assume 5 yr useful life
Old value:
n/a</t>
        </r>
      </text>
    </comment>
    <comment ref="H488" authorId="1" shapeId="0">
      <text>
        <r>
          <rPr>
            <b/>
            <sz val="8"/>
            <color indexed="81"/>
            <rFont val="Tahoma"/>
            <family val="2"/>
          </rPr>
          <t>Default:
0%
Assume this is 0%</t>
        </r>
      </text>
    </comment>
    <comment ref="I488" authorId="1" shapeId="0">
      <text>
        <r>
          <rPr>
            <b/>
            <sz val="8"/>
            <color indexed="81"/>
            <rFont val="Tahoma"/>
            <family val="2"/>
          </rPr>
          <t>Default:
0%
Assume this is 0%</t>
        </r>
      </text>
    </comment>
    <comment ref="M488" authorId="3" shapeId="0">
      <text>
        <r>
          <rPr>
            <b/>
            <sz val="9"/>
            <color indexed="81"/>
            <rFont val="Tahoma"/>
            <family val="2"/>
          </rPr>
          <t>Calculated to left</t>
        </r>
      </text>
    </comment>
    <comment ref="A489"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89" authorId="1" shapeId="0">
      <text>
        <r>
          <rPr>
            <b/>
            <sz val="8"/>
            <color indexed="81"/>
            <rFont val="Tahoma"/>
            <family val="2"/>
          </rPr>
          <t xml:space="preserve">Default:
=E416+(E416*$K$240)
21106.2051928939
Adjusted by PPI to convert from 2002 surveyed cost to 2010. </t>
        </r>
      </text>
    </comment>
    <comment ref="E489" authorId="1" shapeId="0">
      <text>
        <r>
          <rPr>
            <b/>
            <sz val="8"/>
            <color indexed="81"/>
            <rFont val="Tahoma"/>
            <family val="2"/>
          </rPr>
          <t>Old value:
16836
Old small value has enough capacity for 100-200 acres of grain.
Value of $29,464 for medium model (old) has capacity for large at 300-400 acres of grain.</t>
        </r>
        <r>
          <rPr>
            <sz val="8"/>
            <color indexed="81"/>
            <rFont val="Tahoma"/>
            <family val="2"/>
          </rPr>
          <t xml:space="preserve">
</t>
        </r>
      </text>
    </comment>
    <comment ref="F489" authorId="3" shapeId="0">
      <text>
        <r>
          <rPr>
            <b/>
            <sz val="9"/>
            <color indexed="81"/>
            <rFont val="Tahoma"/>
            <family val="2"/>
          </rPr>
          <t>Default:
33
Assume this is the same as buildings.</t>
        </r>
      </text>
    </comment>
    <comment ref="G489" authorId="2" shapeId="0">
      <text>
        <r>
          <rPr>
            <b/>
            <sz val="8"/>
            <color indexed="81"/>
            <rFont val="Tahoma"/>
            <family val="2"/>
          </rPr>
          <t>Assume 33 yr useful life
Old value:
10</t>
        </r>
      </text>
    </comment>
    <comment ref="H489" authorId="1" shapeId="0">
      <text>
        <r>
          <rPr>
            <b/>
            <sz val="8"/>
            <color indexed="81"/>
            <rFont val="Tahoma"/>
            <family val="2"/>
          </rPr>
          <t>Default:
1%
Old value of 1%
Old value of 4.5%</t>
        </r>
      </text>
    </comment>
    <comment ref="I489"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89" authorId="3" shapeId="0">
      <text>
        <r>
          <rPr>
            <b/>
            <sz val="9"/>
            <color indexed="81"/>
            <rFont val="Tahoma"/>
            <family val="2"/>
          </rPr>
          <t>Assume this</t>
        </r>
      </text>
    </comment>
    <comment ref="M489" authorId="3" shapeId="0">
      <text>
        <r>
          <rPr>
            <b/>
            <sz val="9"/>
            <color indexed="81"/>
            <rFont val="Tahoma"/>
            <family val="2"/>
          </rPr>
          <t>Assume default:
1</t>
        </r>
      </text>
    </comment>
    <comment ref="A490"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90" authorId="1" shapeId="0">
      <text>
        <r>
          <rPr>
            <b/>
            <sz val="8"/>
            <color indexed="81"/>
            <rFont val="Tahoma"/>
            <family val="2"/>
          </rPr>
          <t xml:space="preserve">Default:
=E417+(E417*$K$240)
36937.1127229405
Adjusted by PPI to convert from 2002 surveyed cost to 2010. </t>
        </r>
      </text>
    </comment>
    <comment ref="E490" authorId="1" shapeId="0">
      <text>
        <r>
          <rPr>
            <b/>
            <sz val="8"/>
            <color indexed="81"/>
            <rFont val="Tahoma"/>
            <family val="2"/>
          </rPr>
          <t>Old value:
29464
Value of $29,464 for medium model (old) has capacity for large at 300-400 acres of grain.
Old value of $29,464 for medium model was adjusted (=E365*(E365/E364)).</t>
        </r>
        <r>
          <rPr>
            <sz val="8"/>
            <color indexed="81"/>
            <rFont val="Tahoma"/>
            <family val="2"/>
          </rPr>
          <t xml:space="preserve">
</t>
        </r>
      </text>
    </comment>
    <comment ref="F490" authorId="3" shapeId="0">
      <text>
        <r>
          <rPr>
            <b/>
            <sz val="9"/>
            <color indexed="81"/>
            <rFont val="Tahoma"/>
            <family val="2"/>
          </rPr>
          <t>Default:
33
Assume this is the same as buildings.</t>
        </r>
      </text>
    </comment>
    <comment ref="G490" authorId="2" shapeId="0">
      <text>
        <r>
          <rPr>
            <b/>
            <sz val="8"/>
            <color indexed="81"/>
            <rFont val="Tahoma"/>
            <family val="2"/>
          </rPr>
          <t>Assume 33 yr useful life
Old value:
10</t>
        </r>
      </text>
    </comment>
    <comment ref="H490" authorId="1" shapeId="0">
      <text>
        <r>
          <rPr>
            <b/>
            <sz val="8"/>
            <color indexed="81"/>
            <rFont val="Tahoma"/>
            <family val="2"/>
          </rPr>
          <t>Default:
1%
Old value of 1%
Old value of 4.5%</t>
        </r>
      </text>
    </comment>
    <comment ref="I490" authorId="1" shapeId="0">
      <text>
        <r>
          <rPr>
            <b/>
            <sz val="8"/>
            <color indexed="81"/>
            <rFont val="Tahoma"/>
            <family val="2"/>
          </rPr>
          <t>Default:
35%
From "Estimating Farm Machinery Costs" in Ag Decision Maker, File A3-29, prepared by William Edwards,
extension economist,
515-294-6161,
wedwards@iastate.edu
Use "Other"</t>
        </r>
        <r>
          <rPr>
            <sz val="8"/>
            <color indexed="81"/>
            <rFont val="Tahoma"/>
            <family val="2"/>
          </rPr>
          <t xml:space="preserve">
</t>
        </r>
      </text>
    </comment>
    <comment ref="J490" authorId="3" shapeId="0">
      <text>
        <r>
          <rPr>
            <b/>
            <sz val="9"/>
            <color indexed="81"/>
            <rFont val="Tahoma"/>
            <family val="2"/>
          </rPr>
          <t>Assume this</t>
        </r>
      </text>
    </comment>
    <comment ref="M490" authorId="3" shapeId="0">
      <text>
        <r>
          <rPr>
            <b/>
            <sz val="9"/>
            <color indexed="81"/>
            <rFont val="Tahoma"/>
            <family val="2"/>
          </rPr>
          <t>Assume default:
1</t>
        </r>
      </text>
    </comment>
    <comment ref="A491" authorId="2" shapeId="0">
      <text>
        <r>
          <rPr>
            <sz val="8"/>
            <color indexed="81"/>
            <rFont val="Tahoma"/>
            <family val="2"/>
          </rPr>
          <t xml:space="preserve">12,026 bu (30 ft. diameter) - $1.35/bu for storage
$0.50-0.75/bu for drying
Best time to dry is Jan. (early discounts) - $0.85-1/bu at standard ($12,400) - 10-15% less in Jan. 
Range of $10,500 to $12,500
Aeration fan-$1.35-1.45/bu (wheat, barley, and soybeans)
USE average of $1.40/bu = $16,836 (SMALL)
If dry in it then see below (grain corn - $0.01/pt.of moisture removed)
  $1.35-1.45/bu (Just storing)
$1.85-2/bu (Storing and drying)
Source: Rich Geisser at Brock: 1-(574) 658-4191 (Milford, Indiana)
Distribution in Auburn, NY (East of Syracuse)
24,000 bu tank (42 ft/8 ring OR 36 ft/11 ring) - Jump to $18,500 to 20,500
$0.925/$1.40 = $1.62/x
USE x = $2.45/bu = $29,486 (MEDIUM/LARGE)
This does not include siting or electrical costs!
</t>
        </r>
      </text>
    </comment>
    <comment ref="D491" authorId="1" shapeId="0">
      <text>
        <r>
          <rPr>
            <sz val="8"/>
            <color indexed="81"/>
            <rFont val="Tahoma"/>
            <family val="2"/>
          </rPr>
          <t xml:space="preserve">Adjusted by PPI to convert from 2002 surveyed cost to 2010. </t>
        </r>
      </text>
    </comment>
    <comment ref="E491" authorId="1" shapeId="0">
      <text>
        <r>
          <rPr>
            <b/>
            <sz val="8"/>
            <color indexed="81"/>
            <rFont val="Tahoma"/>
            <family val="2"/>
          </rPr>
          <t xml:space="preserve"> Old value of $29,464 for medium model.</t>
        </r>
        <r>
          <rPr>
            <sz val="8"/>
            <color indexed="81"/>
            <rFont val="Tahoma"/>
            <family val="2"/>
          </rPr>
          <t xml:space="preserve">
</t>
        </r>
      </text>
    </comment>
    <comment ref="F491" authorId="3" shapeId="0">
      <text>
        <r>
          <rPr>
            <b/>
            <sz val="9"/>
            <color indexed="81"/>
            <rFont val="Tahoma"/>
            <family val="2"/>
          </rPr>
          <t>Assume this is the same as buildings.</t>
        </r>
      </text>
    </comment>
    <comment ref="H491" authorId="1" shapeId="0">
      <text>
        <r>
          <rPr>
            <b/>
            <sz val="8"/>
            <color indexed="81"/>
            <rFont val="Tahoma"/>
            <family val="2"/>
          </rPr>
          <t>Old value of 1%
Old value of 4.5%</t>
        </r>
      </text>
    </comment>
    <comment ref="I491" authorId="1" shapeId="0">
      <text>
        <r>
          <rPr>
            <b/>
            <sz val="8"/>
            <color indexed="81"/>
            <rFont val="Tahoma"/>
            <family val="2"/>
          </rPr>
          <t>From "Estimating Farm Machinery Costs" in Ag Decision Maker, File A3-29, prepared by William Edwards,
extension economist,
515-294-6161,
wedwards@iastate.edu
Use "Other"</t>
        </r>
        <r>
          <rPr>
            <sz val="8"/>
            <color indexed="81"/>
            <rFont val="Tahoma"/>
            <family val="2"/>
          </rPr>
          <t xml:space="preserve">
</t>
        </r>
      </text>
    </comment>
    <comment ref="E494" authorId="3" shapeId="0">
      <text>
        <r>
          <rPr>
            <b/>
            <sz val="9"/>
            <color indexed="81"/>
            <rFont val="Tahoma"/>
            <family val="2"/>
          </rPr>
          <t>Old value</t>
        </r>
      </text>
    </comment>
    <comment ref="F494" authorId="0" shapeId="0">
      <text>
        <r>
          <rPr>
            <sz val="8"/>
            <color indexed="81"/>
            <rFont val="Tahoma"/>
            <family val="2"/>
          </rPr>
          <t>Adjust useful life for remaining years left in life and change to 1 yr expected life if useful life has expired</t>
        </r>
      </text>
    </comment>
    <comment ref="G494" authorId="0" shapeId="0">
      <text>
        <r>
          <rPr>
            <sz val="8"/>
            <color indexed="81"/>
            <rFont val="Tahoma"/>
            <family val="2"/>
          </rPr>
          <t>Adjust useful life for remaining years left in life and change to 1 yr expected life if useful life has expired</t>
        </r>
      </text>
    </comment>
    <comment ref="C495" authorId="2" shapeId="0">
      <text>
        <r>
          <rPr>
            <b/>
            <sz val="8"/>
            <color indexed="81"/>
            <rFont val="Tahoma"/>
            <family val="2"/>
          </rPr>
          <t>Use for all crops</t>
        </r>
      </text>
    </comment>
    <comment ref="D495" authorId="1" shapeId="0">
      <text>
        <r>
          <rPr>
            <b/>
            <sz val="8"/>
            <color indexed="81"/>
            <rFont val="Tahoma"/>
            <family val="2"/>
          </rPr>
          <t>Default:
50000
Assume this</t>
        </r>
      </text>
    </comment>
    <comment ref="E495" authorId="3" shapeId="0">
      <text>
        <r>
          <rPr>
            <b/>
            <sz val="9"/>
            <color indexed="81"/>
            <rFont val="Tahoma"/>
            <family val="2"/>
          </rPr>
          <t>Old value:
n/a</t>
        </r>
      </text>
    </comment>
    <comment ref="F495" authorId="3" shapeId="0">
      <text>
        <r>
          <rPr>
            <b/>
            <sz val="9"/>
            <color indexed="81"/>
            <rFont val="Tahoma"/>
            <family val="2"/>
          </rPr>
          <t>Default:
33</t>
        </r>
      </text>
    </comment>
    <comment ref="G495" authorId="2" shapeId="0">
      <text>
        <r>
          <rPr>
            <b/>
            <sz val="8"/>
            <color indexed="81"/>
            <rFont val="Tahoma"/>
            <family val="2"/>
          </rPr>
          <t xml:space="preserve">Assume 33 yr useful life
</t>
        </r>
      </text>
    </comment>
    <comment ref="H495" authorId="1" shapeId="0">
      <text>
        <r>
          <rPr>
            <b/>
            <sz val="8"/>
            <color indexed="81"/>
            <rFont val="Tahoma"/>
            <family val="2"/>
          </rPr>
          <t>Default:
1%
Old value of 1%
Old value of 4.5%</t>
        </r>
      </text>
    </comment>
    <comment ref="I495" authorId="3" shapeId="0">
      <text>
        <r>
          <rPr>
            <b/>
            <sz val="9"/>
            <color indexed="81"/>
            <rFont val="Tahoma"/>
            <family val="2"/>
          </rPr>
          <t>Default:
75%</t>
        </r>
      </text>
    </comment>
    <comment ref="M495" authorId="3" shapeId="0">
      <text>
        <r>
          <rPr>
            <b/>
            <sz val="9"/>
            <color indexed="81"/>
            <rFont val="Tahoma"/>
            <family val="2"/>
          </rPr>
          <t>Calculated to left</t>
        </r>
      </text>
    </comment>
    <comment ref="C496" authorId="2" shapeId="0">
      <text>
        <r>
          <rPr>
            <b/>
            <sz val="8"/>
            <color indexed="81"/>
            <rFont val="Tahoma"/>
            <family val="2"/>
          </rPr>
          <t>Use for all crops</t>
        </r>
      </text>
    </comment>
    <comment ref="D496" authorId="1" shapeId="0">
      <text>
        <r>
          <rPr>
            <b/>
            <sz val="8"/>
            <color indexed="81"/>
            <rFont val="Tahoma"/>
            <family val="2"/>
          </rPr>
          <t xml:space="preserve">Default:
100000
Tom Molloy assumes $100,000
Adjusted by PPI to convert from 2002 surveyed cost to 2010. Assume same as equipment.
Old value:
=E323+(E323*$I$229)
</t>
        </r>
      </text>
    </comment>
    <comment ref="E496" authorId="1" shapeId="0">
      <text>
        <r>
          <rPr>
            <b/>
            <sz val="8"/>
            <color indexed="81"/>
            <rFont val="Tahoma"/>
            <family val="2"/>
          </rPr>
          <t>Old value:
96000
Old value of $128,000 for medium model.</t>
        </r>
        <r>
          <rPr>
            <sz val="8"/>
            <color indexed="81"/>
            <rFont val="Tahoma"/>
            <family val="2"/>
          </rPr>
          <t xml:space="preserve">
</t>
        </r>
      </text>
    </comment>
    <comment ref="F496" authorId="3" shapeId="0">
      <text>
        <r>
          <rPr>
            <b/>
            <sz val="9"/>
            <color indexed="81"/>
            <rFont val="Tahoma"/>
            <family val="2"/>
          </rPr>
          <t>Default:
33</t>
        </r>
      </text>
    </comment>
    <comment ref="G496" authorId="2" shapeId="0">
      <text>
        <r>
          <rPr>
            <b/>
            <sz val="8"/>
            <color indexed="81"/>
            <rFont val="Tahoma"/>
            <family val="2"/>
          </rPr>
          <t xml:space="preserve">Assume 33 yr useful life
</t>
        </r>
      </text>
    </comment>
    <comment ref="H496" authorId="1" shapeId="0">
      <text>
        <r>
          <rPr>
            <b/>
            <sz val="8"/>
            <color indexed="81"/>
            <rFont val="Tahoma"/>
            <family val="2"/>
          </rPr>
          <t>Default:
1%
Old value of 1%
Old value of 4.5%</t>
        </r>
      </text>
    </comment>
    <comment ref="I496" authorId="3" shapeId="0">
      <text>
        <r>
          <rPr>
            <b/>
            <sz val="9"/>
            <color indexed="81"/>
            <rFont val="Tahoma"/>
            <family val="2"/>
          </rPr>
          <t>Default:
75%</t>
        </r>
      </text>
    </comment>
    <comment ref="M496" authorId="3" shapeId="0">
      <text>
        <r>
          <rPr>
            <b/>
            <sz val="9"/>
            <color indexed="81"/>
            <rFont val="Tahoma"/>
            <family val="2"/>
          </rPr>
          <t>Assume default:
1</t>
        </r>
      </text>
    </comment>
    <comment ref="C497" authorId="2" shapeId="0">
      <text>
        <r>
          <rPr>
            <b/>
            <sz val="8"/>
            <color indexed="81"/>
            <rFont val="Tahoma"/>
            <family val="2"/>
          </rPr>
          <t>Use for all crops</t>
        </r>
      </text>
    </comment>
    <comment ref="D497" authorId="1" shapeId="0">
      <text>
        <r>
          <rPr>
            <b/>
            <sz val="8"/>
            <color indexed="81"/>
            <rFont val="Tahoma"/>
            <family val="2"/>
          </rPr>
          <t>Default:
200000
Assume this</t>
        </r>
      </text>
    </comment>
    <comment ref="E497" authorId="3" shapeId="0">
      <text>
        <r>
          <rPr>
            <b/>
            <sz val="9"/>
            <color indexed="81"/>
            <rFont val="Tahoma"/>
            <family val="2"/>
          </rPr>
          <t>Old value:
n/a</t>
        </r>
      </text>
    </comment>
    <comment ref="F497" authorId="3" shapeId="0">
      <text>
        <r>
          <rPr>
            <b/>
            <sz val="9"/>
            <color indexed="81"/>
            <rFont val="Tahoma"/>
            <family val="2"/>
          </rPr>
          <t>Default:
33</t>
        </r>
      </text>
    </comment>
    <comment ref="G497" authorId="2" shapeId="0">
      <text>
        <r>
          <rPr>
            <b/>
            <sz val="8"/>
            <color indexed="81"/>
            <rFont val="Tahoma"/>
            <family val="2"/>
          </rPr>
          <t xml:space="preserve">Assume 33 yr useful life
</t>
        </r>
      </text>
    </comment>
    <comment ref="H497" authorId="1" shapeId="0">
      <text>
        <r>
          <rPr>
            <b/>
            <sz val="8"/>
            <color indexed="81"/>
            <rFont val="Tahoma"/>
            <family val="2"/>
          </rPr>
          <t>Default:
1%
Old value of 1%
Old value of 4.5%</t>
        </r>
      </text>
    </comment>
    <comment ref="I497" authorId="3" shapeId="0">
      <text>
        <r>
          <rPr>
            <b/>
            <sz val="9"/>
            <color indexed="81"/>
            <rFont val="Tahoma"/>
            <family val="2"/>
          </rPr>
          <t>Default:
75%</t>
        </r>
      </text>
    </comment>
    <comment ref="M497" authorId="3" shapeId="0">
      <text>
        <r>
          <rPr>
            <b/>
            <sz val="9"/>
            <color indexed="81"/>
            <rFont val="Tahoma"/>
            <family val="2"/>
          </rPr>
          <t>Assume default:
1</t>
        </r>
      </text>
    </comment>
    <comment ref="C498" authorId="2" shapeId="0">
      <text>
        <r>
          <rPr>
            <b/>
            <sz val="8"/>
            <color indexed="81"/>
            <rFont val="Tahoma"/>
            <family val="2"/>
          </rPr>
          <t>Use for potato storage</t>
        </r>
      </text>
    </comment>
    <comment ref="D498" authorId="1" shapeId="0">
      <text>
        <r>
          <rPr>
            <sz val="8"/>
            <color indexed="81"/>
            <rFont val="Tahoma"/>
            <family val="2"/>
          </rPr>
          <t>Based on 2007 Idaho study for 180,000 cwt facility not using forced air and adjusted for lower yield:
http://www.cals.uidaho.edu/potatoes/Research&amp;Extension/Topic/Storage/PotatoStorageCosts-07.pdf</t>
        </r>
      </text>
    </comment>
    <comment ref="E498" authorId="1" shapeId="0">
      <text>
        <r>
          <rPr>
            <sz val="8"/>
            <color indexed="81"/>
            <rFont val="Tahoma"/>
            <family val="2"/>
          </rPr>
          <t>Based on 2007 Idaho study for facility with no forced air:
http://www.cals.uidaho.edu/potatoes/Research&amp;Extension/Topic/Storage/PotatoStorageCosts-07.pdf
Assume small model is 75% of cost.</t>
        </r>
      </text>
    </comment>
    <comment ref="H498" authorId="1" shapeId="0">
      <text>
        <r>
          <rPr>
            <b/>
            <sz val="8"/>
            <color indexed="81"/>
            <rFont val="Tahoma"/>
            <family val="2"/>
          </rPr>
          <t>Old value of 1%</t>
        </r>
      </text>
    </comment>
    <comment ref="L501" authorId="1" shapeId="0">
      <text>
        <r>
          <rPr>
            <sz val="8"/>
            <color indexed="81"/>
            <rFont val="Tahoma"/>
            <family val="2"/>
          </rPr>
          <t>Original values from Ellen Mallory MPEP research.  Updated ones with footnotes from 2011 MN Extension Excel file "Farm machine estimates" forwarded by Andrew Plant.</t>
        </r>
      </text>
    </comment>
    <comment ref="N501" authorId="1" shapeId="0">
      <text>
        <r>
          <rPr>
            <sz val="8"/>
            <color indexed="81"/>
            <rFont val="Tahoma"/>
            <family val="2"/>
          </rPr>
          <t>Original values from Ellen Mallory MPEP research.  Updated ones with footnotes from 2011 MN Extension Excel file "Farm machine estimates" forwarded by Andrew Plant.</t>
        </r>
      </text>
    </comment>
    <comment ref="P501" authorId="1" shapeId="0">
      <text>
        <r>
          <rPr>
            <sz val="8"/>
            <color indexed="81"/>
            <rFont val="Tahoma"/>
            <family val="2"/>
          </rPr>
          <t>Original values from Ellen Mallory MPEP research.  Updated ones with footnotes from 2011 MN Extension Excel file "Farm machine estimates" forwarded by Andrew Plant.</t>
        </r>
      </text>
    </comment>
    <comment ref="R501" authorId="1" shapeId="0">
      <text>
        <r>
          <rPr>
            <sz val="8"/>
            <color indexed="81"/>
            <rFont val="Tahoma"/>
            <family val="2"/>
          </rPr>
          <t>Original values from Ellen Mallory MPEP research.  Updated ones with footnotes from 2011 MN Extension Excel file "Farm machine estimates" forwarded by Andrew Plant.</t>
        </r>
      </text>
    </comment>
    <comment ref="H503" authorId="1" shapeId="0">
      <text>
        <r>
          <rPr>
            <b/>
            <sz val="8"/>
            <color indexed="81"/>
            <rFont val="Tahoma"/>
            <family val="2"/>
          </rPr>
          <t>Adjusted by time difference estimated by difference in length of implement.</t>
        </r>
      </text>
    </comment>
    <comment ref="H504" authorId="1" shapeId="0">
      <text>
        <r>
          <rPr>
            <b/>
            <sz val="8"/>
            <color indexed="81"/>
            <rFont val="Tahoma"/>
            <family val="2"/>
          </rPr>
          <t>Adjusted by time difference estimated by difference in length of implement.</t>
        </r>
      </text>
    </comment>
    <comment ref="R504"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H508" authorId="1" shapeId="0">
      <text>
        <r>
          <rPr>
            <b/>
            <sz val="8"/>
            <color indexed="81"/>
            <rFont val="Tahoma"/>
            <family val="2"/>
          </rPr>
          <t>Adjusted by time difference estimated by difference in length of implement.</t>
        </r>
        <r>
          <rPr>
            <sz val="8"/>
            <color indexed="81"/>
            <rFont val="Tahoma"/>
            <family val="2"/>
          </rPr>
          <t xml:space="preserve">
</t>
        </r>
      </text>
    </comment>
    <comment ref="R508" authorId="1" shapeId="0">
      <text>
        <r>
          <rPr>
            <sz val="8"/>
            <color indexed="81"/>
            <rFont val="Tahoma"/>
            <family val="2"/>
          </rPr>
          <t>Updated from MN Extension Excel file "Farm machine estimates." Same fuel use for 4, 6, and 8 row potato planter.
Old value of 0.90017382045152</t>
        </r>
      </text>
    </comment>
    <comment ref="H509" authorId="1" shapeId="0">
      <text>
        <r>
          <rPr>
            <sz val="8"/>
            <color indexed="81"/>
            <rFont val="Tahoma"/>
            <family val="2"/>
          </rPr>
          <t>Old value of 0.8775 (0.0675 hr per acre).
Value for medium model is 0.0444444444444445</t>
        </r>
      </text>
    </comment>
    <comment ref="R509" authorId="1" shapeId="0">
      <text>
        <r>
          <rPr>
            <sz val="8"/>
            <color indexed="81"/>
            <rFont val="Tahoma"/>
            <family val="2"/>
          </rPr>
          <t>Old value for medium model is 0.105769230769231</t>
        </r>
      </text>
    </comment>
    <comment ref="H510" authorId="1" shapeId="0">
      <text>
        <r>
          <rPr>
            <b/>
            <sz val="8"/>
            <color indexed="81"/>
            <rFont val="Tahoma"/>
            <family val="2"/>
          </rPr>
          <t>Adjusted by time difference estimated by difference in length of implement.</t>
        </r>
      </text>
    </comment>
    <comment ref="R510" authorId="1" shapeId="0">
      <text>
        <r>
          <rPr>
            <sz val="8"/>
            <color indexed="81"/>
            <rFont val="Tahoma"/>
            <family val="2"/>
          </rPr>
          <t xml:space="preserve">Updated from MN Extension Excel file "Farm machine estimates" for 6-row potato cultivator, 19 ft.
Old value of 0.96066589740672
</t>
        </r>
        <r>
          <rPr>
            <b/>
            <sz val="8"/>
            <color indexed="81"/>
            <rFont val="Tahoma"/>
            <family val="2"/>
          </rPr>
          <t>Assume half the fuel since only one cultivator used.</t>
        </r>
      </text>
    </comment>
    <comment ref="H511" authorId="1" shapeId="0">
      <text>
        <r>
          <rPr>
            <b/>
            <sz val="8"/>
            <color indexed="81"/>
            <rFont val="Tahoma"/>
            <family val="2"/>
          </rPr>
          <t>Old value for medium model of 0.0675</t>
        </r>
        <r>
          <rPr>
            <sz val="8"/>
            <color indexed="81"/>
            <rFont val="Tahoma"/>
            <family val="2"/>
          </rPr>
          <t xml:space="preserve">
</t>
        </r>
      </text>
    </comment>
    <comment ref="R511" authorId="1" shapeId="0">
      <text>
        <r>
          <rPr>
            <sz val="8"/>
            <color indexed="81"/>
            <rFont val="Tahoma"/>
            <family val="2"/>
          </rPr>
          <t>Old value for medium model is 0.105769230769231</t>
        </r>
      </text>
    </comment>
    <comment ref="H512" authorId="1" shapeId="0">
      <text>
        <r>
          <rPr>
            <b/>
            <sz val="8"/>
            <color indexed="81"/>
            <rFont val="Tahoma"/>
            <family val="2"/>
          </rPr>
          <t>Adjusted by time difference estimated by difference in length of implement.</t>
        </r>
      </text>
    </comment>
    <comment ref="R512" authorId="1" shapeId="0">
      <text>
        <r>
          <rPr>
            <sz val="8"/>
            <color indexed="81"/>
            <rFont val="Tahoma"/>
            <family val="2"/>
          </rPr>
          <t xml:space="preserve">Updated from MN Extension Excel file "Farm machine estimates" for 6-row potato cultivator, 19 ft.
Old value of 0.96066589740672
</t>
        </r>
        <r>
          <rPr>
            <b/>
            <sz val="8"/>
            <color indexed="81"/>
            <rFont val="Tahoma"/>
            <family val="2"/>
          </rPr>
          <t>Assume half the fuel since only one cultivator used.</t>
        </r>
      </text>
    </comment>
    <comment ref="H513" authorId="1" shapeId="0">
      <text>
        <r>
          <rPr>
            <sz val="8"/>
            <color indexed="81"/>
            <rFont val="Tahoma"/>
            <family val="2"/>
          </rPr>
          <t>Old value of 0.8775 (0.0675 hr per acre).
Value for medium model is 0.0444444444444445</t>
        </r>
      </text>
    </comment>
    <comment ref="R513" authorId="1" shapeId="0">
      <text>
        <r>
          <rPr>
            <sz val="8"/>
            <color indexed="81"/>
            <rFont val="Tahoma"/>
            <family val="2"/>
          </rPr>
          <t>Old value for medium model is 0.105769230769231</t>
        </r>
      </text>
    </comment>
    <comment ref="H515" authorId="1" shapeId="0">
      <text>
        <r>
          <rPr>
            <sz val="8"/>
            <color indexed="81"/>
            <rFont val="Tahoma"/>
            <family val="2"/>
          </rPr>
          <t>Old value of 0.8775 (0.0675 hr per acre).
Value for medium model is 0.0444444444444445</t>
        </r>
      </text>
    </comment>
    <comment ref="R515" authorId="1" shapeId="0">
      <text>
        <r>
          <rPr>
            <sz val="8"/>
            <color indexed="81"/>
            <rFont val="Tahoma"/>
            <family val="2"/>
          </rPr>
          <t>Old value for medium model is 0.105769230769231</t>
        </r>
      </text>
    </comment>
    <comment ref="B516" authorId="2" shapeId="0">
      <text>
        <r>
          <rPr>
            <b/>
            <sz val="8"/>
            <color indexed="81"/>
            <rFont val="Tahoma"/>
            <family val="2"/>
          </rPr>
          <t>Assume same time as harvester</t>
        </r>
      </text>
    </comment>
    <comment ref="D516" authorId="2" shapeId="0">
      <text>
        <r>
          <rPr>
            <b/>
            <sz val="8"/>
            <color indexed="81"/>
            <rFont val="Tahoma"/>
            <family val="2"/>
          </rPr>
          <t>Assume same time as harvester</t>
        </r>
      </text>
    </comment>
    <comment ref="F516" authorId="2" shapeId="0">
      <text>
        <r>
          <rPr>
            <b/>
            <sz val="8"/>
            <color indexed="81"/>
            <rFont val="Tahoma"/>
            <family val="2"/>
          </rPr>
          <t>Assume same time as harvester</t>
        </r>
      </text>
    </comment>
    <comment ref="L516" authorId="2" shapeId="0">
      <text>
        <r>
          <rPr>
            <b/>
            <sz val="8"/>
            <color indexed="81"/>
            <rFont val="Tahoma"/>
            <family val="2"/>
          </rPr>
          <t>Assume same as chisel plow</t>
        </r>
      </text>
    </comment>
    <comment ref="N516" authorId="2" shapeId="0">
      <text>
        <r>
          <rPr>
            <b/>
            <sz val="8"/>
            <color indexed="81"/>
            <rFont val="Tahoma"/>
            <family val="2"/>
          </rPr>
          <t>Assume same as chisel plow</t>
        </r>
      </text>
    </comment>
    <comment ref="P516" authorId="2" shapeId="0">
      <text>
        <r>
          <rPr>
            <b/>
            <sz val="8"/>
            <color indexed="81"/>
            <rFont val="Tahoma"/>
            <family val="2"/>
          </rPr>
          <t>Assume same as chisel plow</t>
        </r>
      </text>
    </comment>
    <comment ref="B517" authorId="2" shapeId="0">
      <text>
        <r>
          <rPr>
            <b/>
            <sz val="8"/>
            <color indexed="81"/>
            <rFont val="Tahoma"/>
            <family val="2"/>
          </rPr>
          <t>For 2-row 6.3 ft wide harvester worth $74K in 2011 MN farm machinery estimates</t>
        </r>
      </text>
    </comment>
    <comment ref="D517" authorId="2" shapeId="0">
      <text>
        <r>
          <rPr>
            <b/>
            <sz val="8"/>
            <color indexed="81"/>
            <rFont val="Tahoma"/>
            <family val="2"/>
          </rPr>
          <t>For 4-row 12.6 ft wide harvester worth $147K in 2011 MN farm machinery estimate</t>
        </r>
      </text>
    </comment>
    <comment ref="F517" authorId="2" shapeId="0">
      <text>
        <r>
          <rPr>
            <b/>
            <sz val="8"/>
            <color indexed="81"/>
            <rFont val="Tahoma"/>
            <family val="2"/>
          </rPr>
          <t>For 4-row 12.6 ft wide harvester worth $147K in 2011 MN farm machinery estimate</t>
        </r>
      </text>
    </comment>
    <comment ref="H517" authorId="2" shapeId="0">
      <text>
        <r>
          <rPr>
            <b/>
            <sz val="8"/>
            <color indexed="81"/>
            <rFont val="Tahoma"/>
            <family val="2"/>
          </rPr>
          <t>Old value adjusted by time difference estimated by difference in length of implement.
=2.25*$M$326
Old value (=B46*'Key Data'!G54)</t>
        </r>
      </text>
    </comment>
    <comment ref="L517" authorId="2" shapeId="0">
      <text>
        <r>
          <rPr>
            <b/>
            <sz val="8"/>
            <color indexed="81"/>
            <rFont val="Tahoma"/>
            <family val="2"/>
          </rPr>
          <t>For 2-row 6.3 ft wide harvester worth $74K in 2011 MN farm machinery estimates</t>
        </r>
      </text>
    </comment>
    <comment ref="N517" authorId="2" shapeId="0">
      <text>
        <r>
          <rPr>
            <b/>
            <sz val="8"/>
            <color indexed="81"/>
            <rFont val="Tahoma"/>
            <family val="2"/>
          </rPr>
          <t>For 4-row 12.6 ft wide harvester worth $147K in 2011 MN farm machinery estimate</t>
        </r>
      </text>
    </comment>
    <comment ref="P517" authorId="2" shapeId="0">
      <text>
        <r>
          <rPr>
            <b/>
            <sz val="8"/>
            <color indexed="81"/>
            <rFont val="Tahoma"/>
            <family val="2"/>
          </rPr>
          <t>For 4-row 12.6 ft wide harvester worth $147K in 2011 MN farm machinery estimate</t>
        </r>
      </text>
    </comment>
    <comment ref="R517" authorId="1" shapeId="0">
      <text>
        <r>
          <rPr>
            <b/>
            <sz val="8"/>
            <color indexed="81"/>
            <rFont val="Tahoma"/>
            <family val="2"/>
          </rPr>
          <t>Updated from MN Extension Excel file "Farm machine estimates" for potato harvester, 4 row.  Also assume there are 2 windrowers using 0.60 gal per acre each (assume same as chisel plow).  Old assumption of same fuel use for potato harvesters (1 gallon).
=2.0342167721519+1+1
Old value of 12.0524567385792</t>
        </r>
      </text>
    </comment>
    <comment ref="H519" authorId="1" shapeId="0">
      <text>
        <r>
          <rPr>
            <b/>
            <sz val="8"/>
            <color indexed="81"/>
            <rFont val="Tahoma"/>
            <family val="2"/>
          </rPr>
          <t>Adjusted by time difference estimated by difference in length of implement.</t>
        </r>
        <r>
          <rPr>
            <sz val="8"/>
            <color indexed="81"/>
            <rFont val="Tahoma"/>
            <family val="2"/>
          </rPr>
          <t xml:space="preserve">
</t>
        </r>
      </text>
    </comment>
    <comment ref="R521" authorId="1" shapeId="0">
      <text>
        <r>
          <rPr>
            <b/>
            <sz val="8"/>
            <color indexed="81"/>
            <rFont val="Tahoma"/>
            <family val="2"/>
          </rPr>
          <t>Assume half as cut and haul seed.</t>
        </r>
      </text>
    </comment>
    <comment ref="L523" authorId="1" shapeId="0">
      <text>
        <r>
          <rPr>
            <sz val="8"/>
            <color indexed="81"/>
            <rFont val="Tahoma"/>
            <family val="2"/>
          </rPr>
          <t>Original values from Ellen Mallory MPEP research.  Updated ones with footnotes from 2011 MN Extension Excel file "Farm machine estimates" forwarded by Andrew Plant.</t>
        </r>
      </text>
    </comment>
    <comment ref="N523" authorId="1" shapeId="0">
      <text>
        <r>
          <rPr>
            <sz val="8"/>
            <color indexed="81"/>
            <rFont val="Tahoma"/>
            <family val="2"/>
          </rPr>
          <t>Original values from Ellen Mallory MPEP research.  Updated ones with footnotes from 2011 MN Extension Excel file "Farm machine estimates" forwarded by Andrew Plant.</t>
        </r>
      </text>
    </comment>
    <comment ref="P523" authorId="1" shapeId="0">
      <text>
        <r>
          <rPr>
            <sz val="8"/>
            <color indexed="81"/>
            <rFont val="Tahoma"/>
            <family val="2"/>
          </rPr>
          <t>Original values from Ellen Mallory MPEP research.  Updated ones with footnotes from 2011 MN Extension Excel file "Farm machine estimates" forwarded by Andrew Plant.</t>
        </r>
      </text>
    </comment>
    <comment ref="R523" authorId="1" shapeId="0">
      <text>
        <r>
          <rPr>
            <sz val="8"/>
            <color indexed="81"/>
            <rFont val="Tahoma"/>
            <family val="2"/>
          </rPr>
          <t>Original values from Ellen Mallory MPEP research.  Updated ones with footnotes from 2011 MN Extension Excel file "Farm machine estimates" forwarded by Andrew Plant.</t>
        </r>
      </text>
    </comment>
    <comment ref="H525" authorId="1" shapeId="0">
      <text>
        <r>
          <rPr>
            <b/>
            <sz val="8"/>
            <color indexed="81"/>
            <rFont val="Tahoma"/>
            <family val="2"/>
          </rPr>
          <t>Adjusted by time difference estimated by difference in length of implement.</t>
        </r>
      </text>
    </comment>
    <comment ref="H526" authorId="1" shapeId="0">
      <text>
        <r>
          <rPr>
            <b/>
            <sz val="8"/>
            <color indexed="81"/>
            <rFont val="Tahoma"/>
            <family val="2"/>
          </rPr>
          <t>Adjusted by time difference estimated by difference in length of implement.</t>
        </r>
      </text>
    </comment>
    <comment ref="R526"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H529" authorId="1" shapeId="0">
      <text>
        <r>
          <rPr>
            <b/>
            <sz val="8"/>
            <color indexed="81"/>
            <rFont val="Tahoma"/>
            <family val="2"/>
          </rPr>
          <t>Adjusted by time difference estimated by difference in length of implement.</t>
        </r>
        <r>
          <rPr>
            <sz val="8"/>
            <color indexed="81"/>
            <rFont val="Tahoma"/>
            <family val="2"/>
          </rPr>
          <t xml:space="preserve">
</t>
        </r>
      </text>
    </comment>
    <comment ref="H530" authorId="1" shapeId="0">
      <text>
        <r>
          <rPr>
            <b/>
            <sz val="8"/>
            <color indexed="81"/>
            <rFont val="Tahoma"/>
            <family val="2"/>
          </rPr>
          <t>Adjusted by time difference estimated by difference in length of implement.</t>
        </r>
        <r>
          <rPr>
            <sz val="8"/>
            <color indexed="81"/>
            <rFont val="Tahoma"/>
            <family val="2"/>
          </rPr>
          <t xml:space="preserve">
</t>
        </r>
      </text>
    </comment>
    <comment ref="H531" authorId="1" shapeId="0">
      <text>
        <r>
          <rPr>
            <b/>
            <sz val="8"/>
            <color indexed="81"/>
            <rFont val="Tahoma"/>
            <family val="2"/>
          </rPr>
          <t>Adjusted by time difference estimated by difference in length of implement.</t>
        </r>
        <r>
          <rPr>
            <sz val="8"/>
            <color indexed="81"/>
            <rFont val="Tahoma"/>
            <family val="2"/>
          </rPr>
          <t xml:space="preserve">
</t>
        </r>
      </text>
    </comment>
    <comment ref="H532" authorId="1" shapeId="0">
      <text>
        <r>
          <rPr>
            <b/>
            <sz val="8"/>
            <color indexed="81"/>
            <rFont val="Tahoma"/>
            <family val="2"/>
          </rPr>
          <t>Adjusted by time difference estimated by difference in length of implement.</t>
        </r>
        <r>
          <rPr>
            <sz val="8"/>
            <color indexed="81"/>
            <rFont val="Tahoma"/>
            <family val="2"/>
          </rPr>
          <t xml:space="preserve">
</t>
        </r>
      </text>
    </comment>
    <comment ref="H533" authorId="1" shapeId="0">
      <text>
        <r>
          <rPr>
            <b/>
            <sz val="8"/>
            <color indexed="81"/>
            <rFont val="Tahoma"/>
            <family val="2"/>
          </rPr>
          <t>Adjusted by time difference estimated by difference in length of implement.</t>
        </r>
        <r>
          <rPr>
            <sz val="8"/>
            <color indexed="81"/>
            <rFont val="Tahoma"/>
            <family val="2"/>
          </rPr>
          <t xml:space="preserve">
</t>
        </r>
      </text>
    </comment>
    <comment ref="R536" authorId="1" shapeId="0">
      <text>
        <r>
          <rPr>
            <sz val="8"/>
            <color indexed="81"/>
            <rFont val="Tahoma"/>
            <family val="2"/>
          </rPr>
          <t xml:space="preserve">Updated from MN Extension Excel file "Farm machine estimates" for rotary mower-conditioner, 9 ft.
Old value of 0.5
</t>
        </r>
        <r>
          <rPr>
            <b/>
            <sz val="8"/>
            <color indexed="81"/>
            <rFont val="Tahoma"/>
            <family val="2"/>
          </rPr>
          <t xml:space="preserve">
Old value of 0.441145833333333</t>
        </r>
      </text>
    </comment>
    <comment ref="H537" authorId="1" shapeId="0">
      <text>
        <r>
          <rPr>
            <sz val="8"/>
            <color indexed="81"/>
            <rFont val="Tahoma"/>
            <family val="2"/>
          </rPr>
          <t>Value for medium model is 0.04</t>
        </r>
      </text>
    </comment>
    <comment ref="R537" authorId="1" shapeId="0">
      <text>
        <r>
          <rPr>
            <sz val="8"/>
            <color indexed="81"/>
            <rFont val="Tahoma"/>
            <family val="2"/>
          </rPr>
          <t>Old value for medium model is 0.105769230769231</t>
        </r>
      </text>
    </comment>
    <comment ref="H538" authorId="1" shapeId="0">
      <text>
        <r>
          <rPr>
            <b/>
            <sz val="8"/>
            <color indexed="81"/>
            <rFont val="Tahoma"/>
            <family val="2"/>
          </rPr>
          <t>Adjusted by time difference estimated by difference in length of implement.</t>
        </r>
        <r>
          <rPr>
            <sz val="8"/>
            <color indexed="81"/>
            <rFont val="Tahoma"/>
            <family val="2"/>
          </rPr>
          <t xml:space="preserve">
</t>
        </r>
      </text>
    </comment>
    <comment ref="R538" authorId="1" shapeId="0">
      <text>
        <r>
          <rPr>
            <sz val="8"/>
            <color indexed="81"/>
            <rFont val="Tahoma"/>
            <family val="2"/>
          </rPr>
          <t xml:space="preserve">Updated from MN Extension Excel file "Farm machine estimates" for rotary mower-conditioner, 9 ft.
Old value of 0.5
</t>
        </r>
        <r>
          <rPr>
            <b/>
            <sz val="8"/>
            <color indexed="81"/>
            <rFont val="Tahoma"/>
            <family val="2"/>
          </rPr>
          <t xml:space="preserve">
Old value of 0.441145833333333</t>
        </r>
      </text>
    </comment>
    <comment ref="H539" authorId="1" shapeId="0">
      <text>
        <r>
          <rPr>
            <b/>
            <sz val="8"/>
            <color indexed="81"/>
            <rFont val="Tahoma"/>
            <family val="2"/>
          </rPr>
          <t>Adjusted by time difference estimated by difference in length of implement.</t>
        </r>
        <r>
          <rPr>
            <sz val="8"/>
            <color indexed="81"/>
            <rFont val="Tahoma"/>
            <family val="2"/>
          </rPr>
          <t xml:space="preserve">
</t>
        </r>
      </text>
    </comment>
    <comment ref="R539" authorId="1" shapeId="0">
      <text>
        <r>
          <rPr>
            <sz val="8"/>
            <color indexed="81"/>
            <rFont val="Tahoma"/>
            <family val="2"/>
          </rPr>
          <t xml:space="preserve">Updated from MN Extension Excel file "Farm machine estimates" for pickup head for 12 ft pick up head.
Old value of 2.77777777777778  
</t>
        </r>
        <r>
          <rPr>
            <b/>
            <sz val="8"/>
            <color indexed="81"/>
            <rFont val="Tahoma"/>
            <family val="2"/>
          </rPr>
          <t>Old value for medium model is 1.67946428571429</t>
        </r>
      </text>
    </comment>
    <comment ref="H543" authorId="1" shapeId="0">
      <text>
        <r>
          <rPr>
            <b/>
            <sz val="8"/>
            <color indexed="81"/>
            <rFont val="Tahoma"/>
            <family val="2"/>
          </rPr>
          <t>Adjusted by time difference estimated by difference in length of implement.</t>
        </r>
        <r>
          <rPr>
            <sz val="8"/>
            <color indexed="81"/>
            <rFont val="Tahoma"/>
            <family val="2"/>
          </rPr>
          <t xml:space="preserve">
</t>
        </r>
      </text>
    </comment>
    <comment ref="R543" authorId="1" shapeId="0">
      <text>
        <r>
          <rPr>
            <sz val="8"/>
            <color indexed="81"/>
            <rFont val="Tahoma"/>
            <family val="2"/>
          </rPr>
          <t xml:space="preserve">Assume same as raking.
Updated from MN Extension Excel file "Farm machine estimates" for hay rake (wheel, 2-16') 30 ft.
Old value of 0.25
</t>
        </r>
        <r>
          <rPr>
            <b/>
            <sz val="8"/>
            <color indexed="81"/>
            <rFont val="Tahoma"/>
            <family val="2"/>
          </rPr>
          <t>Old value for medium model is 0.0672222222222222</t>
        </r>
      </text>
    </comment>
    <comment ref="H544" authorId="1" shapeId="0">
      <text>
        <r>
          <rPr>
            <b/>
            <sz val="8"/>
            <color indexed="81"/>
            <rFont val="Tahoma"/>
            <family val="2"/>
          </rPr>
          <t>Adjusted by time difference estimated by difference in length of implement.</t>
        </r>
        <r>
          <rPr>
            <sz val="8"/>
            <color indexed="81"/>
            <rFont val="Tahoma"/>
            <family val="2"/>
          </rPr>
          <t xml:space="preserve">
</t>
        </r>
      </text>
    </comment>
    <comment ref="R544" authorId="1" shapeId="0">
      <text>
        <r>
          <rPr>
            <sz val="8"/>
            <color indexed="81"/>
            <rFont val="Tahoma"/>
            <family val="2"/>
          </rPr>
          <t xml:space="preserve">Updated from MN Extension Excel file "Farm machine estimates" for hay rake 9 ft.
Old value of 0.25  
</t>
        </r>
        <r>
          <rPr>
            <b/>
            <sz val="8"/>
            <color indexed="81"/>
            <rFont val="Tahoma"/>
            <family val="2"/>
          </rPr>
          <t>Old value for medium model is 0.0672222222222222</t>
        </r>
      </text>
    </comment>
    <comment ref="R545" authorId="1" shapeId="0">
      <text>
        <r>
          <rPr>
            <sz val="8"/>
            <color indexed="81"/>
            <rFont val="Tahoma"/>
            <family val="2"/>
          </rPr>
          <t>Updated from MN Extension Excel file "Farm machine estimates" for round baler 1000 lb, 20 ft.
Old value of 0.75</t>
        </r>
      </text>
    </comment>
    <comment ref="R549" authorId="1" shapeId="0">
      <text>
        <r>
          <rPr>
            <sz val="8"/>
            <color indexed="81"/>
            <rFont val="Tahoma"/>
            <family val="2"/>
          </rPr>
          <t>Updated from MN Extension Excel file "Farm machine estimates" for hay baler PTO twine 12 ft.
Old value of 0.75</t>
        </r>
      </text>
    </comment>
    <comment ref="H558" authorId="1" shapeId="0">
      <text>
        <r>
          <rPr>
            <b/>
            <sz val="8"/>
            <color indexed="81"/>
            <rFont val="Tahoma"/>
            <family val="2"/>
          </rPr>
          <t>Adjusted by time difference estimated by difference in length of implement.</t>
        </r>
        <r>
          <rPr>
            <sz val="8"/>
            <color indexed="81"/>
            <rFont val="Tahoma"/>
            <family val="2"/>
          </rPr>
          <t xml:space="preserve">
</t>
        </r>
      </text>
    </comment>
    <comment ref="R558" authorId="1" shapeId="0">
      <text>
        <r>
          <rPr>
            <sz val="8"/>
            <color indexed="81"/>
            <rFont val="Tahoma"/>
            <family val="2"/>
          </rPr>
          <t>Updated from MN Extension Excel file "Farm machine estimates" for rotary mower-conditioner, 12 ft.
Old value of 0.5</t>
        </r>
      </text>
    </comment>
    <comment ref="H559" authorId="1" shapeId="0">
      <text>
        <r>
          <rPr>
            <b/>
            <sz val="8"/>
            <color indexed="81"/>
            <rFont val="Tahoma"/>
            <family val="2"/>
          </rPr>
          <t>Adjusted by time difference estimated by difference in length of implement.</t>
        </r>
        <r>
          <rPr>
            <sz val="8"/>
            <color indexed="81"/>
            <rFont val="Tahoma"/>
            <family val="2"/>
          </rPr>
          <t xml:space="preserve">
</t>
        </r>
      </text>
    </comment>
    <comment ref="R559" authorId="1" shapeId="0">
      <text>
        <r>
          <rPr>
            <sz val="8"/>
            <color indexed="81"/>
            <rFont val="Tahoma"/>
            <family val="2"/>
          </rPr>
          <t xml:space="preserve">Updated from MN Extension Excel file "Farm machine estimates" for pickup head for 12 ft pick up head.
Old value of 2.77777777777778  
</t>
        </r>
        <r>
          <rPr>
            <b/>
            <sz val="8"/>
            <color indexed="81"/>
            <rFont val="Tahoma"/>
            <family val="2"/>
          </rPr>
          <t>Old value for medium model is 1.67946428571429</t>
        </r>
      </text>
    </comment>
    <comment ref="H563" authorId="1" shapeId="0">
      <text>
        <r>
          <rPr>
            <b/>
            <sz val="8"/>
            <color indexed="81"/>
            <rFont val="Tahoma"/>
            <family val="2"/>
          </rPr>
          <t>Adjusted by time difference estimated by difference in length of implement.</t>
        </r>
        <r>
          <rPr>
            <sz val="8"/>
            <color indexed="81"/>
            <rFont val="Tahoma"/>
            <family val="2"/>
          </rPr>
          <t xml:space="preserve">
</t>
        </r>
      </text>
    </comment>
    <comment ref="R563" authorId="1" shapeId="0">
      <text>
        <r>
          <rPr>
            <sz val="8"/>
            <color indexed="81"/>
            <rFont val="Tahoma"/>
            <family val="2"/>
          </rPr>
          <t xml:space="preserve">Assume same as raking.
Updated from MN Extension Excel file "Farm machine estimates" for hay rake (wheel, 2-16') 30 ft.
Old value of 0.25
</t>
        </r>
        <r>
          <rPr>
            <b/>
            <sz val="8"/>
            <color indexed="81"/>
            <rFont val="Tahoma"/>
            <family val="2"/>
          </rPr>
          <t>Old value for medium model is 0.0672222222222222</t>
        </r>
      </text>
    </comment>
    <comment ref="H564" authorId="1" shapeId="0">
      <text>
        <r>
          <rPr>
            <b/>
            <sz val="8"/>
            <color indexed="81"/>
            <rFont val="Tahoma"/>
            <family val="2"/>
          </rPr>
          <t>Adjusted by time difference estimated by difference in length of implement.</t>
        </r>
        <r>
          <rPr>
            <sz val="8"/>
            <color indexed="81"/>
            <rFont val="Tahoma"/>
            <family val="2"/>
          </rPr>
          <t xml:space="preserve">
</t>
        </r>
      </text>
    </comment>
    <comment ref="R564" authorId="1" shapeId="0">
      <text>
        <r>
          <rPr>
            <sz val="8"/>
            <color indexed="81"/>
            <rFont val="Tahoma"/>
            <family val="2"/>
          </rPr>
          <t xml:space="preserve">Updated from MN Extension Excel file "Farm machine estimates" for hay rake 9 ft.
Old value of 0.25  
</t>
        </r>
        <r>
          <rPr>
            <b/>
            <sz val="8"/>
            <color indexed="81"/>
            <rFont val="Tahoma"/>
            <family val="2"/>
          </rPr>
          <t>Old value for medium model is 0.0672222222222222</t>
        </r>
      </text>
    </comment>
    <comment ref="R565" authorId="1" shapeId="0">
      <text>
        <r>
          <rPr>
            <sz val="8"/>
            <color indexed="81"/>
            <rFont val="Tahoma"/>
            <family val="2"/>
          </rPr>
          <t>Updated from MN Extension Excel file "Farm machine estimates" for round baler 1000 lb, 20 ft.
Old value of 0.75</t>
        </r>
      </text>
    </comment>
    <comment ref="R569" authorId="1" shapeId="0">
      <text>
        <r>
          <rPr>
            <sz val="8"/>
            <color indexed="81"/>
            <rFont val="Tahoma"/>
            <family val="2"/>
          </rPr>
          <t>Updated from MN Extension Excel file "Farm machine estimates" for hay baler PTO twine 12 ft.
Old value of 0.75</t>
        </r>
      </text>
    </comment>
    <comment ref="L577" authorId="1" shapeId="0">
      <text>
        <r>
          <rPr>
            <sz val="8"/>
            <color indexed="81"/>
            <rFont val="Tahoma"/>
            <family val="2"/>
          </rPr>
          <t>Original values from Ellen Mallory MPEP research.  Updated ones with footnotes from 2011 MN Extension Excel file "Farm machine estimates" forwarded by Andrew Plant.</t>
        </r>
      </text>
    </comment>
    <comment ref="N577" authorId="1" shapeId="0">
      <text>
        <r>
          <rPr>
            <sz val="8"/>
            <color indexed="81"/>
            <rFont val="Tahoma"/>
            <family val="2"/>
          </rPr>
          <t>Original values from Ellen Mallory MPEP research.  Updated ones with footnotes from 2011 MN Extension Excel file "Farm machine estimates" forwarded by Andrew Plant.</t>
        </r>
      </text>
    </comment>
    <comment ref="P577" authorId="1" shapeId="0">
      <text>
        <r>
          <rPr>
            <sz val="8"/>
            <color indexed="81"/>
            <rFont val="Tahoma"/>
            <family val="2"/>
          </rPr>
          <t>Original values from Ellen Mallory MPEP research.  Updated ones with footnotes from 2011 MN Extension Excel file "Farm machine estimates" forwarded by Andrew Plant.</t>
        </r>
      </text>
    </comment>
    <comment ref="R577" authorId="1" shapeId="0">
      <text>
        <r>
          <rPr>
            <sz val="8"/>
            <color indexed="81"/>
            <rFont val="Tahoma"/>
            <family val="2"/>
          </rPr>
          <t>Original values from Ellen Mallory MPEP research.  Updated ones with footnotes from 2011 MN Extension Excel file "Farm machine estimates" forwarded by Andrew Plant.</t>
        </r>
      </text>
    </comment>
    <comment ref="B579" authorId="1" shapeId="0">
      <text>
        <r>
          <rPr>
            <b/>
            <sz val="8"/>
            <color indexed="81"/>
            <rFont val="Tahoma"/>
            <family val="2"/>
          </rPr>
          <t>Updated from MN for 9 ft 6 bottom-18 moldboard plow</t>
        </r>
      </text>
    </comment>
    <comment ref="D579" authorId="1" shapeId="0">
      <text>
        <r>
          <rPr>
            <b/>
            <sz val="8"/>
            <color indexed="81"/>
            <rFont val="Tahoma"/>
            <family val="2"/>
          </rPr>
          <t>Updated from MN for 9 ft 6 bottom-18 moldboard plow</t>
        </r>
      </text>
    </comment>
    <comment ref="F579" authorId="1" shapeId="0">
      <text>
        <r>
          <rPr>
            <b/>
            <sz val="8"/>
            <color indexed="81"/>
            <rFont val="Tahoma"/>
            <family val="2"/>
          </rPr>
          <t>Updated from MN for 12 ft 8 bottom-18 moldboard plow</t>
        </r>
      </text>
    </comment>
    <comment ref="H579" authorId="3" shapeId="0">
      <text>
        <r>
          <rPr>
            <b/>
            <sz val="9"/>
            <color indexed="81"/>
            <rFont val="Tahoma"/>
            <family val="2"/>
          </rPr>
          <t>Updated from MN</t>
        </r>
      </text>
    </comment>
    <comment ref="L579" authorId="3" shapeId="0">
      <text>
        <r>
          <rPr>
            <b/>
            <sz val="9"/>
            <color indexed="81"/>
            <rFont val="Tahoma"/>
            <family val="2"/>
          </rPr>
          <t>Updated from MN for 9 ft moldboard plow</t>
        </r>
      </text>
    </comment>
    <comment ref="N579" authorId="3" shapeId="0">
      <text>
        <r>
          <rPr>
            <b/>
            <sz val="9"/>
            <color indexed="81"/>
            <rFont val="Tahoma"/>
            <family val="2"/>
          </rPr>
          <t>Updated from MN for 9 ft moldboard plow</t>
        </r>
      </text>
    </comment>
    <comment ref="P579" authorId="3" shapeId="0">
      <text>
        <r>
          <rPr>
            <b/>
            <sz val="9"/>
            <color indexed="81"/>
            <rFont val="Tahoma"/>
            <family val="2"/>
          </rPr>
          <t>Updated from MN for 12 ft moldboard plow</t>
        </r>
      </text>
    </comment>
    <comment ref="R579" authorId="3" shapeId="0">
      <text>
        <r>
          <rPr>
            <b/>
            <sz val="9"/>
            <color indexed="81"/>
            <rFont val="Tahoma"/>
            <family val="2"/>
          </rPr>
          <t xml:space="preserve">Updated from MN
</t>
        </r>
      </text>
    </comment>
    <comment ref="B580" authorId="1" shapeId="0">
      <text>
        <r>
          <rPr>
            <b/>
            <sz val="8"/>
            <color indexed="81"/>
            <rFont val="Tahoma"/>
            <family val="2"/>
          </rPr>
          <t>Updated from MN for 15 ft chisel plow</t>
        </r>
      </text>
    </comment>
    <comment ref="D580" authorId="1" shapeId="0">
      <text>
        <r>
          <rPr>
            <b/>
            <sz val="8"/>
            <color indexed="81"/>
            <rFont val="Tahoma"/>
            <family val="2"/>
          </rPr>
          <t>Updated from MN for 15 ft chisel plow</t>
        </r>
      </text>
    </comment>
    <comment ref="F580" authorId="1" shapeId="0">
      <text>
        <r>
          <rPr>
            <b/>
            <sz val="8"/>
            <color indexed="81"/>
            <rFont val="Tahoma"/>
            <family val="2"/>
          </rPr>
          <t>Updated from MN for 23 ft chisel plow</t>
        </r>
      </text>
    </comment>
    <comment ref="H580" authorId="3" shapeId="0">
      <text>
        <r>
          <rPr>
            <b/>
            <sz val="9"/>
            <color indexed="81"/>
            <rFont val="Tahoma"/>
            <family val="2"/>
          </rPr>
          <t>Old value adjusted by time difference estimated by difference in length of implement:
=0.167170097466133*$I$251
Updated from MN</t>
        </r>
      </text>
    </comment>
    <comment ref="L580" authorId="3" shapeId="0">
      <text>
        <r>
          <rPr>
            <b/>
            <sz val="9"/>
            <color indexed="81"/>
            <rFont val="Tahoma"/>
            <family val="2"/>
          </rPr>
          <t>Updated from MN for 15 ft chisel plow</t>
        </r>
      </text>
    </comment>
    <comment ref="N580" authorId="3" shapeId="0">
      <text>
        <r>
          <rPr>
            <b/>
            <sz val="9"/>
            <color indexed="81"/>
            <rFont val="Tahoma"/>
            <family val="2"/>
          </rPr>
          <t>Updated from MN for 15 ft chisel plow</t>
        </r>
      </text>
    </comment>
    <comment ref="P580" authorId="3" shapeId="0">
      <text>
        <r>
          <rPr>
            <b/>
            <sz val="9"/>
            <color indexed="81"/>
            <rFont val="Tahoma"/>
            <family val="2"/>
          </rPr>
          <t>Updated from MN for 23 ft chisel plow</t>
        </r>
      </text>
    </comment>
    <comment ref="R580" authorId="3" shapeId="0">
      <text>
        <r>
          <rPr>
            <b/>
            <sz val="9"/>
            <color indexed="81"/>
            <rFont val="Tahoma"/>
            <family val="2"/>
          </rPr>
          <t>Updated from MN
Old value:
0.602803332298575</t>
        </r>
      </text>
    </comment>
    <comment ref="B581" authorId="1" shapeId="0">
      <text>
        <r>
          <rPr>
            <b/>
            <sz val="8"/>
            <color indexed="81"/>
            <rFont val="Tahoma"/>
            <family val="2"/>
          </rPr>
          <t>Updated from MN for 12 ft disc harrow</t>
        </r>
      </text>
    </comment>
    <comment ref="D581" authorId="1" shapeId="0">
      <text>
        <r>
          <rPr>
            <b/>
            <sz val="8"/>
            <color indexed="81"/>
            <rFont val="Tahoma"/>
            <family val="2"/>
          </rPr>
          <t>Updated from MN for 21 ft disc harrow</t>
        </r>
      </text>
    </comment>
    <comment ref="F581" authorId="1" shapeId="0">
      <text>
        <r>
          <rPr>
            <b/>
            <sz val="8"/>
            <color indexed="81"/>
            <rFont val="Tahoma"/>
            <family val="2"/>
          </rPr>
          <t>Updated from MN for 30 ft disc harrow</t>
        </r>
      </text>
    </comment>
    <comment ref="H581" authorId="1" shapeId="0">
      <text>
        <r>
          <rPr>
            <b/>
            <sz val="8"/>
            <color indexed="81"/>
            <rFont val="Tahoma"/>
            <family val="2"/>
          </rPr>
          <t>Old value adjusted by time difference estimated by difference in length of implement:
=0.157336562321066*$I$252
Updated from MN</t>
        </r>
      </text>
    </comment>
    <comment ref="L581" authorId="1" shapeId="0">
      <text>
        <r>
          <rPr>
            <b/>
            <sz val="8"/>
            <color indexed="81"/>
            <rFont val="Tahoma"/>
            <family val="2"/>
          </rPr>
          <t>Updated from MN for 12 ft disc harrow</t>
        </r>
      </text>
    </comment>
    <comment ref="N581" authorId="1" shapeId="0">
      <text>
        <r>
          <rPr>
            <b/>
            <sz val="8"/>
            <color indexed="81"/>
            <rFont val="Tahoma"/>
            <family val="2"/>
          </rPr>
          <t>Updated from MN for 21 ft disc harrow</t>
        </r>
      </text>
    </comment>
    <comment ref="P581" authorId="1" shapeId="0">
      <text>
        <r>
          <rPr>
            <b/>
            <sz val="8"/>
            <color indexed="81"/>
            <rFont val="Tahoma"/>
            <family val="2"/>
          </rPr>
          <t>Updated from MN for 30 ft disc harrow</t>
        </r>
      </text>
    </comment>
    <comment ref="R581" authorId="1" shapeId="0">
      <text>
        <r>
          <rPr>
            <b/>
            <sz val="8"/>
            <color indexed="81"/>
            <rFont val="Tahoma"/>
            <family val="2"/>
          </rPr>
          <t>Updated from MN Extension Excel file "Farm machine estimates" for disk harrow, 12 ft offset.
Old value of 0.299131890367435</t>
        </r>
        <r>
          <rPr>
            <sz val="8"/>
            <color indexed="81"/>
            <rFont val="Tahoma"/>
            <family val="2"/>
          </rPr>
          <t xml:space="preserve">
</t>
        </r>
        <r>
          <rPr>
            <b/>
            <sz val="8"/>
            <color indexed="81"/>
            <rFont val="Tahoma"/>
            <family val="2"/>
          </rPr>
          <t>Old value for medium model of 0.106764705882353
Updated from MN
Old value:
0.830392156862745</t>
        </r>
      </text>
    </comment>
    <comment ref="B584" authorId="3" shapeId="0">
      <text>
        <r>
          <rPr>
            <b/>
            <sz val="9"/>
            <color indexed="81"/>
            <rFont val="Tahoma"/>
            <family val="2"/>
          </rPr>
          <t>Assume same as IFAFS for conventional fertilizer spreader</t>
        </r>
      </text>
    </comment>
    <comment ref="D584" authorId="3" shapeId="0">
      <text>
        <r>
          <rPr>
            <b/>
            <sz val="9"/>
            <color indexed="81"/>
            <rFont val="Tahoma"/>
            <family val="2"/>
          </rPr>
          <t>Assume same as IFAFS for conventional fertilizer spreader</t>
        </r>
      </text>
    </comment>
    <comment ref="F584" authorId="3" shapeId="0">
      <text>
        <r>
          <rPr>
            <b/>
            <sz val="9"/>
            <color indexed="81"/>
            <rFont val="Tahoma"/>
            <family val="2"/>
          </rPr>
          <t>Assume same as IFAFS for conventional fertilizer spreader</t>
        </r>
      </text>
    </comment>
    <comment ref="H584" authorId="3" shapeId="0">
      <text>
        <r>
          <rPr>
            <b/>
            <sz val="9"/>
            <color indexed="81"/>
            <rFont val="Tahoma"/>
            <family val="2"/>
          </rPr>
          <t>IFAFS:
0.0929292929292929</t>
        </r>
        <r>
          <rPr>
            <sz val="9"/>
            <color indexed="81"/>
            <rFont val="Tahoma"/>
            <family val="2"/>
          </rPr>
          <t xml:space="preserve">
</t>
        </r>
      </text>
    </comment>
    <comment ref="L584" authorId="3" shapeId="0">
      <text>
        <r>
          <rPr>
            <b/>
            <sz val="9"/>
            <color indexed="81"/>
            <rFont val="Tahoma"/>
            <family val="2"/>
          </rPr>
          <t>Assume same as IFAFS for conventional fertilizer spreader</t>
        </r>
      </text>
    </comment>
    <comment ref="N584" authorId="3" shapeId="0">
      <text>
        <r>
          <rPr>
            <b/>
            <sz val="9"/>
            <color indexed="81"/>
            <rFont val="Tahoma"/>
            <family val="2"/>
          </rPr>
          <t>Assume same as IFAFS for conventional fertilizer spreader</t>
        </r>
      </text>
    </comment>
    <comment ref="P584" authorId="3" shapeId="0">
      <text>
        <r>
          <rPr>
            <b/>
            <sz val="9"/>
            <color indexed="81"/>
            <rFont val="Tahoma"/>
            <family val="2"/>
          </rPr>
          <t>Assume same as IFAFS for conventional fertilizer spreader</t>
        </r>
      </text>
    </comment>
    <comment ref="R584" authorId="3" shapeId="0">
      <text>
        <r>
          <rPr>
            <b/>
            <sz val="9"/>
            <color indexed="81"/>
            <rFont val="Tahoma"/>
            <family val="2"/>
          </rPr>
          <t>IFAFS:</t>
        </r>
        <r>
          <rPr>
            <sz val="9"/>
            <color indexed="81"/>
            <rFont val="Tahoma"/>
            <family val="2"/>
          </rPr>
          <t xml:space="preserve">
</t>
        </r>
        <r>
          <rPr>
            <b/>
            <sz val="9"/>
            <color indexed="81"/>
            <rFont val="Tahoma"/>
            <family val="2"/>
          </rPr>
          <t>0.131836702413325</t>
        </r>
      </text>
    </comment>
    <comment ref="B585" authorId="3" shapeId="0">
      <text>
        <r>
          <rPr>
            <b/>
            <sz val="9"/>
            <color indexed="81"/>
            <rFont val="Tahoma"/>
            <family val="2"/>
          </rPr>
          <t>Old assumption is same as small/medium conventional dairy at 1 hour per acre. Change to 0.25 hour per acre from Tom Molloy estimate.</t>
        </r>
      </text>
    </comment>
    <comment ref="D585" authorId="3" shapeId="0">
      <text>
        <r>
          <rPr>
            <b/>
            <sz val="9"/>
            <color indexed="81"/>
            <rFont val="Tahoma"/>
            <family val="2"/>
          </rPr>
          <t>Old assumption is same as small/medium conventional dairy at 1 hour per acre. Change to 0.25 hour per acre from Tom Molloy estimate.</t>
        </r>
      </text>
    </comment>
    <comment ref="F585" authorId="3" shapeId="0">
      <text>
        <r>
          <rPr>
            <b/>
            <sz val="9"/>
            <color indexed="81"/>
            <rFont val="Tahoma"/>
            <family val="2"/>
          </rPr>
          <t>Old assumption is same as small/medium conventional dairy at 1 hour per acre. Change to 0.25 hour per acre from Tom Molloy estimate.</t>
        </r>
      </text>
    </comment>
    <comment ref="H585" authorId="3" shapeId="0">
      <text>
        <r>
          <rPr>
            <b/>
            <sz val="9"/>
            <color indexed="81"/>
            <rFont val="Tahoma"/>
            <family val="2"/>
          </rPr>
          <t>Old assumption is same as small/medium conventional dairy at 1 hour per acre. Change to 0.25 hour per acre from Tom Molloy estimate.</t>
        </r>
      </text>
    </comment>
    <comment ref="L585" authorId="3" shapeId="0">
      <text>
        <r>
          <rPr>
            <b/>
            <sz val="9"/>
            <color indexed="81"/>
            <rFont val="Tahoma"/>
            <family val="2"/>
          </rPr>
          <t>Assume same as small/medium conventional dairy</t>
        </r>
      </text>
    </comment>
    <comment ref="N585" authorId="3" shapeId="0">
      <text>
        <r>
          <rPr>
            <b/>
            <sz val="9"/>
            <color indexed="81"/>
            <rFont val="Tahoma"/>
            <family val="2"/>
          </rPr>
          <t>Assume same as small/medium conventional dairy</t>
        </r>
      </text>
    </comment>
    <comment ref="P585" authorId="3" shapeId="0">
      <text>
        <r>
          <rPr>
            <b/>
            <sz val="9"/>
            <color indexed="81"/>
            <rFont val="Tahoma"/>
            <family val="2"/>
          </rPr>
          <t>Assume same as small/medium conventional dairy</t>
        </r>
      </text>
    </comment>
    <comment ref="R585" authorId="3" shapeId="0">
      <text>
        <r>
          <rPr>
            <b/>
            <sz val="9"/>
            <color indexed="81"/>
            <rFont val="Tahoma"/>
            <family val="2"/>
          </rPr>
          <t>Assume same as small/medium conventional dairy:
0.440238632920666</t>
        </r>
      </text>
    </comment>
    <comment ref="H587" authorId="1" shapeId="0">
      <text>
        <r>
          <rPr>
            <b/>
            <sz val="8"/>
            <color indexed="81"/>
            <rFont val="Tahoma"/>
            <family val="2"/>
          </rPr>
          <t>Adjusted by time difference estimated by difference in length of implement.</t>
        </r>
      </text>
    </comment>
    <comment ref="R587"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R588"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B589" authorId="3" shapeId="0">
      <text>
        <r>
          <rPr>
            <b/>
            <sz val="9"/>
            <color indexed="81"/>
            <rFont val="Tahoma"/>
            <family val="2"/>
          </rPr>
          <t>Updated from MN for 18 ft field cultivator</t>
        </r>
        <r>
          <rPr>
            <sz val="9"/>
            <color indexed="81"/>
            <rFont val="Tahoma"/>
            <family val="2"/>
          </rPr>
          <t xml:space="preserve">
</t>
        </r>
      </text>
    </comment>
    <comment ref="D589" authorId="3" shapeId="0">
      <text>
        <r>
          <rPr>
            <b/>
            <sz val="9"/>
            <color indexed="81"/>
            <rFont val="Tahoma"/>
            <family val="2"/>
          </rPr>
          <t>Updated from MN for 18 ft field cultivator</t>
        </r>
        <r>
          <rPr>
            <sz val="9"/>
            <color indexed="81"/>
            <rFont val="Tahoma"/>
            <family val="2"/>
          </rPr>
          <t xml:space="preserve">
</t>
        </r>
      </text>
    </comment>
    <comment ref="F589" authorId="3" shapeId="0">
      <text>
        <r>
          <rPr>
            <b/>
            <sz val="9"/>
            <color indexed="81"/>
            <rFont val="Tahoma"/>
            <family val="2"/>
          </rPr>
          <t>Updated from MN for 18 ft field cultivator</t>
        </r>
        <r>
          <rPr>
            <sz val="9"/>
            <color indexed="81"/>
            <rFont val="Tahoma"/>
            <family val="2"/>
          </rPr>
          <t xml:space="preserve">
</t>
        </r>
      </text>
    </comment>
    <comment ref="H589" authorId="3" shapeId="0">
      <text>
        <r>
          <rPr>
            <b/>
            <sz val="9"/>
            <color indexed="81"/>
            <rFont val="Tahoma"/>
            <family val="2"/>
          </rPr>
          <t>Old value:
0.105555555555556
Updated from MN</t>
        </r>
        <r>
          <rPr>
            <sz val="9"/>
            <color indexed="81"/>
            <rFont val="Tahoma"/>
            <family val="2"/>
          </rPr>
          <t xml:space="preserve">
</t>
        </r>
      </text>
    </comment>
    <comment ref="L589" authorId="1" shapeId="0">
      <text>
        <r>
          <rPr>
            <b/>
            <sz val="8"/>
            <color indexed="81"/>
            <rFont val="Tahoma"/>
            <family val="2"/>
          </rPr>
          <t xml:space="preserve">Updated from MN Extension Excel file "Farm machine estimates" for 18 ft field cultivator
</t>
        </r>
      </text>
    </comment>
    <comment ref="N589" authorId="1" shapeId="0">
      <text>
        <r>
          <rPr>
            <b/>
            <sz val="8"/>
            <color indexed="81"/>
            <rFont val="Tahoma"/>
            <family val="2"/>
          </rPr>
          <t xml:space="preserve">Updated from MN Extension Excel file "Farm machine estimates" for 18 ft field cultivator
</t>
        </r>
      </text>
    </comment>
    <comment ref="P589" authorId="1" shapeId="0">
      <text>
        <r>
          <rPr>
            <b/>
            <sz val="8"/>
            <color indexed="81"/>
            <rFont val="Tahoma"/>
            <family val="2"/>
          </rPr>
          <t xml:space="preserve">Updated from MN Extension Excel file "Farm machine estimates" for 18 ft field cultivator
</t>
        </r>
      </text>
    </comment>
    <comment ref="R589" authorId="1" shapeId="0">
      <text>
        <r>
          <rPr>
            <b/>
            <sz val="8"/>
            <color indexed="81"/>
            <rFont val="Tahoma"/>
            <family val="2"/>
          </rPr>
          <t xml:space="preserve">Updated from MN Extension Excel file "Farm machine estimates" for disk harrow, 12 ft offset.
Old value of 0.299131890367435
</t>
        </r>
        <r>
          <rPr>
            <sz val="8"/>
            <color indexed="81"/>
            <rFont val="Tahoma"/>
            <family val="2"/>
          </rPr>
          <t xml:space="preserve">
</t>
        </r>
        <r>
          <rPr>
            <b/>
            <sz val="8"/>
            <color indexed="81"/>
            <rFont val="Tahoma"/>
            <family val="2"/>
          </rPr>
          <t>Old value for medium model of 0.106764705882353
Old value:
0.830392156862745
Updated from MN</t>
        </r>
      </text>
    </comment>
    <comment ref="R590"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B591" authorId="3" shapeId="0">
      <text>
        <r>
          <rPr>
            <b/>
            <sz val="9"/>
            <color indexed="81"/>
            <rFont val="Tahoma"/>
            <family val="2"/>
          </rPr>
          <t>Assume for now same as finish harrow</t>
        </r>
        <r>
          <rPr>
            <sz val="9"/>
            <color indexed="81"/>
            <rFont val="Tahoma"/>
            <family val="2"/>
          </rPr>
          <t xml:space="preserve">
</t>
        </r>
      </text>
    </comment>
    <comment ref="D591" authorId="3" shapeId="0">
      <text>
        <r>
          <rPr>
            <b/>
            <sz val="9"/>
            <color indexed="81"/>
            <rFont val="Tahoma"/>
            <family val="2"/>
          </rPr>
          <t>Assume for now same as finish harrow</t>
        </r>
        <r>
          <rPr>
            <sz val="9"/>
            <color indexed="81"/>
            <rFont val="Tahoma"/>
            <family val="2"/>
          </rPr>
          <t xml:space="preserve">
</t>
        </r>
      </text>
    </comment>
    <comment ref="F591" authorId="3" shapeId="0">
      <text>
        <r>
          <rPr>
            <b/>
            <sz val="9"/>
            <color indexed="81"/>
            <rFont val="Tahoma"/>
            <family val="2"/>
          </rPr>
          <t>Assume for now same as finish harrow</t>
        </r>
        <r>
          <rPr>
            <sz val="9"/>
            <color indexed="81"/>
            <rFont val="Tahoma"/>
            <family val="2"/>
          </rPr>
          <t xml:space="preserve">
</t>
        </r>
      </text>
    </comment>
    <comment ref="H591" authorId="3" shapeId="0">
      <text>
        <r>
          <rPr>
            <b/>
            <sz val="9"/>
            <color indexed="81"/>
            <rFont val="Tahoma"/>
            <family val="2"/>
          </rPr>
          <t>Assume for now same as finish harrow</t>
        </r>
        <r>
          <rPr>
            <sz val="9"/>
            <color indexed="81"/>
            <rFont val="Tahoma"/>
            <family val="2"/>
          </rPr>
          <t xml:space="preserve">
</t>
        </r>
      </text>
    </comment>
    <comment ref="L591" authorId="3" shapeId="0">
      <text>
        <r>
          <rPr>
            <b/>
            <sz val="9"/>
            <color indexed="81"/>
            <rFont val="Tahoma"/>
            <family val="2"/>
          </rPr>
          <t>Assume for now same as finish harrow</t>
        </r>
        <r>
          <rPr>
            <sz val="9"/>
            <color indexed="81"/>
            <rFont val="Tahoma"/>
            <family val="2"/>
          </rPr>
          <t xml:space="preserve">
</t>
        </r>
      </text>
    </comment>
    <comment ref="N591" authorId="3" shapeId="0">
      <text>
        <r>
          <rPr>
            <b/>
            <sz val="9"/>
            <color indexed="81"/>
            <rFont val="Tahoma"/>
            <family val="2"/>
          </rPr>
          <t>Assume for now same as finish harrow</t>
        </r>
        <r>
          <rPr>
            <sz val="9"/>
            <color indexed="81"/>
            <rFont val="Tahoma"/>
            <family val="2"/>
          </rPr>
          <t xml:space="preserve">
</t>
        </r>
      </text>
    </comment>
    <comment ref="P591" authorId="3" shapeId="0">
      <text>
        <r>
          <rPr>
            <b/>
            <sz val="9"/>
            <color indexed="81"/>
            <rFont val="Tahoma"/>
            <family val="2"/>
          </rPr>
          <t>Assume for now same as finish harrow</t>
        </r>
        <r>
          <rPr>
            <sz val="9"/>
            <color indexed="81"/>
            <rFont val="Tahoma"/>
            <family val="2"/>
          </rPr>
          <t xml:space="preserve">
</t>
        </r>
      </text>
    </comment>
    <comment ref="R591" authorId="3" shapeId="0">
      <text>
        <r>
          <rPr>
            <b/>
            <sz val="9"/>
            <color indexed="81"/>
            <rFont val="Tahoma"/>
            <family val="2"/>
          </rPr>
          <t>Assume for now same as finish harrow</t>
        </r>
        <r>
          <rPr>
            <sz val="9"/>
            <color indexed="81"/>
            <rFont val="Tahoma"/>
            <family val="2"/>
          </rPr>
          <t xml:space="preserve">
</t>
        </r>
      </text>
    </comment>
    <comment ref="R592" authorId="1" shapeId="0">
      <text>
        <r>
          <rPr>
            <sz val="8"/>
            <color indexed="81"/>
            <rFont val="Tahoma"/>
            <family val="2"/>
          </rPr>
          <t xml:space="preserve">Updated from MN Extension Excel file "Farm machine estimates" for disk harrow, 12 ft offset.
Old value of 0.299131890367435
</t>
        </r>
        <r>
          <rPr>
            <b/>
            <sz val="8"/>
            <color indexed="81"/>
            <rFont val="Tahoma"/>
            <family val="2"/>
          </rPr>
          <t>Old value for medium model of 0.106764705882353</t>
        </r>
      </text>
    </comment>
    <comment ref="H593" authorId="1" shapeId="0">
      <text>
        <r>
          <rPr>
            <b/>
            <sz val="8"/>
            <color indexed="81"/>
            <rFont val="Tahoma"/>
            <family val="2"/>
          </rPr>
          <t>Adjusted by time difference estimated by difference in length of implement.</t>
        </r>
        <r>
          <rPr>
            <sz val="8"/>
            <color indexed="81"/>
            <rFont val="Tahoma"/>
            <family val="2"/>
          </rPr>
          <t xml:space="preserve">
</t>
        </r>
      </text>
    </comment>
    <comment ref="R593" authorId="1" shapeId="0">
      <text>
        <r>
          <rPr>
            <sz val="8"/>
            <color indexed="81"/>
            <rFont val="Tahoma"/>
            <family val="2"/>
          </rPr>
          <t>Updated from MN Extension Excel file "Farm machine estimates" for corn planters, all types (6,8,12,16 row that are 15,20,30, and 40 ft respectively).
Old value of 0.511462397983818</t>
        </r>
      </text>
    </comment>
    <comment ref="B594" authorId="1" shapeId="0">
      <text>
        <r>
          <rPr>
            <b/>
            <sz val="8"/>
            <color indexed="81"/>
            <rFont val="Tahoma"/>
            <family val="2"/>
          </rPr>
          <t>Updated from MN for 16 ft press wheel drill</t>
        </r>
      </text>
    </comment>
    <comment ref="D594" authorId="1" shapeId="0">
      <text>
        <r>
          <rPr>
            <b/>
            <sz val="8"/>
            <color indexed="81"/>
            <rFont val="Tahoma"/>
            <family val="2"/>
          </rPr>
          <t>Updated from MN for 25 ft press wheel drill</t>
        </r>
      </text>
    </comment>
    <comment ref="F594" authorId="1" shapeId="0">
      <text>
        <r>
          <rPr>
            <b/>
            <sz val="8"/>
            <color indexed="81"/>
            <rFont val="Tahoma"/>
            <family val="2"/>
          </rPr>
          <t>Updated from MN for 30 ft press wheel drill</t>
        </r>
      </text>
    </comment>
    <comment ref="H594" authorId="1" shapeId="0">
      <text>
        <r>
          <rPr>
            <b/>
            <sz val="8"/>
            <color indexed="81"/>
            <rFont val="Tahoma"/>
            <family val="2"/>
          </rPr>
          <t>Old value adjusted by time difference estimated by difference in length of implement:
=0.177003632611199*$I$244
Updated from MN</t>
        </r>
      </text>
    </comment>
    <comment ref="L594" authorId="3" shapeId="0">
      <text>
        <r>
          <rPr>
            <b/>
            <sz val="9"/>
            <color indexed="81"/>
            <rFont val="Tahoma"/>
            <family val="2"/>
          </rPr>
          <t>Updated from MN for 16 ft presswheel drill</t>
        </r>
      </text>
    </comment>
    <comment ref="N594" authorId="3" shapeId="0">
      <text>
        <r>
          <rPr>
            <b/>
            <sz val="9"/>
            <color indexed="81"/>
            <rFont val="Tahoma"/>
            <family val="2"/>
          </rPr>
          <t>Updated from MN for 25 ft presswheel drill</t>
        </r>
      </text>
    </comment>
    <comment ref="P594" authorId="3" shapeId="0">
      <text>
        <r>
          <rPr>
            <b/>
            <sz val="9"/>
            <color indexed="81"/>
            <rFont val="Tahoma"/>
            <family val="2"/>
          </rPr>
          <t>Updated from MN for 30 ft presswheel drill</t>
        </r>
      </text>
    </comment>
    <comment ref="R594" authorId="3" shapeId="0">
      <text>
        <r>
          <rPr>
            <b/>
            <sz val="9"/>
            <color indexed="81"/>
            <rFont val="Tahoma"/>
            <family val="2"/>
          </rPr>
          <t>Old value:
0.810446925771483
Updated from MN</t>
        </r>
      </text>
    </comment>
    <comment ref="H595" authorId="1" shapeId="0">
      <text>
        <r>
          <rPr>
            <b/>
            <sz val="8"/>
            <color indexed="81"/>
            <rFont val="Tahoma"/>
            <family val="2"/>
          </rPr>
          <t>Adjusted by time difference estimated by difference in length of implement.</t>
        </r>
        <r>
          <rPr>
            <sz val="8"/>
            <color indexed="81"/>
            <rFont val="Tahoma"/>
            <family val="2"/>
          </rPr>
          <t xml:space="preserve">
</t>
        </r>
      </text>
    </comment>
    <comment ref="R595" authorId="1" shapeId="0">
      <text>
        <r>
          <rPr>
            <sz val="8"/>
            <color indexed="81"/>
            <rFont val="Tahoma"/>
            <family val="2"/>
          </rPr>
          <t>Assume same as corn planter.
Updated from MN Extension Excel file "Farm machine estimates" for corn planters, all types (6,8,12,16 row that are 15,20,30, and 40 ft respectively).
Old value of 0.810446925771483</t>
        </r>
      </text>
    </comment>
    <comment ref="H596" authorId="1" shapeId="0">
      <text>
        <r>
          <rPr>
            <b/>
            <sz val="8"/>
            <color indexed="81"/>
            <rFont val="Tahoma"/>
            <family val="2"/>
          </rPr>
          <t>Adjusted by time difference estimated by difference in length of implement.</t>
        </r>
      </text>
    </comment>
    <comment ref="H597" authorId="1" shapeId="0">
      <text>
        <r>
          <rPr>
            <b/>
            <sz val="8"/>
            <color indexed="81"/>
            <rFont val="Tahoma"/>
            <family val="2"/>
          </rPr>
          <t>Adjusted by time difference estimated by difference in length of implement.</t>
        </r>
      </text>
    </comment>
    <comment ref="H598" authorId="1" shapeId="0">
      <text>
        <r>
          <rPr>
            <sz val="8"/>
            <color indexed="81"/>
            <rFont val="Tahoma"/>
            <family val="2"/>
          </rPr>
          <t>Value for medium model is 0.04</t>
        </r>
      </text>
    </comment>
    <comment ref="R598" authorId="1" shapeId="0">
      <text>
        <r>
          <rPr>
            <sz val="8"/>
            <color indexed="81"/>
            <rFont val="Tahoma"/>
            <family val="2"/>
          </rPr>
          <t>Old value for medium model is 0.105769230769231</t>
        </r>
      </text>
    </comment>
    <comment ref="H599" authorId="1" shapeId="0">
      <text>
        <r>
          <rPr>
            <sz val="8"/>
            <color indexed="81"/>
            <rFont val="Tahoma"/>
            <family val="2"/>
          </rPr>
          <t>Value for medium model is 0.04</t>
        </r>
      </text>
    </comment>
    <comment ref="R599" authorId="1" shapeId="0">
      <text>
        <r>
          <rPr>
            <sz val="8"/>
            <color indexed="81"/>
            <rFont val="Tahoma"/>
            <family val="2"/>
          </rPr>
          <t>Old value for medium model is 0.105769230769231</t>
        </r>
      </text>
    </comment>
    <comment ref="H600" authorId="1" shapeId="0">
      <text>
        <r>
          <rPr>
            <sz val="8"/>
            <color indexed="81"/>
            <rFont val="Tahoma"/>
            <family val="2"/>
          </rPr>
          <t>Value for medium model is 0.04</t>
        </r>
      </text>
    </comment>
    <comment ref="R600" authorId="1" shapeId="0">
      <text>
        <r>
          <rPr>
            <sz val="8"/>
            <color indexed="81"/>
            <rFont val="Tahoma"/>
            <family val="2"/>
          </rPr>
          <t>Old value for medium model is 0.105769230769231</t>
        </r>
      </text>
    </comment>
    <comment ref="B601" authorId="1" shapeId="0">
      <text>
        <r>
          <rPr>
            <sz val="8"/>
            <color indexed="81"/>
            <rFont val="Tahoma"/>
            <family val="2"/>
          </rPr>
          <t>Value for medium model is 0.04</t>
        </r>
      </text>
    </comment>
    <comment ref="D601" authorId="1" shapeId="0">
      <text>
        <r>
          <rPr>
            <b/>
            <sz val="8"/>
            <color indexed="81"/>
            <rFont val="Tahoma"/>
            <family val="2"/>
          </rPr>
          <t>Updated from MN for 90 ft pull-type boom sprayer</t>
        </r>
      </text>
    </comment>
    <comment ref="F601" authorId="1" shapeId="0">
      <text>
        <r>
          <rPr>
            <b/>
            <sz val="8"/>
            <color indexed="81"/>
            <rFont val="Tahoma"/>
            <family val="2"/>
          </rPr>
          <t>Updated from MN for 80 ft self-propelled boom sprayer adjusted up to 100 ft width</t>
        </r>
      </text>
    </comment>
    <comment ref="H601" authorId="1" shapeId="0">
      <text>
        <r>
          <rPr>
            <b/>
            <sz val="8"/>
            <color indexed="81"/>
            <rFont val="Tahoma"/>
            <family val="2"/>
          </rPr>
          <t>Old value for medium model is 0.04</t>
        </r>
      </text>
    </comment>
    <comment ref="L601" authorId="1" shapeId="0">
      <text>
        <r>
          <rPr>
            <b/>
            <sz val="8"/>
            <color indexed="81"/>
            <rFont val="Tahoma"/>
            <family val="2"/>
          </rPr>
          <t>Assume same as medium
Old value:
0.119816426120338
Old value for medium model is 0.105769230769231</t>
        </r>
      </text>
    </comment>
    <comment ref="N601" authorId="1" shapeId="0">
      <text>
        <r>
          <rPr>
            <b/>
            <sz val="8"/>
            <color indexed="81"/>
            <rFont val="Tahoma"/>
            <family val="2"/>
          </rPr>
          <t>Updated from MN for 90 ft pull-type boom sprayer</t>
        </r>
      </text>
    </comment>
    <comment ref="P601" authorId="1" shapeId="0">
      <text>
        <r>
          <rPr>
            <b/>
            <sz val="8"/>
            <color indexed="81"/>
            <rFont val="Tahoma"/>
            <family val="2"/>
          </rPr>
          <t>Updated from MN for 80 ft self-propelled boom sprayer adjusted up to 100 ft width</t>
        </r>
      </text>
    </comment>
    <comment ref="R601" authorId="1" shapeId="0">
      <text>
        <r>
          <rPr>
            <b/>
            <sz val="8"/>
            <color indexed="81"/>
            <rFont val="Tahoma"/>
            <family val="2"/>
          </rPr>
          <t>Old value:
0.119816426120338
Old value for medium model is 0.105769230769231</t>
        </r>
      </text>
    </comment>
    <comment ref="H603" authorId="1" shapeId="0">
      <text>
        <r>
          <rPr>
            <b/>
            <sz val="8"/>
            <color indexed="81"/>
            <rFont val="Tahoma"/>
            <family val="2"/>
          </rPr>
          <t>Old value for medium model is 0.055530551407435</t>
        </r>
      </text>
    </comment>
    <comment ref="R603" authorId="1" shapeId="0">
      <text>
        <r>
          <rPr>
            <sz val="8"/>
            <color indexed="81"/>
            <rFont val="Tahoma"/>
            <family val="2"/>
          </rPr>
          <t>Old value for medium model is 0.105769230769231</t>
        </r>
      </text>
    </comment>
    <comment ref="B606" authorId="1" shapeId="0">
      <text>
        <r>
          <rPr>
            <b/>
            <sz val="8"/>
            <color indexed="81"/>
            <rFont val="Tahoma"/>
            <family val="2"/>
          </rPr>
          <t xml:space="preserve">Adjusted by time difference estimated by difference in length of implement.
</t>
        </r>
      </text>
    </comment>
    <comment ref="D606" authorId="1" shapeId="0">
      <text>
        <r>
          <rPr>
            <b/>
            <sz val="8"/>
            <color indexed="81"/>
            <rFont val="Tahoma"/>
            <family val="2"/>
          </rPr>
          <t>Updated from MN for 30 ft cultivator</t>
        </r>
      </text>
    </comment>
    <comment ref="F606" authorId="1" shapeId="0">
      <text>
        <r>
          <rPr>
            <b/>
            <sz val="8"/>
            <color indexed="81"/>
            <rFont val="Tahoma"/>
            <family val="2"/>
          </rPr>
          <t>Updated from MN for 30 ft cultivator</t>
        </r>
      </text>
    </comment>
    <comment ref="H606" authorId="1" shapeId="0">
      <text>
        <r>
          <rPr>
            <b/>
            <sz val="8"/>
            <color indexed="81"/>
            <rFont val="Tahoma"/>
            <family val="2"/>
          </rPr>
          <t xml:space="preserve">Old value adjusted by time difference estimated by difference in length of implement.
=0.295006054351999*$K$268
</t>
        </r>
      </text>
    </comment>
    <comment ref="L606" authorId="1" shapeId="0">
      <text>
        <r>
          <rPr>
            <b/>
            <sz val="8"/>
            <color indexed="81"/>
            <rFont val="Tahoma"/>
            <family val="2"/>
          </rPr>
          <t xml:space="preserve">Adjusted by time difference estimated by difference in length of implement.
</t>
        </r>
      </text>
    </comment>
    <comment ref="N606" authorId="1" shapeId="0">
      <text>
        <r>
          <rPr>
            <b/>
            <sz val="8"/>
            <color indexed="81"/>
            <rFont val="Tahoma"/>
            <family val="2"/>
          </rPr>
          <t>Updated from MN for 30 ft cultivator</t>
        </r>
      </text>
    </comment>
    <comment ref="P606" authorId="1" shapeId="0">
      <text>
        <r>
          <rPr>
            <b/>
            <sz val="8"/>
            <color indexed="81"/>
            <rFont val="Tahoma"/>
            <family val="2"/>
          </rPr>
          <t>Updated from MN for 30 ft cultivator</t>
        </r>
      </text>
    </comment>
    <comment ref="R606" authorId="1" shapeId="0">
      <text>
        <r>
          <rPr>
            <b/>
            <sz val="8"/>
            <color indexed="81"/>
            <rFont val="Tahoma"/>
            <family val="2"/>
          </rPr>
          <t>Old value updated from MN Extension Excel file "Farm machine estimates" for row cultivator 8 row-30, 20 ft.
0.444852941176471
Old value of 0.602803332298575</t>
        </r>
      </text>
    </comment>
    <comment ref="H607" authorId="1" shapeId="0">
      <text>
        <r>
          <rPr>
            <b/>
            <sz val="8"/>
            <color indexed="81"/>
            <rFont val="Tahoma"/>
            <family val="2"/>
          </rPr>
          <t xml:space="preserve">Adjusted by time difference estimated by difference in length of implement.
</t>
        </r>
        <r>
          <rPr>
            <sz val="8"/>
            <color indexed="81"/>
            <rFont val="Tahoma"/>
            <family val="2"/>
          </rPr>
          <t xml:space="preserve">
</t>
        </r>
      </text>
    </comment>
    <comment ref="R607" authorId="1" shapeId="0">
      <text>
        <r>
          <rPr>
            <sz val="8"/>
            <color indexed="81"/>
            <rFont val="Tahoma"/>
            <family val="2"/>
          </rPr>
          <t xml:space="preserve">Updated from MN Extension Excel file "Farm machine estimates" for  corn head 2 Row, 5 ft for105 HP tractor.
Old value of 4.82098269543168
</t>
        </r>
        <r>
          <rPr>
            <b/>
            <sz val="8"/>
            <color indexed="81"/>
            <rFont val="Tahoma"/>
            <family val="2"/>
          </rPr>
          <t xml:space="preserve">
Old value for medium model is 2.00946428571429</t>
        </r>
      </text>
    </comment>
    <comment ref="B611" authorId="3" shapeId="0">
      <text>
        <r>
          <rPr>
            <b/>
            <sz val="9"/>
            <color indexed="81"/>
            <rFont val="Tahoma"/>
            <charset val="1"/>
          </rPr>
          <t>From cooperating producer</t>
        </r>
      </text>
    </comment>
    <comment ref="D611" authorId="3" shapeId="0">
      <text>
        <r>
          <rPr>
            <b/>
            <sz val="9"/>
            <color indexed="81"/>
            <rFont val="Tahoma"/>
            <charset val="1"/>
          </rPr>
          <t>From cooperating producer</t>
        </r>
      </text>
    </comment>
    <comment ref="F611" authorId="3" shapeId="0">
      <text>
        <r>
          <rPr>
            <b/>
            <sz val="9"/>
            <color indexed="81"/>
            <rFont val="Tahoma"/>
            <charset val="1"/>
          </rPr>
          <t>From cooperating producer</t>
        </r>
      </text>
    </comment>
    <comment ref="H611" authorId="3" shapeId="0">
      <text>
        <r>
          <rPr>
            <b/>
            <sz val="9"/>
            <color indexed="81"/>
            <rFont val="Tahoma"/>
            <charset val="1"/>
          </rPr>
          <t>From cooperating producer</t>
        </r>
      </text>
    </comment>
    <comment ref="L611" authorId="3" shapeId="0">
      <text>
        <r>
          <rPr>
            <b/>
            <sz val="9"/>
            <color indexed="81"/>
            <rFont val="Tahoma"/>
            <charset val="1"/>
          </rPr>
          <t>From cooperating producer</t>
        </r>
      </text>
    </comment>
    <comment ref="N611" authorId="3" shapeId="0">
      <text>
        <r>
          <rPr>
            <b/>
            <sz val="9"/>
            <color indexed="81"/>
            <rFont val="Tahoma"/>
            <charset val="1"/>
          </rPr>
          <t>From cooperating producer</t>
        </r>
      </text>
    </comment>
    <comment ref="P611" authorId="3" shapeId="0">
      <text>
        <r>
          <rPr>
            <b/>
            <sz val="9"/>
            <color indexed="81"/>
            <rFont val="Tahoma"/>
            <charset val="1"/>
          </rPr>
          <t>From cooperating producer</t>
        </r>
      </text>
    </comment>
    <comment ref="R611" authorId="3" shapeId="0">
      <text>
        <r>
          <rPr>
            <b/>
            <sz val="9"/>
            <color indexed="81"/>
            <rFont val="Tahoma"/>
            <charset val="1"/>
          </rPr>
          <t>From cooperating producer</t>
        </r>
      </text>
    </comment>
    <comment ref="H612" authorId="1" shapeId="0">
      <text>
        <r>
          <rPr>
            <b/>
            <sz val="8"/>
            <color indexed="81"/>
            <rFont val="Tahoma"/>
            <family val="2"/>
          </rPr>
          <t>Adjusted by time difference estimated by difference in length of implement.</t>
        </r>
      </text>
    </comment>
    <comment ref="R612" authorId="1" shapeId="0">
      <text>
        <r>
          <rPr>
            <sz val="8"/>
            <color indexed="81"/>
            <rFont val="Tahoma"/>
            <family val="2"/>
          </rPr>
          <t>Updated from MN Extension Excel file "Farm machine estimates" for combine corn hd 6 row-30, 15 ft.  Same fuel use as medium model.
Old value of 2.41049134771584</t>
        </r>
      </text>
    </comment>
    <comment ref="B614" authorId="1" shapeId="0">
      <text>
        <r>
          <rPr>
            <b/>
            <sz val="8"/>
            <color indexed="81"/>
            <rFont val="Tahoma"/>
            <family val="2"/>
          </rPr>
          <t>Use average for small cooperating organic grain and pulse farmer
Old assumption of 75% of value so assumed 75% (3/4) of width so thus takes 4/3 or 1.33 times as long as 15 ft combine head on a 275 HP combine updated from MN
=(1/5.09)*(4/3)</t>
        </r>
      </text>
    </comment>
    <comment ref="D614" authorId="1" shapeId="0">
      <text>
        <r>
          <rPr>
            <b/>
            <sz val="8"/>
            <color indexed="81"/>
            <rFont val="Tahoma"/>
            <family val="2"/>
          </rPr>
          <t>Updated from MN for 15 ft combine head on a 275 HP combine but adjusted upward to combine hours per acre for medium-sized cooperating organic grain and pulse farmer</t>
        </r>
      </text>
    </comment>
    <comment ref="F614" authorId="1" shapeId="0">
      <text>
        <r>
          <rPr>
            <b/>
            <sz val="8"/>
            <color indexed="81"/>
            <rFont val="Tahoma"/>
            <family val="2"/>
          </rPr>
          <t>Updated from MN for 20 ft combine head on a 275 HP combine</t>
        </r>
      </text>
    </comment>
    <comment ref="H614" authorId="1" shapeId="0">
      <text>
        <r>
          <rPr>
            <b/>
            <sz val="8"/>
            <color indexed="81"/>
            <rFont val="Tahoma"/>
            <family val="2"/>
          </rPr>
          <t>Old value adjusted by time difference estimated by difference in length of implement.
=0.590012108703997*$K$322</t>
        </r>
        <r>
          <rPr>
            <sz val="8"/>
            <color indexed="81"/>
            <rFont val="Tahoma"/>
            <family val="2"/>
          </rPr>
          <t xml:space="preserve">
</t>
        </r>
      </text>
    </comment>
    <comment ref="J614" authorId="1" shapeId="0">
      <text>
        <r>
          <rPr>
            <b/>
            <sz val="8"/>
            <color indexed="81"/>
            <rFont val="Tahoma"/>
            <family val="2"/>
          </rPr>
          <t>Based on interview with small-sized organic grain and pulse farmer and an average of very bad (weedy/lodged) and very good</t>
        </r>
      </text>
    </comment>
    <comment ref="L614" authorId="1" shapeId="0">
      <text>
        <r>
          <rPr>
            <b/>
            <sz val="8"/>
            <color indexed="81"/>
            <rFont val="Tahoma"/>
            <family val="2"/>
          </rPr>
          <t>Since assume 75% of value then assume 75% (3/4) of width so thus takes 4/3 or 1.33 times as much as 15 ft combine head on a 275 HP combine updated from MN</t>
        </r>
      </text>
    </comment>
    <comment ref="N614" authorId="1" shapeId="0">
      <text>
        <r>
          <rPr>
            <b/>
            <sz val="8"/>
            <color indexed="81"/>
            <rFont val="Tahoma"/>
            <family val="2"/>
          </rPr>
          <t>Updated from MN for 15 ft combine head on a 275 HP combine</t>
        </r>
      </text>
    </comment>
    <comment ref="P614" authorId="1" shapeId="0">
      <text>
        <r>
          <rPr>
            <b/>
            <sz val="8"/>
            <color indexed="81"/>
            <rFont val="Tahoma"/>
            <family val="2"/>
          </rPr>
          <t>Updated from MN for 20 ft combine head on a 275 HP combine</t>
        </r>
      </text>
    </comment>
    <comment ref="R614" authorId="1" shapeId="0">
      <text>
        <r>
          <rPr>
            <b/>
            <sz val="8"/>
            <color indexed="81"/>
            <rFont val="Tahoma"/>
            <family val="2"/>
          </rPr>
          <t>Old value updated from MN Extension Excel file "Farm machine estimates" for combine grain head 20 ft.
1.48549107142857
Old value of 1.63913411644677</t>
        </r>
      </text>
    </comment>
    <comment ref="B616" authorId="1" shapeId="0">
      <text>
        <r>
          <rPr>
            <b/>
            <sz val="8"/>
            <color indexed="81"/>
            <rFont val="Tahoma"/>
            <family val="2"/>
          </rPr>
          <t>Use average for small cooperating organic grain and pulse farmer
Old assumption of 75% of value so assumed 75% (3/4) of width so thus takes 4/3 or 1.33 times as long as 15 ft combine head on a 275 HP combine updated from MN
=(1/5.09)*(4/3)</t>
        </r>
      </text>
    </comment>
    <comment ref="D616" authorId="1" shapeId="0">
      <text>
        <r>
          <rPr>
            <b/>
            <sz val="8"/>
            <color indexed="81"/>
            <rFont val="Tahoma"/>
            <family val="2"/>
          </rPr>
          <t>Updated from MN for 15 ft combine head on a 275 HP combine but adjusted upward to combine hours per acre for medium-sized cooperating organic grain and pulse farmer</t>
        </r>
      </text>
    </comment>
    <comment ref="F616" authorId="1" shapeId="0">
      <text>
        <r>
          <rPr>
            <b/>
            <sz val="8"/>
            <color indexed="81"/>
            <rFont val="Tahoma"/>
            <family val="2"/>
          </rPr>
          <t>Updated from MN for 20 ft combine head on a 275 HP combine</t>
        </r>
      </text>
    </comment>
    <comment ref="H616" authorId="1" shapeId="0">
      <text>
        <r>
          <rPr>
            <b/>
            <sz val="8"/>
            <color indexed="81"/>
            <rFont val="Tahoma"/>
            <family val="2"/>
          </rPr>
          <t>Old value adjusted by time difference estimated by difference in length of implement.
=0.885018163055996*$K$325</t>
        </r>
      </text>
    </comment>
    <comment ref="J616" authorId="1" shapeId="0">
      <text>
        <r>
          <rPr>
            <b/>
            <sz val="8"/>
            <color indexed="81"/>
            <rFont val="Tahoma"/>
            <family val="2"/>
          </rPr>
          <t>Based on interview with medium-sized organic grain and pulse farmer</t>
        </r>
      </text>
    </comment>
    <comment ref="L616" authorId="1" shapeId="0">
      <text>
        <r>
          <rPr>
            <b/>
            <sz val="8"/>
            <color indexed="81"/>
            <rFont val="Tahoma"/>
            <family val="2"/>
          </rPr>
          <t>Since assume 75% of value then assume 75% (3/4) of width so thus takes 4/3 or 1.33 times as much as 15 ft combine head on a 275 HP combine updated from MN</t>
        </r>
      </text>
    </comment>
    <comment ref="N616" authorId="1" shapeId="0">
      <text>
        <r>
          <rPr>
            <b/>
            <sz val="8"/>
            <color indexed="81"/>
            <rFont val="Tahoma"/>
            <family val="2"/>
          </rPr>
          <t>Updated from MN for 15 ft combine head on a 275 HP combine</t>
        </r>
      </text>
    </comment>
    <comment ref="P616" authorId="1" shapeId="0">
      <text>
        <r>
          <rPr>
            <b/>
            <sz val="8"/>
            <color indexed="81"/>
            <rFont val="Tahoma"/>
            <family val="2"/>
          </rPr>
          <t>Updated from MN for 20 ft combine head on a 275 HP combine</t>
        </r>
      </text>
    </comment>
    <comment ref="R616" authorId="1" shapeId="0">
      <text>
        <r>
          <rPr>
            <b/>
            <sz val="8"/>
            <color indexed="81"/>
            <rFont val="Tahoma"/>
            <family val="2"/>
          </rPr>
          <t>Old value updated from MN Extension Excel file "Farm machine estimates" for combine soybean head 18 ft.  Same fuel use as medium model.
2.20324263038549
Old value of 3.61573702157376</t>
        </r>
      </text>
    </comment>
    <comment ref="H618" authorId="6" shapeId="0">
      <text>
        <r>
          <rPr>
            <sz val="8"/>
            <color indexed="81"/>
            <rFont val="Tahoma"/>
            <family val="2"/>
          </rPr>
          <t xml:space="preserve">Assume 90 hours per acre for 2 harvests where packing in field.
Alabama study where 125 hours per acre for assumed 2 cuts and packing.
Old value from OR assumed 45 hours of labor to harvest broccoli so assumed double of this:
http://arec.oregonstate.edu/oaeb/files/pdf/AEB0003.pdf
</t>
        </r>
      </text>
    </comment>
    <comment ref="J618" authorId="1" shapeId="0">
      <text>
        <r>
          <rPr>
            <b/>
            <sz val="8"/>
            <color indexed="81"/>
            <rFont val="Tahoma"/>
            <family val="2"/>
          </rPr>
          <t>Large assumed MN for 30 ft combine head and 380 HP combine but go with MN figures for 20 ft combine head and 275 HP combine</t>
        </r>
      </text>
    </comment>
    <comment ref="R620" authorId="1" shapeId="0">
      <text>
        <r>
          <rPr>
            <sz val="8"/>
            <color indexed="81"/>
            <rFont val="Tahoma"/>
            <family val="2"/>
          </rPr>
          <t>Assume same as potato harvester without 2 winrowers.
Updated from MN Extension Excel file "Farm machine estimates" for potato harvester, 6 row.  Also assume there are 2 windrowers using 1 gal per acre each.
Old value of 12.0524567385792</t>
        </r>
      </text>
    </comment>
    <comment ref="B624" authorId="3" shapeId="0">
      <text>
        <r>
          <rPr>
            <b/>
            <sz val="9"/>
            <color indexed="81"/>
            <rFont val="Tahoma"/>
            <family val="2"/>
          </rPr>
          <t>Independent of farm size</t>
        </r>
      </text>
    </comment>
    <comment ref="D624" authorId="3" shapeId="0">
      <text>
        <r>
          <rPr>
            <b/>
            <sz val="9"/>
            <color indexed="81"/>
            <rFont val="Tahoma"/>
            <family val="2"/>
          </rPr>
          <t>Independent of farm size</t>
        </r>
      </text>
    </comment>
    <comment ref="F624" authorId="3" shapeId="0">
      <text>
        <r>
          <rPr>
            <b/>
            <sz val="9"/>
            <color indexed="81"/>
            <rFont val="Tahoma"/>
            <family val="2"/>
          </rPr>
          <t>Independent of farm size</t>
        </r>
      </text>
    </comment>
    <comment ref="B626" authorId="3" shapeId="0">
      <text>
        <r>
          <rPr>
            <b/>
            <sz val="9"/>
            <color indexed="81"/>
            <rFont val="Tahoma"/>
            <family val="2"/>
          </rPr>
          <t>Independent of farm size</t>
        </r>
      </text>
    </comment>
    <comment ref="D626" authorId="3" shapeId="0">
      <text>
        <r>
          <rPr>
            <b/>
            <sz val="9"/>
            <color indexed="81"/>
            <rFont val="Tahoma"/>
            <family val="2"/>
          </rPr>
          <t>Independent of farm size</t>
        </r>
      </text>
    </comment>
    <comment ref="F626" authorId="3" shapeId="0">
      <text>
        <r>
          <rPr>
            <b/>
            <sz val="9"/>
            <color indexed="81"/>
            <rFont val="Tahoma"/>
            <family val="2"/>
          </rPr>
          <t>Independent of farm size</t>
        </r>
      </text>
    </comment>
    <comment ref="B628" authorId="3" shapeId="0">
      <text>
        <r>
          <rPr>
            <b/>
            <sz val="9"/>
            <color indexed="81"/>
            <rFont val="Tahoma"/>
            <family val="2"/>
          </rPr>
          <t>Independent of farm size</t>
        </r>
      </text>
    </comment>
    <comment ref="D628" authorId="3" shapeId="0">
      <text>
        <r>
          <rPr>
            <b/>
            <sz val="9"/>
            <color indexed="81"/>
            <rFont val="Tahoma"/>
            <family val="2"/>
          </rPr>
          <t>Independent of farm size</t>
        </r>
      </text>
    </comment>
    <comment ref="F628" authorId="3" shapeId="0">
      <text>
        <r>
          <rPr>
            <b/>
            <sz val="9"/>
            <color indexed="81"/>
            <rFont val="Tahoma"/>
            <family val="2"/>
          </rPr>
          <t>Independent of farm size</t>
        </r>
      </text>
    </comment>
    <comment ref="B630" authorId="3" shapeId="0">
      <text>
        <r>
          <rPr>
            <b/>
            <sz val="9"/>
            <color indexed="81"/>
            <rFont val="Tahoma"/>
            <family val="2"/>
          </rPr>
          <t>Independent of farm size</t>
        </r>
      </text>
    </comment>
    <comment ref="D630" authorId="3" shapeId="0">
      <text>
        <r>
          <rPr>
            <b/>
            <sz val="9"/>
            <color indexed="81"/>
            <rFont val="Tahoma"/>
            <family val="2"/>
          </rPr>
          <t>Independent of farm size</t>
        </r>
      </text>
    </comment>
    <comment ref="F630" authorId="3" shapeId="0">
      <text>
        <r>
          <rPr>
            <b/>
            <sz val="9"/>
            <color indexed="81"/>
            <rFont val="Tahoma"/>
            <family val="2"/>
          </rPr>
          <t>Independent of farm size</t>
        </r>
      </text>
    </comment>
    <comment ref="B632" authorId="3" shapeId="0">
      <text>
        <r>
          <rPr>
            <b/>
            <sz val="9"/>
            <color indexed="81"/>
            <rFont val="Tahoma"/>
            <family val="2"/>
          </rPr>
          <t>Independent of farm size</t>
        </r>
      </text>
    </comment>
    <comment ref="D632" authorId="3" shapeId="0">
      <text>
        <r>
          <rPr>
            <b/>
            <sz val="9"/>
            <color indexed="81"/>
            <rFont val="Tahoma"/>
            <family val="2"/>
          </rPr>
          <t>Independent of farm size</t>
        </r>
      </text>
    </comment>
    <comment ref="F632" authorId="3" shapeId="0">
      <text>
        <r>
          <rPr>
            <b/>
            <sz val="9"/>
            <color indexed="81"/>
            <rFont val="Tahoma"/>
            <family val="2"/>
          </rPr>
          <t>Independent of farm size</t>
        </r>
      </text>
    </comment>
    <comment ref="B634" authorId="3" shapeId="0">
      <text>
        <r>
          <rPr>
            <b/>
            <sz val="9"/>
            <color indexed="81"/>
            <rFont val="Tahoma"/>
            <family val="2"/>
          </rPr>
          <t>Independent of farm size</t>
        </r>
      </text>
    </comment>
    <comment ref="D634" authorId="3" shapeId="0">
      <text>
        <r>
          <rPr>
            <b/>
            <sz val="9"/>
            <color indexed="81"/>
            <rFont val="Tahoma"/>
            <family val="2"/>
          </rPr>
          <t>Independent of farm size</t>
        </r>
      </text>
    </comment>
    <comment ref="F634" authorId="3" shapeId="0">
      <text>
        <r>
          <rPr>
            <b/>
            <sz val="9"/>
            <color indexed="81"/>
            <rFont val="Tahoma"/>
            <family val="2"/>
          </rPr>
          <t>Independent of farm size</t>
        </r>
      </text>
    </comment>
    <comment ref="B636" authorId="3" shapeId="0">
      <text>
        <r>
          <rPr>
            <b/>
            <sz val="9"/>
            <color indexed="81"/>
            <rFont val="Tahoma"/>
            <family val="2"/>
          </rPr>
          <t>Independent of farm size</t>
        </r>
      </text>
    </comment>
    <comment ref="D636" authorId="3" shapeId="0">
      <text>
        <r>
          <rPr>
            <b/>
            <sz val="9"/>
            <color indexed="81"/>
            <rFont val="Tahoma"/>
            <family val="2"/>
          </rPr>
          <t>Independent of farm size</t>
        </r>
      </text>
    </comment>
    <comment ref="F636" authorId="3" shapeId="0">
      <text>
        <r>
          <rPr>
            <b/>
            <sz val="9"/>
            <color indexed="81"/>
            <rFont val="Tahoma"/>
            <family val="2"/>
          </rPr>
          <t>Independent of farm size</t>
        </r>
      </text>
    </comment>
    <comment ref="B638" authorId="3" shapeId="0">
      <text>
        <r>
          <rPr>
            <b/>
            <sz val="9"/>
            <color indexed="81"/>
            <rFont val="Tahoma"/>
            <family val="2"/>
          </rPr>
          <t>Independent of farm size</t>
        </r>
      </text>
    </comment>
    <comment ref="D638" authorId="3" shapeId="0">
      <text>
        <r>
          <rPr>
            <b/>
            <sz val="9"/>
            <color indexed="81"/>
            <rFont val="Tahoma"/>
            <family val="2"/>
          </rPr>
          <t>Independent of farm size</t>
        </r>
      </text>
    </comment>
    <comment ref="F638" authorId="3" shapeId="0">
      <text>
        <r>
          <rPr>
            <b/>
            <sz val="9"/>
            <color indexed="81"/>
            <rFont val="Tahoma"/>
            <family val="2"/>
          </rPr>
          <t>Independent of farm size</t>
        </r>
      </text>
    </comment>
    <comment ref="B640" authorId="3" shapeId="0">
      <text>
        <r>
          <rPr>
            <b/>
            <sz val="9"/>
            <color indexed="81"/>
            <rFont val="Tahoma"/>
            <family val="2"/>
          </rPr>
          <t>Independent of farm size</t>
        </r>
      </text>
    </comment>
    <comment ref="D640" authorId="3" shapeId="0">
      <text>
        <r>
          <rPr>
            <b/>
            <sz val="9"/>
            <color indexed="81"/>
            <rFont val="Tahoma"/>
            <family val="2"/>
          </rPr>
          <t>Independent of farm size</t>
        </r>
      </text>
    </comment>
    <comment ref="F640" authorId="3" shapeId="0">
      <text>
        <r>
          <rPr>
            <b/>
            <sz val="9"/>
            <color indexed="81"/>
            <rFont val="Tahoma"/>
            <family val="2"/>
          </rPr>
          <t>Independent of farm size</t>
        </r>
      </text>
    </comment>
    <comment ref="H640" authorId="3" shapeId="0">
      <text>
        <r>
          <rPr>
            <b/>
            <sz val="9"/>
            <color indexed="81"/>
            <rFont val="Tahoma"/>
            <family val="2"/>
          </rPr>
          <t>Old value:
0.159303269350079</t>
        </r>
      </text>
    </comment>
    <comment ref="R640" authorId="3" shapeId="0">
      <text>
        <r>
          <rPr>
            <b/>
            <sz val="9"/>
            <color indexed="81"/>
            <rFont val="Tahoma"/>
            <family val="2"/>
          </rPr>
          <t>Old value:
0.408268706848293</t>
        </r>
      </text>
    </comment>
    <comment ref="B642" authorId="3" shapeId="0">
      <text>
        <r>
          <rPr>
            <b/>
            <sz val="9"/>
            <color indexed="81"/>
            <rFont val="Tahoma"/>
            <family val="2"/>
          </rPr>
          <t>Independent of farm size</t>
        </r>
      </text>
    </comment>
    <comment ref="D642" authorId="3" shapeId="0">
      <text>
        <r>
          <rPr>
            <b/>
            <sz val="9"/>
            <color indexed="81"/>
            <rFont val="Tahoma"/>
            <family val="2"/>
          </rPr>
          <t>Independent of farm size</t>
        </r>
      </text>
    </comment>
    <comment ref="F642" authorId="3" shapeId="0">
      <text>
        <r>
          <rPr>
            <b/>
            <sz val="9"/>
            <color indexed="81"/>
            <rFont val="Tahoma"/>
            <family val="2"/>
          </rPr>
          <t>Independent of farm size</t>
        </r>
      </text>
    </comment>
    <comment ref="H642" authorId="3" shapeId="0">
      <text>
        <r>
          <rPr>
            <b/>
            <sz val="9"/>
            <color indexed="81"/>
            <rFont val="Tahoma"/>
            <family val="2"/>
          </rPr>
          <t>Old value:
0.159303269350079</t>
        </r>
      </text>
    </comment>
    <comment ref="R642" authorId="3" shapeId="0">
      <text>
        <r>
          <rPr>
            <b/>
            <sz val="9"/>
            <color indexed="81"/>
            <rFont val="Tahoma"/>
            <family val="2"/>
          </rPr>
          <t>Old value:
0.408268706848293</t>
        </r>
      </text>
    </comment>
    <comment ref="H648" authorId="1" shapeId="0">
      <text>
        <r>
          <rPr>
            <b/>
            <sz val="8"/>
            <color indexed="81"/>
            <rFont val="Tahoma"/>
            <family val="2"/>
          </rPr>
          <t>Adjusted by time difference estimated by difference in length of implement.</t>
        </r>
        <r>
          <rPr>
            <sz val="8"/>
            <color indexed="81"/>
            <rFont val="Tahoma"/>
            <family val="2"/>
          </rPr>
          <t xml:space="preserve">
</t>
        </r>
      </text>
    </comment>
    <comment ref="R648" authorId="1" shapeId="0">
      <text>
        <r>
          <rPr>
            <sz val="8"/>
            <color indexed="81"/>
            <rFont val="Tahoma"/>
            <family val="2"/>
          </rPr>
          <t xml:space="preserve">Updated from MN Extension Excel file "Farm machine estimates" for hay rake 9 ft.
Old value of 0.25  
</t>
        </r>
        <r>
          <rPr>
            <b/>
            <sz val="8"/>
            <color indexed="81"/>
            <rFont val="Tahoma"/>
            <family val="2"/>
          </rPr>
          <t>Old value for medium model is 0.0672222222222222</t>
        </r>
      </text>
    </comment>
    <comment ref="R649" authorId="1" shapeId="0">
      <text>
        <r>
          <rPr>
            <sz val="8"/>
            <color indexed="81"/>
            <rFont val="Tahoma"/>
            <family val="2"/>
          </rPr>
          <t>Updated from MN Extension Excel file "Farm machine estimates" for round baler 1000 lb, 20 ft.
Old value of 0.75</t>
        </r>
      </text>
    </comment>
    <comment ref="R653" authorId="1" shapeId="0">
      <text>
        <r>
          <rPr>
            <sz val="8"/>
            <color indexed="81"/>
            <rFont val="Tahoma"/>
            <family val="2"/>
          </rPr>
          <t>Updated from MN Extension Excel file "Farm machine estimates" for hay baler PTO twine 12 ft.
Old value of 0.75</t>
        </r>
      </text>
    </comment>
    <comment ref="J659" authorId="3" shapeId="0">
      <text>
        <r>
          <rPr>
            <b/>
            <sz val="9"/>
            <color indexed="81"/>
            <rFont val="Tahoma"/>
            <family val="2"/>
          </rPr>
          <t>From medium cooperating organic wheat producer but assume this is for small</t>
        </r>
      </text>
    </comment>
    <comment ref="L659" authorId="3" shapeId="0">
      <text>
        <r>
          <rPr>
            <b/>
            <sz val="9"/>
            <color indexed="81"/>
            <rFont val="Tahoma"/>
            <family val="2"/>
          </rPr>
          <t>Assume this</t>
        </r>
      </text>
    </comment>
    <comment ref="N659" authorId="3" shapeId="0">
      <text>
        <r>
          <rPr>
            <b/>
            <sz val="9"/>
            <color indexed="81"/>
            <rFont val="Tahoma"/>
            <family val="2"/>
          </rPr>
          <t>Assume this</t>
        </r>
      </text>
    </comment>
    <comment ref="P659" authorId="3" shapeId="0">
      <text>
        <r>
          <rPr>
            <b/>
            <sz val="9"/>
            <color indexed="81"/>
            <rFont val="Tahoma"/>
            <family val="2"/>
          </rPr>
          <t>Assume this</t>
        </r>
      </text>
    </comment>
    <comment ref="L660" authorId="3" shapeId="0">
      <text>
        <r>
          <rPr>
            <b/>
            <sz val="9"/>
            <color indexed="81"/>
            <rFont val="Tahoma"/>
            <family val="2"/>
          </rPr>
          <t>Assume this</t>
        </r>
      </text>
    </comment>
    <comment ref="N660" authorId="3" shapeId="0">
      <text>
        <r>
          <rPr>
            <b/>
            <sz val="9"/>
            <color indexed="81"/>
            <rFont val="Tahoma"/>
            <family val="2"/>
          </rPr>
          <t>Assume this</t>
        </r>
      </text>
    </comment>
    <comment ref="P660" authorId="3" shapeId="0">
      <text>
        <r>
          <rPr>
            <b/>
            <sz val="9"/>
            <color indexed="81"/>
            <rFont val="Tahoma"/>
            <family val="2"/>
          </rPr>
          <t>Assume this</t>
        </r>
      </text>
    </comment>
    <comment ref="J661" authorId="3" shapeId="0">
      <text>
        <r>
          <rPr>
            <b/>
            <sz val="9"/>
            <color indexed="81"/>
            <rFont val="Tahoma"/>
            <family val="2"/>
          </rPr>
          <t>From small cooperating organic wheat producer but assume this is for medium</t>
        </r>
      </text>
    </comment>
    <comment ref="L661" authorId="3" shapeId="0">
      <text>
        <r>
          <rPr>
            <b/>
            <sz val="9"/>
            <color indexed="81"/>
            <rFont val="Tahoma"/>
            <family val="2"/>
          </rPr>
          <t>Assume this</t>
        </r>
      </text>
    </comment>
    <comment ref="N661" authorId="3" shapeId="0">
      <text>
        <r>
          <rPr>
            <b/>
            <sz val="9"/>
            <color indexed="81"/>
            <rFont val="Tahoma"/>
            <family val="2"/>
          </rPr>
          <t>Assume this</t>
        </r>
      </text>
    </comment>
    <comment ref="P661" authorId="3" shapeId="0">
      <text>
        <r>
          <rPr>
            <b/>
            <sz val="9"/>
            <color indexed="81"/>
            <rFont val="Tahoma"/>
            <family val="2"/>
          </rPr>
          <t>Assume this</t>
        </r>
      </text>
    </comment>
    <comment ref="L662" authorId="3" shapeId="0">
      <text>
        <r>
          <rPr>
            <b/>
            <sz val="9"/>
            <color indexed="81"/>
            <rFont val="Tahoma"/>
            <family val="2"/>
          </rPr>
          <t>Assume this</t>
        </r>
      </text>
    </comment>
    <comment ref="N662" authorId="3" shapeId="0">
      <text>
        <r>
          <rPr>
            <b/>
            <sz val="9"/>
            <color indexed="81"/>
            <rFont val="Tahoma"/>
            <family val="2"/>
          </rPr>
          <t>Assume this</t>
        </r>
      </text>
    </comment>
    <comment ref="P662" authorId="3" shapeId="0">
      <text>
        <r>
          <rPr>
            <b/>
            <sz val="9"/>
            <color indexed="81"/>
            <rFont val="Tahoma"/>
            <family val="2"/>
          </rPr>
          <t>Assume this</t>
        </r>
      </text>
    </comment>
    <comment ref="J663" authorId="3" shapeId="0">
      <text>
        <r>
          <rPr>
            <b/>
            <sz val="9"/>
            <color indexed="81"/>
            <rFont val="Tahoma"/>
            <family val="2"/>
          </rPr>
          <t>Large cleaner does 1,000 bu of barley in 1.5 hour so 1,000bu x 48lb/bu = 48,000 lb /  2,000lb/ton = 24 ton divided by 1.5 to clean so can do 16 tons per hour</t>
        </r>
      </text>
    </comment>
    <comment ref="L663" authorId="3" shapeId="0">
      <text>
        <r>
          <rPr>
            <b/>
            <sz val="9"/>
            <color indexed="81"/>
            <rFont val="Tahoma"/>
            <family val="2"/>
          </rPr>
          <t>Assume this</t>
        </r>
      </text>
    </comment>
    <comment ref="N663" authorId="3" shapeId="0">
      <text>
        <r>
          <rPr>
            <b/>
            <sz val="9"/>
            <color indexed="81"/>
            <rFont val="Tahoma"/>
            <family val="2"/>
          </rPr>
          <t>Assume this</t>
        </r>
      </text>
    </comment>
    <comment ref="P663" authorId="3" shapeId="0">
      <text>
        <r>
          <rPr>
            <b/>
            <sz val="9"/>
            <color indexed="81"/>
            <rFont val="Tahoma"/>
            <family val="2"/>
          </rPr>
          <t>Assume this</t>
        </r>
      </text>
    </comment>
    <comment ref="L664" authorId="3" shapeId="0">
      <text>
        <r>
          <rPr>
            <b/>
            <sz val="9"/>
            <color indexed="81"/>
            <rFont val="Tahoma"/>
            <family val="2"/>
          </rPr>
          <t>Assume this</t>
        </r>
      </text>
    </comment>
    <comment ref="N664" authorId="3" shapeId="0">
      <text>
        <r>
          <rPr>
            <b/>
            <sz val="9"/>
            <color indexed="81"/>
            <rFont val="Tahoma"/>
            <family val="2"/>
          </rPr>
          <t>Assume this</t>
        </r>
      </text>
    </comment>
    <comment ref="P664" authorId="3" shapeId="0">
      <text>
        <r>
          <rPr>
            <b/>
            <sz val="9"/>
            <color indexed="81"/>
            <rFont val="Tahoma"/>
            <family val="2"/>
          </rPr>
          <t>Assume this</t>
        </r>
      </text>
    </comment>
    <comment ref="L665" authorId="3" shapeId="0">
      <text>
        <r>
          <rPr>
            <b/>
            <sz val="9"/>
            <color indexed="81"/>
            <rFont val="Tahoma"/>
            <family val="2"/>
          </rPr>
          <t>Assume this</t>
        </r>
      </text>
    </comment>
    <comment ref="N665" authorId="3" shapeId="0">
      <text>
        <r>
          <rPr>
            <b/>
            <sz val="9"/>
            <color indexed="81"/>
            <rFont val="Tahoma"/>
            <family val="2"/>
          </rPr>
          <t>Assume this</t>
        </r>
      </text>
    </comment>
    <comment ref="P665" authorId="3" shapeId="0">
      <text>
        <r>
          <rPr>
            <b/>
            <sz val="9"/>
            <color indexed="81"/>
            <rFont val="Tahoma"/>
            <family val="2"/>
          </rPr>
          <t>Assume this</t>
        </r>
      </text>
    </comment>
    <comment ref="L666" authorId="3" shapeId="0">
      <text>
        <r>
          <rPr>
            <b/>
            <sz val="9"/>
            <color indexed="81"/>
            <rFont val="Tahoma"/>
            <family val="2"/>
          </rPr>
          <t>Assume this</t>
        </r>
      </text>
    </comment>
    <comment ref="N666" authorId="3" shapeId="0">
      <text>
        <r>
          <rPr>
            <b/>
            <sz val="9"/>
            <color indexed="81"/>
            <rFont val="Tahoma"/>
            <family val="2"/>
          </rPr>
          <t>Assume this</t>
        </r>
      </text>
    </comment>
    <comment ref="P666" authorId="3" shapeId="0">
      <text>
        <r>
          <rPr>
            <b/>
            <sz val="9"/>
            <color indexed="81"/>
            <rFont val="Tahoma"/>
            <family val="2"/>
          </rPr>
          <t>Assume this</t>
        </r>
      </text>
    </comment>
    <comment ref="L667" authorId="3" shapeId="0">
      <text>
        <r>
          <rPr>
            <b/>
            <sz val="9"/>
            <color indexed="81"/>
            <rFont val="Tahoma"/>
            <family val="2"/>
          </rPr>
          <t>Assume this</t>
        </r>
      </text>
    </comment>
    <comment ref="N667" authorId="3" shapeId="0">
      <text>
        <r>
          <rPr>
            <b/>
            <sz val="9"/>
            <color indexed="81"/>
            <rFont val="Tahoma"/>
            <family val="2"/>
          </rPr>
          <t>Assume this</t>
        </r>
      </text>
    </comment>
    <comment ref="P667" authorId="3" shapeId="0">
      <text>
        <r>
          <rPr>
            <b/>
            <sz val="9"/>
            <color indexed="81"/>
            <rFont val="Tahoma"/>
            <family val="2"/>
          </rPr>
          <t>Assume this</t>
        </r>
      </text>
    </comment>
    <comment ref="L668" authorId="3" shapeId="0">
      <text>
        <r>
          <rPr>
            <b/>
            <sz val="9"/>
            <color indexed="81"/>
            <rFont val="Tahoma"/>
            <family val="2"/>
          </rPr>
          <t>Assume this</t>
        </r>
      </text>
    </comment>
    <comment ref="N668" authorId="3" shapeId="0">
      <text>
        <r>
          <rPr>
            <b/>
            <sz val="9"/>
            <color indexed="81"/>
            <rFont val="Tahoma"/>
            <family val="2"/>
          </rPr>
          <t>Assume this</t>
        </r>
      </text>
    </comment>
    <comment ref="P668" authorId="3" shapeId="0">
      <text>
        <r>
          <rPr>
            <b/>
            <sz val="9"/>
            <color indexed="81"/>
            <rFont val="Tahoma"/>
            <family val="2"/>
          </rPr>
          <t>Assume this</t>
        </r>
      </text>
    </comment>
    <comment ref="L669" authorId="3" shapeId="0">
      <text>
        <r>
          <rPr>
            <b/>
            <sz val="9"/>
            <color indexed="81"/>
            <rFont val="Tahoma"/>
            <family val="2"/>
          </rPr>
          <t>Assume this</t>
        </r>
      </text>
    </comment>
    <comment ref="N669" authorId="3" shapeId="0">
      <text>
        <r>
          <rPr>
            <b/>
            <sz val="9"/>
            <color indexed="81"/>
            <rFont val="Tahoma"/>
            <family val="2"/>
          </rPr>
          <t>Assume this</t>
        </r>
      </text>
    </comment>
    <comment ref="P669" authorId="3" shapeId="0">
      <text>
        <r>
          <rPr>
            <b/>
            <sz val="9"/>
            <color indexed="81"/>
            <rFont val="Tahoma"/>
            <family val="2"/>
          </rPr>
          <t>Assume this</t>
        </r>
      </text>
    </comment>
    <comment ref="L670" authorId="3" shapeId="0">
      <text>
        <r>
          <rPr>
            <b/>
            <sz val="9"/>
            <color indexed="81"/>
            <rFont val="Tahoma"/>
            <family val="2"/>
          </rPr>
          <t>Assume this</t>
        </r>
      </text>
    </comment>
    <comment ref="N670" authorId="3" shapeId="0">
      <text>
        <r>
          <rPr>
            <b/>
            <sz val="9"/>
            <color indexed="81"/>
            <rFont val="Tahoma"/>
            <family val="2"/>
          </rPr>
          <t>Assume this</t>
        </r>
      </text>
    </comment>
    <comment ref="P670" authorId="3" shapeId="0">
      <text>
        <r>
          <rPr>
            <b/>
            <sz val="9"/>
            <color indexed="81"/>
            <rFont val="Tahoma"/>
            <family val="2"/>
          </rPr>
          <t>Assume this</t>
        </r>
      </text>
    </comment>
    <comment ref="L671" authorId="3" shapeId="0">
      <text>
        <r>
          <rPr>
            <b/>
            <sz val="9"/>
            <color indexed="81"/>
            <rFont val="Tahoma"/>
            <family val="2"/>
          </rPr>
          <t>Assume this</t>
        </r>
      </text>
    </comment>
    <comment ref="N671" authorId="3" shapeId="0">
      <text>
        <r>
          <rPr>
            <b/>
            <sz val="9"/>
            <color indexed="81"/>
            <rFont val="Tahoma"/>
            <family val="2"/>
          </rPr>
          <t>Assume this</t>
        </r>
      </text>
    </comment>
    <comment ref="P671" authorId="3" shapeId="0">
      <text>
        <r>
          <rPr>
            <b/>
            <sz val="9"/>
            <color indexed="81"/>
            <rFont val="Tahoma"/>
            <family val="2"/>
          </rPr>
          <t>Assume this</t>
        </r>
      </text>
    </comment>
    <comment ref="L672" authorId="3" shapeId="0">
      <text>
        <r>
          <rPr>
            <b/>
            <sz val="9"/>
            <color indexed="81"/>
            <rFont val="Tahoma"/>
            <family val="2"/>
          </rPr>
          <t>Assume this</t>
        </r>
      </text>
    </comment>
    <comment ref="N672" authorId="3" shapeId="0">
      <text>
        <r>
          <rPr>
            <b/>
            <sz val="9"/>
            <color indexed="81"/>
            <rFont val="Tahoma"/>
            <family val="2"/>
          </rPr>
          <t>Assume this</t>
        </r>
      </text>
    </comment>
    <comment ref="P672" authorId="3" shapeId="0">
      <text>
        <r>
          <rPr>
            <b/>
            <sz val="9"/>
            <color indexed="81"/>
            <rFont val="Tahoma"/>
            <family val="2"/>
          </rPr>
          <t>Assume this</t>
        </r>
      </text>
    </comment>
    <comment ref="L673" authorId="3" shapeId="0">
      <text>
        <r>
          <rPr>
            <b/>
            <sz val="9"/>
            <color indexed="81"/>
            <rFont val="Tahoma"/>
            <family val="2"/>
          </rPr>
          <t>Assume this</t>
        </r>
      </text>
    </comment>
    <comment ref="N673" authorId="3" shapeId="0">
      <text>
        <r>
          <rPr>
            <b/>
            <sz val="9"/>
            <color indexed="81"/>
            <rFont val="Tahoma"/>
            <family val="2"/>
          </rPr>
          <t>Assume this</t>
        </r>
      </text>
    </comment>
    <comment ref="P673" authorId="3" shapeId="0">
      <text>
        <r>
          <rPr>
            <b/>
            <sz val="9"/>
            <color indexed="81"/>
            <rFont val="Tahoma"/>
            <family val="2"/>
          </rPr>
          <t>Assume this</t>
        </r>
      </text>
    </comment>
    <comment ref="L674" authorId="3" shapeId="0">
      <text>
        <r>
          <rPr>
            <b/>
            <sz val="9"/>
            <color indexed="81"/>
            <rFont val="Tahoma"/>
            <family val="2"/>
          </rPr>
          <t>Assume this</t>
        </r>
      </text>
    </comment>
    <comment ref="N674" authorId="3" shapeId="0">
      <text>
        <r>
          <rPr>
            <b/>
            <sz val="9"/>
            <color indexed="81"/>
            <rFont val="Tahoma"/>
            <family val="2"/>
          </rPr>
          <t>Assume this</t>
        </r>
      </text>
    </comment>
    <comment ref="P674" authorId="3" shapeId="0">
      <text>
        <r>
          <rPr>
            <b/>
            <sz val="9"/>
            <color indexed="81"/>
            <rFont val="Tahoma"/>
            <family val="2"/>
          </rPr>
          <t>Assume this</t>
        </r>
      </text>
    </comment>
    <comment ref="L675" authorId="3" shapeId="0">
      <text>
        <r>
          <rPr>
            <b/>
            <sz val="9"/>
            <color indexed="81"/>
            <rFont val="Tahoma"/>
            <family val="2"/>
          </rPr>
          <t>Assume this</t>
        </r>
      </text>
    </comment>
    <comment ref="N675" authorId="3" shapeId="0">
      <text>
        <r>
          <rPr>
            <b/>
            <sz val="9"/>
            <color indexed="81"/>
            <rFont val="Tahoma"/>
            <family val="2"/>
          </rPr>
          <t>Assume this</t>
        </r>
      </text>
    </comment>
    <comment ref="P675" authorId="3" shapeId="0">
      <text>
        <r>
          <rPr>
            <b/>
            <sz val="9"/>
            <color indexed="81"/>
            <rFont val="Tahoma"/>
            <family val="2"/>
          </rPr>
          <t>Assume this</t>
        </r>
      </text>
    </comment>
    <comment ref="L676" authorId="3" shapeId="0">
      <text>
        <r>
          <rPr>
            <b/>
            <sz val="9"/>
            <color indexed="81"/>
            <rFont val="Tahoma"/>
            <family val="2"/>
          </rPr>
          <t>Assume this</t>
        </r>
      </text>
    </comment>
    <comment ref="N676" authorId="3" shapeId="0">
      <text>
        <r>
          <rPr>
            <b/>
            <sz val="9"/>
            <color indexed="81"/>
            <rFont val="Tahoma"/>
            <family val="2"/>
          </rPr>
          <t>Assume this</t>
        </r>
      </text>
    </comment>
    <comment ref="P676" authorId="3" shapeId="0">
      <text>
        <r>
          <rPr>
            <b/>
            <sz val="9"/>
            <color indexed="81"/>
            <rFont val="Tahoma"/>
            <family val="2"/>
          </rPr>
          <t>Assume this</t>
        </r>
      </text>
    </comment>
    <comment ref="L677" authorId="3" shapeId="0">
      <text>
        <r>
          <rPr>
            <b/>
            <sz val="9"/>
            <color indexed="81"/>
            <rFont val="Tahoma"/>
            <family val="2"/>
          </rPr>
          <t>Assume this</t>
        </r>
      </text>
    </comment>
    <comment ref="N677" authorId="3" shapeId="0">
      <text>
        <r>
          <rPr>
            <b/>
            <sz val="9"/>
            <color indexed="81"/>
            <rFont val="Tahoma"/>
            <family val="2"/>
          </rPr>
          <t>Assume this</t>
        </r>
      </text>
    </comment>
    <comment ref="P677" authorId="3" shapeId="0">
      <text>
        <r>
          <rPr>
            <b/>
            <sz val="9"/>
            <color indexed="81"/>
            <rFont val="Tahoma"/>
            <family val="2"/>
          </rPr>
          <t>Assume this</t>
        </r>
      </text>
    </comment>
    <comment ref="L678" authorId="3" shapeId="0">
      <text>
        <r>
          <rPr>
            <b/>
            <sz val="9"/>
            <color indexed="81"/>
            <rFont val="Tahoma"/>
            <family val="2"/>
          </rPr>
          <t>Assume this</t>
        </r>
      </text>
    </comment>
    <comment ref="N678" authorId="3" shapeId="0">
      <text>
        <r>
          <rPr>
            <b/>
            <sz val="9"/>
            <color indexed="81"/>
            <rFont val="Tahoma"/>
            <family val="2"/>
          </rPr>
          <t>Assume this</t>
        </r>
      </text>
    </comment>
    <comment ref="P678" authorId="3" shapeId="0">
      <text>
        <r>
          <rPr>
            <b/>
            <sz val="9"/>
            <color indexed="81"/>
            <rFont val="Tahoma"/>
            <family val="2"/>
          </rPr>
          <t>Assume this</t>
        </r>
      </text>
    </comment>
    <comment ref="B679" authorId="3" shapeId="0">
      <text>
        <r>
          <rPr>
            <b/>
            <sz val="9"/>
            <color indexed="81"/>
            <rFont val="Tahoma"/>
            <family val="2"/>
          </rPr>
          <t>Base hours to dry 3,300 bu of grain on Iowa State calculator ($422/$12.29). Adjust to total bushels produced.
=((422/12.29)*(Bb!B14/3300))/barley</t>
        </r>
      </text>
    </comment>
    <comment ref="D679" authorId="3" shapeId="0">
      <text>
        <r>
          <rPr>
            <b/>
            <sz val="9"/>
            <color indexed="81"/>
            <rFont val="Tahoma"/>
            <family val="2"/>
          </rPr>
          <t>Base hours to dry 3,300 bu of grain on Iowa State calculator ($422/$12.29). Adjust to total bushels produced.
=((422/12.29)*(Bb!B14/3300))/barley</t>
        </r>
      </text>
    </comment>
    <comment ref="F679" authorId="3" shapeId="0">
      <text>
        <r>
          <rPr>
            <b/>
            <sz val="9"/>
            <color indexed="81"/>
            <rFont val="Tahoma"/>
            <family val="2"/>
          </rPr>
          <t>Base hours to dry 3,300 bu of grain on Iowa State calculator ($422/$12.29). Adjust to total bushels produced.
=((422/12.29)*(Bb!B14/3300))/barley</t>
        </r>
      </text>
    </comment>
    <comment ref="L679" authorId="3" shapeId="0">
      <text>
        <r>
          <rPr>
            <b/>
            <sz val="9"/>
            <color indexed="81"/>
            <rFont val="Tahoma"/>
            <family val="2"/>
          </rPr>
          <t>Assume this</t>
        </r>
      </text>
    </comment>
    <comment ref="N679" authorId="3" shapeId="0">
      <text>
        <r>
          <rPr>
            <b/>
            <sz val="9"/>
            <color indexed="81"/>
            <rFont val="Tahoma"/>
            <family val="2"/>
          </rPr>
          <t>Assume this</t>
        </r>
      </text>
    </comment>
    <comment ref="P679" authorId="3" shapeId="0">
      <text>
        <r>
          <rPr>
            <b/>
            <sz val="9"/>
            <color indexed="81"/>
            <rFont val="Tahoma"/>
            <family val="2"/>
          </rPr>
          <t>Assume this</t>
        </r>
      </text>
    </comment>
    <comment ref="L680" authorId="3" shapeId="0">
      <text>
        <r>
          <rPr>
            <b/>
            <sz val="9"/>
            <color indexed="81"/>
            <rFont val="Tahoma"/>
            <family val="2"/>
          </rPr>
          <t>Assume this</t>
        </r>
      </text>
    </comment>
    <comment ref="N680" authorId="3" shapeId="0">
      <text>
        <r>
          <rPr>
            <b/>
            <sz val="9"/>
            <color indexed="81"/>
            <rFont val="Tahoma"/>
            <family val="2"/>
          </rPr>
          <t>Assume this</t>
        </r>
      </text>
    </comment>
    <comment ref="P680" authorId="3" shapeId="0">
      <text>
        <r>
          <rPr>
            <b/>
            <sz val="9"/>
            <color indexed="81"/>
            <rFont val="Tahoma"/>
            <family val="2"/>
          </rPr>
          <t>Assume this</t>
        </r>
      </text>
    </comment>
    <comment ref="B681" authorId="3" shapeId="0">
      <text>
        <r>
          <rPr>
            <b/>
            <sz val="9"/>
            <color indexed="81"/>
            <rFont val="Tahoma"/>
            <family val="2"/>
          </rPr>
          <t>Base hours to dry 3,300 bu of grain on Iowa State calculator ($422/$12.29). Adjust to total bushels produced.
=((422/12.29)*(Ob!B14/3300))/oats</t>
        </r>
      </text>
    </comment>
    <comment ref="D681" authorId="3" shapeId="0">
      <text>
        <r>
          <rPr>
            <b/>
            <sz val="9"/>
            <color indexed="81"/>
            <rFont val="Tahoma"/>
            <family val="2"/>
          </rPr>
          <t>Base hours to dry 3,300 bu of grain on Iowa State calculator ($422/$12.29). Adjust to total bushels produced.
=((422/12.29)*(Ob!B14/3300))/oats</t>
        </r>
      </text>
    </comment>
    <comment ref="F681" authorId="3" shapeId="0">
      <text>
        <r>
          <rPr>
            <b/>
            <sz val="9"/>
            <color indexed="81"/>
            <rFont val="Tahoma"/>
            <family val="2"/>
          </rPr>
          <t>Base hours to dry 3,300 bu of grain on Iowa State calculator ($422/$12.29). Adjust to total bushels produced.
=((422/12.29)*(Ob!B14/3300))/oats</t>
        </r>
      </text>
    </comment>
    <comment ref="L681" authorId="3" shapeId="0">
      <text>
        <r>
          <rPr>
            <b/>
            <sz val="9"/>
            <color indexed="81"/>
            <rFont val="Tahoma"/>
            <family val="2"/>
          </rPr>
          <t>Assume this</t>
        </r>
      </text>
    </comment>
    <comment ref="N681" authorId="3" shapeId="0">
      <text>
        <r>
          <rPr>
            <b/>
            <sz val="9"/>
            <color indexed="81"/>
            <rFont val="Tahoma"/>
            <family val="2"/>
          </rPr>
          <t>Assume this</t>
        </r>
      </text>
    </comment>
    <comment ref="P681" authorId="3" shapeId="0">
      <text>
        <r>
          <rPr>
            <b/>
            <sz val="9"/>
            <color indexed="81"/>
            <rFont val="Tahoma"/>
            <family val="2"/>
          </rPr>
          <t>Assume this</t>
        </r>
      </text>
    </comment>
    <comment ref="L682" authorId="3" shapeId="0">
      <text>
        <r>
          <rPr>
            <b/>
            <sz val="9"/>
            <color indexed="81"/>
            <rFont val="Tahoma"/>
            <family val="2"/>
          </rPr>
          <t>Assume this</t>
        </r>
      </text>
    </comment>
    <comment ref="N682" authorId="3" shapeId="0">
      <text>
        <r>
          <rPr>
            <b/>
            <sz val="9"/>
            <color indexed="81"/>
            <rFont val="Tahoma"/>
            <family val="2"/>
          </rPr>
          <t>Assume this</t>
        </r>
      </text>
    </comment>
    <comment ref="P682" authorId="3" shapeId="0">
      <text>
        <r>
          <rPr>
            <b/>
            <sz val="9"/>
            <color indexed="81"/>
            <rFont val="Tahoma"/>
            <family val="2"/>
          </rPr>
          <t>Assume this</t>
        </r>
      </text>
    </comment>
    <comment ref="B683" authorId="3" shapeId="0">
      <text>
        <r>
          <rPr>
            <b/>
            <sz val="9"/>
            <color indexed="81"/>
            <rFont val="Tahoma"/>
            <family val="2"/>
          </rPr>
          <t>Base hours to dry 3,300 bu of grain on Iowa State calculator ($422/$12.29). Adjust to total bushels produced.
=((422/12.29)*(RyeBudget!B13/3300))/rye</t>
        </r>
      </text>
    </comment>
    <comment ref="D683" authorId="3" shapeId="0">
      <text>
        <r>
          <rPr>
            <b/>
            <sz val="9"/>
            <color indexed="81"/>
            <rFont val="Tahoma"/>
            <family val="2"/>
          </rPr>
          <t>Base hours to dry 3,300 bu of grain on Iowa State calculator ($422/$12.29). Adjust to total bushels produced.
=((422/12.29)*(RyeBudget!B13/3300))/rye</t>
        </r>
      </text>
    </comment>
    <comment ref="F683" authorId="3" shapeId="0">
      <text>
        <r>
          <rPr>
            <b/>
            <sz val="9"/>
            <color indexed="81"/>
            <rFont val="Tahoma"/>
            <family val="2"/>
          </rPr>
          <t>Base hours to dry 3,300 bu of grain on Iowa State calculator ($422/$12.29). Adjust to total bushels produced.
=((422/12.29)*(RyeBudget!B13/3300))/rye</t>
        </r>
      </text>
    </comment>
    <comment ref="L683" authorId="3" shapeId="0">
      <text>
        <r>
          <rPr>
            <b/>
            <sz val="9"/>
            <color indexed="81"/>
            <rFont val="Tahoma"/>
            <family val="2"/>
          </rPr>
          <t>Assume this</t>
        </r>
      </text>
    </comment>
    <comment ref="N683" authorId="3" shapeId="0">
      <text>
        <r>
          <rPr>
            <b/>
            <sz val="9"/>
            <color indexed="81"/>
            <rFont val="Tahoma"/>
            <family val="2"/>
          </rPr>
          <t>Assume this</t>
        </r>
      </text>
    </comment>
    <comment ref="P683" authorId="3" shapeId="0">
      <text>
        <r>
          <rPr>
            <b/>
            <sz val="9"/>
            <color indexed="81"/>
            <rFont val="Tahoma"/>
            <family val="2"/>
          </rPr>
          <t>Assume this</t>
        </r>
      </text>
    </comment>
    <comment ref="L684" authorId="3" shapeId="0">
      <text>
        <r>
          <rPr>
            <b/>
            <sz val="9"/>
            <color indexed="81"/>
            <rFont val="Tahoma"/>
            <family val="2"/>
          </rPr>
          <t>Assume this</t>
        </r>
      </text>
    </comment>
    <comment ref="N684" authorId="3" shapeId="0">
      <text>
        <r>
          <rPr>
            <b/>
            <sz val="9"/>
            <color indexed="81"/>
            <rFont val="Tahoma"/>
            <family val="2"/>
          </rPr>
          <t>Assume this</t>
        </r>
      </text>
    </comment>
    <comment ref="P684" authorId="3" shapeId="0">
      <text>
        <r>
          <rPr>
            <b/>
            <sz val="9"/>
            <color indexed="81"/>
            <rFont val="Tahoma"/>
            <family val="2"/>
          </rPr>
          <t>Assume this</t>
        </r>
      </text>
    </comment>
    <comment ref="B685" authorId="3" shapeId="0">
      <text>
        <r>
          <rPr>
            <b/>
            <sz val="9"/>
            <color indexed="81"/>
            <rFont val="Tahoma"/>
            <family val="2"/>
          </rPr>
          <t>Base hours to dry 3,300 bu of grain on Iowa State calculator ($422/$12.29). Adjust to total bushels produced.
=((422/12.29)*(Wb!B14/3300))/wheat</t>
        </r>
      </text>
    </comment>
    <comment ref="D685" authorId="3" shapeId="0">
      <text>
        <r>
          <rPr>
            <b/>
            <sz val="9"/>
            <color indexed="81"/>
            <rFont val="Tahoma"/>
            <family val="2"/>
          </rPr>
          <t>Base hours to dry 3,300 bu of grain on Iowa State calculator ($422/$12.29). Adjust to total bushels produced.
=((422/12.29)*(Wb!B14/3300))/wheat</t>
        </r>
      </text>
    </comment>
    <comment ref="F685" authorId="3" shapeId="0">
      <text>
        <r>
          <rPr>
            <b/>
            <sz val="9"/>
            <color indexed="81"/>
            <rFont val="Tahoma"/>
            <family val="2"/>
          </rPr>
          <t>Base hours to dry 3,300 bu of grain on Iowa State calculator ($422/$12.29). Adjust to total bushels produced.
=((422/12.29)*(Wb!B14/3300))/wheat</t>
        </r>
      </text>
    </comment>
    <comment ref="L685" authorId="3" shapeId="0">
      <text>
        <r>
          <rPr>
            <b/>
            <sz val="9"/>
            <color indexed="81"/>
            <rFont val="Tahoma"/>
            <family val="2"/>
          </rPr>
          <t>Assume this</t>
        </r>
      </text>
    </comment>
    <comment ref="N685" authorId="3" shapeId="0">
      <text>
        <r>
          <rPr>
            <b/>
            <sz val="9"/>
            <color indexed="81"/>
            <rFont val="Tahoma"/>
            <family val="2"/>
          </rPr>
          <t>Assume this</t>
        </r>
      </text>
    </comment>
    <comment ref="P685" authorId="3" shapeId="0">
      <text>
        <r>
          <rPr>
            <b/>
            <sz val="9"/>
            <color indexed="81"/>
            <rFont val="Tahoma"/>
            <family val="2"/>
          </rPr>
          <t>Assume this</t>
        </r>
      </text>
    </comment>
    <comment ref="L686" authorId="3" shapeId="0">
      <text>
        <r>
          <rPr>
            <b/>
            <sz val="9"/>
            <color indexed="81"/>
            <rFont val="Tahoma"/>
            <family val="2"/>
          </rPr>
          <t>Assume this</t>
        </r>
      </text>
    </comment>
    <comment ref="N686" authorId="3" shapeId="0">
      <text>
        <r>
          <rPr>
            <b/>
            <sz val="9"/>
            <color indexed="81"/>
            <rFont val="Tahoma"/>
            <family val="2"/>
          </rPr>
          <t>Assume this</t>
        </r>
      </text>
    </comment>
    <comment ref="P686" authorId="3" shapeId="0">
      <text>
        <r>
          <rPr>
            <b/>
            <sz val="9"/>
            <color indexed="81"/>
            <rFont val="Tahoma"/>
            <family val="2"/>
          </rPr>
          <t>Assume this</t>
        </r>
      </text>
    </comment>
    <comment ref="B687" authorId="3" shapeId="0">
      <text>
        <r>
          <rPr>
            <b/>
            <sz val="9"/>
            <color indexed="81"/>
            <rFont val="Tahoma"/>
            <family val="2"/>
          </rPr>
          <t>Base hours to dry 3,300 bu of grain on Iowa State calculator ($422/$12.29). Adjust to total bushels produced.
=((422/12.29)*(wWb!B14/3300))/wwheat</t>
        </r>
      </text>
    </comment>
    <comment ref="D687" authorId="3" shapeId="0">
      <text>
        <r>
          <rPr>
            <b/>
            <sz val="9"/>
            <color indexed="81"/>
            <rFont val="Tahoma"/>
            <family val="2"/>
          </rPr>
          <t>Base hours to dry 3,300 bu of grain on Iowa State calculator ($422/$12.29). Adjust to total bushels produced.
=((422/12.29)*(wWb!B14/3300))/wwheat</t>
        </r>
      </text>
    </comment>
    <comment ref="F687" authorId="3" shapeId="0">
      <text>
        <r>
          <rPr>
            <b/>
            <sz val="9"/>
            <color indexed="81"/>
            <rFont val="Tahoma"/>
            <family val="2"/>
          </rPr>
          <t>Base hours to dry 3,300 bu of grain on Iowa State calculator ($422/$12.29). Adjust to total bushels produced.
=((422/12.29)*(wWb!B14/3300))/wwheat</t>
        </r>
      </text>
    </comment>
    <comment ref="L687" authorId="3" shapeId="0">
      <text>
        <r>
          <rPr>
            <b/>
            <sz val="9"/>
            <color indexed="81"/>
            <rFont val="Tahoma"/>
            <family val="2"/>
          </rPr>
          <t>Assume this</t>
        </r>
      </text>
    </comment>
    <comment ref="N687" authorId="3" shapeId="0">
      <text>
        <r>
          <rPr>
            <b/>
            <sz val="9"/>
            <color indexed="81"/>
            <rFont val="Tahoma"/>
            <family val="2"/>
          </rPr>
          <t>Assume this</t>
        </r>
      </text>
    </comment>
    <comment ref="P687" authorId="3" shapeId="0">
      <text>
        <r>
          <rPr>
            <b/>
            <sz val="9"/>
            <color indexed="81"/>
            <rFont val="Tahoma"/>
            <family val="2"/>
          </rPr>
          <t>Assume this</t>
        </r>
      </text>
    </comment>
    <comment ref="L688" authorId="3" shapeId="0">
      <text>
        <r>
          <rPr>
            <b/>
            <sz val="9"/>
            <color indexed="81"/>
            <rFont val="Tahoma"/>
            <family val="2"/>
          </rPr>
          <t>Assume this</t>
        </r>
      </text>
    </comment>
    <comment ref="N688" authorId="3" shapeId="0">
      <text>
        <r>
          <rPr>
            <b/>
            <sz val="9"/>
            <color indexed="81"/>
            <rFont val="Tahoma"/>
            <family val="2"/>
          </rPr>
          <t>Assume this</t>
        </r>
      </text>
    </comment>
    <comment ref="P688" authorId="3" shapeId="0">
      <text>
        <r>
          <rPr>
            <b/>
            <sz val="9"/>
            <color indexed="81"/>
            <rFont val="Tahoma"/>
            <family val="2"/>
          </rPr>
          <t>Assume this</t>
        </r>
      </text>
    </comment>
    <comment ref="B689" authorId="3" shapeId="0">
      <text>
        <r>
          <rPr>
            <b/>
            <sz val="9"/>
            <color indexed="81"/>
            <rFont val="Tahoma"/>
            <family val="2"/>
          </rPr>
          <t>Base hours to dry 3,300 bu of grain on Iowa State calculator ($422/$12.29). Adjust to total bushels produced.
=((422/12.29)*(Tb!B14/3300))/triticale</t>
        </r>
      </text>
    </comment>
    <comment ref="D689" authorId="3" shapeId="0">
      <text>
        <r>
          <rPr>
            <b/>
            <sz val="9"/>
            <color indexed="81"/>
            <rFont val="Tahoma"/>
            <family val="2"/>
          </rPr>
          <t>Base hours to dry 3,300 bu of grain on Iowa State calculator ($422/$12.29). Adjust to total bushels produced.
=((422/12.29)*(Tb!B14/3300))/triticale</t>
        </r>
      </text>
    </comment>
    <comment ref="F689" authorId="3" shapeId="0">
      <text>
        <r>
          <rPr>
            <b/>
            <sz val="9"/>
            <color indexed="81"/>
            <rFont val="Tahoma"/>
            <family val="2"/>
          </rPr>
          <t>Base hours to dry 3,300 bu of grain on Iowa State calculator ($422/$12.29). Adjust to total bushels produced.
=((422/12.29)*(Tb!B14/3300))/triticale</t>
        </r>
      </text>
    </comment>
    <comment ref="L689" authorId="3" shapeId="0">
      <text>
        <r>
          <rPr>
            <b/>
            <sz val="9"/>
            <color indexed="81"/>
            <rFont val="Tahoma"/>
            <family val="2"/>
          </rPr>
          <t>Assume this</t>
        </r>
      </text>
    </comment>
    <comment ref="N689" authorId="3" shapeId="0">
      <text>
        <r>
          <rPr>
            <b/>
            <sz val="9"/>
            <color indexed="81"/>
            <rFont val="Tahoma"/>
            <family val="2"/>
          </rPr>
          <t>Assume this</t>
        </r>
      </text>
    </comment>
    <comment ref="P689" authorId="3" shapeId="0">
      <text>
        <r>
          <rPr>
            <b/>
            <sz val="9"/>
            <color indexed="81"/>
            <rFont val="Tahoma"/>
            <family val="2"/>
          </rPr>
          <t>Assume this</t>
        </r>
      </text>
    </comment>
    <comment ref="L690" authorId="3" shapeId="0">
      <text>
        <r>
          <rPr>
            <b/>
            <sz val="9"/>
            <color indexed="81"/>
            <rFont val="Tahoma"/>
            <family val="2"/>
          </rPr>
          <t>Assume this</t>
        </r>
      </text>
    </comment>
    <comment ref="N690" authorId="3" shapeId="0">
      <text>
        <r>
          <rPr>
            <b/>
            <sz val="9"/>
            <color indexed="81"/>
            <rFont val="Tahoma"/>
            <family val="2"/>
          </rPr>
          <t>Assume this</t>
        </r>
      </text>
    </comment>
    <comment ref="P690" authorId="3" shapeId="0">
      <text>
        <r>
          <rPr>
            <b/>
            <sz val="9"/>
            <color indexed="81"/>
            <rFont val="Tahoma"/>
            <family val="2"/>
          </rPr>
          <t>Assume this</t>
        </r>
      </text>
    </comment>
    <comment ref="B691" authorId="3" shapeId="0">
      <text>
        <r>
          <rPr>
            <b/>
            <sz val="9"/>
            <color indexed="81"/>
            <rFont val="Tahoma"/>
            <family val="2"/>
          </rPr>
          <t>Base hours to dry 3,300 bu of grain on Iowa State calculator ($422/$12.29). Adjust to total bushels produced.
=((422/12.29)*(Sb!B14/3300))/spelt</t>
        </r>
      </text>
    </comment>
    <comment ref="D691" authorId="3" shapeId="0">
      <text>
        <r>
          <rPr>
            <b/>
            <sz val="9"/>
            <color indexed="81"/>
            <rFont val="Tahoma"/>
            <family val="2"/>
          </rPr>
          <t>Base hours to dry 3,300 bu of grain on Iowa State calculator ($422/$12.29). Adjust to total bushels produced.
=((422/12.29)*(Sb!B14/3300))/spelt</t>
        </r>
      </text>
    </comment>
    <comment ref="F691" authorId="3" shapeId="0">
      <text>
        <r>
          <rPr>
            <b/>
            <sz val="9"/>
            <color indexed="81"/>
            <rFont val="Tahoma"/>
            <family val="2"/>
          </rPr>
          <t>Base hours to dry 3,300 bu of grain on Iowa State calculator ($422/$12.29). Adjust to total bushels produced.
=((422/12.29)*(Sb!B14/3300))/spelt</t>
        </r>
      </text>
    </comment>
    <comment ref="L691" authorId="3" shapeId="0">
      <text>
        <r>
          <rPr>
            <b/>
            <sz val="9"/>
            <color indexed="81"/>
            <rFont val="Tahoma"/>
            <family val="2"/>
          </rPr>
          <t>Assume this</t>
        </r>
      </text>
    </comment>
    <comment ref="N691" authorId="3" shapeId="0">
      <text>
        <r>
          <rPr>
            <b/>
            <sz val="9"/>
            <color indexed="81"/>
            <rFont val="Tahoma"/>
            <family val="2"/>
          </rPr>
          <t>Assume this</t>
        </r>
      </text>
    </comment>
    <comment ref="P691" authorId="3" shapeId="0">
      <text>
        <r>
          <rPr>
            <b/>
            <sz val="9"/>
            <color indexed="81"/>
            <rFont val="Tahoma"/>
            <family val="2"/>
          </rPr>
          <t>Assume this</t>
        </r>
      </text>
    </comment>
    <comment ref="L692" authorId="3" shapeId="0">
      <text>
        <r>
          <rPr>
            <b/>
            <sz val="9"/>
            <color indexed="81"/>
            <rFont val="Tahoma"/>
            <family val="2"/>
          </rPr>
          <t>Assume this</t>
        </r>
      </text>
    </comment>
    <comment ref="N692" authorId="3" shapeId="0">
      <text>
        <r>
          <rPr>
            <b/>
            <sz val="9"/>
            <color indexed="81"/>
            <rFont val="Tahoma"/>
            <family val="2"/>
          </rPr>
          <t>Assume this</t>
        </r>
      </text>
    </comment>
    <comment ref="P692" authorId="3" shapeId="0">
      <text>
        <r>
          <rPr>
            <b/>
            <sz val="9"/>
            <color indexed="81"/>
            <rFont val="Tahoma"/>
            <family val="2"/>
          </rPr>
          <t>Assume this</t>
        </r>
      </text>
    </comment>
    <comment ref="B693" authorId="3" shapeId="0">
      <text>
        <r>
          <rPr>
            <b/>
            <sz val="9"/>
            <color indexed="81"/>
            <rFont val="Tahoma"/>
            <family val="2"/>
          </rPr>
          <t>Base hours to dry 3,300 bu of grain on Iowa State calculator ($422/$12.29). Adjust to total bushels produced.
=((422/12.29)*(BWb!B10/3300))/buckwheat</t>
        </r>
      </text>
    </comment>
    <comment ref="D693" authorId="3" shapeId="0">
      <text>
        <r>
          <rPr>
            <b/>
            <sz val="9"/>
            <color indexed="81"/>
            <rFont val="Tahoma"/>
            <family val="2"/>
          </rPr>
          <t>Base hours to dry 3,300 bu of grain on Iowa State calculator ($422/$12.29). Adjust to total bushels produced.
=((422/12.29)*(BWb!B10/3300))/buckwheat</t>
        </r>
      </text>
    </comment>
    <comment ref="F693" authorId="3" shapeId="0">
      <text>
        <r>
          <rPr>
            <b/>
            <sz val="9"/>
            <color indexed="81"/>
            <rFont val="Tahoma"/>
            <family val="2"/>
          </rPr>
          <t>Base hours to dry 3,300 bu of grain on Iowa State calculator ($422/$12.29). Adjust to total bushels produced.
=((422/12.29)*(BWb!B10/3300))/buckwheat</t>
        </r>
      </text>
    </comment>
    <comment ref="L693" authorId="3" shapeId="0">
      <text>
        <r>
          <rPr>
            <b/>
            <sz val="9"/>
            <color indexed="81"/>
            <rFont val="Tahoma"/>
            <family val="2"/>
          </rPr>
          <t>Assume this</t>
        </r>
      </text>
    </comment>
    <comment ref="N693" authorId="3" shapeId="0">
      <text>
        <r>
          <rPr>
            <b/>
            <sz val="9"/>
            <color indexed="81"/>
            <rFont val="Tahoma"/>
            <family val="2"/>
          </rPr>
          <t>Assume this</t>
        </r>
      </text>
    </comment>
    <comment ref="P693" authorId="3" shapeId="0">
      <text>
        <r>
          <rPr>
            <b/>
            <sz val="9"/>
            <color indexed="81"/>
            <rFont val="Tahoma"/>
            <family val="2"/>
          </rPr>
          <t>Assume this</t>
        </r>
      </text>
    </comment>
    <comment ref="L694" authorId="3" shapeId="0">
      <text>
        <r>
          <rPr>
            <b/>
            <sz val="9"/>
            <color indexed="81"/>
            <rFont val="Tahoma"/>
            <family val="2"/>
          </rPr>
          <t>Assume this</t>
        </r>
      </text>
    </comment>
    <comment ref="N694" authorId="3" shapeId="0">
      <text>
        <r>
          <rPr>
            <b/>
            <sz val="9"/>
            <color indexed="81"/>
            <rFont val="Tahoma"/>
            <family val="2"/>
          </rPr>
          <t>Assume this</t>
        </r>
      </text>
    </comment>
    <comment ref="P694" authorId="3" shapeId="0">
      <text>
        <r>
          <rPr>
            <b/>
            <sz val="9"/>
            <color indexed="81"/>
            <rFont val="Tahoma"/>
            <family val="2"/>
          </rPr>
          <t>Assume this</t>
        </r>
      </text>
    </comment>
    <comment ref="B695" authorId="3" shapeId="0">
      <text>
        <r>
          <rPr>
            <b/>
            <sz val="9"/>
            <color indexed="81"/>
            <rFont val="Tahoma"/>
            <family val="2"/>
          </rPr>
          <t>Base hours to dry 3,300 bu of grain on Iowa State calculator ($422/$12.29). Adjust to total bushels produced.
=((422/12.29)*(Pb!B10/3300))/peas</t>
        </r>
      </text>
    </comment>
    <comment ref="D695" authorId="3" shapeId="0">
      <text>
        <r>
          <rPr>
            <b/>
            <sz val="9"/>
            <color indexed="81"/>
            <rFont val="Tahoma"/>
            <family val="2"/>
          </rPr>
          <t>Base hours to dry 3,300 bu of grain on Iowa State calculator ($422/$12.29). Adjust to total bushels produced.
=((422/12.29)*(Pb!B10/3300))/peas</t>
        </r>
      </text>
    </comment>
    <comment ref="F695" authorId="3" shapeId="0">
      <text>
        <r>
          <rPr>
            <b/>
            <sz val="9"/>
            <color indexed="81"/>
            <rFont val="Tahoma"/>
            <family val="2"/>
          </rPr>
          <t>Base hours to dry 3,300 bu of grain on Iowa State calculator ($422/$12.29). Adjust to total bushels produced.
=((422/12.29)*(Pb!B10/3300))/peas</t>
        </r>
      </text>
    </comment>
    <comment ref="L695" authorId="3" shapeId="0">
      <text>
        <r>
          <rPr>
            <b/>
            <sz val="9"/>
            <color indexed="81"/>
            <rFont val="Tahoma"/>
            <family val="2"/>
          </rPr>
          <t>Assume this</t>
        </r>
      </text>
    </comment>
    <comment ref="N695" authorId="3" shapeId="0">
      <text>
        <r>
          <rPr>
            <b/>
            <sz val="9"/>
            <color indexed="81"/>
            <rFont val="Tahoma"/>
            <family val="2"/>
          </rPr>
          <t>Assume this</t>
        </r>
      </text>
    </comment>
    <comment ref="P695" authorId="3" shapeId="0">
      <text>
        <r>
          <rPr>
            <b/>
            <sz val="9"/>
            <color indexed="81"/>
            <rFont val="Tahoma"/>
            <family val="2"/>
          </rPr>
          <t>Assume this</t>
        </r>
      </text>
    </comment>
    <comment ref="L696" authorId="3" shapeId="0">
      <text>
        <r>
          <rPr>
            <b/>
            <sz val="9"/>
            <color indexed="81"/>
            <rFont val="Tahoma"/>
            <family val="2"/>
          </rPr>
          <t>Assume this</t>
        </r>
      </text>
    </comment>
    <comment ref="N696" authorId="3" shapeId="0">
      <text>
        <r>
          <rPr>
            <b/>
            <sz val="9"/>
            <color indexed="81"/>
            <rFont val="Tahoma"/>
            <family val="2"/>
          </rPr>
          <t>Assume this</t>
        </r>
      </text>
    </comment>
    <comment ref="P696" authorId="3" shapeId="0">
      <text>
        <r>
          <rPr>
            <b/>
            <sz val="9"/>
            <color indexed="81"/>
            <rFont val="Tahoma"/>
            <family val="2"/>
          </rPr>
          <t>Assume this</t>
        </r>
      </text>
    </comment>
    <comment ref="B697" authorId="3" shapeId="0">
      <text>
        <r>
          <rPr>
            <b/>
            <sz val="9"/>
            <color indexed="81"/>
            <rFont val="Tahoma"/>
            <family val="2"/>
          </rPr>
          <t>Base hours to dry 3,300 bu of grain on Iowa State calculator ($422/$12.29). Adjust to total bushels produced.
=((422/12.29)*(Syb!B10/3300))/soy</t>
        </r>
      </text>
    </comment>
    <comment ref="D697" authorId="3" shapeId="0">
      <text>
        <r>
          <rPr>
            <b/>
            <sz val="9"/>
            <color indexed="81"/>
            <rFont val="Tahoma"/>
            <family val="2"/>
          </rPr>
          <t>Base hours to dry 3,300 bu of grain on Iowa State calculator ($422/$12.29). Adjust to total bushels produced.
=((422/12.29)*(Syb!B10/3300))/soy</t>
        </r>
      </text>
    </comment>
    <comment ref="F697" authorId="3" shapeId="0">
      <text>
        <r>
          <rPr>
            <b/>
            <sz val="9"/>
            <color indexed="81"/>
            <rFont val="Tahoma"/>
            <family val="2"/>
          </rPr>
          <t>Base hours to dry 3,300 bu of grain on Iowa State calculator ($422/$12.29). Adjust to total bushels produced.
=((422/12.29)*(Syb!B10/3300))/soy</t>
        </r>
      </text>
    </comment>
    <comment ref="L697" authorId="3" shapeId="0">
      <text>
        <r>
          <rPr>
            <b/>
            <sz val="9"/>
            <color indexed="81"/>
            <rFont val="Tahoma"/>
            <family val="2"/>
          </rPr>
          <t>Assume this</t>
        </r>
      </text>
    </comment>
    <comment ref="N697" authorId="3" shapeId="0">
      <text>
        <r>
          <rPr>
            <b/>
            <sz val="9"/>
            <color indexed="81"/>
            <rFont val="Tahoma"/>
            <family val="2"/>
          </rPr>
          <t>Assume this</t>
        </r>
      </text>
    </comment>
    <comment ref="P697" authorId="3" shapeId="0">
      <text>
        <r>
          <rPr>
            <b/>
            <sz val="9"/>
            <color indexed="81"/>
            <rFont val="Tahoma"/>
            <family val="2"/>
          </rPr>
          <t>Assume this</t>
        </r>
      </text>
    </comment>
    <comment ref="L698" authorId="3" shapeId="0">
      <text>
        <r>
          <rPr>
            <b/>
            <sz val="9"/>
            <color indexed="81"/>
            <rFont val="Tahoma"/>
            <family val="2"/>
          </rPr>
          <t>Assume this</t>
        </r>
      </text>
    </comment>
    <comment ref="N698" authorId="3" shapeId="0">
      <text>
        <r>
          <rPr>
            <b/>
            <sz val="9"/>
            <color indexed="81"/>
            <rFont val="Tahoma"/>
            <family val="2"/>
          </rPr>
          <t>Assume this</t>
        </r>
      </text>
    </comment>
    <comment ref="P698" authorId="3" shapeId="0">
      <text>
        <r>
          <rPr>
            <b/>
            <sz val="9"/>
            <color indexed="81"/>
            <rFont val="Tahoma"/>
            <family val="2"/>
          </rPr>
          <t>Assume this</t>
        </r>
      </text>
    </comment>
    <comment ref="H699" authorId="1" shapeId="0">
      <text>
        <r>
          <rPr>
            <b/>
            <sz val="8"/>
            <color indexed="81"/>
            <rFont val="Tahoma"/>
            <family val="2"/>
          </rPr>
          <t>Adjusted by time difference estimated by difference in length of implement.</t>
        </r>
      </text>
    </comment>
    <comment ref="R699" authorId="1" shapeId="0">
      <text>
        <r>
          <rPr>
            <sz val="8"/>
            <color indexed="81"/>
            <rFont val="Tahoma"/>
            <family val="2"/>
          </rPr>
          <t>Updated from MN Extension Excel file "Farm machine estimates" for moldboard plow 8 bottom-18, 12 ft.
Old value of 0.811401961273587
Same fuel use as medium model.</t>
        </r>
      </text>
    </comment>
  </commentList>
</comments>
</file>

<file path=xl/comments70.xml><?xml version="1.0" encoding="utf-8"?>
<comments xmlns="http://schemas.openxmlformats.org/spreadsheetml/2006/main">
  <authors>
    <author>REP</author>
    <author>aaron hoshide</author>
  </authors>
  <commentList>
    <comment ref="F6" authorId="0" shapeId="0">
      <text>
        <r>
          <rPr>
            <sz val="8"/>
            <color indexed="81"/>
            <rFont val="Tahoma"/>
            <family val="2"/>
          </rPr>
          <t xml:space="preserve">Assume salvage value for crop production equipment is 25% while farm tractors and vehicles are 50%. </t>
        </r>
      </text>
    </comment>
    <comment ref="C9" authorId="1" shapeId="0">
      <text>
        <r>
          <rPr>
            <sz val="8"/>
            <color indexed="81"/>
            <rFont val="Tahoma"/>
            <family val="2"/>
          </rPr>
          <t>Use for all crops</t>
        </r>
      </text>
    </comment>
    <comment ref="D9" authorId="0" shapeId="0">
      <text>
        <r>
          <rPr>
            <sz val="8"/>
            <color indexed="81"/>
            <rFont val="Tahoma"/>
            <family val="2"/>
          </rPr>
          <t>Assume worth $110,000</t>
        </r>
      </text>
    </comment>
    <comment ref="C12" authorId="1" shapeId="0">
      <text>
        <r>
          <rPr>
            <sz val="8"/>
            <color indexed="81"/>
            <rFont val="Tahoma"/>
            <family val="2"/>
          </rPr>
          <t>Use for all crops except for sudan grass</t>
        </r>
      </text>
    </comment>
    <comment ref="D12" authorId="0" shapeId="0">
      <text>
        <r>
          <rPr>
            <sz val="8"/>
            <color indexed="81"/>
            <rFont val="Tahoma"/>
            <family val="2"/>
          </rPr>
          <t>Assume worth $28,000</t>
        </r>
      </text>
    </comment>
    <comment ref="C15" authorId="1" shapeId="0">
      <text>
        <r>
          <rPr>
            <sz val="8"/>
            <color indexed="81"/>
            <rFont val="Tahoma"/>
            <family val="2"/>
          </rPr>
          <t>Use for all crops except pasture and clover (assumed underseeded in small grain year).</t>
        </r>
      </text>
    </comment>
    <comment ref="D15" authorId="0" shapeId="0">
      <text>
        <r>
          <rPr>
            <sz val="8"/>
            <color indexed="81"/>
            <rFont val="Tahoma"/>
            <family val="2"/>
          </rPr>
          <t>Assume worth $15,800</t>
        </r>
      </text>
    </comment>
    <comment ref="C16" authorId="1" shapeId="0">
      <text>
        <r>
          <rPr>
            <sz val="8"/>
            <color indexed="81"/>
            <rFont val="Tahoma"/>
            <family val="2"/>
          </rPr>
          <t>Use for all crops except pasture and clover (assumed underseeded in small grain year).</t>
        </r>
      </text>
    </comment>
    <comment ref="D16" authorId="1" shapeId="0">
      <text>
        <r>
          <rPr>
            <sz val="8"/>
            <color indexed="81"/>
            <rFont val="Tahoma"/>
            <family val="2"/>
          </rPr>
          <t>Assume worth $12,000</t>
        </r>
      </text>
    </comment>
    <comment ref="C17" authorId="1" shapeId="0">
      <text>
        <r>
          <rPr>
            <sz val="8"/>
            <color indexed="81"/>
            <rFont val="Tahoma"/>
            <family val="2"/>
          </rPr>
          <t>Use for all crops except pasture and clover (assumed underseeded in small grain year).</t>
        </r>
      </text>
    </comment>
    <comment ref="D17" authorId="1" shapeId="0">
      <text>
        <r>
          <rPr>
            <sz val="8"/>
            <color indexed="81"/>
            <rFont val="Tahoma"/>
            <family val="2"/>
          </rPr>
          <t>Assume worth $17,500</t>
        </r>
      </text>
    </comment>
    <comment ref="C20" authorId="1" shapeId="0">
      <text>
        <r>
          <rPr>
            <sz val="8"/>
            <color indexed="81"/>
            <rFont val="Tahoma"/>
            <family val="2"/>
          </rPr>
          <t>Use for all crops except soybeans</t>
        </r>
      </text>
    </comment>
    <comment ref="D20" authorId="1" shapeId="0">
      <text>
        <r>
          <rPr>
            <sz val="8"/>
            <color indexed="81"/>
            <rFont val="Tahoma"/>
            <family val="2"/>
          </rPr>
          <t>Same as conventional small dairy ($3000)</t>
        </r>
      </text>
    </comment>
    <comment ref="C24" authorId="0" shapeId="0">
      <text>
        <r>
          <rPr>
            <sz val="8"/>
            <color indexed="81"/>
            <rFont val="Tahoma"/>
            <family val="2"/>
          </rPr>
          <t>Use for all crops except pasture and clover (assumed underseeded in small grain year).</t>
        </r>
      </text>
    </comment>
    <comment ref="D24" authorId="0" shapeId="0">
      <text>
        <r>
          <rPr>
            <sz val="8"/>
            <color indexed="81"/>
            <rFont val="Tahoma"/>
            <family val="2"/>
          </rPr>
          <t>Assume worth $24,500</t>
        </r>
      </text>
    </comment>
    <comment ref="D27" authorId="1" shapeId="0">
      <text>
        <r>
          <rPr>
            <sz val="8"/>
            <color indexed="81"/>
            <rFont val="Tahoma"/>
            <family val="2"/>
          </rPr>
          <t>Assume same as conventional medium/large potato farm</t>
        </r>
      </text>
    </comment>
    <comment ref="D28" authorId="1" shapeId="0">
      <text>
        <r>
          <rPr>
            <sz val="8"/>
            <color indexed="81"/>
            <rFont val="Tahoma"/>
            <family val="2"/>
          </rPr>
          <t>Assume same as conventional medium/large potato farm</t>
        </r>
      </text>
    </comment>
    <comment ref="D29" authorId="1" shapeId="0">
      <text>
        <r>
          <rPr>
            <sz val="8"/>
            <color indexed="81"/>
            <rFont val="Tahoma"/>
            <family val="2"/>
          </rPr>
          <t>Assume same as conventional medium/large potato farm</t>
        </r>
      </text>
    </comment>
    <comment ref="D30" authorId="1" shapeId="0">
      <text>
        <r>
          <rPr>
            <sz val="8"/>
            <color indexed="81"/>
            <rFont val="Tahoma"/>
            <family val="2"/>
          </rPr>
          <t>Assume same as conventional medium/large potato farm</t>
        </r>
      </text>
    </comment>
    <comment ref="D31" authorId="1" shapeId="0">
      <text>
        <r>
          <rPr>
            <sz val="8"/>
            <color indexed="81"/>
            <rFont val="Tahoma"/>
            <family val="2"/>
          </rPr>
          <t>Assume same as conventional medium/large potato farm</t>
        </r>
      </text>
    </comment>
    <comment ref="C34" authorId="1" shapeId="0">
      <text>
        <r>
          <rPr>
            <sz val="8"/>
            <color indexed="81"/>
            <rFont val="Tahoma"/>
            <family val="2"/>
          </rPr>
          <t>Use for grain corn, barley, oats, and soybeans</t>
        </r>
      </text>
    </comment>
    <comment ref="D34" authorId="0" shapeId="0">
      <text>
        <r>
          <rPr>
            <sz val="8"/>
            <color indexed="81"/>
            <rFont val="Tahoma"/>
            <family val="2"/>
          </rPr>
          <t>Assume $25,000 for combine</t>
        </r>
      </text>
    </comment>
    <comment ref="C37" authorId="0" shapeId="0">
      <text>
        <r>
          <rPr>
            <sz val="8"/>
            <color indexed="81"/>
            <rFont val="Tahoma"/>
            <family val="2"/>
          </rPr>
          <t>Use for all crops</t>
        </r>
      </text>
    </comment>
    <comment ref="D37" authorId="0" shapeId="0">
      <text>
        <r>
          <rPr>
            <sz val="8"/>
            <color indexed="81"/>
            <rFont val="Tahoma"/>
            <family val="2"/>
          </rPr>
          <t>Assume worth $100</t>
        </r>
      </text>
    </comment>
    <comment ref="C38" authorId="0" shapeId="0">
      <text>
        <r>
          <rPr>
            <sz val="8"/>
            <color indexed="81"/>
            <rFont val="Tahoma"/>
            <family val="2"/>
          </rPr>
          <t>Use for all crops</t>
        </r>
      </text>
    </comment>
    <comment ref="D38" authorId="0" shapeId="0">
      <text>
        <r>
          <rPr>
            <sz val="8"/>
            <color indexed="81"/>
            <rFont val="Tahoma"/>
            <family val="2"/>
          </rPr>
          <t>Assume worth $1000</t>
        </r>
      </text>
    </comment>
    <comment ref="C45" authorId="1" shapeId="0">
      <text>
        <r>
          <rPr>
            <sz val="8"/>
            <color indexed="81"/>
            <rFont val="Tahoma"/>
            <family val="2"/>
          </rPr>
          <t>Use for all crops</t>
        </r>
      </text>
    </comment>
    <comment ref="D45" authorId="0" shapeId="0">
      <text>
        <r>
          <rPr>
            <sz val="8"/>
            <color indexed="81"/>
            <rFont val="Tahoma"/>
            <family val="2"/>
          </rPr>
          <t>Assume worth half as much as conventional large potato farm ($128,000)</t>
        </r>
      </text>
    </comment>
  </commentList>
</comments>
</file>

<file path=xl/comments71.xml><?xml version="1.0" encoding="utf-8"?>
<comments xmlns="http://schemas.openxmlformats.org/spreadsheetml/2006/main">
  <authors>
    <author>aaron hoshide</author>
  </authors>
  <commentList>
    <comment ref="A26" authorId="0" shapeId="0">
      <text>
        <r>
          <rPr>
            <sz val="8"/>
            <color indexed="81"/>
            <rFont val="Tahoma"/>
            <family val="2"/>
          </rPr>
          <t>Includes promotion tax and leased land</t>
        </r>
      </text>
    </comment>
  </commentList>
</comments>
</file>

<file path=xl/comments8.xml><?xml version="1.0" encoding="utf-8"?>
<comments xmlns="http://schemas.openxmlformats.org/spreadsheetml/2006/main">
  <authors>
    <author>aaron hoshide</author>
  </authors>
  <commentList>
    <comment ref="A29" authorId="0" shapeId="0">
      <text>
        <r>
          <rPr>
            <sz val="8"/>
            <color indexed="81"/>
            <rFont val="Tahoma"/>
            <family val="2"/>
          </rPr>
          <t>Includes promotion tax and leased land</t>
        </r>
      </text>
    </comment>
    <comment ref="A134" authorId="0" shapeId="0">
      <text>
        <r>
          <rPr>
            <sz val="8"/>
            <color indexed="81"/>
            <rFont val="Tahoma"/>
            <family val="2"/>
          </rPr>
          <t>Includes promotion tax and leased land</t>
        </r>
      </text>
    </comment>
  </commentList>
</comments>
</file>

<file path=xl/comments9.xml><?xml version="1.0" encoding="utf-8"?>
<comments xmlns="http://schemas.openxmlformats.org/spreadsheetml/2006/main">
  <authors>
    <author>aaron hoshide</author>
  </authors>
  <commentList>
    <comment ref="A29" authorId="0" shapeId="0">
      <text>
        <r>
          <rPr>
            <sz val="8"/>
            <color indexed="81"/>
            <rFont val="Tahoma"/>
            <family val="2"/>
          </rPr>
          <t>Includes promotion tax and leased land</t>
        </r>
      </text>
    </comment>
    <comment ref="A134" authorId="0" shapeId="0">
      <text>
        <r>
          <rPr>
            <sz val="8"/>
            <color indexed="81"/>
            <rFont val="Tahoma"/>
            <family val="2"/>
          </rPr>
          <t>Includes promotion tax and leased land</t>
        </r>
      </text>
    </comment>
  </commentList>
</comments>
</file>

<file path=xl/sharedStrings.xml><?xml version="1.0" encoding="utf-8"?>
<sst xmlns="http://schemas.openxmlformats.org/spreadsheetml/2006/main" count="18951" uniqueCount="2280">
  <si>
    <t>Category</t>
  </si>
  <si>
    <t>Fertilizer</t>
  </si>
  <si>
    <t>Lime</t>
  </si>
  <si>
    <t>Tractor(s)</t>
  </si>
  <si>
    <t>Planting Equipment</t>
  </si>
  <si>
    <t>Seed Treater</t>
  </si>
  <si>
    <t>Tillage Equipment</t>
  </si>
  <si>
    <t>Spraying Equipment</t>
  </si>
  <si>
    <t>Water Truck</t>
  </si>
  <si>
    <t>Harvesting Equipment</t>
  </si>
  <si>
    <t>Potato House Equipment</t>
  </si>
  <si>
    <t>Building</t>
  </si>
  <si>
    <t>Land</t>
  </si>
  <si>
    <t>Seed</t>
  </si>
  <si>
    <t>Labor</t>
  </si>
  <si>
    <t>Fungicides</t>
  </si>
  <si>
    <t>Insecticides</t>
  </si>
  <si>
    <t>Herbicides</t>
  </si>
  <si>
    <t>Vine Dessicant</t>
  </si>
  <si>
    <t>Management Fee</t>
  </si>
  <si>
    <t>Lube</t>
  </si>
  <si>
    <t>Quantity per Acre</t>
  </si>
  <si>
    <t>Unit</t>
  </si>
  <si>
    <t>Price or Cost/Unit</t>
  </si>
  <si>
    <t>Value or Cost/Acre</t>
  </si>
  <si>
    <t>Round White Seed</t>
  </si>
  <si>
    <t>ton</t>
  </si>
  <si>
    <t xml:space="preserve">  Reglone (Diquat)</t>
  </si>
  <si>
    <t>Salvage Value</t>
  </si>
  <si>
    <t>Depreciation and Interest</t>
  </si>
  <si>
    <t>Maintenance and Upkeep %</t>
  </si>
  <si>
    <t>Maintenance and Upkeep Charge $</t>
  </si>
  <si>
    <t>Tax and Insurance %</t>
  </si>
  <si>
    <t>Tax and Insurance Charge $</t>
  </si>
  <si>
    <t>Annual Ownership Cost $</t>
  </si>
  <si>
    <t>Trucks</t>
  </si>
  <si>
    <t>Quantity</t>
  </si>
  <si>
    <t>truck</t>
  </si>
  <si>
    <t>Useful Life (years)</t>
  </si>
  <si>
    <t>3/4 Ton Farm Pickup</t>
  </si>
  <si>
    <t>treater</t>
  </si>
  <si>
    <t>planter</t>
  </si>
  <si>
    <t>filler</t>
  </si>
  <si>
    <t>cultivator</t>
  </si>
  <si>
    <t>harvester</t>
  </si>
  <si>
    <t>n/a</t>
  </si>
  <si>
    <t>skidsteer</t>
  </si>
  <si>
    <t>conveyor</t>
  </si>
  <si>
    <t>Hopper</t>
  </si>
  <si>
    <t>hopper</t>
  </si>
  <si>
    <t>tractor</t>
  </si>
  <si>
    <t>building</t>
  </si>
  <si>
    <t>Conveyors</t>
  </si>
  <si>
    <t>Maine Information</t>
  </si>
  <si>
    <t>Maine tax and insurance rate</t>
  </si>
  <si>
    <t>Farm Information</t>
  </si>
  <si>
    <t>Diesel price ($/gallon)</t>
  </si>
  <si>
    <t>Potato Price ($/cwt)</t>
  </si>
  <si>
    <t>Key Information</t>
  </si>
  <si>
    <t>Total Farmland</t>
  </si>
  <si>
    <t>Owned Land</t>
  </si>
  <si>
    <t>Potato Acreage</t>
  </si>
  <si>
    <t>Input Prices and Technical Coefficients</t>
  </si>
  <si>
    <t>Item</t>
  </si>
  <si>
    <t>Misc. Ownership Costs</t>
  </si>
  <si>
    <t>Total Cost</t>
  </si>
  <si>
    <t>Diesel Fuel</t>
  </si>
  <si>
    <t>Machinery Repair from "Ownership Costs" Sheet</t>
  </si>
  <si>
    <t>Total Ownership Costs</t>
  </si>
  <si>
    <t>Interest</t>
  </si>
  <si>
    <t>Operating Credit Rate</t>
  </si>
  <si>
    <t>Number of Months of Loan</t>
  </si>
  <si>
    <t>Total Interest Cost ($)</t>
  </si>
  <si>
    <t>Total Pre-Interest Operating Costs</t>
  </si>
  <si>
    <t>Total Operating Costs</t>
  </si>
  <si>
    <t>Crop Insurance</t>
  </si>
  <si>
    <t>Total</t>
  </si>
  <si>
    <t>Per Acre</t>
  </si>
  <si>
    <t>Maintenance and Upkeep</t>
  </si>
  <si>
    <t>Tax and Insurance</t>
  </si>
  <si>
    <t>Total Annual Cost</t>
  </si>
  <si>
    <t>rented land</t>
  </si>
  <si>
    <t xml:space="preserve">*If yield increased by 49cwt, then the additional fuel need </t>
  </si>
  <si>
    <t>is equal to (49/267)*8.82 = 1.618652</t>
  </si>
  <si>
    <t xml:space="preserve">*If yield target is increased by 49cwt, then the additional labor need </t>
  </si>
  <si>
    <t>*If yield target is increased by 49cwt, then the additional nitrogen need</t>
  </si>
  <si>
    <t>**Side-dress Nitrogen</t>
  </si>
  <si>
    <t>is equal to 60 lbs./acre or .03 tons/acre</t>
  </si>
  <si>
    <t>Culls</t>
  </si>
  <si>
    <t>With Irrigation</t>
  </si>
  <si>
    <t>Response</t>
  </si>
  <si>
    <t>Forested Land</t>
  </si>
  <si>
    <t xml:space="preserve">Scale: </t>
  </si>
  <si>
    <t>acres</t>
  </si>
  <si>
    <t>Cost/Unit (Current value)</t>
  </si>
  <si>
    <t>Total Current Value</t>
  </si>
  <si>
    <t>Seed Cutter</t>
  </si>
  <si>
    <t>cutter</t>
  </si>
  <si>
    <t>Annual Potato Budget</t>
  </si>
  <si>
    <t>Potato Ownership Costs</t>
  </si>
  <si>
    <t>Potato Operating Costs</t>
  </si>
  <si>
    <t>Barley Ownership Costs</t>
  </si>
  <si>
    <t>Barley Operating Costs</t>
  </si>
  <si>
    <t>Annual Barley Budget</t>
  </si>
  <si>
    <t>Potato</t>
  </si>
  <si>
    <t>Barley</t>
  </si>
  <si>
    <t>Crop</t>
  </si>
  <si>
    <t>Acres</t>
  </si>
  <si>
    <t>Prop.</t>
  </si>
  <si>
    <t xml:space="preserve">        Owned Acreage</t>
  </si>
  <si>
    <t>sprayer</t>
  </si>
  <si>
    <t>cwt</t>
  </si>
  <si>
    <t xml:space="preserve">lb  </t>
  </si>
  <si>
    <t xml:space="preserve">pt </t>
  </si>
  <si>
    <t xml:space="preserve">oz </t>
  </si>
  <si>
    <t xml:space="preserve">hr </t>
  </si>
  <si>
    <t xml:space="preserve">gal </t>
  </si>
  <si>
    <t xml:space="preserve">gal  </t>
  </si>
  <si>
    <t xml:space="preserve">  Sprout Stop (MH)</t>
  </si>
  <si>
    <t>gal</t>
  </si>
  <si>
    <t xml:space="preserve">  Asana XL</t>
  </si>
  <si>
    <t>Share wt.price</t>
  </si>
  <si>
    <t>Grain Drill</t>
  </si>
  <si>
    <t>grain drill</t>
  </si>
  <si>
    <t xml:space="preserve"> </t>
  </si>
  <si>
    <t>Clover</t>
  </si>
  <si>
    <t xml:space="preserve">lb </t>
  </si>
  <si>
    <t>Herbicides (MCPA Amine)</t>
  </si>
  <si>
    <t xml:space="preserve">hr  </t>
  </si>
  <si>
    <t>Rented</t>
  </si>
  <si>
    <t>Barley Price ($/bu)</t>
  </si>
  <si>
    <t>W/o irrigation (bu/acre)</t>
  </si>
  <si>
    <t>Combine</t>
  </si>
  <si>
    <t>Equipment (Potato)</t>
  </si>
  <si>
    <t>Land (Potato)</t>
  </si>
  <si>
    <t>Buildings (Potato)</t>
  </si>
  <si>
    <t>Assets</t>
  </si>
  <si>
    <t>Total Investment</t>
  </si>
  <si>
    <t>Total Investment (Potato)</t>
  </si>
  <si>
    <t>Equipment (Barley)</t>
  </si>
  <si>
    <t>Land (Barley)</t>
  </si>
  <si>
    <t>Buildings (Barley)</t>
  </si>
  <si>
    <t>Equipment</t>
  </si>
  <si>
    <t>Buildings</t>
  </si>
  <si>
    <t>Inventory</t>
  </si>
  <si>
    <t>Total Investment (Barley)</t>
  </si>
  <si>
    <t>Model:</t>
  </si>
  <si>
    <t>Yield</t>
  </si>
  <si>
    <t>W/o irrigation</t>
  </si>
  <si>
    <t>Average Total Yield</t>
  </si>
  <si>
    <t>Number One Yield</t>
  </si>
  <si>
    <t>Number Two Yield</t>
  </si>
  <si>
    <t>Number One</t>
  </si>
  <si>
    <t>Number Two</t>
  </si>
  <si>
    <t xml:space="preserve">Owned </t>
  </si>
  <si>
    <t>Percent</t>
  </si>
  <si>
    <t>Other Land</t>
  </si>
  <si>
    <t>Rotation</t>
  </si>
  <si>
    <t>Labor Wage Rate for Labor  ($/hour)</t>
  </si>
  <si>
    <t>Bulk Body Trucks</t>
  </si>
  <si>
    <t>Harvester</t>
  </si>
  <si>
    <t>Windrower</t>
  </si>
  <si>
    <t>windrowers</t>
  </si>
  <si>
    <t>Skidsteer</t>
  </si>
  <si>
    <t>Hr/Acre</t>
  </si>
  <si>
    <t xml:space="preserve">  Admire in Furrow</t>
  </si>
  <si>
    <t>oz.</t>
  </si>
  <si>
    <t>Irrigation</t>
  </si>
  <si>
    <t>Additional fuel</t>
  </si>
  <si>
    <t>Diesel Fuel and Oil</t>
  </si>
  <si>
    <t>Supplies</t>
  </si>
  <si>
    <t>Insurance</t>
  </si>
  <si>
    <t>Miscellaneous</t>
  </si>
  <si>
    <t>Miscellaneous Costs:</t>
  </si>
  <si>
    <t xml:space="preserve">     Leased Land</t>
  </si>
  <si>
    <t>Utilities</t>
  </si>
  <si>
    <t>Custom Hire</t>
  </si>
  <si>
    <t>Rent or Lease</t>
  </si>
  <si>
    <t>Freight and Trucking</t>
  </si>
  <si>
    <t>Storage and Warehousing</t>
  </si>
  <si>
    <t>Other Expenses</t>
  </si>
  <si>
    <t xml:space="preserve">     Promotion Tax</t>
  </si>
  <si>
    <t>Yield (cwt/acre)</t>
  </si>
  <si>
    <t>Irrigation Equipment</t>
  </si>
  <si>
    <t>irrig.travel</t>
  </si>
  <si>
    <t>irrig.pumps</t>
  </si>
  <si>
    <t>Irrigation Travel Guns</t>
  </si>
  <si>
    <t>Irrigation Pumps</t>
  </si>
  <si>
    <t>Irrigation Power Unit</t>
  </si>
  <si>
    <t>irrig.power</t>
  </si>
  <si>
    <t>Irrigation PTO Pump</t>
  </si>
  <si>
    <t>irrig.pto</t>
  </si>
  <si>
    <t>Assume no additional storage costs for irrigation (Sufficient capacity)</t>
  </si>
  <si>
    <t>Assume no additional utilities costs for irrigation (Sufficient capacity)</t>
  </si>
  <si>
    <t>(4 harvest workers required in enterprise budget)</t>
  </si>
  <si>
    <t>oz</t>
  </si>
  <si>
    <t>Rock Picker</t>
  </si>
  <si>
    <t>rock picker</t>
  </si>
  <si>
    <t>Bin Piler</t>
  </si>
  <si>
    <t>bin piler</t>
  </si>
  <si>
    <t>Silage Corn</t>
  </si>
  <si>
    <t>Soybeans</t>
  </si>
  <si>
    <t>Annual Corn Silage Budget</t>
  </si>
  <si>
    <t>Corn Silage Operating Costs</t>
  </si>
  <si>
    <t>Corn Silage Ownership Costs</t>
  </si>
  <si>
    <t>N/A</t>
  </si>
  <si>
    <t xml:space="preserve">Fertilizer Spreader </t>
  </si>
  <si>
    <t>fert.spread</t>
  </si>
  <si>
    <t>Chopper</t>
  </si>
  <si>
    <t>chopper</t>
  </si>
  <si>
    <t>Annual Soybean Budget</t>
  </si>
  <si>
    <t>Soybean Operating Costs</t>
  </si>
  <si>
    <t>Soybean Ownership Costs</t>
  </si>
  <si>
    <t>Equipment (Silage Corn)</t>
  </si>
  <si>
    <t>Land (Silage Corn)</t>
  </si>
  <si>
    <t>Buildings (Silage Corn)</t>
  </si>
  <si>
    <t>Total Investment (Silage Corn)</t>
  </si>
  <si>
    <t>seed</t>
  </si>
  <si>
    <t>Corn Starter</t>
  </si>
  <si>
    <t>Herbicides (Atrazine)</t>
  </si>
  <si>
    <t>lb</t>
  </si>
  <si>
    <t>Herbicides (Prowl)</t>
  </si>
  <si>
    <t>W/o irrigation (ton/acre)</t>
  </si>
  <si>
    <t>Soybean Price ($/bu)</t>
  </si>
  <si>
    <t xml:space="preserve">     Other Rental</t>
  </si>
  <si>
    <t>other rentals</t>
  </si>
  <si>
    <t xml:space="preserve"> Misc. Overhead</t>
  </si>
  <si>
    <t xml:space="preserve">Irrigation Center Pivot </t>
  </si>
  <si>
    <t>irrig.cp</t>
  </si>
  <si>
    <t xml:space="preserve">   (Number twos and culls)</t>
  </si>
  <si>
    <t>Annual Revenue</t>
  </si>
  <si>
    <t>Per Cwt</t>
  </si>
  <si>
    <t xml:space="preserve">Yield: </t>
  </si>
  <si>
    <t>cwt/acre</t>
  </si>
  <si>
    <t>Performance Measures</t>
  </si>
  <si>
    <t>ton/acre</t>
  </si>
  <si>
    <t>bu/acre</t>
  </si>
  <si>
    <t>Storage Equipment</t>
  </si>
  <si>
    <t>auger</t>
  </si>
  <si>
    <t>dryer</t>
  </si>
  <si>
    <t>Grain Roller</t>
  </si>
  <si>
    <t>roller</t>
  </si>
  <si>
    <t>Cost/ton to process soybeans</t>
  </si>
  <si>
    <t>is equal to (49/267)*2.33 = .427603</t>
  </si>
  <si>
    <t>*If get yield positive or negative yield response from integration</t>
  </si>
  <si>
    <t>% Yield Increase</t>
  </si>
  <si>
    <t>lb/acre</t>
  </si>
  <si>
    <t xml:space="preserve">    If yield target is increased</t>
  </si>
  <si>
    <t>At Plant Fertilizer</t>
  </si>
  <si>
    <t>Side dress</t>
  </si>
  <si>
    <t>Side-dress</t>
  </si>
  <si>
    <t>At Plant Urea</t>
  </si>
  <si>
    <t>Side Dress Urea</t>
  </si>
  <si>
    <t xml:space="preserve">Land Rent </t>
  </si>
  <si>
    <t>/acre</t>
  </si>
  <si>
    <t>Short Term</t>
  </si>
  <si>
    <t>Long Term</t>
  </si>
  <si>
    <t>Integration Duration</t>
  </si>
  <si>
    <t>Haylage</t>
  </si>
  <si>
    <t>Mower-cond.</t>
  </si>
  <si>
    <t>mower-cond.</t>
  </si>
  <si>
    <t>square baler</t>
  </si>
  <si>
    <t>Equipment (Hay)</t>
  </si>
  <si>
    <t>Land (Hay)</t>
  </si>
  <si>
    <t>Buildings (Hay)</t>
  </si>
  <si>
    <t>Total Investment (Hay)</t>
  </si>
  <si>
    <t>Urea Top-dress</t>
  </si>
  <si>
    <t>Price ($/ton)</t>
  </si>
  <si>
    <t>Hay Type</t>
  </si>
  <si>
    <t>Price ($/bale)</t>
  </si>
  <si>
    <t>Square Bales</t>
  </si>
  <si>
    <t>Hay Cut</t>
  </si>
  <si>
    <t>Value ($/acre)</t>
  </si>
  <si>
    <t>First</t>
  </si>
  <si>
    <t>Second</t>
  </si>
  <si>
    <t>Value</t>
  </si>
  <si>
    <t>($/acre)</t>
  </si>
  <si>
    <t>All Other Equip.</t>
  </si>
  <si>
    <t>Fert.Spr.</t>
  </si>
  <si>
    <t>Till/Spray</t>
  </si>
  <si>
    <t>Scale:</t>
  </si>
  <si>
    <t>Yield:</t>
  </si>
  <si>
    <t>Price:</t>
  </si>
  <si>
    <t>(acres)</t>
  </si>
  <si>
    <t xml:space="preserve">Price: </t>
  </si>
  <si>
    <t>/cwt</t>
  </si>
  <si>
    <t>/ton</t>
  </si>
  <si>
    <t>/bu</t>
  </si>
  <si>
    <t>Barley Acreage</t>
  </si>
  <si>
    <t>Soybean Acreage</t>
  </si>
  <si>
    <t>Grow</t>
  </si>
  <si>
    <t>(tons/acre)</t>
  </si>
  <si>
    <t xml:space="preserve">  </t>
  </si>
  <si>
    <t>Hr</t>
  </si>
  <si>
    <t>Trucks (Pot./C.Sil.)</t>
  </si>
  <si>
    <t>Land Value</t>
  </si>
  <si>
    <t>combine</t>
  </si>
  <si>
    <t xml:space="preserve">      Spread Rye</t>
  </si>
  <si>
    <r>
      <t xml:space="preserve">   </t>
    </r>
    <r>
      <rPr>
        <u/>
        <sz val="10"/>
        <rFont val="Times New Roman"/>
        <family val="1"/>
      </rPr>
      <t>Crop Marketing</t>
    </r>
  </si>
  <si>
    <r>
      <t xml:space="preserve">   </t>
    </r>
    <r>
      <rPr>
        <u/>
        <sz val="10"/>
        <rFont val="Times New Roman"/>
        <family val="1"/>
      </rPr>
      <t>Crop Production</t>
    </r>
  </si>
  <si>
    <t xml:space="preserve">      Rock Pick</t>
  </si>
  <si>
    <t xml:space="preserve">      Fertilizer</t>
  </si>
  <si>
    <t xml:space="preserve">      Cut and Haul Seed</t>
  </si>
  <si>
    <t xml:space="preserve">      Plant Potatoes</t>
  </si>
  <si>
    <t xml:space="preserve">      Spray Herbicide</t>
  </si>
  <si>
    <t xml:space="preserve">      First Hilling</t>
  </si>
  <si>
    <t xml:space="preserve">      Spray Insecticide</t>
  </si>
  <si>
    <t xml:space="preserve">      Second Hilling</t>
  </si>
  <si>
    <t xml:space="preserve">  Irrigation (6)</t>
  </si>
  <si>
    <t xml:space="preserve">      Harvest</t>
  </si>
  <si>
    <t xml:space="preserve">  Trucks</t>
  </si>
  <si>
    <t>Fungicide sprays</t>
  </si>
  <si>
    <t>Top kill sprays</t>
  </si>
  <si>
    <t>Irrigations</t>
  </si>
  <si>
    <t xml:space="preserve">  Additional fuel</t>
  </si>
  <si>
    <t xml:space="preserve">      Pick Rocks</t>
  </si>
  <si>
    <t xml:space="preserve">      Broadcast Urea</t>
  </si>
  <si>
    <t xml:space="preserve">      Harrow (Seed Bed)</t>
  </si>
  <si>
    <t xml:space="preserve">      Plant Corn</t>
  </si>
  <si>
    <t xml:space="preserve">      Side Dress</t>
  </si>
  <si>
    <t xml:space="preserve">      Truck and Pack</t>
  </si>
  <si>
    <t xml:space="preserve">  Additional labor</t>
  </si>
  <si>
    <t xml:space="preserve">      Spread Liquid Manure</t>
  </si>
  <si>
    <t>Crop Production</t>
  </si>
  <si>
    <t xml:space="preserve">      Mow 1st Cut</t>
  </si>
  <si>
    <t xml:space="preserve">      Harvest 1st Cut</t>
  </si>
  <si>
    <t xml:space="preserve">      Truck and Pack 1st Cut</t>
  </si>
  <si>
    <t xml:space="preserve">      Spread Liq.Manure</t>
  </si>
  <si>
    <t xml:space="preserve">      Mow 2nd Cut</t>
  </si>
  <si>
    <t xml:space="preserve">      Harvest 2nd Cut</t>
  </si>
  <si>
    <t xml:space="preserve">      Truck and Pack 2nd Cut</t>
  </si>
  <si>
    <t>Crop Marketing</t>
  </si>
  <si>
    <r>
      <t xml:space="preserve">    </t>
    </r>
    <r>
      <rPr>
        <u/>
        <sz val="10"/>
        <rFont val="Times New Roman"/>
        <family val="1"/>
      </rPr>
      <t>Crop Production</t>
    </r>
  </si>
  <si>
    <t xml:space="preserve">      Finish Harrow</t>
  </si>
  <si>
    <t xml:space="preserve">      Grain Drill</t>
  </si>
  <si>
    <t xml:space="preserve">      Combine</t>
  </si>
  <si>
    <t xml:space="preserve">      Truck Barley</t>
  </si>
  <si>
    <r>
      <t xml:space="preserve">    </t>
    </r>
    <r>
      <rPr>
        <u/>
        <sz val="10"/>
        <rFont val="Times New Roman"/>
        <family val="1"/>
      </rPr>
      <t>Crop Marketing</t>
    </r>
  </si>
  <si>
    <t xml:space="preserve">      Level</t>
  </si>
  <si>
    <t xml:space="preserve">      Plant Soybeans</t>
  </si>
  <si>
    <t xml:space="preserve">      Cultivate</t>
  </si>
  <si>
    <t xml:space="preserve">      Truck Soybeans</t>
  </si>
  <si>
    <t>Aroostook County</t>
  </si>
  <si>
    <t>Central Maine</t>
  </si>
  <si>
    <t>Potato Enterprise Budget Yields:</t>
  </si>
  <si>
    <t>Potato Yields:</t>
  </si>
  <si>
    <t>Avg.Total Yield</t>
  </si>
  <si>
    <t xml:space="preserve">   #1 Yield</t>
  </si>
  <si>
    <t>On Average 75% of total yield</t>
  </si>
  <si>
    <t>On Average 90% of total yield</t>
  </si>
  <si>
    <t xml:space="preserve">   #2 Yield</t>
  </si>
  <si>
    <t>On Average 15% of total yield</t>
  </si>
  <si>
    <t>On Average 10% of total yield</t>
  </si>
  <si>
    <t xml:space="preserve">   Culls</t>
  </si>
  <si>
    <t xml:space="preserve">   for both </t>
  </si>
  <si>
    <t>Net Farm Income (NFI)</t>
  </si>
  <si>
    <t>Return over Variable Cost (ROVC)</t>
  </si>
  <si>
    <t>Miscellaneous Equipment</t>
  </si>
  <si>
    <t>fuel tank</t>
  </si>
  <si>
    <t>shop tools</t>
  </si>
  <si>
    <t>Packing Line (Haines)</t>
  </si>
  <si>
    <t>packing line</t>
  </si>
  <si>
    <t>Number of Acres</t>
  </si>
  <si>
    <t>-</t>
  </si>
  <si>
    <t>Potato Yield (cwt)</t>
  </si>
  <si>
    <t>Annual Operating Expenses</t>
  </si>
  <si>
    <t>Total Operating Expenses</t>
  </si>
  <si>
    <t>Annual Ownership Expenses</t>
  </si>
  <si>
    <t>Total Ownership Expenses</t>
  </si>
  <si>
    <t xml:space="preserve">Breakeven Revenue </t>
  </si>
  <si>
    <t>Long-run to Cover All Costs</t>
  </si>
  <si>
    <t>Short-run to Cover Operating Costs</t>
  </si>
  <si>
    <t>Barley Yield (bu)</t>
  </si>
  <si>
    <t>Soybean Yield (bu)</t>
  </si>
  <si>
    <t>Unit Price</t>
  </si>
  <si>
    <t>Assume first cut of haylage and second cut of 90% haylage and 10% square bales</t>
  </si>
  <si>
    <t>6 tons</t>
  </si>
  <si>
    <t>15 tons</t>
  </si>
  <si>
    <t xml:space="preserve">         Utilities</t>
  </si>
  <si>
    <t xml:space="preserve">         Custom Hire</t>
  </si>
  <si>
    <t xml:space="preserve">         Rent or Lease</t>
  </si>
  <si>
    <t xml:space="preserve">         Freight and Trucking</t>
  </si>
  <si>
    <t xml:space="preserve">         Storage and Warehousing</t>
  </si>
  <si>
    <t xml:space="preserve">         Other Expenses</t>
  </si>
  <si>
    <t>Per Bu</t>
  </si>
  <si>
    <t>Per Ton</t>
  </si>
  <si>
    <t>Vehicles</t>
  </si>
  <si>
    <t xml:space="preserve">  Sencor 75DF (2 Sprays)</t>
  </si>
  <si>
    <t xml:space="preserve">  Matrix (For Grass)</t>
  </si>
  <si>
    <t xml:space="preserve">  Ridomil Gold in Furrow</t>
  </si>
  <si>
    <t xml:space="preserve">  Curzate (2 applic.)</t>
  </si>
  <si>
    <t>Corn Planter</t>
  </si>
  <si>
    <t xml:space="preserve">      Spray Top Kill (2)</t>
  </si>
  <si>
    <t>$/acre</t>
  </si>
  <si>
    <t>$/cwt</t>
  </si>
  <si>
    <t>$/bu</t>
  </si>
  <si>
    <t>$/ton</t>
  </si>
  <si>
    <t>Yield/Acre</t>
  </si>
  <si>
    <t>Herbicide sprays</t>
  </si>
  <si>
    <t xml:space="preserve">      Spray Herbicide (2) </t>
  </si>
  <si>
    <t>Alfalfa Acreage</t>
  </si>
  <si>
    <t>Alfalfa Price ($/ton)</t>
  </si>
  <si>
    <t>Annual Alfalfa Budget</t>
  </si>
  <si>
    <t>Alfalfa</t>
  </si>
  <si>
    <t>Seeder (Brillion)</t>
  </si>
  <si>
    <t>seeder</t>
  </si>
  <si>
    <t>Alfalfa stand lasts:</t>
  </si>
  <si>
    <t>Alfalfa Fertilizer (Pre-plant)</t>
  </si>
  <si>
    <t>Alfalfa Operating Costs</t>
  </si>
  <si>
    <t>Alfalfa Ownership Costs</t>
  </si>
  <si>
    <t xml:space="preserve">      Plant Alfalfa</t>
  </si>
  <si>
    <t xml:space="preserve">      Soil Condition Seed Bed</t>
  </si>
  <si>
    <t>Alfalfa Yield (ton)</t>
  </si>
  <si>
    <t>Shipped (cwt)</t>
  </si>
  <si>
    <t>Price</t>
  </si>
  <si>
    <t>Fries</t>
  </si>
  <si>
    <t xml:space="preserve">     French Fries</t>
  </si>
  <si>
    <t>Chips</t>
  </si>
  <si>
    <t>Whlsl.</t>
  </si>
  <si>
    <t>Planted (cwt)</t>
  </si>
  <si>
    <t xml:space="preserve">  Diathane DF (13 applic.)</t>
  </si>
  <si>
    <t xml:space="preserve">      Spray Fungicides (13)</t>
  </si>
  <si>
    <t>If sell to on-farm integrated dairy using barley and soy for concentrates</t>
  </si>
  <si>
    <t>6.25 tons</t>
  </si>
  <si>
    <t xml:space="preserve">282.5 cwt </t>
  </si>
  <si>
    <t>Grain Corn</t>
  </si>
  <si>
    <t>Oats</t>
  </si>
  <si>
    <t>Oats Ownership Costs</t>
  </si>
  <si>
    <t>condit.</t>
  </si>
  <si>
    <t>Equipment (Oats)</t>
  </si>
  <si>
    <t>Land (Oats)</t>
  </si>
  <si>
    <t>Buildings &amp; Storages (Oats)</t>
  </si>
  <si>
    <t>Total Investment (Oats)</t>
  </si>
  <si>
    <t>Barley Seed</t>
  </si>
  <si>
    <t>Barley Price</t>
  </si>
  <si>
    <t>Oats Operating Costs</t>
  </si>
  <si>
    <t>Oat</t>
  </si>
  <si>
    <t xml:space="preserve">      Truck Oats</t>
  </si>
  <si>
    <t>Annual Oats Budget</t>
  </si>
  <si>
    <t xml:space="preserve">        Utilities</t>
  </si>
  <si>
    <t xml:space="preserve">        Custom Hire</t>
  </si>
  <si>
    <t xml:space="preserve">        Rent or Lease</t>
  </si>
  <si>
    <t xml:space="preserve">        Freight and Trucking</t>
  </si>
  <si>
    <t xml:space="preserve">        Other Expenses</t>
  </si>
  <si>
    <t>Grain Corn Ownership Costs</t>
  </si>
  <si>
    <t>Crop Storage</t>
  </si>
  <si>
    <t>crop storage</t>
  </si>
  <si>
    <t>Grain Corn Operating Costs</t>
  </si>
  <si>
    <t>Side-Dress</t>
  </si>
  <si>
    <t xml:space="preserve">Price  </t>
  </si>
  <si>
    <t>(ton/acre)</t>
  </si>
  <si>
    <t>($/ton)</t>
  </si>
  <si>
    <t>Cost/Acre</t>
  </si>
  <si>
    <t>Urea</t>
  </si>
  <si>
    <t>Mur.of Pot.</t>
  </si>
  <si>
    <t>Share-weighted price:</t>
  </si>
  <si>
    <t xml:space="preserve">      Truck Grain Corn</t>
  </si>
  <si>
    <t>Grain Corn Yield (bu)</t>
  </si>
  <si>
    <t>100 bu</t>
  </si>
  <si>
    <t>Average % of total yield</t>
  </si>
  <si>
    <t>Grain Corn Price ($/bu)</t>
  </si>
  <si>
    <t>Oat Price ($/bu)</t>
  </si>
  <si>
    <t>Coop.Pot.Farms</t>
  </si>
  <si>
    <t xml:space="preserve">Corn Planter </t>
  </si>
  <si>
    <t>Grain Corn Acreage</t>
  </si>
  <si>
    <t>Oats Acreage</t>
  </si>
  <si>
    <t>Annual Budget (Potato, Rotation, &amp; Forage Crops)</t>
  </si>
  <si>
    <t>Sudan Grass</t>
  </si>
  <si>
    <t xml:space="preserve">      Spread Solid Manure</t>
  </si>
  <si>
    <t xml:space="preserve">      Spray</t>
  </si>
  <si>
    <t>Broadcast Urea</t>
  </si>
  <si>
    <t>Equipment (Sudan Grass)</t>
  </si>
  <si>
    <t>Land (Sudan Grass)</t>
  </si>
  <si>
    <t>Buildings (Sudan Grass)</t>
  </si>
  <si>
    <t>Total Investment (Sudan Grass)</t>
  </si>
  <si>
    <t>Sudan Grass Ownership Costs</t>
  </si>
  <si>
    <t>Sudan Grass Operating Costs</t>
  </si>
  <si>
    <t>Annual Sudan Grass Budget</t>
  </si>
  <si>
    <t>Sudan Grass Yield (tons)</t>
  </si>
  <si>
    <t xml:space="preserve">      Plow</t>
  </si>
  <si>
    <t>Sudan Grass Acreage</t>
  </si>
  <si>
    <t>6.5 tons</t>
  </si>
  <si>
    <t>Disk Harrow</t>
  </si>
  <si>
    <t>Plow/Soil Saver</t>
  </si>
  <si>
    <t xml:space="preserve">  Plow/Soil Saver</t>
  </si>
  <si>
    <t xml:space="preserve">  Disk Harrow</t>
  </si>
  <si>
    <t>Mower</t>
  </si>
  <si>
    <t>PPI for Ag Machinery &amp; Equipment</t>
  </si>
  <si>
    <t>PPI for Ag Chemicals &amp; Chemical Products</t>
  </si>
  <si>
    <t>Grazing Operating Costs</t>
  </si>
  <si>
    <t xml:space="preserve">    10-20-10</t>
  </si>
  <si>
    <t>Machinery Repair from "Ownership Costs"</t>
  </si>
  <si>
    <t>Grazing Ownership Costs</t>
  </si>
  <si>
    <t>Depreci-ation and Interest</t>
  </si>
  <si>
    <t>mower</t>
  </si>
  <si>
    <t xml:space="preserve">Raker </t>
  </si>
  <si>
    <t>raker</t>
  </si>
  <si>
    <t>Teader</t>
  </si>
  <si>
    <t>teader</t>
  </si>
  <si>
    <t>round baler</t>
  </si>
  <si>
    <t>Equipment (Grazing)</t>
  </si>
  <si>
    <t>Land (Grazing)</t>
  </si>
  <si>
    <t>Buildings &amp; Storages (Grazing)</t>
  </si>
  <si>
    <t>Total Investment (Grazing)</t>
  </si>
  <si>
    <t>tons/acre</t>
  </si>
  <si>
    <t>Grazed Pasture Price ($/ton)</t>
  </si>
  <si>
    <t>Rye Price ($/bu)</t>
  </si>
  <si>
    <t>W/o irrigation (lb/acre)</t>
  </si>
  <si>
    <t>Rye Operating Costs</t>
  </si>
  <si>
    <t>Rye Ownership Costs</t>
  </si>
  <si>
    <t>Annual Rye Budget</t>
  </si>
  <si>
    <t>PPI for Grains</t>
  </si>
  <si>
    <t>PPI for Hay, Hayseeds, &amp; Oilseeds</t>
  </si>
  <si>
    <t>Wheat</t>
  </si>
  <si>
    <t xml:space="preserve">Forage Storage </t>
  </si>
  <si>
    <t>Manure Equipment</t>
  </si>
  <si>
    <t xml:space="preserve">Assume if use forage storage then use coupled dairy's forage storage </t>
  </si>
  <si>
    <t>Assume if use manure then use coupled dairy farm's forage storage and dairy farm spreads manure</t>
  </si>
  <si>
    <t>Land Maintenance &amp; Upkeep</t>
  </si>
  <si>
    <t>Specify rotation with any potato rotation crops</t>
  </si>
  <si>
    <t>Haylage/Hay</t>
  </si>
  <si>
    <t>Grazing Pasture</t>
  </si>
  <si>
    <t>Rye</t>
  </si>
  <si>
    <t>Canola</t>
  </si>
  <si>
    <t>Broccoli</t>
  </si>
  <si>
    <t>Grazing Pasture Acreage</t>
  </si>
  <si>
    <t>Rye Acreage</t>
  </si>
  <si>
    <t>Canola Acreage</t>
  </si>
  <si>
    <t>Broccoli Acreage</t>
  </si>
  <si>
    <t>Potato Planter</t>
  </si>
  <si>
    <t>Potato Planter Filler</t>
  </si>
  <si>
    <t>Total primary &amp; secondary tillage</t>
  </si>
  <si>
    <t>Baler (Square)</t>
  </si>
  <si>
    <t>Baler (Round)</t>
  </si>
  <si>
    <t>Grain Dryer (Grain Corn)</t>
  </si>
  <si>
    <t xml:space="preserve">Soybean Planter </t>
  </si>
  <si>
    <t>Mower-conditioner</t>
  </si>
  <si>
    <t>Chopper (No Grazing)</t>
  </si>
  <si>
    <t>Clover Operating Costs</t>
  </si>
  <si>
    <t>Clover Ownership Costs</t>
  </si>
  <si>
    <t>Annual Clover Budget</t>
  </si>
  <si>
    <t>Clover Acreage</t>
  </si>
  <si>
    <t>Clover Price ($/ton)</t>
  </si>
  <si>
    <t>Establish Clover</t>
  </si>
  <si>
    <t xml:space="preserve">        Rented Acreage</t>
  </si>
  <si>
    <t>Rented Land</t>
  </si>
  <si>
    <t>Round Bale Price ($/bale)</t>
  </si>
  <si>
    <t>Square Bale Price ($/bale)</t>
  </si>
  <si>
    <t>Round Bales per Acre</t>
  </si>
  <si>
    <t>Square Bales per Acre</t>
  </si>
  <si>
    <t>Square Bale Weight (lb)</t>
  </si>
  <si>
    <t>Round Bale Weight (lb)</t>
  </si>
  <si>
    <t>Round Bales</t>
  </si>
  <si>
    <t>Bale Weight (lb)</t>
  </si>
  <si>
    <t>Haylage/Hay Yield (tons)</t>
  </si>
  <si>
    <t>Haylage/Hay Acreage</t>
  </si>
  <si>
    <t>Canola Operating Costs</t>
  </si>
  <si>
    <t>Canola Ownership Costs</t>
  </si>
  <si>
    <t>Annual Canola Budget</t>
  </si>
  <si>
    <t>Broccoli Operating Costs</t>
  </si>
  <si>
    <t>Broccoli Ownership Costs</t>
  </si>
  <si>
    <t>Annual Broccoli Budget</t>
  </si>
  <si>
    <t xml:space="preserve">year(s) </t>
  </si>
  <si>
    <t>Crop Conversions and Dry Matter %</t>
  </si>
  <si>
    <t>lb in 1 ton</t>
  </si>
  <si>
    <t>DM%</t>
  </si>
  <si>
    <t>Hay</t>
  </si>
  <si>
    <t>Small Grain Silage</t>
  </si>
  <si>
    <t>Grazing</t>
  </si>
  <si>
    <t>lb in 1 bu</t>
  </si>
  <si>
    <t>High Moisture Corn</t>
  </si>
  <si>
    <t>Triticale</t>
  </si>
  <si>
    <t>Spelt</t>
  </si>
  <si>
    <t xml:space="preserve">      Seed Canola</t>
  </si>
  <si>
    <t xml:space="preserve">      Truck Canola</t>
  </si>
  <si>
    <t>Grain Bin (Canola)</t>
  </si>
  <si>
    <t>/lb</t>
  </si>
  <si>
    <t>$/lb</t>
  </si>
  <si>
    <t xml:space="preserve">      Truck Broccoli</t>
  </si>
  <si>
    <t xml:space="preserve">      Harvest Broccoli</t>
  </si>
  <si>
    <t>Broccoli Harvester</t>
  </si>
  <si>
    <t xml:space="preserve">      Spread Fertilizer</t>
  </si>
  <si>
    <t xml:space="preserve">      Tead 2nd Cut (10% of 2nd cut)</t>
  </si>
  <si>
    <t xml:space="preserve">      Rake 2nd Cut (10% of 2nd cut)</t>
  </si>
  <si>
    <t xml:space="preserve">      Square Bale 2nd Cut (10% 2nd)</t>
  </si>
  <si>
    <t xml:space="preserve">      Truck Rye</t>
  </si>
  <si>
    <t xml:space="preserve">      Plant Broccoli</t>
  </si>
  <si>
    <t>Oat Yield (bu)</t>
  </si>
  <si>
    <t>Rye Yield (bu)</t>
  </si>
  <si>
    <t>Sudan Grass Price ($/ton)</t>
  </si>
  <si>
    <t>Broccoli Price ($/cwt)</t>
  </si>
  <si>
    <t>Broccoli Yield (cwt)</t>
  </si>
  <si>
    <t>Broccoli Yield (bu)</t>
  </si>
  <si>
    <t>Whole-Farm</t>
  </si>
  <si>
    <t>Equipment (Alfalfa)</t>
  </si>
  <si>
    <t>Land (Alfalfa)</t>
  </si>
  <si>
    <t>Buildings (Alfalfa)</t>
  </si>
  <si>
    <t>Total Investment (Alfalfa)</t>
  </si>
  <si>
    <t>Equipment (Clover)</t>
  </si>
  <si>
    <t>Land (Clover)</t>
  </si>
  <si>
    <t>Buildings (Clover)</t>
  </si>
  <si>
    <t>Total Investment (Clover)</t>
  </si>
  <si>
    <t>Equipment (Grain Corn)</t>
  </si>
  <si>
    <t>Land (Grain Corn)</t>
  </si>
  <si>
    <t>Buildings (Grain Corn)</t>
  </si>
  <si>
    <t>Total Investment (Grain Corn)</t>
  </si>
  <si>
    <t>Equipment (Rye)</t>
  </si>
  <si>
    <t>Land (Rye)</t>
  </si>
  <si>
    <t>Buildings &amp; Storages (Rye)</t>
  </si>
  <si>
    <t>Total Investment (Rye)</t>
  </si>
  <si>
    <t>Equipment (Soybeans)</t>
  </si>
  <si>
    <t>Land (Soybeans)</t>
  </si>
  <si>
    <t>Buildings (Soybeans)</t>
  </si>
  <si>
    <t>Total Investment (Soybeans)</t>
  </si>
  <si>
    <t>Equipment (Canola)</t>
  </si>
  <si>
    <t>Land (Canola)</t>
  </si>
  <si>
    <t>Buildings &amp; Storages (Canola)</t>
  </si>
  <si>
    <t>Total Investment (Canola)</t>
  </si>
  <si>
    <t>Equipment (Broccoli)</t>
  </si>
  <si>
    <t>Land (Broccoli)</t>
  </si>
  <si>
    <t>Buildings &amp; Storages (Broccoli)</t>
  </si>
  <si>
    <t>Total Investment (Broccoli)</t>
  </si>
  <si>
    <t>percent of crops used for inventory</t>
  </si>
  <si>
    <t>Urea Prices</t>
  </si>
  <si>
    <t>Percent Increase</t>
  </si>
  <si>
    <t>Percent increase in potato seed price:</t>
  </si>
  <si>
    <t>Assume same percent increase in all fertilizers &amp; lime</t>
  </si>
  <si>
    <t>Lime price</t>
  </si>
  <si>
    <t>Percent increase in potato contract price:</t>
  </si>
  <si>
    <t>bag wt.</t>
  </si>
  <si>
    <t>$/bag</t>
  </si>
  <si>
    <t>All hybrid</t>
  </si>
  <si>
    <t>Non-biotech.</t>
  </si>
  <si>
    <t>Old price</t>
  </si>
  <si>
    <t>% increase</t>
  </si>
  <si>
    <t>Assume same % increase as barley seed</t>
  </si>
  <si>
    <t>acres to hectares</t>
  </si>
  <si>
    <t>lb to kg</t>
  </si>
  <si>
    <t>Mt in 1 ton</t>
  </si>
  <si>
    <t>acres per hectare</t>
  </si>
  <si>
    <t>Conversions</t>
  </si>
  <si>
    <t>N-Urea (32-0-0)</t>
  </si>
  <si>
    <t>N-Ammon.Sulf.</t>
  </si>
  <si>
    <t>kg/ha</t>
  </si>
  <si>
    <t>kg/acre</t>
  </si>
  <si>
    <t>At Plant Urea (32-0-0)</t>
  </si>
  <si>
    <t>Nutrient</t>
  </si>
  <si>
    <t>P (in 0-20-20)</t>
  </si>
  <si>
    <t>K (in 0-20-20)</t>
  </si>
  <si>
    <t xml:space="preserve">At Plant Ammonium Sulfate </t>
  </si>
  <si>
    <t xml:space="preserve">At Plant P &amp; K </t>
  </si>
  <si>
    <t>Total N</t>
  </si>
  <si>
    <t>Total P &amp; K</t>
  </si>
  <si>
    <t>http://www.omafra.gov.on.ca/english/busdev/facts/pub60a4.htm</t>
  </si>
  <si>
    <t>/Mt</t>
  </si>
  <si>
    <t>http://www.omafra.gov.on.ca/english/stats/crops/price_canola.htm</t>
  </si>
  <si>
    <t>CAN$/Mt</t>
  </si>
  <si>
    <t>Avg</t>
  </si>
  <si>
    <t>CAN$/ton</t>
  </si>
  <si>
    <t>$ Conv</t>
  </si>
  <si>
    <r>
      <t>Canola Price - 2011 Budget</t>
    </r>
    <r>
      <rPr>
        <sz val="10"/>
        <rFont val="Times New Roman"/>
        <family val="1"/>
      </rPr>
      <t>:</t>
    </r>
  </si>
  <si>
    <t>http://www.caes.uga.edu/Publications/pubDetail.cfm?pk_id=6370</t>
  </si>
  <si>
    <t>http://agalternatives.aers.psu.edu/Publications/broccoli.pdf</t>
  </si>
  <si>
    <t>http://arec.oregonstate.edu/oaeb/files/pdf/EM8960-E.pdf</t>
  </si>
  <si>
    <t>http://arec.oregonstate.edu/oaeb/files/pdf/AEB0003.pdf</t>
  </si>
  <si>
    <t>PA</t>
  </si>
  <si>
    <t>GA</t>
  </si>
  <si>
    <t>K (in 7-10-10)</t>
  </si>
  <si>
    <t>P (in 7-10-10)</t>
  </si>
  <si>
    <t>N (in 7-10-10)</t>
  </si>
  <si>
    <t>At Plant Fertilizer (7-10-10)</t>
  </si>
  <si>
    <t>Top/Side-Dress Fertilizer</t>
  </si>
  <si>
    <t>OR Conv</t>
  </si>
  <si>
    <t>OR Org</t>
  </si>
  <si>
    <t xml:space="preserve">  At plant</t>
  </si>
  <si>
    <t xml:space="preserve">      Flail Crop</t>
  </si>
  <si>
    <t xml:space="preserve">      Spray Pesticide</t>
  </si>
  <si>
    <t xml:space="preserve">      Hand Harvest Broccoli</t>
  </si>
  <si>
    <t xml:space="preserve">      Hand Weed Broccoli</t>
  </si>
  <si>
    <t>http://anrcatalog.ucdavis.edu/pdf/8027.pdf</t>
  </si>
  <si>
    <t>CA</t>
  </si>
  <si>
    <t>http://coststudies.ucdavis.edu/files/broccoli03.pdf</t>
  </si>
  <si>
    <t>Haylage/Hay Price ($/ton)</t>
  </si>
  <si>
    <t>Baled Dry Hay Operating Costs</t>
  </si>
  <si>
    <t>Baled Dry Hay Ownership Costs</t>
  </si>
  <si>
    <t>Baled Dry Hay Acreage</t>
  </si>
  <si>
    <t>Annual Baled Dry Hay Budget</t>
  </si>
  <si>
    <t>bales/acre</t>
  </si>
  <si>
    <t>/bale</t>
  </si>
  <si>
    <t>Baled Dry Hay Yield (bales)</t>
  </si>
  <si>
    <t>Per Bale</t>
  </si>
  <si>
    <t>$/bale</t>
  </si>
  <si>
    <t>tons of DM/acre</t>
  </si>
  <si>
    <t>tons wet / acre</t>
  </si>
  <si>
    <t>lb wet / acre</t>
  </si>
  <si>
    <t>40-lb square bales / acre</t>
  </si>
  <si>
    <t>1000-lb round bales / acre</t>
  </si>
  <si>
    <t>Baled Dry Hay</t>
  </si>
  <si>
    <t xml:space="preserve">      Tead 2nd Cut </t>
  </si>
  <si>
    <t xml:space="preserve">      Rake 2nd Cut </t>
  </si>
  <si>
    <t xml:space="preserve">      Square Bale 2nd Cut </t>
  </si>
  <si>
    <t xml:space="preserve">      Rake 2nd Cut</t>
  </si>
  <si>
    <t xml:space="preserve">      Truck 2nd Cut (10% 2nd cut)</t>
  </si>
  <si>
    <t xml:space="preserve">      Tead 1st Cut </t>
  </si>
  <si>
    <t xml:space="preserve">      Rake 1st Cut</t>
  </si>
  <si>
    <t xml:space="preserve">      Square Bale 1st Cut </t>
  </si>
  <si>
    <t>Haylage stand lasts:</t>
  </si>
  <si>
    <t xml:space="preserve">Broccoli Planter </t>
  </si>
  <si>
    <t>Hay stand lasts:</t>
  </si>
  <si>
    <t>Timothy to Establish Hay</t>
  </si>
  <si>
    <t>Red Clover to Establish Hay</t>
  </si>
  <si>
    <t>Alfalfa Yield (tons) - Non-establishment years</t>
  </si>
  <si>
    <t>Alfalfa Yield (tons) - Establishment year</t>
  </si>
  <si>
    <t>% less</t>
  </si>
  <si>
    <t>Haylage/Hay Yield (tons) - Non-est. years</t>
  </si>
  <si>
    <t>Haylage/Hay Yield (tons) - Establishment year</t>
  </si>
  <si>
    <t>Round Bale Yield (ton/acre) - Non-est. years</t>
  </si>
  <si>
    <t>Square Bale Yield (ton/acre) - Non-est. years</t>
  </si>
  <si>
    <t>% non-est.</t>
  </si>
  <si>
    <t>Alfalfa Yield (tons) - AVERAGE for all years</t>
  </si>
  <si>
    <t>Haylage/Hay Yield (tons) - AVG for all years</t>
  </si>
  <si>
    <t>Round Bale Hay Yield (tons) - AVG for all years</t>
  </si>
  <si>
    <t>Round Bale Hay Yield (ton/acre) - Est. year</t>
  </si>
  <si>
    <t>Square Bale Hay Yield (ton/acre) - Est. year</t>
  </si>
  <si>
    <t>Raker/Balers</t>
  </si>
  <si>
    <t>Small Grain Crop</t>
  </si>
  <si>
    <t>Straw Bale</t>
  </si>
  <si>
    <t xml:space="preserve">Grain Yield: </t>
  </si>
  <si>
    <t xml:space="preserve">Grain Price: </t>
  </si>
  <si>
    <t xml:space="preserve">Straw Yield: </t>
  </si>
  <si>
    <t xml:space="preserve">Straw Price: </t>
  </si>
  <si>
    <t>rd.bales/acre</t>
  </si>
  <si>
    <t>sq.bales/acre</t>
  </si>
  <si>
    <t>/rd.bale</t>
  </si>
  <si>
    <t>/sq.bale</t>
  </si>
  <si>
    <t xml:space="preserve">      Plant Haylage</t>
  </si>
  <si>
    <t xml:space="preserve">      Plant Hay</t>
  </si>
  <si>
    <t xml:space="preserve">      Round Bale 1st Cut </t>
  </si>
  <si>
    <t xml:space="preserve">      Round Bale 2nd Cut </t>
  </si>
  <si>
    <t xml:space="preserve">      Round Bale 2nd Cut (10% 2nd)</t>
  </si>
  <si>
    <t>Clover stand lasts:</t>
  </si>
  <si>
    <t xml:space="preserve">      Plant Clover</t>
  </si>
  <si>
    <t>Grazing stand lasts:</t>
  </si>
  <si>
    <t xml:space="preserve">      Plant Grazing Land</t>
  </si>
  <si>
    <t xml:space="preserve">      Mow at End of Grazing Season OR for Hay</t>
  </si>
  <si>
    <t>2.7-2.9/bale for VC</t>
  </si>
  <si>
    <t>http://www.uky.edu/Ag/CDBREC/introsheets/straw.pdf</t>
  </si>
  <si>
    <t>Barley Straw Price Ranges</t>
  </si>
  <si>
    <t>% Acres Rd.Bales</t>
  </si>
  <si>
    <t>% Acres Sq.Bales</t>
  </si>
  <si>
    <t xml:space="preserve">Rd.Bales: </t>
  </si>
  <si>
    <t xml:space="preserve">Sq.Bales: </t>
  </si>
  <si>
    <t xml:space="preserve">      Move &amp; Store Rd.Bales</t>
  </si>
  <si>
    <t xml:space="preserve">      Move &amp; Store Sq.Bales</t>
  </si>
  <si>
    <t xml:space="preserve">      Move &amp; Store Rd.Bales (10% 2nd)</t>
  </si>
  <si>
    <t xml:space="preserve">      Move &amp; Store Sq.Bales (10% 2nd)</t>
  </si>
  <si>
    <t xml:space="preserve">      Rake Straw</t>
  </si>
  <si>
    <t xml:space="preserve">      Round Bale Straw</t>
  </si>
  <si>
    <t xml:space="preserve">      Square Bale Straw</t>
  </si>
  <si>
    <t xml:space="preserve">      Truck Straw</t>
  </si>
  <si>
    <t>Round Bale</t>
  </si>
  <si>
    <t>Square Bale</t>
  </si>
  <si>
    <t>Grain</t>
  </si>
  <si>
    <t>Dist. (miles)</t>
  </si>
  <si>
    <t>mpg</t>
  </si>
  <si>
    <t>Transport Cost</t>
  </si>
  <si>
    <t>Potato Storage</t>
  </si>
  <si>
    <t>Old Price</t>
  </si>
  <si>
    <t>adjusted by PPI</t>
  </si>
  <si>
    <t>2010 Price</t>
  </si>
  <si>
    <t>Haylage Operating Costs</t>
  </si>
  <si>
    <t>Haylage Ownership Costs</t>
  </si>
  <si>
    <t>Annual Haylage Budget</t>
  </si>
  <si>
    <t>5.1 rd.bales</t>
  </si>
  <si>
    <t>3.5 tons</t>
  </si>
  <si>
    <t>Fencing</t>
  </si>
  <si>
    <t>Permanent perimeter</t>
  </si>
  <si>
    <t>Poly-wire</t>
  </si>
  <si>
    <t>ft of fence</t>
  </si>
  <si>
    <t>One huge field</t>
  </si>
  <si>
    <t>Four fields</t>
  </si>
  <si>
    <t>perm.fence</t>
  </si>
  <si>
    <t>polywire</t>
  </si>
  <si>
    <t>Cost per foot of fence</t>
  </si>
  <si>
    <t>/ft</t>
  </si>
  <si>
    <t>ft side</t>
  </si>
  <si>
    <t>ft polywire</t>
  </si>
  <si>
    <t>ft of perm.fence</t>
  </si>
  <si>
    <t>If management intensive rotational grazing which uses polywire</t>
  </si>
  <si>
    <t>Corn Silage</t>
  </si>
  <si>
    <t>Corn Silage Yield (tons)</t>
  </si>
  <si>
    <t>Corn Silage Acreage</t>
  </si>
  <si>
    <t>Corn Silage Price ($/ton)</t>
  </si>
  <si>
    <t>Corn Grain</t>
  </si>
  <si>
    <t>Clover Yield (tons) - Non-est. years</t>
  </si>
  <si>
    <t>Clover Yield (tons) - Establishment year</t>
  </si>
  <si>
    <t>Clover Yield (tons) - AVG for all years</t>
  </si>
  <si>
    <t>Grazed Pasture Yield (tons) - Non-est. years</t>
  </si>
  <si>
    <t>Grazed Pasture Yield (tons) - Establishment year</t>
  </si>
  <si>
    <t>Grazed Pasture Yield (tons) - AVG for all years</t>
  </si>
  <si>
    <t>Round Bale Price ($/ton)</t>
  </si>
  <si>
    <t>Square Bale Price ($/ton)</t>
  </si>
  <si>
    <t>W/o irrigation (cwt/acre)</t>
  </si>
  <si>
    <t>Canola Yield (cwt)</t>
  </si>
  <si>
    <t>/rd.bale equivalent</t>
  </si>
  <si>
    <t xml:space="preserve">      Disk Harrow</t>
  </si>
  <si>
    <t>Potato Production Operations</t>
  </si>
  <si>
    <t>Perennial Crop Production Operations</t>
  </si>
  <si>
    <t>Row Crop Production Operations</t>
  </si>
  <si>
    <t xml:space="preserve">      Plow/Soil Saver</t>
  </si>
  <si>
    <t>Operation</t>
  </si>
  <si>
    <t>Haylage &amp; Clover (Dry Hay 10% 2nd Cut)</t>
  </si>
  <si>
    <t xml:space="preserve">      Set Up Fences</t>
  </si>
  <si>
    <t xml:space="preserve">      Move Cows &amp; Fences</t>
  </si>
  <si>
    <t xml:space="preserve">      Combine Grain Corn</t>
  </si>
  <si>
    <t xml:space="preserve">      Spray Herbicide for Soybeans</t>
  </si>
  <si>
    <t xml:space="preserve">      Combine Soybeans</t>
  </si>
  <si>
    <t xml:space="preserve">      Harvest Corn Silage</t>
  </si>
  <si>
    <t xml:space="preserve">      Spray Herbicide for Corn</t>
  </si>
  <si>
    <t xml:space="preserve">      Side Dress for Corn Silage</t>
  </si>
  <si>
    <t xml:space="preserve">      Side Dress for Corn Grain</t>
  </si>
  <si>
    <t xml:space="preserve">      Finish Harrow for Corn Grain &amp; Small Grain</t>
  </si>
  <si>
    <t xml:space="preserve">      Level for Soybeans</t>
  </si>
  <si>
    <t xml:space="preserve">      Finish Harrow for Sudex, Canola, &amp; Broccoli</t>
  </si>
  <si>
    <t xml:space="preserve">      Harrow (Seed Bed) for Corn Silage</t>
  </si>
  <si>
    <t>Plant Hay</t>
  </si>
  <si>
    <t>Plant Haylage</t>
  </si>
  <si>
    <t>Plant Alfalfa</t>
  </si>
  <si>
    <t>Soil Cond.Sd.Bd.</t>
  </si>
  <si>
    <t>Spread Fert.</t>
  </si>
  <si>
    <t>Rock Pick</t>
  </si>
  <si>
    <t>Cut &amp; Haul Sd.</t>
  </si>
  <si>
    <t>Plant Potatoes</t>
  </si>
  <si>
    <t>First Hilling</t>
  </si>
  <si>
    <t>Spray Insect.</t>
  </si>
  <si>
    <t>Second Hilling</t>
  </si>
  <si>
    <t>Harvest</t>
  </si>
  <si>
    <t>Spread Rye</t>
  </si>
  <si>
    <t>Spray Herbicide</t>
  </si>
  <si>
    <t>Mow 1st Cut</t>
  </si>
  <si>
    <t>Harvest 1st Cut</t>
  </si>
  <si>
    <t>Trk.&amp; Pk.1st Cut</t>
  </si>
  <si>
    <t xml:space="preserve">Tead 1st Cut </t>
  </si>
  <si>
    <t>Rake 1st Cut</t>
  </si>
  <si>
    <t xml:space="preserve">Rnd.Bale 1st Cut </t>
  </si>
  <si>
    <t>Move&amp;Store Rd.Bl.</t>
  </si>
  <si>
    <t xml:space="preserve">Square Bale 1st Cut </t>
  </si>
  <si>
    <t>Move&amp;Store Sq.Bl.</t>
  </si>
  <si>
    <t>Mow 2nd Cut</t>
  </si>
  <si>
    <t>Harvest 2nd Cut</t>
  </si>
  <si>
    <t>Trk.&amp; Pk.2nd Cut</t>
  </si>
  <si>
    <t xml:space="preserve">Tead 2nd Cut </t>
  </si>
  <si>
    <t>Rake 2nd Cut</t>
  </si>
  <si>
    <t xml:space="preserve">Round Bale 2nd Cut </t>
  </si>
  <si>
    <t xml:space="preserve">Square Bale 2nd Cut </t>
  </si>
  <si>
    <t>Plant Clover</t>
  </si>
  <si>
    <t>Plant Grazing Land</t>
  </si>
  <si>
    <t>Set Up Fences</t>
  </si>
  <si>
    <t>Move Cows&amp;Fence</t>
  </si>
  <si>
    <t>Mow End Grz.Season</t>
  </si>
  <si>
    <t>Pick Rocks</t>
  </si>
  <si>
    <t>Spread Fertilizer</t>
  </si>
  <si>
    <t xml:space="preserve">      Combine Small Grain &amp; Canola</t>
  </si>
  <si>
    <t xml:space="preserve">      Disk Harrow for Sudan Grass</t>
  </si>
  <si>
    <t>Disk Harrow Sudex</t>
  </si>
  <si>
    <t>Harrow (Seed Bd.) CS</t>
  </si>
  <si>
    <t>Fin.Harrow CG&amp;SG</t>
  </si>
  <si>
    <t>Fin.Har.Sud.Can.Broc.</t>
  </si>
  <si>
    <t>Level for Soybeans</t>
  </si>
  <si>
    <t>Plant Corn</t>
  </si>
  <si>
    <t>Plant Soybeans</t>
  </si>
  <si>
    <t>Seed Canola</t>
  </si>
  <si>
    <t>Plant Broccoli</t>
  </si>
  <si>
    <t>Spray Herbicide Corn</t>
  </si>
  <si>
    <t>Spray Herbicide Soy</t>
  </si>
  <si>
    <t>Hand Weed Broccoli</t>
  </si>
  <si>
    <t>Spray Pesticide</t>
  </si>
  <si>
    <t>Side Dress Corn Silage</t>
  </si>
  <si>
    <t>Side Dress Corn Grain</t>
  </si>
  <si>
    <t>Truck and Pack</t>
  </si>
  <si>
    <t>Combine Grain Corn</t>
  </si>
  <si>
    <t>Combine Sm.Gr.&amp;Can.</t>
  </si>
  <si>
    <t>Hand Harvest Broccoli</t>
  </si>
  <si>
    <t>Harvest Broccoli</t>
  </si>
  <si>
    <t>Truck Grain Corn</t>
  </si>
  <si>
    <t>Truck Barley</t>
  </si>
  <si>
    <t>Truck Oats</t>
  </si>
  <si>
    <t>Truck Rye</t>
  </si>
  <si>
    <t>Truck Soybeans</t>
  </si>
  <si>
    <t>Truck Canola</t>
  </si>
  <si>
    <t>Truck Broccoli</t>
  </si>
  <si>
    <t>Rake Straw</t>
  </si>
  <si>
    <t>Round Bale Straw</t>
  </si>
  <si>
    <t>Move&amp;Store Rd.Bales</t>
  </si>
  <si>
    <t>Square Bale Straw</t>
  </si>
  <si>
    <t>Move&amp;Store Sq.Bales</t>
  </si>
  <si>
    <t>Truck Straw</t>
  </si>
  <si>
    <t>Plow</t>
  </si>
  <si>
    <t>Flail Crop</t>
  </si>
  <si>
    <t>Harvest Corn Silage</t>
  </si>
  <si>
    <t>Total Input Quantity</t>
  </si>
  <si>
    <t>Irrigation Equip.</t>
  </si>
  <si>
    <t xml:space="preserve">      Spray Herbicide for Small Grain/Canola/Broc.</t>
  </si>
  <si>
    <t>Spray Herb. SG.Can.Br.</t>
  </si>
  <si>
    <t>Assume no storage equipment</t>
  </si>
  <si>
    <t>Canola Price ($/cwt)</t>
  </si>
  <si>
    <t>Changed to $40 per rd.bale</t>
  </si>
  <si>
    <t>If use timothy assume 5 years (Andrew Plant, personal commuication)</t>
  </si>
  <si>
    <t xml:space="preserve">    Herbicides (2,4-D)</t>
  </si>
  <si>
    <t>Lube Percentage of Fuel</t>
  </si>
  <si>
    <t>Quantity of Labor per Acre</t>
  </si>
  <si>
    <t>Chopper (Self-propelled)</t>
  </si>
  <si>
    <t>pick-up hd.</t>
  </si>
  <si>
    <t>corn hd.</t>
  </si>
  <si>
    <t>soy hd.</t>
  </si>
  <si>
    <t xml:space="preserve">     Combine corn head</t>
  </si>
  <si>
    <t>chop.crn.hd.</t>
  </si>
  <si>
    <t>Chopper Forage Head</t>
  </si>
  <si>
    <t>sm.gr.hd.</t>
  </si>
  <si>
    <t>Operation/ Input Used</t>
  </si>
  <si>
    <t xml:space="preserve">      Spray Fungicides</t>
  </si>
  <si>
    <t xml:space="preserve">  Irrigation</t>
  </si>
  <si>
    <t xml:space="preserve">  Spray Fungicides </t>
  </si>
  <si>
    <t xml:space="preserve">      Irrigation</t>
  </si>
  <si>
    <t xml:space="preserve">      Spray Top Kill</t>
  </si>
  <si>
    <t>Spray Herb.</t>
  </si>
  <si>
    <t>Spray Fung.</t>
  </si>
  <si>
    <t>Spray Tp.Kill</t>
  </si>
  <si>
    <t xml:space="preserve">     Rent No-till Drill for Re-Seeding</t>
  </si>
  <si>
    <t>no-till rental</t>
  </si>
  <si>
    <t>Equipment Used by Crops</t>
  </si>
  <si>
    <t>bu</t>
  </si>
  <si>
    <t>Truck</t>
  </si>
  <si>
    <t>Transport</t>
  </si>
  <si>
    <t>Semi</t>
  </si>
  <si>
    <t>/load</t>
  </si>
  <si>
    <t>Rd.Bales</t>
  </si>
  <si>
    <t>Sq.Bales</t>
  </si>
  <si>
    <t xml:space="preserve">     Bulk-Body Truck</t>
  </si>
  <si>
    <t xml:space="preserve">          Grain</t>
  </si>
  <si>
    <t xml:space="preserve">          Straw (Round Bales)</t>
  </si>
  <si>
    <t xml:space="preserve">          Straw (Square Bales)</t>
  </si>
  <si>
    <t xml:space="preserve">     Semi-Trailer</t>
  </si>
  <si>
    <t>Straw (Rd.Bale)</t>
  </si>
  <si>
    <t>Storage capacity of TRUCK</t>
  </si>
  <si>
    <t>Storage capacity of SEMI</t>
  </si>
  <si>
    <t>List</t>
  </si>
  <si>
    <r>
      <t>If use both trucks and semi</t>
    </r>
    <r>
      <rPr>
        <sz val="10"/>
        <rFont val="Times New Roman"/>
        <family val="1"/>
      </rPr>
      <t>:</t>
    </r>
  </si>
  <si>
    <t>Straw (Sq.Bale)</t>
  </si>
  <si>
    <t>If own grain processing and/or grain bins for on-farm processing and/or storage</t>
  </si>
  <si>
    <t>extrude beans</t>
  </si>
  <si>
    <t>W/o irrigation (tons/acre)</t>
  </si>
  <si>
    <t xml:space="preserve">     Baling Supplies</t>
  </si>
  <si>
    <t xml:space="preserve">     Twine Netting (Round Bales)</t>
  </si>
  <si>
    <t xml:space="preserve">     Twine (Round Bales)</t>
  </si>
  <si>
    <t xml:space="preserve">     Twine (Square Bales)</t>
  </si>
  <si>
    <t>bale</t>
  </si>
  <si>
    <t xml:space="preserve">     Grain Drying</t>
  </si>
  <si>
    <t xml:space="preserve">Corn Grain </t>
  </si>
  <si>
    <t xml:space="preserve">Total Yield (tons/acre): </t>
  </si>
  <si>
    <t xml:space="preserve">Avg. Price ($/ton): </t>
  </si>
  <si>
    <t xml:space="preserve"> Barley Straw Price ($/rd.bale): </t>
  </si>
  <si>
    <t>Barley Round Bale Weight (lb)</t>
  </si>
  <si>
    <t xml:space="preserve">Barley Grain Price ($/ton): </t>
  </si>
  <si>
    <t xml:space="preserve">Barley Straw Price ($/sq.bale): </t>
  </si>
  <si>
    <t xml:space="preserve">Barley Rd.Bale Straw Price ($/ton): </t>
  </si>
  <si>
    <t>Barley Square Bale Weight (lb)</t>
  </si>
  <si>
    <t xml:space="preserve">Barley Straw Yield (tons/acre): </t>
  </si>
  <si>
    <t xml:space="preserve">Barley Straw Yield (rd.bales/acre): </t>
  </si>
  <si>
    <t xml:space="preserve">Barley Grain Yield (tons/acre): </t>
  </si>
  <si>
    <t xml:space="preserve">Barley Straw Yield (sq.bales/acre): </t>
  </si>
  <si>
    <t xml:space="preserve">Oat Straw Price ($/ton): </t>
  </si>
  <si>
    <t xml:space="preserve">Oat Straw Price ($/rd.bale): </t>
  </si>
  <si>
    <t>Oat Round Bale Weight (lb)</t>
  </si>
  <si>
    <t xml:space="preserve">Oat Grain Price ($/ton): </t>
  </si>
  <si>
    <t xml:space="preserve">Oat Straw Price ($/sq.bale): </t>
  </si>
  <si>
    <t>Oat Square Bale Weight (lb)</t>
  </si>
  <si>
    <t xml:space="preserve">Oat Straw Yield (tons/acre): </t>
  </si>
  <si>
    <t xml:space="preserve">Oat Straw Yield (rd.bales/acre): </t>
  </si>
  <si>
    <t xml:space="preserve">Oat Straw Yield (sq.bales/acre): </t>
  </si>
  <si>
    <t xml:space="preserve">Oat Grain Yield (tons/acre): </t>
  </si>
  <si>
    <t xml:space="preserve">Barley Straw/Grain Ratio </t>
  </si>
  <si>
    <t xml:space="preserve">Oat Straw/Grain Ratio </t>
  </si>
  <si>
    <t xml:space="preserve">Rye Straw Price ($/ton): </t>
  </si>
  <si>
    <t xml:space="preserve">Rye Straw Price ($/rd.bale): </t>
  </si>
  <si>
    <t>Rye Round Bale Weight (lb)</t>
  </si>
  <si>
    <t xml:space="preserve">Rye Straw Yield (tons/acre): </t>
  </si>
  <si>
    <t xml:space="preserve">Rye Straw Yield (rd.bales/acre): </t>
  </si>
  <si>
    <t xml:space="preserve">Rye Grain Price ($/ton): </t>
  </si>
  <si>
    <t xml:space="preserve">Rye Straw Price ($/sq.bale): </t>
  </si>
  <si>
    <t>Rye Square Bale Weight (lb)</t>
  </si>
  <si>
    <t xml:space="preserve">Rye Straw Yield (sq.bales/acre): </t>
  </si>
  <si>
    <t xml:space="preserve">Rye Grain Yield (tons/acre): </t>
  </si>
  <si>
    <t xml:space="preserve">Wheat Grain Price ($/ton): </t>
  </si>
  <si>
    <t xml:space="preserve">Wheat Straw Price ($/ton): </t>
  </si>
  <si>
    <t xml:space="preserve">Wheat Straw Price ($/rd.bale): </t>
  </si>
  <si>
    <t>Wheat Round Bale Weight (lb)</t>
  </si>
  <si>
    <t xml:space="preserve">Wheat Straw Price ($/sq.bale): </t>
  </si>
  <si>
    <t>Wheat Square Bale Weight (lb)</t>
  </si>
  <si>
    <t xml:space="preserve">Rye Straw/Grain Ratio </t>
  </si>
  <si>
    <t xml:space="preserve">Wheat Straw/Grain Ratio </t>
  </si>
  <si>
    <r>
      <t>Oats</t>
    </r>
    <r>
      <rPr>
        <i/>
        <u/>
        <sz val="10"/>
        <rFont val="Times New Roman"/>
        <family val="1"/>
      </rPr>
      <t xml:space="preserve"> (Grain + Straw)</t>
    </r>
  </si>
  <si>
    <r>
      <t xml:space="preserve">Barley </t>
    </r>
    <r>
      <rPr>
        <i/>
        <u/>
        <sz val="10"/>
        <rFont val="Times New Roman"/>
        <family val="1"/>
      </rPr>
      <t>(Grain + Straw)</t>
    </r>
  </si>
  <si>
    <r>
      <t>Rye</t>
    </r>
    <r>
      <rPr>
        <i/>
        <u/>
        <sz val="10"/>
        <rFont val="Times New Roman"/>
        <family val="1"/>
      </rPr>
      <t xml:space="preserve"> (Grain + Straw)</t>
    </r>
  </si>
  <si>
    <r>
      <t>Wheat</t>
    </r>
    <r>
      <rPr>
        <i/>
        <u/>
        <sz val="10"/>
        <rFont val="Times New Roman"/>
        <family val="1"/>
      </rPr>
      <t xml:space="preserve"> (Grain + Straw)</t>
    </r>
  </si>
  <si>
    <t>PPI for Fruits/ Melons, Fresh/Dry Vegis, &amp; Nuts</t>
  </si>
  <si>
    <t>(Conduct sensitivity analysis with -10% to 20% yield response for MPEP)</t>
  </si>
  <si>
    <t>Potato % Yield Increase/Decrease</t>
  </si>
  <si>
    <t>Alfalfa % Yield Increase/Decrease</t>
  </si>
  <si>
    <t>S.Corn % Yield Increase/Decrease</t>
  </si>
  <si>
    <t>Haylage % Yield Increase/Decrease</t>
  </si>
  <si>
    <t>Sq.Bale % Yield Increase/Decrease</t>
  </si>
  <si>
    <t>Clover % Yield Increase/Decrease</t>
  </si>
  <si>
    <t>Pasture % Yield Increase/Decrease</t>
  </si>
  <si>
    <t>G.Corn % Yield Increase/Decrease</t>
  </si>
  <si>
    <t>Barley % Yield Increase/Decrease</t>
  </si>
  <si>
    <t>Oat % Yield Increase/Decrease</t>
  </si>
  <si>
    <t>Rye % Yield Increase/Decrease</t>
  </si>
  <si>
    <t>Soy % Yield Increase/Decrease</t>
  </si>
  <si>
    <t>Sudex % Yield Increase/Decrease</t>
  </si>
  <si>
    <t>Canola % Yield Increase/Decrease</t>
  </si>
  <si>
    <t>Broccoli % Yield Increase/Decrease</t>
  </si>
  <si>
    <t xml:space="preserve">    If yield target is increased / decreased</t>
  </si>
  <si>
    <t>If yld.target inc./dec.</t>
  </si>
  <si>
    <r>
      <t xml:space="preserve">         If yield target is increased</t>
    </r>
    <r>
      <rPr>
        <sz val="4"/>
        <color indexed="61"/>
        <rFont val="Times New Roman"/>
        <family val="1"/>
      </rPr>
      <t xml:space="preserve"> </t>
    </r>
    <r>
      <rPr>
        <sz val="10"/>
        <color indexed="61"/>
        <rFont val="Times New Roman"/>
        <family val="1"/>
      </rPr>
      <t>/</t>
    </r>
    <r>
      <rPr>
        <sz val="4"/>
        <color indexed="61"/>
        <rFont val="Times New Roman"/>
        <family val="1"/>
      </rPr>
      <t xml:space="preserve"> </t>
    </r>
    <r>
      <rPr>
        <sz val="10"/>
        <color indexed="61"/>
        <rFont val="Times New Roman"/>
        <family val="1"/>
      </rPr>
      <t>decreased</t>
    </r>
  </si>
  <si>
    <t>Bale Type</t>
  </si>
  <si>
    <t>Round</t>
  </si>
  <si>
    <t>Square</t>
  </si>
  <si>
    <t xml:space="preserve">    If yield target is increased / decreased (RB)</t>
  </si>
  <si>
    <t xml:space="preserve">    If yield target is increased / decreased (SB)</t>
  </si>
  <si>
    <r>
      <rPr>
        <u/>
        <sz val="10"/>
        <rFont val="Times New Roman"/>
        <family val="1"/>
      </rPr>
      <t>HAYLAGE</t>
    </r>
    <r>
      <rPr>
        <sz val="10"/>
        <rFont val="Times New Roman"/>
        <family val="1"/>
      </rPr>
      <t>:</t>
    </r>
  </si>
  <si>
    <r>
      <rPr>
        <u/>
        <sz val="10"/>
        <rFont val="Times New Roman"/>
        <family val="1"/>
      </rPr>
      <t>DRY HAY</t>
    </r>
    <r>
      <rPr>
        <sz val="10"/>
        <rFont val="Times New Roman"/>
        <family val="1"/>
      </rPr>
      <t>:</t>
    </r>
  </si>
  <si>
    <t xml:space="preserve">      Move &amp; Store Round Bales</t>
  </si>
  <si>
    <t xml:space="preserve">      Move &amp; Store Square Bales</t>
  </si>
  <si>
    <t>Second Cut</t>
  </si>
  <si>
    <t>Dry Hay</t>
  </si>
  <si>
    <t xml:space="preserve">    If yield target is increased (RB)</t>
  </si>
  <si>
    <t xml:space="preserve">    If yield target is increased (SB)</t>
  </si>
  <si>
    <t>Rd.Bale Twine</t>
  </si>
  <si>
    <t>Netting</t>
  </si>
  <si>
    <t>Twine</t>
  </si>
  <si>
    <t>Prop.Used</t>
  </si>
  <si>
    <t xml:space="preserve">Assume clover stand lasts 3 years </t>
  </si>
  <si>
    <t>Establish Hay</t>
  </si>
  <si>
    <t>Establish Haylage</t>
  </si>
  <si>
    <t>Establish Grazing</t>
  </si>
  <si>
    <r>
      <t xml:space="preserve">      Tead 2nd Cut (</t>
    </r>
    <r>
      <rPr>
        <i/>
        <sz val="10"/>
        <rFont val="Times New Roman"/>
        <family val="1"/>
      </rPr>
      <t>For % that is dry hay</t>
    </r>
    <r>
      <rPr>
        <sz val="10"/>
        <rFont val="Times New Roman"/>
        <family val="1"/>
      </rPr>
      <t>)</t>
    </r>
  </si>
  <si>
    <r>
      <t xml:space="preserve">      Rake 2nd Cut (</t>
    </r>
    <r>
      <rPr>
        <i/>
        <sz val="10"/>
        <rFont val="Times New Roman"/>
        <family val="1"/>
      </rPr>
      <t>For % that is dry hay</t>
    </r>
    <r>
      <rPr>
        <sz val="10"/>
        <rFont val="Times New Roman"/>
        <family val="1"/>
      </rPr>
      <t>)</t>
    </r>
  </si>
  <si>
    <r>
      <t xml:space="preserve">      Round Bale 2nd Cut (</t>
    </r>
    <r>
      <rPr>
        <i/>
        <sz val="10"/>
        <rFont val="Times New Roman"/>
        <family val="1"/>
      </rPr>
      <t>For % that is dry hay</t>
    </r>
    <r>
      <rPr>
        <sz val="10"/>
        <rFont val="Times New Roman"/>
        <family val="1"/>
      </rPr>
      <t>)</t>
    </r>
  </si>
  <si>
    <r>
      <t xml:space="preserve">      Move &amp; Store Rd.Bales (</t>
    </r>
    <r>
      <rPr>
        <i/>
        <sz val="10"/>
        <rFont val="Times New Roman"/>
        <family val="1"/>
      </rPr>
      <t>For % that is dry hay</t>
    </r>
    <r>
      <rPr>
        <sz val="10"/>
        <rFont val="Times New Roman"/>
        <family val="1"/>
      </rPr>
      <t>)</t>
    </r>
  </si>
  <si>
    <r>
      <t xml:space="preserve">      Square Bale 2nd Cut (</t>
    </r>
    <r>
      <rPr>
        <i/>
        <sz val="10"/>
        <rFont val="Times New Roman"/>
        <family val="1"/>
      </rPr>
      <t>For % that is dry hay</t>
    </r>
    <r>
      <rPr>
        <sz val="10"/>
        <rFont val="Times New Roman"/>
        <family val="1"/>
      </rPr>
      <t>)</t>
    </r>
  </si>
  <si>
    <r>
      <t xml:space="preserve">      Move &amp; Store Sq.Bales (</t>
    </r>
    <r>
      <rPr>
        <i/>
        <sz val="10"/>
        <rFont val="Times New Roman"/>
        <family val="1"/>
      </rPr>
      <t>For % that is dry hay</t>
    </r>
    <r>
      <rPr>
        <sz val="10"/>
        <rFont val="Times New Roman"/>
        <family val="1"/>
      </rPr>
      <t>)</t>
    </r>
  </si>
  <si>
    <r>
      <t xml:space="preserve">      Truck 2nd Cut (</t>
    </r>
    <r>
      <rPr>
        <i/>
        <sz val="10"/>
        <rFont val="Times New Roman"/>
        <family val="1"/>
      </rPr>
      <t>For % that is RB dry hay</t>
    </r>
    <r>
      <rPr>
        <sz val="10"/>
        <rFont val="Times New Roman"/>
        <family val="1"/>
      </rPr>
      <t>)</t>
    </r>
  </si>
  <si>
    <r>
      <t xml:space="preserve">      Truck 2nd Cut (</t>
    </r>
    <r>
      <rPr>
        <i/>
        <sz val="10"/>
        <rFont val="Times New Roman"/>
        <family val="1"/>
      </rPr>
      <t>For % that is SB dry hay</t>
    </r>
    <r>
      <rPr>
        <sz val="10"/>
        <rFont val="Times New Roman"/>
        <family val="1"/>
      </rPr>
      <t>)</t>
    </r>
  </si>
  <si>
    <t xml:space="preserve">      Truck 2nd Cut Round Bales</t>
  </si>
  <si>
    <t xml:space="preserve">      Truck 2nd Cut Square Bales</t>
  </si>
  <si>
    <t>Truck 2nd Cut (RB)</t>
  </si>
  <si>
    <t>Truck 2nd Cut (SB)</t>
  </si>
  <si>
    <t xml:space="preserve">      Truck 1st Cut Round Bales</t>
  </si>
  <si>
    <t>Truck 1st Cut (RB)</t>
  </si>
  <si>
    <t xml:space="preserve">      Truck 1st Cut Square Bales</t>
  </si>
  <si>
    <t>Truck 1st Cut (SB)</t>
  </si>
  <si>
    <t>Wet</t>
  </si>
  <si>
    <t>Dry</t>
  </si>
  <si>
    <t>Graze</t>
  </si>
  <si>
    <t>Stored Feed</t>
  </si>
  <si>
    <t>Rd.Bale Hay</t>
  </si>
  <si>
    <t>Sq.Bale Hay</t>
  </si>
  <si>
    <r>
      <t xml:space="preserve">      Tead 1st Cut (</t>
    </r>
    <r>
      <rPr>
        <i/>
        <sz val="10"/>
        <rFont val="Times New Roman"/>
        <family val="1"/>
      </rPr>
      <t>For % that is dry hay</t>
    </r>
    <r>
      <rPr>
        <sz val="10"/>
        <rFont val="Times New Roman"/>
        <family val="1"/>
      </rPr>
      <t xml:space="preserve">) </t>
    </r>
  </si>
  <si>
    <r>
      <t xml:space="preserve">      Rake 1st Cut (</t>
    </r>
    <r>
      <rPr>
        <i/>
        <sz val="10"/>
        <rFont val="Times New Roman"/>
        <family val="1"/>
      </rPr>
      <t>For % that is dry hay</t>
    </r>
    <r>
      <rPr>
        <sz val="10"/>
        <rFont val="Times New Roman"/>
        <family val="1"/>
      </rPr>
      <t>)</t>
    </r>
  </si>
  <si>
    <r>
      <t xml:space="preserve">      Round Bale 1st Cut (</t>
    </r>
    <r>
      <rPr>
        <i/>
        <sz val="10"/>
        <rFont val="Times New Roman"/>
        <family val="1"/>
      </rPr>
      <t>For % that is dry hay</t>
    </r>
    <r>
      <rPr>
        <sz val="10"/>
        <rFont val="Times New Roman"/>
        <family val="1"/>
      </rPr>
      <t>)</t>
    </r>
  </si>
  <si>
    <r>
      <t xml:space="preserve">      Square Bale 1st Cut (</t>
    </r>
    <r>
      <rPr>
        <i/>
        <sz val="10"/>
        <rFont val="Times New Roman"/>
        <family val="1"/>
      </rPr>
      <t>For % that is dry hay</t>
    </r>
    <r>
      <rPr>
        <sz val="10"/>
        <rFont val="Times New Roman"/>
        <family val="1"/>
      </rPr>
      <t xml:space="preserve">) </t>
    </r>
  </si>
  <si>
    <r>
      <t xml:space="preserve">      Truck 1st Cut Rd.Bales (</t>
    </r>
    <r>
      <rPr>
        <i/>
        <sz val="10"/>
        <rFont val="Times New Roman"/>
        <family val="1"/>
      </rPr>
      <t>For % that is dry hay</t>
    </r>
    <r>
      <rPr>
        <sz val="10"/>
        <rFont val="Times New Roman"/>
        <family val="1"/>
      </rPr>
      <t>)</t>
    </r>
  </si>
  <si>
    <r>
      <t xml:space="preserve">      Truck 1st Cut Sq.Bales (</t>
    </r>
    <r>
      <rPr>
        <i/>
        <sz val="10"/>
        <rFont val="Times New Roman"/>
        <family val="1"/>
      </rPr>
      <t>For % that is dry hay</t>
    </r>
    <r>
      <rPr>
        <sz val="10"/>
        <rFont val="Times New Roman"/>
        <family val="1"/>
      </rPr>
      <t>)</t>
    </r>
  </si>
  <si>
    <t>Haylage or Hay</t>
  </si>
  <si>
    <t>% Rd.Bale Twine</t>
  </si>
  <si>
    <t>Twine Netting</t>
  </si>
  <si>
    <t>Do for corn grain, every single small grain, canola, soybeans, and broccoli</t>
  </si>
  <si>
    <t>?</t>
  </si>
  <si>
    <t xml:space="preserve">          Broccoli</t>
  </si>
  <si>
    <t>lb/case</t>
  </si>
  <si>
    <t>min cases</t>
  </si>
  <si>
    <t>max cases</t>
  </si>
  <si>
    <t>range (lb)</t>
  </si>
  <si>
    <t>min acres</t>
  </si>
  <si>
    <t>max acres</t>
  </si>
  <si>
    <t>AL average cases per acre</t>
  </si>
  <si>
    <t>cases/acre</t>
  </si>
  <si>
    <t>AL average lb per acre</t>
  </si>
  <si>
    <t>MAINE BROCCOLI</t>
  </si>
  <si>
    <t xml:space="preserve">      Hand Harvest &amp; Pack Broccoli</t>
  </si>
  <si>
    <t xml:space="preserve">     Cartons</t>
  </si>
  <si>
    <t xml:space="preserve">     Ice</t>
  </si>
  <si>
    <t>lb ice assumed used per carton</t>
  </si>
  <si>
    <t>cwt/load</t>
  </si>
  <si>
    <t>Workers</t>
  </si>
  <si>
    <t>Hr/Worker</t>
  </si>
  <si>
    <t>Time Diff.</t>
  </si>
  <si>
    <t>Salvage Value (%)</t>
  </si>
  <si>
    <t xml:space="preserve">Return to Total Labor </t>
  </si>
  <si>
    <t>Hourly</t>
  </si>
  <si>
    <t>Long-run Return to Total Labor</t>
  </si>
  <si>
    <t>Short-run Return to Total Labor</t>
  </si>
  <si>
    <t xml:space="preserve">      Bin Pile at Storage</t>
  </si>
  <si>
    <t>Bin Pile at Storage</t>
  </si>
  <si>
    <t>Gal/Load</t>
  </si>
  <si>
    <t>Gallons</t>
  </si>
  <si>
    <t>Miles</t>
  </si>
  <si>
    <t>Round Trip</t>
  </si>
  <si>
    <t xml:space="preserve">  Loading</t>
  </si>
  <si>
    <t xml:space="preserve">  Trucking</t>
  </si>
  <si>
    <t>Hr/Load</t>
  </si>
  <si>
    <t>Total Hr</t>
  </si>
  <si>
    <t>loads</t>
  </si>
  <si>
    <t>Adjuvants</t>
  </si>
  <si>
    <t>Storage Treatments</t>
  </si>
  <si>
    <t xml:space="preserve">  Foam Buster</t>
  </si>
  <si>
    <t xml:space="preserve">  Boost</t>
  </si>
  <si>
    <t xml:space="preserve">  VBS-007</t>
  </si>
  <si>
    <t xml:space="preserve">      Herbicides</t>
  </si>
  <si>
    <t xml:space="preserve">      Insecticides</t>
  </si>
  <si>
    <t xml:space="preserve">      Fungicides</t>
  </si>
  <si>
    <t xml:space="preserve">      Vine Dessicant</t>
  </si>
  <si>
    <t xml:space="preserve">      Adjuvants</t>
  </si>
  <si>
    <t xml:space="preserve">      Storage Treatments</t>
  </si>
  <si>
    <t>Miscellaneous Expenses Total:</t>
  </si>
  <si>
    <t xml:space="preserve">     Chopper head (Pull-behind)</t>
  </si>
  <si>
    <t>Spring</t>
  </si>
  <si>
    <t>Winter</t>
  </si>
  <si>
    <t>Food grade</t>
  </si>
  <si>
    <t>Feed grade</t>
  </si>
  <si>
    <t>Spr.Wht.Yield (bu)</t>
  </si>
  <si>
    <t>Wint.Wht.Yield (bu)</t>
  </si>
  <si>
    <t>Food</t>
  </si>
  <si>
    <t>Feed</t>
  </si>
  <si>
    <t>Baseline Dryer(s)</t>
  </si>
  <si>
    <t>man.spread</t>
  </si>
  <si>
    <t>spin spread</t>
  </si>
  <si>
    <t>ME Grain &amp; Pulse</t>
  </si>
  <si>
    <t>Spread Solid Manure</t>
  </si>
  <si>
    <t>Spin Spread Fertilizer</t>
  </si>
  <si>
    <t xml:space="preserve">      Spin Spread Fertilizer</t>
  </si>
  <si>
    <t>Peas</t>
  </si>
  <si>
    <t>Ryegrass</t>
  </si>
  <si>
    <t xml:space="preserve">  Spread Solid Manure</t>
  </si>
  <si>
    <t xml:space="preserve">  Additional labor - Drying</t>
  </si>
  <si>
    <t xml:space="preserve">  Additional fuel - Drying</t>
  </si>
  <si>
    <r>
      <t xml:space="preserve">    </t>
    </r>
    <r>
      <rPr>
        <u/>
        <sz val="10"/>
        <rFont val="Times New Roman"/>
        <family val="1"/>
      </rPr>
      <t>Crop Drying</t>
    </r>
  </si>
  <si>
    <t>Annual Triticale Budget</t>
  </si>
  <si>
    <t>Triticale Price ($/bu)</t>
  </si>
  <si>
    <t>Triticale Yield (bu)</t>
  </si>
  <si>
    <t>Triticale % Yield Increase/Decrease</t>
  </si>
  <si>
    <t xml:space="preserve">Triticale Straw Price ($/ton): </t>
  </si>
  <si>
    <t xml:space="preserve">Triticale Straw Price ($/rd.bale): </t>
  </si>
  <si>
    <t>Triticale Round Bale Weight (lb)</t>
  </si>
  <si>
    <t xml:space="preserve">Triticale Grain Price ($/ton): </t>
  </si>
  <si>
    <t xml:space="preserve">Triticale Straw Price ($/sq.bale): </t>
  </si>
  <si>
    <t>Triticale Square Bale Weight (lb)</t>
  </si>
  <si>
    <t>Spr.Trt.Yield (bu)</t>
  </si>
  <si>
    <t>Wint.Trt.Yield (bu)</t>
  </si>
  <si>
    <t xml:space="preserve">Triticale Straw Yield (tons/acre): </t>
  </si>
  <si>
    <t xml:space="preserve">Triticale Straw Yield (rd.bales/acre): </t>
  </si>
  <si>
    <t xml:space="preserve">Triticale Grain Yield (tons/acre): </t>
  </si>
  <si>
    <t xml:space="preserve">Triticale Straw Yield (sq.bales/acre): </t>
  </si>
  <si>
    <t xml:space="preserve">Triticale Straw/Grain Ratio </t>
  </si>
  <si>
    <r>
      <t>Triticale</t>
    </r>
    <r>
      <rPr>
        <i/>
        <u/>
        <sz val="10"/>
        <rFont val="Times New Roman"/>
        <family val="1"/>
      </rPr>
      <t xml:space="preserve"> (Grain + Straw)</t>
    </r>
  </si>
  <si>
    <t>Spelt Price ($/bu)</t>
  </si>
  <si>
    <t>Spelt Yield (bu)</t>
  </si>
  <si>
    <t xml:space="preserve">Spelt Straw Price ($/ton): </t>
  </si>
  <si>
    <t xml:space="preserve">Spelt Straw Price ($/rd.bale): </t>
  </si>
  <si>
    <t>Spelt Round Bale Weight (lb)</t>
  </si>
  <si>
    <t xml:space="preserve">Spelt Straw Yield (tons/acre): </t>
  </si>
  <si>
    <t xml:space="preserve">Spelt Straw Yield (rd.bales/acre): </t>
  </si>
  <si>
    <t xml:space="preserve">Spelt Grain Price ($/ton): </t>
  </si>
  <si>
    <t xml:space="preserve">Spelt Straw Price ($/sq.bale): </t>
  </si>
  <si>
    <t>Spelt Square Bale Weight (lb)</t>
  </si>
  <si>
    <t xml:space="preserve">Spelt Grain Yield (tons/acre): </t>
  </si>
  <si>
    <t xml:space="preserve">Spelt Straw Yield (sq.bales/acre): </t>
  </si>
  <si>
    <t xml:space="preserve">Spelt Straw/Grain Ratio </t>
  </si>
  <si>
    <t>Spr.Splt.Yield (bu)</t>
  </si>
  <si>
    <t>Wint.Splt.Yield (bu)</t>
  </si>
  <si>
    <t>Pea Price ($/bu)</t>
  </si>
  <si>
    <t>Pea Yield (bu)</t>
  </si>
  <si>
    <t>Pea % Yield Increase/Decrease</t>
  </si>
  <si>
    <t>Triticale Operating Costs</t>
  </si>
  <si>
    <t>Rd.Bale % Yield Incr./Decr.</t>
  </si>
  <si>
    <t>Trt.Switch</t>
  </si>
  <si>
    <t>Splt.Switch</t>
  </si>
  <si>
    <t xml:space="preserve">      Spin Spread Chilean Nitrate</t>
  </si>
  <si>
    <t>Duration of operating loan (months)</t>
  </si>
  <si>
    <t>Triticale Ownership Costs</t>
  </si>
  <si>
    <t>Equipment (Triticale)</t>
  </si>
  <si>
    <t>Land (Triticale)</t>
  </si>
  <si>
    <t>Buildings &amp; Storages (Triticale)</t>
  </si>
  <si>
    <t>Total Investment (Triticale)</t>
  </si>
  <si>
    <t>Spelt Operating Costs</t>
  </si>
  <si>
    <t>Spelt % Yield Increase/Decrease</t>
  </si>
  <si>
    <t>Spelt Ownership Costs</t>
  </si>
  <si>
    <t>Annual Spelt Budget</t>
  </si>
  <si>
    <t>Soybeans (w/o inoculant)</t>
  </si>
  <si>
    <t>Inoculant for Soybeans</t>
  </si>
  <si>
    <t xml:space="preserve">      Cultivate Soybeans &amp; Peas</t>
  </si>
  <si>
    <t>Cultivate Soy &amp; Peas</t>
  </si>
  <si>
    <t>Peas Operating Costs</t>
  </si>
  <si>
    <t>Peas (w/o inoculant)</t>
  </si>
  <si>
    <t>Peas Ownership Costs</t>
  </si>
  <si>
    <t>42 bu</t>
  </si>
  <si>
    <t>25 bu</t>
  </si>
  <si>
    <t>1,500 lb</t>
  </si>
  <si>
    <t>8,000 lb</t>
  </si>
  <si>
    <t xml:space="preserve">      Combine Soybeans &amp; Peas</t>
  </si>
  <si>
    <t>Combine Soy &amp; Peas</t>
  </si>
  <si>
    <t xml:space="preserve">        Rent or Lease (Land)</t>
  </si>
  <si>
    <t>Insurance (Crop)</t>
  </si>
  <si>
    <t>Labor (@ $12.29/hour)</t>
  </si>
  <si>
    <t>Lime custom hire</t>
  </si>
  <si>
    <t>Lime application (Avg. per year)</t>
  </si>
  <si>
    <t>Need to set at $75 per acre custom applied which includes material and labor.</t>
  </si>
  <si>
    <t>Lime duration (Years)</t>
  </si>
  <si>
    <t>years</t>
  </si>
  <si>
    <t>Lime application (ton/acre)</t>
  </si>
  <si>
    <t>Utilities (Months used)</t>
  </si>
  <si>
    <t>month(s)</t>
  </si>
  <si>
    <t>Utilities ($/month)</t>
  </si>
  <si>
    <t>/month</t>
  </si>
  <si>
    <t>300 Acre - Grain &amp; Pulse Operation</t>
  </si>
  <si>
    <t>Triticale Acreage</t>
  </si>
  <si>
    <t>Spelt Acreage</t>
  </si>
  <si>
    <t>Pea Acreage</t>
  </si>
  <si>
    <t>Building(s)</t>
  </si>
  <si>
    <t>Combine Soy Head</t>
  </si>
  <si>
    <t>Row Cultivator</t>
  </si>
  <si>
    <t>Combine / Auger</t>
  </si>
  <si>
    <t>Combine Sm.Grain Hd.</t>
  </si>
  <si>
    <t>Combine Value</t>
  </si>
  <si>
    <t>Small Grain</t>
  </si>
  <si>
    <t>Straw</t>
  </si>
  <si>
    <t xml:space="preserve">        Custom Hire (Lime @ 5 yrs)</t>
  </si>
  <si>
    <t xml:space="preserve">        Grain Drying</t>
  </si>
  <si>
    <t>Annual Pea Budget</t>
  </si>
  <si>
    <t xml:space="preserve">        Tractor(s)</t>
  </si>
  <si>
    <t xml:space="preserve">        Trucks</t>
  </si>
  <si>
    <t xml:space="preserve">        Planting Equipment</t>
  </si>
  <si>
    <t xml:space="preserve">        Tillage Equipment</t>
  </si>
  <si>
    <t xml:space="preserve">        Spraying Equipment</t>
  </si>
  <si>
    <t xml:space="preserve">        Irrigation Equipment</t>
  </si>
  <si>
    <t xml:space="preserve">        Harvesting Equipment</t>
  </si>
  <si>
    <t xml:space="preserve">        Miscellaneous Equipment</t>
  </si>
  <si>
    <t xml:space="preserve">        Land</t>
  </si>
  <si>
    <t xml:space="preserve">        Building(s)</t>
  </si>
  <si>
    <t xml:space="preserve">        Storage Equipment</t>
  </si>
  <si>
    <t xml:space="preserve">        Spread Solid Manure</t>
  </si>
  <si>
    <t xml:space="preserve">        Disk Harrow</t>
  </si>
  <si>
    <t xml:space="preserve">        Finish Harrow</t>
  </si>
  <si>
    <t xml:space="preserve">        Grain Drill</t>
  </si>
  <si>
    <t xml:space="preserve">        Combine</t>
  </si>
  <si>
    <t xml:space="preserve">        Chisel Plow</t>
  </si>
  <si>
    <t xml:space="preserve">        Drying</t>
  </si>
  <si>
    <t>Oil</t>
  </si>
  <si>
    <t xml:space="preserve">        Spin Spread Chilean Nitrate</t>
  </si>
  <si>
    <t>Diesel Fuel (@ $2.56/gal)</t>
  </si>
  <si>
    <t>Diesel Fuel (@ $2.56/gal) and Oil</t>
  </si>
  <si>
    <t>All Grain &amp; Pulse Drying ($/bu)</t>
  </si>
  <si>
    <t>hr needed</t>
  </si>
  <si>
    <t>hr/acre</t>
  </si>
  <si>
    <t>bu/day</t>
  </si>
  <si>
    <t>days to dry</t>
  </si>
  <si>
    <t>bu total for all 3 crops in rotation</t>
  </si>
  <si>
    <t>hr/day</t>
  </si>
  <si>
    <t>hrs total for all 3 crops in rotation</t>
  </si>
  <si>
    <t>total acres</t>
  </si>
  <si>
    <t>Adjusted All Grain &amp; Pulse Drying ($/bu)</t>
  </si>
  <si>
    <t>wage rate</t>
  </si>
  <si>
    <t>bu/acre on avg. for all 8 crops</t>
  </si>
  <si>
    <t>/bu for new labor cost per bushel</t>
  </si>
  <si>
    <t>Just Labor for Drying ($/bu)</t>
  </si>
  <si>
    <t>According to Andrew Plant can assume food grade is 20% more than feed grade</t>
  </si>
  <si>
    <t>bu/hr</t>
  </si>
  <si>
    <t>Too much time!</t>
  </si>
  <si>
    <t>Soybean Drying if 22% to 12% moisture ($/bu)</t>
  </si>
  <si>
    <t xml:space="preserve">        Cultivate</t>
  </si>
  <si>
    <t xml:space="preserve">Diesel Fuel (@ $2.56/gal) </t>
  </si>
  <si>
    <t xml:space="preserve">      Truck Peas</t>
  </si>
  <si>
    <t xml:space="preserve">      Combine Peas</t>
  </si>
  <si>
    <t xml:space="preserve">      Plant Peas</t>
  </si>
  <si>
    <t xml:space="preserve">      Truck Spelt</t>
  </si>
  <si>
    <t xml:space="preserve">      Truck Triticale</t>
  </si>
  <si>
    <t>Fertilizer (Chicken manure @ 3 tons/acre)</t>
  </si>
  <si>
    <t>Fertilizer (Chicken manure @ 1 ton/acre)</t>
  </si>
  <si>
    <t xml:space="preserve">      Chicken Manure (3 tons/acre @ $35/ton)</t>
  </si>
  <si>
    <t xml:space="preserve">      Chilean Nitrate (100 lb/acre @ $0.60/lb)</t>
  </si>
  <si>
    <t>Maintenance &amp; Upkeep per Acre</t>
  </si>
  <si>
    <t>Per-Acre Interest Cost ($/acre)</t>
  </si>
  <si>
    <t>Inoculant for Peas</t>
  </si>
  <si>
    <t>Annual Hay Budget</t>
  </si>
  <si>
    <t>Baled Dry Hay Price ($/bale)</t>
  </si>
  <si>
    <t>Clover Yield (tons)</t>
  </si>
  <si>
    <t>Annual Grazing Budget</t>
  </si>
  <si>
    <t>Grazing Budget</t>
  </si>
  <si>
    <t>Grazing Yield (tons)</t>
  </si>
  <si>
    <t>Grazing Shadow Price ($/ton)</t>
  </si>
  <si>
    <t>Annual Corn Grain Budget</t>
  </si>
  <si>
    <t>Corn Grain Yield (bu)</t>
  </si>
  <si>
    <t>Corn Grain Price ($/bu)</t>
  </si>
  <si>
    <t xml:space="preserve">        Fencing</t>
  </si>
  <si>
    <t>Annual Whole Farm Budget</t>
  </si>
  <si>
    <t>Useful Life (years) - Calculated from Equipment Hours</t>
  </si>
  <si>
    <t>Accumulated hours at trade-in</t>
  </si>
  <si>
    <t>Percent of ASAE estimated wearout life</t>
  </si>
  <si>
    <t>Annual hrs of use</t>
  </si>
  <si>
    <t>Expected years to trade-in when annual usage and hours to trade-in vary:</t>
  </si>
  <si>
    <t>105 HP MFWD power unit</t>
  </si>
  <si>
    <t>Lazarus, Machdata.xlsm</t>
  </si>
  <si>
    <t>http://wlazarus.cfans.umn.edu/william-lazarus-spreadsheet-decision-tools/</t>
  </si>
  <si>
    <t>Accumulated hours at trade-in as a percentage of ASAE estimated useful life</t>
  </si>
  <si>
    <t>Annual use, acres</t>
  </si>
  <si>
    <t>Total Equipment Hours for All Crops (summed over all crop "OwnC" worksheets)</t>
  </si>
  <si>
    <t xml:space="preserve">      Combine Barley</t>
  </si>
  <si>
    <t xml:space="preserve">      Combine Oats</t>
  </si>
  <si>
    <t xml:space="preserve">      Combine Rye</t>
  </si>
  <si>
    <t xml:space="preserve">      Combine Wheat</t>
  </si>
  <si>
    <t xml:space="preserve">      Combine Triticale</t>
  </si>
  <si>
    <t xml:space="preserve">      Combine Spelt</t>
  </si>
  <si>
    <t>Bushels/Hour</t>
  </si>
  <si>
    <t>for wet corn grain</t>
  </si>
  <si>
    <t>for wet barley</t>
  </si>
  <si>
    <t>for wet oats</t>
  </si>
  <si>
    <t>for wet rye</t>
  </si>
  <si>
    <t>for wet wheat</t>
  </si>
  <si>
    <t>for wet triticale</t>
  </si>
  <si>
    <t>for wet spelt</t>
  </si>
  <si>
    <t>for wet peas</t>
  </si>
  <si>
    <t>for wet soybeans</t>
  </si>
  <si>
    <t>Drying Time</t>
  </si>
  <si>
    <t>weeks (minimum)</t>
  </si>
  <si>
    <t>weeks (maximum)</t>
  </si>
  <si>
    <t>weeks (average)</t>
  </si>
  <si>
    <t>days/week</t>
  </si>
  <si>
    <t>hours/day</t>
  </si>
  <si>
    <t>hours (average)</t>
  </si>
  <si>
    <t>Spin Spreader</t>
  </si>
  <si>
    <t>for wheat</t>
  </si>
  <si>
    <t>for triticale</t>
  </si>
  <si>
    <t>for spelt</t>
  </si>
  <si>
    <t>Useful Life (yrs)</t>
  </si>
  <si>
    <t>Average</t>
  </si>
  <si>
    <t>Large tractor (160 hp) - MEDIUM SIZE</t>
  </si>
  <si>
    <t>Medium tractor (105 hp) - MEDIUM SIZE</t>
  </si>
  <si>
    <t>Large tractor (200 hp) - LARGE SIZE</t>
  </si>
  <si>
    <t>Smaller tractor (75 hp) - SMALL SIZE</t>
  </si>
  <si>
    <t>Large tractor (160 hp) - LARGE SIZE</t>
  </si>
  <si>
    <t>Large tractor (160 hp) - LARGE SIZE (potato)</t>
  </si>
  <si>
    <t>Smaller Tractor</t>
  </si>
  <si>
    <t>Medium tractor (105 hp) - MEDIUM SIZE (potato)</t>
  </si>
  <si>
    <t>Medium tractor (105 hp) - SMALL SIZE (potato)</t>
  </si>
  <si>
    <t>Number</t>
  </si>
  <si>
    <t>Medium/Large tractor (130 hp) - SMALL SIZE</t>
  </si>
  <si>
    <t>Chisel Plow (15 ft) - SMALL SIZE</t>
  </si>
  <si>
    <t>Chisel Plow (15 ft) - MEDIUM SIZE</t>
  </si>
  <si>
    <t>Chisel Plow (23 ft) - LARGE SIZE</t>
  </si>
  <si>
    <t>chisel plow</t>
  </si>
  <si>
    <t>disk harrow</t>
  </si>
  <si>
    <t>Disk Harrow (12 ft) - SMALL SIZE</t>
  </si>
  <si>
    <t>Disk Harrow (21 ft) - MEDIUM SIZE</t>
  </si>
  <si>
    <t>Disk Harrow (30 ft) - LARGE SIZE</t>
  </si>
  <si>
    <t>Cultivators - 6 row (15 ft) - SMALL SIZE</t>
  </si>
  <si>
    <t>Soil Conditioner/Field Cultivator (18 ft) - SMALL SIZE</t>
  </si>
  <si>
    <t>Soil Conditioner/Field Cultivator (18 ft) - MEDIUM SIZE</t>
  </si>
  <si>
    <t>Soil Conditioner/Field Cultivator (18 ft) - LARGE SIZE</t>
  </si>
  <si>
    <t>Cultivators - 12 row (30 ft) - MEDIUM SIZE</t>
  </si>
  <si>
    <t>Cultivators - 12 row (30 ft) - LARGE SIZE</t>
  </si>
  <si>
    <t>Grain Drill (Presswheel, 25 ft) - MEDIUM SIZE</t>
  </si>
  <si>
    <t>Grain Drill (Presswheel, 16 ft) - SMALL SIZE</t>
  </si>
  <si>
    <t>Grain Drill (Presswheel, 30 ft) - LARGE SIZE</t>
  </si>
  <si>
    <t>Spin Spreader (Chilean nitrate, 50 ft swath) - SMALL SIZE</t>
  </si>
  <si>
    <t>Fuel Tanks - SMALL SIZE</t>
  </si>
  <si>
    <t>Shop Tools - SMALL SIZE</t>
  </si>
  <si>
    <t>Fuel Tanks - MEDIUM SIZE</t>
  </si>
  <si>
    <t>Shop Tools - MEDIUM SIZE</t>
  </si>
  <si>
    <t>Fuel Tanks - LARGE SIZE</t>
  </si>
  <si>
    <t>Shop Tools - LARGE SIZE</t>
  </si>
  <si>
    <t>Manure Spreader - SMALL SIZE</t>
  </si>
  <si>
    <t>Spin Spreader (Chilean nitrate, 50 ft swath) - MEDIUM SIZE</t>
  </si>
  <si>
    <t>Spin Spreader (Chilean nitrate, 50 ft swath) - LARGE SIZE</t>
  </si>
  <si>
    <t>Manure Spreader - MEDIUM SIZE</t>
  </si>
  <si>
    <t>Manure Spreader - LARGE SIZE</t>
  </si>
  <si>
    <t>Shop/Loading Shed - SMALL SIZE</t>
  </si>
  <si>
    <t>Shop/Loading Shed - MEDIUM SIZE</t>
  </si>
  <si>
    <t>Shop/Loading Shed - LARGE SIZE</t>
  </si>
  <si>
    <t>Crop Cleaning</t>
  </si>
  <si>
    <t>Grain Cleaner - SMALL SIZE</t>
  </si>
  <si>
    <t>Combine (IHC) - SMALL SIZE</t>
  </si>
  <si>
    <t>Combine (IHC) - MEDIUM SIZE</t>
  </si>
  <si>
    <t>Combine (IHC) - LARGE SIZE</t>
  </si>
  <si>
    <t>Grain Cleaner - MEDIUM SIZE</t>
  </si>
  <si>
    <t>Grain Cleaner - LARGE SIZE</t>
  </si>
  <si>
    <t>grain cleaner</t>
  </si>
  <si>
    <t>Grain Auger(s) - SMALL SIZE</t>
  </si>
  <si>
    <t>Grain Auger(s) - MEDIUM SIZE</t>
  </si>
  <si>
    <t>Grain Auger(s) - LARGE SIZE</t>
  </si>
  <si>
    <t>Crop Cleaning Equipment</t>
  </si>
  <si>
    <t>Grain Bin (Barley) - MEDIUM SIZE</t>
  </si>
  <si>
    <t>Grain Bin (Barley) - LARGE SIZE</t>
  </si>
  <si>
    <t>Grain Bin (Oats) - MEDIUM SIZE</t>
  </si>
  <si>
    <t>Grain Bin (Oats) - LARGE SIZE</t>
  </si>
  <si>
    <t>Grain Bin (Rye) - MEDIUM SIZE</t>
  </si>
  <si>
    <t>Grain Bin (Rye) - LARGE SIZE</t>
  </si>
  <si>
    <t>Grain Bin (Triticale) - MEDIUM SIZE</t>
  </si>
  <si>
    <t>Grain Bin (Triticale) - LARGE SIZE</t>
  </si>
  <si>
    <t>Grain Bin (Spelt) - MEDIUM SIZE</t>
  </si>
  <si>
    <t>Grain Bin (Spelt) - LARGE SIZE</t>
  </si>
  <si>
    <t>Grain Bin (Peas) - MEDIUM SIZE</t>
  </si>
  <si>
    <t>Grain Bin (Peas) - LARGE SIZE</t>
  </si>
  <si>
    <t>Grain Bin (Soybeans) - MEDIUM SIZE</t>
  </si>
  <si>
    <t>Grain Bin (Soybeans) - LARGE SIZE</t>
  </si>
  <si>
    <t>Grain Bin (Grain Corn) - MEDIUM SIZE</t>
  </si>
  <si>
    <t>Grain Bin (Grain Corn) - LARGE SIZE</t>
  </si>
  <si>
    <t>Number Used</t>
  </si>
  <si>
    <t xml:space="preserve">     Combine small grain head (15 ft) - MEDIUM SIZE</t>
  </si>
  <si>
    <t xml:space="preserve">     Combine small grain head (20 ft) - LARGE SIZE</t>
  </si>
  <si>
    <t xml:space="preserve">     Combine small grain head (15 ft) - SMALL SIZE</t>
  </si>
  <si>
    <t xml:space="preserve">     Combine soybean head (15 ft) - SMALL SIZE</t>
  </si>
  <si>
    <t xml:space="preserve">     Combine soybean head (15 ft) - MEDIUM SIZE</t>
  </si>
  <si>
    <t xml:space="preserve">     Combine soybean head (20 ft) - LARGE SIZE</t>
  </si>
  <si>
    <t>Quantity of Labor per Acre          (MEDIUM SIZE)</t>
  </si>
  <si>
    <t>Quantity of Labor per Acre (SMALL SIZE)</t>
  </si>
  <si>
    <t>Quantity of Labor per Acre          (LARGE SIZE)</t>
  </si>
  <si>
    <t xml:space="preserve">      Chisel Plow</t>
  </si>
  <si>
    <t xml:space="preserve">  Chisel Plow</t>
  </si>
  <si>
    <t>Chisel Plow</t>
  </si>
  <si>
    <t>Quantity of Fuel per Acre (SMALL SIZE)</t>
  </si>
  <si>
    <t>Quantity of Fuel per Acre (MEDIUM SIZE)</t>
  </si>
  <si>
    <t>Quantity of Fuel per Acre     (LARGE SIZE)</t>
  </si>
  <si>
    <t xml:space="preserve">Quantity of Fuel per Acre   </t>
  </si>
  <si>
    <t>TBD</t>
  </si>
  <si>
    <r>
      <t xml:space="preserve">    </t>
    </r>
    <r>
      <rPr>
        <u/>
        <sz val="10"/>
        <rFont val="Times New Roman"/>
        <family val="1"/>
      </rPr>
      <t>Crop Cleaning &amp; Storage</t>
    </r>
  </si>
  <si>
    <t xml:space="preserve">  Crop cleaning</t>
  </si>
  <si>
    <t xml:space="preserve">  Crop cleaning (Barley)</t>
  </si>
  <si>
    <t xml:space="preserve">  Crop cleaning (Oats)</t>
  </si>
  <si>
    <t xml:space="preserve">  Crop cleaning (Rye)</t>
  </si>
  <si>
    <t xml:space="preserve">  Crop cleaning (Triticale)</t>
  </si>
  <si>
    <t xml:space="preserve">  Crop cleaning (Spelt)</t>
  </si>
  <si>
    <t xml:space="preserve">  Crop cleaning (Peas)</t>
  </si>
  <si>
    <t xml:space="preserve">  Crop cleaning (Soybeans)</t>
  </si>
  <si>
    <t>Ton(s)/Hour - SMALL</t>
  </si>
  <si>
    <t>Ton(s)/Hour - MEDIUM</t>
  </si>
  <si>
    <t>Ton(s)/Hour - LARGE</t>
  </si>
  <si>
    <t>Grain Bags (Grain Corn) - SMALL SIZE</t>
  </si>
  <si>
    <t>lb / grain bag</t>
  </si>
  <si>
    <t>ton / grain bag</t>
  </si>
  <si>
    <t>Grain Bags (Barley) - SMALL SIZE</t>
  </si>
  <si>
    <t>Grain Bags (Soybeans) - SMALL SIZE</t>
  </si>
  <si>
    <t>Grain Bags (Peas) - SMALL SIZE</t>
  </si>
  <si>
    <t>Grain Bags (Spelt) - SMALL SIZE</t>
  </si>
  <si>
    <t>Grain Bags (Triticale) - SMALL SIZE</t>
  </si>
  <si>
    <t>Grain Bags (Rye) - SMALL SIZE</t>
  </si>
  <si>
    <t>Grain Bags (Oats) - SMALL SIZE</t>
  </si>
  <si>
    <t>Small Combine (hr/acre)</t>
  </si>
  <si>
    <t>Med. Combine (hr/acre)</t>
  </si>
  <si>
    <t>Large Combine (hr/acre)</t>
  </si>
  <si>
    <t>Total tractors</t>
  </si>
  <si>
    <t>Total trucks &amp; vehicles</t>
  </si>
  <si>
    <t>Total planting equipment</t>
  </si>
  <si>
    <t>Total spraying equipment</t>
  </si>
  <si>
    <t>Total irrigation equipment</t>
  </si>
  <si>
    <t>Total harvesting equipment</t>
  </si>
  <si>
    <t>Total miscellaneous equipment</t>
  </si>
  <si>
    <t>Total fencing</t>
  </si>
  <si>
    <t>Total potato house equipment</t>
  </si>
  <si>
    <t>Total crop cleaning equipment</t>
  </si>
  <si>
    <t>Total crop storage</t>
  </si>
  <si>
    <t>Total buildings</t>
  </si>
  <si>
    <t>62.0 bu</t>
  </si>
  <si>
    <t>28.0 bu</t>
  </si>
  <si>
    <t>34.0 bu</t>
  </si>
  <si>
    <t>36.0 bu</t>
  </si>
  <si>
    <t>Crop Protection</t>
  </si>
  <si>
    <t>Herbicide</t>
  </si>
  <si>
    <t>Fungicide</t>
  </si>
  <si>
    <t>Insecticide</t>
  </si>
  <si>
    <t xml:space="preserve">      Windrow</t>
  </si>
  <si>
    <t xml:space="preserve">  Harvest</t>
  </si>
  <si>
    <r>
      <t xml:space="preserve">     If yield target is increased</t>
    </r>
    <r>
      <rPr>
        <sz val="4"/>
        <color indexed="61"/>
        <rFont val="Times New Roman"/>
        <family val="1"/>
      </rPr>
      <t xml:space="preserve"> </t>
    </r>
    <r>
      <rPr>
        <sz val="10"/>
        <color indexed="61"/>
        <rFont val="Times New Roman"/>
        <family val="1"/>
      </rPr>
      <t>/</t>
    </r>
    <r>
      <rPr>
        <sz val="4"/>
        <color indexed="61"/>
        <rFont val="Times New Roman"/>
        <family val="1"/>
      </rPr>
      <t xml:space="preserve"> </t>
    </r>
    <r>
      <rPr>
        <sz val="10"/>
        <color indexed="61"/>
        <rFont val="Times New Roman"/>
        <family val="1"/>
      </rPr>
      <t>decreased</t>
    </r>
  </si>
  <si>
    <t xml:space="preserve">  Windrow (2)</t>
  </si>
  <si>
    <t>Windrow (2)</t>
  </si>
  <si>
    <t>Establish Alfalfa</t>
  </si>
  <si>
    <t>Area Unit</t>
  </si>
  <si>
    <t>acre(s)</t>
  </si>
  <si>
    <t>SELECTION</t>
  </si>
  <si>
    <t>Actual Purchase</t>
  </si>
  <si>
    <t xml:space="preserve"> Equip.Restore (@ $45/hour)</t>
  </si>
  <si>
    <t>Tot.Hours</t>
  </si>
  <si>
    <t>Brand New</t>
  </si>
  <si>
    <t>Fixing Up Equipment to Run</t>
  </si>
  <si>
    <t>Used</t>
  </si>
  <si>
    <t>Other Miscellaneous Costs:</t>
  </si>
  <si>
    <t>cord</t>
  </si>
  <si>
    <t>Total Amount Used</t>
  </si>
  <si>
    <t>Cost ($/unit)</t>
  </si>
  <si>
    <t xml:space="preserve"> Phone &amp; Internet</t>
  </si>
  <si>
    <t xml:space="preserve">  Cell Phone(s)</t>
  </si>
  <si>
    <t xml:space="preserve">  Land Line/Internet</t>
  </si>
  <si>
    <t>month</t>
  </si>
  <si>
    <t xml:space="preserve"> Custom Hire (Lime)</t>
  </si>
  <si>
    <t xml:space="preserve"> Utilities</t>
  </si>
  <si>
    <t xml:space="preserve">        Phone &amp; Internet</t>
  </si>
  <si>
    <t xml:space="preserve">        Heating</t>
  </si>
  <si>
    <t xml:space="preserve">  Firewood</t>
  </si>
  <si>
    <t>gallon</t>
  </si>
  <si>
    <t xml:space="preserve">  Oil</t>
  </si>
  <si>
    <t xml:space="preserve"> Heating</t>
  </si>
  <si>
    <t xml:space="preserve">  Land Line &amp; Internet</t>
  </si>
  <si>
    <t xml:space="preserve"> Organic Certification (MOFGA)</t>
  </si>
  <si>
    <t xml:space="preserve"> Accounting &amp; Taxes</t>
  </si>
  <si>
    <t xml:space="preserve"> Conferences (Farmer to Farmer)</t>
  </si>
  <si>
    <t xml:space="preserve"> Org.Certification</t>
  </si>
  <si>
    <t xml:space="preserve"> Conferences</t>
  </si>
  <si>
    <t>year</t>
  </si>
  <si>
    <t xml:space="preserve"> Records &amp; Manage (@ $12.29/hour)</t>
  </si>
  <si>
    <t xml:space="preserve"> Taxes &amp; Books</t>
  </si>
  <si>
    <t xml:space="preserve"> MOFGA Records</t>
  </si>
  <si>
    <t xml:space="preserve"> Summer Management</t>
  </si>
  <si>
    <t xml:space="preserve"> Winter Management</t>
  </si>
  <si>
    <t xml:space="preserve"> Records &amp; Manage</t>
  </si>
  <si>
    <t>Other Misc. Costs:</t>
  </si>
  <si>
    <t>Hours/Day</t>
  </si>
  <si>
    <t>Days/Week</t>
  </si>
  <si>
    <t>Weeks/Year</t>
  </si>
  <si>
    <t xml:space="preserve"> Equipment Restoration (@ $45/hour)</t>
  </si>
  <si>
    <t xml:space="preserve"> Equipment Restoration</t>
  </si>
  <si>
    <t xml:space="preserve"> Fixing Up Equipment to Run</t>
  </si>
  <si>
    <t xml:space="preserve"> Fix Equip.to Run</t>
  </si>
  <si>
    <t xml:space="preserve">        Records &amp; Manage (@ $12.29/hour)</t>
  </si>
  <si>
    <t xml:space="preserve">        Equipment Restoration (@ $45/hour)</t>
  </si>
  <si>
    <t xml:space="preserve">        Organic Certification (MOFGA)</t>
  </si>
  <si>
    <t xml:space="preserve">        Accounting &amp; Taxes</t>
  </si>
  <si>
    <t xml:space="preserve">        Conferences (Farmer to Farmer)</t>
  </si>
  <si>
    <t xml:space="preserve">        Grain Cleaning</t>
  </si>
  <si>
    <t>Assume if use forage storage then have livestock (Not incorporated)</t>
  </si>
  <si>
    <t>Assume if use manure equipment then have livestock (Not used)</t>
  </si>
  <si>
    <t>grain bag</t>
  </si>
  <si>
    <t xml:space="preserve">        Certification (e.g. MOFGA Organic)</t>
  </si>
  <si>
    <t>/hr</t>
  </si>
  <si>
    <t>/gal</t>
  </si>
  <si>
    <t>CROP(S)</t>
  </si>
  <si>
    <t>Acre(s)</t>
  </si>
  <si>
    <t>Small</t>
  </si>
  <si>
    <t>Medium</t>
  </si>
  <si>
    <t>Large</t>
  </si>
  <si>
    <t>FARM SIZE</t>
  </si>
  <si>
    <t>SELECT</t>
  </si>
  <si>
    <t>(bu/acre)</t>
  </si>
  <si>
    <t>NFI</t>
  </si>
  <si>
    <t>ROVC</t>
  </si>
  <si>
    <t>Per Bushel</t>
  </si>
  <si>
    <r>
      <t>Pe</t>
    </r>
    <r>
      <rPr>
        <sz val="14"/>
        <rFont val="Times New Roman"/>
        <family val="1"/>
      </rPr>
      <t>r Bushel</t>
    </r>
  </si>
  <si>
    <t>$/bushel</t>
  </si>
  <si>
    <t>Labor (@</t>
  </si>
  <si>
    <t>/hour)</t>
  </si>
  <si>
    <t>/gallon)</t>
  </si>
  <si>
    <t>lb/bushel</t>
  </si>
  <si>
    <t>Barley Yield (bushels)</t>
  </si>
  <si>
    <t>Oat Yield (bushels)</t>
  </si>
  <si>
    <t>Rye Yield (bushels)</t>
  </si>
  <si>
    <t>Triticale Yield (bushels)</t>
  </si>
  <si>
    <t>Spelt Yield (bushels)</t>
  </si>
  <si>
    <t>/bushel</t>
  </si>
  <si>
    <t>bushels/acre</t>
  </si>
  <si>
    <t>Soybean Yield (bushels)</t>
  </si>
  <si>
    <t>(bushels/acre)</t>
  </si>
  <si>
    <t>Yield (bushels/acre)</t>
  </si>
  <si>
    <t>Pea Yield (bushels)</t>
  </si>
  <si>
    <t>Seed Price ($/lb)</t>
  </si>
  <si>
    <t>Inter/Cover Crop</t>
  </si>
  <si>
    <t>None</t>
  </si>
  <si>
    <t>I/CC Price ($/lb)</t>
  </si>
  <si>
    <t>I/CC (lb/acre)</t>
  </si>
  <si>
    <t>Fungicide (OMRI approved)</t>
  </si>
  <si>
    <t>Fertilizer Type A</t>
  </si>
  <si>
    <t>Fertilizer Type B</t>
  </si>
  <si>
    <t>Chicken Manure</t>
  </si>
  <si>
    <t>Lasts (years)</t>
  </si>
  <si>
    <t>Apply (1:Y; 0:N)</t>
  </si>
  <si>
    <t>Price ($/lb)</t>
  </si>
  <si>
    <t>Chilean Nitrate</t>
  </si>
  <si>
    <t>Other?</t>
  </si>
  <si>
    <t>\</t>
  </si>
  <si>
    <t>Used (1:Y; 0:N)</t>
  </si>
  <si>
    <t>$ / 100-lb trt.</t>
  </si>
  <si>
    <t>Farm Size</t>
  </si>
  <si>
    <t>Useful Life (Years)</t>
  </si>
  <si>
    <t>Equipment Hrs</t>
  </si>
  <si>
    <r>
      <t>Useful Life from</t>
    </r>
    <r>
      <rPr>
        <b/>
        <sz val="10"/>
        <rFont val="Times New Roman"/>
        <family val="1"/>
      </rPr>
      <t>:</t>
    </r>
  </si>
  <si>
    <t>Useful Life (Potato)</t>
  </si>
  <si>
    <t>Coop. Farmers</t>
  </si>
  <si>
    <t>Useful Life (Equip.Hrs.)</t>
  </si>
  <si>
    <t>Useful Life (Assumed)</t>
  </si>
  <si>
    <t>Useful Life (Assm./Eq.Hr.)</t>
  </si>
  <si>
    <t>OPERATION</t>
  </si>
  <si>
    <t>Spr.Sld.Man.</t>
  </si>
  <si>
    <t>Finish Harrow</t>
  </si>
  <si>
    <t>Clean</t>
  </si>
  <si>
    <t>Spr.Manure</t>
  </si>
  <si>
    <t>Plant</t>
  </si>
  <si>
    <t>Spr.Chilean N</t>
  </si>
  <si>
    <t>Grain Clean</t>
  </si>
  <si>
    <t>Grain Drying</t>
  </si>
  <si>
    <t>Cultivate</t>
  </si>
  <si>
    <t>Disk</t>
  </si>
  <si>
    <t>Bed Prep</t>
  </si>
  <si>
    <t>1a) Assumed Labor Wage Rate:</t>
  </si>
  <si>
    <t>1b) Assumed Fuel Price:</t>
  </si>
  <si>
    <t>ACRES/HR</t>
  </si>
  <si>
    <t>GAL/ACRE</t>
  </si>
  <si>
    <t>Truck Triticale</t>
  </si>
  <si>
    <t>Truck Spelt</t>
  </si>
  <si>
    <t>Truck Peas</t>
  </si>
  <si>
    <t xml:space="preserve">  Crop drying (Barley)</t>
  </si>
  <si>
    <t xml:space="preserve">  Crop drying (Oats)</t>
  </si>
  <si>
    <t xml:space="preserve">  Crop drying (Rye)</t>
  </si>
  <si>
    <t xml:space="preserve">  Crop drying (Triticale)</t>
  </si>
  <si>
    <t xml:space="preserve">  Crop drying (Spelt)</t>
  </si>
  <si>
    <t xml:space="preserve">  Crop drying (Peas)</t>
  </si>
  <si>
    <t xml:space="preserve">  Crop drying (Soybeans)</t>
  </si>
  <si>
    <t>Spray Fungicide Grain</t>
  </si>
  <si>
    <t>Total #</t>
  </si>
  <si>
    <t xml:space="preserve">      Spread Chilean Nitrate</t>
  </si>
  <si>
    <t>Passes</t>
  </si>
  <si>
    <t xml:space="preserve">      Spray Fungicide (OMRI approved)</t>
  </si>
  <si>
    <t xml:space="preserve">      Spray Fungicide for Grains (OMRI approved)</t>
  </si>
  <si>
    <t>Y:1;N:0</t>
  </si>
  <si>
    <t>Sprayer (Tractor Mounted Boom, 50 ft) - SMALL SIZE</t>
  </si>
  <si>
    <t>Sprayer (Self Propelled, 80 ft) - LARGE SIZE</t>
  </si>
  <si>
    <t>Sprayer (Tractor Mounted Boom, 90 ft) - MEDIUM SIZE</t>
  </si>
  <si>
    <t>Mn.&amp; Ukp.%</t>
  </si>
  <si>
    <t>U.L.(yrs)-Clc.Eq.Hrs</t>
  </si>
  <si>
    <t>Cost/Unit</t>
  </si>
  <si>
    <t>Cost/Unit (Current)</t>
  </si>
  <si>
    <t>TOTAL $/YR</t>
  </si>
  <si>
    <t>Crop Insur.</t>
  </si>
  <si>
    <t>Firewood</t>
  </si>
  <si>
    <t>Cord</t>
  </si>
  <si>
    <t>Amount</t>
  </si>
  <si>
    <t>Gallon</t>
  </si>
  <si>
    <t>Land Line / Internet</t>
  </si>
  <si>
    <t>Months/Yr</t>
  </si>
  <si>
    <t>Cost/Month</t>
  </si>
  <si>
    <t>Cell Phone(s)</t>
  </si>
  <si>
    <t>ton/acre/year</t>
  </si>
  <si>
    <t>bu/truck</t>
  </si>
  <si>
    <t>bu/semi</t>
  </si>
  <si>
    <t>lb/truck</t>
  </si>
  <si>
    <t>lb/semi</t>
  </si>
  <si>
    <t>bu Baseline Capacity</t>
  </si>
  <si>
    <t>TRUCK</t>
  </si>
  <si>
    <t>SEMI</t>
  </si>
  <si>
    <t>Total Hours</t>
  </si>
  <si>
    <t>Equip.Restore Labor ($/hour)</t>
  </si>
  <si>
    <t xml:space="preserve"> Organic Certification</t>
  </si>
  <si>
    <t>/year</t>
  </si>
  <si>
    <t>EQUIPMENT:</t>
  </si>
  <si>
    <t>Value ($)</t>
  </si>
  <si>
    <t>Useful Life</t>
  </si>
  <si>
    <t>(years)</t>
  </si>
  <si>
    <t>Salvage</t>
  </si>
  <si>
    <t>Type</t>
  </si>
  <si>
    <t>Truck(s)</t>
  </si>
  <si>
    <t>Smaller tractor (75 hp)</t>
  </si>
  <si>
    <t>Med./Large tractor (130 hp)</t>
  </si>
  <si>
    <t>Medium tractor (105 hp)</t>
  </si>
  <si>
    <t>Large tractor (160 hp)</t>
  </si>
  <si>
    <t>Large tractor (200 hp)</t>
  </si>
  <si>
    <t>Medium tractor (105 hp) - SMALL SIZE</t>
  </si>
  <si>
    <t>Large tractor (160 hp) - SMALL SIZE</t>
  </si>
  <si>
    <t>Large tractor (200 hp) - SMALL SIZE</t>
  </si>
  <si>
    <t>Smaller tractor (75 hp) - MEDIUM SIZE</t>
  </si>
  <si>
    <t>Medium/Large tractor (130 hp) - MEDIUM SIZE</t>
  </si>
  <si>
    <t>Large tractor (200 hp) - MEDIUM SIZE</t>
  </si>
  <si>
    <t>Smaller tractor (75 hp) - LARGE SIZE</t>
  </si>
  <si>
    <t>Medium tractor (105 hp) - LARGE SIZE</t>
  </si>
  <si>
    <t>Medium/Large tractor (130 hp) - LARGE SIZE</t>
  </si>
  <si>
    <t>Medium/Large</t>
  </si>
  <si>
    <t>Chisel plow (15 ft)</t>
  </si>
  <si>
    <t>Chisel plow (23 ft)</t>
  </si>
  <si>
    <t>Disk harrow (12 ft)</t>
  </si>
  <si>
    <t>Disk harrow (21 ft)</t>
  </si>
  <si>
    <t>Disk harrow (30 ft)</t>
  </si>
  <si>
    <t>Soil Cond.Fld.Cult.</t>
  </si>
  <si>
    <t>Cultivator</t>
  </si>
  <si>
    <t>Cultivators - 6 row (15 ft)</t>
  </si>
  <si>
    <t>Cultivators - 12 row (30 ft)</t>
  </si>
  <si>
    <t>Usfl.Lf.(yrs)</t>
  </si>
  <si>
    <t>Planting Equip.</t>
  </si>
  <si>
    <t>Manure Spreader</t>
  </si>
  <si>
    <t>Fertilizer Spreader</t>
  </si>
  <si>
    <t>Grain Drill (Presswheel, 16 ft)</t>
  </si>
  <si>
    <t>Grain Drill (Presswheel, 25 ft)</t>
  </si>
  <si>
    <t>Grain Drill (Presswheel, 30 ft)</t>
  </si>
  <si>
    <t>Spraying Equip.</t>
  </si>
  <si>
    <t>Sprayer (Tractor Mounted Boom, 50 ft)</t>
  </si>
  <si>
    <t>Sprayer (Tractor Mounted Boom, 90 ft)</t>
  </si>
  <si>
    <t>Sprayer (Self Propelled, 80 ft)</t>
  </si>
  <si>
    <t>Sprayer</t>
  </si>
  <si>
    <t>Harvesting Equip.</t>
  </si>
  <si>
    <t xml:space="preserve">     Combine small grain head (15 ft) - S</t>
  </si>
  <si>
    <t xml:space="preserve">     Combine small grain head (15 ft) - M</t>
  </si>
  <si>
    <t xml:space="preserve">     Combine small grain head (20 ft) - L</t>
  </si>
  <si>
    <t xml:space="preserve">     Combine soybean head (15 ft) - S</t>
  </si>
  <si>
    <t xml:space="preserve">     Combine soybean head (15 ft) - M</t>
  </si>
  <si>
    <t xml:space="preserve">     Combine soybean head (20 ft) - L</t>
  </si>
  <si>
    <t>Misc. Equip.</t>
  </si>
  <si>
    <t>Combine Gr.Hd.</t>
  </si>
  <si>
    <t>Combine Pulse Hd.</t>
  </si>
  <si>
    <t>Fuel Tank</t>
  </si>
  <si>
    <t>Shop Tools</t>
  </si>
  <si>
    <t>Grain Cleaner</t>
  </si>
  <si>
    <t>Auger(s)</t>
  </si>
  <si>
    <t>Dryer(s)</t>
  </si>
  <si>
    <t>Grain Bag</t>
  </si>
  <si>
    <t>Grain Bin</t>
  </si>
  <si>
    <t>Calculated</t>
  </si>
  <si>
    <t>lb/bag</t>
  </si>
  <si>
    <t>Bag Capacity</t>
  </si>
  <si>
    <t>Shop/Loading Shed</t>
  </si>
  <si>
    <t>/ grain bag</t>
  </si>
  <si>
    <t>Grain Auger - SMALL SIZE</t>
  </si>
  <si>
    <t>Grain Auger - MEDIUM SIZE</t>
  </si>
  <si>
    <t>Grain Auger - LARGE SIZE</t>
  </si>
  <si>
    <t>Grain Bin per Crop - MEDIUM SIZE</t>
  </si>
  <si>
    <t>Grain Bin per Crop - LARGE SIZE</t>
  </si>
  <si>
    <t>if farm is between 1 to 100 acres</t>
  </si>
  <si>
    <r>
      <t xml:space="preserve">Maine Organic </t>
    </r>
    <r>
      <rPr>
        <b/>
        <sz val="22"/>
        <color indexed="8"/>
        <rFont val="Calibri"/>
        <family val="2"/>
      </rPr>
      <t xml:space="preserve">Barley </t>
    </r>
    <r>
      <rPr>
        <b/>
        <sz val="16"/>
        <color indexed="8"/>
        <rFont val="Calibri"/>
        <family val="2"/>
      </rPr>
      <t>Enterprise Budget</t>
    </r>
  </si>
  <si>
    <t xml:space="preserve"> Yield    (units/acre)</t>
  </si>
  <si>
    <t>Price/unit</t>
  </si>
  <si>
    <t>Revenue/Acre</t>
  </si>
  <si>
    <t>Write your own figures here</t>
  </si>
  <si>
    <t>=</t>
  </si>
  <si>
    <r>
      <t>Straw (sq</t>
    </r>
    <r>
      <rPr>
        <sz val="10"/>
        <color indexed="8"/>
        <rFont val="Calibri"/>
        <family val="2"/>
      </rPr>
      <t>uare</t>
    </r>
    <r>
      <rPr>
        <sz val="10"/>
        <color theme="1"/>
        <rFont val="Calibri"/>
        <family val="2"/>
        <scheme val="minor"/>
      </rPr>
      <t xml:space="preserve"> bale)</t>
    </r>
  </si>
  <si>
    <t>Total Revenue</t>
  </si>
  <si>
    <t>Variable Costs</t>
  </si>
  <si>
    <t>Unit/Acre</t>
  </si>
  <si>
    <t>Cost/acre</t>
  </si>
  <si>
    <r>
      <t xml:space="preserve">Material </t>
    </r>
    <r>
      <rPr>
        <b/>
        <i/>
        <sz val="10"/>
        <color indexed="8"/>
        <rFont val="Calibri"/>
        <family val="2"/>
      </rPr>
      <t>Costs</t>
    </r>
  </si>
  <si>
    <t>Seed (lb)</t>
    <phoneticPr fontId="2" type="noConversion"/>
  </si>
  <si>
    <t>Fertilizer</t>
    <phoneticPr fontId="2" type="noConversion"/>
  </si>
  <si>
    <t>Chicken Manure (ton)</t>
    <phoneticPr fontId="2" type="noConversion"/>
  </si>
  <si>
    <t>Chilean Nitrate (lb)</t>
    <phoneticPr fontId="2" type="noConversion"/>
  </si>
  <si>
    <t>Lime (ton) - Custom hire</t>
  </si>
  <si>
    <t>Subtotal</t>
  </si>
  <si>
    <r>
      <t xml:space="preserve">Field Operation </t>
    </r>
    <r>
      <rPr>
        <b/>
        <i/>
        <sz val="10"/>
        <color indexed="8"/>
        <rFont val="Calibri"/>
        <family val="2"/>
      </rPr>
      <t>Costs</t>
    </r>
    <r>
      <rPr>
        <b/>
        <i/>
        <sz val="10"/>
        <color theme="1"/>
        <rFont val="Calibri"/>
        <family val="2"/>
        <scheme val="minor"/>
      </rPr>
      <t xml:space="preserve"> (see reverse side for details)</t>
    </r>
  </si>
  <si>
    <t>Labor (@ $12.29/hour)</t>
    <phoneticPr fontId="2" type="noConversion"/>
  </si>
  <si>
    <r>
      <t xml:space="preserve">Diesel Fuel </t>
    </r>
    <r>
      <rPr>
        <sz val="10"/>
        <color indexed="8"/>
        <rFont val="Calibri"/>
        <family val="2"/>
      </rPr>
      <t xml:space="preserve">(@ $2.56/gal) </t>
    </r>
    <r>
      <rPr>
        <sz val="10"/>
        <color theme="1"/>
        <rFont val="Calibri"/>
        <family val="2"/>
        <scheme val="minor"/>
      </rPr>
      <t>and Oil</t>
    </r>
  </si>
  <si>
    <t>Maintenance and Repair</t>
  </si>
  <si>
    <t xml:space="preserve">Transport from Field </t>
    <phoneticPr fontId="2" type="noConversion"/>
  </si>
  <si>
    <r>
      <t xml:space="preserve">Miscellanceous </t>
    </r>
    <r>
      <rPr>
        <b/>
        <i/>
        <sz val="10"/>
        <color indexed="8"/>
        <rFont val="Calibri"/>
        <family val="2"/>
      </rPr>
      <t>Costs</t>
    </r>
  </si>
  <si>
    <t xml:space="preserve">Rent or Lease (Land) </t>
    <phoneticPr fontId="2" type="noConversion"/>
  </si>
  <si>
    <t>Insurance (Crop)</t>
    <phoneticPr fontId="2" type="noConversion"/>
  </si>
  <si>
    <t>Utilities (Excluding Drying)</t>
    <phoneticPr fontId="2" type="noConversion"/>
  </si>
  <si>
    <t>Grain Drying</t>
    <phoneticPr fontId="2" type="noConversion"/>
  </si>
  <si>
    <t>Interest</t>
    <phoneticPr fontId="2" type="noConversion"/>
  </si>
  <si>
    <t>Total Variable Costs</t>
    <phoneticPr fontId="2" type="noConversion"/>
  </si>
  <si>
    <t>Fixed Costs</t>
  </si>
  <si>
    <t>Total Fixed Costs</t>
  </si>
  <si>
    <t>Profit/Acre</t>
  </si>
  <si>
    <r>
      <t>Net Farm Income</t>
    </r>
    <r>
      <rPr>
        <b/>
        <sz val="10"/>
        <color indexed="8"/>
        <rFont val="Calibri"/>
        <family val="2"/>
      </rPr>
      <t xml:space="preserve"> </t>
    </r>
    <r>
      <rPr>
        <sz val="10"/>
        <color indexed="8"/>
        <rFont val="Calibri"/>
        <family val="2"/>
      </rPr>
      <t>($/acre)</t>
    </r>
  </si>
  <si>
    <r>
      <t>Return over Variable Cost</t>
    </r>
    <r>
      <rPr>
        <b/>
        <sz val="10"/>
        <color indexed="8"/>
        <rFont val="Calibri"/>
        <family val="2"/>
      </rPr>
      <t xml:space="preserve"> </t>
    </r>
    <r>
      <rPr>
        <sz val="10"/>
        <color indexed="8"/>
        <rFont val="Calibri"/>
        <family val="2"/>
      </rPr>
      <t>($/acre)</t>
    </r>
  </si>
  <si>
    <r>
      <t>Feed/Food Performance Measures (</t>
    </r>
    <r>
      <rPr>
        <i/>
        <sz val="10"/>
        <color theme="1"/>
        <rFont val="Calibri"/>
        <family val="2"/>
        <scheme val="minor"/>
      </rPr>
      <t>Breakeven Revenue)</t>
    </r>
    <r>
      <rPr>
        <b/>
        <sz val="10"/>
        <color theme="1"/>
        <rFont val="Calibri"/>
        <family val="2"/>
        <scheme val="minor"/>
      </rPr>
      <t xml:space="preserve"> </t>
    </r>
  </si>
  <si>
    <t>Price/Bu</t>
  </si>
  <si>
    <t>Please see reverse side for NOTES.</t>
  </si>
  <si>
    <t>NOTES regarding the enterprise budget:</t>
  </si>
  <si>
    <t>Variable and fixed costs are included:</t>
    <phoneticPr fontId="2" type="noConversion"/>
  </si>
  <si>
    <r>
      <t xml:space="preserve">The purpose of this enterprise budget is to provide a framework for comparing the viability of organic </t>
    </r>
    <r>
      <rPr>
        <sz val="11"/>
        <rFont val="Calibri"/>
        <family val="2"/>
      </rPr>
      <t>grain/pulse</t>
    </r>
    <r>
      <rPr>
        <sz val="11"/>
        <rFont val="Calibri"/>
        <family val="2"/>
        <scheme val="minor"/>
      </rPr>
      <t xml:space="preserve"> production to alternative agricultural enterprises. Variable costs include material expenses, miscellaneous expenses and field operation expenses. Fixed costs refer to capital depreciation, land, taxes and insurance.  </t>
    </r>
  </si>
  <si>
    <r>
      <t>Caution, the cost of equipment can vary dramatically and for this budget i</t>
    </r>
    <r>
      <rPr>
        <sz val="11"/>
        <color indexed="8"/>
        <rFont val="Calibri"/>
        <family val="2"/>
        <scheme val="minor"/>
      </rPr>
      <t>t is assumed that all equipment is purchased new and replaced at the end of its time allotted depreciation cycle.  For example, owning and operating a used piece of equipment beyond it's normal depreciation cycle can reduce the depr</t>
    </r>
    <r>
      <rPr>
        <sz val="11"/>
        <color indexed="8"/>
        <rFont val="Calibri"/>
        <family val="2"/>
      </rPr>
      <t>e</t>
    </r>
    <r>
      <rPr>
        <sz val="11"/>
        <color indexed="8"/>
        <rFont val="Calibri"/>
        <family val="2"/>
        <scheme val="minor"/>
      </rPr>
      <t>c</t>
    </r>
    <r>
      <rPr>
        <sz val="11"/>
        <color indexed="8"/>
        <rFont val="Calibri"/>
        <family val="2"/>
      </rPr>
      <t>iation</t>
    </r>
    <r>
      <rPr>
        <sz val="11"/>
        <color indexed="8"/>
        <rFont val="Calibri"/>
        <family val="2"/>
        <scheme val="minor"/>
      </rPr>
      <t xml:space="preserve"> and interest costs for that piece of equipment. However, repair costs will go up as equipment ages.</t>
    </r>
  </si>
  <si>
    <t>Specific assumptions and estimates used:</t>
    <phoneticPr fontId="2" type="noConversion"/>
  </si>
  <si>
    <r>
      <t>Crop and input prices</t>
    </r>
    <r>
      <rPr>
        <sz val="11"/>
        <rFont val="Calibri"/>
        <family val="2"/>
        <scheme val="minor"/>
      </rPr>
      <t xml:space="preserve"> - </t>
    </r>
    <r>
      <rPr>
        <sz val="11"/>
        <rFont val="Calibri"/>
        <family val="2"/>
      </rPr>
      <t>Based on various sources.</t>
    </r>
  </si>
  <si>
    <r>
      <t>Grain and pulse yields</t>
    </r>
    <r>
      <rPr>
        <sz val="11"/>
        <rFont val="Calibri"/>
        <family val="2"/>
        <scheme val="minor"/>
      </rPr>
      <t xml:space="preserve"> - Estimated based on historical on</t>
    </r>
    <r>
      <rPr>
        <sz val="11"/>
        <rFont val="Calibri"/>
        <family val="2"/>
      </rPr>
      <t>-</t>
    </r>
    <r>
      <rPr>
        <sz val="11"/>
        <rFont val="Calibri"/>
        <family val="2"/>
        <scheme val="minor"/>
      </rPr>
      <t>farm</t>
    </r>
    <r>
      <rPr>
        <sz val="11"/>
        <rFont val="Calibri"/>
        <family val="2"/>
      </rPr>
      <t xml:space="preserve"> and UMaine</t>
    </r>
    <r>
      <rPr>
        <sz val="11"/>
        <rFont val="Calibri"/>
        <family val="2"/>
        <scheme val="minor"/>
      </rPr>
      <t xml:space="preserve"> </t>
    </r>
    <r>
      <rPr>
        <sz val="11"/>
        <rFont val="Calibri"/>
        <family val="2"/>
      </rPr>
      <t xml:space="preserve">research plot </t>
    </r>
    <r>
      <rPr>
        <sz val="11"/>
        <rFont val="Calibri"/>
        <family val="2"/>
        <scheme val="minor"/>
      </rPr>
      <t xml:space="preserve">organic </t>
    </r>
    <r>
      <rPr>
        <sz val="11"/>
        <rFont val="Calibri"/>
        <family val="2"/>
      </rPr>
      <t>grain and pulse yields</t>
    </r>
    <r>
      <rPr>
        <sz val="11"/>
        <rFont val="Calibri"/>
        <family val="2"/>
        <scheme val="minor"/>
      </rPr>
      <t>.</t>
    </r>
  </si>
  <si>
    <t>Lime - Assumes that lime is applied 1 in 5 years at rate of 1 ton per acre.  This includes material and custom spreading cost.</t>
  </si>
  <si>
    <t>Leased land - Assumes that 25% of crop area is leased and 75% owned.</t>
    <phoneticPr fontId="2" type="noConversion"/>
  </si>
  <si>
    <t>Drying Cost Expenses - Iowa Decision Maker - William Edwards, Iowa State University Extension</t>
    <phoneticPr fontId="2" type="noConversion"/>
  </si>
  <si>
    <t>Field Operating Expenses - University of Minnesota Extension Machinery Cost Estimates by William F. Lazarus, May 2015.</t>
    <phoneticPr fontId="2" type="noConversion"/>
  </si>
  <si>
    <t>The table below outlines the assumed field operations for this crop.</t>
    <phoneticPr fontId="2" type="noConversion"/>
  </si>
  <si>
    <t>Crop Production</t>
    <phoneticPr fontId="2" type="noConversion"/>
  </si>
  <si>
    <t>Maintenance and Repair†</t>
    <phoneticPr fontId="2" type="noConversion"/>
  </si>
  <si>
    <t>Total Cost/acre</t>
    <phoneticPr fontId="2" type="noConversion"/>
  </si>
  <si>
    <t>Spread Manure</t>
  </si>
  <si>
    <t>Disk Harrow</t>
    <phoneticPr fontId="2" type="noConversion"/>
  </si>
  <si>
    <t>Finish Harrow</t>
    <phoneticPr fontId="2" type="noConversion"/>
  </si>
  <si>
    <t>Grain Drill</t>
    <phoneticPr fontId="2" type="noConversion"/>
  </si>
  <si>
    <t>Combine</t>
    <phoneticPr fontId="2" type="noConversion"/>
  </si>
  <si>
    <t>Total Field Operation Expenses</t>
    <phoneticPr fontId="2" type="noConversion"/>
  </si>
  <si>
    <t>† Just for crop production not other capital (land, buildings, etc.)</t>
    <phoneticPr fontId="2" type="noConversion"/>
  </si>
  <si>
    <t>Questions or Comments:</t>
    <phoneticPr fontId="2" type="noConversion"/>
  </si>
  <si>
    <t>Heating</t>
  </si>
  <si>
    <t>Record Keeping (@$12.29/hour)</t>
  </si>
  <si>
    <t>Certification, Accounting and Taxes, Conferences</t>
  </si>
  <si>
    <t>Phone and Internet</t>
  </si>
  <si>
    <t>Please Contact Aaron Hoshide by phone (207) 659-4808 or email: aaron.hoshide@maine.edu</t>
  </si>
  <si>
    <r>
      <t xml:space="preserve">Maine Organic </t>
    </r>
    <r>
      <rPr>
        <b/>
        <sz val="22"/>
        <color indexed="8"/>
        <rFont val="Calibri"/>
        <family val="2"/>
      </rPr>
      <t xml:space="preserve">Winter Rye </t>
    </r>
    <r>
      <rPr>
        <b/>
        <sz val="16"/>
        <color indexed="8"/>
        <rFont val="Calibri"/>
        <family val="2"/>
      </rPr>
      <t>Enterprise Budget</t>
    </r>
  </si>
  <si>
    <t>Winter Rye Yield (bu)</t>
  </si>
  <si>
    <r>
      <t xml:space="preserve">Maine Organic </t>
    </r>
    <r>
      <rPr>
        <b/>
        <sz val="22"/>
        <color indexed="8"/>
        <rFont val="Calibri"/>
        <family val="2"/>
      </rPr>
      <t xml:space="preserve">Field Peas </t>
    </r>
    <r>
      <rPr>
        <b/>
        <sz val="16"/>
        <color indexed="8"/>
        <rFont val="Calibri"/>
        <family val="2"/>
      </rPr>
      <t>Enterprise Budget</t>
    </r>
  </si>
  <si>
    <t>Field Peas Yield (bu)</t>
  </si>
  <si>
    <t xml:space="preserve">Seed Inoculant </t>
  </si>
  <si>
    <t>Row Cultivation (2x)</t>
  </si>
  <si>
    <r>
      <t xml:space="preserve">Maine Organic </t>
    </r>
    <r>
      <rPr>
        <b/>
        <sz val="22"/>
        <color indexed="8"/>
        <rFont val="Calibri"/>
        <family val="2"/>
      </rPr>
      <t xml:space="preserve">Soybean </t>
    </r>
    <r>
      <rPr>
        <b/>
        <sz val="16"/>
        <color indexed="8"/>
        <rFont val="Calibri"/>
        <family val="2"/>
      </rPr>
      <t>Enterprise Budget</t>
    </r>
  </si>
  <si>
    <r>
      <t>Maine Organic</t>
    </r>
    <r>
      <rPr>
        <b/>
        <sz val="22"/>
        <color indexed="8"/>
        <rFont val="Calibri"/>
        <family val="2"/>
      </rPr>
      <t xml:space="preserve"> Oats </t>
    </r>
    <r>
      <rPr>
        <b/>
        <sz val="16"/>
        <color indexed="8"/>
        <rFont val="Calibri"/>
        <family val="2"/>
      </rPr>
      <t>Enterprise Budget</t>
    </r>
  </si>
  <si>
    <t>Oats Yield (bu)</t>
  </si>
  <si>
    <t>Chilean Nitrate (lb)</t>
    <phoneticPr fontId="2" type="noConversion"/>
  </si>
  <si>
    <t>Lime (ton)</t>
    <phoneticPr fontId="2" type="noConversion"/>
  </si>
  <si>
    <t>Specific assumptions and estimates used:</t>
    <phoneticPr fontId="2" type="noConversion"/>
  </si>
  <si>
    <t>Total Cost/acre</t>
    <phoneticPr fontId="2" type="noConversion"/>
  </si>
  <si>
    <t>Combine</t>
    <phoneticPr fontId="2" type="noConversion"/>
  </si>
  <si>
    <t>Total Field Operation Expenses</t>
    <phoneticPr fontId="2" type="noConversion"/>
  </si>
  <si>
    <t>Winter Wheat Yield (bu)</t>
  </si>
  <si>
    <r>
      <t xml:space="preserve">Maine Organic </t>
    </r>
    <r>
      <rPr>
        <b/>
        <sz val="22"/>
        <color indexed="8"/>
        <rFont val="Calibri"/>
        <family val="2"/>
      </rPr>
      <t xml:space="preserve">Winter Triticale </t>
    </r>
    <r>
      <rPr>
        <b/>
        <sz val="16"/>
        <color indexed="8"/>
        <rFont val="Calibri"/>
        <family val="2"/>
      </rPr>
      <t>Enterprise Budget</t>
    </r>
  </si>
  <si>
    <t>Winter Triticale Yield (bu)</t>
  </si>
  <si>
    <r>
      <t xml:space="preserve">Maine Organic </t>
    </r>
    <r>
      <rPr>
        <b/>
        <sz val="22"/>
        <color indexed="8"/>
        <rFont val="Calibri"/>
        <family val="2"/>
      </rPr>
      <t xml:space="preserve">Winter Spelt </t>
    </r>
    <r>
      <rPr>
        <b/>
        <sz val="16"/>
        <color indexed="8"/>
        <rFont val="Calibri"/>
        <family val="2"/>
      </rPr>
      <t>Enterprise Budget</t>
    </r>
  </si>
  <si>
    <t>Winter Spelt Yield (bu)</t>
  </si>
  <si>
    <t>Field Operating Expenses - University of Minnesota Extension Machinery Cost Estimates by William F. Lazarus, May 2015.</t>
  </si>
  <si>
    <t>Spin Spread Chilean Nitrate</t>
  </si>
  <si>
    <t>Trucking (field to storage)</t>
  </si>
  <si>
    <t>M.&amp;Up.($/yr)</t>
  </si>
  <si>
    <t>Sal.Val.($)</t>
  </si>
  <si>
    <t>of total land value</t>
  </si>
  <si>
    <t>of total value</t>
  </si>
  <si>
    <t>Equipment (Peas)</t>
  </si>
  <si>
    <t>Land (Peas)</t>
  </si>
  <si>
    <t>Buildings (Peas)</t>
  </si>
  <si>
    <t>Total Investment (Peas)</t>
  </si>
  <si>
    <t>Equipment (Spelt)</t>
  </si>
  <si>
    <t>Land (Spelt)</t>
  </si>
  <si>
    <t>Buildings &amp; Storages (Spelt)</t>
  </si>
  <si>
    <t>Total Investment (Spelt)</t>
  </si>
  <si>
    <t>if farm is between 101 to 500 acres</t>
  </si>
  <si>
    <t>if farm is between 501 to 1,000 acres</t>
  </si>
  <si>
    <t>NFI equals total revenue (TR) minus total costs (TC). TC equals both variable costs (VC) and fixed costs (FC). ROVC equals TR minus just VC.</t>
  </si>
  <si>
    <t>ENTERPRISE &amp; WHOLE-FARM NET FARM INCOME (NFI = TR - TC) &amp; RETURN OVER VARIABLE COSTS (ROVC = TR - VC)</t>
  </si>
  <si>
    <t>WHOLE FARM</t>
  </si>
  <si>
    <r>
      <rPr>
        <i/>
        <u/>
        <sz val="10"/>
        <rFont val="Times New Roman"/>
        <family val="1"/>
      </rPr>
      <t>Note</t>
    </r>
    <r>
      <rPr>
        <i/>
        <sz val="10"/>
        <rFont val="Times New Roman"/>
        <family val="1"/>
      </rPr>
      <t>: Numbers may not sum due to rounding</t>
    </r>
  </si>
  <si>
    <r>
      <t>CROP(S)</t>
    </r>
    <r>
      <rPr>
        <i/>
        <sz val="16"/>
        <rFont val="Times New Roman"/>
        <family val="1"/>
      </rPr>
      <t>:</t>
    </r>
  </si>
  <si>
    <r>
      <rPr>
        <b/>
        <u/>
        <sz val="16"/>
        <rFont val="Times New Roman"/>
        <family val="1"/>
      </rPr>
      <t>Farm Name</t>
    </r>
    <r>
      <rPr>
        <b/>
        <sz val="16"/>
        <rFont val="Times New Roman"/>
        <family val="1"/>
      </rPr>
      <t>:</t>
    </r>
  </si>
  <si>
    <r>
      <t>INPUTS</t>
    </r>
    <r>
      <rPr>
        <i/>
        <sz val="16"/>
        <rFont val="Times New Roman"/>
        <family val="1"/>
      </rPr>
      <t>:</t>
    </r>
  </si>
  <si>
    <t>Seed Rate (lb/acre)</t>
  </si>
  <si>
    <t>Other I/CC (specify)</t>
  </si>
  <si>
    <t>If other, specify</t>
  </si>
  <si>
    <t>Rate (lb/acre)</t>
  </si>
  <si>
    <t>Inoculant</t>
  </si>
  <si>
    <t>Rate (if lb/acre)</t>
  </si>
  <si>
    <t>Others</t>
  </si>
  <si>
    <t>Crop Insurance (All crops)</t>
  </si>
  <si>
    <t>Barley Yield (bushels/ton)</t>
  </si>
  <si>
    <t>Oat Yield (bushels/ton)</t>
  </si>
  <si>
    <t>Barley Yield (tons)</t>
  </si>
  <si>
    <t>Oat Yield (tons)</t>
  </si>
  <si>
    <t>Rye Yield (bushels/ton)</t>
  </si>
  <si>
    <t>Rye Yield (tons)</t>
  </si>
  <si>
    <t>Annual Spring Wheat Budget</t>
  </si>
  <si>
    <t>Spring Wheat Yield (bushels/ton)</t>
  </si>
  <si>
    <t>Spring Wheat Yield (bushels)</t>
  </si>
  <si>
    <t>Spring Wheat Yield (tons)</t>
  </si>
  <si>
    <t>Triticale Yield (bushels/ton)</t>
  </si>
  <si>
    <t>Triticale Yield (tons)</t>
  </si>
  <si>
    <t>Spelt Yield (bushels/ton)</t>
  </si>
  <si>
    <t>Spelt Yield (tons)</t>
  </si>
  <si>
    <t>Pea Yield (bushels/ton)</t>
  </si>
  <si>
    <t>Pea Yield (tons)</t>
  </si>
  <si>
    <t>Soybean Yield (bushels/ton)</t>
  </si>
  <si>
    <t>Soybean Yield (tons)</t>
  </si>
  <si>
    <r>
      <t>Pe</t>
    </r>
    <r>
      <rPr>
        <sz val="14"/>
        <rFont val="Times New Roman"/>
        <family val="1"/>
      </rPr>
      <t>r Ton</t>
    </r>
  </si>
  <si>
    <t>Crop Protection Expenses Total:</t>
  </si>
  <si>
    <t>Upkeep ($/yr)</t>
  </si>
  <si>
    <t>for small size</t>
  </si>
  <si>
    <t>for large size</t>
  </si>
  <si>
    <t>Grain Dryer (Barley) - SMALL SIZE</t>
  </si>
  <si>
    <t>Grain Dryer (Barley) - MEDIUM SIZE</t>
  </si>
  <si>
    <t>Grain Dryer (Barley) - LARGE SIZE</t>
  </si>
  <si>
    <t>Grain Dryer (Oats) - SMALL SIZE</t>
  </si>
  <si>
    <t>Grain Dryer (Oats) - MEDIUM SIZE</t>
  </si>
  <si>
    <t>Grain Dryer (Oats) - LARGE SIZE</t>
  </si>
  <si>
    <t>Grain Dryer (Rye) - SMALL SIZE</t>
  </si>
  <si>
    <t>Grain Dryer (Rye) - MEDIUM SIZE</t>
  </si>
  <si>
    <t>Grain Dryer (Rye) - LARGE SIZE</t>
  </si>
  <si>
    <t>Grain Dryer (Triticale) - SMALL SIZE</t>
  </si>
  <si>
    <t>Grain Dryer (Triticale) - MEDIUM SIZE</t>
  </si>
  <si>
    <t>Grain Dryer (Triticale) - LARGE SIZE</t>
  </si>
  <si>
    <t>Grain Dryer (Spelt) - SMALL SIZE</t>
  </si>
  <si>
    <t>Grain Dryer (Spelt) - MEDIUM SIZE</t>
  </si>
  <si>
    <t>Grain Dryer (Spelt) - LARGE SIZE</t>
  </si>
  <si>
    <t>Grain Dryer (Peas) - SMALL SIZE</t>
  </si>
  <si>
    <t>Grain Dryer (Peas) - MEDIUM SIZE</t>
  </si>
  <si>
    <t>Grain Dryer (Peas) - LARGE SIZE</t>
  </si>
  <si>
    <t>Grain Dryer (Soybeans) - SMALL SIZE</t>
  </si>
  <si>
    <t>Grain Dryer (Soybeans) - MEDIUM SIZE</t>
  </si>
  <si>
    <t>Grain Dryer (Soybeans) - LARGE SIZE</t>
  </si>
  <si>
    <t>Grain Dryer - SMALL SIZE</t>
  </si>
  <si>
    <t>Grain Dryer - MEDIUM SIZE</t>
  </si>
  <si>
    <t>Grain Dryer - LARGE SIZE</t>
  </si>
  <si>
    <t>Moldboard Plow</t>
  </si>
  <si>
    <t>Mldbrd.Plow</t>
  </si>
  <si>
    <t>Your</t>
  </si>
  <si>
    <t>Default</t>
  </si>
  <si>
    <t>Cost/Unit (Default value)</t>
  </si>
  <si>
    <t>Default Useful Life (years)</t>
  </si>
  <si>
    <t>Default Ufl.Lf. (yrs)</t>
  </si>
  <si>
    <t xml:space="preserve">      Moldboard Plow</t>
  </si>
  <si>
    <t>Moldboard Plow (9 ft) - SMALL SIZE</t>
  </si>
  <si>
    <t>Moldboard Plow (9 ft) - MEDIUM SIZE</t>
  </si>
  <si>
    <t>Moldboard Plow (12 ft) - LARGE SIZE</t>
  </si>
  <si>
    <t>moldboard plow</t>
  </si>
  <si>
    <t>Moldboard plow (9 ft)</t>
  </si>
  <si>
    <t>Moldboard plow (12 ft)</t>
  </si>
  <si>
    <t xml:space="preserve">        Moldboard Plow</t>
  </si>
  <si>
    <t xml:space="preserve">  Moldboard Plow</t>
  </si>
  <si>
    <t>Dflt.Val. ($)</t>
  </si>
  <si>
    <t>Life (years)</t>
  </si>
  <si>
    <t>for med. size</t>
  </si>
  <si>
    <t>Def. Useful</t>
  </si>
  <si>
    <t>Def.UL (yrs)</t>
  </si>
  <si>
    <t>Maintain &amp;</t>
  </si>
  <si>
    <t>Def. Main.&amp;</t>
  </si>
  <si>
    <t>Df.M.Up.($/yr)</t>
  </si>
  <si>
    <t>Def.Sal.</t>
  </si>
  <si>
    <t>Df.S.V.($)</t>
  </si>
  <si>
    <t>Soil Cond./Field Cultivator (18 ft)</t>
  </si>
  <si>
    <t>Finger Tine Harrow (20-30 ft)</t>
  </si>
  <si>
    <t>Spin Spreader (50 ft swath)</t>
  </si>
  <si>
    <t>4) Enter interest rate for buying capital:</t>
  </si>
  <si>
    <t>/ grain dryer</t>
  </si>
  <si>
    <t>years useful life</t>
  </si>
  <si>
    <t>main. &amp; upkeep</t>
  </si>
  <si>
    <t>salvage value</t>
  </si>
  <si>
    <t>Baseline Grain Bag(s)</t>
  </si>
  <si>
    <t>Baseline M Grain Bin(s)</t>
  </si>
  <si>
    <t>/ grain bin</t>
  </si>
  <si>
    <t>Baseline L Grain Bin(s)</t>
  </si>
  <si>
    <t>Wheat (Spring)</t>
  </si>
  <si>
    <t>Wheat (Winter)</t>
  </si>
  <si>
    <t>Spring Wheat Operating Costs</t>
  </si>
  <si>
    <t>Spring Wheat Ownership Costs</t>
  </si>
  <si>
    <t>Maine Organic Spring Wheat Enterprise Budget</t>
  </si>
  <si>
    <t>Winter Wheat Operating Costs</t>
  </si>
  <si>
    <t>Winter Wheat Ownership Costs</t>
  </si>
  <si>
    <t>Maine Organic Winter Wheat Enterprise Budget</t>
  </si>
  <si>
    <t>Annual Winter Wheat Budget</t>
  </si>
  <si>
    <t>Spring Wheat Yield (bu)</t>
  </si>
  <si>
    <t>S.Wheat % Yield Increase/Decrease</t>
  </si>
  <si>
    <t>W.Wheat % Yield Increase/Decrease</t>
  </si>
  <si>
    <t xml:space="preserve">S.Wheat Straw Yield (tons/acre): </t>
  </si>
  <si>
    <t xml:space="preserve">S.Wheat Straw Yield (rd.bales/acre): </t>
  </si>
  <si>
    <t xml:space="preserve">W.Wheat Straw Yield (tons/acre): </t>
  </si>
  <si>
    <t xml:space="preserve">W.Wheat Straw Yield (rd.bales/acre): </t>
  </si>
  <si>
    <t>Spring Wheat Price ($/bu)</t>
  </si>
  <si>
    <t>Winter Wheat Price ($/bu)</t>
  </si>
  <si>
    <t xml:space="preserve">S.Wheat Grain Yield (tons/acre): </t>
  </si>
  <si>
    <t xml:space="preserve">S.Wheat Straw Yield (sq.bales/acre): </t>
  </si>
  <si>
    <t xml:space="preserve">W.Wheat Grain Yield (tons/acre): </t>
  </si>
  <si>
    <t xml:space="preserve">W.Wheat Straw Yield (sq.bales/acre): </t>
  </si>
  <si>
    <t xml:space="preserve">      Truck Spring Wheat</t>
  </si>
  <si>
    <t xml:space="preserve">      Truck Winter Wheat</t>
  </si>
  <si>
    <t>Truck Spring Wheat</t>
  </si>
  <si>
    <t>Truck Winter Wheat</t>
  </si>
  <si>
    <t>Grain Dryer (Spring Wheat) - SMALL SIZE</t>
  </si>
  <si>
    <t>Grain Dryer (Spring Wheat) - MEDIUM SIZE</t>
  </si>
  <si>
    <t>Grain Dryer (Spring Wheat) - LARGE SIZE</t>
  </si>
  <si>
    <t>Grain Bags (Spring Wheat) - SMALL SIZE</t>
  </si>
  <si>
    <t>Grain Bin (Spring Wheat) - MEDIUM SIZE</t>
  </si>
  <si>
    <t>Grain Bin (Spring Wheat) - LARGE SIZE</t>
  </si>
  <si>
    <t>Grain Dryer (Winter Wheat) - SMALL SIZE</t>
  </si>
  <si>
    <t>Grain Dryer (Winter Wheat) - MEDIUM SIZE</t>
  </si>
  <si>
    <t>Grain Dryer (Winter Wheat) - LARGE SIZE</t>
  </si>
  <si>
    <t>Grain Bags (Winter Wheat) - SMALL SIZE</t>
  </si>
  <si>
    <t>Grain Bin (Winter Wheat) - MEDIUM SIZE</t>
  </si>
  <si>
    <t>Grain Bin (Winter Wheat) - LARGE SIZE</t>
  </si>
  <si>
    <t>Spring Wheat Acreage</t>
  </si>
  <si>
    <t>Winter Wheat Acreage</t>
  </si>
  <si>
    <t>Equipment (Winter Wheat)</t>
  </si>
  <si>
    <t>Land (Winter Wheat)</t>
  </si>
  <si>
    <t>Buildings &amp; Storages (Winter Wheat)</t>
  </si>
  <si>
    <t>Total Investment (Winter Wheat)</t>
  </si>
  <si>
    <t>Equipment (Spring Wheat)</t>
  </si>
  <si>
    <t>Land (Spring Wheat)</t>
  </si>
  <si>
    <t>Buildings &amp; Storages (Spring Wheat)</t>
  </si>
  <si>
    <t>Total Investment (Spring Wheat)</t>
  </si>
  <si>
    <t>Winter Wheat Yield (bushels/ton)</t>
  </si>
  <si>
    <t>Winter Wheat Yield (bushels)</t>
  </si>
  <si>
    <t>Winter Wheat Yield (tons)</t>
  </si>
  <si>
    <t>Diesel Fuel (@</t>
  </si>
  <si>
    <t>S.Wheat</t>
  </si>
  <si>
    <t>W.Wheat</t>
  </si>
  <si>
    <t>42.0 bu</t>
  </si>
  <si>
    <t>Interest for investment (Small model)</t>
  </si>
  <si>
    <t>Interest for investment (Medium model)</t>
  </si>
  <si>
    <t>Interest for investment (Large model)</t>
  </si>
  <si>
    <t>annual rate</t>
  </si>
  <si>
    <t>months</t>
  </si>
  <si>
    <t>Hours</t>
  </si>
  <si>
    <t>Labor Hrs</t>
  </si>
  <si>
    <t>hours</t>
  </si>
  <si>
    <t>Per Hour</t>
  </si>
  <si>
    <t>1a) Select the size of your farm:</t>
  </si>
  <si>
    <t>1b) Percent crop land that is owned or leased:</t>
  </si>
  <si>
    <t>Select as 1:</t>
  </si>
  <si>
    <t>($/bu)</t>
  </si>
  <si>
    <t>Price ($/bu)</t>
  </si>
  <si>
    <t>DEFAULT</t>
  </si>
  <si>
    <t>GRAIN TYPE</t>
  </si>
  <si>
    <t>lb/acre                                    Spring</t>
  </si>
  <si>
    <t>Crop Price</t>
  </si>
  <si>
    <t>Default Crop</t>
  </si>
  <si>
    <t>Straw Price</t>
  </si>
  <si>
    <t>($/rd.bale)</t>
  </si>
  <si>
    <t>($/sq.bale)</t>
  </si>
  <si>
    <t>2a) Enter the planted area (acres), yield per acre and price received for your crop(s):</t>
  </si>
  <si>
    <t>Weight (lb)</t>
  </si>
  <si>
    <t>Transport Truck(s)</t>
  </si>
  <si>
    <t>Bulk Body Truck (grain)</t>
  </si>
  <si>
    <t>Semi (grain/straw)</t>
  </si>
  <si>
    <t>Flat Bed Truck (straw)</t>
  </si>
  <si>
    <t>Bulk Body Truck(s) - SMALL SIZE</t>
  </si>
  <si>
    <t>Bulk Body Truck(s) - MEDIUM SIZE</t>
  </si>
  <si>
    <t>Bulk Body Truck(s) - LARGE SIZE</t>
  </si>
  <si>
    <t>Flat Bed Truck(s) - SMALL SIZE</t>
  </si>
  <si>
    <t>Flat Bed Truck(s) - MEDIUM SIZE</t>
  </si>
  <si>
    <t>Flat Bed Truck(s) - LARGE SIZE</t>
  </si>
  <si>
    <t>Semi Truck(s) - LARGE SIZE</t>
  </si>
  <si>
    <t xml:space="preserve">            If yield target is increased / decreased</t>
  </si>
  <si>
    <t xml:space="preserve">             If yield target is increased / decreased</t>
  </si>
  <si>
    <t xml:space="preserve">     Annual</t>
  </si>
  <si>
    <t xml:space="preserve">     Per Mile</t>
  </si>
  <si>
    <t>mile(s)</t>
  </si>
  <si>
    <t xml:space="preserve">        Transport from Storage (Custom Hired)</t>
  </si>
  <si>
    <t xml:space="preserve">        Straw Harvest</t>
  </si>
  <si>
    <t>Straw Yield (sq.bales)</t>
  </si>
  <si>
    <t>Straw Yield (rd.bales)</t>
  </si>
  <si>
    <t>Straw Price ($/sq.bale)</t>
  </si>
  <si>
    <t>Straw Price ($/rd.bale)</t>
  </si>
  <si>
    <t>Straw % Yield Increase/Decrease</t>
  </si>
  <si>
    <t>miles round trip</t>
  </si>
  <si>
    <t>% Truck</t>
  </si>
  <si>
    <t>% Semi</t>
  </si>
  <si>
    <r>
      <rPr>
        <i/>
        <sz val="16"/>
        <rFont val="Times New Roman"/>
        <family val="1"/>
      </rPr>
      <t>(</t>
    </r>
    <r>
      <rPr>
        <i/>
        <u/>
        <sz val="16"/>
        <rFont val="Times New Roman"/>
        <family val="1"/>
      </rPr>
      <t>Rd.bale</t>
    </r>
    <r>
      <rPr>
        <i/>
        <sz val="16"/>
        <rFont val="Times New Roman"/>
        <family val="1"/>
      </rPr>
      <t>)</t>
    </r>
  </si>
  <si>
    <r>
      <rPr>
        <i/>
        <sz val="16"/>
        <rFont val="Times New Roman"/>
        <family val="1"/>
      </rPr>
      <t>(</t>
    </r>
    <r>
      <rPr>
        <i/>
        <u/>
        <sz val="16"/>
        <rFont val="Times New Roman"/>
        <family val="1"/>
      </rPr>
      <t>Sq.bale</t>
    </r>
    <r>
      <rPr>
        <i/>
        <sz val="16"/>
        <rFont val="Times New Roman"/>
        <family val="1"/>
      </rPr>
      <t>)</t>
    </r>
  </si>
  <si>
    <t>rd.bales/load</t>
  </si>
  <si>
    <t>mph</t>
  </si>
  <si>
    <t>hour(s)</t>
  </si>
  <si>
    <t>Transport Fuel Cost</t>
  </si>
  <si>
    <r>
      <t>If use both trucks and/or semi</t>
    </r>
    <r>
      <rPr>
        <sz val="10"/>
        <rFont val="Times New Roman"/>
        <family val="1"/>
      </rPr>
      <t>:</t>
    </r>
  </si>
  <si>
    <t>Transport Labor Cost</t>
  </si>
  <si>
    <t>Load/Un-</t>
  </si>
  <si>
    <t>load (hrs)</t>
  </si>
  <si>
    <t>hr(s) load/unld.</t>
  </si>
  <si>
    <t>TOTAL</t>
  </si>
  <si>
    <t>HOURS</t>
  </si>
  <si>
    <t xml:space="preserve">  Crop cleaning (Spring Wheat)</t>
  </si>
  <si>
    <t xml:space="preserve">  Crop cleaning (Winter Wheat)</t>
  </si>
  <si>
    <t xml:space="preserve">  Crop cleaning (Bar.)</t>
  </si>
  <si>
    <t xml:space="preserve">  Crop cleaning (Oat)</t>
  </si>
  <si>
    <t xml:space="preserve">  Crop cleaning (SW)</t>
  </si>
  <si>
    <t xml:space="preserve">  Crop cleaning (WW)</t>
  </si>
  <si>
    <t xml:space="preserve">  Crop cleaning (Trit.)</t>
  </si>
  <si>
    <t xml:space="preserve">  Crop cleaning (Splt.)</t>
  </si>
  <si>
    <t xml:space="preserve">  Crop cleaning (Pea)</t>
  </si>
  <si>
    <t xml:space="preserve">  Crop cleaning (Soy)</t>
  </si>
  <si>
    <t xml:space="preserve">  Crop drying (Bar.)</t>
  </si>
  <si>
    <t xml:space="preserve">  Crop drying (Oat)</t>
  </si>
  <si>
    <t xml:space="preserve">  Crop drying (SW)</t>
  </si>
  <si>
    <t xml:space="preserve">  Crop drying (Summer Wheat)</t>
  </si>
  <si>
    <t xml:space="preserve">  Crop drying (Winter Wheat)</t>
  </si>
  <si>
    <t xml:space="preserve">  Crop drying (WW)</t>
  </si>
  <si>
    <t xml:space="preserve">  Crop drying (Splt.)</t>
  </si>
  <si>
    <t xml:space="preserve">  Crop drying (Trit.)</t>
  </si>
  <si>
    <t xml:space="preserve">  Crop drying (Pea)</t>
  </si>
  <si>
    <t xml:space="preserve">  Crop drying (Soy)</t>
  </si>
  <si>
    <t>Annual</t>
  </si>
  <si>
    <t>OR</t>
  </si>
  <si>
    <t>at ($/mile):</t>
  </si>
  <si>
    <t>Transport from Storage (Custom Hired)</t>
  </si>
  <si>
    <t xml:space="preserve">        Baling Supplies</t>
  </si>
  <si>
    <t xml:space="preserve">        Truck Grain from Field to Storage </t>
  </si>
  <si>
    <t xml:space="preserve">        Truck Grain from Storage to Buyer</t>
  </si>
  <si>
    <r>
      <rPr>
        <sz val="10"/>
        <rFont val="Times New Roman"/>
        <family val="1"/>
      </rPr>
      <t xml:space="preserve">    </t>
    </r>
    <r>
      <rPr>
        <u/>
        <sz val="10"/>
        <rFont val="Times New Roman"/>
        <family val="1"/>
      </rPr>
      <t>Truck Grain from Storage to Buyer</t>
    </r>
  </si>
  <si>
    <t xml:space="preserve">      Truck Barley from Field to Storage</t>
  </si>
  <si>
    <r>
      <rPr>
        <sz val="10"/>
        <rFont val="Times New Roman"/>
        <family val="1"/>
      </rPr>
      <t xml:space="preserve">    </t>
    </r>
    <r>
      <rPr>
        <u/>
        <sz val="10"/>
        <rFont val="Times New Roman"/>
        <family val="1"/>
      </rPr>
      <t>Truck Barley from Storage to Buyer</t>
    </r>
  </si>
  <si>
    <r>
      <rPr>
        <sz val="10"/>
        <rFont val="Times New Roman"/>
        <family val="1"/>
      </rPr>
      <t xml:space="preserve">    </t>
    </r>
    <r>
      <rPr>
        <u/>
        <sz val="10"/>
        <rFont val="Times New Roman"/>
        <family val="1"/>
      </rPr>
      <t>Truck Oats from Storage to Buyer</t>
    </r>
  </si>
  <si>
    <t xml:space="preserve">      Truck Oats from Field to Storage</t>
  </si>
  <si>
    <t xml:space="preserve">      Truck Rye from Field to Storage</t>
  </si>
  <si>
    <t xml:space="preserve">      Truck Wheat from Field to Storage</t>
  </si>
  <si>
    <t xml:space="preserve">      Truck Triticale from Field to Storage</t>
  </si>
  <si>
    <t xml:space="preserve">      Truck Spelt from Field to Storage</t>
  </si>
  <si>
    <t xml:space="preserve">      Truck Peas from Field to Storage</t>
  </si>
  <si>
    <t xml:space="preserve">      Truck Soybeans from Field to Storage</t>
  </si>
  <si>
    <r>
      <rPr>
        <sz val="10"/>
        <rFont val="Times New Roman"/>
        <family val="1"/>
      </rPr>
      <t xml:space="preserve">    </t>
    </r>
    <r>
      <rPr>
        <u/>
        <sz val="10"/>
        <rFont val="Times New Roman"/>
        <family val="1"/>
      </rPr>
      <t>Truck Rye from Storage to Buyer</t>
    </r>
  </si>
  <si>
    <r>
      <rPr>
        <sz val="10"/>
        <rFont val="Times New Roman"/>
        <family val="1"/>
      </rPr>
      <t xml:space="preserve">    </t>
    </r>
    <r>
      <rPr>
        <u/>
        <sz val="10"/>
        <rFont val="Times New Roman"/>
        <family val="1"/>
      </rPr>
      <t>Truck Spring Wheat from Storage to Buyer</t>
    </r>
  </si>
  <si>
    <r>
      <rPr>
        <sz val="10"/>
        <rFont val="Times New Roman"/>
        <family val="1"/>
      </rPr>
      <t xml:space="preserve">    </t>
    </r>
    <r>
      <rPr>
        <u/>
        <sz val="10"/>
        <rFont val="Times New Roman"/>
        <family val="1"/>
      </rPr>
      <t>Truck Winter Wheat from Storage to Buyer</t>
    </r>
  </si>
  <si>
    <r>
      <rPr>
        <sz val="10"/>
        <rFont val="Times New Roman"/>
        <family val="1"/>
      </rPr>
      <t xml:space="preserve">    </t>
    </r>
    <r>
      <rPr>
        <u/>
        <sz val="10"/>
        <rFont val="Times New Roman"/>
        <family val="1"/>
      </rPr>
      <t>Truck Triticale from Storage to Buyer</t>
    </r>
  </si>
  <si>
    <r>
      <rPr>
        <sz val="10"/>
        <rFont val="Times New Roman"/>
        <family val="1"/>
      </rPr>
      <t xml:space="preserve">    </t>
    </r>
    <r>
      <rPr>
        <u/>
        <sz val="10"/>
        <rFont val="Times New Roman"/>
        <family val="1"/>
      </rPr>
      <t>Truck Spelt from Storage to Buyer</t>
    </r>
  </si>
  <si>
    <r>
      <rPr>
        <sz val="10"/>
        <rFont val="Times New Roman"/>
        <family val="1"/>
      </rPr>
      <t xml:space="preserve">    </t>
    </r>
    <r>
      <rPr>
        <u/>
        <sz val="10"/>
        <rFont val="Times New Roman"/>
        <family val="1"/>
      </rPr>
      <t>Truck Peas from Storage to Buyer</t>
    </r>
  </si>
  <si>
    <t>Ratio (X:1)</t>
  </si>
  <si>
    <t>Straw - Grain</t>
  </si>
  <si>
    <t>Straw Baling</t>
  </si>
  <si>
    <t>% Rd.Bales Use Netting</t>
  </si>
  <si>
    <t>% Bales Use Twine</t>
  </si>
  <si>
    <t>Rd.Bale Netting ($/bale)</t>
  </si>
  <si>
    <t>Rd.Bale Twine ($/bale)</t>
  </si>
  <si>
    <t>Sq.Bale Twine ($/bale)</t>
  </si>
  <si>
    <t>Grain Drying ($/bu)</t>
  </si>
  <si>
    <r>
      <t xml:space="preserve">Wheat </t>
    </r>
    <r>
      <rPr>
        <sz val="14"/>
        <rFont val="Times New Roman"/>
        <family val="1"/>
      </rPr>
      <t>(Spring)</t>
    </r>
  </si>
  <si>
    <r>
      <t xml:space="preserve">Wheat </t>
    </r>
    <r>
      <rPr>
        <sz val="14"/>
        <rFont val="Times New Roman"/>
        <family val="1"/>
      </rPr>
      <t>(Winter)</t>
    </r>
  </si>
  <si>
    <t>Buckwheat</t>
  </si>
  <si>
    <t>Buckwheat Operating Costs</t>
  </si>
  <si>
    <t>Buckwheat Acreage</t>
  </si>
  <si>
    <t>Buckwheat Price ($/bu)</t>
  </si>
  <si>
    <t>Buckwheat Yield (bu)</t>
  </si>
  <si>
    <t>Buckwheat % Yield Increase/Decrease</t>
  </si>
  <si>
    <t>Windrow</t>
  </si>
  <si>
    <t>Buckwheat Windrower</t>
  </si>
  <si>
    <t>Windrower - SMALL SIZE</t>
  </si>
  <si>
    <t>Windrower - MEDIUM SIZE</t>
  </si>
  <si>
    <t>Windrower - LARGE SIZE</t>
  </si>
  <si>
    <t>Windrower for Buckwheat - SMALL SIZE</t>
  </si>
  <si>
    <t>Windrower for Buckwheat - MEDIUM SIZE</t>
  </si>
  <si>
    <t>Windrower for Buckwheat - LARGE SIZE</t>
  </si>
  <si>
    <t>Raker for Straw</t>
  </si>
  <si>
    <t>Round Baler for Straw</t>
  </si>
  <si>
    <t>Square Baler for Straw</t>
  </si>
  <si>
    <t>Raker - S/M/L SIZE</t>
  </si>
  <si>
    <t>Round Baler - S/M/L SIZE</t>
  </si>
  <si>
    <t>Square Baler - S/M/L SIZE</t>
  </si>
  <si>
    <r>
      <rPr>
        <sz val="10"/>
        <rFont val="Times New Roman"/>
        <family val="1"/>
      </rPr>
      <t xml:space="preserve">    </t>
    </r>
    <r>
      <rPr>
        <u/>
        <sz val="10"/>
        <rFont val="Times New Roman"/>
        <family val="1"/>
      </rPr>
      <t>Truck Buckwheat from Storage to Buyer</t>
    </r>
  </si>
  <si>
    <t xml:space="preserve">      Combine Buckwheat</t>
  </si>
  <si>
    <t xml:space="preserve">      Windrow Buckwheat</t>
  </si>
  <si>
    <t xml:space="preserve">      Truck Buckwheat from Field to Storage</t>
  </si>
  <si>
    <t xml:space="preserve">      Truck Buckwheat</t>
  </si>
  <si>
    <t>Truck Buckwheat</t>
  </si>
  <si>
    <t>Windrow Buckwheat</t>
  </si>
  <si>
    <t xml:space="preserve">  Crop cleaning (Bkwt.)</t>
  </si>
  <si>
    <t xml:space="preserve">  Crop cleaning (Buckwheat)</t>
  </si>
  <si>
    <t xml:space="preserve">  Crop drying (Buckwheat)</t>
  </si>
  <si>
    <t xml:space="preserve">  Crop drying (Bkwt.)</t>
  </si>
  <si>
    <t>Buckwheat Ownership Costs</t>
  </si>
  <si>
    <t>Equipment (Buckwheat)</t>
  </si>
  <si>
    <t>Land (Buckwheat)</t>
  </si>
  <si>
    <t>Buildings &amp; Storages (Buckwheat)</t>
  </si>
  <si>
    <t>Total Investment (Buckwheat)</t>
  </si>
  <si>
    <r>
      <t xml:space="preserve">Maine Organic </t>
    </r>
    <r>
      <rPr>
        <b/>
        <sz val="22"/>
        <color indexed="8"/>
        <rFont val="Calibri"/>
        <family val="2"/>
      </rPr>
      <t xml:space="preserve">Buckwheat </t>
    </r>
    <r>
      <rPr>
        <b/>
        <sz val="16"/>
        <color indexed="8"/>
        <rFont val="Calibri"/>
        <family val="2"/>
      </rPr>
      <t>Enterprise Budget</t>
    </r>
  </si>
  <si>
    <t>Annual Buckwheat Budget</t>
  </si>
  <si>
    <t>Buckwheat Yield (bushels/ton)</t>
  </si>
  <si>
    <t>Buckwheat Yield (bushels)</t>
  </si>
  <si>
    <t>Buckwheat Yield (tons)</t>
  </si>
  <si>
    <t xml:space="preserve">        Crop Cleaning Equipment</t>
  </si>
  <si>
    <t xml:space="preserve">        Spray Fungicide (OMRI approved)</t>
  </si>
  <si>
    <t xml:space="preserve">        Windrow Buckwheat</t>
  </si>
  <si>
    <t>15.0 bu</t>
  </si>
  <si>
    <t>for wet buckwheat</t>
  </si>
  <si>
    <t>Grain Dryer (Buckwheat) - SMALL SIZE</t>
  </si>
  <si>
    <t>Grain Dryer (Buckwheat) - MEDIUM SIZE</t>
  </si>
  <si>
    <t>Grain Dryer (Buckwheat) - LARGE SIZE</t>
  </si>
  <si>
    <t>Grain Bags (Buckwheat) - SMALL SIZE</t>
  </si>
  <si>
    <t>Grain Bin (Buckwheat) - MEDIUM SIZE</t>
  </si>
  <si>
    <t>Grain Bin (Buckwheat) - LARGE SIZE</t>
  </si>
  <si>
    <t>Other Rental</t>
  </si>
  <si>
    <t>Rental (i.e. equipment)</t>
  </si>
  <si>
    <t xml:space="preserve">Other </t>
  </si>
  <si>
    <t xml:space="preserve">     Extrude Soybeans</t>
  </si>
  <si>
    <t>Main.&amp;Upkp. (% Adj.)</t>
  </si>
  <si>
    <t>1c) Interest Rate for Operating Loan:</t>
  </si>
  <si>
    <t>Interest rate for operating loan (S/M/L model)</t>
  </si>
  <si>
    <t>Tine-Harrow</t>
  </si>
  <si>
    <t>Tine-Harrow (2x)</t>
  </si>
  <si>
    <t>Tine-Harrow (1x)</t>
  </si>
  <si>
    <t>Tine-Harrow (i.e. Lely, 20-30 ft) - SMALL SIZE</t>
  </si>
  <si>
    <t>Tine-Harrow (i.e. Lely, 20-30 ft) - MEDIUM SIZE</t>
  </si>
  <si>
    <t>Tine-Harrow (i.e. Lely, 20-30 ft) - LARGE SIZE</t>
  </si>
  <si>
    <t>tine-harrow</t>
  </si>
  <si>
    <t xml:space="preserve">      Tine-Harrow </t>
  </si>
  <si>
    <t xml:space="preserve">Tine-Harrow </t>
  </si>
  <si>
    <t xml:space="preserve">        Tine-Harrow (2x)</t>
  </si>
  <si>
    <t xml:space="preserve">        Tine-Harrow</t>
  </si>
  <si>
    <r>
      <t>The following information are the profit measures from individual crop and whole-farm budget(s)</t>
    </r>
    <r>
      <rPr>
        <b/>
        <sz val="16"/>
        <rFont val="Times New Roman"/>
        <family val="1"/>
      </rPr>
      <t>:</t>
    </r>
  </si>
  <si>
    <t>Prepared by Dr. Aaron Hoshide, University of Maine School of Economics
Thomas Molloy, Andrew Plant and Dr. Ellen Mallory, University of Maine Cooperative Extension</t>
  </si>
  <si>
    <t>Straw Yield</t>
  </si>
  <si>
    <t>Bushel Weight</t>
  </si>
  <si>
    <t>(lb/bushel)</t>
  </si>
  <si>
    <t>if specified</t>
  </si>
  <si>
    <t>1) Enter the operational steps for your crop(s):</t>
  </si>
  <si>
    <t>1) Please enter the acres per hour each operation takes to complete for your crop(s):</t>
  </si>
  <si>
    <t>2) Please enter the gallons of diesel fuel per acre each operation uses for your crop(s):</t>
  </si>
  <si>
    <t>4) Please enter the following costs for your crop(s):</t>
  </si>
  <si>
    <t>5a) Utilities (months used per year)</t>
  </si>
  <si>
    <t>5b) Utilities ($/month)</t>
  </si>
  <si>
    <t>6) Heating</t>
  </si>
  <si>
    <t>7) Phone &amp; Internet</t>
  </si>
  <si>
    <t>8) Lime Custom Hire</t>
  </si>
  <si>
    <r>
      <t>9a) Freight &amp; Trucking (</t>
    </r>
    <r>
      <rPr>
        <b/>
        <i/>
        <sz val="16"/>
        <rFont val="Times New Roman"/>
        <family val="1"/>
      </rPr>
      <t>Farmer Owns Trucks</t>
    </r>
    <r>
      <rPr>
        <b/>
        <sz val="16"/>
        <rFont val="Times New Roman"/>
        <family val="1"/>
      </rPr>
      <t>)</t>
    </r>
  </si>
  <si>
    <r>
      <t>9b) Freight &amp; Trucking (</t>
    </r>
    <r>
      <rPr>
        <b/>
        <i/>
        <sz val="16"/>
        <rFont val="Times New Roman"/>
        <family val="1"/>
      </rPr>
      <t>Custom Hire Out</t>
    </r>
    <r>
      <rPr>
        <b/>
        <sz val="16"/>
        <rFont val="Times New Roman"/>
        <family val="1"/>
      </rPr>
      <t>)</t>
    </r>
  </si>
  <si>
    <t>10) All Grain &amp; Pulse Drying (i.e. propane)</t>
  </si>
  <si>
    <t>11) Other Miscellaneous Costs</t>
  </si>
  <si>
    <t>2) Enter crop land value:</t>
  </si>
  <si>
    <t>3) Enter cost of land rent:</t>
  </si>
  <si>
    <t>5) Enter input use and input costs for your crop(s):</t>
  </si>
  <si>
    <t>1) Enter land maintenance and upkeep:</t>
  </si>
  <si>
    <r>
      <t>Enter the following FARM information into the green highlighted cells to customize your farm budget(s)</t>
    </r>
    <r>
      <rPr>
        <b/>
        <sz val="16"/>
        <rFont val="Times New Roman"/>
        <family val="1"/>
      </rPr>
      <t>:</t>
    </r>
  </si>
  <si>
    <r>
      <t>Enter crop INPUT use into the green highlighted cells to customize your farm budget(s)</t>
    </r>
    <r>
      <rPr>
        <b/>
        <sz val="16"/>
        <rFont val="Times New Roman"/>
        <family val="1"/>
      </rPr>
      <t>:</t>
    </r>
  </si>
  <si>
    <r>
      <t>Enter the following information on operational steps (OS) into the green highlighted cells to customize your farm budget(s)</t>
    </r>
    <r>
      <rPr>
        <b/>
        <sz val="16"/>
        <rFont val="Times New Roman"/>
        <family val="1"/>
      </rPr>
      <t>:</t>
    </r>
  </si>
  <si>
    <r>
      <t>Enter the following information on operational step input (OSI) assumptions into the green highlighted cells to customize</t>
    </r>
    <r>
      <rPr>
        <b/>
        <sz val="16"/>
        <rFont val="Times New Roman"/>
        <family val="1"/>
      </rPr>
      <t>:</t>
    </r>
  </si>
  <si>
    <r>
      <t>Enter crop capital (CP) and land use into the green highlighted cells to customize your farm budget(s)</t>
    </r>
    <r>
      <rPr>
        <b/>
        <sz val="16"/>
        <rFont val="Times New Roman"/>
        <family val="1"/>
      </rPr>
      <t>:</t>
    </r>
  </si>
  <si>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barley is grown on a certain number of specified acres.  The sale of straw can be a significant source of revenue, however, the market for organic straw in Maine is currently unknown, so it is not included.  </t>
  </si>
  <si>
    <t>Barley Crop Acres:</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</si>
  <si>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oats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</si>
  <si>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winter rye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</si>
  <si>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spring wheat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</si>
  <si>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winter wheat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</si>
  <si>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winter triticale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</si>
  <si>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winter spelt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</si>
  <si>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buckwheat is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</si>
  <si>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peas are grown on a certain number of specified acres.  The sale of straw can be a significant source of revenue, however, the market for organic straw in Maine is currently unknown, so it is not included.  </t>
  </si>
  <si>
    <t xml:space="preserve">This budget calculates the revenues, variable and fixed costs and returns for a hypothetical Maine organic grain/pulse enterprise.  However, costs, yields, and returns will vary greatly across farms and locations.  Therefore, please use the budget as a template into which you can write figures specific to your own operation.  The budget allows the user to specify an operation with any rotation where soybeans are grown on a certain number of specified acres.  The sale of straw can be a significant source of revenue, however, the market for organic straw in Maine is currently unknown, so it is not included.  </t>
  </si>
  <si>
    <t>#</t>
  </si>
  <si>
    <t>Tine Harrow</t>
  </si>
  <si>
    <t xml:space="preserve">      Tine Harrow</t>
  </si>
  <si>
    <r>
      <t>Maine (ME) Grain &amp; Pulse BUDGETS</t>
    </r>
    <r>
      <rPr>
        <b/>
        <sz val="16"/>
        <rFont val="Times New Roman"/>
        <family val="1"/>
      </rPr>
      <t>:</t>
    </r>
  </si>
  <si>
    <t>The Maine (ME) Grain &amp; Pulse BUDGETS tool is designed to allow farmers to evaluate different organic grain and pulse rotation scenarios at small, medium, and large sizes.</t>
  </si>
  <si>
    <t>FARM -</t>
  </si>
  <si>
    <t>INPUT -</t>
  </si>
  <si>
    <t xml:space="preserve">OS - </t>
  </si>
  <si>
    <t xml:space="preserve">Budget Summary - </t>
  </si>
  <si>
    <t>Set wage rate ($/hour), fuel price ($/gal), land value, land rent, interest rates for operating loans and capital, and use and prices for major inputs.</t>
  </si>
  <si>
    <t xml:space="preserve">OSI - </t>
  </si>
  <si>
    <t xml:space="preserve">CP - </t>
  </si>
  <si>
    <t>Spring wheat</t>
  </si>
  <si>
    <t>Winter wheat</t>
  </si>
  <si>
    <t>Print out individual crop summary budget worksheet(s) in University of Maine Extension format.</t>
  </si>
  <si>
    <t>Please note that all worksheets are locked with the exception of green highlighted cells that allow users to customize the budget tool to their specific farm or anticipated farm scenario.</t>
  </si>
  <si>
    <r>
      <rPr>
        <u/>
        <sz val="12"/>
        <rFont val="Times New Roman"/>
        <family val="1"/>
      </rPr>
      <t>Worksheets are organized as follows</t>
    </r>
    <r>
      <rPr>
        <sz val="12"/>
        <rFont val="Times New Roman"/>
        <family val="1"/>
      </rPr>
      <t>:</t>
    </r>
  </si>
  <si>
    <t>Specify farm model acres, if acres are owned or rented, crop yields, baled straw type and yields, and and prices received for straw and/or crops.</t>
  </si>
  <si>
    <t>3) Oil cost as a percentage of total spent on diesel fuel:</t>
  </si>
  <si>
    <t>Print out summary of profitability measures (net farm income &amp; return over variable costs) and whole-farm budget summaries in total, per acre, per bushel, per ton, and per hour.</t>
  </si>
  <si>
    <t>Determine operational steps (OS) of each crop's production (e.g. primary/secondary tillage, spread manure, plant, cultivate, fertilize, spray fungicide, combine, truck out of field, clean, &amp; dry).</t>
  </si>
  <si>
    <t>Further customize operational step input (OSI) use related to labor hours and fuel use per operation, oil, supplies, crop insurance, utilities, heating, phone &amp; internet, freight &amp; trucking, grain drying, etc.).</t>
  </si>
  <si>
    <t>Specify land maintenance &amp; upkeep plus capital (CP) depreciation of all buildings &amp; equipment (e.g. tractors, trucks, equipment used for tillage, planting, spraying, harvesting, &amp; crop cleaning &amp; storage, etc.).</t>
  </si>
  <si>
    <r>
      <t>Enter the following information on straw assumptions into the green highlighted cells to customize</t>
    </r>
    <r>
      <rPr>
        <b/>
        <sz val="16"/>
        <rFont val="Times New Roman"/>
        <family val="1"/>
      </rPr>
      <t>:</t>
    </r>
  </si>
  <si>
    <t>Default Yield</t>
  </si>
  <si>
    <t>2b) Bushel weight for each crop:</t>
  </si>
  <si>
    <t>1) Please enter assumed straw yield, baled type, and price per bale for grain crop(s):</t>
  </si>
  <si>
    <t xml:space="preserve">Round &amp;/or </t>
  </si>
  <si>
    <t>2) Straw bale weight assumptions:</t>
  </si>
  <si>
    <t>If Both Bale</t>
  </si>
  <si>
    <t>(square</t>
  </si>
  <si>
    <t>bales/acre)</t>
  </si>
  <si>
    <t>(round</t>
  </si>
  <si>
    <t>STRAW</t>
  </si>
  <si>
    <t>Bar =</t>
  </si>
  <si>
    <t>Oat =</t>
  </si>
  <si>
    <t>Rye =</t>
  </si>
  <si>
    <t>wWht =</t>
  </si>
  <si>
    <t>Trt =</t>
  </si>
  <si>
    <t>Spt =</t>
  </si>
  <si>
    <t>Bwt =</t>
  </si>
  <si>
    <t>Pea =</t>
  </si>
  <si>
    <t>Soy =</t>
  </si>
  <si>
    <t>sWht =</t>
  </si>
  <si>
    <t>Straw (round bale)</t>
  </si>
  <si>
    <t>Custom Hire (Lime @ 5 yrs)</t>
  </si>
  <si>
    <t>Baling Supplies</t>
  </si>
  <si>
    <t>Equipment Restoration (@ $45/hour)</t>
  </si>
  <si>
    <t>Types Used</t>
  </si>
  <si>
    <t>Then Specify</t>
  </si>
  <si>
    <t>% Round Bales</t>
  </si>
  <si>
    <t>% Square Bales</t>
  </si>
  <si>
    <t>Bale</t>
  </si>
  <si>
    <t xml:space="preserve">Straw - </t>
  </si>
  <si>
    <t>Evaluates economics of adding straw for small grain crops (Bar, Oat, Rye, sWht, wWht, Trt, Spt) as round bales, square bales, or a combination of round &amp; square bales.</t>
  </si>
  <si>
    <r>
      <rPr>
        <u/>
        <sz val="12"/>
        <rFont val="Times New Roman"/>
        <family val="1"/>
      </rPr>
      <t>Crop Budgets</t>
    </r>
    <r>
      <rPr>
        <sz val="12"/>
        <rFont val="Times New Roman"/>
        <family val="1"/>
      </rPr>
      <t xml:space="preserve"> -</t>
    </r>
  </si>
  <si>
    <t>3) Twine &amp; netting assumptions:</t>
  </si>
  <si>
    <t>3) Enter farm capital use and costs for your crop(s) :</t>
  </si>
  <si>
    <t>2) Capital value percent adjuster for SMALL farm size:</t>
  </si>
  <si>
    <t>of capital value</t>
  </si>
  <si>
    <t>The following person has been designated to handle inquiries regarding non-discrimination policies:  Director of Equal Opportunity, 101 North Stevens Hall, University of Maine, Orono, ME  04469-5754, 207.581.1226, TTY 711 (Maine Relay System).</t>
  </si>
  <si>
    <t xml:space="preserve">transgender status, gender expression, national origin, citizenship status, age, disability, genetic information or veteran’s status in employment, education, and all other programs and activities. </t>
  </si>
  <si>
    <t>The University of Maine is an EEO/AA employer and does not discriminate on the grounds of race, color, religion, sex, sexual orientation,</t>
  </si>
  <si>
    <t>Designed by Dr. Aaron K. Hoshide, Faculty Associate; Tom Molloy, Research Associate; Andrew Plant, Maine Potato Board; &amp; Dr. Ellen Mallory, Extension Specialist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</si>
</sst>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 #,##0.0_);_(* \(#,##0.0\);_(* &quot;-&quot;??_);_(@_)"/>
    <numFmt numFmtId="167" formatCode="_(&quot;$&quot;* #,##0_);_(&quot;$&quot;* \(#,##0\);_(&quot;$&quot;* &quot;-&quot;??_);_(@_)"/>
    <numFmt numFmtId="168" formatCode="0.0"/>
    <numFmt numFmtId="169" formatCode="0.000"/>
    <numFmt numFmtId="170" formatCode="0.00000"/>
    <numFmt numFmtId="171" formatCode="_(* #,##0.000_);_(* \(#,##0.000\);_(* &quot;-&quot;??_);_(@_)"/>
    <numFmt numFmtId="172" formatCode="&quot;$&quot;#,##0.00"/>
    <numFmt numFmtId="173" formatCode="&quot;$&quot;#,##0"/>
    <numFmt numFmtId="174" formatCode="&quot;$&quot;#,##0.000"/>
    <numFmt numFmtId="175" formatCode="#,##0.0"/>
    <numFmt numFmtId="176" formatCode="&quot;$&quot;#,##0.000_);\(&quot;$&quot;#,##0.000\)"/>
    <numFmt numFmtId="177" formatCode="&quot;$&quot;#,##0.0000"/>
    <numFmt numFmtId="178" formatCode="&quot;$&quot;#,##0.00000"/>
    <numFmt numFmtId="179" formatCode="0.0000"/>
    <numFmt numFmtId="180" formatCode="#,##0.0_);\(#,##0.0\)"/>
    <numFmt numFmtId="181" formatCode="#,##0.00000_);\(#,##0.00000\)"/>
    <numFmt numFmtId="182" formatCode="#,##0.000"/>
    <numFmt numFmtId="183" formatCode="#,##0.000_);\(#,##0.000\)"/>
  </numFmts>
  <fonts count="85" x14ac:knownFonts="1">
    <font>
      <sz val="10"/>
      <name val="Arial"/>
    </font>
    <font>
      <sz val="10"/>
      <name val="Arial"/>
      <family val="2"/>
    </font>
    <font>
      <u/>
      <sz val="10"/>
      <color indexed="12"/>
      <name val="Arial"/>
      <family val="2"/>
    </font>
    <font>
      <b/>
      <i/>
      <sz val="10"/>
      <name val="Times New Roman"/>
      <family val="1"/>
    </font>
    <font>
      <i/>
      <sz val="10"/>
      <name val="Times New Roman"/>
      <family val="1"/>
    </font>
    <font>
      <b/>
      <sz val="10"/>
      <name val="Times New Roman"/>
      <family val="1"/>
    </font>
    <font>
      <sz val="10"/>
      <name val="Times New Roman"/>
      <family val="1"/>
    </font>
    <font>
      <sz val="10"/>
      <color indexed="61"/>
      <name val="Times New Roman"/>
      <family val="1"/>
    </font>
    <font>
      <b/>
      <sz val="10"/>
      <color indexed="61"/>
      <name val="Times New Roman"/>
      <family val="1"/>
    </font>
    <font>
      <sz val="8"/>
      <color indexed="81"/>
      <name val="Tahoma"/>
      <family val="2"/>
    </font>
    <font>
      <sz val="8"/>
      <name val="Times New Roman"/>
      <family val="1"/>
    </font>
    <font>
      <u/>
      <sz val="10"/>
      <name val="Times New Roman"/>
      <family val="1"/>
    </font>
    <font>
      <b/>
      <u/>
      <sz val="10"/>
      <name val="Times New Roman"/>
      <family val="1"/>
    </font>
    <font>
      <u/>
      <sz val="8"/>
      <color indexed="81"/>
      <name val="Tahoma"/>
      <family val="2"/>
    </font>
    <font>
      <sz val="10"/>
      <color indexed="9"/>
      <name val="Times New Roman"/>
      <family val="1"/>
    </font>
    <font>
      <sz val="10"/>
      <name val="Arial"/>
      <family val="2"/>
    </font>
    <font>
      <sz val="8"/>
      <name val="Arial"/>
      <family val="2"/>
    </font>
    <font>
      <u/>
      <sz val="10"/>
      <color indexed="12"/>
      <name val="Times New Roman"/>
      <family val="1"/>
    </font>
    <font>
      <sz val="10"/>
      <color indexed="8"/>
      <name val="Times New Roman"/>
      <family val="1"/>
    </font>
    <font>
      <i/>
      <u/>
      <sz val="10"/>
      <name val="Times New Roman"/>
      <family val="1"/>
    </font>
    <font>
      <sz val="10"/>
      <name val="Arial"/>
      <family val="2"/>
    </font>
    <font>
      <sz val="10"/>
      <color indexed="8"/>
      <name val="Times New Roman"/>
      <family val="1"/>
    </font>
    <font>
      <sz val="10"/>
      <color indexed="8"/>
      <name val="Times New Roman"/>
      <family val="1"/>
    </font>
    <font>
      <sz val="10"/>
      <color indexed="9"/>
      <name val="Times New Roman"/>
      <family val="1"/>
    </font>
    <font>
      <sz val="10"/>
      <color indexed="60"/>
      <name val="Times New Roman"/>
      <family val="1"/>
    </font>
    <font>
      <sz val="4"/>
      <color indexed="61"/>
      <name val="Times New Roman"/>
      <family val="1"/>
    </font>
    <font>
      <b/>
      <sz val="8"/>
      <color indexed="81"/>
      <name val="Tahoma"/>
      <family val="2"/>
    </font>
    <font>
      <b/>
      <sz val="9"/>
      <color indexed="81"/>
      <name val="Tahoma"/>
      <family val="2"/>
    </font>
    <font>
      <sz val="9"/>
      <color indexed="81"/>
      <name val="Tahoma"/>
      <family val="2"/>
    </font>
    <font>
      <sz val="12"/>
      <name val="Times New Roman"/>
      <family val="1"/>
    </font>
    <font>
      <b/>
      <i/>
      <sz val="12"/>
      <name val="Times New Roman"/>
      <family val="1"/>
    </font>
    <font>
      <i/>
      <sz val="12"/>
      <name val="Times New Roman"/>
      <family val="1"/>
    </font>
    <font>
      <b/>
      <sz val="12"/>
      <name val="Times New Roman"/>
      <family val="1"/>
    </font>
    <font>
      <sz val="12"/>
      <name val="Arial"/>
      <family val="2"/>
    </font>
    <font>
      <i/>
      <sz val="10"/>
      <color indexed="61"/>
      <name val="Times New Roman"/>
      <family val="1"/>
    </font>
    <font>
      <sz val="10"/>
      <color theme="5" tint="-0.249977111117893"/>
      <name val="Times New Roman"/>
      <family val="1"/>
    </font>
    <font>
      <sz val="14"/>
      <name val="Times New Roman"/>
      <family val="1"/>
    </font>
    <font>
      <b/>
      <sz val="16"/>
      <name val="Times New Roman"/>
      <family val="1"/>
    </font>
    <font>
      <b/>
      <sz val="9"/>
      <color indexed="81"/>
      <name val="Tahoma"/>
      <charset val="1"/>
    </font>
    <font>
      <b/>
      <sz val="11"/>
      <color theme="1"/>
      <name val="Calibri"/>
      <family val="2"/>
      <scheme val="minor"/>
    </font>
    <font>
      <b/>
      <sz val="16"/>
      <color indexed="8"/>
      <name val="Calibri"/>
      <family val="2"/>
    </font>
    <font>
      <b/>
      <sz val="22"/>
      <color indexed="8"/>
      <name val="Calibri"/>
      <family val="2"/>
    </font>
    <font>
      <sz val="16"/>
      <color indexed="8"/>
      <name val="Calibri"/>
      <family val="2"/>
    </font>
    <font>
      <sz val="11"/>
      <color indexed="8"/>
      <name val="Calibri"/>
      <family val="2"/>
    </font>
    <font>
      <sz val="10"/>
      <color theme="1"/>
      <name val="Calibri"/>
      <family val="2"/>
      <scheme val="minor"/>
    </font>
    <font>
      <sz val="10"/>
      <color indexed="8"/>
      <name val="Calibri"/>
      <family val="2"/>
      <scheme val="minor"/>
    </font>
    <font>
      <sz val="10"/>
      <color indexed="8"/>
      <name val="Calibri"/>
      <family val="2"/>
    </font>
    <font>
      <b/>
      <sz val="10"/>
      <color theme="1"/>
      <name val="Calibri"/>
      <family val="2"/>
      <scheme val="minor"/>
    </font>
    <font>
      <b/>
      <i/>
      <sz val="10"/>
      <color theme="1"/>
      <name val="Calibri"/>
      <family val="2"/>
      <scheme val="minor"/>
    </font>
    <font>
      <b/>
      <i/>
      <sz val="10"/>
      <color indexed="8"/>
      <name val="Calibri"/>
      <family val="2"/>
    </font>
    <font>
      <i/>
      <sz val="10"/>
      <color theme="1"/>
      <name val="Calibri"/>
      <family val="2"/>
      <scheme val="minor"/>
    </font>
    <font>
      <i/>
      <sz val="11"/>
      <color theme="1"/>
      <name val="Calibri"/>
      <family val="2"/>
      <scheme val="minor"/>
    </font>
    <font>
      <b/>
      <sz val="10"/>
      <color indexed="8"/>
      <name val="Calibri"/>
      <family val="2"/>
    </font>
    <font>
      <sz val="14"/>
      <color indexed="8"/>
      <name val="Calibri"/>
      <family val="2"/>
      <scheme val="minor"/>
    </font>
    <font>
      <b/>
      <sz val="11"/>
      <color indexed="8"/>
      <name val="Calibri"/>
      <family val="2"/>
      <scheme val="minor"/>
    </font>
    <font>
      <sz val="11"/>
      <name val="Calibri"/>
      <family val="2"/>
      <scheme val="minor"/>
    </font>
    <font>
      <sz val="11"/>
      <name val="Calibri"/>
      <family val="2"/>
    </font>
    <font>
      <sz val="11"/>
      <color indexed="8"/>
      <name val="Calibri"/>
      <family val="2"/>
      <scheme val="minor"/>
    </font>
    <font>
      <b/>
      <sz val="11"/>
      <color indexed="8"/>
      <name val="Calibri"/>
      <family val="2"/>
    </font>
    <font>
      <sz val="9.5"/>
      <name val="Arial"/>
      <family val="2"/>
    </font>
    <font>
      <sz val="10"/>
      <name val="Calibri"/>
      <family val="2"/>
      <scheme val="minor"/>
    </font>
    <font>
      <sz val="16"/>
      <name val="Times New Roman"/>
      <family val="1"/>
    </font>
    <font>
      <i/>
      <sz val="14"/>
      <name val="Times New Roman"/>
      <family val="1"/>
    </font>
    <font>
      <i/>
      <u/>
      <sz val="16"/>
      <name val="Times New Roman"/>
      <family val="1"/>
    </font>
    <font>
      <u/>
      <sz val="16"/>
      <name val="Times New Roman"/>
      <family val="1"/>
    </font>
    <font>
      <i/>
      <sz val="16"/>
      <name val="Times New Roman"/>
      <family val="1"/>
    </font>
    <font>
      <b/>
      <u/>
      <sz val="16"/>
      <name val="Times New Roman"/>
      <family val="1"/>
    </font>
    <font>
      <b/>
      <sz val="12"/>
      <color rgb="FFFF0000"/>
      <name val="Times New Roman"/>
      <family val="1"/>
    </font>
    <font>
      <b/>
      <sz val="16"/>
      <color rgb="FFFF0000"/>
      <name val="Times New Roman"/>
      <family val="1"/>
    </font>
    <font>
      <sz val="9"/>
      <color indexed="81"/>
      <name val="Tahoma"/>
      <charset val="1"/>
    </font>
    <font>
      <b/>
      <sz val="14"/>
      <name val="Times New Roman"/>
      <family val="1"/>
    </font>
    <font>
      <b/>
      <sz val="10"/>
      <name val="Calibri"/>
      <family val="2"/>
      <scheme val="minor"/>
    </font>
    <font>
      <sz val="10"/>
      <color theme="9" tint="-0.249977111117893"/>
      <name val="Times New Roman"/>
      <family val="1"/>
    </font>
    <font>
      <sz val="10"/>
      <color theme="9" tint="-0.499984740745262"/>
      <name val="Times New Roman"/>
      <family val="1"/>
    </font>
    <font>
      <sz val="10"/>
      <color theme="5" tint="-0.499984740745262"/>
      <name val="Times New Roman"/>
      <family val="1"/>
    </font>
    <font>
      <sz val="10"/>
      <color rgb="FFFF9900"/>
      <name val="Times New Roman"/>
      <family val="1"/>
    </font>
    <font>
      <sz val="10"/>
      <color rgb="FFC00000"/>
      <name val="Times New Roman"/>
      <family val="1"/>
    </font>
    <font>
      <sz val="10"/>
      <color rgb="FF996633"/>
      <name val="Times New Roman"/>
      <family val="1"/>
    </font>
    <font>
      <b/>
      <i/>
      <sz val="16"/>
      <name val="Times New Roman"/>
      <family val="1"/>
    </font>
    <font>
      <b/>
      <i/>
      <sz val="12"/>
      <color rgb="FFFF0000"/>
      <name val="Times New Roman"/>
      <family val="1"/>
    </font>
    <font>
      <b/>
      <sz val="13"/>
      <name val="Times New Roman"/>
      <family val="1"/>
    </font>
    <font>
      <i/>
      <sz val="16"/>
      <color theme="0"/>
      <name val="Times New Roman"/>
      <family val="1"/>
    </font>
    <font>
      <i/>
      <sz val="8"/>
      <name val="Times New Roman"/>
      <family val="1"/>
    </font>
    <font>
      <u/>
      <sz val="12"/>
      <name val="Times New Roman"/>
      <family val="1"/>
    </font>
    <font>
      <sz val="7"/>
      <name val="Times New Roman"/>
      <family val="1"/>
    </font>
  </fonts>
  <fills count="32">
    <fill>
      <patternFill patternType="none"/>
    </fill>
    <fill>
      <patternFill patternType="gray125"/>
    </fill>
    <fill>
      <patternFill patternType="solid">
        <fgColor indexed="51"/>
        <bgColor indexed="64"/>
      </patternFill>
    </fill>
    <fill>
      <patternFill patternType="solid">
        <fgColor indexed="26"/>
        <bgColor indexed="64"/>
      </patternFill>
    </fill>
    <fill>
      <patternFill patternType="solid">
        <fgColor indexed="50"/>
        <bgColor indexed="64"/>
      </patternFill>
    </fill>
    <fill>
      <patternFill patternType="solid">
        <fgColor indexed="57"/>
        <bgColor indexed="64"/>
      </patternFill>
    </fill>
    <fill>
      <patternFill patternType="solid">
        <fgColor indexed="13"/>
        <bgColor indexed="64"/>
      </patternFill>
    </fill>
    <fill>
      <patternFill patternType="solid">
        <fgColor indexed="52"/>
        <bgColor indexed="64"/>
      </patternFill>
    </fill>
    <fill>
      <patternFill patternType="solid">
        <fgColor indexed="43"/>
        <bgColor indexed="64"/>
      </patternFill>
    </fill>
    <fill>
      <patternFill patternType="solid">
        <fgColor indexed="11"/>
        <bgColor indexed="64"/>
      </patternFill>
    </fill>
    <fill>
      <patternFill patternType="solid">
        <fgColor indexed="45"/>
        <bgColor indexed="64"/>
      </patternFill>
    </fill>
    <fill>
      <patternFill patternType="solid">
        <fgColor indexed="15"/>
        <bgColor indexed="64"/>
      </patternFill>
    </fill>
    <fill>
      <patternFill patternType="solid">
        <fgColor indexed="34"/>
        <bgColor indexed="64"/>
      </patternFill>
    </fill>
    <fill>
      <patternFill patternType="solid">
        <fgColor indexed="40"/>
        <bgColor indexed="64"/>
      </patternFill>
    </fill>
    <fill>
      <patternFill patternType="solid">
        <fgColor indexed="42"/>
        <bgColor indexed="64"/>
      </patternFill>
    </fill>
    <fill>
      <patternFill patternType="solid">
        <fgColor indexed="17"/>
        <bgColor indexed="64"/>
      </patternFill>
    </fill>
    <fill>
      <patternFill patternType="solid">
        <fgColor indexed="61"/>
        <bgColor indexed="64"/>
      </patternFill>
    </fill>
    <fill>
      <patternFill patternType="solid">
        <fgColor indexed="29"/>
        <bgColor indexed="64"/>
      </patternFill>
    </fill>
    <fill>
      <patternFill patternType="solid">
        <fgColor indexed="53"/>
        <bgColor indexed="64"/>
      </patternFill>
    </fill>
    <fill>
      <patternFill patternType="solid">
        <fgColor indexed="60"/>
        <bgColor indexed="64"/>
      </patternFill>
    </fill>
    <fill>
      <patternFill patternType="solid">
        <fgColor indexed="19"/>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rgb="FF00B050"/>
        <bgColor indexed="64"/>
      </patternFill>
    </fill>
    <fill>
      <patternFill patternType="solid">
        <fgColor rgb="FFFFFFCC"/>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249977111117893"/>
        <bgColor indexed="64"/>
      </patternFill>
    </fill>
    <fill>
      <patternFill patternType="solid">
        <fgColor theme="0" tint="-0.249977111117893"/>
        <bgColor indexed="64"/>
      </patternFill>
    </fill>
  </fills>
  <borders count="122">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right style="thin">
        <color indexed="55"/>
      </right>
      <top style="thin">
        <color indexed="55"/>
      </top>
      <bottom/>
      <diagonal/>
    </border>
    <border>
      <left style="thin">
        <color indexed="64"/>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right/>
      <top style="thin">
        <color indexed="55"/>
      </top>
      <bottom style="thin">
        <color indexed="55"/>
      </bottom>
      <diagonal/>
    </border>
    <border>
      <left/>
      <right/>
      <top style="thin">
        <color indexed="55"/>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55"/>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style="thin">
        <color indexed="55"/>
      </left>
      <right style="medium">
        <color indexed="64"/>
      </right>
      <top style="thin">
        <color indexed="55"/>
      </top>
      <bottom style="thin">
        <color indexed="55"/>
      </bottom>
      <diagonal/>
    </border>
    <border>
      <left style="medium">
        <color indexed="64"/>
      </left>
      <right/>
      <top/>
      <bottom style="medium">
        <color indexed="64"/>
      </bottom>
      <diagonal/>
    </border>
    <border>
      <left style="thin">
        <color indexed="55"/>
      </left>
      <right style="medium">
        <color indexed="64"/>
      </right>
      <top style="thin">
        <color indexed="55"/>
      </top>
      <bottom style="medium">
        <color indexed="64"/>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right style="thin">
        <color indexed="22"/>
      </right>
      <top/>
      <bottom style="thin">
        <color indexed="22"/>
      </bottom>
      <diagonal/>
    </border>
    <border>
      <left style="thin">
        <color indexed="64"/>
      </left>
      <right style="medium">
        <color indexed="64"/>
      </right>
      <top style="thin">
        <color indexed="64"/>
      </top>
      <bottom style="thin">
        <color indexed="55"/>
      </bottom>
      <diagonal/>
    </border>
    <border>
      <left style="thin">
        <color indexed="64"/>
      </left>
      <right style="medium">
        <color indexed="64"/>
      </right>
      <top style="thin">
        <color indexed="55"/>
      </top>
      <bottom style="medium">
        <color indexed="64"/>
      </bottom>
      <diagonal/>
    </border>
    <border>
      <left style="thin">
        <color indexed="64"/>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55"/>
      </left>
      <right style="thin">
        <color indexed="55"/>
      </right>
      <top/>
      <bottom/>
      <diagonal/>
    </border>
    <border>
      <left style="medium">
        <color indexed="64"/>
      </left>
      <right style="thin">
        <color indexed="55"/>
      </right>
      <top style="medium">
        <color indexed="64"/>
      </top>
      <bottom style="thin">
        <color indexed="55"/>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55"/>
      </top>
      <bottom style="thin">
        <color indexed="64"/>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indexed="64"/>
      </right>
      <top/>
      <bottom/>
      <diagonal/>
    </border>
    <border>
      <left style="medium">
        <color theme="0"/>
      </left>
      <right/>
      <top/>
      <bottom/>
      <diagonal/>
    </border>
    <border>
      <left style="medium">
        <color indexed="64"/>
      </left>
      <right style="medium">
        <color theme="0"/>
      </right>
      <top style="medium">
        <color theme="0"/>
      </top>
      <bottom style="medium">
        <color theme="0"/>
      </bottom>
      <diagonal/>
    </border>
    <border>
      <left/>
      <right style="thin">
        <color theme="0"/>
      </right>
      <top style="thin">
        <color theme="0"/>
      </top>
      <bottom/>
      <diagonal/>
    </border>
    <border>
      <left/>
      <right/>
      <top style="thin">
        <color indexed="22"/>
      </top>
      <bottom style="thin">
        <color indexed="22"/>
      </bottom>
      <diagonal/>
    </border>
    <border>
      <left style="thin">
        <color theme="0"/>
      </left>
      <right/>
      <top style="thin">
        <color theme="0"/>
      </top>
      <bottom style="thin">
        <color theme="0"/>
      </bottom>
      <diagonal/>
    </border>
    <border>
      <left/>
      <right/>
      <top/>
      <bottom style="medium">
        <color indexed="64"/>
      </bottom>
      <diagonal/>
    </border>
    <border>
      <left/>
      <right style="medium">
        <color indexed="64"/>
      </right>
      <top/>
      <bottom style="medium">
        <color indexed="64"/>
      </bottom>
      <diagonal/>
    </border>
    <border>
      <left/>
      <right/>
      <top style="medium">
        <color theme="0"/>
      </top>
      <bottom style="medium">
        <color theme="0"/>
      </bottom>
      <diagonal/>
    </border>
    <border>
      <left style="thin">
        <color theme="0"/>
      </left>
      <right/>
      <top/>
      <bottom style="thin">
        <color theme="0"/>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diagonal/>
    </border>
    <border>
      <left/>
      <right/>
      <top style="medium">
        <color indexed="64"/>
      </top>
      <bottom/>
      <diagonal/>
    </border>
    <border>
      <left/>
      <right/>
      <top style="medium">
        <color theme="0"/>
      </top>
      <bottom/>
      <diagonal/>
    </border>
    <border>
      <left style="thin">
        <color theme="0"/>
      </left>
      <right style="thin">
        <color theme="0"/>
      </right>
      <top style="medium">
        <color indexed="64"/>
      </top>
      <bottom/>
      <diagonal/>
    </border>
    <border>
      <left style="medium">
        <color indexed="64"/>
      </left>
      <right/>
      <top style="thin">
        <color indexed="55"/>
      </top>
      <bottom style="thin">
        <color indexed="55"/>
      </bottom>
      <diagonal/>
    </border>
    <border>
      <left style="thin">
        <color indexed="55"/>
      </left>
      <right/>
      <top style="medium">
        <color indexed="64"/>
      </top>
      <bottom/>
      <diagonal/>
    </border>
    <border>
      <left style="thin">
        <color indexed="55"/>
      </left>
      <right style="medium">
        <color indexed="64"/>
      </right>
      <top style="medium">
        <color indexed="64"/>
      </top>
      <bottom/>
      <diagonal/>
    </border>
    <border>
      <left style="thin">
        <color indexed="55"/>
      </left>
      <right/>
      <top/>
      <bottom style="medium">
        <color indexed="64"/>
      </bottom>
      <diagonal/>
    </border>
    <border>
      <left style="thin">
        <color indexed="55"/>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thin">
        <color indexed="64"/>
      </bottom>
      <diagonal/>
    </border>
    <border>
      <left/>
      <right style="thin">
        <color indexed="55"/>
      </right>
      <top/>
      <bottom style="thin">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indexed="64"/>
      </bottom>
      <diagonal/>
    </border>
    <border>
      <left/>
      <right/>
      <top/>
      <bottom style="medium">
        <color theme="0"/>
      </bottom>
      <diagonal/>
    </border>
    <border>
      <left/>
      <right/>
      <top style="double">
        <color auto="1"/>
      </top>
      <bottom style="thin">
        <color auto="1"/>
      </bottom>
      <diagonal/>
    </border>
    <border>
      <left/>
      <right/>
      <top style="thin">
        <color auto="1"/>
      </top>
      <bottom style="medium">
        <color indexed="64"/>
      </bottom>
      <diagonal/>
    </border>
    <border>
      <left/>
      <right/>
      <top/>
      <bottom style="hair">
        <color auto="1"/>
      </bottom>
      <diagonal/>
    </border>
    <border>
      <left/>
      <right/>
      <top/>
      <bottom style="thin">
        <color auto="1"/>
      </bottom>
      <diagonal/>
    </border>
    <border>
      <left/>
      <right/>
      <top style="hair">
        <color auto="1"/>
      </top>
      <bottom style="hair">
        <color auto="1"/>
      </bottom>
      <diagonal/>
    </border>
    <border>
      <left/>
      <right/>
      <top style="medium">
        <color auto="1"/>
      </top>
      <bottom style="medium">
        <color auto="1"/>
      </bottom>
      <diagonal/>
    </border>
    <border>
      <left/>
      <right/>
      <top style="hair">
        <color indexed="64"/>
      </top>
      <bottom style="thin">
        <color indexed="64"/>
      </bottom>
      <diagonal/>
    </border>
    <border>
      <left/>
      <right/>
      <top style="hair">
        <color auto="1"/>
      </top>
      <bottom/>
      <diagonal/>
    </border>
    <border>
      <left/>
      <right/>
      <top style="medium">
        <color auto="1"/>
      </top>
      <bottom style="double">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theme="0"/>
      </top>
      <bottom style="thin">
        <color theme="0"/>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style="thin">
        <color theme="0"/>
      </top>
      <bottom style="thin">
        <color theme="0"/>
      </bottom>
      <diagonal/>
    </border>
    <border>
      <left style="thin">
        <color indexed="55"/>
      </left>
      <right style="thin">
        <color indexed="55"/>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9">
    <xf numFmtId="0" fontId="0" fillId="0" borderId="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5" fillId="0" borderId="0"/>
    <xf numFmtId="0" fontId="15" fillId="0" borderId="0"/>
    <xf numFmtId="0" fontId="15" fillId="0" borderId="0"/>
    <xf numFmtId="9" fontId="1"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cellStyleXfs>
  <cellXfs count="1402">
    <xf numFmtId="0" fontId="0" fillId="0" borderId="0" xfId="0"/>
    <xf numFmtId="0" fontId="3"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0" fontId="4" fillId="0" borderId="0" xfId="0" applyFont="1"/>
    <xf numFmtId="0" fontId="3" fillId="0" borderId="0" xfId="0" applyFont="1"/>
    <xf numFmtId="0" fontId="6" fillId="0" borderId="0" xfId="0" applyFont="1" applyBorder="1" applyAlignment="1">
      <alignment horizontal="left" wrapText="1" indent="1" shrinkToFit="1"/>
    </xf>
    <xf numFmtId="0" fontId="5" fillId="0" borderId="0" xfId="0" applyFont="1"/>
    <xf numFmtId="0" fontId="4" fillId="0" borderId="0" xfId="0" applyFont="1" applyAlignment="1">
      <alignment horizontal="right"/>
    </xf>
    <xf numFmtId="0" fontId="7" fillId="0" borderId="0" xfId="0" applyFont="1" applyFill="1" applyBorder="1" applyAlignment="1">
      <alignment horizontal="left" wrapText="1" indent="1" shrinkToFit="1"/>
    </xf>
    <xf numFmtId="0" fontId="8" fillId="0" borderId="0" xfId="0" applyFont="1" applyAlignment="1">
      <alignment horizontal="left"/>
    </xf>
    <xf numFmtId="165" fontId="4" fillId="0" borderId="0" xfId="1" applyNumberFormat="1" applyFont="1" applyBorder="1" applyAlignment="1">
      <alignment horizontal="center" wrapText="1" shrinkToFit="1"/>
    </xf>
    <xf numFmtId="0" fontId="4" fillId="0" borderId="2" xfId="0" applyFont="1" applyBorder="1" applyAlignment="1">
      <alignment horizontal="center" wrapText="1" shrinkToFit="1"/>
    </xf>
    <xf numFmtId="0" fontId="8" fillId="0" borderId="0" xfId="0" applyFont="1" applyBorder="1" applyAlignment="1">
      <alignment horizontal="left" wrapText="1" shrinkToFit="1"/>
    </xf>
    <xf numFmtId="0" fontId="5" fillId="0" borderId="0" xfId="0" applyFont="1" applyBorder="1" applyAlignment="1">
      <alignment horizontal="left" wrapText="1" shrinkToFit="1"/>
    </xf>
    <xf numFmtId="165" fontId="4" fillId="0" borderId="2" xfId="1" applyNumberFormat="1" applyFont="1" applyBorder="1" applyAlignment="1">
      <alignment horizontal="center" wrapText="1" shrinkToFit="1"/>
    </xf>
    <xf numFmtId="0" fontId="5" fillId="0" borderId="0" xfId="0" applyFont="1" applyBorder="1"/>
    <xf numFmtId="0" fontId="6" fillId="0" borderId="0" xfId="0" applyFont="1"/>
    <xf numFmtId="44" fontId="6" fillId="0" borderId="0" xfId="8" applyFont="1"/>
    <xf numFmtId="0" fontId="6" fillId="0" borderId="0" xfId="0" applyFont="1" applyAlignment="1">
      <alignment horizontal="left" indent="1"/>
    </xf>
    <xf numFmtId="164" fontId="6" fillId="0" borderId="0" xfId="21" applyNumberFormat="1" applyFont="1"/>
    <xf numFmtId="0" fontId="6" fillId="0" borderId="0" xfId="0" applyFont="1" applyAlignment="1">
      <alignment horizontal="left" indent="3"/>
    </xf>
    <xf numFmtId="0" fontId="6" fillId="0" borderId="0" xfId="0" applyFont="1" applyAlignment="1">
      <alignment horizontal="left"/>
    </xf>
    <xf numFmtId="44" fontId="6" fillId="0" borderId="0" xfId="0" applyNumberFormat="1" applyFont="1"/>
    <xf numFmtId="2" fontId="6" fillId="0" borderId="0" xfId="0" applyNumberFormat="1" applyFont="1"/>
    <xf numFmtId="0" fontId="6" fillId="0" borderId="0" xfId="0" applyFont="1" applyAlignment="1">
      <alignment horizontal="center" wrapText="1"/>
    </xf>
    <xf numFmtId="1" fontId="6" fillId="0" borderId="0" xfId="0" applyNumberFormat="1" applyFont="1"/>
    <xf numFmtId="0" fontId="6" fillId="0" borderId="0" xfId="0" applyFont="1" applyBorder="1"/>
    <xf numFmtId="8" fontId="6" fillId="0" borderId="0" xfId="0" applyNumberFormat="1" applyFont="1"/>
    <xf numFmtId="0" fontId="7" fillId="0" borderId="0" xfId="0" applyFont="1" applyBorder="1" applyAlignment="1">
      <alignment horizontal="center"/>
    </xf>
    <xf numFmtId="0" fontId="7" fillId="0" borderId="0" xfId="0" applyFont="1" applyAlignment="1">
      <alignment horizontal="center"/>
    </xf>
    <xf numFmtId="44" fontId="7" fillId="0" borderId="0" xfId="8" applyFont="1"/>
    <xf numFmtId="42" fontId="6" fillId="0" borderId="0" xfId="8" applyNumberFormat="1" applyFont="1" applyAlignment="1">
      <alignment horizontal="center"/>
    </xf>
    <xf numFmtId="0" fontId="6" fillId="0" borderId="0" xfId="0" applyFont="1" applyBorder="1" applyAlignment="1">
      <alignment horizontal="center"/>
    </xf>
    <xf numFmtId="0" fontId="6" fillId="0" borderId="0" xfId="0" applyFont="1" applyAlignment="1">
      <alignment horizontal="center"/>
    </xf>
    <xf numFmtId="9" fontId="6" fillId="0" borderId="0" xfId="21" applyFont="1" applyAlignment="1">
      <alignment horizontal="center"/>
    </xf>
    <xf numFmtId="10" fontId="6" fillId="0" borderId="0" xfId="21" applyNumberFormat="1" applyFont="1" applyAlignment="1">
      <alignment horizontal="center"/>
    </xf>
    <xf numFmtId="164" fontId="6" fillId="0" borderId="0" xfId="21" applyNumberFormat="1" applyFont="1" applyAlignment="1">
      <alignment horizontal="center"/>
    </xf>
    <xf numFmtId="44" fontId="6" fillId="0" borderId="0" xfId="0" applyNumberFormat="1" applyFont="1" applyAlignment="1">
      <alignment horizontal="center"/>
    </xf>
    <xf numFmtId="42" fontId="6" fillId="0" borderId="0" xfId="0" applyNumberFormat="1" applyFont="1" applyAlignment="1">
      <alignment horizontal="center"/>
    </xf>
    <xf numFmtId="9" fontId="6" fillId="0" borderId="0" xfId="21" applyFont="1"/>
    <xf numFmtId="0" fontId="6" fillId="0" borderId="2" xfId="0" applyFont="1" applyBorder="1"/>
    <xf numFmtId="0" fontId="6" fillId="0" borderId="2" xfId="0" applyFont="1" applyBorder="1" applyAlignment="1">
      <alignment horizontal="center" wrapText="1"/>
    </xf>
    <xf numFmtId="0" fontId="7" fillId="0" borderId="0" xfId="0" applyFont="1" applyAlignment="1">
      <alignment horizontal="center" wrapText="1"/>
    </xf>
    <xf numFmtId="44" fontId="7" fillId="0" borderId="0" xfId="8" applyFont="1" applyAlignment="1">
      <alignment horizontal="center" wrapText="1"/>
    </xf>
    <xf numFmtId="0" fontId="7" fillId="0" borderId="0" xfId="0" applyFont="1"/>
    <xf numFmtId="2" fontId="6" fillId="0" borderId="0" xfId="0" applyNumberFormat="1" applyFont="1" applyAlignment="1">
      <alignment horizontal="center"/>
    </xf>
    <xf numFmtId="2" fontId="7" fillId="0" borderId="0" xfId="0" applyNumberFormat="1" applyFont="1" applyFill="1" applyAlignment="1">
      <alignment horizontal="center"/>
    </xf>
    <xf numFmtId="0" fontId="7" fillId="0" borderId="0" xfId="0" applyFont="1" applyFill="1" applyAlignment="1">
      <alignment horizontal="center"/>
    </xf>
    <xf numFmtId="44" fontId="6" fillId="0" borderId="0" xfId="8" applyFont="1" applyAlignment="1">
      <alignment horizontal="center"/>
    </xf>
    <xf numFmtId="167" fontId="6" fillId="0" borderId="0" xfId="8" applyNumberFormat="1" applyFont="1"/>
    <xf numFmtId="167" fontId="6" fillId="0" borderId="0" xfId="8" applyNumberFormat="1" applyFont="1" applyBorder="1"/>
    <xf numFmtId="167" fontId="6" fillId="0" borderId="0" xfId="0" applyNumberFormat="1" applyFont="1"/>
    <xf numFmtId="44" fontId="6" fillId="0" borderId="0" xfId="8" applyNumberFormat="1" applyFont="1"/>
    <xf numFmtId="165" fontId="6" fillId="0" borderId="0" xfId="1" applyNumberFormat="1" applyFont="1"/>
    <xf numFmtId="0" fontId="6" fillId="0" borderId="0" xfId="0" applyFont="1" applyAlignment="1">
      <alignment horizontal="right"/>
    </xf>
    <xf numFmtId="0" fontId="6" fillId="0" borderId="2" xfId="0" applyFont="1" applyBorder="1" applyAlignment="1">
      <alignment horizontal="right"/>
    </xf>
    <xf numFmtId="2" fontId="6" fillId="0" borderId="2" xfId="0" applyNumberFormat="1" applyFont="1" applyBorder="1"/>
    <xf numFmtId="0" fontId="10" fillId="0" borderId="0" xfId="0" applyFont="1" applyAlignment="1">
      <alignment horizontal="left" indent="3"/>
    </xf>
    <xf numFmtId="167" fontId="6" fillId="0" borderId="0" xfId="8" applyNumberFormat="1" applyFont="1" applyAlignment="1">
      <alignment horizontal="right"/>
    </xf>
    <xf numFmtId="1" fontId="6" fillId="0" borderId="0" xfId="0" applyNumberFormat="1" applyFont="1" applyAlignment="1">
      <alignment horizontal="center"/>
    </xf>
    <xf numFmtId="0" fontId="5" fillId="0" borderId="0" xfId="0" applyFont="1" applyAlignment="1">
      <alignment horizontal="right"/>
    </xf>
    <xf numFmtId="0" fontId="6" fillId="0" borderId="0" xfId="0" applyFont="1" applyBorder="1" applyAlignment="1">
      <alignment horizontal="right"/>
    </xf>
    <xf numFmtId="42" fontId="6" fillId="0" borderId="0" xfId="0" applyNumberFormat="1" applyFont="1"/>
    <xf numFmtId="9" fontId="6" fillId="0" borderId="0" xfId="21" applyFont="1" applyAlignment="1">
      <alignment horizontal="right"/>
    </xf>
    <xf numFmtId="165" fontId="4" fillId="0" borderId="0" xfId="1" applyNumberFormat="1" applyFont="1"/>
    <xf numFmtId="167" fontId="6" fillId="0" borderId="0" xfId="8" applyNumberFormat="1" applyFont="1" applyAlignment="1">
      <alignment horizontal="center"/>
    </xf>
    <xf numFmtId="0" fontId="11" fillId="0" borderId="0" xfId="0" applyFont="1" applyAlignment="1">
      <alignment horizontal="right"/>
    </xf>
    <xf numFmtId="2" fontId="6" fillId="0" borderId="0" xfId="0" applyNumberFormat="1" applyFont="1" applyAlignment="1">
      <alignment horizontal="right"/>
    </xf>
    <xf numFmtId="0" fontId="12" fillId="0" borderId="0" xfId="0" applyFont="1" applyAlignment="1">
      <alignment horizontal="left"/>
    </xf>
    <xf numFmtId="44" fontId="5" fillId="0" borderId="0" xfId="8" applyFont="1"/>
    <xf numFmtId="165" fontId="6" fillId="0" borderId="2" xfId="1" applyNumberFormat="1" applyFont="1" applyBorder="1"/>
    <xf numFmtId="167" fontId="6" fillId="0" borderId="0" xfId="8" applyNumberFormat="1" applyFont="1" applyBorder="1" applyAlignment="1">
      <alignment horizontal="right"/>
    </xf>
    <xf numFmtId="44" fontId="6" fillId="0" borderId="0" xfId="0" applyNumberFormat="1" applyFont="1" applyBorder="1"/>
    <xf numFmtId="43" fontId="6" fillId="0" borderId="0" xfId="1" applyFont="1"/>
    <xf numFmtId="10" fontId="6" fillId="0" borderId="0" xfId="0" applyNumberFormat="1" applyFont="1" applyAlignment="1">
      <alignment horizontal="center"/>
    </xf>
    <xf numFmtId="1" fontId="6" fillId="0" borderId="2" xfId="0" applyNumberFormat="1" applyFont="1" applyBorder="1"/>
    <xf numFmtId="9" fontId="6" fillId="0" borderId="0" xfId="0" applyNumberFormat="1" applyFont="1"/>
    <xf numFmtId="165" fontId="6" fillId="0" borderId="0" xfId="1" applyNumberFormat="1" applyFont="1" applyBorder="1"/>
    <xf numFmtId="0" fontId="6" fillId="0" borderId="0" xfId="0" applyFont="1" applyBorder="1" applyAlignment="1">
      <alignment horizontal="left"/>
    </xf>
    <xf numFmtId="170" fontId="6" fillId="0" borderId="0" xfId="0" applyNumberFormat="1" applyFont="1" applyAlignment="1">
      <alignment horizontal="right"/>
    </xf>
    <xf numFmtId="2" fontId="6" fillId="0" borderId="0" xfId="0" applyNumberFormat="1" applyFont="1" applyBorder="1"/>
    <xf numFmtId="169" fontId="6" fillId="0" borderId="0" xfId="0" applyNumberFormat="1" applyFont="1" applyBorder="1"/>
    <xf numFmtId="1" fontId="7" fillId="0" borderId="0" xfId="0" applyNumberFormat="1" applyFont="1" applyFill="1" applyAlignment="1">
      <alignment horizontal="center"/>
    </xf>
    <xf numFmtId="1" fontId="6" fillId="0" borderId="0" xfId="0" applyNumberFormat="1" applyFont="1" applyBorder="1" applyAlignment="1">
      <alignment horizontal="center"/>
    </xf>
    <xf numFmtId="0" fontId="6" fillId="0" borderId="2" xfId="0" applyFont="1" applyFill="1" applyBorder="1" applyAlignment="1">
      <alignment horizontal="right"/>
    </xf>
    <xf numFmtId="165" fontId="4" fillId="0" borderId="0" xfId="1" applyNumberFormat="1" applyFont="1" applyAlignment="1">
      <alignment horizontal="right"/>
    </xf>
    <xf numFmtId="167" fontId="6" fillId="0" borderId="0" xfId="0" applyNumberFormat="1" applyFont="1" applyBorder="1"/>
    <xf numFmtId="168" fontId="6" fillId="0" borderId="0" xfId="0" applyNumberFormat="1" applyFont="1" applyAlignment="1">
      <alignment horizontal="right"/>
    </xf>
    <xf numFmtId="0" fontId="11" fillId="0" borderId="0" xfId="0" applyFont="1"/>
    <xf numFmtId="0" fontId="6" fillId="0" borderId="0" xfId="0" applyFont="1" applyFill="1" applyAlignment="1">
      <alignment horizontal="center"/>
    </xf>
    <xf numFmtId="166" fontId="6" fillId="0" borderId="0" xfId="1" applyNumberFormat="1" applyFont="1" applyFill="1" applyBorder="1" applyAlignment="1">
      <alignment horizontal="right"/>
    </xf>
    <xf numFmtId="167" fontId="6" fillId="0" borderId="0" xfId="0" applyNumberFormat="1" applyFont="1" applyFill="1" applyBorder="1"/>
    <xf numFmtId="0" fontId="6" fillId="0" borderId="0" xfId="0" applyFont="1" applyFill="1" applyBorder="1"/>
    <xf numFmtId="43" fontId="6" fillId="0" borderId="0" xfId="1" applyFont="1" applyFill="1" applyBorder="1"/>
    <xf numFmtId="0" fontId="11" fillId="0" borderId="0" xfId="0" applyFont="1" applyBorder="1" applyAlignment="1">
      <alignment horizontal="left" wrapText="1" indent="1" shrinkToFit="1"/>
    </xf>
    <xf numFmtId="7" fontId="6" fillId="0" borderId="0" xfId="8" applyNumberFormat="1" applyFont="1" applyAlignment="1">
      <alignment horizontal="right"/>
    </xf>
    <xf numFmtId="172" fontId="6" fillId="0" borderId="0" xfId="8" applyNumberFormat="1" applyFont="1"/>
    <xf numFmtId="172" fontId="6" fillId="0" borderId="0" xfId="0" applyNumberFormat="1" applyFont="1"/>
    <xf numFmtId="173" fontId="6" fillId="0" borderId="0" xfId="8" applyNumberFormat="1" applyFont="1"/>
    <xf numFmtId="0" fontId="6" fillId="0" borderId="4" xfId="0" applyFont="1" applyBorder="1"/>
    <xf numFmtId="0" fontId="11" fillId="0" borderId="4" xfId="0" applyFont="1" applyBorder="1" applyAlignment="1">
      <alignment horizontal="right"/>
    </xf>
    <xf numFmtId="167" fontId="6" fillId="0" borderId="0" xfId="0" applyNumberFormat="1" applyFont="1" applyBorder="1" applyAlignment="1">
      <alignment horizontal="right"/>
    </xf>
    <xf numFmtId="172" fontId="6" fillId="0" borderId="0" xfId="0" applyNumberFormat="1" applyFont="1" applyBorder="1" applyAlignment="1">
      <alignment horizontal="right"/>
    </xf>
    <xf numFmtId="172" fontId="6" fillId="0" borderId="0" xfId="8" applyNumberFormat="1" applyFont="1" applyAlignment="1">
      <alignment horizontal="right"/>
    </xf>
    <xf numFmtId="7" fontId="6" fillId="0" borderId="0" xfId="0" applyNumberFormat="1" applyFont="1"/>
    <xf numFmtId="7" fontId="6" fillId="0" borderId="0" xfId="8" applyNumberFormat="1" applyFont="1"/>
    <xf numFmtId="173" fontId="6" fillId="0" borderId="0" xfId="8" applyNumberFormat="1" applyFont="1" applyAlignment="1">
      <alignment horizontal="center"/>
    </xf>
    <xf numFmtId="173" fontId="6" fillId="0" borderId="0" xfId="0" applyNumberFormat="1" applyFont="1"/>
    <xf numFmtId="173" fontId="6" fillId="0" borderId="0" xfId="8" applyNumberFormat="1" applyFont="1" applyAlignment="1">
      <alignment horizontal="right"/>
    </xf>
    <xf numFmtId="173" fontId="6" fillId="0" borderId="0" xfId="0" applyNumberFormat="1" applyFont="1" applyAlignment="1">
      <alignment horizontal="right"/>
    </xf>
    <xf numFmtId="173" fontId="6" fillId="0" borderId="2" xfId="8" applyNumberFormat="1" applyFont="1" applyBorder="1" applyAlignment="1">
      <alignment horizontal="right"/>
    </xf>
    <xf numFmtId="5" fontId="6" fillId="0" borderId="0" xfId="8" applyNumberFormat="1" applyFont="1" applyAlignment="1">
      <alignment horizontal="right"/>
    </xf>
    <xf numFmtId="5" fontId="6" fillId="0" borderId="2" xfId="8" applyNumberFormat="1" applyFont="1" applyBorder="1" applyAlignment="1">
      <alignment horizontal="right"/>
    </xf>
    <xf numFmtId="172" fontId="6" fillId="0" borderId="0" xfId="0" applyNumberFormat="1" applyFont="1" applyAlignment="1">
      <alignment horizontal="right"/>
    </xf>
    <xf numFmtId="173" fontId="6" fillId="0" borderId="2" xfId="0" applyNumberFormat="1" applyFont="1" applyBorder="1"/>
    <xf numFmtId="5" fontId="6" fillId="0" borderId="0" xfId="8" applyNumberFormat="1" applyFont="1"/>
    <xf numFmtId="0" fontId="6" fillId="0" borderId="0" xfId="0" applyNumberFormat="1" applyFont="1"/>
    <xf numFmtId="172" fontId="7" fillId="0" borderId="0" xfId="8" applyNumberFormat="1" applyFont="1" applyFill="1" applyAlignment="1">
      <alignment horizontal="right"/>
    </xf>
    <xf numFmtId="172" fontId="6" fillId="0" borderId="2" xfId="0" applyNumberFormat="1" applyFont="1" applyBorder="1" applyAlignment="1">
      <alignment horizontal="right"/>
    </xf>
    <xf numFmtId="172" fontId="6" fillId="0" borderId="0" xfId="0" applyNumberFormat="1" applyFont="1" applyAlignment="1">
      <alignment horizontal="right" wrapText="1"/>
    </xf>
    <xf numFmtId="172" fontId="6" fillId="0" borderId="5" xfId="0" applyNumberFormat="1" applyFont="1" applyBorder="1" applyAlignment="1">
      <alignment horizontal="right"/>
    </xf>
    <xf numFmtId="173" fontId="7" fillId="0" borderId="0" xfId="8" applyNumberFormat="1" applyFont="1" applyFill="1" applyAlignment="1">
      <alignment horizontal="right"/>
    </xf>
    <xf numFmtId="173" fontId="7" fillId="0" borderId="0" xfId="0" applyNumberFormat="1" applyFont="1" applyFill="1" applyAlignment="1">
      <alignment horizontal="right"/>
    </xf>
    <xf numFmtId="173" fontId="7" fillId="0" borderId="0" xfId="0" applyNumberFormat="1" applyFont="1" applyAlignment="1">
      <alignment horizontal="right"/>
    </xf>
    <xf numFmtId="173" fontId="6" fillId="0" borderId="2" xfId="0" applyNumberFormat="1" applyFont="1" applyBorder="1" applyAlignment="1">
      <alignment horizontal="right"/>
    </xf>
    <xf numFmtId="173" fontId="6" fillId="0" borderId="0" xfId="8" applyNumberFormat="1" applyFont="1" applyAlignment="1">
      <alignment horizontal="right" wrapText="1"/>
    </xf>
    <xf numFmtId="173" fontId="6" fillId="0" borderId="0" xfId="0" applyNumberFormat="1" applyFont="1" applyBorder="1" applyAlignment="1">
      <alignment horizontal="right"/>
    </xf>
    <xf numFmtId="173" fontId="6" fillId="0" borderId="5" xfId="0" applyNumberFormat="1" applyFont="1" applyBorder="1" applyAlignment="1">
      <alignment horizontal="right"/>
    </xf>
    <xf numFmtId="5" fontId="6" fillId="0" borderId="0" xfId="8" applyNumberFormat="1" applyFont="1" applyBorder="1" applyAlignment="1">
      <alignment horizontal="right"/>
    </xf>
    <xf numFmtId="173" fontId="6" fillId="0" borderId="0" xfId="0" applyNumberFormat="1" applyFont="1" applyBorder="1"/>
    <xf numFmtId="44" fontId="6" fillId="0" borderId="0" xfId="8" applyFont="1" applyBorder="1"/>
    <xf numFmtId="173" fontId="0" fillId="0" borderId="0" xfId="0" applyNumberFormat="1" applyAlignment="1">
      <alignment horizontal="right"/>
    </xf>
    <xf numFmtId="173" fontId="0" fillId="0" borderId="0" xfId="8" applyNumberFormat="1" applyFont="1" applyAlignment="1">
      <alignment horizontal="right"/>
    </xf>
    <xf numFmtId="173" fontId="4" fillId="0" borderId="0" xfId="0" applyNumberFormat="1" applyFont="1" applyAlignment="1">
      <alignment horizontal="right"/>
    </xf>
    <xf numFmtId="173" fontId="5" fillId="0" borderId="0" xfId="0" applyNumberFormat="1" applyFont="1" applyAlignment="1">
      <alignment horizontal="right"/>
    </xf>
    <xf numFmtId="2" fontId="5" fillId="0" borderId="0" xfId="0" applyNumberFormat="1" applyFont="1" applyAlignment="1">
      <alignment horizontal="center"/>
    </xf>
    <xf numFmtId="173" fontId="6" fillId="0" borderId="0" xfId="0" applyNumberFormat="1" applyFont="1" applyFill="1" applyBorder="1" applyAlignment="1">
      <alignment horizontal="right"/>
    </xf>
    <xf numFmtId="172" fontId="6" fillId="0" borderId="0" xfId="0" applyNumberFormat="1" applyFont="1" applyFill="1" applyBorder="1" applyAlignment="1">
      <alignment horizontal="right"/>
    </xf>
    <xf numFmtId="173" fontId="6" fillId="0" borderId="0" xfId="1" applyNumberFormat="1" applyFont="1" applyFill="1" applyBorder="1" applyAlignment="1">
      <alignment horizontal="right"/>
    </xf>
    <xf numFmtId="173" fontId="6" fillId="0" borderId="0" xfId="21" applyNumberFormat="1" applyFont="1" applyAlignment="1">
      <alignment horizontal="right"/>
    </xf>
    <xf numFmtId="1" fontId="10" fillId="0" borderId="0" xfId="0" applyNumberFormat="1" applyFont="1"/>
    <xf numFmtId="43" fontId="6" fillId="0" borderId="0" xfId="1" quotePrefix="1" applyNumberFormat="1" applyFont="1"/>
    <xf numFmtId="2" fontId="6" fillId="0" borderId="4" xfId="0" applyNumberFormat="1" applyFont="1" applyBorder="1"/>
    <xf numFmtId="172" fontId="6" fillId="0" borderId="4" xfId="0" applyNumberFormat="1" applyFont="1" applyFill="1" applyBorder="1"/>
    <xf numFmtId="165" fontId="6" fillId="0" borderId="0" xfId="0" applyNumberFormat="1" applyFont="1"/>
    <xf numFmtId="173" fontId="6" fillId="0" borderId="0" xfId="8" applyNumberFormat="1" applyFont="1" applyAlignment="1">
      <alignment horizontal="left"/>
    </xf>
    <xf numFmtId="43" fontId="6" fillId="0" borderId="0" xfId="1" applyFont="1" applyAlignment="1">
      <alignment horizontal="right"/>
    </xf>
    <xf numFmtId="43" fontId="6" fillId="0" borderId="0" xfId="1" applyFont="1" applyBorder="1" applyAlignment="1">
      <alignment horizontal="right"/>
    </xf>
    <xf numFmtId="165" fontId="6" fillId="0" borderId="0" xfId="1" applyNumberFormat="1" applyFont="1" applyAlignment="1">
      <alignment horizontal="right"/>
    </xf>
    <xf numFmtId="172" fontId="6" fillId="0" borderId="0" xfId="8" applyNumberFormat="1" applyFont="1" applyBorder="1" applyAlignment="1">
      <alignment horizontal="right"/>
    </xf>
    <xf numFmtId="5" fontId="6" fillId="0" borderId="2" xfId="8" applyNumberFormat="1" applyFont="1" applyBorder="1"/>
    <xf numFmtId="7" fontId="6" fillId="0" borderId="2" xfId="0" applyNumberFormat="1" applyFont="1" applyBorder="1"/>
    <xf numFmtId="165" fontId="6" fillId="0" borderId="0" xfId="1" quotePrefix="1" applyNumberFormat="1" applyFont="1"/>
    <xf numFmtId="1" fontId="6" fillId="0" borderId="0" xfId="0" applyNumberFormat="1" applyFont="1" applyFill="1" applyBorder="1"/>
    <xf numFmtId="173" fontId="6" fillId="0" borderId="0" xfId="8" applyNumberFormat="1" applyFont="1" applyBorder="1" applyAlignment="1">
      <alignment horizontal="right"/>
    </xf>
    <xf numFmtId="2" fontId="6" fillId="0" borderId="0" xfId="0" applyNumberFormat="1" applyFont="1" applyFill="1" applyAlignment="1">
      <alignment horizontal="center"/>
    </xf>
    <xf numFmtId="166" fontId="6" fillId="0" borderId="0" xfId="1" applyNumberFormat="1" applyFont="1"/>
    <xf numFmtId="10" fontId="4" fillId="2" borderId="6" xfId="21" applyNumberFormat="1" applyFont="1" applyFill="1" applyBorder="1"/>
    <xf numFmtId="173" fontId="6" fillId="0" borderId="6" xfId="8" applyNumberFormat="1" applyFont="1" applyFill="1" applyBorder="1" applyAlignment="1">
      <alignment horizontal="right"/>
    </xf>
    <xf numFmtId="10" fontId="4" fillId="0" borderId="9" xfId="21" applyNumberFormat="1" applyFont="1" applyFill="1" applyBorder="1"/>
    <xf numFmtId="9" fontId="6" fillId="2" borderId="0" xfId="21" applyFont="1" applyFill="1" applyAlignment="1">
      <alignment horizontal="center"/>
    </xf>
    <xf numFmtId="9" fontId="6" fillId="0" borderId="0" xfId="21" applyFont="1" applyFill="1" applyAlignment="1">
      <alignment horizontal="center"/>
    </xf>
    <xf numFmtId="0" fontId="6" fillId="0" borderId="0" xfId="0" applyFont="1" applyFill="1" applyBorder="1" applyAlignment="1">
      <alignment horizontal="center"/>
    </xf>
    <xf numFmtId="164" fontId="6" fillId="0" borderId="0" xfId="21" applyNumberFormat="1" applyFont="1" applyFill="1" applyAlignment="1">
      <alignment horizontal="center"/>
    </xf>
    <xf numFmtId="1" fontId="6" fillId="0" borderId="0" xfId="0" applyNumberFormat="1" applyFont="1" applyFill="1" applyAlignment="1">
      <alignment horizontal="center"/>
    </xf>
    <xf numFmtId="173" fontId="6" fillId="0" borderId="0" xfId="0" applyNumberFormat="1" applyFont="1" applyAlignment="1">
      <alignment horizontal="center"/>
    </xf>
    <xf numFmtId="172" fontId="6" fillId="0" borderId="0" xfId="8" applyNumberFormat="1" applyFont="1" applyFill="1" applyAlignment="1">
      <alignment horizontal="right"/>
    </xf>
    <xf numFmtId="172" fontId="6" fillId="0" borderId="0" xfId="0" applyNumberFormat="1" applyFont="1" applyFill="1" applyAlignment="1">
      <alignment horizontal="right"/>
    </xf>
    <xf numFmtId="165" fontId="6" fillId="2" borderId="0" xfId="1" applyNumberFormat="1" applyFont="1" applyFill="1"/>
    <xf numFmtId="7" fontId="6" fillId="0" borderId="0" xfId="8" applyNumberFormat="1" applyFont="1" applyFill="1"/>
    <xf numFmtId="1" fontId="6" fillId="0" borderId="0" xfId="0" applyNumberFormat="1" applyFont="1" applyFill="1"/>
    <xf numFmtId="172" fontId="6" fillId="0" borderId="0" xfId="8" applyNumberFormat="1" applyFont="1" applyFill="1"/>
    <xf numFmtId="173" fontId="6" fillId="0" borderId="0" xfId="8" applyNumberFormat="1" applyFont="1" applyFill="1"/>
    <xf numFmtId="2" fontId="6" fillId="0" borderId="0" xfId="0" applyNumberFormat="1" applyFont="1" applyFill="1"/>
    <xf numFmtId="173" fontId="6" fillId="0" borderId="0" xfId="8" applyNumberFormat="1" applyFont="1" applyFill="1" applyAlignment="1">
      <alignment horizontal="right"/>
    </xf>
    <xf numFmtId="10" fontId="6" fillId="0" borderId="0" xfId="0" applyNumberFormat="1" applyFont="1" applyAlignment="1">
      <alignment horizontal="right"/>
    </xf>
    <xf numFmtId="0" fontId="6" fillId="0" borderId="10" xfId="0" applyFont="1" applyBorder="1" applyAlignment="1">
      <alignment horizontal="right"/>
    </xf>
    <xf numFmtId="0" fontId="6" fillId="0" borderId="11" xfId="0" applyFont="1" applyBorder="1" applyAlignment="1">
      <alignment horizontal="right"/>
    </xf>
    <xf numFmtId="0" fontId="6" fillId="0" borderId="12" xfId="0" applyFont="1" applyFill="1" applyBorder="1" applyAlignment="1">
      <alignment horizontal="right"/>
    </xf>
    <xf numFmtId="164" fontId="6" fillId="2" borderId="13" xfId="0" applyNumberFormat="1" applyFont="1" applyFill="1" applyBorder="1"/>
    <xf numFmtId="0" fontId="6" fillId="0" borderId="14" xfId="0" applyFont="1" applyFill="1" applyBorder="1" applyAlignment="1">
      <alignment horizontal="right"/>
    </xf>
    <xf numFmtId="0" fontId="6" fillId="2" borderId="14" xfId="0" applyFont="1" applyFill="1" applyBorder="1"/>
    <xf numFmtId="164" fontId="6" fillId="2" borderId="15" xfId="0" applyNumberFormat="1" applyFont="1" applyFill="1" applyBorder="1"/>
    <xf numFmtId="0" fontId="6" fillId="0" borderId="16" xfId="0" applyFont="1" applyFill="1" applyBorder="1" applyAlignment="1">
      <alignment horizontal="right"/>
    </xf>
    <xf numFmtId="164" fontId="6" fillId="2" borderId="15" xfId="22" applyNumberFormat="1" applyFont="1" applyFill="1" applyBorder="1"/>
    <xf numFmtId="164" fontId="6" fillId="2" borderId="17" xfId="22" applyNumberFormat="1" applyFont="1" applyFill="1" applyBorder="1"/>
    <xf numFmtId="0" fontId="6" fillId="0" borderId="18" xfId="0" applyFont="1" applyFill="1" applyBorder="1" applyAlignment="1">
      <alignment horizontal="right"/>
    </xf>
    <xf numFmtId="0" fontId="6" fillId="2" borderId="19" xfId="0" applyFont="1" applyFill="1" applyBorder="1"/>
    <xf numFmtId="9" fontId="5" fillId="0" borderId="0" xfId="21" applyFont="1" applyFill="1" applyAlignment="1">
      <alignment horizontal="left"/>
    </xf>
    <xf numFmtId="9" fontId="11" fillId="0" borderId="0" xfId="21" applyFont="1" applyAlignment="1">
      <alignment horizontal="left"/>
    </xf>
    <xf numFmtId="172" fontId="6" fillId="0" borderId="8" xfId="0" applyNumberFormat="1" applyFont="1" applyFill="1" applyBorder="1"/>
    <xf numFmtId="173" fontId="6" fillId="0" borderId="8" xfId="0" applyNumberFormat="1" applyFont="1" applyFill="1" applyBorder="1"/>
    <xf numFmtId="172" fontId="6" fillId="0" borderId="6" xfId="0" applyNumberFormat="1" applyFont="1" applyBorder="1" applyAlignment="1">
      <alignment horizontal="right"/>
    </xf>
    <xf numFmtId="0" fontId="2" fillId="0" borderId="0" xfId="15" applyAlignment="1" applyProtection="1"/>
    <xf numFmtId="0" fontId="18" fillId="0" borderId="6" xfId="0" applyFont="1" applyBorder="1"/>
    <xf numFmtId="0" fontId="18" fillId="0" borderId="0" xfId="0" applyFont="1"/>
    <xf numFmtId="169" fontId="6" fillId="2" borderId="10" xfId="0" applyNumberFormat="1" applyFont="1" applyFill="1" applyBorder="1"/>
    <xf numFmtId="0" fontId="6" fillId="3" borderId="12" xfId="0" applyFont="1" applyFill="1" applyBorder="1"/>
    <xf numFmtId="0" fontId="6" fillId="3" borderId="13" xfId="0" applyFont="1" applyFill="1" applyBorder="1"/>
    <xf numFmtId="0" fontId="6" fillId="3" borderId="19" xfId="0" applyFont="1" applyFill="1" applyBorder="1"/>
    <xf numFmtId="0" fontId="6" fillId="3" borderId="17" xfId="0" applyFont="1" applyFill="1" applyBorder="1"/>
    <xf numFmtId="1" fontId="6" fillId="0" borderId="0" xfId="0" applyNumberFormat="1" applyFont="1" applyAlignment="1">
      <alignment horizontal="right"/>
    </xf>
    <xf numFmtId="168" fontId="6" fillId="0" borderId="0" xfId="0" applyNumberFormat="1" applyFont="1"/>
    <xf numFmtId="0" fontId="17" fillId="0" borderId="0" xfId="15" applyFont="1" applyAlignment="1" applyProtection="1"/>
    <xf numFmtId="5" fontId="6" fillId="0" borderId="0" xfId="0" applyNumberFormat="1" applyFont="1" applyAlignment="1"/>
    <xf numFmtId="7" fontId="6" fillId="0" borderId="6" xfId="0" applyNumberFormat="1" applyFont="1" applyBorder="1" applyAlignment="1"/>
    <xf numFmtId="174" fontId="6" fillId="0" borderId="20" xfId="0" applyNumberFormat="1" applyFont="1" applyBorder="1"/>
    <xf numFmtId="43" fontId="6" fillId="0" borderId="0" xfId="1" applyNumberFormat="1" applyFont="1" applyFill="1"/>
    <xf numFmtId="43" fontId="6" fillId="0" borderId="6" xfId="1" applyNumberFormat="1" applyFont="1" applyFill="1" applyBorder="1"/>
    <xf numFmtId="43" fontId="6" fillId="0" borderId="0" xfId="1" applyNumberFormat="1" applyFont="1"/>
    <xf numFmtId="173" fontId="6" fillId="0" borderId="0" xfId="0" applyNumberFormat="1" applyFont="1" applyFill="1" applyAlignment="1">
      <alignment horizontal="right"/>
    </xf>
    <xf numFmtId="166" fontId="6" fillId="0" borderId="0" xfId="0" applyNumberFormat="1" applyFont="1"/>
    <xf numFmtId="173" fontId="6" fillId="0" borderId="0" xfId="0" applyNumberFormat="1" applyFont="1" applyFill="1" applyBorder="1"/>
    <xf numFmtId="0" fontId="19" fillId="0" borderId="0" xfId="0" applyFont="1"/>
    <xf numFmtId="9" fontId="4" fillId="0" borderId="0" xfId="0" applyNumberFormat="1" applyFont="1" applyAlignment="1">
      <alignment horizontal="left"/>
    </xf>
    <xf numFmtId="0" fontId="11" fillId="0" borderId="0" xfId="0" applyFont="1" applyAlignment="1">
      <alignment horizontal="center"/>
    </xf>
    <xf numFmtId="7" fontId="6" fillId="0" borderId="0" xfId="1" applyNumberFormat="1" applyFont="1"/>
    <xf numFmtId="5" fontId="6" fillId="0" borderId="0" xfId="1" applyNumberFormat="1" applyFont="1"/>
    <xf numFmtId="5" fontId="6" fillId="0" borderId="0" xfId="8" applyNumberFormat="1" applyFont="1" applyFill="1" applyAlignment="1">
      <alignment horizontal="right"/>
    </xf>
    <xf numFmtId="9" fontId="6" fillId="0" borderId="0" xfId="22" applyFont="1" applyAlignment="1">
      <alignment horizontal="center"/>
    </xf>
    <xf numFmtId="10" fontId="6" fillId="0" borderId="0" xfId="22" applyNumberFormat="1" applyFont="1" applyAlignment="1">
      <alignment horizontal="center"/>
    </xf>
    <xf numFmtId="9" fontId="6" fillId="0" borderId="0" xfId="22" applyFont="1" applyFill="1" applyAlignment="1">
      <alignment horizontal="center"/>
    </xf>
    <xf numFmtId="2" fontId="5" fillId="0" borderId="0" xfId="0" applyNumberFormat="1" applyFont="1"/>
    <xf numFmtId="2" fontId="6" fillId="0" borderId="6" xfId="1" applyNumberFormat="1" applyFont="1" applyFill="1" applyBorder="1"/>
    <xf numFmtId="0" fontId="12" fillId="0" borderId="0" xfId="0" applyFont="1"/>
    <xf numFmtId="3" fontId="6" fillId="0" borderId="0" xfId="0" applyNumberFormat="1" applyFont="1" applyAlignment="1">
      <alignment horizontal="center"/>
    </xf>
    <xf numFmtId="165" fontId="6" fillId="0" borderId="2" xfId="1" applyNumberFormat="1" applyFont="1" applyBorder="1" applyAlignment="1">
      <alignment horizontal="center" wrapText="1" shrinkToFit="1"/>
    </xf>
    <xf numFmtId="4" fontId="6" fillId="0" borderId="0" xfId="0" applyNumberFormat="1" applyFont="1" applyAlignment="1">
      <alignment horizontal="center"/>
    </xf>
    <xf numFmtId="4" fontId="6" fillId="0" borderId="0" xfId="0" applyNumberFormat="1" applyFont="1"/>
    <xf numFmtId="2" fontId="6" fillId="0" borderId="0" xfId="0" applyNumberFormat="1" applyFont="1" applyBorder="1" applyAlignment="1">
      <alignment horizontal="center"/>
    </xf>
    <xf numFmtId="0" fontId="21" fillId="0" borderId="0" xfId="0" applyFont="1" applyFill="1" applyAlignment="1">
      <alignment horizontal="center"/>
    </xf>
    <xf numFmtId="0" fontId="21" fillId="0" borderId="0" xfId="0" applyFont="1" applyAlignment="1">
      <alignment horizontal="left"/>
    </xf>
    <xf numFmtId="0" fontId="21" fillId="0" borderId="0" xfId="0" applyFont="1" applyAlignment="1">
      <alignment horizontal="center"/>
    </xf>
    <xf numFmtId="0" fontId="7" fillId="0" borderId="0" xfId="0" applyFont="1" applyFill="1" applyBorder="1" applyAlignment="1">
      <alignment horizontal="center" wrapText="1" shrinkToFit="1"/>
    </xf>
    <xf numFmtId="2" fontId="6" fillId="0" borderId="0" xfId="0" applyNumberFormat="1" applyFont="1" applyFill="1" applyBorder="1" applyAlignment="1">
      <alignment horizontal="center"/>
    </xf>
    <xf numFmtId="0" fontId="6" fillId="4" borderId="21" xfId="0" applyFont="1" applyFill="1" applyBorder="1"/>
    <xf numFmtId="0" fontId="6" fillId="5" borderId="21" xfId="0" applyFont="1" applyFill="1" applyBorder="1" applyAlignment="1">
      <alignment horizontal="left"/>
    </xf>
    <xf numFmtId="0" fontId="6" fillId="5" borderId="21" xfId="0" applyFont="1" applyFill="1" applyBorder="1" applyAlignment="1">
      <alignment horizontal="center"/>
    </xf>
    <xf numFmtId="0" fontId="6" fillId="5" borderId="21" xfId="0" applyFont="1" applyFill="1" applyBorder="1" applyAlignment="1">
      <alignment horizontal="right"/>
    </xf>
    <xf numFmtId="0" fontId="6" fillId="4" borderId="21" xfId="0" applyFont="1" applyFill="1" applyBorder="1" applyAlignment="1">
      <alignment horizontal="right"/>
    </xf>
    <xf numFmtId="0" fontId="6" fillId="4" borderId="21" xfId="0" applyFont="1" applyFill="1" applyBorder="1" applyAlignment="1">
      <alignment horizontal="center"/>
    </xf>
    <xf numFmtId="0" fontId="6" fillId="2" borderId="21" xfId="0" applyFont="1" applyFill="1" applyBorder="1"/>
    <xf numFmtId="2" fontId="6" fillId="4" borderId="21" xfId="0" applyNumberFormat="1" applyFont="1" applyFill="1" applyBorder="1" applyAlignment="1">
      <alignment horizontal="center"/>
    </xf>
    <xf numFmtId="2" fontId="6" fillId="6" borderId="21" xfId="0" applyNumberFormat="1" applyFont="1" applyFill="1" applyBorder="1"/>
    <xf numFmtId="2" fontId="6" fillId="5" borderId="21" xfId="0" applyNumberFormat="1" applyFont="1" applyFill="1" applyBorder="1" applyAlignment="1">
      <alignment horizontal="center"/>
    </xf>
    <xf numFmtId="1" fontId="6" fillId="5" borderId="21" xfId="0" applyNumberFormat="1" applyFont="1" applyFill="1" applyBorder="1" applyAlignment="1">
      <alignment horizontal="center"/>
    </xf>
    <xf numFmtId="0" fontId="6" fillId="2" borderId="21" xfId="0" applyFont="1" applyFill="1" applyBorder="1" applyAlignment="1">
      <alignment horizontal="center"/>
    </xf>
    <xf numFmtId="9" fontId="6" fillId="2" borderId="21" xfId="21" applyFont="1" applyFill="1" applyBorder="1"/>
    <xf numFmtId="173" fontId="6" fillId="2" borderId="21" xfId="8" applyNumberFormat="1" applyFont="1" applyFill="1" applyBorder="1"/>
    <xf numFmtId="172" fontId="6" fillId="2" borderId="21" xfId="0" applyNumberFormat="1" applyFont="1" applyFill="1" applyBorder="1" applyAlignment="1">
      <alignment horizontal="right"/>
    </xf>
    <xf numFmtId="9" fontId="6" fillId="2" borderId="21" xfId="21" applyFont="1" applyFill="1" applyBorder="1" applyAlignment="1">
      <alignment horizontal="center"/>
    </xf>
    <xf numFmtId="173" fontId="6" fillId="2" borderId="21" xfId="8" applyNumberFormat="1" applyFont="1" applyFill="1" applyBorder="1" applyAlignment="1">
      <alignment horizontal="right"/>
    </xf>
    <xf numFmtId="9" fontId="5" fillId="6" borderId="21" xfId="21" applyFont="1" applyFill="1" applyBorder="1"/>
    <xf numFmtId="172" fontId="6" fillId="0" borderId="0" xfId="0" applyNumberFormat="1" applyFont="1" applyFill="1" applyBorder="1"/>
    <xf numFmtId="9" fontId="5" fillId="2" borderId="21" xfId="21" applyFont="1" applyFill="1" applyBorder="1" applyAlignment="1">
      <alignment horizontal="left"/>
    </xf>
    <xf numFmtId="172" fontId="5" fillId="7" borderId="21" xfId="0" applyNumberFormat="1" applyFont="1" applyFill="1" applyBorder="1"/>
    <xf numFmtId="0" fontId="5" fillId="4" borderId="22" xfId="0" applyFont="1" applyFill="1" applyBorder="1"/>
    <xf numFmtId="0" fontId="6" fillId="4" borderId="23" xfId="0" applyFont="1" applyFill="1" applyBorder="1"/>
    <xf numFmtId="0" fontId="6" fillId="4" borderId="22" xfId="0" applyFont="1" applyFill="1" applyBorder="1"/>
    <xf numFmtId="0" fontId="6" fillId="2" borderId="22" xfId="0" applyFont="1" applyFill="1" applyBorder="1"/>
    <xf numFmtId="1" fontId="5" fillId="7" borderId="21" xfId="0" applyNumberFormat="1" applyFont="1" applyFill="1" applyBorder="1"/>
    <xf numFmtId="5" fontId="6" fillId="2" borderId="21" xfId="8" applyNumberFormat="1" applyFont="1" applyFill="1" applyBorder="1"/>
    <xf numFmtId="43" fontId="6" fillId="2" borderId="21" xfId="1" applyNumberFormat="1" applyFont="1" applyFill="1" applyBorder="1"/>
    <xf numFmtId="165" fontId="6" fillId="2" borderId="21" xfId="1" applyNumberFormat="1" applyFont="1" applyFill="1" applyBorder="1"/>
    <xf numFmtId="166" fontId="6" fillId="2" borderId="21" xfId="1" applyNumberFormat="1" applyFont="1" applyFill="1" applyBorder="1"/>
    <xf numFmtId="172" fontId="6" fillId="2" borderId="21" xfId="8" applyNumberFormat="1" applyFont="1" applyFill="1" applyBorder="1"/>
    <xf numFmtId="165" fontId="6" fillId="2" borderId="21" xfId="8" applyNumberFormat="1" applyFont="1" applyFill="1" applyBorder="1" applyAlignment="1">
      <alignment horizontal="right"/>
    </xf>
    <xf numFmtId="7" fontId="6" fillId="2" borderId="21" xfId="8" applyNumberFormat="1" applyFont="1" applyFill="1" applyBorder="1"/>
    <xf numFmtId="172" fontId="6" fillId="2" borderId="21" xfId="0" applyNumberFormat="1" applyFont="1" applyFill="1" applyBorder="1"/>
    <xf numFmtId="173" fontId="6" fillId="2" borderId="21" xfId="0" applyNumberFormat="1" applyFont="1" applyFill="1" applyBorder="1"/>
    <xf numFmtId="1" fontId="6" fillId="2" borderId="21" xfId="0" applyNumberFormat="1" applyFont="1" applyFill="1" applyBorder="1"/>
    <xf numFmtId="173" fontId="6" fillId="2" borderId="21" xfId="0" applyNumberFormat="1" applyFont="1" applyFill="1" applyBorder="1" applyAlignment="1">
      <alignment horizontal="right"/>
    </xf>
    <xf numFmtId="1" fontId="6" fillId="2" borderId="21" xfId="0" applyNumberFormat="1" applyFont="1" applyFill="1" applyBorder="1" applyAlignment="1">
      <alignment horizontal="center"/>
    </xf>
    <xf numFmtId="173" fontId="6" fillId="2" borderId="23" xfId="0" applyNumberFormat="1" applyFont="1" applyFill="1" applyBorder="1" applyAlignment="1">
      <alignment horizontal="right"/>
    </xf>
    <xf numFmtId="173" fontId="6" fillId="2" borderId="23" xfId="8" applyNumberFormat="1" applyFont="1" applyFill="1" applyBorder="1" applyAlignment="1">
      <alignment horizontal="right"/>
    </xf>
    <xf numFmtId="173" fontId="6" fillId="2" borderId="25" xfId="8" applyNumberFormat="1" applyFont="1" applyFill="1" applyBorder="1" applyAlignment="1">
      <alignment horizontal="right"/>
    </xf>
    <xf numFmtId="0" fontId="6" fillId="6" borderId="21" xfId="0" applyFont="1" applyFill="1" applyBorder="1" applyAlignment="1">
      <alignment horizontal="left" wrapText="1" indent="1" shrinkToFit="1"/>
    </xf>
    <xf numFmtId="2" fontId="6" fillId="2" borderId="21" xfId="0" applyNumberFormat="1" applyFont="1" applyFill="1" applyBorder="1" applyAlignment="1">
      <alignment horizontal="center"/>
    </xf>
    <xf numFmtId="2" fontId="21" fillId="2" borderId="21" xfId="0" applyNumberFormat="1" applyFont="1" applyFill="1" applyBorder="1" applyAlignment="1">
      <alignment horizontal="center"/>
    </xf>
    <xf numFmtId="2" fontId="6" fillId="8" borderId="21" xfId="0" applyNumberFormat="1" applyFont="1" applyFill="1" applyBorder="1" applyAlignment="1">
      <alignment horizontal="center"/>
    </xf>
    <xf numFmtId="174" fontId="6" fillId="2" borderId="21" xfId="0" applyNumberFormat="1" applyFont="1" applyFill="1" applyBorder="1" applyAlignment="1">
      <alignment horizontal="right"/>
    </xf>
    <xf numFmtId="2" fontId="6" fillId="7" borderId="21" xfId="0" applyNumberFormat="1" applyFont="1" applyFill="1" applyBorder="1" applyAlignment="1">
      <alignment horizontal="center"/>
    </xf>
    <xf numFmtId="172" fontId="6" fillId="2" borderId="21" xfId="8" applyNumberFormat="1" applyFont="1" applyFill="1" applyBorder="1" applyAlignment="1">
      <alignment horizontal="right"/>
    </xf>
    <xf numFmtId="0" fontId="6" fillId="7" borderId="21" xfId="0" applyFont="1" applyFill="1" applyBorder="1" applyAlignment="1">
      <alignment horizontal="left" wrapText="1" indent="1" shrinkToFit="1"/>
    </xf>
    <xf numFmtId="0" fontId="6" fillId="9" borderId="21" xfId="0" applyFont="1" applyFill="1" applyBorder="1"/>
    <xf numFmtId="0" fontId="6" fillId="7" borderId="21" xfId="0" applyFont="1" applyFill="1" applyBorder="1" applyAlignment="1">
      <alignment horizontal="left"/>
    </xf>
    <xf numFmtId="0" fontId="6" fillId="10" borderId="21" xfId="0" applyFont="1" applyFill="1" applyBorder="1"/>
    <xf numFmtId="0" fontId="6" fillId="9" borderId="21" xfId="0" applyFont="1" applyFill="1" applyBorder="1" applyAlignment="1">
      <alignment horizontal="center"/>
    </xf>
    <xf numFmtId="0" fontId="6" fillId="9" borderId="21" xfId="0" applyFont="1" applyFill="1" applyBorder="1" applyAlignment="1">
      <alignment horizontal="left"/>
    </xf>
    <xf numFmtId="0" fontId="6" fillId="7" borderId="21" xfId="0" applyFont="1" applyFill="1" applyBorder="1" applyAlignment="1">
      <alignment horizontal="center"/>
    </xf>
    <xf numFmtId="0" fontId="6" fillId="7" borderId="21" xfId="0" applyFont="1" applyFill="1" applyBorder="1"/>
    <xf numFmtId="0" fontId="6" fillId="6" borderId="21" xfId="0" applyFont="1" applyFill="1" applyBorder="1" applyAlignment="1">
      <alignment horizontal="center"/>
    </xf>
    <xf numFmtId="166" fontId="6" fillId="6" borderId="21" xfId="1" applyNumberFormat="1" applyFont="1" applyFill="1" applyBorder="1" applyAlignment="1">
      <alignment horizontal="right"/>
    </xf>
    <xf numFmtId="0" fontId="6" fillId="11" borderId="21" xfId="0" applyFont="1" applyFill="1" applyBorder="1" applyAlignment="1">
      <alignment horizontal="center"/>
    </xf>
    <xf numFmtId="0" fontId="6" fillId="10" borderId="21" xfId="0" applyFont="1" applyFill="1" applyBorder="1" applyAlignment="1">
      <alignment horizontal="center"/>
    </xf>
    <xf numFmtId="0" fontId="6" fillId="10" borderId="21" xfId="0" applyFont="1" applyFill="1" applyBorder="1" applyAlignment="1">
      <alignment horizontal="left"/>
    </xf>
    <xf numFmtId="0" fontId="6" fillId="11" borderId="21" xfId="0" applyFont="1" applyFill="1" applyBorder="1" applyAlignment="1">
      <alignment horizontal="left"/>
    </xf>
    <xf numFmtId="0" fontId="6" fillId="12" borderId="21" xfId="0" applyFont="1" applyFill="1" applyBorder="1" applyAlignment="1">
      <alignment horizontal="left"/>
    </xf>
    <xf numFmtId="166" fontId="6" fillId="13" borderId="21" xfId="1" applyNumberFormat="1" applyFont="1" applyFill="1" applyBorder="1" applyAlignment="1">
      <alignment horizontal="right"/>
    </xf>
    <xf numFmtId="0" fontId="6" fillId="12" borderId="21" xfId="0" applyFont="1" applyFill="1" applyBorder="1" applyAlignment="1">
      <alignment horizontal="center"/>
    </xf>
    <xf numFmtId="0" fontId="6" fillId="12" borderId="21" xfId="0" applyFont="1" applyFill="1" applyBorder="1"/>
    <xf numFmtId="0" fontId="11" fillId="14" borderId="12" xfId="0" applyFont="1" applyFill="1" applyBorder="1"/>
    <xf numFmtId="0" fontId="6" fillId="14" borderId="13" xfId="0" applyFont="1" applyFill="1" applyBorder="1"/>
    <xf numFmtId="0" fontId="6" fillId="2" borderId="26" xfId="0" applyFont="1" applyFill="1" applyBorder="1"/>
    <xf numFmtId="0" fontId="6" fillId="14" borderId="27" xfId="0" applyFont="1" applyFill="1" applyBorder="1"/>
    <xf numFmtId="173" fontId="6" fillId="14" borderId="21" xfId="0" applyNumberFormat="1" applyFont="1" applyFill="1" applyBorder="1" applyAlignment="1">
      <alignment horizontal="right"/>
    </xf>
    <xf numFmtId="174" fontId="6" fillId="2" borderId="21" xfId="8" applyNumberFormat="1" applyFont="1" applyFill="1" applyBorder="1" applyAlignment="1">
      <alignment horizontal="right"/>
    </xf>
    <xf numFmtId="0" fontId="11" fillId="15" borderId="12" xfId="0" applyFont="1" applyFill="1" applyBorder="1"/>
    <xf numFmtId="0" fontId="6" fillId="15" borderId="13" xfId="0" applyFont="1" applyFill="1" applyBorder="1"/>
    <xf numFmtId="0" fontId="6" fillId="15" borderId="27" xfId="0" applyFont="1" applyFill="1" applyBorder="1"/>
    <xf numFmtId="0" fontId="6" fillId="15" borderId="0" xfId="0" applyFont="1" applyFill="1" applyBorder="1" applyAlignment="1">
      <alignment horizontal="left" wrapText="1" indent="1" shrinkToFit="1"/>
    </xf>
    <xf numFmtId="2" fontId="6" fillId="2" borderId="22" xfId="0" applyNumberFormat="1" applyFont="1" applyFill="1" applyBorder="1" applyAlignment="1">
      <alignment horizontal="center"/>
    </xf>
    <xf numFmtId="172" fontId="6" fillId="2" borderId="28" xfId="8" applyNumberFormat="1" applyFont="1" applyFill="1" applyBorder="1" applyAlignment="1">
      <alignment horizontal="right"/>
    </xf>
    <xf numFmtId="173" fontId="6" fillId="15" borderId="23" xfId="0" applyNumberFormat="1" applyFont="1" applyFill="1" applyBorder="1" applyAlignment="1">
      <alignment horizontal="right"/>
    </xf>
    <xf numFmtId="2" fontId="6" fillId="2" borderId="28" xfId="0" applyNumberFormat="1" applyFont="1" applyFill="1" applyBorder="1" applyAlignment="1">
      <alignment horizontal="center"/>
    </xf>
    <xf numFmtId="1" fontId="6" fillId="2" borderId="29" xfId="0" applyNumberFormat="1" applyFont="1" applyFill="1" applyBorder="1" applyAlignment="1">
      <alignment horizontal="center"/>
    </xf>
    <xf numFmtId="0" fontId="6" fillId="15" borderId="21" xfId="0" applyFont="1" applyFill="1" applyBorder="1" applyAlignment="1">
      <alignment horizontal="center"/>
    </xf>
    <xf numFmtId="3" fontId="6" fillId="15" borderId="21" xfId="0" applyNumberFormat="1" applyFont="1" applyFill="1" applyBorder="1" applyAlignment="1">
      <alignment horizontal="center"/>
    </xf>
    <xf numFmtId="172" fontId="6" fillId="15" borderId="21" xfId="0" applyNumberFormat="1" applyFont="1" applyFill="1" applyBorder="1" applyAlignment="1">
      <alignment horizontal="right"/>
    </xf>
    <xf numFmtId="0" fontId="6" fillId="15" borderId="21" xfId="0" applyFont="1" applyFill="1" applyBorder="1" applyAlignment="1">
      <alignment horizontal="left" wrapText="1" indent="1" shrinkToFit="1"/>
    </xf>
    <xf numFmtId="2" fontId="6" fillId="15" borderId="21" xfId="0" applyNumberFormat="1" applyFont="1" applyFill="1" applyBorder="1" applyAlignment="1">
      <alignment horizontal="center"/>
    </xf>
    <xf numFmtId="172" fontId="6" fillId="15" borderId="21" xfId="8" applyNumberFormat="1" applyFont="1" applyFill="1" applyBorder="1" applyAlignment="1">
      <alignment horizontal="right"/>
    </xf>
    <xf numFmtId="0" fontId="6" fillId="15" borderId="21" xfId="0" applyFont="1" applyFill="1" applyBorder="1" applyAlignment="1">
      <alignment horizontal="left"/>
    </xf>
    <xf numFmtId="173" fontId="6" fillId="15" borderId="21" xfId="0" applyNumberFormat="1" applyFont="1" applyFill="1" applyBorder="1" applyAlignment="1">
      <alignment horizontal="right"/>
    </xf>
    <xf numFmtId="1" fontId="6" fillId="15" borderId="21" xfId="0" applyNumberFormat="1" applyFont="1" applyFill="1" applyBorder="1" applyAlignment="1">
      <alignment horizontal="center"/>
    </xf>
    <xf numFmtId="168" fontId="6" fillId="2" borderId="30" xfId="0" applyNumberFormat="1" applyFont="1" applyFill="1" applyBorder="1" applyAlignment="1">
      <alignment horizontal="right"/>
    </xf>
    <xf numFmtId="168" fontId="6" fillId="2" borderId="31" xfId="0" applyNumberFormat="1" applyFont="1" applyFill="1" applyBorder="1" applyAlignment="1">
      <alignment horizontal="right"/>
    </xf>
    <xf numFmtId="0" fontId="6" fillId="4" borderId="21" xfId="0" applyFont="1" applyFill="1" applyBorder="1" applyAlignment="1">
      <alignment horizontal="left" wrapText="1" indent="1" shrinkToFit="1"/>
    </xf>
    <xf numFmtId="3" fontId="6" fillId="4" borderId="21" xfId="0" applyNumberFormat="1" applyFont="1" applyFill="1" applyBorder="1" applyAlignment="1">
      <alignment horizontal="center"/>
    </xf>
    <xf numFmtId="172" fontId="6" fillId="4" borderId="21" xfId="0" applyNumberFormat="1" applyFont="1" applyFill="1" applyBorder="1" applyAlignment="1">
      <alignment horizontal="right"/>
    </xf>
    <xf numFmtId="172" fontId="6" fillId="4" borderId="21" xfId="8" applyNumberFormat="1" applyFont="1" applyFill="1" applyBorder="1" applyAlignment="1">
      <alignment horizontal="right"/>
    </xf>
    <xf numFmtId="0" fontId="6" fillId="4" borderId="21" xfId="0" applyFont="1" applyFill="1" applyBorder="1" applyAlignment="1">
      <alignment horizontal="left"/>
    </xf>
    <xf numFmtId="173" fontId="6" fillId="4" borderId="21" xfId="0" applyNumberFormat="1" applyFont="1" applyFill="1" applyBorder="1" applyAlignment="1">
      <alignment horizontal="right"/>
    </xf>
    <xf numFmtId="0" fontId="11" fillId="4" borderId="12" xfId="0" applyFont="1" applyFill="1" applyBorder="1"/>
    <xf numFmtId="0" fontId="6" fillId="4" borderId="13" xfId="0" applyFont="1" applyFill="1" applyBorder="1"/>
    <xf numFmtId="0" fontId="6" fillId="4" borderId="27" xfId="0" applyFont="1" applyFill="1" applyBorder="1"/>
    <xf numFmtId="1" fontId="6" fillId="4" borderId="21" xfId="0" applyNumberFormat="1" applyFont="1" applyFill="1" applyBorder="1" applyAlignment="1">
      <alignment horizontal="center"/>
    </xf>
    <xf numFmtId="0" fontId="11" fillId="9" borderId="12" xfId="0" applyFont="1" applyFill="1" applyBorder="1"/>
    <xf numFmtId="0" fontId="6" fillId="9" borderId="13" xfId="0" applyFont="1" applyFill="1" applyBorder="1"/>
    <xf numFmtId="0" fontId="6" fillId="9" borderId="27" xfId="0" applyFont="1" applyFill="1" applyBorder="1"/>
    <xf numFmtId="0" fontId="11" fillId="9" borderId="32" xfId="0" applyFont="1" applyFill="1" applyBorder="1"/>
    <xf numFmtId="0" fontId="6" fillId="9" borderId="21" xfId="0" applyFont="1" applyFill="1" applyBorder="1" applyAlignment="1">
      <alignment horizontal="left" wrapText="1" indent="1" shrinkToFit="1"/>
    </xf>
    <xf numFmtId="1" fontId="6" fillId="9" borderId="21" xfId="0" applyNumberFormat="1" applyFont="1" applyFill="1" applyBorder="1" applyAlignment="1">
      <alignment horizontal="center"/>
    </xf>
    <xf numFmtId="3" fontId="6" fillId="9" borderId="21" xfId="0" applyNumberFormat="1" applyFont="1" applyFill="1" applyBorder="1" applyAlignment="1">
      <alignment horizontal="center"/>
    </xf>
    <xf numFmtId="172" fontId="6" fillId="9" borderId="21" xfId="0" applyNumberFormat="1" applyFont="1" applyFill="1" applyBorder="1" applyAlignment="1">
      <alignment horizontal="right"/>
    </xf>
    <xf numFmtId="173" fontId="6" fillId="9" borderId="21" xfId="0" applyNumberFormat="1" applyFont="1" applyFill="1" applyBorder="1" applyAlignment="1">
      <alignment horizontal="right"/>
    </xf>
    <xf numFmtId="2" fontId="6" fillId="9" borderId="21" xfId="0" applyNumberFormat="1" applyFont="1" applyFill="1" applyBorder="1" applyAlignment="1">
      <alignment horizontal="center"/>
    </xf>
    <xf numFmtId="172" fontId="6" fillId="9" borderId="21" xfId="8" applyNumberFormat="1" applyFont="1" applyFill="1" applyBorder="1" applyAlignment="1">
      <alignment horizontal="right"/>
    </xf>
    <xf numFmtId="1" fontId="6" fillId="2" borderId="24" xfId="0" applyNumberFormat="1" applyFont="1" applyFill="1" applyBorder="1" applyAlignment="1">
      <alignment horizontal="center"/>
    </xf>
    <xf numFmtId="0" fontId="6" fillId="2" borderId="21" xfId="0" applyFont="1" applyFill="1" applyBorder="1" applyAlignment="1">
      <alignment horizontal="right"/>
    </xf>
    <xf numFmtId="173" fontId="6" fillId="4" borderId="22" xfId="8" applyNumberFormat="1" applyFont="1" applyFill="1" applyBorder="1" applyAlignment="1">
      <alignment horizontal="left"/>
    </xf>
    <xf numFmtId="173" fontId="6" fillId="4" borderId="28" xfId="8" applyNumberFormat="1" applyFont="1" applyFill="1" applyBorder="1" applyAlignment="1">
      <alignment horizontal="right"/>
    </xf>
    <xf numFmtId="9" fontId="6" fillId="4" borderId="28" xfId="22" applyFont="1" applyFill="1" applyBorder="1" applyAlignment="1">
      <alignment horizontal="center"/>
    </xf>
    <xf numFmtId="0" fontId="6" fillId="4" borderId="28" xfId="0" applyFont="1" applyFill="1" applyBorder="1" applyAlignment="1">
      <alignment horizontal="center"/>
    </xf>
    <xf numFmtId="173" fontId="6" fillId="4" borderId="23" xfId="8" applyNumberFormat="1" applyFont="1" applyFill="1" applyBorder="1" applyAlignment="1">
      <alignment horizontal="right"/>
    </xf>
    <xf numFmtId="173" fontId="20" fillId="4" borderId="28" xfId="8" applyNumberFormat="1" applyFont="1" applyFill="1" applyBorder="1" applyAlignment="1">
      <alignment horizontal="right"/>
    </xf>
    <xf numFmtId="0" fontId="0" fillId="4" borderId="28" xfId="0" applyFill="1" applyBorder="1"/>
    <xf numFmtId="0" fontId="0" fillId="4" borderId="23" xfId="0" applyFill="1" applyBorder="1"/>
    <xf numFmtId="169" fontId="6" fillId="2" borderId="21" xfId="0" applyNumberFormat="1" applyFont="1" applyFill="1" applyBorder="1" applyAlignment="1">
      <alignment horizontal="center"/>
    </xf>
    <xf numFmtId="9" fontId="6" fillId="4" borderId="23" xfId="21" applyFont="1" applyFill="1" applyBorder="1" applyAlignment="1">
      <alignment horizontal="center"/>
    </xf>
    <xf numFmtId="171" fontId="5" fillId="0" borderId="0" xfId="1" applyNumberFormat="1" applyFont="1" applyFill="1"/>
    <xf numFmtId="171" fontId="6" fillId="2" borderId="21" xfId="1" applyNumberFormat="1" applyFont="1" applyFill="1" applyBorder="1"/>
    <xf numFmtId="1" fontId="6" fillId="2" borderId="22" xfId="0" applyNumberFormat="1" applyFont="1" applyFill="1" applyBorder="1" applyAlignment="1">
      <alignment horizontal="center"/>
    </xf>
    <xf numFmtId="2" fontId="6" fillId="2" borderId="0" xfId="0" applyNumberFormat="1" applyFont="1" applyFill="1" applyBorder="1" applyAlignment="1">
      <alignment horizontal="center"/>
    </xf>
    <xf numFmtId="172" fontId="6" fillId="2" borderId="0" xfId="8" applyNumberFormat="1" applyFont="1" applyFill="1" applyBorder="1" applyAlignment="1">
      <alignment horizontal="right"/>
    </xf>
    <xf numFmtId="3" fontId="6" fillId="0" borderId="21" xfId="0" applyNumberFormat="1" applyFont="1" applyFill="1" applyBorder="1" applyAlignment="1">
      <alignment horizontal="center"/>
    </xf>
    <xf numFmtId="172" fontId="6" fillId="0" borderId="21" xfId="0" applyNumberFormat="1" applyFont="1" applyFill="1" applyBorder="1" applyAlignment="1">
      <alignment horizontal="right"/>
    </xf>
    <xf numFmtId="0" fontId="6" fillId="0" borderId="21" xfId="0" applyFont="1" applyFill="1" applyBorder="1" applyAlignment="1">
      <alignment horizontal="left"/>
    </xf>
    <xf numFmtId="2" fontId="6" fillId="0" borderId="21" xfId="0" applyNumberFormat="1" applyFont="1" applyFill="1" applyBorder="1" applyAlignment="1">
      <alignment horizontal="center"/>
    </xf>
    <xf numFmtId="0" fontId="6" fillId="0" borderId="21" xfId="0" applyFont="1" applyFill="1" applyBorder="1" applyAlignment="1">
      <alignment horizontal="center"/>
    </xf>
    <xf numFmtId="172" fontId="6" fillId="0" borderId="21" xfId="8" applyNumberFormat="1" applyFont="1" applyFill="1" applyBorder="1" applyAlignment="1">
      <alignment horizontal="right"/>
    </xf>
    <xf numFmtId="0" fontId="6" fillId="0" borderId="0" xfId="0" applyFont="1" applyFill="1" applyAlignment="1">
      <alignment horizontal="right"/>
    </xf>
    <xf numFmtId="2" fontId="6" fillId="0" borderId="0" xfId="0" applyNumberFormat="1" applyFont="1" applyFill="1" applyBorder="1"/>
    <xf numFmtId="0" fontId="6" fillId="0" borderId="0" xfId="0" applyFont="1" applyFill="1"/>
    <xf numFmtId="2" fontId="21" fillId="7" borderId="21" xfId="0" applyNumberFormat="1" applyFont="1" applyFill="1" applyBorder="1" applyAlignment="1">
      <alignment horizontal="center"/>
    </xf>
    <xf numFmtId="2" fontId="6" fillId="4" borderId="31" xfId="0" applyNumberFormat="1" applyFont="1" applyFill="1" applyBorder="1" applyAlignment="1">
      <alignment horizontal="center"/>
    </xf>
    <xf numFmtId="0" fontId="6" fillId="4" borderId="31" xfId="0" applyFont="1" applyFill="1" applyBorder="1" applyAlignment="1">
      <alignment horizontal="center"/>
    </xf>
    <xf numFmtId="2" fontId="6" fillId="4" borderId="31" xfId="0" applyNumberFormat="1" applyFont="1" applyFill="1" applyBorder="1"/>
    <xf numFmtId="2" fontId="6" fillId="5" borderId="31" xfId="0" applyNumberFormat="1" applyFont="1" applyFill="1" applyBorder="1" applyAlignment="1">
      <alignment horizontal="center"/>
    </xf>
    <xf numFmtId="2" fontId="6" fillId="4" borderId="30" xfId="0" applyNumberFormat="1" applyFont="1" applyFill="1" applyBorder="1" applyAlignment="1">
      <alignment horizontal="center"/>
    </xf>
    <xf numFmtId="0" fontId="6" fillId="4" borderId="30" xfId="0" applyFont="1" applyFill="1" applyBorder="1" applyAlignment="1">
      <alignment horizontal="center"/>
    </xf>
    <xf numFmtId="2" fontId="6" fillId="6" borderId="30" xfId="0" applyNumberFormat="1" applyFont="1" applyFill="1" applyBorder="1"/>
    <xf numFmtId="2" fontId="6" fillId="5" borderId="30" xfId="0" applyNumberFormat="1" applyFont="1" applyFill="1" applyBorder="1" applyAlignment="1">
      <alignment horizontal="center"/>
    </xf>
    <xf numFmtId="1" fontId="6" fillId="5" borderId="30" xfId="0" applyNumberFormat="1" applyFont="1" applyFill="1" applyBorder="1" applyAlignment="1">
      <alignment horizontal="center"/>
    </xf>
    <xf numFmtId="0" fontId="6" fillId="4" borderId="31" xfId="0" applyFont="1" applyFill="1" applyBorder="1" applyAlignment="1">
      <alignment horizontal="right"/>
    </xf>
    <xf numFmtId="2" fontId="6" fillId="6" borderId="31" xfId="0" applyNumberFormat="1" applyFont="1" applyFill="1" applyBorder="1"/>
    <xf numFmtId="1" fontId="6" fillId="5" borderId="31" xfId="0" applyNumberFormat="1" applyFont="1" applyFill="1" applyBorder="1" applyAlignment="1">
      <alignment horizontal="center"/>
    </xf>
    <xf numFmtId="0" fontId="6" fillId="4" borderId="30" xfId="0" applyFont="1" applyFill="1" applyBorder="1" applyAlignment="1">
      <alignment horizontal="right"/>
    </xf>
    <xf numFmtId="0" fontId="6" fillId="5" borderId="30" xfId="0" applyFont="1" applyFill="1" applyBorder="1" applyAlignment="1">
      <alignment horizontal="right"/>
    </xf>
    <xf numFmtId="0" fontId="6" fillId="5" borderId="30" xfId="0" applyFont="1" applyFill="1" applyBorder="1" applyAlignment="1">
      <alignment horizontal="center"/>
    </xf>
    <xf numFmtId="165" fontId="6" fillId="0" borderId="2" xfId="5" applyNumberFormat="1" applyFont="1" applyBorder="1" applyAlignment="1">
      <alignment horizontal="center" wrapText="1" shrinkToFit="1"/>
    </xf>
    <xf numFmtId="3" fontId="6" fillId="14" borderId="21" xfId="0" applyNumberFormat="1" applyFont="1" applyFill="1" applyBorder="1" applyAlignment="1">
      <alignment horizontal="center"/>
    </xf>
    <xf numFmtId="0" fontId="6" fillId="14" borderId="21" xfId="0" applyFont="1" applyFill="1" applyBorder="1" applyAlignment="1">
      <alignment horizontal="center"/>
    </xf>
    <xf numFmtId="0" fontId="6" fillId="14" borderId="21" xfId="0" applyFont="1" applyFill="1" applyBorder="1" applyAlignment="1">
      <alignment horizontal="left" wrapText="1" indent="1" shrinkToFit="1"/>
    </xf>
    <xf numFmtId="172" fontId="6" fillId="2" borderId="22" xfId="8" applyNumberFormat="1" applyFont="1" applyFill="1" applyBorder="1" applyAlignment="1">
      <alignment horizontal="right"/>
    </xf>
    <xf numFmtId="0" fontId="6" fillId="14" borderId="0" xfId="0" applyFont="1" applyFill="1" applyBorder="1" applyAlignment="1">
      <alignment horizontal="left" wrapText="1" indent="1" shrinkToFit="1"/>
    </xf>
    <xf numFmtId="1" fontId="6" fillId="2" borderId="21" xfId="18" applyNumberFormat="1" applyFont="1" applyFill="1" applyBorder="1" applyAlignment="1">
      <alignment horizontal="center"/>
    </xf>
    <xf numFmtId="172" fontId="6" fillId="14" borderId="21" xfId="0" applyNumberFormat="1" applyFont="1" applyFill="1" applyBorder="1" applyAlignment="1">
      <alignment horizontal="right"/>
    </xf>
    <xf numFmtId="1" fontId="6" fillId="2" borderId="22" xfId="18" applyNumberFormat="1" applyFont="1" applyFill="1" applyBorder="1" applyAlignment="1">
      <alignment horizontal="center"/>
    </xf>
    <xf numFmtId="0" fontId="6" fillId="14" borderId="21" xfId="0" applyFont="1" applyFill="1" applyBorder="1" applyAlignment="1">
      <alignment horizontal="left"/>
    </xf>
    <xf numFmtId="2" fontId="6" fillId="14" borderId="21" xfId="0" applyNumberFormat="1" applyFont="1" applyFill="1" applyBorder="1" applyAlignment="1">
      <alignment horizontal="center"/>
    </xf>
    <xf numFmtId="172" fontId="6" fillId="14" borderId="21" xfId="8" applyNumberFormat="1" applyFont="1" applyFill="1" applyBorder="1" applyAlignment="1">
      <alignment horizontal="right"/>
    </xf>
    <xf numFmtId="175" fontId="6" fillId="15" borderId="21" xfId="0" applyNumberFormat="1" applyFont="1" applyFill="1" applyBorder="1" applyAlignment="1">
      <alignment horizontal="center"/>
    </xf>
    <xf numFmtId="173" fontId="6" fillId="15" borderId="21" xfId="18" applyNumberFormat="1" applyFont="1" applyFill="1" applyBorder="1" applyAlignment="1">
      <alignment horizontal="right"/>
    </xf>
    <xf numFmtId="1" fontId="6" fillId="0" borderId="21" xfId="18" applyNumberFormat="1" applyFont="1" applyFill="1" applyBorder="1" applyAlignment="1">
      <alignment horizontal="center"/>
    </xf>
    <xf numFmtId="1" fontId="6" fillId="0" borderId="22" xfId="18" applyNumberFormat="1" applyFont="1" applyFill="1" applyBorder="1" applyAlignment="1">
      <alignment horizontal="center"/>
    </xf>
    <xf numFmtId="3" fontId="6" fillId="2" borderId="21" xfId="0" applyNumberFormat="1" applyFont="1" applyFill="1" applyBorder="1"/>
    <xf numFmtId="9" fontId="6" fillId="2" borderId="21" xfId="0" applyNumberFormat="1" applyFont="1" applyFill="1" applyBorder="1" applyAlignment="1">
      <alignment horizontal="right"/>
    </xf>
    <xf numFmtId="173" fontId="6" fillId="4" borderId="0" xfId="8" applyNumberFormat="1" applyFont="1" applyFill="1" applyAlignment="1">
      <alignment horizontal="right"/>
    </xf>
    <xf numFmtId="169" fontId="6" fillId="0" borderId="0" xfId="0" applyNumberFormat="1" applyFont="1" applyAlignment="1">
      <alignment horizontal="center"/>
    </xf>
    <xf numFmtId="0" fontId="6" fillId="0" borderId="0" xfId="18" applyFont="1" applyBorder="1" applyAlignment="1">
      <alignment horizontal="left" wrapText="1" indent="1" shrinkToFit="1"/>
    </xf>
    <xf numFmtId="9" fontId="6" fillId="0" borderId="0" xfId="0" applyNumberFormat="1" applyFont="1" applyAlignment="1">
      <alignment horizontal="center"/>
    </xf>
    <xf numFmtId="172" fontId="6" fillId="2" borderId="21" xfId="18" applyNumberFormat="1" applyFont="1" applyFill="1" applyBorder="1" applyAlignment="1">
      <alignment horizontal="right"/>
    </xf>
    <xf numFmtId="172" fontId="6" fillId="0" borderId="0" xfId="18" applyNumberFormat="1" applyFont="1" applyAlignment="1">
      <alignment horizontal="right"/>
    </xf>
    <xf numFmtId="0" fontId="11" fillId="0" borderId="0" xfId="18" applyFont="1" applyAlignment="1">
      <alignment horizontal="center"/>
    </xf>
    <xf numFmtId="9" fontId="6" fillId="0" borderId="0" xfId="18" applyNumberFormat="1" applyFont="1" applyAlignment="1">
      <alignment horizontal="center"/>
    </xf>
    <xf numFmtId="172" fontId="5" fillId="0" borderId="0" xfId="0" applyNumberFormat="1" applyFont="1" applyAlignment="1">
      <alignment horizontal="left"/>
    </xf>
    <xf numFmtId="169" fontId="5" fillId="0" borderId="0" xfId="1" applyNumberFormat="1" applyFont="1" applyFill="1" applyAlignment="1">
      <alignment horizontal="left"/>
    </xf>
    <xf numFmtId="0" fontId="12" fillId="0" borderId="0" xfId="0" applyFont="1" applyAlignment="1">
      <alignment horizontal="right"/>
    </xf>
    <xf numFmtId="169" fontId="6" fillId="0" borderId="0" xfId="0" applyNumberFormat="1" applyFont="1"/>
    <xf numFmtId="0" fontId="14" fillId="16" borderId="10" xfId="0" applyFont="1" applyFill="1" applyBorder="1"/>
    <xf numFmtId="0" fontId="14" fillId="16" borderId="3" xfId="0" applyFont="1" applyFill="1" applyBorder="1" applyAlignment="1">
      <alignment horizontal="right"/>
    </xf>
    <xf numFmtId="9" fontId="14" fillId="16" borderId="11" xfId="21" applyFont="1" applyFill="1" applyBorder="1"/>
    <xf numFmtId="0" fontId="14" fillId="15" borderId="10" xfId="0" applyFont="1" applyFill="1" applyBorder="1"/>
    <xf numFmtId="0" fontId="14" fillId="15" borderId="3" xfId="0" applyFont="1" applyFill="1" applyBorder="1" applyAlignment="1">
      <alignment horizontal="right"/>
    </xf>
    <xf numFmtId="9" fontId="14" fillId="15" borderId="11" xfId="21" applyFont="1" applyFill="1" applyBorder="1"/>
    <xf numFmtId="0" fontId="22" fillId="6" borderId="10" xfId="0" applyFont="1" applyFill="1" applyBorder="1"/>
    <xf numFmtId="0" fontId="22" fillId="6" borderId="3" xfId="0" applyFont="1" applyFill="1" applyBorder="1" applyAlignment="1">
      <alignment horizontal="right"/>
    </xf>
    <xf numFmtId="9" fontId="22" fillId="6" borderId="11" xfId="21" applyFont="1" applyFill="1" applyBorder="1"/>
    <xf numFmtId="0" fontId="23" fillId="5" borderId="10" xfId="0" applyFont="1" applyFill="1" applyBorder="1"/>
    <xf numFmtId="0" fontId="23" fillId="5" borderId="3" xfId="0" applyFont="1" applyFill="1" applyBorder="1" applyAlignment="1">
      <alignment horizontal="right"/>
    </xf>
    <xf numFmtId="9" fontId="23" fillId="5" borderId="11" xfId="21" applyFont="1" applyFill="1" applyBorder="1"/>
    <xf numFmtId="0" fontId="6" fillId="9" borderId="10" xfId="0" applyFont="1" applyFill="1" applyBorder="1"/>
    <xf numFmtId="0" fontId="6" fillId="9" borderId="3" xfId="0" applyFont="1" applyFill="1" applyBorder="1" applyAlignment="1">
      <alignment horizontal="right"/>
    </xf>
    <xf numFmtId="9" fontId="6" fillId="9" borderId="11" xfId="21" applyFont="1" applyFill="1" applyBorder="1"/>
    <xf numFmtId="0" fontId="6" fillId="4" borderId="10" xfId="0" applyFont="1" applyFill="1" applyBorder="1"/>
    <xf numFmtId="0" fontId="6" fillId="4" borderId="3" xfId="0" applyFont="1" applyFill="1" applyBorder="1" applyAlignment="1">
      <alignment horizontal="right"/>
    </xf>
    <xf numFmtId="9" fontId="6" fillId="4" borderId="11" xfId="21" applyFont="1" applyFill="1" applyBorder="1"/>
    <xf numFmtId="0" fontId="6" fillId="17" borderId="10" xfId="0" applyFont="1" applyFill="1" applyBorder="1"/>
    <xf numFmtId="0" fontId="6" fillId="17" borderId="3" xfId="0" applyFont="1" applyFill="1" applyBorder="1" applyAlignment="1">
      <alignment horizontal="right"/>
    </xf>
    <xf numFmtId="9" fontId="6" fillId="17" borderId="11" xfId="21" applyFont="1" applyFill="1" applyBorder="1"/>
    <xf numFmtId="0" fontId="6" fillId="14" borderId="10" xfId="0" applyFont="1" applyFill="1" applyBorder="1"/>
    <xf numFmtId="0" fontId="6" fillId="14" borderId="3" xfId="0" applyFont="1" applyFill="1" applyBorder="1" applyAlignment="1">
      <alignment horizontal="right"/>
    </xf>
    <xf numFmtId="9" fontId="6" fillId="14" borderId="11" xfId="21" applyFont="1" applyFill="1" applyBorder="1"/>
    <xf numFmtId="0" fontId="24" fillId="8" borderId="10" xfId="0" applyFont="1" applyFill="1" applyBorder="1"/>
    <xf numFmtId="0" fontId="24" fillId="8" borderId="3" xfId="0" applyFont="1" applyFill="1" applyBorder="1" applyAlignment="1">
      <alignment horizontal="right"/>
    </xf>
    <xf numFmtId="9" fontId="24" fillId="8" borderId="11" xfId="21" applyFont="1" applyFill="1" applyBorder="1"/>
    <xf numFmtId="0" fontId="23" fillId="18" borderId="10" xfId="0" applyFont="1" applyFill="1" applyBorder="1"/>
    <xf numFmtId="0" fontId="23" fillId="18" borderId="3" xfId="0" applyFont="1" applyFill="1" applyBorder="1" applyAlignment="1">
      <alignment horizontal="right"/>
    </xf>
    <xf numFmtId="9" fontId="23" fillId="18" borderId="11" xfId="21" applyFont="1" applyFill="1" applyBorder="1"/>
    <xf numFmtId="0" fontId="6" fillId="2" borderId="10" xfId="0" applyFont="1" applyFill="1" applyBorder="1"/>
    <xf numFmtId="0" fontId="6" fillId="2" borderId="3" xfId="0" applyFont="1" applyFill="1" applyBorder="1" applyAlignment="1">
      <alignment horizontal="right"/>
    </xf>
    <xf numFmtId="9" fontId="6" fillId="2" borderId="11" xfId="21" applyFont="1" applyFill="1" applyBorder="1"/>
    <xf numFmtId="0" fontId="23" fillId="19" borderId="10" xfId="0" applyFont="1" applyFill="1" applyBorder="1"/>
    <xf numFmtId="9" fontId="23" fillId="19" borderId="11" xfId="21" applyFont="1" applyFill="1" applyBorder="1"/>
    <xf numFmtId="0" fontId="23" fillId="20" borderId="10" xfId="0" applyFont="1" applyFill="1" applyBorder="1"/>
    <xf numFmtId="0" fontId="23" fillId="20" borderId="3" xfId="0" applyFont="1" applyFill="1" applyBorder="1" applyAlignment="1">
      <alignment horizontal="right"/>
    </xf>
    <xf numFmtId="9" fontId="23" fillId="20" borderId="11" xfId="21" applyFont="1" applyFill="1" applyBorder="1"/>
    <xf numFmtId="0" fontId="23" fillId="15" borderId="10" xfId="0" applyFont="1" applyFill="1" applyBorder="1"/>
    <xf numFmtId="0" fontId="23" fillId="15" borderId="3" xfId="0" applyFont="1" applyFill="1" applyBorder="1" applyAlignment="1">
      <alignment horizontal="right"/>
    </xf>
    <xf numFmtId="9" fontId="23" fillId="15" borderId="11" xfId="21" applyFont="1" applyFill="1" applyBorder="1"/>
    <xf numFmtId="2" fontId="5" fillId="7" borderId="21" xfId="0" applyNumberFormat="1" applyFont="1" applyFill="1" applyBorder="1"/>
    <xf numFmtId="10" fontId="6" fillId="0" borderId="0" xfId="21" applyNumberFormat="1" applyFont="1"/>
    <xf numFmtId="2" fontId="7" fillId="2" borderId="21" xfId="0" applyNumberFormat="1" applyFont="1" applyFill="1" applyBorder="1" applyAlignment="1">
      <alignment horizontal="center" wrapText="1" shrinkToFit="1"/>
    </xf>
    <xf numFmtId="172" fontId="7" fillId="0" borderId="0" xfId="0" applyNumberFormat="1" applyFont="1" applyFill="1" applyAlignment="1">
      <alignment horizontal="right"/>
    </xf>
    <xf numFmtId="1" fontId="6" fillId="2" borderId="23" xfId="18" applyNumberFormat="1" applyFont="1" applyFill="1" applyBorder="1" applyAlignment="1">
      <alignment horizontal="center"/>
    </xf>
    <xf numFmtId="1" fontId="6" fillId="2" borderId="28" xfId="18" applyNumberFormat="1" applyFont="1" applyFill="1" applyBorder="1" applyAlignment="1">
      <alignment horizontal="center"/>
    </xf>
    <xf numFmtId="0" fontId="7" fillId="14" borderId="21" xfId="0" applyFont="1" applyFill="1" applyBorder="1" applyAlignment="1">
      <alignment horizontal="left" wrapText="1" indent="1" shrinkToFit="1"/>
    </xf>
    <xf numFmtId="2" fontId="7" fillId="14" borderId="21" xfId="0" applyNumberFormat="1" applyFont="1" applyFill="1" applyBorder="1" applyAlignment="1">
      <alignment horizontal="center"/>
    </xf>
    <xf numFmtId="0" fontId="7" fillId="14" borderId="21" xfId="0" applyFont="1" applyFill="1" applyBorder="1" applyAlignment="1">
      <alignment horizontal="center"/>
    </xf>
    <xf numFmtId="172" fontId="7" fillId="14" borderId="21" xfId="8" applyNumberFormat="1" applyFont="1" applyFill="1" applyBorder="1" applyAlignment="1">
      <alignment horizontal="right"/>
    </xf>
    <xf numFmtId="172" fontId="7" fillId="14" borderId="21" xfId="0" applyNumberFormat="1" applyFont="1" applyFill="1" applyBorder="1" applyAlignment="1">
      <alignment horizontal="right"/>
    </xf>
    <xf numFmtId="173" fontId="7" fillId="14" borderId="21" xfId="0" applyNumberFormat="1" applyFont="1" applyFill="1" applyBorder="1" applyAlignment="1">
      <alignment horizontal="right"/>
    </xf>
    <xf numFmtId="1" fontId="7" fillId="14" borderId="21" xfId="0" applyNumberFormat="1" applyFont="1" applyFill="1" applyBorder="1" applyAlignment="1">
      <alignment horizontal="center"/>
    </xf>
    <xf numFmtId="2" fontId="6" fillId="14" borderId="23" xfId="0" applyNumberFormat="1" applyFont="1" applyFill="1" applyBorder="1" applyAlignment="1">
      <alignment horizontal="center"/>
    </xf>
    <xf numFmtId="1" fontId="6" fillId="2" borderId="25" xfId="0" applyNumberFormat="1" applyFont="1" applyFill="1" applyBorder="1" applyAlignment="1">
      <alignment horizontal="center"/>
    </xf>
    <xf numFmtId="0" fontId="7" fillId="15" borderId="0" xfId="0" applyFont="1" applyFill="1" applyAlignment="1">
      <alignment horizontal="center"/>
    </xf>
    <xf numFmtId="2" fontId="7" fillId="15" borderId="21" xfId="0" applyNumberFormat="1" applyFont="1" applyFill="1" applyBorder="1" applyAlignment="1">
      <alignment horizontal="center"/>
    </xf>
    <xf numFmtId="0" fontId="7" fillId="15" borderId="21" xfId="0" applyFont="1" applyFill="1" applyBorder="1" applyAlignment="1">
      <alignment horizontal="center"/>
    </xf>
    <xf numFmtId="172" fontId="7" fillId="15" borderId="21" xfId="8" applyNumberFormat="1" applyFont="1" applyFill="1" applyBorder="1" applyAlignment="1">
      <alignment horizontal="right"/>
    </xf>
    <xf numFmtId="172" fontId="7" fillId="15" borderId="21" xfId="0" applyNumberFormat="1" applyFont="1" applyFill="1" applyBorder="1" applyAlignment="1">
      <alignment horizontal="right"/>
    </xf>
    <xf numFmtId="173" fontId="7" fillId="15" borderId="21" xfId="0" applyNumberFormat="1" applyFont="1" applyFill="1" applyBorder="1" applyAlignment="1">
      <alignment horizontal="right"/>
    </xf>
    <xf numFmtId="1" fontId="7" fillId="15" borderId="21" xfId="0" applyNumberFormat="1" applyFont="1" applyFill="1" applyBorder="1" applyAlignment="1">
      <alignment horizontal="center"/>
    </xf>
    <xf numFmtId="0" fontId="7" fillId="15" borderId="21" xfId="0" applyFont="1" applyFill="1" applyBorder="1" applyAlignment="1">
      <alignment horizontal="left" wrapText="1" indent="1" shrinkToFit="1"/>
    </xf>
    <xf numFmtId="1" fontId="7" fillId="2" borderId="21" xfId="0" applyNumberFormat="1" applyFont="1" applyFill="1" applyBorder="1" applyAlignment="1">
      <alignment horizontal="center" wrapText="1" shrinkToFit="1"/>
    </xf>
    <xf numFmtId="169" fontId="7" fillId="15" borderId="21" xfId="0" applyNumberFormat="1" applyFont="1" applyFill="1" applyBorder="1" applyAlignment="1">
      <alignment horizontal="center"/>
    </xf>
    <xf numFmtId="0" fontId="6" fillId="0" borderId="33" xfId="0" applyFont="1" applyBorder="1" applyAlignment="1">
      <alignment horizontal="right"/>
    </xf>
    <xf numFmtId="0" fontId="6" fillId="0" borderId="34" xfId="0" applyFont="1" applyFill="1" applyBorder="1" applyAlignment="1">
      <alignment horizontal="right"/>
    </xf>
    <xf numFmtId="0" fontId="6" fillId="0" borderId="35" xfId="0" applyFont="1" applyBorder="1" applyAlignment="1">
      <alignment horizontal="right"/>
    </xf>
    <xf numFmtId="2" fontId="6" fillId="2" borderId="36" xfId="0" applyNumberFormat="1" applyFont="1" applyFill="1" applyBorder="1"/>
    <xf numFmtId="0" fontId="6" fillId="0" borderId="37" xfId="0" applyFont="1" applyBorder="1" applyAlignment="1">
      <alignment horizontal="right"/>
    </xf>
    <xf numFmtId="2" fontId="6" fillId="2" borderId="38" xfId="0" applyNumberFormat="1" applyFont="1" applyFill="1" applyBorder="1"/>
    <xf numFmtId="168" fontId="7" fillId="15" borderId="21" xfId="0" applyNumberFormat="1" applyFont="1" applyFill="1" applyBorder="1" applyAlignment="1">
      <alignment horizontal="center"/>
    </xf>
    <xf numFmtId="0" fontId="6" fillId="4" borderId="24" xfId="0" applyFont="1" applyFill="1" applyBorder="1" applyAlignment="1">
      <alignment horizontal="left"/>
    </xf>
    <xf numFmtId="2" fontId="6" fillId="4" borderId="24" xfId="0" applyNumberFormat="1" applyFont="1" applyFill="1" applyBorder="1" applyAlignment="1">
      <alignment horizontal="center"/>
    </xf>
    <xf numFmtId="3" fontId="6" fillId="4" borderId="24" xfId="0" applyNumberFormat="1" applyFont="1" applyFill="1" applyBorder="1" applyAlignment="1">
      <alignment horizontal="center"/>
    </xf>
    <xf numFmtId="172" fontId="6" fillId="4" borderId="24" xfId="8" applyNumberFormat="1" applyFont="1" applyFill="1" applyBorder="1" applyAlignment="1">
      <alignment horizontal="right"/>
    </xf>
    <xf numFmtId="2" fontId="6" fillId="0" borderId="1" xfId="0" applyNumberFormat="1" applyFont="1" applyFill="1" applyBorder="1" applyAlignment="1">
      <alignment horizontal="center"/>
    </xf>
    <xf numFmtId="172" fontId="6" fillId="0" borderId="1" xfId="8" applyNumberFormat="1" applyFont="1" applyFill="1" applyBorder="1" applyAlignment="1">
      <alignment horizontal="right"/>
    </xf>
    <xf numFmtId="0" fontId="6" fillId="0" borderId="1" xfId="0" applyFont="1" applyBorder="1" applyAlignment="1">
      <alignment horizontal="center"/>
    </xf>
    <xf numFmtId="3" fontId="6" fillId="0" borderId="1" xfId="0" applyNumberFormat="1" applyFont="1" applyBorder="1" applyAlignment="1">
      <alignment horizontal="center"/>
    </xf>
    <xf numFmtId="0" fontId="6" fillId="0" borderId="39" xfId="0" applyFont="1" applyBorder="1" applyAlignment="1">
      <alignment horizontal="left"/>
    </xf>
    <xf numFmtId="0" fontId="6" fillId="0" borderId="40" xfId="0" applyFont="1" applyFill="1" applyBorder="1" applyAlignment="1">
      <alignment horizontal="left"/>
    </xf>
    <xf numFmtId="2" fontId="6" fillId="0" borderId="41" xfId="0" applyNumberFormat="1" applyFont="1" applyFill="1" applyBorder="1" applyAlignment="1">
      <alignment horizontal="center"/>
    </xf>
    <xf numFmtId="0" fontId="6" fillId="0" borderId="41" xfId="0" applyFont="1" applyFill="1" applyBorder="1" applyAlignment="1">
      <alignment horizontal="center"/>
    </xf>
    <xf numFmtId="3" fontId="6" fillId="0" borderId="41" xfId="0" applyNumberFormat="1" applyFont="1" applyFill="1" applyBorder="1" applyAlignment="1">
      <alignment horizontal="center"/>
    </xf>
    <xf numFmtId="172" fontId="6" fillId="0" borderId="41" xfId="8" applyNumberFormat="1" applyFont="1" applyFill="1" applyBorder="1" applyAlignment="1">
      <alignment horizontal="right"/>
    </xf>
    <xf numFmtId="1" fontId="6" fillId="2" borderId="31" xfId="18" applyNumberFormat="1" applyFont="1" applyFill="1" applyBorder="1" applyAlignment="1">
      <alignment horizontal="center"/>
    </xf>
    <xf numFmtId="0" fontId="5" fillId="0" borderId="1" xfId="0" applyFont="1" applyBorder="1" applyAlignment="1">
      <alignment horizontal="left"/>
    </xf>
    <xf numFmtId="172" fontId="6" fillId="0" borderId="1" xfId="0" applyNumberFormat="1" applyFont="1" applyBorder="1" applyAlignment="1">
      <alignment horizontal="right"/>
    </xf>
    <xf numFmtId="0" fontId="5" fillId="0" borderId="41" xfId="0" applyFont="1" applyBorder="1" applyAlignment="1">
      <alignment horizontal="left"/>
    </xf>
    <xf numFmtId="2" fontId="6" fillId="0" borderId="41" xfId="0" applyNumberFormat="1" applyFont="1" applyBorder="1" applyAlignment="1">
      <alignment horizontal="center"/>
    </xf>
    <xf numFmtId="172" fontId="6" fillId="0" borderId="41" xfId="8" applyNumberFormat="1" applyFont="1" applyBorder="1" applyAlignment="1">
      <alignment horizontal="right"/>
    </xf>
    <xf numFmtId="1" fontId="6" fillId="0" borderId="24" xfId="18" applyNumberFormat="1" applyFont="1" applyFill="1" applyBorder="1" applyAlignment="1">
      <alignment horizontal="center"/>
    </xf>
    <xf numFmtId="1" fontId="6" fillId="0" borderId="31" xfId="18" applyNumberFormat="1" applyFont="1" applyFill="1" applyBorder="1" applyAlignment="1">
      <alignment horizontal="center"/>
    </xf>
    <xf numFmtId="2" fontId="6" fillId="0" borderId="42" xfId="0" applyNumberFormat="1" applyFont="1" applyFill="1" applyBorder="1" applyAlignment="1">
      <alignment horizontal="center"/>
    </xf>
    <xf numFmtId="172" fontId="6" fillId="4" borderId="24" xfId="0" applyNumberFormat="1" applyFont="1" applyFill="1" applyBorder="1" applyAlignment="1">
      <alignment horizontal="right"/>
    </xf>
    <xf numFmtId="173" fontId="6" fillId="4" borderId="24" xfId="0" applyNumberFormat="1" applyFont="1" applyFill="1" applyBorder="1" applyAlignment="1">
      <alignment horizontal="right"/>
    </xf>
    <xf numFmtId="2" fontId="6" fillId="0" borderId="43" xfId="0" applyNumberFormat="1" applyFont="1" applyFill="1" applyBorder="1" applyAlignment="1">
      <alignment horizontal="center"/>
    </xf>
    <xf numFmtId="0" fontId="6" fillId="0" borderId="0" xfId="0" applyFont="1" applyAlignment="1">
      <alignment horizontal="left" wrapText="1"/>
    </xf>
    <xf numFmtId="0" fontId="6" fillId="0" borderId="0" xfId="0" applyFont="1" applyAlignment="1">
      <alignment horizontal="right" wrapText="1"/>
    </xf>
    <xf numFmtId="174" fontId="7" fillId="15" borderId="21" xfId="0" applyNumberFormat="1" applyFont="1" applyFill="1" applyBorder="1" applyAlignment="1">
      <alignment horizontal="right"/>
    </xf>
    <xf numFmtId="0" fontId="7" fillId="4" borderId="28" xfId="0" applyFont="1" applyFill="1" applyBorder="1" applyAlignment="1">
      <alignment horizontal="left" wrapText="1" indent="1" shrinkToFit="1"/>
    </xf>
    <xf numFmtId="2" fontId="7" fillId="4" borderId="23" xfId="0" applyNumberFormat="1" applyFont="1" applyFill="1" applyBorder="1" applyAlignment="1">
      <alignment horizontal="center"/>
    </xf>
    <xf numFmtId="0" fontId="7" fillId="4" borderId="21" xfId="0" applyFont="1" applyFill="1" applyBorder="1" applyAlignment="1">
      <alignment horizontal="center"/>
    </xf>
    <xf numFmtId="1" fontId="7" fillId="4" borderId="21" xfId="0" applyNumberFormat="1" applyFont="1" applyFill="1" applyBorder="1" applyAlignment="1">
      <alignment horizontal="center"/>
    </xf>
    <xf numFmtId="172" fontId="7" fillId="4" borderId="21" xfId="8" applyNumberFormat="1" applyFont="1" applyFill="1" applyBorder="1" applyAlignment="1">
      <alignment horizontal="right"/>
    </xf>
    <xf numFmtId="172" fontId="7" fillId="4" borderId="21" xfId="0" applyNumberFormat="1" applyFont="1" applyFill="1" applyBorder="1" applyAlignment="1">
      <alignment horizontal="right"/>
    </xf>
    <xf numFmtId="173" fontId="7" fillId="4" borderId="22" xfId="0" applyNumberFormat="1" applyFont="1" applyFill="1" applyBorder="1" applyAlignment="1">
      <alignment horizontal="right"/>
    </xf>
    <xf numFmtId="1" fontId="6" fillId="0" borderId="28" xfId="18" applyNumberFormat="1" applyFont="1" applyFill="1" applyBorder="1" applyAlignment="1">
      <alignment horizontal="center"/>
    </xf>
    <xf numFmtId="1" fontId="7" fillId="4" borderId="23" xfId="0" applyNumberFormat="1" applyFont="1" applyFill="1" applyBorder="1" applyAlignment="1">
      <alignment horizontal="center"/>
    </xf>
    <xf numFmtId="173" fontId="7" fillId="4" borderId="21" xfId="0" applyNumberFormat="1" applyFont="1" applyFill="1" applyBorder="1" applyAlignment="1">
      <alignment horizontal="right"/>
    </xf>
    <xf numFmtId="2" fontId="6" fillId="2" borderId="44" xfId="0" applyNumberFormat="1" applyFont="1" applyFill="1" applyBorder="1"/>
    <xf numFmtId="2" fontId="6" fillId="2" borderId="45" xfId="0" applyNumberFormat="1" applyFont="1" applyFill="1" applyBorder="1"/>
    <xf numFmtId="0" fontId="11" fillId="4" borderId="46" xfId="0" applyFont="1" applyFill="1" applyBorder="1"/>
    <xf numFmtId="0" fontId="6" fillId="4" borderId="47" xfId="0" applyFont="1" applyFill="1" applyBorder="1"/>
    <xf numFmtId="0" fontId="6" fillId="2" borderId="48" xfId="0" applyFont="1" applyFill="1" applyBorder="1"/>
    <xf numFmtId="0" fontId="6" fillId="4" borderId="49" xfId="0" applyFont="1" applyFill="1" applyBorder="1"/>
    <xf numFmtId="0" fontId="11" fillId="15" borderId="46" xfId="0" applyFont="1" applyFill="1" applyBorder="1"/>
    <xf numFmtId="0" fontId="6" fillId="15" borderId="47" xfId="0" applyFont="1" applyFill="1" applyBorder="1"/>
    <xf numFmtId="0" fontId="6" fillId="15" borderId="49" xfId="0" applyFont="1" applyFill="1" applyBorder="1"/>
    <xf numFmtId="0" fontId="11" fillId="5" borderId="32" xfId="0" applyFont="1" applyFill="1" applyBorder="1"/>
    <xf numFmtId="0" fontId="6" fillId="5" borderId="13" xfId="0" applyFont="1" applyFill="1" applyBorder="1"/>
    <xf numFmtId="0" fontId="6" fillId="5" borderId="27" xfId="0" applyFont="1" applyFill="1" applyBorder="1"/>
    <xf numFmtId="0" fontId="11" fillId="5" borderId="12" xfId="0" applyFont="1" applyFill="1" applyBorder="1"/>
    <xf numFmtId="0" fontId="6" fillId="5" borderId="21" xfId="0" applyFont="1" applyFill="1" applyBorder="1" applyAlignment="1">
      <alignment horizontal="left" wrapText="1" indent="1" shrinkToFit="1"/>
    </xf>
    <xf numFmtId="3" fontId="6" fillId="5" borderId="21" xfId="0" applyNumberFormat="1" applyFont="1" applyFill="1" applyBorder="1" applyAlignment="1">
      <alignment horizontal="center"/>
    </xf>
    <xf numFmtId="172" fontId="6" fillId="5" borderId="21" xfId="0" applyNumberFormat="1" applyFont="1" applyFill="1" applyBorder="1" applyAlignment="1">
      <alignment horizontal="right"/>
    </xf>
    <xf numFmtId="173" fontId="6" fillId="5" borderId="21" xfId="0" applyNumberFormat="1" applyFont="1" applyFill="1" applyBorder="1" applyAlignment="1">
      <alignment horizontal="right"/>
    </xf>
    <xf numFmtId="172" fontId="6" fillId="5" borderId="21" xfId="8" applyNumberFormat="1" applyFont="1" applyFill="1" applyBorder="1" applyAlignment="1">
      <alignment horizontal="right"/>
    </xf>
    <xf numFmtId="0" fontId="6" fillId="5" borderId="24" xfId="0" applyFont="1" applyFill="1" applyBorder="1" applyAlignment="1">
      <alignment horizontal="left"/>
    </xf>
    <xf numFmtId="2" fontId="6" fillId="5" borderId="24" xfId="0" applyNumberFormat="1" applyFont="1" applyFill="1" applyBorder="1" applyAlignment="1">
      <alignment horizontal="center"/>
    </xf>
    <xf numFmtId="0" fontId="6" fillId="5" borderId="24" xfId="0" applyFont="1" applyFill="1" applyBorder="1" applyAlignment="1">
      <alignment horizontal="center"/>
    </xf>
    <xf numFmtId="3" fontId="6" fillId="5" borderId="24" xfId="0" applyNumberFormat="1" applyFont="1" applyFill="1" applyBorder="1" applyAlignment="1">
      <alignment horizontal="center"/>
    </xf>
    <xf numFmtId="172" fontId="6" fillId="5" borderId="24" xfId="8" applyNumberFormat="1" applyFont="1" applyFill="1" applyBorder="1" applyAlignment="1">
      <alignment horizontal="right"/>
    </xf>
    <xf numFmtId="172" fontId="6" fillId="5" borderId="24" xfId="0" applyNumberFormat="1" applyFont="1" applyFill="1" applyBorder="1" applyAlignment="1">
      <alignment horizontal="right"/>
    </xf>
    <xf numFmtId="0" fontId="7" fillId="5" borderId="0" xfId="0" applyFont="1" applyFill="1" applyBorder="1" applyAlignment="1">
      <alignment horizontal="left" wrapText="1" indent="1" shrinkToFit="1"/>
    </xf>
    <xf numFmtId="2" fontId="7" fillId="5" borderId="0" xfId="0" applyNumberFormat="1" applyFont="1" applyFill="1" applyAlignment="1">
      <alignment horizontal="center"/>
    </xf>
    <xf numFmtId="172" fontId="7" fillId="5" borderId="0" xfId="8" applyNumberFormat="1" applyFont="1" applyFill="1" applyAlignment="1">
      <alignment horizontal="right"/>
    </xf>
    <xf numFmtId="173" fontId="7" fillId="5" borderId="0" xfId="0" applyNumberFormat="1" applyFont="1" applyFill="1" applyAlignment="1">
      <alignment horizontal="right"/>
    </xf>
    <xf numFmtId="0" fontId="7" fillId="5" borderId="21" xfId="0" applyFont="1" applyFill="1" applyBorder="1" applyAlignment="1">
      <alignment horizontal="center"/>
    </xf>
    <xf numFmtId="169" fontId="7" fillId="5" borderId="0" xfId="0" applyNumberFormat="1" applyFont="1" applyFill="1" applyAlignment="1">
      <alignment horizontal="center"/>
    </xf>
    <xf numFmtId="2" fontId="7" fillId="5" borderId="21" xfId="0" applyNumberFormat="1" applyFont="1" applyFill="1" applyBorder="1" applyAlignment="1">
      <alignment horizontal="center"/>
    </xf>
    <xf numFmtId="168" fontId="7" fillId="5" borderId="21" xfId="0" applyNumberFormat="1" applyFont="1" applyFill="1" applyBorder="1" applyAlignment="1">
      <alignment horizontal="center"/>
    </xf>
    <xf numFmtId="1" fontId="7" fillId="5" borderId="21" xfId="0" applyNumberFormat="1" applyFont="1" applyFill="1" applyBorder="1" applyAlignment="1">
      <alignment horizontal="center"/>
    </xf>
    <xf numFmtId="172" fontId="6" fillId="5" borderId="22" xfId="8" applyNumberFormat="1" applyFont="1" applyFill="1" applyBorder="1" applyAlignment="1">
      <alignment horizontal="right"/>
    </xf>
    <xf numFmtId="173" fontId="6" fillId="5" borderId="23" xfId="0" applyNumberFormat="1" applyFont="1" applyFill="1" applyBorder="1" applyAlignment="1">
      <alignment horizontal="right"/>
    </xf>
    <xf numFmtId="172" fontId="7" fillId="5" borderId="21" xfId="0" applyNumberFormat="1" applyFont="1" applyFill="1" applyBorder="1" applyAlignment="1">
      <alignment horizontal="right"/>
    </xf>
    <xf numFmtId="0" fontId="7" fillId="5" borderId="28" xfId="0" applyFont="1" applyFill="1" applyBorder="1" applyAlignment="1">
      <alignment horizontal="left" wrapText="1" indent="1" shrinkToFit="1"/>
    </xf>
    <xf numFmtId="2" fontId="7" fillId="5" borderId="23" xfId="0" applyNumberFormat="1" applyFont="1" applyFill="1" applyBorder="1" applyAlignment="1">
      <alignment horizontal="center"/>
    </xf>
    <xf numFmtId="172" fontId="7" fillId="5" borderId="21" xfId="8" applyNumberFormat="1" applyFont="1" applyFill="1" applyBorder="1" applyAlignment="1">
      <alignment horizontal="right"/>
    </xf>
    <xf numFmtId="173" fontId="7" fillId="5" borderId="22" xfId="0" applyNumberFormat="1" applyFont="1" applyFill="1" applyBorder="1" applyAlignment="1">
      <alignment horizontal="right"/>
    </xf>
    <xf numFmtId="172" fontId="6" fillId="0" borderId="41" xfId="0" applyNumberFormat="1" applyFont="1" applyFill="1" applyBorder="1" applyAlignment="1">
      <alignment horizontal="right"/>
    </xf>
    <xf numFmtId="1" fontId="6" fillId="2" borderId="24" xfId="18" applyNumberFormat="1" applyFont="1" applyFill="1" applyBorder="1" applyAlignment="1">
      <alignment horizontal="center"/>
    </xf>
    <xf numFmtId="0" fontId="7" fillId="5" borderId="21" xfId="0" applyFont="1" applyFill="1" applyBorder="1" applyAlignment="1">
      <alignment horizontal="left" wrapText="1" indent="1" shrinkToFit="1"/>
    </xf>
    <xf numFmtId="174" fontId="7" fillId="5" borderId="21" xfId="0" applyNumberFormat="1" applyFont="1" applyFill="1" applyBorder="1" applyAlignment="1">
      <alignment horizontal="right"/>
    </xf>
    <xf numFmtId="169" fontId="7" fillId="5" borderId="21" xfId="0" applyNumberFormat="1" applyFont="1" applyFill="1" applyBorder="1" applyAlignment="1">
      <alignment horizontal="center"/>
    </xf>
    <xf numFmtId="0" fontId="7" fillId="9" borderId="0" xfId="0" applyFont="1" applyFill="1" applyBorder="1" applyAlignment="1">
      <alignment horizontal="left" wrapText="1" indent="1" shrinkToFit="1"/>
    </xf>
    <xf numFmtId="2" fontId="7" fillId="9" borderId="0" xfId="0" applyNumberFormat="1" applyFont="1" applyFill="1" applyAlignment="1">
      <alignment horizontal="center"/>
    </xf>
    <xf numFmtId="0" fontId="7" fillId="9" borderId="21" xfId="0" applyFont="1" applyFill="1" applyBorder="1" applyAlignment="1">
      <alignment horizontal="center"/>
    </xf>
    <xf numFmtId="172" fontId="7" fillId="9" borderId="0" xfId="8" applyNumberFormat="1" applyFont="1" applyFill="1" applyAlignment="1">
      <alignment horizontal="right"/>
    </xf>
    <xf numFmtId="172" fontId="7" fillId="9" borderId="21" xfId="0" applyNumberFormat="1" applyFont="1" applyFill="1" applyBorder="1" applyAlignment="1">
      <alignment horizontal="right"/>
    </xf>
    <xf numFmtId="173" fontId="7" fillId="9" borderId="21" xfId="0" applyNumberFormat="1" applyFont="1" applyFill="1" applyBorder="1" applyAlignment="1">
      <alignment horizontal="right"/>
    </xf>
    <xf numFmtId="169" fontId="7" fillId="9" borderId="0" xfId="0" applyNumberFormat="1" applyFont="1" applyFill="1" applyAlignment="1">
      <alignment horizontal="center"/>
    </xf>
    <xf numFmtId="1" fontId="7" fillId="9" borderId="21" xfId="0" applyNumberFormat="1" applyFont="1" applyFill="1" applyBorder="1" applyAlignment="1">
      <alignment horizontal="center"/>
    </xf>
    <xf numFmtId="1" fontId="7" fillId="9" borderId="0" xfId="0" applyNumberFormat="1" applyFont="1" applyFill="1" applyAlignment="1">
      <alignment horizontal="center"/>
    </xf>
    <xf numFmtId="9" fontId="4" fillId="0" borderId="50" xfId="28" applyFont="1" applyFill="1" applyBorder="1" applyAlignment="1">
      <alignment horizontal="center"/>
    </xf>
    <xf numFmtId="3" fontId="6" fillId="0" borderId="21" xfId="0" applyNumberFormat="1" applyFont="1" applyFill="1" applyBorder="1"/>
    <xf numFmtId="2" fontId="6" fillId="0" borderId="0" xfId="0" applyNumberFormat="1" applyFont="1" applyAlignment="1">
      <alignment horizontal="left"/>
    </xf>
    <xf numFmtId="2" fontId="7" fillId="0" borderId="0" xfId="0" applyNumberFormat="1" applyFont="1" applyFill="1" applyAlignment="1">
      <alignment horizontal="right"/>
    </xf>
    <xf numFmtId="9" fontId="4" fillId="0" borderId="0" xfId="28" applyFont="1" applyFill="1" applyBorder="1" applyAlignment="1">
      <alignment horizontal="center"/>
    </xf>
    <xf numFmtId="164" fontId="6" fillId="2" borderId="17" xfId="0" applyNumberFormat="1" applyFont="1" applyFill="1" applyBorder="1" applyAlignment="1">
      <alignment horizontal="right"/>
    </xf>
    <xf numFmtId="169" fontId="7" fillId="0" borderId="0" xfId="0" applyNumberFormat="1" applyFont="1" applyFill="1" applyAlignment="1">
      <alignment horizontal="center"/>
    </xf>
    <xf numFmtId="3" fontId="6" fillId="0" borderId="0" xfId="0" applyNumberFormat="1" applyFont="1"/>
    <xf numFmtId="3" fontId="5" fillId="0" borderId="0" xfId="0" applyNumberFormat="1" applyFont="1"/>
    <xf numFmtId="1" fontId="5" fillId="0" borderId="0" xfId="0" applyNumberFormat="1" applyFont="1"/>
    <xf numFmtId="3" fontId="6" fillId="0" borderId="2" xfId="0" applyNumberFormat="1" applyFont="1" applyBorder="1"/>
    <xf numFmtId="3" fontId="6" fillId="0" borderId="0" xfId="0" applyNumberFormat="1" applyFont="1" applyAlignment="1">
      <alignment horizontal="right"/>
    </xf>
    <xf numFmtId="165" fontId="6" fillId="0" borderId="0" xfId="0" applyNumberFormat="1" applyFont="1" applyAlignment="1">
      <alignment horizontal="center"/>
    </xf>
    <xf numFmtId="173" fontId="6" fillId="6" borderId="23" xfId="8" applyNumberFormat="1" applyFont="1" applyFill="1" applyBorder="1" applyAlignment="1">
      <alignment horizontal="right"/>
    </xf>
    <xf numFmtId="0" fontId="11" fillId="0" borderId="0" xfId="0" applyFont="1" applyAlignment="1">
      <alignment horizontal="center" wrapText="1"/>
    </xf>
    <xf numFmtId="2" fontId="6" fillId="6" borderId="21" xfId="0" applyNumberFormat="1" applyFont="1" applyFill="1" applyBorder="1" applyAlignment="1">
      <alignment horizontal="center"/>
    </xf>
    <xf numFmtId="7" fontId="5" fillId="6" borderId="6" xfId="8" applyNumberFormat="1" applyFont="1" applyFill="1" applyBorder="1"/>
    <xf numFmtId="2" fontId="7" fillId="6" borderId="21" xfId="0" applyNumberFormat="1" applyFont="1" applyFill="1" applyBorder="1" applyAlignment="1">
      <alignment horizontal="center" wrapText="1" shrinkToFit="1"/>
    </xf>
    <xf numFmtId="165" fontId="4" fillId="0" borderId="2" xfId="2" applyNumberFormat="1" applyFont="1" applyBorder="1" applyAlignment="1">
      <alignment horizontal="center" wrapText="1" shrinkToFit="1"/>
    </xf>
    <xf numFmtId="9" fontId="6" fillId="2" borderId="21" xfId="23" applyFont="1" applyFill="1" applyBorder="1" applyAlignment="1">
      <alignment horizontal="center"/>
    </xf>
    <xf numFmtId="164" fontId="6" fillId="2" borderId="21" xfId="23" applyNumberFormat="1" applyFont="1" applyFill="1" applyBorder="1" applyAlignment="1">
      <alignment horizontal="center"/>
    </xf>
    <xf numFmtId="173" fontId="6" fillId="2" borderId="21" xfId="9" applyNumberFormat="1" applyFont="1" applyFill="1" applyBorder="1" applyAlignment="1">
      <alignment horizontal="right"/>
    </xf>
    <xf numFmtId="173" fontId="6" fillId="2" borderId="22" xfId="9" applyNumberFormat="1" applyFont="1" applyFill="1" applyBorder="1" applyAlignment="1">
      <alignment horizontal="right"/>
    </xf>
    <xf numFmtId="173" fontId="15" fillId="4" borderId="28" xfId="8" applyNumberFormat="1" applyFont="1" applyFill="1" applyBorder="1" applyAlignment="1">
      <alignment horizontal="right"/>
    </xf>
    <xf numFmtId="172" fontId="6" fillId="0" borderId="0" xfId="9" applyNumberFormat="1" applyFont="1" applyFill="1" applyAlignment="1">
      <alignment horizontal="right"/>
    </xf>
    <xf numFmtId="1" fontId="6" fillId="2" borderId="21" xfId="18" applyNumberFormat="1" applyFont="1" applyFill="1" applyBorder="1" applyAlignment="1">
      <alignment horizontal="right"/>
    </xf>
    <xf numFmtId="3" fontId="6" fillId="0" borderId="21" xfId="18" applyNumberFormat="1" applyFont="1" applyFill="1" applyBorder="1" applyAlignment="1">
      <alignment horizontal="right"/>
    </xf>
    <xf numFmtId="168" fontId="6" fillId="2" borderId="21" xfId="18" applyNumberFormat="1" applyFont="1" applyFill="1" applyBorder="1" applyAlignment="1">
      <alignment horizontal="right"/>
    </xf>
    <xf numFmtId="43" fontId="6" fillId="0" borderId="0" xfId="0" applyNumberFormat="1" applyFont="1"/>
    <xf numFmtId="166" fontId="4" fillId="0" borderId="0" xfId="2" applyNumberFormat="1" applyFont="1" applyAlignment="1">
      <alignment horizontal="right"/>
    </xf>
    <xf numFmtId="172" fontId="6" fillId="21" borderId="21" xfId="0" applyNumberFormat="1" applyFont="1" applyFill="1" applyBorder="1" applyAlignment="1">
      <alignment horizontal="right"/>
    </xf>
    <xf numFmtId="173" fontId="6" fillId="21" borderId="21" xfId="8" applyNumberFormat="1" applyFont="1" applyFill="1" applyBorder="1"/>
    <xf numFmtId="0" fontId="6" fillId="21" borderId="21" xfId="8" applyNumberFormat="1" applyFont="1" applyFill="1" applyBorder="1"/>
    <xf numFmtId="165" fontId="6" fillId="21" borderId="21" xfId="1" applyNumberFormat="1" applyFont="1" applyFill="1" applyBorder="1"/>
    <xf numFmtId="7" fontId="6" fillId="21" borderId="21" xfId="8" applyNumberFormat="1" applyFont="1" applyFill="1" applyBorder="1"/>
    <xf numFmtId="174" fontId="6" fillId="21" borderId="21" xfId="0" applyNumberFormat="1" applyFont="1" applyFill="1" applyBorder="1"/>
    <xf numFmtId="0" fontId="6" fillId="21" borderId="51" xfId="0" applyFont="1" applyFill="1" applyBorder="1" applyAlignment="1">
      <alignment horizontal="right"/>
    </xf>
    <xf numFmtId="0" fontId="6" fillId="21" borderId="53" xfId="0" applyFont="1" applyFill="1" applyBorder="1" applyAlignment="1">
      <alignment horizontal="right"/>
    </xf>
    <xf numFmtId="172" fontId="6" fillId="21" borderId="21" xfId="0" applyNumberFormat="1" applyFont="1" applyFill="1" applyBorder="1"/>
    <xf numFmtId="168" fontId="6" fillId="0" borderId="21" xfId="0" applyNumberFormat="1" applyFont="1" applyFill="1" applyBorder="1"/>
    <xf numFmtId="2" fontId="6" fillId="0" borderId="21" xfId="0" applyNumberFormat="1" applyFont="1" applyFill="1" applyBorder="1"/>
    <xf numFmtId="37" fontId="6" fillId="0" borderId="21" xfId="1" applyNumberFormat="1" applyFont="1" applyFill="1" applyBorder="1"/>
    <xf numFmtId="172" fontId="6" fillId="0" borderId="21" xfId="0" applyNumberFormat="1" applyFont="1" applyFill="1" applyBorder="1"/>
    <xf numFmtId="7" fontId="6" fillId="0" borderId="21" xfId="8" applyNumberFormat="1" applyFont="1" applyFill="1" applyBorder="1"/>
    <xf numFmtId="164" fontId="6" fillId="21" borderId="15" xfId="0" applyNumberFormat="1" applyFont="1" applyFill="1" applyBorder="1"/>
    <xf numFmtId="166" fontId="6" fillId="0" borderId="21" xfId="1" applyNumberFormat="1" applyFont="1" applyFill="1" applyBorder="1"/>
    <xf numFmtId="0" fontId="6" fillId="21" borderId="21" xfId="0" applyFont="1" applyFill="1" applyBorder="1" applyAlignment="1">
      <alignment horizontal="center"/>
    </xf>
    <xf numFmtId="169" fontId="6" fillId="21" borderId="21" xfId="0" applyNumberFormat="1" applyFont="1" applyFill="1" applyBorder="1" applyAlignment="1">
      <alignment horizontal="center"/>
    </xf>
    <xf numFmtId="0" fontId="6" fillId="0" borderId="0" xfId="0" applyFont="1" applyFill="1" applyAlignment="1">
      <alignment horizontal="left"/>
    </xf>
    <xf numFmtId="165" fontId="6" fillId="0" borderId="21" xfId="1" applyNumberFormat="1" applyFont="1" applyFill="1" applyBorder="1"/>
    <xf numFmtId="176" fontId="6" fillId="0" borderId="21" xfId="8" applyNumberFormat="1" applyFont="1" applyFill="1" applyBorder="1"/>
    <xf numFmtId="0" fontId="6" fillId="21" borderId="0" xfId="0" applyFont="1" applyFill="1" applyBorder="1" applyAlignment="1">
      <alignment horizontal="left" wrapText="1" indent="1" shrinkToFit="1"/>
    </xf>
    <xf numFmtId="0" fontId="6" fillId="21" borderId="0" xfId="0" applyFont="1" applyFill="1" applyAlignment="1">
      <alignment horizontal="left"/>
    </xf>
    <xf numFmtId="0" fontId="6" fillId="21" borderId="0" xfId="0" applyFont="1" applyFill="1"/>
    <xf numFmtId="2" fontId="6" fillId="21" borderId="21" xfId="0" applyNumberFormat="1" applyFont="1" applyFill="1" applyBorder="1" applyAlignment="1">
      <alignment horizontal="center"/>
    </xf>
    <xf numFmtId="172" fontId="6" fillId="21" borderId="21" xfId="8" applyNumberFormat="1" applyFont="1" applyFill="1" applyBorder="1" applyAlignment="1">
      <alignment horizontal="right"/>
    </xf>
    <xf numFmtId="1" fontId="6" fillId="21" borderId="21" xfId="18" applyNumberFormat="1" applyFont="1" applyFill="1" applyBorder="1" applyAlignment="1">
      <alignment horizontal="center"/>
    </xf>
    <xf numFmtId="1" fontId="6" fillId="21" borderId="21" xfId="0" applyNumberFormat="1" applyFont="1" applyFill="1" applyBorder="1" applyAlignment="1">
      <alignment horizontal="center"/>
    </xf>
    <xf numFmtId="169" fontId="6" fillId="0" borderId="0" xfId="0" applyNumberFormat="1" applyFont="1" applyFill="1" applyAlignment="1">
      <alignment horizontal="center"/>
    </xf>
    <xf numFmtId="3" fontId="6" fillId="0" borderId="2" xfId="1" applyNumberFormat="1" applyFont="1" applyBorder="1" applyAlignment="1">
      <alignment horizontal="center" wrapText="1" shrinkToFit="1"/>
    </xf>
    <xf numFmtId="3" fontId="7" fillId="0" borderId="0" xfId="0" applyNumberFormat="1" applyFont="1" applyFill="1" applyAlignment="1">
      <alignment horizontal="center"/>
    </xf>
    <xf numFmtId="3" fontId="6" fillId="0" borderId="0" xfId="0" applyNumberFormat="1" applyFont="1" applyAlignment="1">
      <alignment horizontal="center" wrapText="1"/>
    </xf>
    <xf numFmtId="169" fontId="6" fillId="0" borderId="0" xfId="0" applyNumberFormat="1" applyFont="1" applyFill="1" applyBorder="1" applyAlignment="1">
      <alignment horizontal="center"/>
    </xf>
    <xf numFmtId="0" fontId="23" fillId="23" borderId="10" xfId="0" applyFont="1" applyFill="1" applyBorder="1"/>
    <xf numFmtId="9" fontId="23" fillId="23" borderId="11" xfId="21" applyFont="1" applyFill="1" applyBorder="1"/>
    <xf numFmtId="0" fontId="23" fillId="22" borderId="10" xfId="0" applyFont="1" applyFill="1" applyBorder="1"/>
    <xf numFmtId="9" fontId="23" fillId="22" borderId="11" xfId="21" applyFont="1" applyFill="1" applyBorder="1"/>
    <xf numFmtId="0" fontId="14" fillId="22" borderId="3" xfId="0" applyFont="1" applyFill="1" applyBorder="1" applyAlignment="1">
      <alignment horizontal="right"/>
    </xf>
    <xf numFmtId="173" fontId="6" fillId="21" borderId="0" xfId="0" applyNumberFormat="1" applyFont="1" applyFill="1" applyBorder="1"/>
    <xf numFmtId="171" fontId="6" fillId="21" borderId="21" xfId="1" applyNumberFormat="1" applyFont="1" applyFill="1" applyBorder="1"/>
    <xf numFmtId="0" fontId="14" fillId="23" borderId="3" xfId="0" applyFont="1" applyFill="1" applyBorder="1" applyAlignment="1">
      <alignment horizontal="right"/>
    </xf>
    <xf numFmtId="3" fontId="6" fillId="2" borderId="12" xfId="0" applyNumberFormat="1" applyFont="1" applyFill="1" applyBorder="1"/>
    <xf numFmtId="3" fontId="6" fillId="2" borderId="14" xfId="0" applyNumberFormat="1" applyFont="1" applyFill="1" applyBorder="1"/>
    <xf numFmtId="0" fontId="6" fillId="24" borderId="10" xfId="0" applyFont="1" applyFill="1" applyBorder="1"/>
    <xf numFmtId="0" fontId="6" fillId="24" borderId="3" xfId="0" applyFont="1" applyFill="1" applyBorder="1" applyAlignment="1">
      <alignment horizontal="right"/>
    </xf>
    <xf numFmtId="9" fontId="6" fillId="24" borderId="11" xfId="21" applyFont="1" applyFill="1" applyBorder="1"/>
    <xf numFmtId="0" fontId="14" fillId="5" borderId="3" xfId="0" applyFont="1" applyFill="1" applyBorder="1" applyAlignment="1">
      <alignment horizontal="right"/>
    </xf>
    <xf numFmtId="0" fontId="6" fillId="0" borderId="0" xfId="0" applyFont="1" applyFill="1" applyBorder="1" applyAlignment="1">
      <alignment horizontal="left" wrapText="1" indent="1" shrinkToFit="1"/>
    </xf>
    <xf numFmtId="44" fontId="5" fillId="21" borderId="0" xfId="8" applyFont="1" applyFill="1"/>
    <xf numFmtId="0" fontId="7" fillId="21" borderId="0" xfId="0" applyFont="1" applyFill="1" applyBorder="1" applyAlignment="1">
      <alignment horizontal="left" wrapText="1" indent="1" shrinkToFit="1"/>
    </xf>
    <xf numFmtId="167" fontId="6" fillId="21" borderId="0" xfId="0" applyNumberFormat="1" applyFont="1" applyFill="1" applyBorder="1" applyAlignment="1">
      <alignment horizontal="right"/>
    </xf>
    <xf numFmtId="0" fontId="6" fillId="21" borderId="0" xfId="0" applyFont="1" applyFill="1" applyAlignment="1">
      <alignment horizontal="right"/>
    </xf>
    <xf numFmtId="9" fontId="12" fillId="21" borderId="0" xfId="21" applyFont="1" applyFill="1" applyAlignment="1">
      <alignment horizontal="left"/>
    </xf>
    <xf numFmtId="9" fontId="6" fillId="21" borderId="21" xfId="23" applyNumberFormat="1" applyFont="1" applyFill="1" applyBorder="1" applyAlignment="1">
      <alignment horizontal="center"/>
    </xf>
    <xf numFmtId="166" fontId="6" fillId="0" borderId="0" xfId="1" applyNumberFormat="1" applyFont="1" applyFill="1"/>
    <xf numFmtId="165" fontId="6" fillId="0" borderId="0" xfId="1" applyNumberFormat="1" applyFont="1" applyFill="1"/>
    <xf numFmtId="5" fontId="6" fillId="0" borderId="0" xfId="8" applyNumberFormat="1" applyFont="1" applyFill="1"/>
    <xf numFmtId="7" fontId="6" fillId="0" borderId="0" xfId="1" applyNumberFormat="1" applyFont="1" applyFill="1"/>
    <xf numFmtId="9" fontId="6" fillId="0" borderId="0" xfId="21" applyNumberFormat="1" applyFont="1" applyAlignment="1">
      <alignment horizontal="center"/>
    </xf>
    <xf numFmtId="173" fontId="6" fillId="0" borderId="21" xfId="0" applyNumberFormat="1" applyFont="1" applyFill="1" applyBorder="1" applyAlignment="1">
      <alignment horizontal="right"/>
    </xf>
    <xf numFmtId="168" fontId="6" fillId="0" borderId="21" xfId="18" applyNumberFormat="1" applyFont="1" applyFill="1" applyBorder="1" applyAlignment="1">
      <alignment horizontal="center"/>
    </xf>
    <xf numFmtId="0" fontId="4" fillId="21" borderId="0" xfId="0" applyFont="1" applyFill="1" applyAlignment="1">
      <alignment horizontal="left"/>
    </xf>
    <xf numFmtId="0" fontId="6" fillId="0" borderId="0" xfId="8" applyNumberFormat="1" applyFont="1" applyFill="1" applyBorder="1"/>
    <xf numFmtId="3" fontId="6" fillId="4" borderId="31" xfId="0" applyNumberFormat="1" applyFont="1" applyFill="1" applyBorder="1"/>
    <xf numFmtId="3" fontId="6" fillId="5" borderId="31" xfId="0" applyNumberFormat="1" applyFont="1" applyFill="1" applyBorder="1" applyAlignment="1">
      <alignment horizontal="right"/>
    </xf>
    <xf numFmtId="3" fontId="6" fillId="5" borderId="21" xfId="0" applyNumberFormat="1" applyFont="1" applyFill="1" applyBorder="1" applyAlignment="1">
      <alignment horizontal="right"/>
    </xf>
    <xf numFmtId="3" fontId="6" fillId="5" borderId="30" xfId="0" applyNumberFormat="1" applyFont="1" applyFill="1" applyBorder="1" applyAlignment="1">
      <alignment horizontal="right"/>
    </xf>
    <xf numFmtId="3" fontId="6" fillId="4" borderId="31" xfId="0" applyNumberFormat="1" applyFont="1" applyFill="1" applyBorder="1" applyAlignment="1">
      <alignment horizontal="right"/>
    </xf>
    <xf numFmtId="3" fontId="6" fillId="4" borderId="21" xfId="0" applyNumberFormat="1" applyFont="1" applyFill="1" applyBorder="1"/>
    <xf numFmtId="3" fontId="6" fillId="4" borderId="21" xfId="0" applyNumberFormat="1" applyFont="1" applyFill="1" applyBorder="1" applyAlignment="1">
      <alignment horizontal="right"/>
    </xf>
    <xf numFmtId="3" fontId="6" fillId="4" borderId="30" xfId="0" applyNumberFormat="1" applyFont="1" applyFill="1" applyBorder="1"/>
    <xf numFmtId="3" fontId="6" fillId="4" borderId="30" xfId="0" applyNumberFormat="1" applyFont="1" applyFill="1" applyBorder="1" applyAlignment="1">
      <alignment horizontal="right"/>
    </xf>
    <xf numFmtId="3" fontId="6" fillId="2" borderId="31" xfId="0" applyNumberFormat="1" applyFont="1" applyFill="1" applyBorder="1"/>
    <xf numFmtId="3" fontId="6" fillId="2" borderId="30" xfId="0" applyNumberFormat="1" applyFont="1" applyFill="1" applyBorder="1"/>
    <xf numFmtId="3" fontId="5" fillId="4" borderId="31" xfId="0" applyNumberFormat="1" applyFont="1" applyFill="1" applyBorder="1" applyAlignment="1">
      <alignment horizontal="right"/>
    </xf>
    <xf numFmtId="2" fontId="6" fillId="21" borderId="54" xfId="0" applyNumberFormat="1" applyFont="1" applyFill="1" applyBorder="1" applyAlignment="1">
      <alignment horizontal="center" wrapText="1"/>
    </xf>
    <xf numFmtId="2" fontId="6" fillId="21" borderId="54" xfId="0" applyNumberFormat="1" applyFont="1" applyFill="1" applyBorder="1" applyAlignment="1">
      <alignment horizontal="center"/>
    </xf>
    <xf numFmtId="173" fontId="6" fillId="21" borderId="54" xfId="8" applyNumberFormat="1" applyFont="1" applyFill="1" applyBorder="1" applyAlignment="1">
      <alignment horizontal="right"/>
    </xf>
    <xf numFmtId="9" fontId="6" fillId="21" borderId="54" xfId="23" applyFont="1" applyFill="1" applyBorder="1" applyAlignment="1">
      <alignment horizontal="center"/>
    </xf>
    <xf numFmtId="0" fontId="11" fillId="0" borderId="0" xfId="0" applyFont="1" applyAlignment="1">
      <alignment horizontal="right" wrapText="1"/>
    </xf>
    <xf numFmtId="167" fontId="29" fillId="0" borderId="3" xfId="8" applyNumberFormat="1" applyFont="1" applyBorder="1" applyAlignment="1">
      <alignment horizontal="right"/>
    </xf>
    <xf numFmtId="0" fontId="29" fillId="0" borderId="3" xfId="0" applyFont="1" applyBorder="1" applyAlignment="1">
      <alignment horizontal="right"/>
    </xf>
    <xf numFmtId="0" fontId="29" fillId="0" borderId="0" xfId="0" applyFont="1"/>
    <xf numFmtId="37" fontId="29" fillId="0" borderId="0" xfId="1" applyNumberFormat="1" applyFont="1" applyBorder="1" applyAlignment="1">
      <alignment horizontal="right"/>
    </xf>
    <xf numFmtId="167" fontId="29" fillId="0" borderId="0" xfId="8" applyNumberFormat="1" applyFont="1" applyBorder="1" applyAlignment="1">
      <alignment horizontal="right"/>
    </xf>
    <xf numFmtId="167" fontId="29" fillId="0" borderId="0" xfId="8" applyNumberFormat="1" applyFont="1" applyAlignment="1">
      <alignment horizontal="right"/>
    </xf>
    <xf numFmtId="0" fontId="29" fillId="0" borderId="0" xfId="0" applyFont="1" applyAlignment="1">
      <alignment horizontal="right"/>
    </xf>
    <xf numFmtId="7" fontId="29" fillId="0" borderId="0" xfId="8" applyNumberFormat="1" applyFont="1" applyBorder="1" applyAlignment="1">
      <alignment horizontal="right"/>
    </xf>
    <xf numFmtId="5" fontId="29" fillId="0" borderId="0" xfId="1" applyNumberFormat="1" applyFont="1" applyBorder="1" applyAlignment="1">
      <alignment horizontal="right"/>
    </xf>
    <xf numFmtId="167" fontId="30" fillId="0" borderId="0" xfId="8" applyNumberFormat="1" applyFont="1" applyAlignment="1">
      <alignment horizontal="center"/>
    </xf>
    <xf numFmtId="167" fontId="30" fillId="0" borderId="0" xfId="8" applyNumberFormat="1" applyFont="1" applyAlignment="1">
      <alignment horizontal="right"/>
    </xf>
    <xf numFmtId="0" fontId="31" fillId="0" borderId="0" xfId="0" applyFont="1" applyAlignment="1">
      <alignment horizontal="right"/>
    </xf>
    <xf numFmtId="0" fontId="32" fillId="0" borderId="0" xfId="0" applyFont="1"/>
    <xf numFmtId="173" fontId="32" fillId="0" borderId="0" xfId="8" applyNumberFormat="1" applyFont="1"/>
    <xf numFmtId="172" fontId="32" fillId="0" borderId="0" xfId="8" applyNumberFormat="1" applyFont="1"/>
    <xf numFmtId="172" fontId="32" fillId="0" borderId="0" xfId="8" applyNumberFormat="1" applyFont="1" applyAlignment="1">
      <alignment horizontal="right"/>
    </xf>
    <xf numFmtId="172" fontId="32" fillId="0" borderId="0" xfId="0" applyNumberFormat="1" applyFont="1" applyAlignment="1">
      <alignment horizontal="right"/>
    </xf>
    <xf numFmtId="0" fontId="29" fillId="0" borderId="0" xfId="0" applyFont="1" applyAlignment="1">
      <alignment horizontal="left" indent="1"/>
    </xf>
    <xf numFmtId="173" fontId="29" fillId="0" borderId="0" xfId="8" applyNumberFormat="1" applyFont="1"/>
    <xf numFmtId="172" fontId="29" fillId="0" borderId="0" xfId="8" applyNumberFormat="1" applyFont="1"/>
    <xf numFmtId="172" fontId="29" fillId="0" borderId="0" xfId="8" applyNumberFormat="1" applyFont="1" applyAlignment="1">
      <alignment horizontal="right"/>
    </xf>
    <xf numFmtId="172" fontId="29" fillId="0" borderId="0" xfId="0" applyNumberFormat="1" applyFont="1" applyAlignment="1">
      <alignment horizontal="right"/>
    </xf>
    <xf numFmtId="173" fontId="29" fillId="0" borderId="0" xfId="8" applyNumberFormat="1" applyFont="1" applyAlignment="1">
      <alignment horizontal="right"/>
    </xf>
    <xf numFmtId="173" fontId="29" fillId="0" borderId="0" xfId="0" applyNumberFormat="1" applyFont="1" applyAlignment="1">
      <alignment horizontal="right"/>
    </xf>
    <xf numFmtId="173" fontId="32" fillId="0" borderId="0" xfId="8" applyNumberFormat="1" applyFont="1" applyAlignment="1">
      <alignment horizontal="center"/>
    </xf>
    <xf numFmtId="172" fontId="32" fillId="0" borderId="0" xfId="8" applyNumberFormat="1" applyFont="1" applyAlignment="1">
      <alignment horizontal="center"/>
    </xf>
    <xf numFmtId="0" fontId="29" fillId="0" borderId="0" xfId="0" applyFont="1" applyFill="1" applyAlignment="1">
      <alignment horizontal="left" indent="1"/>
    </xf>
    <xf numFmtId="173" fontId="29" fillId="0" borderId="0" xfId="8" applyNumberFormat="1" applyFont="1" applyFill="1"/>
    <xf numFmtId="172" fontId="29" fillId="0" borderId="0" xfId="8" applyNumberFormat="1" applyFont="1" applyFill="1"/>
    <xf numFmtId="173" fontId="29" fillId="0" borderId="0" xfId="8" applyNumberFormat="1" applyFont="1" applyFill="1" applyAlignment="1">
      <alignment horizontal="right"/>
    </xf>
    <xf numFmtId="173" fontId="29" fillId="0" borderId="0" xfId="0" applyNumberFormat="1" applyFont="1" applyFill="1" applyAlignment="1">
      <alignment horizontal="right"/>
    </xf>
    <xf numFmtId="0" fontId="29" fillId="0" borderId="0" xfId="0" applyFont="1" applyFill="1"/>
    <xf numFmtId="173" fontId="29" fillId="0" borderId="0" xfId="9" applyNumberFormat="1" applyFont="1" applyFill="1"/>
    <xf numFmtId="172" fontId="29" fillId="0" borderId="0" xfId="9" applyNumberFormat="1" applyFont="1" applyFill="1"/>
    <xf numFmtId="173" fontId="29" fillId="0" borderId="0" xfId="9" applyNumberFormat="1" applyFont="1" applyFill="1" applyAlignment="1">
      <alignment horizontal="right"/>
    </xf>
    <xf numFmtId="173" fontId="29" fillId="0" borderId="0" xfId="8" applyNumberFormat="1" applyFont="1" applyBorder="1"/>
    <xf numFmtId="172" fontId="29" fillId="0" borderId="0" xfId="8" applyNumberFormat="1" applyFont="1" applyBorder="1"/>
    <xf numFmtId="44" fontId="29" fillId="0" borderId="0" xfId="8" applyFont="1"/>
    <xf numFmtId="173" fontId="32" fillId="0" borderId="0" xfId="8" applyNumberFormat="1" applyFont="1" applyBorder="1"/>
    <xf numFmtId="172" fontId="32" fillId="0" borderId="0" xfId="8" applyNumberFormat="1" applyFont="1" applyBorder="1"/>
    <xf numFmtId="172" fontId="32" fillId="0" borderId="0" xfId="8" applyNumberFormat="1" applyFont="1" applyBorder="1" applyAlignment="1">
      <alignment horizontal="right"/>
    </xf>
    <xf numFmtId="0" fontId="29" fillId="0" borderId="0" xfId="0" applyFont="1" applyAlignment="1">
      <alignment horizontal="left" indent="2"/>
    </xf>
    <xf numFmtId="172" fontId="29" fillId="0" borderId="0" xfId="8" applyNumberFormat="1" applyFont="1" applyBorder="1" applyAlignment="1">
      <alignment horizontal="right"/>
    </xf>
    <xf numFmtId="172" fontId="29" fillId="0" borderId="0" xfId="0" applyNumberFormat="1" applyFont="1" applyBorder="1" applyAlignment="1">
      <alignment horizontal="right"/>
    </xf>
    <xf numFmtId="172" fontId="32" fillId="0" borderId="0" xfId="0" applyNumberFormat="1" applyFont="1" applyBorder="1" applyAlignment="1">
      <alignment horizontal="right"/>
    </xf>
    <xf numFmtId="0" fontId="30" fillId="0" borderId="0" xfId="0" applyFont="1"/>
    <xf numFmtId="167" fontId="29" fillId="0" borderId="0" xfId="8" applyNumberFormat="1" applyFont="1"/>
    <xf numFmtId="0" fontId="31" fillId="0" borderId="0" xfId="0" applyFont="1"/>
    <xf numFmtId="173" fontId="29" fillId="0" borderId="0" xfId="9" applyNumberFormat="1" applyFont="1"/>
    <xf numFmtId="172" fontId="29" fillId="0" borderId="0" xfId="9" applyNumberFormat="1" applyFont="1"/>
    <xf numFmtId="0" fontId="29" fillId="0" borderId="2" xfId="0" applyFont="1" applyBorder="1"/>
    <xf numFmtId="167" fontId="29" fillId="0" borderId="2" xfId="8" applyNumberFormat="1" applyFont="1" applyBorder="1"/>
    <xf numFmtId="167" fontId="29" fillId="0" borderId="2" xfId="8" applyNumberFormat="1" applyFont="1" applyBorder="1" applyAlignment="1">
      <alignment horizontal="right"/>
    </xf>
    <xf numFmtId="0" fontId="29" fillId="0" borderId="2" xfId="0" applyFont="1" applyBorder="1" applyAlignment="1">
      <alignment horizontal="right"/>
    </xf>
    <xf numFmtId="0" fontId="32" fillId="0" borderId="3" xfId="0" applyFont="1" applyBorder="1"/>
    <xf numFmtId="172" fontId="29" fillId="0" borderId="0" xfId="0" applyNumberFormat="1" applyFont="1"/>
    <xf numFmtId="173" fontId="29" fillId="0" borderId="0" xfId="0" applyNumberFormat="1" applyFont="1"/>
    <xf numFmtId="172" fontId="29" fillId="0" borderId="0" xfId="9" applyNumberFormat="1" applyFont="1" applyAlignment="1">
      <alignment horizontal="right"/>
    </xf>
    <xf numFmtId="173" fontId="29" fillId="0" borderId="0" xfId="9" applyNumberFormat="1" applyFont="1" applyAlignment="1">
      <alignment horizontal="right"/>
    </xf>
    <xf numFmtId="172" fontId="32" fillId="0" borderId="0" xfId="0" applyNumberFormat="1" applyFont="1"/>
    <xf numFmtId="172" fontId="29" fillId="0" borderId="0" xfId="0" applyNumberFormat="1" applyFont="1" applyBorder="1"/>
    <xf numFmtId="172" fontId="32" fillId="0" borderId="0" xfId="0" applyNumberFormat="1" applyFont="1" applyBorder="1"/>
    <xf numFmtId="165" fontId="29" fillId="0" borderId="0" xfId="1" applyNumberFormat="1" applyFont="1" applyBorder="1" applyAlignment="1">
      <alignment horizontal="right"/>
    </xf>
    <xf numFmtId="165" fontId="29" fillId="0" borderId="0" xfId="1" applyNumberFormat="1" applyFont="1" applyAlignment="1">
      <alignment horizontal="right"/>
    </xf>
    <xf numFmtId="173" fontId="29" fillId="0" borderId="0" xfId="8" applyNumberFormat="1" applyFont="1" applyBorder="1" applyAlignment="1">
      <alignment horizontal="right"/>
    </xf>
    <xf numFmtId="173" fontId="29" fillId="0" borderId="0" xfId="0" applyNumberFormat="1" applyFont="1" applyBorder="1"/>
    <xf numFmtId="173" fontId="32" fillId="0" borderId="0" xfId="0" applyNumberFormat="1" applyFont="1"/>
    <xf numFmtId="0" fontId="32" fillId="0" borderId="0" xfId="0" applyFont="1" applyAlignment="1">
      <alignment horizontal="left" indent="1"/>
    </xf>
    <xf numFmtId="174" fontId="6" fillId="21" borderId="21" xfId="0" applyNumberFormat="1" applyFont="1" applyFill="1" applyBorder="1" applyAlignment="1">
      <alignment horizontal="right"/>
    </xf>
    <xf numFmtId="174" fontId="6" fillId="0" borderId="21" xfId="0" applyNumberFormat="1" applyFont="1" applyFill="1" applyBorder="1" applyAlignment="1">
      <alignment horizontal="right"/>
    </xf>
    <xf numFmtId="174" fontId="5" fillId="0" borderId="0" xfId="0" applyNumberFormat="1" applyFont="1"/>
    <xf numFmtId="165" fontId="29" fillId="0" borderId="0" xfId="1" applyNumberFormat="1" applyFont="1" applyAlignment="1">
      <alignment horizontal="center"/>
    </xf>
    <xf numFmtId="167" fontId="32" fillId="0" borderId="0" xfId="8" applyNumberFormat="1" applyFont="1" applyAlignment="1">
      <alignment horizontal="center"/>
    </xf>
    <xf numFmtId="166" fontId="29" fillId="0" borderId="0" xfId="1" applyNumberFormat="1" applyFont="1" applyAlignment="1">
      <alignment horizontal="center"/>
    </xf>
    <xf numFmtId="172" fontId="6" fillId="0" borderId="0" xfId="0" applyNumberFormat="1" applyFont="1" applyAlignment="1">
      <alignment horizontal="center"/>
    </xf>
    <xf numFmtId="0" fontId="29" fillId="0" borderId="0" xfId="0" applyFont="1" applyBorder="1" applyAlignment="1">
      <alignment horizontal="left" indent="1"/>
    </xf>
    <xf numFmtId="167" fontId="29" fillId="0" borderId="0" xfId="8" applyNumberFormat="1" applyFont="1" applyBorder="1"/>
    <xf numFmtId="174" fontId="29" fillId="0" borderId="0" xfId="8" applyNumberFormat="1" applyFont="1" applyBorder="1"/>
    <xf numFmtId="172" fontId="32" fillId="0" borderId="0" xfId="8" applyNumberFormat="1" applyFont="1" applyBorder="1" applyAlignment="1">
      <alignment horizontal="center"/>
    </xf>
    <xf numFmtId="172" fontId="29" fillId="0" borderId="0" xfId="9" applyNumberFormat="1" applyFont="1" applyBorder="1"/>
    <xf numFmtId="173" fontId="32" fillId="0" borderId="0" xfId="8" applyNumberFormat="1" applyFont="1" applyAlignment="1">
      <alignment horizontal="right"/>
    </xf>
    <xf numFmtId="172" fontId="29" fillId="0" borderId="0" xfId="9" applyNumberFormat="1" applyFont="1" applyBorder="1" applyAlignment="1">
      <alignment horizontal="right"/>
    </xf>
    <xf numFmtId="0" fontId="29" fillId="0" borderId="0" xfId="8" applyNumberFormat="1" applyFont="1" applyAlignment="1">
      <alignment horizontal="right"/>
    </xf>
    <xf numFmtId="173" fontId="32" fillId="0" borderId="0" xfId="8" applyNumberFormat="1" applyFont="1" applyBorder="1" applyAlignment="1">
      <alignment horizontal="right"/>
    </xf>
    <xf numFmtId="174" fontId="29" fillId="0" borderId="0" xfId="8" applyNumberFormat="1" applyFont="1"/>
    <xf numFmtId="173" fontId="32" fillId="0" borderId="0" xfId="0" applyNumberFormat="1" applyFont="1" applyAlignment="1">
      <alignment horizontal="right"/>
    </xf>
    <xf numFmtId="0" fontId="33" fillId="0" borderId="0" xfId="0" applyFont="1"/>
    <xf numFmtId="0" fontId="33" fillId="0" borderId="0" xfId="0" applyFont="1" applyAlignment="1">
      <alignment horizontal="right"/>
    </xf>
    <xf numFmtId="174" fontId="29" fillId="0" borderId="0" xfId="8" applyNumberFormat="1" applyFont="1" applyAlignment="1">
      <alignment horizontal="right"/>
    </xf>
    <xf numFmtId="173" fontId="29" fillId="0" borderId="0" xfId="0" applyNumberFormat="1" applyFont="1" applyBorder="1" applyAlignment="1">
      <alignment horizontal="right"/>
    </xf>
    <xf numFmtId="178" fontId="29" fillId="0" borderId="0" xfId="8" applyNumberFormat="1" applyFont="1" applyAlignment="1">
      <alignment horizontal="right"/>
    </xf>
    <xf numFmtId="0" fontId="6" fillId="0" borderId="0" xfId="0" quotePrefix="1" applyFont="1" applyAlignment="1">
      <alignment horizontal="left"/>
    </xf>
    <xf numFmtId="0" fontId="11" fillId="0" borderId="0" xfId="0" quotePrefix="1" applyFont="1" applyAlignment="1">
      <alignment horizontal="left"/>
    </xf>
    <xf numFmtId="165" fontId="6" fillId="0" borderId="0" xfId="2" applyNumberFormat="1" applyFont="1" applyBorder="1"/>
    <xf numFmtId="9" fontId="6" fillId="0" borderId="0" xfId="23" applyFont="1" applyBorder="1"/>
    <xf numFmtId="0" fontId="6" fillId="0" borderId="2" xfId="0" quotePrefix="1" applyFont="1" applyBorder="1" applyAlignment="1">
      <alignment horizontal="left"/>
    </xf>
    <xf numFmtId="165" fontId="6" fillId="0" borderId="15" xfId="2" applyNumberFormat="1" applyFont="1" applyBorder="1"/>
    <xf numFmtId="165" fontId="6" fillId="0" borderId="12" xfId="2" applyNumberFormat="1" applyFont="1" applyBorder="1"/>
    <xf numFmtId="165" fontId="6" fillId="0" borderId="4" xfId="2" applyNumberFormat="1" applyFont="1" applyBorder="1"/>
    <xf numFmtId="165" fontId="6" fillId="0" borderId="13" xfId="2" applyNumberFormat="1" applyFont="1" applyBorder="1"/>
    <xf numFmtId="165" fontId="6" fillId="0" borderId="14" xfId="2" applyNumberFormat="1" applyFont="1" applyBorder="1"/>
    <xf numFmtId="165" fontId="6" fillId="14" borderId="0" xfId="2" applyNumberFormat="1" applyFont="1" applyFill="1" applyBorder="1"/>
    <xf numFmtId="165" fontId="6" fillId="14" borderId="14" xfId="2" applyNumberFormat="1" applyFont="1" applyFill="1" applyBorder="1"/>
    <xf numFmtId="165" fontId="6" fillId="14" borderId="15" xfId="2" applyNumberFormat="1" applyFont="1" applyFill="1" applyBorder="1"/>
    <xf numFmtId="165" fontId="6" fillId="0" borderId="19" xfId="2" applyNumberFormat="1" applyFont="1" applyBorder="1"/>
    <xf numFmtId="165" fontId="6" fillId="0" borderId="2" xfId="2" applyNumberFormat="1" applyFont="1" applyBorder="1"/>
    <xf numFmtId="165" fontId="6" fillId="0" borderId="17" xfId="2" applyNumberFormat="1" applyFont="1" applyBorder="1"/>
    <xf numFmtId="165" fontId="5" fillId="0" borderId="0" xfId="2" applyNumberFormat="1" applyFont="1" applyBorder="1"/>
    <xf numFmtId="9" fontId="5" fillId="0" borderId="0" xfId="23" applyFont="1" applyBorder="1"/>
    <xf numFmtId="165" fontId="5" fillId="14" borderId="4" xfId="2" applyNumberFormat="1" applyFont="1" applyFill="1" applyBorder="1"/>
    <xf numFmtId="165" fontId="5" fillId="14" borderId="0" xfId="2" applyNumberFormat="1" applyFont="1" applyFill="1" applyBorder="1"/>
    <xf numFmtId="165" fontId="5" fillId="14" borderId="2" xfId="2" applyNumberFormat="1" applyFont="1" applyFill="1" applyBorder="1"/>
    <xf numFmtId="165" fontId="5" fillId="0" borderId="15" xfId="2" applyNumberFormat="1" applyFont="1" applyBorder="1"/>
    <xf numFmtId="9" fontId="6" fillId="0" borderId="2" xfId="23" applyFont="1" applyBorder="1"/>
    <xf numFmtId="166" fontId="6" fillId="0" borderId="0" xfId="2" applyNumberFormat="1" applyFont="1"/>
    <xf numFmtId="9" fontId="6" fillId="0" borderId="0" xfId="23" applyFont="1"/>
    <xf numFmtId="9" fontId="5" fillId="0" borderId="2" xfId="23" applyFont="1" applyBorder="1"/>
    <xf numFmtId="0" fontId="5" fillId="0" borderId="0" xfId="0" applyFont="1" applyBorder="1" applyAlignment="1">
      <alignment horizontal="center" wrapText="1" shrinkToFit="1"/>
    </xf>
    <xf numFmtId="0" fontId="5" fillId="0" borderId="0" xfId="0" applyFont="1" applyAlignment="1">
      <alignment horizontal="center"/>
    </xf>
    <xf numFmtId="1" fontId="6" fillId="0" borderId="21" xfId="0" applyNumberFormat="1" applyFont="1" applyFill="1" applyBorder="1" applyAlignment="1">
      <alignment horizontal="center"/>
    </xf>
    <xf numFmtId="168" fontId="6" fillId="0" borderId="21" xfId="0" applyNumberFormat="1" applyFont="1" applyFill="1" applyBorder="1" applyAlignment="1">
      <alignment horizontal="center"/>
    </xf>
    <xf numFmtId="165" fontId="5" fillId="0" borderId="0" xfId="2" applyNumberFormat="1" applyFont="1"/>
    <xf numFmtId="168" fontId="6" fillId="0" borderId="0" xfId="0" applyNumberFormat="1" applyFont="1" applyAlignment="1">
      <alignment horizontal="center"/>
    </xf>
    <xf numFmtId="0" fontId="6" fillId="0" borderId="0" xfId="0" applyNumberFormat="1" applyFont="1" applyAlignment="1">
      <alignment horizontal="center"/>
    </xf>
    <xf numFmtId="0" fontId="6" fillId="0" borderId="21" xfId="0" applyNumberFormat="1" applyFont="1" applyFill="1" applyBorder="1" applyAlignment="1">
      <alignment horizontal="center"/>
    </xf>
    <xf numFmtId="0" fontId="6" fillId="0" borderId="30" xfId="0" applyNumberFormat="1" applyFont="1" applyFill="1" applyBorder="1" applyAlignment="1">
      <alignment horizontal="center"/>
    </xf>
    <xf numFmtId="168" fontId="6" fillId="0" borderId="0" xfId="0" applyNumberFormat="1" applyFont="1" applyFill="1" applyAlignment="1">
      <alignment horizontal="center"/>
    </xf>
    <xf numFmtId="0" fontId="11" fillId="0" borderId="0" xfId="0" applyFont="1" applyBorder="1" applyAlignment="1">
      <alignment horizontal="center" wrapText="1" shrinkToFit="1"/>
    </xf>
    <xf numFmtId="0" fontId="6" fillId="0" borderId="3" xfId="0" quotePrefix="1" applyFont="1" applyBorder="1" applyAlignment="1">
      <alignment horizontal="center" wrapText="1"/>
    </xf>
    <xf numFmtId="169" fontId="6" fillId="0" borderId="21" xfId="0" applyNumberFormat="1" applyFont="1" applyFill="1" applyBorder="1" applyAlignment="1">
      <alignment horizontal="center"/>
    </xf>
    <xf numFmtId="0" fontId="4" fillId="0" borderId="0" xfId="0" applyFont="1" applyAlignment="1">
      <alignment horizontal="center"/>
    </xf>
    <xf numFmtId="0" fontId="34" fillId="0" borderId="0" xfId="0" applyFont="1" applyFill="1" applyBorder="1" applyAlignment="1">
      <alignment horizontal="center" wrapText="1" shrinkToFit="1"/>
    </xf>
    <xf numFmtId="1" fontId="5" fillId="21" borderId="6" xfId="23" applyNumberFormat="1" applyFont="1" applyFill="1" applyBorder="1" applyAlignment="1">
      <alignment horizontal="center"/>
    </xf>
    <xf numFmtId="0" fontId="6" fillId="21" borderId="0" xfId="0" applyFont="1" applyFill="1" applyBorder="1" applyAlignment="1">
      <alignment horizontal="center" wrapText="1" shrinkToFit="1"/>
    </xf>
    <xf numFmtId="0" fontId="12" fillId="0" borderId="0" xfId="0" applyFont="1" applyBorder="1" applyAlignment="1">
      <alignment horizontal="center" wrapText="1" shrinkToFit="1"/>
    </xf>
    <xf numFmtId="1" fontId="6" fillId="0" borderId="0" xfId="18" applyNumberFormat="1" applyFont="1" applyFill="1" applyBorder="1" applyAlignment="1">
      <alignment horizontal="center"/>
    </xf>
    <xf numFmtId="2" fontId="7" fillId="0" borderId="21" xfId="0" applyNumberFormat="1" applyFont="1" applyFill="1" applyBorder="1" applyAlignment="1">
      <alignment horizontal="center" wrapText="1" shrinkToFit="1"/>
    </xf>
    <xf numFmtId="169" fontId="7" fillId="0" borderId="21" xfId="0" applyNumberFormat="1" applyFont="1" applyFill="1" applyBorder="1" applyAlignment="1">
      <alignment horizontal="center" wrapText="1" shrinkToFit="1"/>
    </xf>
    <xf numFmtId="1" fontId="35" fillId="21" borderId="21" xfId="0" applyNumberFormat="1" applyFont="1" applyFill="1" applyBorder="1" applyAlignment="1">
      <alignment horizontal="center"/>
    </xf>
    <xf numFmtId="1" fontId="7" fillId="0" borderId="21" xfId="0" applyNumberFormat="1" applyFont="1" applyFill="1" applyBorder="1" applyAlignment="1">
      <alignment horizontal="center" wrapText="1" shrinkToFit="1"/>
    </xf>
    <xf numFmtId="0" fontId="7" fillId="0" borderId="0" xfId="0" applyFont="1" applyFill="1" applyBorder="1" applyAlignment="1">
      <alignment horizontal="center" shrinkToFit="1"/>
    </xf>
    <xf numFmtId="179" fontId="6" fillId="21" borderId="21" xfId="0" applyNumberFormat="1" applyFont="1" applyFill="1" applyBorder="1" applyAlignment="1">
      <alignment horizontal="center"/>
    </xf>
    <xf numFmtId="1" fontId="6" fillId="21" borderId="21" xfId="23" applyNumberFormat="1" applyFont="1" applyFill="1" applyBorder="1" applyAlignment="1">
      <alignment horizontal="center"/>
    </xf>
    <xf numFmtId="7" fontId="29" fillId="0" borderId="0" xfId="1" applyNumberFormat="1" applyFont="1" applyBorder="1" applyAlignment="1">
      <alignment horizontal="right"/>
    </xf>
    <xf numFmtId="180" fontId="29" fillId="0" borderId="0" xfId="1" applyNumberFormat="1" applyFont="1" applyBorder="1" applyAlignment="1">
      <alignment horizontal="right"/>
    </xf>
    <xf numFmtId="181" fontId="29" fillId="0" borderId="0" xfId="1" applyNumberFormat="1" applyFont="1" applyBorder="1" applyAlignment="1">
      <alignment horizontal="right"/>
    </xf>
    <xf numFmtId="0" fontId="18" fillId="0" borderId="0" xfId="0" applyFont="1" applyFill="1" applyBorder="1" applyAlignment="1">
      <alignment horizontal="left" wrapText="1" indent="1" shrinkToFit="1"/>
    </xf>
    <xf numFmtId="2" fontId="18" fillId="0" borderId="21" xfId="0" applyNumberFormat="1" applyFont="1" applyFill="1" applyBorder="1" applyAlignment="1">
      <alignment horizontal="center"/>
    </xf>
    <xf numFmtId="0" fontId="18" fillId="0" borderId="0" xfId="0" applyFont="1" applyFill="1" applyAlignment="1">
      <alignment horizontal="center"/>
    </xf>
    <xf numFmtId="2" fontId="18" fillId="6" borderId="21" xfId="0" applyNumberFormat="1" applyFont="1" applyFill="1" applyBorder="1" applyAlignment="1">
      <alignment horizontal="center"/>
    </xf>
    <xf numFmtId="0" fontId="18" fillId="0" borderId="0" xfId="0" applyFont="1" applyAlignment="1">
      <alignment horizontal="center"/>
    </xf>
    <xf numFmtId="2" fontId="34" fillId="0" borderId="0" xfId="0" applyNumberFormat="1" applyFont="1" applyFill="1" applyBorder="1" applyAlignment="1">
      <alignment horizontal="center" wrapText="1" shrinkToFit="1"/>
    </xf>
    <xf numFmtId="0" fontId="5" fillId="0" borderId="20" xfId="0" applyFont="1" applyBorder="1" applyAlignment="1">
      <alignment horizontal="right"/>
    </xf>
    <xf numFmtId="49" fontId="5" fillId="21" borderId="55" xfId="8" applyNumberFormat="1" applyFont="1" applyFill="1" applyBorder="1" applyAlignment="1">
      <alignment horizontal="right"/>
    </xf>
    <xf numFmtId="0" fontId="5" fillId="0" borderId="0" xfId="0" applyFont="1" applyAlignment="1">
      <alignment horizontal="right" wrapText="1"/>
    </xf>
    <xf numFmtId="0" fontId="5" fillId="21" borderId="12" xfId="0" applyFont="1" applyFill="1" applyBorder="1" applyAlignment="1">
      <alignment horizontal="right"/>
    </xf>
    <xf numFmtId="0" fontId="5" fillId="0" borderId="0" xfId="0" applyFont="1" applyAlignment="1">
      <alignment horizontal="right" indent="1"/>
    </xf>
    <xf numFmtId="0" fontId="6" fillId="21" borderId="19" xfId="0" applyFont="1" applyFill="1" applyBorder="1" applyAlignment="1">
      <alignment horizontal="right" wrapText="1" indent="1" shrinkToFit="1"/>
    </xf>
    <xf numFmtId="1" fontId="5" fillId="0" borderId="17" xfId="0" applyNumberFormat="1" applyFont="1" applyBorder="1"/>
    <xf numFmtId="0" fontId="5" fillId="21" borderId="0" xfId="0" applyFont="1" applyFill="1" applyAlignment="1">
      <alignment horizontal="left"/>
    </xf>
    <xf numFmtId="168" fontId="6" fillId="21" borderId="21" xfId="0" applyNumberFormat="1" applyFont="1" applyFill="1" applyBorder="1" applyAlignment="1">
      <alignment horizontal="center"/>
    </xf>
    <xf numFmtId="0" fontId="6" fillId="0" borderId="2" xfId="0" applyFont="1" applyBorder="1" applyAlignment="1">
      <alignment horizontal="center"/>
    </xf>
    <xf numFmtId="173" fontId="6" fillId="21" borderId="21" xfId="0" applyNumberFormat="1" applyFont="1" applyFill="1" applyBorder="1" applyAlignment="1">
      <alignment horizontal="center"/>
    </xf>
    <xf numFmtId="3" fontId="6" fillId="21" borderId="21" xfId="0" applyNumberFormat="1" applyFont="1" applyFill="1" applyBorder="1" applyAlignment="1">
      <alignment horizontal="center"/>
    </xf>
    <xf numFmtId="172" fontId="6" fillId="21" borderId="21" xfId="0" applyNumberFormat="1" applyFont="1" applyFill="1" applyBorder="1" applyAlignment="1">
      <alignment horizontal="center"/>
    </xf>
    <xf numFmtId="182" fontId="6" fillId="0" borderId="0" xfId="0" applyNumberFormat="1" applyFont="1" applyAlignment="1">
      <alignment horizontal="center"/>
    </xf>
    <xf numFmtId="0" fontId="5" fillId="0" borderId="0" xfId="0" applyFont="1" applyFill="1" applyBorder="1" applyAlignment="1">
      <alignment horizontal="left" wrapText="1" shrinkToFit="1"/>
    </xf>
    <xf numFmtId="0" fontId="6" fillId="21" borderId="0" xfId="0" applyFont="1" applyFill="1" applyBorder="1" applyAlignment="1">
      <alignment horizontal="right" vertical="center" wrapText="1" indent="1" shrinkToFit="1"/>
    </xf>
    <xf numFmtId="0" fontId="6" fillId="21" borderId="0" xfId="0" applyFont="1" applyFill="1" applyBorder="1" applyAlignment="1">
      <alignment horizontal="center" vertical="center" wrapText="1" shrinkToFit="1"/>
    </xf>
    <xf numFmtId="173" fontId="6" fillId="26" borderId="0" xfId="8" applyNumberFormat="1" applyFont="1" applyFill="1" applyAlignment="1">
      <alignment horizontal="right"/>
    </xf>
    <xf numFmtId="0" fontId="6" fillId="0" borderId="0" xfId="0" applyFont="1" applyFill="1" applyAlignment="1">
      <alignment horizontal="left" indent="1"/>
    </xf>
    <xf numFmtId="49" fontId="6" fillId="0" borderId="0" xfId="0" applyNumberFormat="1" applyFont="1" applyAlignment="1">
      <alignment horizontal="center"/>
    </xf>
    <xf numFmtId="49" fontId="6" fillId="0" borderId="0" xfId="8" applyNumberFormat="1" applyFont="1" applyAlignment="1">
      <alignment horizontal="center"/>
    </xf>
    <xf numFmtId="2" fontId="6" fillId="0" borderId="0" xfId="8" applyNumberFormat="1" applyFont="1" applyAlignment="1">
      <alignment horizontal="center"/>
    </xf>
    <xf numFmtId="0" fontId="5" fillId="21" borderId="22" xfId="0" applyFont="1" applyFill="1" applyBorder="1" applyAlignment="1">
      <alignment horizontal="right"/>
    </xf>
    <xf numFmtId="172" fontId="5" fillId="0" borderId="6" xfId="8" applyNumberFormat="1" applyFont="1" applyFill="1" applyBorder="1"/>
    <xf numFmtId="172" fontId="5" fillId="0" borderId="8" xfId="8" applyNumberFormat="1" applyFont="1" applyFill="1" applyBorder="1"/>
    <xf numFmtId="1" fontId="5" fillId="0" borderId="6" xfId="18" applyNumberFormat="1" applyFont="1" applyFill="1" applyBorder="1" applyAlignment="1">
      <alignment horizontal="center"/>
    </xf>
    <xf numFmtId="0" fontId="5" fillId="0" borderId="72" xfId="0" applyFont="1" applyBorder="1" applyAlignment="1">
      <alignment horizontal="right"/>
    </xf>
    <xf numFmtId="0" fontId="5" fillId="0" borderId="6" xfId="0" applyFont="1" applyBorder="1" applyAlignment="1">
      <alignment horizontal="center"/>
    </xf>
    <xf numFmtId="0" fontId="5" fillId="21" borderId="51" xfId="0" applyFont="1" applyFill="1" applyBorder="1" applyAlignment="1">
      <alignment horizontal="right"/>
    </xf>
    <xf numFmtId="0" fontId="5" fillId="21" borderId="52" xfId="0" applyFont="1" applyFill="1" applyBorder="1" applyAlignment="1">
      <alignment horizontal="right"/>
    </xf>
    <xf numFmtId="0" fontId="5" fillId="21" borderId="53" xfId="0" applyFont="1" applyFill="1" applyBorder="1" applyAlignment="1">
      <alignment horizontal="right"/>
    </xf>
    <xf numFmtId="1" fontId="5" fillId="0" borderId="6" xfId="23" applyNumberFormat="1" applyFont="1" applyFill="1" applyBorder="1" applyAlignment="1">
      <alignment horizontal="center"/>
    </xf>
    <xf numFmtId="9" fontId="5" fillId="0" borderId="6" xfId="21" applyFont="1" applyFill="1" applyBorder="1" applyAlignment="1">
      <alignment horizontal="right"/>
    </xf>
    <xf numFmtId="9" fontId="5" fillId="0" borderId="8" xfId="21" applyFont="1" applyFill="1" applyBorder="1" applyAlignment="1">
      <alignment horizontal="right"/>
    </xf>
    <xf numFmtId="173" fontId="5" fillId="0" borderId="6" xfId="8" applyNumberFormat="1" applyFont="1" applyFill="1" applyBorder="1"/>
    <xf numFmtId="1" fontId="5" fillId="0" borderId="6" xfId="18" applyNumberFormat="1" applyFont="1" applyFill="1" applyBorder="1" applyAlignment="1">
      <alignment horizontal="right"/>
    </xf>
    <xf numFmtId="0" fontId="5" fillId="21" borderId="0" xfId="0" applyFont="1" applyFill="1" applyAlignment="1">
      <alignment horizontal="right"/>
    </xf>
    <xf numFmtId="37" fontId="6" fillId="0" borderId="31" xfId="1" applyNumberFormat="1" applyFont="1" applyFill="1" applyBorder="1"/>
    <xf numFmtId="165" fontId="6" fillId="0" borderId="0" xfId="1" applyNumberFormat="1" applyFont="1" applyBorder="1" applyAlignment="1">
      <alignment horizontal="right"/>
    </xf>
    <xf numFmtId="39" fontId="29" fillId="0" borderId="0" xfId="1" applyNumberFormat="1" applyFont="1" applyBorder="1" applyAlignment="1">
      <alignment horizontal="right"/>
    </xf>
    <xf numFmtId="0" fontId="32" fillId="0" borderId="0" xfId="0" applyFont="1" applyAlignment="1">
      <alignment horizontal="left" vertical="center"/>
    </xf>
    <xf numFmtId="0" fontId="32" fillId="0" borderId="0" xfId="0" applyFont="1" applyAlignment="1">
      <alignment horizontal="left"/>
    </xf>
    <xf numFmtId="0" fontId="6" fillId="25" borderId="0" xfId="0" applyFont="1" applyFill="1" applyBorder="1" applyAlignment="1">
      <alignment horizontal="right"/>
    </xf>
    <xf numFmtId="0" fontId="6" fillId="25" borderId="0" xfId="0" applyFont="1" applyFill="1" applyAlignment="1">
      <alignment horizontal="right"/>
    </xf>
    <xf numFmtId="177" fontId="6" fillId="0" borderId="21" xfId="8" applyNumberFormat="1" applyFont="1" applyFill="1" applyBorder="1" applyAlignment="1">
      <alignment horizontal="right"/>
    </xf>
    <xf numFmtId="0" fontId="6" fillId="21" borderId="77" xfId="0" applyFont="1" applyFill="1" applyBorder="1" applyAlignment="1">
      <alignment horizontal="right"/>
    </xf>
    <xf numFmtId="0" fontId="6" fillId="21" borderId="78" xfId="0" applyFont="1" applyFill="1" applyBorder="1" applyAlignment="1">
      <alignment horizontal="center"/>
    </xf>
    <xf numFmtId="0" fontId="6" fillId="21" borderId="79" xfId="0" applyFont="1" applyFill="1" applyBorder="1" applyAlignment="1">
      <alignment horizontal="center"/>
    </xf>
    <xf numFmtId="0" fontId="6" fillId="0" borderId="80" xfId="0" applyFont="1" applyFill="1" applyBorder="1" applyAlignment="1">
      <alignment horizontal="center"/>
    </xf>
    <xf numFmtId="0" fontId="6" fillId="0" borderId="81" xfId="0" applyFont="1" applyFill="1" applyBorder="1" applyAlignment="1">
      <alignment horizontal="center"/>
    </xf>
    <xf numFmtId="3" fontId="5" fillId="0" borderId="6" xfId="0" applyNumberFormat="1" applyFont="1" applyFill="1" applyBorder="1" applyAlignment="1">
      <alignment horizontal="center"/>
    </xf>
    <xf numFmtId="173" fontId="6" fillId="0" borderId="21" xfId="8" applyNumberFormat="1" applyFont="1" applyFill="1" applyBorder="1" applyAlignment="1">
      <alignment horizontal="right"/>
    </xf>
    <xf numFmtId="173" fontId="6" fillId="0" borderId="21" xfId="9" applyNumberFormat="1" applyFont="1" applyFill="1" applyBorder="1" applyAlignment="1">
      <alignment horizontal="right"/>
    </xf>
    <xf numFmtId="173" fontId="6" fillId="0" borderId="0" xfId="9" applyNumberFormat="1" applyFont="1" applyFill="1" applyBorder="1" applyAlignment="1">
      <alignment horizontal="right"/>
    </xf>
    <xf numFmtId="173" fontId="6" fillId="2" borderId="0" xfId="8" applyNumberFormat="1" applyFont="1" applyFill="1" applyBorder="1" applyAlignment="1">
      <alignment horizontal="right"/>
    </xf>
    <xf numFmtId="0" fontId="11" fillId="0" borderId="2" xfId="0" applyFont="1" applyBorder="1" applyAlignment="1">
      <alignment horizontal="center" wrapText="1"/>
    </xf>
    <xf numFmtId="172" fontId="6" fillId="21" borderId="21" xfId="8" applyNumberFormat="1" applyFont="1" applyFill="1" applyBorder="1" applyAlignment="1">
      <alignment horizontal="center"/>
    </xf>
    <xf numFmtId="173" fontId="6" fillId="0" borderId="0" xfId="8" applyNumberFormat="1" applyFont="1" applyFill="1" applyBorder="1" applyAlignment="1">
      <alignment horizontal="right"/>
    </xf>
    <xf numFmtId="4" fontId="6" fillId="0" borderId="0" xfId="0" applyNumberFormat="1" applyFont="1" applyFill="1" applyBorder="1" applyAlignment="1">
      <alignment horizontal="center"/>
    </xf>
    <xf numFmtId="172" fontId="6" fillId="0" borderId="21" xfId="9" applyNumberFormat="1" applyFont="1" applyFill="1" applyBorder="1" applyAlignment="1">
      <alignment horizontal="right"/>
    </xf>
    <xf numFmtId="1" fontId="6" fillId="0" borderId="21" xfId="23" applyNumberFormat="1" applyFont="1" applyFill="1" applyBorder="1" applyAlignment="1">
      <alignment horizontal="center"/>
    </xf>
    <xf numFmtId="169" fontId="7" fillId="21" borderId="21" xfId="0" applyNumberFormat="1" applyFont="1" applyFill="1" applyBorder="1" applyAlignment="1">
      <alignment horizontal="center" wrapText="1" shrinkToFit="1"/>
    </xf>
    <xf numFmtId="169" fontId="7" fillId="2" borderId="21" xfId="0" applyNumberFormat="1" applyFont="1" applyFill="1" applyBorder="1" applyAlignment="1">
      <alignment horizontal="center" wrapText="1" shrinkToFit="1"/>
    </xf>
    <xf numFmtId="169" fontId="7" fillId="0" borderId="0" xfId="0" applyNumberFormat="1" applyFont="1" applyFill="1" applyBorder="1" applyAlignment="1">
      <alignment horizontal="center" wrapText="1" shrinkToFit="1"/>
    </xf>
    <xf numFmtId="0" fontId="5" fillId="0" borderId="7" xfId="0" applyFont="1" applyBorder="1" applyAlignment="1">
      <alignment horizontal="right" wrapText="1"/>
    </xf>
    <xf numFmtId="0" fontId="11" fillId="0" borderId="0" xfId="0" applyFont="1" applyBorder="1" applyAlignment="1">
      <alignment horizontal="left" wrapText="1"/>
    </xf>
    <xf numFmtId="169" fontId="6" fillId="6" borderId="21" xfId="0" applyNumberFormat="1" applyFont="1" applyFill="1" applyBorder="1" applyAlignment="1">
      <alignment horizontal="center"/>
    </xf>
    <xf numFmtId="169" fontId="34" fillId="0" borderId="0" xfId="0" applyNumberFormat="1" applyFont="1" applyFill="1" applyBorder="1" applyAlignment="1">
      <alignment horizontal="center" wrapText="1" shrinkToFit="1"/>
    </xf>
    <xf numFmtId="164" fontId="5" fillId="0" borderId="6" xfId="21" applyNumberFormat="1" applyFont="1" applyFill="1" applyBorder="1"/>
    <xf numFmtId="3" fontId="5" fillId="0" borderId="6" xfId="0" applyNumberFormat="1" applyFont="1" applyFill="1" applyBorder="1" applyAlignment="1">
      <alignment horizontal="right"/>
    </xf>
    <xf numFmtId="173" fontId="5" fillId="0" borderId="6" xfId="0" applyNumberFormat="1" applyFont="1" applyFill="1" applyBorder="1" applyAlignment="1">
      <alignment horizontal="right"/>
    </xf>
    <xf numFmtId="173" fontId="5" fillId="0" borderId="21" xfId="0" applyNumberFormat="1" applyFont="1" applyFill="1" applyBorder="1" applyAlignment="1">
      <alignment horizontal="right"/>
    </xf>
    <xf numFmtId="0" fontId="6" fillId="0" borderId="6" xfId="8" applyNumberFormat="1" applyFont="1" applyFill="1" applyBorder="1"/>
    <xf numFmtId="9" fontId="6" fillId="0" borderId="21" xfId="0" applyNumberFormat="1" applyFont="1" applyFill="1" applyBorder="1" applyAlignment="1">
      <alignment horizontal="center"/>
    </xf>
    <xf numFmtId="174" fontId="6" fillId="0" borderId="6" xfId="0" applyNumberFormat="1" applyFont="1" applyFill="1" applyBorder="1" applyAlignment="1">
      <alignment horizontal="right"/>
    </xf>
    <xf numFmtId="1" fontId="5" fillId="0" borderId="6" xfId="0" applyNumberFormat="1" applyFont="1" applyFill="1" applyBorder="1" applyAlignment="1">
      <alignment horizontal="right"/>
    </xf>
    <xf numFmtId="173" fontId="5" fillId="0" borderId="6" xfId="8" applyNumberFormat="1" applyFont="1" applyFill="1" applyBorder="1" applyAlignment="1">
      <alignment horizontal="right"/>
    </xf>
    <xf numFmtId="0" fontId="5" fillId="0" borderId="4" xfId="0" applyFont="1" applyBorder="1" applyAlignment="1">
      <alignment horizontal="right"/>
    </xf>
    <xf numFmtId="0" fontId="5" fillId="0" borderId="13" xfId="0" applyFont="1" applyBorder="1" applyAlignment="1">
      <alignment horizontal="right"/>
    </xf>
    <xf numFmtId="1" fontId="6" fillId="0" borderId="23" xfId="0" applyNumberFormat="1" applyFont="1" applyFill="1" applyBorder="1" applyAlignment="1">
      <alignment horizontal="right"/>
    </xf>
    <xf numFmtId="1" fontId="6" fillId="21" borderId="24" xfId="0" applyNumberFormat="1" applyFont="1" applyFill="1" applyBorder="1" applyAlignment="1">
      <alignment horizontal="center"/>
    </xf>
    <xf numFmtId="173" fontId="6" fillId="21" borderId="24" xfId="0" applyNumberFormat="1" applyFont="1" applyFill="1" applyBorder="1" applyAlignment="1">
      <alignment horizontal="center"/>
    </xf>
    <xf numFmtId="1" fontId="5" fillId="0" borderId="6" xfId="0" applyNumberFormat="1" applyFont="1" applyFill="1" applyBorder="1" applyAlignment="1">
      <alignment horizontal="center"/>
    </xf>
    <xf numFmtId="173" fontId="5" fillId="0" borderId="7" xfId="0" applyNumberFormat="1" applyFont="1" applyFill="1" applyBorder="1" applyAlignment="1">
      <alignment horizontal="center"/>
    </xf>
    <xf numFmtId="173" fontId="5" fillId="0" borderId="6" xfId="0" applyNumberFormat="1" applyFont="1" applyFill="1" applyBorder="1" applyAlignment="1">
      <alignment horizontal="center"/>
    </xf>
    <xf numFmtId="173" fontId="5" fillId="0" borderId="8" xfId="0" applyNumberFormat="1" applyFont="1" applyFill="1" applyBorder="1" applyAlignment="1">
      <alignment horizontal="center"/>
    </xf>
    <xf numFmtId="1" fontId="5" fillId="0" borderId="82" xfId="0" applyNumberFormat="1" applyFont="1" applyFill="1" applyBorder="1" applyAlignment="1">
      <alignment horizontal="center"/>
    </xf>
    <xf numFmtId="1" fontId="5" fillId="0" borderId="7" xfId="0" applyNumberFormat="1" applyFont="1" applyFill="1" applyBorder="1" applyAlignment="1">
      <alignment horizontal="center"/>
    </xf>
    <xf numFmtId="1" fontId="5" fillId="0" borderId="72" xfId="0" applyNumberFormat="1" applyFont="1" applyFill="1" applyBorder="1" applyAlignment="1">
      <alignment horizontal="center"/>
    </xf>
    <xf numFmtId="1" fontId="5" fillId="0" borderId="37" xfId="0" applyNumberFormat="1" applyFont="1" applyFill="1" applyBorder="1" applyAlignment="1">
      <alignment horizontal="center"/>
    </xf>
    <xf numFmtId="1" fontId="5" fillId="0" borderId="8" xfId="0" applyNumberFormat="1" applyFont="1" applyFill="1" applyBorder="1" applyAlignment="1">
      <alignment horizontal="center"/>
    </xf>
    <xf numFmtId="0" fontId="6" fillId="0" borderId="0" xfId="0" applyFont="1" applyFill="1" applyBorder="1" applyAlignment="1">
      <alignment horizontal="center" wrapText="1" shrinkToFit="1"/>
    </xf>
    <xf numFmtId="10" fontId="6" fillId="26" borderId="21" xfId="23" applyNumberFormat="1" applyFont="1" applyFill="1" applyBorder="1" applyAlignment="1">
      <alignment horizontal="center"/>
    </xf>
    <xf numFmtId="5" fontId="5" fillId="0" borderId="6" xfId="8" applyNumberFormat="1" applyFont="1" applyFill="1" applyBorder="1" applyAlignment="1">
      <alignment horizontal="right"/>
    </xf>
    <xf numFmtId="173" fontId="5" fillId="0" borderId="7" xfId="8" applyNumberFormat="1" applyFont="1" applyFill="1" applyBorder="1" applyAlignment="1">
      <alignment horizontal="right"/>
    </xf>
    <xf numFmtId="165" fontId="4" fillId="0" borderId="0" xfId="2" applyNumberFormat="1" applyFont="1" applyBorder="1" applyAlignment="1">
      <alignment horizontal="center" wrapText="1" shrinkToFit="1"/>
    </xf>
    <xf numFmtId="0" fontId="5" fillId="0" borderId="6" xfId="0" applyFont="1" applyFill="1" applyBorder="1" applyAlignment="1">
      <alignment horizontal="center"/>
    </xf>
    <xf numFmtId="0" fontId="5" fillId="0" borderId="7" xfId="0" applyFont="1" applyFill="1" applyBorder="1" applyAlignment="1">
      <alignment horizontal="center"/>
    </xf>
    <xf numFmtId="0" fontId="5" fillId="0" borderId="8" xfId="0" applyFont="1" applyFill="1" applyBorder="1" applyAlignment="1">
      <alignment horizontal="center"/>
    </xf>
    <xf numFmtId="9" fontId="6" fillId="2" borderId="31" xfId="23" applyFont="1" applyFill="1" applyBorder="1" applyAlignment="1">
      <alignment horizontal="center"/>
    </xf>
    <xf numFmtId="5" fontId="6" fillId="0" borderId="0" xfId="8" applyNumberFormat="1" applyFont="1" applyFill="1" applyBorder="1" applyAlignment="1">
      <alignment horizontal="right"/>
    </xf>
    <xf numFmtId="5" fontId="5" fillId="0" borderId="7" xfId="8" applyNumberFormat="1" applyFont="1" applyFill="1" applyBorder="1" applyAlignment="1">
      <alignment horizontal="right"/>
    </xf>
    <xf numFmtId="173" fontId="6" fillId="0" borderId="2" xfId="8" applyNumberFormat="1" applyFont="1" applyFill="1" applyBorder="1" applyAlignment="1">
      <alignment horizontal="right"/>
    </xf>
    <xf numFmtId="173" fontId="6" fillId="0" borderId="83" xfId="8" applyNumberFormat="1" applyFont="1" applyFill="1" applyBorder="1" applyAlignment="1">
      <alignment horizontal="right"/>
    </xf>
    <xf numFmtId="173" fontId="6" fillId="2" borderId="2" xfId="8" applyNumberFormat="1" applyFont="1" applyFill="1" applyBorder="1" applyAlignment="1">
      <alignment horizontal="right"/>
    </xf>
    <xf numFmtId="5" fontId="6" fillId="0" borderId="2" xfId="8" applyNumberFormat="1" applyFont="1" applyFill="1" applyBorder="1" applyAlignment="1">
      <alignment horizontal="right"/>
    </xf>
    <xf numFmtId="173" fontId="6" fillId="6" borderId="21" xfId="0" applyNumberFormat="1" applyFont="1" applyFill="1" applyBorder="1" applyAlignment="1">
      <alignment horizontal="right"/>
    </xf>
    <xf numFmtId="5" fontId="6" fillId="29" borderId="84" xfId="8" applyNumberFormat="1" applyFont="1" applyFill="1" applyBorder="1" applyAlignment="1">
      <alignment horizontal="right"/>
    </xf>
    <xf numFmtId="5" fontId="6" fillId="29" borderId="85" xfId="8" applyNumberFormat="1" applyFont="1" applyFill="1" applyBorder="1" applyAlignment="1">
      <alignment horizontal="right"/>
    </xf>
    <xf numFmtId="5" fontId="6" fillId="29" borderId="54" xfId="8" applyNumberFormat="1" applyFont="1" applyFill="1" applyBorder="1" applyAlignment="1">
      <alignment horizontal="right"/>
    </xf>
    <xf numFmtId="173" fontId="6" fillId="7" borderId="54" xfId="8" applyNumberFormat="1" applyFont="1" applyFill="1" applyBorder="1" applyAlignment="1">
      <alignment horizontal="right"/>
    </xf>
    <xf numFmtId="173" fontId="6" fillId="0" borderId="86" xfId="8" applyNumberFormat="1" applyFont="1" applyFill="1" applyBorder="1" applyAlignment="1">
      <alignment horizontal="right"/>
    </xf>
    <xf numFmtId="5" fontId="6" fillId="29" borderId="87" xfId="8" applyNumberFormat="1" applyFont="1" applyFill="1" applyBorder="1" applyAlignment="1">
      <alignment horizontal="right"/>
    </xf>
    <xf numFmtId="5" fontId="6" fillId="29" borderId="88" xfId="8" applyNumberFormat="1" applyFont="1" applyFill="1" applyBorder="1" applyAlignment="1">
      <alignment horizontal="right"/>
    </xf>
    <xf numFmtId="5" fontId="6" fillId="29" borderId="89" xfId="8" applyNumberFormat="1" applyFont="1" applyFill="1" applyBorder="1" applyAlignment="1">
      <alignment horizontal="right"/>
    </xf>
    <xf numFmtId="5" fontId="6" fillId="0" borderId="90" xfId="8" applyNumberFormat="1" applyFont="1" applyFill="1" applyBorder="1" applyAlignment="1">
      <alignment horizontal="right"/>
    </xf>
    <xf numFmtId="9" fontId="6" fillId="2" borderId="24" xfId="23" applyFont="1" applyFill="1" applyBorder="1" applyAlignment="1">
      <alignment horizontal="center"/>
    </xf>
    <xf numFmtId="164" fontId="6" fillId="2" borderId="24" xfId="23" applyNumberFormat="1" applyFont="1" applyFill="1" applyBorder="1" applyAlignment="1">
      <alignment horizontal="center"/>
    </xf>
    <xf numFmtId="0" fontId="6" fillId="21" borderId="23" xfId="0" applyFont="1" applyFill="1" applyBorder="1" applyAlignment="1">
      <alignment horizontal="center"/>
    </xf>
    <xf numFmtId="9" fontId="6" fillId="21" borderId="31" xfId="23" applyNumberFormat="1" applyFont="1" applyFill="1" applyBorder="1" applyAlignment="1">
      <alignment horizontal="center"/>
    </xf>
    <xf numFmtId="173" fontId="6" fillId="0" borderId="28" xfId="8" applyNumberFormat="1" applyFont="1" applyFill="1" applyBorder="1" applyAlignment="1">
      <alignment horizontal="right"/>
    </xf>
    <xf numFmtId="0" fontId="6" fillId="21" borderId="24" xfId="0" applyFont="1" applyFill="1" applyBorder="1" applyAlignment="1">
      <alignment horizontal="center"/>
    </xf>
    <xf numFmtId="0" fontId="6" fillId="21" borderId="31" xfId="0" applyFont="1" applyFill="1" applyBorder="1" applyAlignment="1">
      <alignment horizontal="center"/>
    </xf>
    <xf numFmtId="0" fontId="6" fillId="0" borderId="28" xfId="0" applyFont="1" applyFill="1" applyBorder="1" applyAlignment="1">
      <alignment horizontal="center"/>
    </xf>
    <xf numFmtId="173" fontId="6" fillId="2" borderId="28" xfId="0" applyNumberFormat="1" applyFont="1" applyFill="1" applyBorder="1" applyAlignment="1">
      <alignment horizontal="center"/>
    </xf>
    <xf numFmtId="3" fontId="6" fillId="0" borderId="0" xfId="0" applyNumberFormat="1" applyFont="1" applyFill="1" applyBorder="1" applyAlignment="1">
      <alignment horizontal="center"/>
    </xf>
    <xf numFmtId="0" fontId="42" fillId="0" borderId="0" xfId="0" applyFont="1"/>
    <xf numFmtId="0" fontId="44" fillId="0" borderId="68" xfId="0" applyFont="1" applyBorder="1" applyAlignment="1">
      <alignment vertical="center"/>
    </xf>
    <xf numFmtId="0" fontId="44" fillId="0" borderId="68" xfId="0" applyFont="1" applyBorder="1" applyAlignment="1">
      <alignment horizontal="right" vertical="center" wrapText="1"/>
    </xf>
    <xf numFmtId="2" fontId="45" fillId="0" borderId="68" xfId="0" applyNumberFormat="1" applyFont="1" applyBorder="1"/>
    <xf numFmtId="0" fontId="45" fillId="0" borderId="68" xfId="0" applyFont="1" applyBorder="1" applyAlignment="1">
      <alignment horizontal="center" wrapText="1"/>
    </xf>
    <xf numFmtId="0" fontId="44" fillId="0" borderId="0" xfId="0" applyFont="1" applyAlignment="1">
      <alignment vertical="center"/>
    </xf>
    <xf numFmtId="0" fontId="44" fillId="0" borderId="0" xfId="0" applyFont="1" applyAlignment="1">
      <alignment horizontal="right" vertical="center"/>
    </xf>
    <xf numFmtId="8" fontId="44" fillId="0" borderId="0" xfId="0" applyNumberFormat="1" applyFont="1" applyAlignment="1">
      <alignment horizontal="right" vertical="center"/>
    </xf>
    <xf numFmtId="8" fontId="44" fillId="0" borderId="0" xfId="0" applyNumberFormat="1" applyFont="1" applyAlignment="1">
      <alignment horizontal="center" vertical="center"/>
    </xf>
    <xf numFmtId="2" fontId="45" fillId="0" borderId="0" xfId="0" applyNumberFormat="1" applyFont="1" applyBorder="1"/>
    <xf numFmtId="0" fontId="45" fillId="0" borderId="94" xfId="0" applyFont="1" applyBorder="1"/>
    <xf numFmtId="0" fontId="44" fillId="0" borderId="95" xfId="0" applyFont="1" applyBorder="1" applyAlignment="1">
      <alignment vertical="center"/>
    </xf>
    <xf numFmtId="0" fontId="44" fillId="0" borderId="95" xfId="0" applyFont="1" applyBorder="1" applyAlignment="1">
      <alignment horizontal="right" vertical="center"/>
    </xf>
    <xf numFmtId="0" fontId="44" fillId="0" borderId="95" xfId="0" applyFont="1" applyBorder="1" applyAlignment="1">
      <alignment horizontal="center" vertical="center"/>
    </xf>
    <xf numFmtId="0" fontId="45" fillId="0" borderId="0" xfId="0" applyFont="1" applyBorder="1"/>
    <xf numFmtId="0" fontId="47" fillId="0" borderId="0" xfId="0" applyFont="1" applyAlignment="1">
      <alignment vertical="center"/>
    </xf>
    <xf numFmtId="6" fontId="47" fillId="0" borderId="0" xfId="0" applyNumberFormat="1" applyFont="1" applyAlignment="1">
      <alignment horizontal="right" vertical="center"/>
    </xf>
    <xf numFmtId="0" fontId="0" fillId="0" borderId="0" xfId="0" applyFont="1" applyAlignment="1">
      <alignment horizontal="right"/>
    </xf>
    <xf numFmtId="8" fontId="47" fillId="0" borderId="0" xfId="0" applyNumberFormat="1" applyFont="1" applyAlignment="1">
      <alignment horizontal="right" vertical="center"/>
    </xf>
    <xf numFmtId="0" fontId="45" fillId="0" borderId="96" xfId="0" applyFont="1" applyBorder="1"/>
    <xf numFmtId="0" fontId="0" fillId="0" borderId="0" xfId="0" applyFont="1"/>
    <xf numFmtId="0" fontId="47" fillId="0" borderId="97" xfId="0" applyFont="1" applyBorder="1" applyAlignment="1">
      <alignment horizontal="left" vertical="center"/>
    </xf>
    <xf numFmtId="0" fontId="44" fillId="0" borderId="97" xfId="0" applyFont="1" applyBorder="1" applyAlignment="1">
      <alignment horizontal="right"/>
    </xf>
    <xf numFmtId="0" fontId="44" fillId="0" borderId="97" xfId="0" applyFont="1" applyBorder="1" applyAlignment="1">
      <alignment horizontal="right" vertical="center" wrapText="1"/>
    </xf>
    <xf numFmtId="0" fontId="44" fillId="0" borderId="97" xfId="0" applyFont="1" applyBorder="1" applyAlignment="1">
      <alignment horizontal="center" vertical="center" wrapText="1"/>
    </xf>
    <xf numFmtId="0" fontId="48" fillId="0" borderId="0" xfId="0" applyFont="1" applyBorder="1" applyAlignment="1">
      <alignment horizontal="left" vertical="center"/>
    </xf>
    <xf numFmtId="0" fontId="44" fillId="0" borderId="0" xfId="0" applyFont="1" applyBorder="1" applyAlignment="1">
      <alignment horizontal="right"/>
    </xf>
    <xf numFmtId="0" fontId="44" fillId="0" borderId="0" xfId="0" applyFont="1" applyAlignment="1">
      <alignment horizontal="left" vertical="center" indent="1"/>
    </xf>
    <xf numFmtId="0" fontId="44" fillId="0" borderId="0" xfId="0" applyNumberFormat="1" applyFont="1" applyAlignment="1">
      <alignment horizontal="right" vertical="center"/>
    </xf>
    <xf numFmtId="6" fontId="44" fillId="0" borderId="0" xfId="0" applyNumberFormat="1" applyFont="1" applyAlignment="1">
      <alignment horizontal="right" vertical="center"/>
    </xf>
    <xf numFmtId="0" fontId="44" fillId="0" borderId="0" xfId="0" applyFont="1" applyAlignment="1">
      <alignment horizontal="left" vertical="center" indent="2"/>
    </xf>
    <xf numFmtId="6" fontId="44" fillId="0" borderId="0" xfId="0" applyNumberFormat="1" applyFont="1" applyAlignment="1">
      <alignment horizontal="center" vertical="center"/>
    </xf>
    <xf numFmtId="0" fontId="45" fillId="0" borderId="98" xfId="0" applyFont="1" applyBorder="1"/>
    <xf numFmtId="0" fontId="50" fillId="0" borderId="0" xfId="0" applyFont="1" applyAlignment="1">
      <alignment vertical="center"/>
    </xf>
    <xf numFmtId="0" fontId="48" fillId="0" borderId="0" xfId="0" applyFont="1" applyAlignment="1">
      <alignment vertical="center"/>
    </xf>
    <xf numFmtId="0" fontId="46" fillId="0" borderId="0" xfId="0" applyFont="1" applyAlignment="1">
      <alignment horizontal="left" vertical="center" indent="1"/>
    </xf>
    <xf numFmtId="0" fontId="45" fillId="0" borderId="99" xfId="0" applyFont="1" applyBorder="1"/>
    <xf numFmtId="0" fontId="47" fillId="0" borderId="68" xfId="0" applyFont="1" applyBorder="1" applyAlignment="1">
      <alignment horizontal="left" vertical="center"/>
    </xf>
    <xf numFmtId="6" fontId="47" fillId="0" borderId="68" xfId="0" applyNumberFormat="1" applyFont="1" applyBorder="1" applyAlignment="1">
      <alignment horizontal="right" vertical="center"/>
    </xf>
    <xf numFmtId="0" fontId="0" fillId="0" borderId="68" xfId="0" applyFont="1" applyBorder="1" applyAlignment="1">
      <alignment horizontal="right"/>
    </xf>
    <xf numFmtId="8" fontId="47" fillId="0" borderId="68" xfId="0" applyNumberFormat="1" applyFont="1" applyBorder="1" applyAlignment="1">
      <alignment horizontal="right" vertical="center"/>
    </xf>
    <xf numFmtId="0" fontId="47" fillId="0" borderId="68" xfId="0" applyFont="1" applyBorder="1" applyAlignment="1">
      <alignment vertical="center"/>
    </xf>
    <xf numFmtId="8" fontId="44" fillId="0" borderId="95" xfId="0" applyNumberFormat="1" applyFont="1" applyBorder="1" applyAlignment="1">
      <alignment horizontal="right" vertical="center"/>
    </xf>
    <xf numFmtId="0" fontId="47" fillId="0" borderId="97" xfId="0" applyFont="1" applyBorder="1" applyAlignment="1">
      <alignment vertical="center"/>
    </xf>
    <xf numFmtId="6" fontId="47" fillId="0" borderId="97" xfId="0" applyNumberFormat="1" applyFont="1" applyBorder="1" applyAlignment="1">
      <alignment horizontal="right" vertical="center"/>
    </xf>
    <xf numFmtId="0" fontId="0" fillId="0" borderId="97" xfId="0" applyFont="1" applyBorder="1" applyAlignment="1">
      <alignment horizontal="right"/>
    </xf>
    <xf numFmtId="8" fontId="47" fillId="0" borderId="97" xfId="0" applyNumberFormat="1" applyFont="1" applyBorder="1" applyAlignment="1">
      <alignment horizontal="right" vertical="center"/>
    </xf>
    <xf numFmtId="0" fontId="47" fillId="0" borderId="0" xfId="0" applyFont="1" applyBorder="1" applyAlignment="1">
      <alignment vertical="center"/>
    </xf>
    <xf numFmtId="6" fontId="47" fillId="0" borderId="0" xfId="0" applyNumberFormat="1" applyFont="1" applyBorder="1" applyAlignment="1">
      <alignment horizontal="right" vertical="center"/>
    </xf>
    <xf numFmtId="0" fontId="0" fillId="0" borderId="0" xfId="0" applyFont="1" applyBorder="1" applyAlignment="1">
      <alignment horizontal="right"/>
    </xf>
    <xf numFmtId="8" fontId="47" fillId="0" borderId="0" xfId="0" applyNumberFormat="1" applyFont="1" applyBorder="1" applyAlignment="1">
      <alignment horizontal="right" vertical="center"/>
    </xf>
    <xf numFmtId="0" fontId="47" fillId="0" borderId="0" xfId="0" applyFont="1" applyFill="1" applyBorder="1" applyAlignment="1">
      <alignment vertical="center"/>
    </xf>
    <xf numFmtId="0" fontId="0" fillId="0" borderId="0" xfId="0" applyAlignment="1">
      <alignment horizontal="right"/>
    </xf>
    <xf numFmtId="0" fontId="39" fillId="0" borderId="0" xfId="0" applyFont="1" applyAlignment="1">
      <alignment horizontal="right"/>
    </xf>
    <xf numFmtId="0" fontId="45" fillId="0" borderId="68" xfId="0" applyFont="1" applyBorder="1"/>
    <xf numFmtId="0" fontId="0" fillId="0" borderId="5" xfId="0" applyFont="1" applyBorder="1"/>
    <xf numFmtId="0" fontId="0" fillId="0" borderId="5" xfId="0" applyFont="1" applyBorder="1" applyAlignment="1">
      <alignment horizontal="right"/>
    </xf>
    <xf numFmtId="2" fontId="45" fillId="0" borderId="100" xfId="0" applyNumberFormat="1" applyFont="1" applyBorder="1"/>
    <xf numFmtId="0" fontId="0" fillId="0" borderId="100" xfId="0" applyFont="1" applyBorder="1"/>
    <xf numFmtId="0" fontId="44" fillId="0" borderId="0" xfId="0" applyFont="1" applyAlignment="1">
      <alignment horizontal="right"/>
    </xf>
    <xf numFmtId="0" fontId="0" fillId="0" borderId="0" xfId="0" applyFont="1" applyAlignment="1"/>
    <xf numFmtId="8" fontId="44" fillId="0" borderId="0" xfId="0" applyNumberFormat="1" applyFont="1" applyAlignment="1">
      <alignment vertical="center"/>
    </xf>
    <xf numFmtId="2" fontId="0" fillId="0" borderId="0" xfId="0" applyNumberFormat="1" applyFont="1" applyAlignment="1">
      <alignment horizontal="right"/>
    </xf>
    <xf numFmtId="2" fontId="0" fillId="0" borderId="0" xfId="0" applyNumberFormat="1" applyFont="1" applyAlignment="1"/>
    <xf numFmtId="0" fontId="53" fillId="0" borderId="0" xfId="0" applyFont="1"/>
    <xf numFmtId="2" fontId="0" fillId="0" borderId="0" xfId="0" applyNumberFormat="1" applyFont="1"/>
    <xf numFmtId="0" fontId="54" fillId="0" borderId="0" xfId="0" applyFont="1"/>
    <xf numFmtId="0" fontId="54" fillId="0" borderId="0" xfId="0" applyFont="1" applyAlignment="1"/>
    <xf numFmtId="0" fontId="58" fillId="0" borderId="0" xfId="0" applyFont="1"/>
    <xf numFmtId="0" fontId="0" fillId="0" borderId="0" xfId="0" applyAlignment="1">
      <alignment vertical="top"/>
    </xf>
    <xf numFmtId="0" fontId="55" fillId="0" borderId="0" xfId="0" applyFont="1" applyFill="1" applyAlignment="1">
      <alignment vertical="top" wrapText="1"/>
    </xf>
    <xf numFmtId="0" fontId="0" fillId="0" borderId="0" xfId="0" applyFont="1" applyAlignment="1">
      <alignment vertical="top" wrapText="1"/>
    </xf>
    <xf numFmtId="0" fontId="52" fillId="0" borderId="101" xfId="0" applyFont="1" applyBorder="1" applyAlignment="1">
      <alignment wrapText="1"/>
    </xf>
    <xf numFmtId="0" fontId="46" fillId="0" borderId="101" xfId="0" applyFont="1" applyBorder="1" applyAlignment="1">
      <alignment horizontal="right" vertical="center" wrapText="1"/>
    </xf>
    <xf numFmtId="0" fontId="46" fillId="0" borderId="101" xfId="0" applyFont="1" applyBorder="1" applyAlignment="1">
      <alignment horizontal="right" wrapText="1"/>
    </xf>
    <xf numFmtId="2" fontId="45" fillId="0" borderId="0" xfId="0" applyNumberFormat="1" applyFont="1" applyBorder="1" applyAlignment="1">
      <alignment horizontal="center" wrapText="1"/>
    </xf>
    <xf numFmtId="0" fontId="45" fillId="0" borderId="101" xfId="0" applyFont="1" applyBorder="1" applyAlignment="1">
      <alignment horizontal="center" wrapText="1"/>
    </xf>
    <xf numFmtId="0" fontId="0" fillId="0" borderId="0" xfId="0" applyAlignment="1">
      <alignment wrapText="1"/>
    </xf>
    <xf numFmtId="0" fontId="45" fillId="0" borderId="0" xfId="0" applyFont="1"/>
    <xf numFmtId="2" fontId="45" fillId="0" borderId="0" xfId="0" applyNumberFormat="1" applyFont="1" applyBorder="1" applyAlignment="1">
      <alignment horizontal="center"/>
    </xf>
    <xf numFmtId="0" fontId="45" fillId="0" borderId="95" xfId="0" applyFont="1" applyBorder="1"/>
    <xf numFmtId="0" fontId="0" fillId="0" borderId="98" xfId="0" applyFont="1" applyBorder="1"/>
    <xf numFmtId="0" fontId="46" fillId="0" borderId="95" xfId="0" applyFont="1" applyBorder="1"/>
    <xf numFmtId="8" fontId="47" fillId="0" borderId="95" xfId="0" applyNumberFormat="1" applyFont="1" applyBorder="1" applyAlignment="1">
      <alignment horizontal="right" vertical="center"/>
    </xf>
    <xf numFmtId="2" fontId="45" fillId="0" borderId="95" xfId="0" applyNumberFormat="1" applyFont="1" applyBorder="1" applyAlignment="1">
      <alignment horizontal="center"/>
    </xf>
    <xf numFmtId="0" fontId="0" fillId="0" borderId="95" xfId="0" applyFont="1" applyBorder="1"/>
    <xf numFmtId="0" fontId="46" fillId="0" borderId="0" xfId="0" applyFont="1" applyFill="1" applyBorder="1"/>
    <xf numFmtId="0" fontId="0" fillId="0" borderId="0" xfId="0" applyFont="1" applyBorder="1"/>
    <xf numFmtId="8" fontId="0" fillId="0" borderId="0" xfId="0" applyNumberFormat="1" applyFont="1"/>
    <xf numFmtId="0" fontId="54" fillId="0" borderId="0" xfId="0" applyFont="1" applyAlignment="1">
      <alignment horizontal="left" vertical="top"/>
    </xf>
    <xf numFmtId="0" fontId="0" fillId="0" borderId="0" xfId="0" applyFont="1" applyAlignment="1">
      <alignment horizontal="left" vertical="top"/>
    </xf>
    <xf numFmtId="2" fontId="0" fillId="0" borderId="0" xfId="0" applyNumberFormat="1"/>
    <xf numFmtId="0" fontId="50" fillId="0" borderId="0" xfId="0" applyNumberFormat="1" applyFont="1" applyAlignment="1">
      <alignment horizontal="right" vertical="center"/>
    </xf>
    <xf numFmtId="0" fontId="51" fillId="0" borderId="0" xfId="0" applyFont="1" applyAlignment="1">
      <alignment horizontal="right" vertical="center"/>
    </xf>
    <xf numFmtId="1" fontId="44" fillId="0" borderId="95" xfId="0" applyNumberFormat="1" applyFont="1" applyBorder="1" applyAlignment="1">
      <alignment horizontal="right" vertical="center"/>
    </xf>
    <xf numFmtId="3" fontId="44" fillId="0" borderId="0" xfId="0" applyNumberFormat="1" applyFont="1" applyAlignment="1">
      <alignment horizontal="right" vertical="center"/>
    </xf>
    <xf numFmtId="0" fontId="1" fillId="0" borderId="0" xfId="0" applyFont="1" applyAlignment="1">
      <alignment vertical="top"/>
    </xf>
    <xf numFmtId="0" fontId="46" fillId="0" borderId="95" xfId="0" applyFont="1" applyBorder="1" applyAlignment="1"/>
    <xf numFmtId="10" fontId="5" fillId="21" borderId="6" xfId="23" applyNumberFormat="1" applyFont="1" applyFill="1" applyBorder="1" applyAlignment="1">
      <alignment horizontal="center"/>
    </xf>
    <xf numFmtId="9" fontId="5" fillId="21" borderId="6" xfId="23" applyFont="1" applyFill="1" applyBorder="1" applyAlignment="1">
      <alignment horizontal="center"/>
    </xf>
    <xf numFmtId="9" fontId="5" fillId="21" borderId="6" xfId="23" applyNumberFormat="1" applyFont="1" applyFill="1" applyBorder="1" applyAlignment="1">
      <alignment horizontal="center"/>
    </xf>
    <xf numFmtId="164" fontId="5" fillId="21" borderId="6" xfId="23" applyNumberFormat="1" applyFont="1" applyFill="1" applyBorder="1" applyAlignment="1">
      <alignment horizontal="center"/>
    </xf>
    <xf numFmtId="9" fontId="5" fillId="0" borderId="6" xfId="21" applyFont="1" applyFill="1" applyBorder="1" applyAlignment="1">
      <alignment horizontal="center"/>
    </xf>
    <xf numFmtId="175" fontId="36" fillId="0" borderId="20" xfId="8" applyNumberFormat="1" applyFont="1" applyFill="1" applyBorder="1" applyAlignment="1">
      <alignment horizontal="right" vertical="distributed"/>
    </xf>
    <xf numFmtId="0" fontId="4" fillId="27" borderId="0" xfId="0" applyFont="1" applyFill="1" applyBorder="1" applyProtection="1"/>
    <xf numFmtId="0" fontId="62" fillId="27" borderId="0" xfId="0" applyFont="1" applyFill="1" applyBorder="1" applyProtection="1"/>
    <xf numFmtId="0" fontId="63" fillId="27" borderId="0" xfId="0" applyFont="1" applyFill="1" applyBorder="1" applyAlignment="1" applyProtection="1">
      <alignment horizontal="right"/>
    </xf>
    <xf numFmtId="0" fontId="65" fillId="27" borderId="0" xfId="0" applyFont="1" applyFill="1" applyBorder="1" applyAlignment="1" applyProtection="1">
      <alignment horizontal="right"/>
    </xf>
    <xf numFmtId="3" fontId="65" fillId="27" borderId="0" xfId="0" applyNumberFormat="1" applyFont="1" applyFill="1" applyBorder="1" applyProtection="1"/>
    <xf numFmtId="0" fontId="65" fillId="27" borderId="0" xfId="0" applyFont="1" applyFill="1" applyBorder="1" applyAlignment="1" applyProtection="1">
      <alignment horizontal="left"/>
    </xf>
    <xf numFmtId="0" fontId="37" fillId="27" borderId="76" xfId="0" applyFont="1" applyFill="1" applyBorder="1" applyAlignment="1" applyProtection="1">
      <alignment horizontal="left"/>
    </xf>
    <xf numFmtId="0" fontId="66" fillId="27" borderId="59" xfId="0" applyFont="1" applyFill="1" applyBorder="1" applyAlignment="1" applyProtection="1">
      <alignment horizontal="left"/>
    </xf>
    <xf numFmtId="0" fontId="66" fillId="27" borderId="0" xfId="0" applyFont="1" applyFill="1" applyBorder="1" applyAlignment="1" applyProtection="1">
      <alignment horizontal="left"/>
    </xf>
    <xf numFmtId="0" fontId="37" fillId="27" borderId="64" xfId="0" applyFont="1" applyFill="1" applyBorder="1" applyAlignment="1" applyProtection="1">
      <alignment horizontal="left"/>
    </xf>
    <xf numFmtId="0" fontId="61" fillId="27" borderId="0" xfId="0" applyFont="1" applyFill="1" applyBorder="1" applyAlignment="1" applyProtection="1">
      <alignment horizontal="left"/>
    </xf>
    <xf numFmtId="0" fontId="64" fillId="27" borderId="0" xfId="0" applyFont="1" applyFill="1" applyBorder="1" applyAlignment="1" applyProtection="1">
      <alignment horizontal="center"/>
    </xf>
    <xf numFmtId="0" fontId="37" fillId="27" borderId="65" xfId="0" applyFont="1" applyFill="1" applyBorder="1" applyAlignment="1" applyProtection="1">
      <alignment horizontal="left"/>
    </xf>
    <xf numFmtId="0" fontId="61" fillId="27" borderId="0" xfId="8" applyNumberFormat="1" applyFont="1" applyFill="1" applyBorder="1" applyAlignment="1" applyProtection="1">
      <alignment horizontal="center"/>
    </xf>
    <xf numFmtId="0" fontId="37" fillId="27" borderId="0" xfId="0" applyFont="1" applyFill="1" applyBorder="1" applyAlignment="1" applyProtection="1">
      <alignment horizontal="left"/>
    </xf>
    <xf numFmtId="0" fontId="64" fillId="27" borderId="67" xfId="0" applyFont="1" applyFill="1" applyBorder="1" applyAlignment="1" applyProtection="1">
      <alignment horizontal="right"/>
    </xf>
    <xf numFmtId="0" fontId="64" fillId="27" borderId="0" xfId="0" applyFont="1" applyFill="1" applyBorder="1" applyAlignment="1" applyProtection="1">
      <alignment horizontal="right"/>
    </xf>
    <xf numFmtId="0" fontId="37" fillId="27" borderId="35" xfId="0" applyFont="1" applyFill="1" applyBorder="1" applyAlignment="1" applyProtection="1">
      <alignment horizontal="left"/>
    </xf>
    <xf numFmtId="0" fontId="66" fillId="0" borderId="66" xfId="0" applyFont="1" applyBorder="1" applyProtection="1"/>
    <xf numFmtId="0" fontId="61" fillId="27" borderId="0" xfId="0" applyFont="1" applyFill="1" applyBorder="1" applyAlignment="1" applyProtection="1">
      <alignment horizontal="right"/>
    </xf>
    <xf numFmtId="0" fontId="65" fillId="27" borderId="0" xfId="0" applyFont="1" applyFill="1" applyBorder="1" applyProtection="1"/>
    <xf numFmtId="0" fontId="61" fillId="27" borderId="57" xfId="0" applyFont="1" applyFill="1" applyBorder="1" applyProtection="1"/>
    <xf numFmtId="0" fontId="61" fillId="27" borderId="0" xfId="0" applyFont="1" applyFill="1" applyBorder="1" applyProtection="1"/>
    <xf numFmtId="0" fontId="4" fillId="27" borderId="74" xfId="0" applyFont="1" applyFill="1" applyBorder="1" applyProtection="1"/>
    <xf numFmtId="0" fontId="6" fillId="27" borderId="57" xfId="0" applyFont="1" applyFill="1" applyBorder="1" applyProtection="1"/>
    <xf numFmtId="0" fontId="6" fillId="27" borderId="0" xfId="0" applyFont="1" applyFill="1" applyBorder="1" applyProtection="1"/>
    <xf numFmtId="0" fontId="61" fillId="27" borderId="56" xfId="0" applyFont="1" applyFill="1" applyBorder="1" applyProtection="1"/>
    <xf numFmtId="0" fontId="61" fillId="27" borderId="74" xfId="0" applyFont="1" applyFill="1" applyBorder="1" applyProtection="1"/>
    <xf numFmtId="0" fontId="61" fillId="27" borderId="58" xfId="0" applyFont="1" applyFill="1" applyBorder="1" applyProtection="1"/>
    <xf numFmtId="0" fontId="61" fillId="0" borderId="0" xfId="0" applyFont="1" applyProtection="1"/>
    <xf numFmtId="0" fontId="61" fillId="27" borderId="35" xfId="0" applyFont="1" applyFill="1" applyBorder="1" applyProtection="1"/>
    <xf numFmtId="0" fontId="61" fillId="27" borderId="60" xfId="0" applyFont="1" applyFill="1" applyBorder="1" applyProtection="1"/>
    <xf numFmtId="0" fontId="61" fillId="27" borderId="61" xfId="0" applyFont="1" applyFill="1" applyBorder="1" applyProtection="1"/>
    <xf numFmtId="0" fontId="61" fillId="27" borderId="62" xfId="0" applyFont="1" applyFill="1" applyBorder="1" applyProtection="1"/>
    <xf numFmtId="0" fontId="61" fillId="27" borderId="91" xfId="0" applyFont="1" applyFill="1" applyBorder="1" applyProtection="1"/>
    <xf numFmtId="0" fontId="67" fillId="27" borderId="0" xfId="0" applyFont="1" applyFill="1" applyBorder="1"/>
    <xf numFmtId="0" fontId="68" fillId="27" borderId="0" xfId="0" applyFont="1" applyFill="1" applyBorder="1"/>
    <xf numFmtId="0" fontId="61" fillId="27" borderId="37" xfId="0" applyFont="1" applyFill="1" applyBorder="1" applyProtection="1"/>
    <xf numFmtId="0" fontId="61" fillId="27" borderId="68" xfId="0" applyFont="1" applyFill="1" applyBorder="1" applyProtection="1"/>
    <xf numFmtId="0" fontId="61" fillId="27" borderId="69" xfId="0" applyFont="1" applyFill="1" applyBorder="1" applyProtection="1"/>
    <xf numFmtId="0" fontId="4" fillId="27" borderId="74" xfId="0" applyFont="1" applyFill="1" applyBorder="1"/>
    <xf numFmtId="0" fontId="4" fillId="27" borderId="0" xfId="0" applyFont="1" applyFill="1" applyBorder="1"/>
    <xf numFmtId="0" fontId="36" fillId="27" borderId="0" xfId="0" applyFont="1" applyFill="1" applyBorder="1" applyAlignment="1">
      <alignment horizontal="right"/>
    </xf>
    <xf numFmtId="0" fontId="61" fillId="27" borderId="56" xfId="0" applyFont="1" applyFill="1" applyBorder="1"/>
    <xf numFmtId="0" fontId="61" fillId="27" borderId="57" xfId="0" applyFont="1" applyFill="1" applyBorder="1"/>
    <xf numFmtId="0" fontId="37" fillId="27" borderId="76" xfId="0" applyFont="1" applyFill="1" applyBorder="1" applyAlignment="1">
      <alignment horizontal="left"/>
    </xf>
    <xf numFmtId="0" fontId="61" fillId="27" borderId="58" xfId="0" applyFont="1" applyFill="1" applyBorder="1"/>
    <xf numFmtId="0" fontId="61" fillId="0" borderId="0" xfId="0" applyFont="1"/>
    <xf numFmtId="0" fontId="61" fillId="27" borderId="35" xfId="0" applyFont="1" applyFill="1" applyBorder="1"/>
    <xf numFmtId="0" fontId="66" fillId="27" borderId="59" xfId="0" applyFont="1" applyFill="1" applyBorder="1" applyAlignment="1">
      <alignment horizontal="left"/>
    </xf>
    <xf numFmtId="0" fontId="61" fillId="27" borderId="60" xfId="0" applyFont="1" applyFill="1" applyBorder="1"/>
    <xf numFmtId="0" fontId="61" fillId="27" borderId="61" xfId="0" applyFont="1" applyFill="1" applyBorder="1"/>
    <xf numFmtId="0" fontId="37" fillId="27" borderId="0" xfId="0" applyFont="1" applyFill="1" applyBorder="1" applyAlignment="1">
      <alignment horizontal="left"/>
    </xf>
    <xf numFmtId="0" fontId="61" fillId="27" borderId="0" xfId="0" applyFont="1" applyFill="1" applyBorder="1"/>
    <xf numFmtId="0" fontId="61" fillId="27" borderId="62" xfId="0" applyFont="1" applyFill="1" applyBorder="1"/>
    <xf numFmtId="0" fontId="37" fillId="27" borderId="64" xfId="0" applyFont="1" applyFill="1" applyBorder="1" applyAlignment="1">
      <alignment horizontal="left"/>
    </xf>
    <xf numFmtId="0" fontId="61" fillId="27" borderId="0" xfId="0" applyFont="1" applyFill="1" applyBorder="1" applyAlignment="1">
      <alignment horizontal="left"/>
    </xf>
    <xf numFmtId="0" fontId="64" fillId="27" borderId="0" xfId="0" applyFont="1" applyFill="1" applyBorder="1" applyAlignment="1">
      <alignment horizontal="center"/>
    </xf>
    <xf numFmtId="0" fontId="37" fillId="27" borderId="65" xfId="0" applyFont="1" applyFill="1" applyBorder="1" applyAlignment="1">
      <alignment horizontal="left"/>
    </xf>
    <xf numFmtId="0" fontId="66" fillId="0" borderId="66" xfId="0" applyFont="1" applyBorder="1"/>
    <xf numFmtId="0" fontId="63" fillId="27" borderId="0" xfId="0" applyFont="1" applyFill="1" applyBorder="1" applyAlignment="1">
      <alignment horizontal="right"/>
    </xf>
    <xf numFmtId="0" fontId="64" fillId="27" borderId="75" xfId="0" applyFont="1" applyFill="1" applyBorder="1" applyAlignment="1">
      <alignment horizontal="right"/>
    </xf>
    <xf numFmtId="0" fontId="64" fillId="27" borderId="75" xfId="0" applyFont="1" applyFill="1" applyBorder="1" applyAlignment="1">
      <alignment horizontal="center"/>
    </xf>
    <xf numFmtId="0" fontId="64" fillId="27" borderId="75" xfId="0" applyFont="1" applyFill="1" applyBorder="1" applyAlignment="1">
      <alignment horizontal="left"/>
    </xf>
    <xf numFmtId="0" fontId="61" fillId="27" borderId="0" xfId="0" applyFont="1" applyFill="1" applyBorder="1" applyAlignment="1">
      <alignment horizontal="right"/>
    </xf>
    <xf numFmtId="0" fontId="64" fillId="27" borderId="0" xfId="0" applyFont="1" applyFill="1" applyBorder="1" applyAlignment="1">
      <alignment horizontal="right"/>
    </xf>
    <xf numFmtId="173" fontId="37" fillId="27" borderId="0" xfId="8" applyNumberFormat="1" applyFont="1" applyFill="1" applyBorder="1" applyAlignment="1">
      <alignment horizontal="right"/>
    </xf>
    <xf numFmtId="0" fontId="61" fillId="27" borderId="37" xfId="0" applyFont="1" applyFill="1" applyBorder="1"/>
    <xf numFmtId="0" fontId="61" fillId="27" borderId="68" xfId="0" applyFont="1" applyFill="1" applyBorder="1"/>
    <xf numFmtId="0" fontId="61" fillId="27" borderId="69" xfId="0" applyFont="1" applyFill="1" applyBorder="1"/>
    <xf numFmtId="0" fontId="65" fillId="27" borderId="0" xfId="0" applyFont="1" applyFill="1" applyBorder="1" applyAlignment="1">
      <alignment horizontal="right"/>
    </xf>
    <xf numFmtId="0" fontId="61" fillId="27" borderId="75" xfId="0" applyFont="1" applyFill="1" applyBorder="1" applyAlignment="1">
      <alignment horizontal="right"/>
    </xf>
    <xf numFmtId="0" fontId="37" fillId="27" borderId="73" xfId="0" applyFont="1" applyFill="1" applyBorder="1" applyAlignment="1" applyProtection="1">
      <alignment horizontal="left"/>
    </xf>
    <xf numFmtId="0" fontId="61" fillId="27" borderId="63" xfId="0" applyFont="1" applyFill="1" applyBorder="1" applyProtection="1"/>
    <xf numFmtId="0" fontId="64" fillId="27" borderId="75" xfId="0" applyFont="1" applyFill="1" applyBorder="1" applyAlignment="1" applyProtection="1">
      <alignment horizontal="right"/>
    </xf>
    <xf numFmtId="0" fontId="64" fillId="27" borderId="75" xfId="0" applyFont="1" applyFill="1" applyBorder="1" applyAlignment="1" applyProtection="1">
      <alignment horizontal="center"/>
    </xf>
    <xf numFmtId="0" fontId="64" fillId="27" borderId="75" xfId="0" applyFont="1" applyFill="1" applyBorder="1" applyAlignment="1" applyProtection="1">
      <alignment horizontal="left"/>
    </xf>
    <xf numFmtId="0" fontId="63" fillId="27" borderId="0" xfId="0" applyFont="1" applyFill="1" applyBorder="1" applyAlignment="1">
      <alignment horizontal="left"/>
    </xf>
    <xf numFmtId="175" fontId="36" fillId="0" borderId="102" xfId="8" applyNumberFormat="1" applyFont="1" applyFill="1" applyBorder="1" applyAlignment="1">
      <alignment horizontal="right" vertical="distributed"/>
    </xf>
    <xf numFmtId="3" fontId="37" fillId="28" borderId="103" xfId="8" applyNumberFormat="1" applyFont="1" applyFill="1" applyBorder="1" applyAlignment="1" applyProtection="1">
      <alignment horizontal="right"/>
      <protection locked="0"/>
    </xf>
    <xf numFmtId="173" fontId="37" fillId="28" borderId="103" xfId="8" applyNumberFormat="1" applyFont="1" applyFill="1" applyBorder="1" applyAlignment="1" applyProtection="1">
      <alignment horizontal="right"/>
      <protection locked="0"/>
    </xf>
    <xf numFmtId="0" fontId="61" fillId="27" borderId="71" xfId="0" applyFont="1" applyFill="1" applyBorder="1" applyAlignment="1" applyProtection="1">
      <alignment horizontal="right"/>
    </xf>
    <xf numFmtId="0" fontId="61" fillId="27" borderId="67" xfId="0" applyFont="1" applyFill="1" applyBorder="1" applyAlignment="1" applyProtection="1">
      <alignment horizontal="right"/>
    </xf>
    <xf numFmtId="0" fontId="65" fillId="27" borderId="104" xfId="0" applyFont="1" applyFill="1" applyBorder="1" applyAlignment="1" applyProtection="1">
      <alignment horizontal="left"/>
    </xf>
    <xf numFmtId="3" fontId="37" fillId="28" borderId="103" xfId="8" applyNumberFormat="1" applyFont="1" applyFill="1" applyBorder="1" applyAlignment="1" applyProtection="1">
      <alignment horizontal="center"/>
      <protection locked="0"/>
    </xf>
    <xf numFmtId="0" fontId="37" fillId="28" borderId="105" xfId="0" applyFont="1" applyFill="1" applyBorder="1" applyAlignment="1" applyProtection="1">
      <alignment horizontal="left"/>
      <protection locked="0"/>
    </xf>
    <xf numFmtId="0" fontId="61" fillId="28" borderId="106" xfId="0" applyFont="1" applyFill="1" applyBorder="1" applyProtection="1"/>
    <xf numFmtId="9" fontId="37" fillId="28" borderId="20" xfId="8" applyNumberFormat="1" applyFont="1" applyFill="1" applyBorder="1" applyAlignment="1" applyProtection="1">
      <alignment horizontal="center"/>
      <protection locked="0"/>
    </xf>
    <xf numFmtId="172" fontId="37" fillId="28" borderId="20" xfId="8" applyNumberFormat="1" applyFont="1" applyFill="1" applyBorder="1" applyAlignment="1" applyProtection="1">
      <alignment horizontal="right"/>
      <protection locked="0"/>
    </xf>
    <xf numFmtId="0" fontId="61" fillId="27" borderId="107" xfId="0" applyFont="1" applyFill="1" applyBorder="1" applyAlignment="1" applyProtection="1">
      <alignment horizontal="right"/>
    </xf>
    <xf numFmtId="0" fontId="61" fillId="27" borderId="108" xfId="0" applyFont="1" applyFill="1" applyBorder="1" applyAlignment="1" applyProtection="1">
      <alignment horizontal="right"/>
    </xf>
    <xf numFmtId="0" fontId="36" fillId="27" borderId="71" xfId="0" applyFont="1" applyFill="1" applyBorder="1" applyAlignment="1">
      <alignment horizontal="right"/>
    </xf>
    <xf numFmtId="0" fontId="36" fillId="27" borderId="67" xfId="0" applyFont="1" applyFill="1" applyBorder="1" applyAlignment="1">
      <alignment horizontal="right"/>
    </xf>
    <xf numFmtId="3" fontId="37" fillId="28" borderId="20" xfId="8" applyNumberFormat="1" applyFont="1" applyFill="1" applyBorder="1" applyAlignment="1" applyProtection="1">
      <alignment horizontal="right"/>
      <protection locked="0"/>
    </xf>
    <xf numFmtId="175" fontId="37" fillId="28" borderId="20" xfId="8" applyNumberFormat="1" applyFont="1" applyFill="1" applyBorder="1" applyAlignment="1" applyProtection="1">
      <alignment horizontal="right"/>
      <protection locked="0"/>
    </xf>
    <xf numFmtId="173" fontId="37" fillId="28" borderId="20" xfId="8" applyNumberFormat="1" applyFont="1" applyFill="1" applyBorder="1" applyAlignment="1" applyProtection="1">
      <alignment horizontal="right"/>
      <protection locked="0"/>
    </xf>
    <xf numFmtId="173" fontId="61" fillId="0" borderId="20" xfId="8" applyNumberFormat="1" applyFont="1" applyFill="1" applyBorder="1" applyAlignment="1" applyProtection="1">
      <alignment horizontal="right"/>
      <protection locked="0"/>
    </xf>
    <xf numFmtId="173" fontId="61" fillId="0" borderId="102" xfId="8" applyNumberFormat="1" applyFont="1" applyFill="1" applyBorder="1" applyAlignment="1" applyProtection="1">
      <alignment horizontal="right"/>
      <protection locked="0"/>
    </xf>
    <xf numFmtId="0" fontId="61" fillId="27" borderId="74" xfId="0" applyFont="1" applyFill="1" applyBorder="1"/>
    <xf numFmtId="0" fontId="63" fillId="27" borderId="35" xfId="0" applyFont="1" applyFill="1" applyBorder="1" applyAlignment="1">
      <alignment horizontal="left"/>
    </xf>
    <xf numFmtId="0" fontId="61" fillId="27" borderId="70" xfId="0" applyFont="1" applyFill="1" applyBorder="1" applyAlignment="1" applyProtection="1">
      <alignment horizontal="left"/>
    </xf>
    <xf numFmtId="4" fontId="37" fillId="28" borderId="20" xfId="8" applyNumberFormat="1" applyFont="1" applyFill="1" applyBorder="1" applyAlignment="1" applyProtection="1">
      <alignment horizontal="right"/>
      <protection locked="0"/>
    </xf>
    <xf numFmtId="164" fontId="37" fillId="28" borderId="20" xfId="8" applyNumberFormat="1" applyFont="1" applyFill="1" applyBorder="1" applyAlignment="1" applyProtection="1">
      <alignment horizontal="right"/>
      <protection locked="0"/>
    </xf>
    <xf numFmtId="0" fontId="37" fillId="27" borderId="20" xfId="0" applyFont="1" applyFill="1" applyBorder="1" applyAlignment="1" applyProtection="1">
      <alignment horizontal="right"/>
    </xf>
    <xf numFmtId="3" fontId="37" fillId="0" borderId="20" xfId="8" applyNumberFormat="1" applyFont="1" applyFill="1" applyBorder="1" applyAlignment="1" applyProtection="1">
      <alignment horizontal="right"/>
    </xf>
    <xf numFmtId="9" fontId="37" fillId="28" borderId="20" xfId="8" applyNumberFormat="1" applyFont="1" applyFill="1" applyBorder="1" applyAlignment="1" applyProtection="1">
      <alignment horizontal="right"/>
      <protection locked="0"/>
    </xf>
    <xf numFmtId="182" fontId="37" fillId="0" borderId="20" xfId="8" applyNumberFormat="1" applyFont="1" applyFill="1" applyBorder="1" applyAlignment="1" applyProtection="1">
      <alignment horizontal="right"/>
    </xf>
    <xf numFmtId="3" fontId="37" fillId="0" borderId="20" xfId="8" applyNumberFormat="1" applyFont="1" applyFill="1" applyBorder="1" applyAlignment="1" applyProtection="1">
      <alignment horizontal="right"/>
      <protection locked="0"/>
    </xf>
    <xf numFmtId="0" fontId="61" fillId="27" borderId="70" xfId="0" applyFont="1" applyFill="1" applyBorder="1" applyAlignment="1">
      <alignment horizontal="left"/>
    </xf>
    <xf numFmtId="175" fontId="37" fillId="0" borderId="20" xfId="8" applyNumberFormat="1" applyFont="1" applyFill="1" applyBorder="1" applyAlignment="1">
      <alignment horizontal="right"/>
    </xf>
    <xf numFmtId="172" fontId="6" fillId="26" borderId="21" xfId="8" applyNumberFormat="1" applyFont="1" applyFill="1" applyBorder="1"/>
    <xf numFmtId="171" fontId="6" fillId="0" borderId="0" xfId="1" applyNumberFormat="1" applyFont="1"/>
    <xf numFmtId="183" fontId="29" fillId="0" borderId="0" xfId="1" applyNumberFormat="1" applyFont="1" applyBorder="1" applyAlignment="1">
      <alignment horizontal="right"/>
    </xf>
    <xf numFmtId="171" fontId="6" fillId="0" borderId="0" xfId="1" applyNumberFormat="1" applyFont="1" applyBorder="1"/>
    <xf numFmtId="0" fontId="37" fillId="27" borderId="35" xfId="0" applyFont="1" applyFill="1" applyBorder="1" applyAlignment="1">
      <alignment horizontal="left"/>
    </xf>
    <xf numFmtId="164" fontId="6" fillId="2" borderId="109" xfId="21" applyNumberFormat="1" applyFont="1" applyFill="1" applyBorder="1"/>
    <xf numFmtId="9" fontId="5" fillId="27" borderId="6" xfId="21" applyNumberFormat="1" applyFont="1" applyFill="1" applyBorder="1"/>
    <xf numFmtId="169" fontId="5" fillId="0" borderId="6" xfId="23" applyNumberFormat="1" applyFont="1" applyFill="1" applyBorder="1" applyAlignment="1">
      <alignment horizontal="center"/>
    </xf>
    <xf numFmtId="0" fontId="61" fillId="0" borderId="0" xfId="0" applyFont="1" applyFill="1"/>
    <xf numFmtId="173" fontId="5" fillId="21" borderId="6" xfId="0" applyNumberFormat="1" applyFont="1" applyFill="1" applyBorder="1" applyAlignment="1">
      <alignment horizontal="right" wrapText="1" shrinkToFit="1"/>
    </xf>
    <xf numFmtId="1" fontId="6" fillId="0" borderId="110" xfId="0" applyNumberFormat="1" applyFont="1" applyFill="1" applyBorder="1" applyAlignment="1">
      <alignment horizontal="center"/>
    </xf>
    <xf numFmtId="3" fontId="5" fillId="0" borderId="6" xfId="0" applyNumberFormat="1" applyFont="1" applyFill="1" applyBorder="1" applyAlignment="1">
      <alignment horizontal="center" wrapText="1" shrinkToFit="1"/>
    </xf>
    <xf numFmtId="0" fontId="6" fillId="21" borderId="111" xfId="0" applyFont="1" applyFill="1" applyBorder="1" applyAlignment="1">
      <alignment horizontal="center"/>
    </xf>
    <xf numFmtId="0" fontId="6" fillId="2" borderId="109" xfId="0" applyFont="1" applyFill="1" applyBorder="1" applyAlignment="1">
      <alignment horizontal="center"/>
    </xf>
    <xf numFmtId="0" fontId="5" fillId="21" borderId="6" xfId="0" applyFont="1" applyFill="1" applyBorder="1" applyAlignment="1">
      <alignment horizontal="center"/>
    </xf>
    <xf numFmtId="173" fontId="5" fillId="21" borderId="6" xfId="0" applyNumberFormat="1" applyFont="1" applyFill="1" applyBorder="1" applyAlignment="1">
      <alignment horizontal="center" wrapText="1" shrinkToFit="1"/>
    </xf>
    <xf numFmtId="173" fontId="5" fillId="0" borderId="6" xfId="0" applyNumberFormat="1" applyFont="1" applyFill="1" applyBorder="1" applyAlignment="1">
      <alignment horizontal="right" wrapText="1" shrinkToFit="1"/>
    </xf>
    <xf numFmtId="9" fontId="6" fillId="21" borderId="109" xfId="23" applyNumberFormat="1" applyFont="1" applyFill="1" applyBorder="1" applyAlignment="1">
      <alignment horizontal="center"/>
    </xf>
    <xf numFmtId="9" fontId="5" fillId="0" borderId="6" xfId="23" applyNumberFormat="1" applyFont="1" applyFill="1" applyBorder="1" applyAlignment="1">
      <alignment horizontal="center"/>
    </xf>
    <xf numFmtId="9" fontId="6" fillId="2" borderId="109" xfId="23" applyFont="1" applyFill="1" applyBorder="1" applyAlignment="1">
      <alignment horizontal="center"/>
    </xf>
    <xf numFmtId="9" fontId="5" fillId="0" borderId="6" xfId="23" applyFont="1" applyFill="1" applyBorder="1" applyAlignment="1">
      <alignment horizontal="center"/>
    </xf>
    <xf numFmtId="0" fontId="0" fillId="0" borderId="0" xfId="0" applyFont="1" applyAlignment="1"/>
    <xf numFmtId="0" fontId="0" fillId="0" borderId="0" xfId="0" applyFont="1" applyAlignment="1">
      <alignment vertical="top" wrapText="1"/>
    </xf>
    <xf numFmtId="0" fontId="0" fillId="0" borderId="0" xfId="0" applyAlignment="1">
      <alignment wrapText="1"/>
    </xf>
    <xf numFmtId="0" fontId="61" fillId="27" borderId="75" xfId="0" applyFont="1" applyFill="1" applyBorder="1" applyAlignment="1" applyProtection="1">
      <alignment horizontal="right"/>
    </xf>
    <xf numFmtId="173" fontId="61" fillId="27" borderId="20" xfId="8" applyNumberFormat="1" applyFont="1" applyFill="1" applyBorder="1" applyAlignment="1" applyProtection="1">
      <alignment horizontal="right"/>
    </xf>
    <xf numFmtId="3" fontId="61" fillId="27" borderId="20" xfId="8" applyNumberFormat="1" applyFont="1" applyFill="1" applyBorder="1" applyAlignment="1" applyProtection="1">
      <alignment horizontal="right"/>
    </xf>
    <xf numFmtId="0" fontId="14" fillId="19" borderId="3" xfId="0" applyFont="1" applyFill="1" applyBorder="1" applyAlignment="1">
      <alignment horizontal="right"/>
    </xf>
    <xf numFmtId="0" fontId="23" fillId="30" borderId="10" xfId="0" applyFont="1" applyFill="1" applyBorder="1"/>
    <xf numFmtId="0" fontId="14" fillId="30" borderId="3" xfId="0" applyFont="1" applyFill="1" applyBorder="1" applyAlignment="1">
      <alignment horizontal="right"/>
    </xf>
    <xf numFmtId="9" fontId="23" fillId="30" borderId="11" xfId="21" applyFont="1" applyFill="1" applyBorder="1"/>
    <xf numFmtId="175" fontId="70" fillId="28" borderId="20" xfId="8" applyNumberFormat="1" applyFont="1" applyFill="1" applyBorder="1" applyAlignment="1" applyProtection="1">
      <alignment horizontal="right"/>
      <protection locked="0"/>
    </xf>
    <xf numFmtId="0" fontId="6" fillId="0" borderId="0" xfId="0" applyNumberFormat="1" applyFont="1" applyAlignment="1">
      <alignment horizontal="right"/>
    </xf>
    <xf numFmtId="0" fontId="6" fillId="0" borderId="0" xfId="8" applyNumberFormat="1" applyFont="1" applyAlignment="1">
      <alignment horizontal="right"/>
    </xf>
    <xf numFmtId="173" fontId="61" fillId="27" borderId="68" xfId="0" applyNumberFormat="1" applyFont="1" applyFill="1" applyBorder="1" applyProtection="1"/>
    <xf numFmtId="3" fontId="29" fillId="0" borderId="0" xfId="8" applyNumberFormat="1" applyFont="1"/>
    <xf numFmtId="0" fontId="29" fillId="0" borderId="0" xfId="0" applyFont="1" applyAlignment="1">
      <alignment horizontal="left"/>
    </xf>
    <xf numFmtId="3" fontId="29" fillId="0" borderId="0" xfId="8" applyNumberFormat="1" applyFont="1" applyAlignment="1">
      <alignment horizontal="right"/>
    </xf>
    <xf numFmtId="0" fontId="71" fillId="0" borderId="0" xfId="0" applyFont="1" applyAlignment="1">
      <alignment horizontal="right"/>
    </xf>
    <xf numFmtId="0" fontId="71" fillId="0" borderId="68" xfId="0" applyFont="1" applyBorder="1"/>
    <xf numFmtId="0" fontId="65" fillId="27" borderId="0" xfId="0" applyFont="1" applyFill="1" applyBorder="1" applyAlignment="1" applyProtection="1">
      <alignment horizontal="center"/>
    </xf>
    <xf numFmtId="3" fontId="37" fillId="0" borderId="20" xfId="8" applyNumberFormat="1" applyFont="1" applyFill="1" applyBorder="1" applyAlignment="1" applyProtection="1">
      <alignment horizontal="center"/>
    </xf>
    <xf numFmtId="3" fontId="61" fillId="27" borderId="0" xfId="0" applyNumberFormat="1" applyFont="1" applyFill="1" applyBorder="1" applyAlignment="1" applyProtection="1">
      <alignment horizontal="center"/>
    </xf>
    <xf numFmtId="0" fontId="65" fillId="27" borderId="70" xfId="0" applyFont="1" applyFill="1" applyBorder="1" applyAlignment="1" applyProtection="1">
      <alignment horizontal="right"/>
    </xf>
    <xf numFmtId="0" fontId="65" fillId="27" borderId="75" xfId="0" applyFont="1" applyFill="1" applyBorder="1" applyAlignment="1" applyProtection="1">
      <alignment horizontal="right"/>
    </xf>
    <xf numFmtId="0" fontId="61" fillId="27" borderId="75" xfId="0" applyFont="1" applyFill="1" applyBorder="1" applyAlignment="1" applyProtection="1">
      <alignment horizontal="center"/>
    </xf>
    <xf numFmtId="37" fontId="5" fillId="21" borderId="6" xfId="1" applyNumberFormat="1" applyFont="1" applyFill="1" applyBorder="1"/>
    <xf numFmtId="176" fontId="6" fillId="0" borderId="50" xfId="8" applyNumberFormat="1" applyFont="1" applyFill="1" applyBorder="1"/>
    <xf numFmtId="176" fontId="5" fillId="0" borderId="6" xfId="8" applyNumberFormat="1" applyFont="1" applyFill="1" applyBorder="1"/>
    <xf numFmtId="3" fontId="5" fillId="21" borderId="6" xfId="0" applyNumberFormat="1" applyFont="1" applyFill="1" applyBorder="1" applyAlignment="1">
      <alignment horizontal="center"/>
    </xf>
    <xf numFmtId="3" fontId="5" fillId="21" borderId="9" xfId="0" applyNumberFormat="1" applyFont="1" applyFill="1" applyBorder="1" applyAlignment="1">
      <alignment horizontal="center"/>
    </xf>
    <xf numFmtId="172" fontId="6" fillId="21" borderId="31" xfId="0" applyNumberFormat="1" applyFont="1" applyFill="1" applyBorder="1"/>
    <xf numFmtId="172" fontId="5" fillId="0" borderId="6" xfId="0" applyNumberFormat="1" applyFont="1" applyFill="1" applyBorder="1"/>
    <xf numFmtId="0" fontId="61" fillId="27" borderId="70" xfId="0" applyFont="1" applyFill="1" applyBorder="1" applyAlignment="1" applyProtection="1">
      <alignment horizontal="right"/>
    </xf>
    <xf numFmtId="0" fontId="61" fillId="27" borderId="20" xfId="0" applyFont="1" applyFill="1" applyBorder="1" applyAlignment="1" applyProtection="1">
      <alignment horizontal="right"/>
    </xf>
    <xf numFmtId="182" fontId="37" fillId="28" borderId="103" xfId="8" applyNumberFormat="1" applyFont="1" applyFill="1" applyBorder="1" applyAlignment="1" applyProtection="1">
      <alignment horizontal="right"/>
      <protection locked="0"/>
    </xf>
    <xf numFmtId="0" fontId="6" fillId="4" borderId="109" xfId="0" applyFont="1" applyFill="1" applyBorder="1" applyAlignment="1">
      <alignment horizontal="center"/>
    </xf>
    <xf numFmtId="9" fontId="6" fillId="0" borderId="82" xfId="21" applyFont="1" applyFill="1" applyBorder="1"/>
    <xf numFmtId="9" fontId="6" fillId="0" borderId="7" xfId="21" applyFont="1" applyFill="1" applyBorder="1"/>
    <xf numFmtId="9" fontId="6" fillId="0" borderId="6" xfId="21" applyFont="1" applyFill="1" applyBorder="1"/>
    <xf numFmtId="0" fontId="6" fillId="4" borderId="111" xfId="0" applyFont="1" applyFill="1" applyBorder="1" applyAlignment="1">
      <alignment horizontal="right"/>
    </xf>
    <xf numFmtId="0" fontId="6" fillId="0" borderId="7" xfId="0" applyFont="1" applyFill="1" applyBorder="1" applyAlignment="1">
      <alignment horizontal="center"/>
    </xf>
    <xf numFmtId="0" fontId="6" fillId="0" borderId="6" xfId="0" applyFont="1" applyFill="1" applyBorder="1" applyAlignment="1">
      <alignment horizontal="center"/>
    </xf>
    <xf numFmtId="171" fontId="6" fillId="2" borderId="31" xfId="1" applyNumberFormat="1" applyFont="1" applyFill="1" applyBorder="1"/>
    <xf numFmtId="171" fontId="5" fillId="0" borderId="6" xfId="1" applyNumberFormat="1" applyFont="1" applyFill="1" applyBorder="1"/>
    <xf numFmtId="3" fontId="37" fillId="0" borderId="0" xfId="8" applyNumberFormat="1" applyFont="1" applyFill="1" applyBorder="1" applyAlignment="1" applyProtection="1">
      <alignment horizontal="center"/>
    </xf>
    <xf numFmtId="173" fontId="6" fillId="2" borderId="109" xfId="0" applyNumberFormat="1" applyFont="1" applyFill="1" applyBorder="1"/>
    <xf numFmtId="165" fontId="5" fillId="0" borderId="6" xfId="1" applyNumberFormat="1" applyFont="1" applyFill="1" applyBorder="1"/>
    <xf numFmtId="172" fontId="6" fillId="2" borderId="109" xfId="0" applyNumberFormat="1" applyFont="1" applyFill="1" applyBorder="1"/>
    <xf numFmtId="0" fontId="11" fillId="21" borderId="0" xfId="0" applyFont="1" applyFill="1" applyAlignment="1">
      <alignment horizontal="left"/>
    </xf>
    <xf numFmtId="0" fontId="72" fillId="25" borderId="10" xfId="0" applyFont="1" applyFill="1" applyBorder="1"/>
    <xf numFmtId="0" fontId="72" fillId="25" borderId="3" xfId="0" applyFont="1" applyFill="1" applyBorder="1" applyAlignment="1">
      <alignment horizontal="right"/>
    </xf>
    <xf numFmtId="9" fontId="72" fillId="25" borderId="11" xfId="21" applyFont="1" applyFill="1" applyBorder="1"/>
    <xf numFmtId="0" fontId="61" fillId="27" borderId="71" xfId="0" applyFont="1" applyFill="1" applyBorder="1" applyAlignment="1" applyProtection="1">
      <alignment horizontal="left"/>
    </xf>
    <xf numFmtId="0" fontId="73" fillId="25" borderId="10" xfId="0" applyFont="1" applyFill="1" applyBorder="1"/>
    <xf numFmtId="0" fontId="73" fillId="25" borderId="3" xfId="0" applyFont="1" applyFill="1" applyBorder="1" applyAlignment="1">
      <alignment horizontal="right"/>
    </xf>
    <xf numFmtId="9" fontId="73" fillId="25" borderId="11" xfId="21" applyFont="1" applyFill="1" applyBorder="1"/>
    <xf numFmtId="0" fontId="35" fillId="25" borderId="10" xfId="0" applyFont="1" applyFill="1" applyBorder="1"/>
    <xf numFmtId="0" fontId="35" fillId="25" borderId="3" xfId="0" applyFont="1" applyFill="1" applyBorder="1" applyAlignment="1">
      <alignment horizontal="right"/>
    </xf>
    <xf numFmtId="9" fontId="35" fillId="25" borderId="11" xfId="21" applyFont="1" applyFill="1" applyBorder="1"/>
    <xf numFmtId="0" fontId="74" fillId="25" borderId="10" xfId="0" applyFont="1" applyFill="1" applyBorder="1"/>
    <xf numFmtId="0" fontId="74" fillId="25" borderId="3" xfId="0" applyFont="1" applyFill="1" applyBorder="1" applyAlignment="1">
      <alignment horizontal="right"/>
    </xf>
    <xf numFmtId="9" fontId="74" fillId="25" borderId="11" xfId="21" applyFont="1" applyFill="1" applyBorder="1"/>
    <xf numFmtId="0" fontId="75" fillId="25" borderId="10" xfId="0" applyFont="1" applyFill="1" applyBorder="1"/>
    <xf numFmtId="0" fontId="75" fillId="25" borderId="3" xfId="0" applyFont="1" applyFill="1" applyBorder="1" applyAlignment="1">
      <alignment horizontal="right"/>
    </xf>
    <xf numFmtId="9" fontId="75" fillId="25" borderId="11" xfId="21" applyFont="1" applyFill="1" applyBorder="1"/>
    <xf numFmtId="0" fontId="76" fillId="25" borderId="10" xfId="0" applyFont="1" applyFill="1" applyBorder="1"/>
    <xf numFmtId="0" fontId="76" fillId="25" borderId="3" xfId="0" applyFont="1" applyFill="1" applyBorder="1" applyAlignment="1">
      <alignment horizontal="right"/>
    </xf>
    <xf numFmtId="9" fontId="76" fillId="25" borderId="11" xfId="21" applyFont="1" applyFill="1" applyBorder="1"/>
    <xf numFmtId="2" fontId="6" fillId="0" borderId="112" xfId="0" applyNumberFormat="1" applyFont="1" applyFill="1" applyBorder="1"/>
    <xf numFmtId="0" fontId="77" fillId="25" borderId="10" xfId="0" applyFont="1" applyFill="1" applyBorder="1"/>
    <xf numFmtId="0" fontId="77" fillId="25" borderId="3" xfId="0" applyFont="1" applyFill="1" applyBorder="1" applyAlignment="1">
      <alignment horizontal="right"/>
    </xf>
    <xf numFmtId="9" fontId="77" fillId="25" borderId="11" xfId="21" applyFont="1" applyFill="1" applyBorder="1"/>
    <xf numFmtId="4" fontId="7" fillId="0" borderId="0" xfId="0" applyNumberFormat="1" applyFont="1" applyFill="1" applyAlignment="1">
      <alignment horizontal="center"/>
    </xf>
    <xf numFmtId="9" fontId="65" fillId="27" borderId="0" xfId="0" applyNumberFormat="1" applyFont="1" applyFill="1" applyBorder="1" applyAlignment="1" applyProtection="1">
      <alignment horizontal="center"/>
    </xf>
    <xf numFmtId="0" fontId="79" fillId="27" borderId="0" xfId="0" applyFont="1" applyFill="1" applyBorder="1" applyProtection="1"/>
    <xf numFmtId="9" fontId="61" fillId="27" borderId="0" xfId="0" applyNumberFormat="1" applyFont="1" applyFill="1" applyBorder="1" applyProtection="1"/>
    <xf numFmtId="0" fontId="79" fillId="27" borderId="0" xfId="0" applyFont="1" applyFill="1" applyBorder="1" applyAlignment="1" applyProtection="1">
      <alignment horizontal="right"/>
    </xf>
    <xf numFmtId="172" fontId="61" fillId="0" borderId="20" xfId="8" applyNumberFormat="1" applyFont="1" applyFill="1" applyBorder="1" applyAlignment="1" applyProtection="1">
      <alignment horizontal="right"/>
    </xf>
    <xf numFmtId="175" fontId="36" fillId="27" borderId="67" xfId="0" applyNumberFormat="1" applyFont="1" applyFill="1" applyBorder="1" applyAlignment="1">
      <alignment horizontal="right"/>
    </xf>
    <xf numFmtId="3" fontId="70" fillId="28" borderId="20" xfId="8" applyNumberFormat="1" applyFont="1" applyFill="1" applyBorder="1" applyAlignment="1" applyProtection="1">
      <alignment horizontal="right"/>
      <protection locked="0"/>
    </xf>
    <xf numFmtId="172" fontId="6" fillId="0" borderId="21" xfId="18" applyNumberFormat="1" applyFont="1" applyFill="1" applyBorder="1" applyAlignment="1">
      <alignment horizontal="right"/>
    </xf>
    <xf numFmtId="9" fontId="6" fillId="0" borderId="21" xfId="28" applyFont="1" applyFill="1" applyBorder="1" applyAlignment="1">
      <alignment horizontal="center"/>
    </xf>
    <xf numFmtId="9" fontId="6" fillId="0" borderId="30" xfId="28" applyFont="1" applyFill="1" applyBorder="1" applyAlignment="1">
      <alignment horizontal="center"/>
    </xf>
    <xf numFmtId="0" fontId="11" fillId="0" borderId="0" xfId="18" applyFont="1" applyAlignment="1">
      <alignment horizontal="right"/>
    </xf>
    <xf numFmtId="0" fontId="37" fillId="27" borderId="74" xfId="0" applyFont="1" applyFill="1" applyBorder="1" applyAlignment="1">
      <alignment horizontal="left"/>
    </xf>
    <xf numFmtId="175" fontId="80" fillId="28" borderId="20" xfId="8" applyNumberFormat="1" applyFont="1" applyFill="1" applyBorder="1" applyAlignment="1" applyProtection="1">
      <alignment horizontal="right"/>
      <protection locked="0"/>
    </xf>
    <xf numFmtId="164" fontId="5" fillId="0" borderId="0" xfId="21" applyNumberFormat="1" applyFont="1" applyFill="1" applyBorder="1"/>
    <xf numFmtId="0" fontId="6" fillId="31" borderId="10" xfId="0" applyFont="1" applyFill="1" applyBorder="1"/>
    <xf numFmtId="0" fontId="6" fillId="31" borderId="3" xfId="0" applyFont="1" applyFill="1" applyBorder="1" applyAlignment="1">
      <alignment horizontal="right"/>
    </xf>
    <xf numFmtId="9" fontId="6" fillId="31" borderId="11" xfId="21" applyFont="1" applyFill="1" applyBorder="1"/>
    <xf numFmtId="173" fontId="6" fillId="2" borderId="113" xfId="8" applyNumberFormat="1" applyFont="1" applyFill="1" applyBorder="1" applyAlignment="1">
      <alignment horizontal="right"/>
    </xf>
    <xf numFmtId="0" fontId="0" fillId="0" borderId="0" xfId="0" applyFont="1" applyAlignment="1"/>
    <xf numFmtId="0" fontId="0" fillId="0" borderId="0" xfId="0" applyFont="1" applyAlignment="1">
      <alignment vertical="top" wrapText="1"/>
    </xf>
    <xf numFmtId="0" fontId="0" fillId="0" borderId="0" xfId="0" applyAlignment="1">
      <alignment wrapText="1"/>
    </xf>
    <xf numFmtId="1" fontId="6" fillId="0" borderId="0" xfId="0" applyNumberFormat="1" applyFont="1" applyFill="1" applyBorder="1" applyAlignment="1">
      <alignment horizontal="center"/>
    </xf>
    <xf numFmtId="1" fontId="6" fillId="0" borderId="112" xfId="18" applyNumberFormat="1" applyFont="1" applyFill="1" applyBorder="1" applyAlignment="1">
      <alignment horizontal="center"/>
    </xf>
    <xf numFmtId="172" fontId="6" fillId="0" borderId="112" xfId="0" applyNumberFormat="1" applyFont="1" applyFill="1" applyBorder="1" applyAlignment="1">
      <alignment horizontal="right"/>
    </xf>
    <xf numFmtId="10" fontId="6" fillId="0" borderId="0" xfId="21" applyNumberFormat="1" applyFont="1" applyFill="1" applyAlignment="1">
      <alignment horizontal="center"/>
    </xf>
    <xf numFmtId="10" fontId="37" fillId="28" borderId="20" xfId="8" applyNumberFormat="1" applyFont="1" applyFill="1" applyBorder="1" applyAlignment="1" applyProtection="1">
      <alignment horizontal="right"/>
      <protection locked="0"/>
    </xf>
    <xf numFmtId="10" fontId="5" fillId="27" borderId="6" xfId="21" applyNumberFormat="1" applyFont="1" applyFill="1" applyBorder="1"/>
    <xf numFmtId="0" fontId="37" fillId="0" borderId="105" xfId="0" applyFont="1" applyFill="1" applyBorder="1" applyAlignment="1" applyProtection="1">
      <alignment horizontal="left"/>
      <protection locked="0"/>
    </xf>
    <xf numFmtId="0" fontId="61" fillId="0" borderId="106" xfId="0" applyFont="1" applyFill="1" applyBorder="1" applyProtection="1"/>
    <xf numFmtId="0" fontId="37" fillId="27" borderId="67" xfId="0" applyFont="1" applyFill="1" applyBorder="1" applyAlignment="1" applyProtection="1">
      <alignment horizontal="right"/>
    </xf>
    <xf numFmtId="172" fontId="61" fillId="27" borderId="0" xfId="0" applyNumberFormat="1" applyFont="1" applyFill="1" applyBorder="1" applyProtection="1"/>
    <xf numFmtId="182" fontId="61" fillId="0" borderId="103" xfId="8" applyNumberFormat="1" applyFont="1" applyFill="1" applyBorder="1" applyAlignment="1" applyProtection="1">
      <alignment horizontal="right"/>
      <protection locked="0"/>
    </xf>
    <xf numFmtId="175" fontId="61" fillId="0" borderId="103" xfId="8" applyNumberFormat="1" applyFont="1" applyFill="1" applyBorder="1" applyAlignment="1" applyProtection="1">
      <alignment horizontal="right"/>
      <protection locked="0"/>
    </xf>
    <xf numFmtId="3" fontId="61" fillId="0" borderId="103" xfId="8" applyNumberFormat="1" applyFont="1" applyFill="1" applyBorder="1" applyAlignment="1" applyProtection="1">
      <alignment horizontal="right"/>
      <protection locked="0"/>
    </xf>
    <xf numFmtId="3" fontId="6" fillId="0" borderId="14" xfId="0" applyNumberFormat="1" applyFont="1" applyFill="1" applyBorder="1"/>
    <xf numFmtId="8" fontId="0" fillId="0" borderId="0" xfId="0" applyNumberFormat="1" applyFont="1" applyAlignment="1">
      <alignment horizontal="right"/>
    </xf>
    <xf numFmtId="8" fontId="0" fillId="0" borderId="68" xfId="0" applyNumberFormat="1" applyFont="1" applyBorder="1" applyAlignment="1">
      <alignment horizontal="right"/>
    </xf>
    <xf numFmtId="0" fontId="44" fillId="0" borderId="0" xfId="0" applyFont="1" applyFill="1" applyBorder="1" applyAlignment="1">
      <alignment horizontal="right" vertical="center"/>
    </xf>
    <xf numFmtId="0" fontId="1" fillId="0" borderId="0" xfId="0" applyFont="1" applyAlignment="1">
      <alignment horizontal="left"/>
    </xf>
    <xf numFmtId="3" fontId="44" fillId="0" borderId="0" xfId="0" applyNumberFormat="1" applyFont="1" applyAlignment="1">
      <alignment horizontal="left" vertical="center"/>
    </xf>
    <xf numFmtId="0" fontId="61" fillId="27" borderId="82" xfId="0" applyFont="1" applyFill="1" applyBorder="1" applyAlignment="1" applyProtection="1">
      <alignment horizontal="right"/>
    </xf>
    <xf numFmtId="0" fontId="61" fillId="27" borderId="34" xfId="0" applyFont="1" applyFill="1" applyBorder="1" applyAlignment="1" applyProtection="1">
      <alignment horizontal="center"/>
    </xf>
    <xf numFmtId="175" fontId="70" fillId="28" borderId="114" xfId="8" applyNumberFormat="1" applyFont="1" applyFill="1" applyBorder="1" applyAlignment="1" applyProtection="1">
      <alignment horizontal="right"/>
      <protection locked="0"/>
    </xf>
    <xf numFmtId="3" fontId="37" fillId="28" borderId="115" xfId="8" applyNumberFormat="1" applyFont="1" applyFill="1" applyBorder="1" applyAlignment="1" applyProtection="1">
      <alignment horizontal="right"/>
      <protection locked="0"/>
    </xf>
    <xf numFmtId="0" fontId="36" fillId="27" borderId="114" xfId="0" applyFont="1" applyFill="1" applyBorder="1" applyAlignment="1" applyProtection="1">
      <alignment horizontal="right"/>
    </xf>
    <xf numFmtId="0" fontId="36" fillId="27" borderId="115" xfId="0" applyFont="1" applyFill="1" applyBorder="1" applyAlignment="1" applyProtection="1">
      <alignment horizontal="right"/>
    </xf>
    <xf numFmtId="175" fontId="70" fillId="28" borderId="116" xfId="8" applyNumberFormat="1" applyFont="1" applyFill="1" applyBorder="1" applyAlignment="1" applyProtection="1">
      <alignment horizontal="right"/>
      <protection locked="0"/>
    </xf>
    <xf numFmtId="3" fontId="37" fillId="28" borderId="117" xfId="8" applyNumberFormat="1" applyFont="1" applyFill="1" applyBorder="1" applyAlignment="1" applyProtection="1">
      <alignment horizontal="right"/>
      <protection locked="0"/>
    </xf>
    <xf numFmtId="3" fontId="5" fillId="0" borderId="6" xfId="0" applyNumberFormat="1" applyFont="1" applyBorder="1"/>
    <xf numFmtId="0" fontId="61" fillId="27" borderId="82" xfId="0" applyFont="1" applyFill="1" applyBorder="1" applyAlignment="1">
      <alignment horizontal="right"/>
    </xf>
    <xf numFmtId="0" fontId="0" fillId="27" borderId="74" xfId="0" applyFill="1" applyBorder="1"/>
    <xf numFmtId="0" fontId="0" fillId="27" borderId="34" xfId="0" applyFill="1" applyBorder="1"/>
    <xf numFmtId="0" fontId="0" fillId="27" borderId="35" xfId="0" applyFill="1" applyBorder="1"/>
    <xf numFmtId="0" fontId="0" fillId="27" borderId="0" xfId="0" applyFill="1" applyBorder="1"/>
    <xf numFmtId="0" fontId="0" fillId="27" borderId="62" xfId="0" applyFill="1" applyBorder="1"/>
    <xf numFmtId="0" fontId="0" fillId="27" borderId="37" xfId="0" applyFill="1" applyBorder="1"/>
    <xf numFmtId="0" fontId="0" fillId="27" borderId="68" xfId="0" applyFill="1" applyBorder="1"/>
    <xf numFmtId="0" fontId="0" fillId="27" borderId="69" xfId="0" applyFill="1" applyBorder="1"/>
    <xf numFmtId="0" fontId="29" fillId="27" borderId="65" xfId="0" applyFont="1" applyFill="1" applyBorder="1" applyAlignment="1" applyProtection="1">
      <alignment horizontal="left"/>
    </xf>
    <xf numFmtId="0" fontId="79" fillId="27" borderId="0" xfId="0" applyFont="1" applyFill="1" applyBorder="1" applyAlignment="1" applyProtection="1">
      <alignment horizontal="left"/>
    </xf>
    <xf numFmtId="0" fontId="81" fillId="27" borderId="0" xfId="0" applyFont="1" applyFill="1" applyBorder="1" applyProtection="1"/>
    <xf numFmtId="0" fontId="31" fillId="27" borderId="65" xfId="0" applyFont="1" applyFill="1" applyBorder="1" applyAlignment="1" applyProtection="1">
      <alignment horizontal="left"/>
    </xf>
    <xf numFmtId="0" fontId="29" fillId="27" borderId="65" xfId="0" applyFont="1" applyFill="1" applyBorder="1" applyAlignment="1" applyProtection="1">
      <alignment horizontal="right"/>
    </xf>
    <xf numFmtId="0" fontId="29" fillId="27" borderId="118" xfId="0" applyFont="1" applyFill="1" applyBorder="1" applyAlignment="1" applyProtection="1">
      <alignment horizontal="left"/>
    </xf>
    <xf numFmtId="0" fontId="82" fillId="27" borderId="0" xfId="0" applyFont="1" applyFill="1" applyBorder="1" applyProtection="1"/>
    <xf numFmtId="3" fontId="37" fillId="0" borderId="103" xfId="8" applyNumberFormat="1" applyFont="1" applyFill="1" applyBorder="1" applyAlignment="1" applyProtection="1">
      <alignment horizontal="right"/>
      <protection locked="0"/>
    </xf>
    <xf numFmtId="0" fontId="66" fillId="0" borderId="0" xfId="0" applyFont="1" applyBorder="1" applyProtection="1"/>
    <xf numFmtId="168" fontId="5" fillId="0" borderId="21" xfId="0" applyNumberFormat="1" applyFont="1" applyFill="1" applyBorder="1"/>
    <xf numFmtId="166" fontId="5" fillId="0" borderId="21" xfId="1" applyNumberFormat="1" applyFont="1" applyFill="1" applyBorder="1"/>
    <xf numFmtId="3" fontId="37" fillId="28" borderId="18" xfId="8" applyNumberFormat="1" applyFont="1" applyFill="1" applyBorder="1" applyAlignment="1" applyProtection="1">
      <alignment horizontal="right"/>
      <protection locked="0"/>
    </xf>
    <xf numFmtId="0" fontId="65" fillId="27" borderId="119" xfId="0" applyFont="1" applyFill="1" applyBorder="1" applyAlignment="1" applyProtection="1">
      <alignment horizontal="right"/>
    </xf>
    <xf numFmtId="0" fontId="65" fillId="27" borderId="19" xfId="0" applyFont="1" applyFill="1" applyBorder="1" applyAlignment="1" applyProtection="1">
      <alignment horizontal="right"/>
    </xf>
    <xf numFmtId="3" fontId="37" fillId="0" borderId="18" xfId="8" applyNumberFormat="1" applyFont="1" applyFill="1" applyBorder="1" applyAlignment="1" applyProtection="1">
      <alignment horizontal="right"/>
      <protection locked="0"/>
    </xf>
    <xf numFmtId="0" fontId="65" fillId="27" borderId="121" xfId="0" applyFont="1" applyFill="1" applyBorder="1" applyAlignment="1" applyProtection="1">
      <alignment horizontal="right"/>
    </xf>
    <xf numFmtId="0" fontId="65" fillId="27" borderId="95" xfId="0" applyFont="1" applyFill="1" applyBorder="1" applyAlignment="1" applyProtection="1">
      <alignment horizontal="right"/>
    </xf>
    <xf numFmtId="172" fontId="37" fillId="28" borderId="18" xfId="8" applyNumberFormat="1" applyFont="1" applyFill="1" applyBorder="1" applyAlignment="1" applyProtection="1">
      <alignment horizontal="right"/>
      <protection locked="0"/>
    </xf>
    <xf numFmtId="172" fontId="61" fillId="0" borderId="18" xfId="8" applyNumberFormat="1" applyFont="1" applyFill="1" applyBorder="1" applyAlignment="1" applyProtection="1">
      <alignment horizontal="right"/>
    </xf>
    <xf numFmtId="0" fontId="61" fillId="27" borderId="120" xfId="0" applyFont="1" applyFill="1" applyBorder="1" applyAlignment="1" applyProtection="1">
      <alignment horizontal="right"/>
    </xf>
    <xf numFmtId="0" fontId="61" fillId="27" borderId="17" xfId="0" applyFont="1" applyFill="1" applyBorder="1" applyAlignment="1" applyProtection="1">
      <alignment horizontal="right"/>
    </xf>
    <xf numFmtId="172" fontId="61" fillId="0" borderId="20" xfId="8" applyNumberFormat="1" applyFont="1" applyFill="1" applyBorder="1" applyAlignment="1" applyProtection="1">
      <alignment horizontal="right"/>
      <protection locked="0"/>
    </xf>
    <xf numFmtId="9" fontId="65" fillId="27" borderId="0" xfId="0" applyNumberFormat="1" applyFont="1" applyFill="1" applyBorder="1" applyAlignment="1" applyProtection="1">
      <alignment horizontal="right"/>
    </xf>
    <xf numFmtId="9" fontId="6" fillId="0" borderId="72" xfId="21" applyFont="1" applyFill="1" applyBorder="1"/>
    <xf numFmtId="2" fontId="44" fillId="0" borderId="0" xfId="0" applyNumberFormat="1" applyFont="1" applyAlignment="1">
      <alignment horizontal="right" vertical="center"/>
    </xf>
    <xf numFmtId="9" fontId="81" fillId="27" borderId="0" xfId="0" applyNumberFormat="1" applyFont="1" applyFill="1" applyBorder="1" applyAlignment="1" applyProtection="1">
      <alignment horizontal="right"/>
    </xf>
    <xf numFmtId="9" fontId="81" fillId="27" borderId="62" xfId="0" applyNumberFormat="1" applyFont="1" applyFill="1" applyBorder="1"/>
    <xf numFmtId="6" fontId="37" fillId="0" borderId="20" xfId="8" applyNumberFormat="1" applyFont="1" applyFill="1" applyBorder="1" applyAlignment="1" applyProtection="1">
      <alignment horizontal="right"/>
    </xf>
    <xf numFmtId="8" fontId="37" fillId="0" borderId="20" xfId="8" applyNumberFormat="1" applyFont="1" applyFill="1" applyBorder="1" applyAlignment="1" applyProtection="1">
      <alignment horizontal="right"/>
    </xf>
    <xf numFmtId="6" fontId="61" fillId="27" borderId="0" xfId="0" applyNumberFormat="1" applyFont="1" applyFill="1" applyBorder="1" applyAlignment="1" applyProtection="1">
      <alignment horizontal="right"/>
    </xf>
    <xf numFmtId="8" fontId="61" fillId="27" borderId="0" xfId="0" applyNumberFormat="1" applyFont="1" applyFill="1" applyBorder="1" applyAlignment="1" applyProtection="1">
      <alignment horizontal="right"/>
    </xf>
    <xf numFmtId="8" fontId="44" fillId="0" borderId="0" xfId="0" applyNumberFormat="1" applyFont="1" applyBorder="1" applyAlignment="1">
      <alignment horizontal="center" vertical="center"/>
    </xf>
    <xf numFmtId="8" fontId="44" fillId="0" borderId="0" xfId="0" applyNumberFormat="1" applyFont="1" applyBorder="1" applyAlignment="1">
      <alignment horizontal="right" vertical="center"/>
    </xf>
    <xf numFmtId="6" fontId="44" fillId="0" borderId="95" xfId="0" applyNumberFormat="1" applyFont="1" applyBorder="1" applyAlignment="1">
      <alignment horizontal="center" vertical="center"/>
    </xf>
    <xf numFmtId="9" fontId="63" fillId="27" borderId="0" xfId="0" applyNumberFormat="1" applyFont="1" applyFill="1" applyBorder="1" applyAlignment="1" applyProtection="1">
      <alignment horizontal="right"/>
    </xf>
    <xf numFmtId="0" fontId="29" fillId="27" borderId="0" xfId="0" applyFont="1" applyFill="1" applyBorder="1" applyAlignment="1" applyProtection="1">
      <alignment horizontal="right"/>
    </xf>
    <xf numFmtId="0" fontId="31" fillId="27" borderId="0" xfId="0" applyFont="1" applyFill="1" applyBorder="1" applyAlignment="1" applyProtection="1">
      <alignment horizontal="left"/>
    </xf>
    <xf numFmtId="0" fontId="6" fillId="27" borderId="0" xfId="0" applyFont="1" applyFill="1" applyBorder="1"/>
    <xf numFmtId="0" fontId="6" fillId="27" borderId="0" xfId="0" applyFont="1" applyFill="1" applyBorder="1" applyAlignment="1" applyProtection="1">
      <alignment horizontal="left"/>
    </xf>
    <xf numFmtId="0" fontId="84" fillId="27" borderId="0" xfId="0" applyFont="1" applyFill="1" applyBorder="1" applyAlignment="1">
      <alignment horizontal="center"/>
    </xf>
    <xf numFmtId="0" fontId="50" fillId="0" borderId="0" xfId="0" applyNumberFormat="1" applyFont="1" applyAlignment="1">
      <alignment horizontal="right" vertical="center"/>
    </xf>
    <xf numFmtId="0" fontId="51" fillId="0" borderId="0" xfId="0" applyFont="1" applyAlignment="1">
      <alignment horizontal="right" vertical="center"/>
    </xf>
    <xf numFmtId="0" fontId="40" fillId="0" borderId="5" xfId="0" applyFont="1" applyBorder="1" applyAlignment="1">
      <alignment horizontal="center"/>
    </xf>
    <xf numFmtId="0" fontId="0" fillId="0" borderId="5" xfId="0" applyBorder="1" applyAlignment="1"/>
    <xf numFmtId="0" fontId="43" fillId="0" borderId="92" xfId="0" applyFont="1" applyBorder="1" applyAlignment="1">
      <alignment horizontal="center" wrapText="1"/>
    </xf>
    <xf numFmtId="0" fontId="0" fillId="0" borderId="92" xfId="0" applyBorder="1" applyAlignment="1">
      <alignment horizontal="center" wrapText="1"/>
    </xf>
    <xf numFmtId="0" fontId="59" fillId="0" borderId="93" xfId="0" applyFont="1" applyBorder="1" applyAlignment="1">
      <alignment horizontal="left" vertical="top" wrapText="1"/>
    </xf>
    <xf numFmtId="0" fontId="59" fillId="0" borderId="93" xfId="0" applyFont="1" applyBorder="1" applyAlignment="1"/>
    <xf numFmtId="0" fontId="60" fillId="0" borderId="0" xfId="0" applyFont="1" applyFill="1" applyAlignment="1">
      <alignment vertical="top" wrapText="1"/>
    </xf>
    <xf numFmtId="0" fontId="1" fillId="0" borderId="0" xfId="0" applyFont="1" applyAlignment="1">
      <alignment vertical="top" wrapText="1"/>
    </xf>
    <xf numFmtId="0" fontId="56" fillId="0" borderId="95" xfId="0" applyFont="1" applyFill="1" applyBorder="1" applyAlignment="1">
      <alignment vertical="top" wrapText="1"/>
    </xf>
    <xf numFmtId="0" fontId="0" fillId="0" borderId="95" xfId="0" applyBorder="1" applyAlignment="1">
      <alignment vertical="top" wrapText="1"/>
    </xf>
    <xf numFmtId="0" fontId="0" fillId="0" borderId="0" xfId="0" applyFont="1" applyAlignment="1">
      <alignment wrapText="1"/>
    </xf>
    <xf numFmtId="0" fontId="55" fillId="0" borderId="0" xfId="0" applyFont="1" applyAlignment="1">
      <alignment vertical="top" wrapText="1"/>
    </xf>
    <xf numFmtId="0" fontId="0" fillId="0" borderId="0" xfId="0" applyFont="1" applyAlignment="1"/>
    <xf numFmtId="0" fontId="43" fillId="0" borderId="0" xfId="0" applyFont="1" applyAlignment="1">
      <alignment wrapText="1"/>
    </xf>
    <xf numFmtId="0" fontId="56" fillId="0" borderId="0" xfId="0" applyFont="1" applyFill="1" applyAlignment="1">
      <alignment vertical="top" wrapText="1"/>
    </xf>
    <xf numFmtId="0" fontId="0" fillId="0" borderId="0" xfId="0" applyFont="1" applyAlignment="1">
      <alignment vertical="top" wrapText="1"/>
    </xf>
    <xf numFmtId="0" fontId="0" fillId="0" borderId="0" xfId="0" applyFont="1" applyFill="1" applyAlignment="1">
      <alignment horizontal="left" vertical="top" wrapText="1"/>
    </xf>
    <xf numFmtId="0" fontId="0" fillId="0" borderId="0" xfId="0" applyFont="1" applyAlignment="1">
      <alignment horizontal="left" vertical="top" wrapText="1"/>
    </xf>
    <xf numFmtId="0" fontId="0" fillId="0" borderId="0" xfId="0" applyAlignment="1">
      <alignment wrapText="1"/>
    </xf>
  </cellXfs>
  <cellStyles count="29">
    <cellStyle name="Comma" xfId="1" builtinId="3"/>
    <cellStyle name="Comma 2" xfId="2"/>
    <cellStyle name="Comma 2 2" xfId="3"/>
    <cellStyle name="Comma 3" xfId="4"/>
    <cellStyle name="Comma 4" xfId="5"/>
    <cellStyle name="Comma 4 2" xfId="6"/>
    <cellStyle name="Comma 5" xfId="7"/>
    <cellStyle name="Currency" xfId="8" builtinId="4"/>
    <cellStyle name="Currency 2" xfId="9"/>
    <cellStyle name="Currency 2 2" xfId="10"/>
    <cellStyle name="Currency 3" xfId="11"/>
    <cellStyle name="Currency 4" xfId="12"/>
    <cellStyle name="Currency 4 2" xfId="13"/>
    <cellStyle name="Currency 5" xfId="14"/>
    <cellStyle name="Hyperlink" xfId="15" builtinId="8"/>
    <cellStyle name="Hyperlink 2" xfId="16"/>
    <cellStyle name="Hyperlink 2 2" xfId="17"/>
    <cellStyle name="Normal" xfId="0" builtinId="0"/>
    <cellStyle name="Normal 2" xfId="18"/>
    <cellStyle name="Normal 2 2" xfId="19"/>
    <cellStyle name="Normal 3" xfId="20"/>
    <cellStyle name="Percent" xfId="21" builtinId="5"/>
    <cellStyle name="Percent 2" xfId="22"/>
    <cellStyle name="Percent 3" xfId="23"/>
    <cellStyle name="Percent 3 2" xfId="24"/>
    <cellStyle name="Percent 4" xfId="25"/>
    <cellStyle name="Percent 5" xfId="26"/>
    <cellStyle name="Percent 5 2" xfId="27"/>
    <cellStyle name="Percent 6" xfId="28"/>
  </cellStyles>
  <dxfs count="0"/>
  <tableStyles count="0" defaultTableStyle="TableStyleMedium9" defaultPivotStyle="PivotStyleLight16"/>
  <colors>
    <mruColors>
      <color rgb="FF996633"/>
      <color rgb="FFFF99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30</xdr:row>
      <xdr:rowOff>0</xdr:rowOff>
    </xdr:from>
    <xdr:to>
      <xdr:col>12</xdr:col>
      <xdr:colOff>511543</xdr:colOff>
      <xdr:row>37</xdr:row>
      <xdr:rowOff>135193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0" y="5975350"/>
          <a:ext cx="4169143" cy="1513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53</xdr:row>
      <xdr:rowOff>85725</xdr:rowOff>
    </xdr:from>
    <xdr:to>
      <xdr:col>6</xdr:col>
      <xdr:colOff>1371600</xdr:colOff>
      <xdr:row>53</xdr:row>
      <xdr:rowOff>95249</xdr:rowOff>
    </xdr:to>
    <xdr:sp macro="" textlink="">
      <xdr:nvSpPr>
        <xdr:cNvPr id="3" name="Line 4"/>
        <xdr:cNvSpPr>
          <a:spLocks noChangeShapeType="1"/>
        </xdr:cNvSpPr>
      </xdr:nvSpPr>
      <xdr:spPr bwMode="auto">
        <a:xfrm flipV="1">
          <a:off x="5200650" y="960310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54</xdr:row>
      <xdr:rowOff>85725</xdr:rowOff>
    </xdr:from>
    <xdr:to>
      <xdr:col>6</xdr:col>
      <xdr:colOff>1371600</xdr:colOff>
      <xdr:row>54</xdr:row>
      <xdr:rowOff>95249</xdr:rowOff>
    </xdr:to>
    <xdr:sp macro="" textlink="">
      <xdr:nvSpPr>
        <xdr:cNvPr id="3" name="Line 4"/>
        <xdr:cNvSpPr>
          <a:spLocks noChangeShapeType="1"/>
        </xdr:cNvSpPr>
      </xdr:nvSpPr>
      <xdr:spPr bwMode="auto">
        <a:xfrm flipV="1">
          <a:off x="4994910" y="912304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54</xdr:row>
      <xdr:rowOff>85725</xdr:rowOff>
    </xdr:from>
    <xdr:to>
      <xdr:col>6</xdr:col>
      <xdr:colOff>1371600</xdr:colOff>
      <xdr:row>54</xdr:row>
      <xdr:rowOff>95249</xdr:rowOff>
    </xdr:to>
    <xdr:sp macro="" textlink="">
      <xdr:nvSpPr>
        <xdr:cNvPr id="3" name="Line 4"/>
        <xdr:cNvSpPr>
          <a:spLocks noChangeShapeType="1"/>
        </xdr:cNvSpPr>
      </xdr:nvSpPr>
      <xdr:spPr bwMode="auto">
        <a:xfrm flipV="1">
          <a:off x="4994910" y="912304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217715</xdr:colOff>
      <xdr:row>1</xdr:row>
      <xdr:rowOff>21772</xdr:rowOff>
    </xdr:from>
    <xdr:to>
      <xdr:col>18</xdr:col>
      <xdr:colOff>185964</xdr:colOff>
      <xdr:row>2</xdr:row>
      <xdr:rowOff>158932</xdr:rowOff>
    </xdr:to>
    <xdr:pic>
      <xdr:nvPicPr>
        <xdr:cNvPr id="3"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77515" y="250372"/>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5200650" y="960310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50801</xdr:colOff>
      <xdr:row>0</xdr:row>
      <xdr:rowOff>50800</xdr:rowOff>
    </xdr:from>
    <xdr:to>
      <xdr:col>0</xdr:col>
      <xdr:colOff>1238250</xdr:colOff>
      <xdr:row>0</xdr:row>
      <xdr:rowOff>416560</xdr:rowOff>
    </xdr:to>
    <xdr:pic>
      <xdr:nvPicPr>
        <xdr:cNvPr id="2" name="Picture 3" descr="2000UMCECVUSMAL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1" y="50800"/>
          <a:ext cx="1187449"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55</xdr:row>
      <xdr:rowOff>85725</xdr:rowOff>
    </xdr:from>
    <xdr:to>
      <xdr:col>6</xdr:col>
      <xdr:colOff>1371600</xdr:colOff>
      <xdr:row>55</xdr:row>
      <xdr:rowOff>95249</xdr:rowOff>
    </xdr:to>
    <xdr:sp macro="" textlink="">
      <xdr:nvSpPr>
        <xdr:cNvPr id="3" name="Line 4"/>
        <xdr:cNvSpPr>
          <a:spLocks noChangeShapeType="1"/>
        </xdr:cNvSpPr>
      </xdr:nvSpPr>
      <xdr:spPr bwMode="auto">
        <a:xfrm flipV="1">
          <a:off x="4994910" y="8963025"/>
          <a:ext cx="1352550" cy="9524"/>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ASH'S%20STUFF/Research/NE%20RME%20Organic%20Dairy/Conventional%20Dairy%20Crop%20Budgets/ConvDairyCrop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M%20Extension%20Budget%20Factsheets/Calculations%20for%20Fact%20Shee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FAFS/BUDGETS/Dairy%20Budgets/ConvDairy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nsei/Desktop/Machdat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ASH'S%20STUFF/Research/NE%20RME%20Organic%20Dairy/RME%20Organic%20Dairy%20Crop%20Budgets/Organic%20Dairy%20Crop%20Budgets/OrgDairyCrops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FARMBUDGET"/>
      <sheetName val="Land and buildings"/>
      <sheetName val="Herd and Equipment"/>
      <sheetName val="Labor"/>
      <sheetName val="Livestock production"/>
      <sheetName val="Crop production"/>
      <sheetName val="Miscellaneous"/>
      <sheetName val="SCornOwnCosts"/>
      <sheetName val="SCornOperCosts"/>
      <sheetName val="SCornBudget"/>
      <sheetName val="AlfOwnCosts"/>
      <sheetName val="AlfOperCosts"/>
      <sheetName val="AlfBudget"/>
      <sheetName val="HlgOwnCosts"/>
      <sheetName val="HlgOperCosts"/>
      <sheetName val="HlgBudget"/>
      <sheetName val="HayOwnCosts"/>
      <sheetName val="HayOperCosts"/>
      <sheetName val="HayBudget"/>
      <sheetName val="GrzOwnCosts"/>
      <sheetName val="GrzOperCosts"/>
      <sheetName val="GrzBudget"/>
      <sheetName val="GCornOwnCosts"/>
      <sheetName val="GCornOperCosts"/>
      <sheetName val="GCornBudget"/>
      <sheetName val="BarOwnCosts"/>
      <sheetName val="BarOperCosts"/>
      <sheetName val="BarBudget"/>
      <sheetName val="OatOwnCosts"/>
      <sheetName val="OatOperCosts"/>
      <sheetName val="OatBudget"/>
      <sheetName val="WhtOwnCosts"/>
      <sheetName val="WhtOperCosts"/>
      <sheetName val="WhtBudget"/>
      <sheetName val="TrtOwnCosts"/>
      <sheetName val="TrtOperCosts"/>
      <sheetName val="TrtBudget"/>
      <sheetName val="SptOwnCosts"/>
      <sheetName val="SptOperCosts"/>
      <sheetName val="SptBudget"/>
      <sheetName val="SoyOwnCosts"/>
      <sheetName val="SoyOperCosts"/>
      <sheetName val="SoyBudget"/>
      <sheetName val="CROPBUDGET"/>
    </sheetNames>
    <sheetDataSet>
      <sheetData sheetId="0" refreshError="1">
        <row r="36">
          <cell r="B36">
            <v>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s>
    <sheetDataSet>
      <sheetData sheetId="0">
        <row r="1">
          <cell r="A1" t="str">
            <v>Rye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FARMBUDGET"/>
      <sheetName val="Land and buildings"/>
      <sheetName val="Herd and Equipment"/>
      <sheetName val="Labor"/>
      <sheetName val="Livestock production"/>
      <sheetName val="Crop production"/>
      <sheetName val="Miscellaneous"/>
      <sheetName val="SCornOwnCosts"/>
      <sheetName val="SCornOperCosts"/>
      <sheetName val="SCornBudget"/>
      <sheetName val="HayOwnCosts"/>
      <sheetName val="HayOperCosts"/>
      <sheetName val="HayBudget"/>
      <sheetName val="CROPBUDGET"/>
      <sheetName val="CornOwnCosts"/>
      <sheetName val="ConvDairyL"/>
      <sheetName val="CornOperCosts"/>
      <sheetName val="CornBudget"/>
    </sheetNames>
    <sheetDataSet>
      <sheetData sheetId="0"/>
      <sheetData sheetId="1"/>
      <sheetData sheetId="2"/>
      <sheetData sheetId="3"/>
      <sheetData sheetId="4"/>
      <sheetData sheetId="5"/>
      <sheetData sheetId="6" refreshError="1">
        <row r="15">
          <cell r="B15">
            <v>11666.68</v>
          </cell>
        </row>
      </sheetData>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alculate"/>
      <sheetName val="Self-propelled"/>
      <sheetName val="Workspace"/>
      <sheetName val="Sensitivity"/>
      <sheetName val="Parameters"/>
      <sheetName val="Power"/>
      <sheetName val="Implements"/>
      <sheetName val="Costbytype"/>
      <sheetName val="Repair_RemainVal_Coef"/>
    </sheetNames>
    <sheetDataSet>
      <sheetData sheetId="0" refreshError="1"/>
      <sheetData sheetId="1" refreshError="1">
        <row r="37">
          <cell r="G37" t="str">
            <v>105 HP MFWD</v>
          </cell>
        </row>
      </sheetData>
      <sheetData sheetId="2" refreshError="1"/>
      <sheetData sheetId="3" refreshError="1">
        <row r="18">
          <cell r="D18">
            <v>2000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assumptions"/>
      <sheetName val="FARMBUDGET"/>
      <sheetName val="Land and buildings"/>
      <sheetName val="Herd and Equipment"/>
      <sheetName val="Labor"/>
      <sheetName val="Livestock production"/>
      <sheetName val="Crop production"/>
      <sheetName val="Miscellaneous"/>
      <sheetName val="FEEDANALYSIS"/>
      <sheetName val="SCornOwnCosts"/>
      <sheetName val="SCornOperCosts"/>
      <sheetName val="SCornBudget"/>
      <sheetName val="AlfOwnCosts"/>
      <sheetName val="AlfOperCosts"/>
      <sheetName val="AlfBudget"/>
      <sheetName val="HlgOwnCosts"/>
      <sheetName val="HlgOperCosts"/>
      <sheetName val="HlgBudget"/>
      <sheetName val="HayOwnCosts"/>
      <sheetName val="HayOperCosts"/>
      <sheetName val="HayBudget"/>
      <sheetName val="GrzOwnCosts"/>
      <sheetName val="GrzOperCosts"/>
      <sheetName val="GrzBudget"/>
      <sheetName val="GCornOwnCosts"/>
      <sheetName val="GCornOperCosts"/>
      <sheetName val="GCornBudget"/>
      <sheetName val="BarOwnCosts"/>
      <sheetName val="BarOperCosts"/>
      <sheetName val="BarBudget"/>
      <sheetName val="OatOwnCosts"/>
      <sheetName val="OatOperCosts"/>
      <sheetName val="OatBudget"/>
      <sheetName val="WhtOwnCosts"/>
      <sheetName val="WhtOperCosts"/>
      <sheetName val="WhtBudget"/>
      <sheetName val="TrtOwnCosts"/>
      <sheetName val="TrtOperCosts"/>
      <sheetName val="TrtBudget"/>
      <sheetName val="SptOwnCosts"/>
      <sheetName val="SptOperCosts"/>
      <sheetName val="SptBudget"/>
      <sheetName val="SoyOwnCosts"/>
      <sheetName val="SoyOperCosts"/>
      <sheetName val="SoyBudget"/>
      <sheetName val="CROPBUDGET"/>
    </sheetNames>
    <sheetDataSet>
      <sheetData sheetId="0" refreshError="1">
        <row r="34">
          <cell r="B34">
            <v>7</v>
          </cell>
        </row>
        <row r="70">
          <cell r="G70">
            <v>550</v>
          </cell>
        </row>
        <row r="158">
          <cell r="A158" t="str">
            <v xml:space="preserve">      Spread Fertilizer</v>
          </cell>
        </row>
        <row r="159">
          <cell r="A159" t="str">
            <v xml:space="preserve">      Set Up Fences</v>
          </cell>
        </row>
        <row r="160">
          <cell r="A160" t="str">
            <v xml:space="preserve">      Move Cows &amp; Fences</v>
          </cell>
        </row>
        <row r="162">
          <cell r="A162" t="str">
            <v xml:space="preserve">      Mow at End of Grazing Season</v>
          </cell>
        </row>
      </sheetData>
      <sheetData sheetId="1" refreshError="1"/>
      <sheetData sheetId="2" refreshError="1"/>
      <sheetData sheetId="3" refreshError="1"/>
      <sheetData sheetId="4" refreshError="1"/>
      <sheetData sheetId="5" refreshError="1"/>
      <sheetData sheetId="6" refreshError="1">
        <row r="10">
          <cell r="C10">
            <v>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www.uky.edu/Ag/CDBREC/introsheets/straw.pdf" TargetMode="External"/><Relationship Id="rId7" Type="http://schemas.openxmlformats.org/officeDocument/2006/relationships/vmlDrawing" Target="../drawings/vmlDrawing7.vml"/><Relationship Id="rId2" Type="http://schemas.openxmlformats.org/officeDocument/2006/relationships/hyperlink" Target="http://www.omafra.gov.on.ca/english/stats/crops/price_canola.htm" TargetMode="External"/><Relationship Id="rId1" Type="http://schemas.openxmlformats.org/officeDocument/2006/relationships/hyperlink" Target="http://www.omafra.gov.on.ca/english/busdev/facts/pub60a4.htm" TargetMode="External"/><Relationship Id="rId6" Type="http://schemas.openxmlformats.org/officeDocument/2006/relationships/printerSettings" Target="../printerSettings/printerSettings19.bin"/><Relationship Id="rId5" Type="http://schemas.openxmlformats.org/officeDocument/2006/relationships/hyperlink" Target="http://wlazarus.cfans.umn.edu/william-lazarus-spreadsheet-decision-tools/" TargetMode="External"/><Relationship Id="rId4" Type="http://schemas.openxmlformats.org/officeDocument/2006/relationships/hyperlink" Target="http://wlazarus.cfans.umn.edu/william-lazarus-spreadsheet-decision-tool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5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65.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54.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72.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43.bin"/></Relationships>
</file>

<file path=xl/worksheets/_rels/sheet74.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75.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77.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printerSettings" Target="../printerSettings/printerSettings45.bin"/><Relationship Id="rId1" Type="http://schemas.openxmlformats.org/officeDocument/2006/relationships/hyperlink" Target="http://www.omafra.gov.on.ca/english/busdev/facts/pub60a4.htm" TargetMode="External"/><Relationship Id="rId4" Type="http://schemas.openxmlformats.org/officeDocument/2006/relationships/comments" Target="../comments66.xml"/></Relationships>
</file>

<file path=xl/worksheets/_rels/sheet79.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46.bin"/></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69.vml"/><Relationship Id="rId3" Type="http://schemas.openxmlformats.org/officeDocument/2006/relationships/hyperlink" Target="http://arec.oregonstate.edu/oaeb/files/pdf/AEB0003.pdf" TargetMode="External"/><Relationship Id="rId7" Type="http://schemas.openxmlformats.org/officeDocument/2006/relationships/printerSettings" Target="../printerSettings/printerSettings47.bin"/><Relationship Id="rId2" Type="http://schemas.openxmlformats.org/officeDocument/2006/relationships/hyperlink" Target="http://agalternatives.aers.psu.edu/Publications/broccoli.pdf" TargetMode="External"/><Relationship Id="rId1" Type="http://schemas.openxmlformats.org/officeDocument/2006/relationships/hyperlink" Target="http://www.caes.uga.edu/Publications/pubDetail.cfm?pk_id=6370" TargetMode="External"/><Relationship Id="rId6" Type="http://schemas.openxmlformats.org/officeDocument/2006/relationships/hyperlink" Target="http://coststudies.ucdavis.edu/files/broccoli03.pdf" TargetMode="External"/><Relationship Id="rId5" Type="http://schemas.openxmlformats.org/officeDocument/2006/relationships/hyperlink" Target="http://anrcatalog.ucdavis.edu/pdf/8027.pdf" TargetMode="External"/><Relationship Id="rId4" Type="http://schemas.openxmlformats.org/officeDocument/2006/relationships/hyperlink" Target="http://arec.oregonstate.edu/oaeb/files/pdf/EM8960-E.pdf" TargetMode="External"/><Relationship Id="rId9" Type="http://schemas.openxmlformats.org/officeDocument/2006/relationships/comments" Target="../comments69.xml"/></Relationships>
</file>

<file path=xl/worksheets/_rels/sheet82.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83.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tabSelected="1" topLeftCell="A23" zoomScaleNormal="100" workbookViewId="0">
      <selection activeCell="E28" sqref="E28"/>
    </sheetView>
  </sheetViews>
  <sheetFormatPr defaultRowHeight="12.5" x14ac:dyDescent="0.25"/>
  <cols>
    <col min="1" max="1" width="8.81640625" customWidth="1"/>
    <col min="3" max="3" width="9.453125" customWidth="1"/>
    <col min="24" max="24" width="11.36328125" customWidth="1"/>
  </cols>
  <sheetData>
    <row r="1" spans="1:24" ht="21" thickBot="1" x14ac:dyDescent="0.5">
      <c r="A1" s="1086" t="s">
        <v>2219</v>
      </c>
      <c r="B1" s="1100"/>
      <c r="C1" s="1100"/>
      <c r="D1" s="1100"/>
      <c r="E1" s="1100"/>
      <c r="F1" s="1100"/>
      <c r="G1" s="1100"/>
      <c r="H1" s="1100"/>
      <c r="I1" s="1100"/>
      <c r="J1" s="1100"/>
      <c r="K1" s="1100"/>
      <c r="L1" s="1100"/>
      <c r="M1" s="1100"/>
      <c r="N1" s="1100"/>
      <c r="O1" s="1333"/>
      <c r="P1" s="1333"/>
      <c r="Q1" s="1333"/>
      <c r="R1" s="1333"/>
      <c r="S1" s="1102"/>
      <c r="T1" s="1333"/>
      <c r="U1" s="1333"/>
      <c r="V1" s="1333"/>
      <c r="W1" s="1333"/>
      <c r="X1" s="1334"/>
    </row>
    <row r="2" spans="1:24" ht="15.5" x14ac:dyDescent="0.35">
      <c r="A2" s="1341"/>
      <c r="B2" s="1341"/>
      <c r="C2" s="1341"/>
      <c r="D2" s="1341"/>
      <c r="E2" s="1336"/>
      <c r="F2" s="1336"/>
      <c r="G2" s="1336"/>
      <c r="H2" s="1336"/>
      <c r="I2" s="1336"/>
      <c r="J2" s="1336"/>
      <c r="K2" s="1336"/>
      <c r="L2" s="1336"/>
      <c r="M2" s="1336"/>
      <c r="N2" s="1336"/>
      <c r="O2" s="1336"/>
      <c r="P2" s="1336"/>
      <c r="Q2" s="1336"/>
      <c r="R2" s="1336"/>
      <c r="S2" s="1079"/>
      <c r="T2" s="1336"/>
      <c r="U2" s="1336"/>
      <c r="V2" s="1336"/>
      <c r="W2" s="1336"/>
      <c r="X2" s="1337"/>
    </row>
    <row r="3" spans="1:24" ht="15.5" x14ac:dyDescent="0.35">
      <c r="A3" s="1341" t="s">
        <v>2220</v>
      </c>
      <c r="B3" s="1341"/>
      <c r="C3" s="1341"/>
      <c r="D3" s="1341"/>
      <c r="E3" s="1336"/>
      <c r="F3" s="1336"/>
      <c r="G3" s="1336"/>
      <c r="H3" s="1336"/>
      <c r="I3" s="1336"/>
      <c r="J3" s="1336"/>
      <c r="K3" s="1336"/>
      <c r="L3" s="1336"/>
      <c r="M3" s="1336"/>
      <c r="N3" s="1336"/>
      <c r="O3" s="1336"/>
      <c r="P3" s="1336"/>
      <c r="Q3" s="1336"/>
      <c r="R3" s="1336"/>
      <c r="S3" s="1336"/>
      <c r="T3" s="1336"/>
      <c r="U3" s="1336"/>
      <c r="V3" s="1336"/>
      <c r="W3" s="1336"/>
      <c r="X3" s="1337"/>
    </row>
    <row r="4" spans="1:24" ht="15.5" x14ac:dyDescent="0.35">
      <c r="A4" s="1341" t="s">
        <v>2231</v>
      </c>
      <c r="B4" s="1341"/>
      <c r="C4" s="1341"/>
      <c r="D4" s="1341"/>
      <c r="E4" s="1336"/>
      <c r="F4" s="1336"/>
      <c r="G4" s="1336"/>
      <c r="H4" s="1336"/>
      <c r="I4" s="1336"/>
      <c r="J4" s="1336"/>
      <c r="K4" s="1336"/>
      <c r="L4" s="1336"/>
      <c r="M4" s="1336"/>
      <c r="N4" s="1336"/>
      <c r="O4" s="1336"/>
      <c r="P4" s="1336"/>
      <c r="Q4" s="1336"/>
      <c r="R4" s="1336"/>
      <c r="S4" s="1336"/>
      <c r="T4" s="1336"/>
      <c r="U4" s="1336"/>
      <c r="V4" s="1336"/>
      <c r="W4" s="1336"/>
      <c r="X4" s="1337"/>
    </row>
    <row r="5" spans="1:24" ht="15.5" x14ac:dyDescent="0.35">
      <c r="A5" s="1341"/>
      <c r="B5" s="1341"/>
      <c r="C5" s="1341"/>
      <c r="D5" s="1341"/>
      <c r="E5" s="1336"/>
      <c r="F5" s="1336"/>
      <c r="G5" s="1336"/>
      <c r="H5" s="1336"/>
      <c r="I5" s="1336"/>
      <c r="J5" s="1336"/>
      <c r="K5" s="1336"/>
      <c r="L5" s="1336"/>
      <c r="M5" s="1336"/>
      <c r="N5" s="1336"/>
      <c r="O5" s="1336"/>
      <c r="P5" s="1336"/>
      <c r="Q5" s="1336"/>
      <c r="R5" s="1336"/>
      <c r="S5" s="1336"/>
      <c r="T5" s="1336"/>
      <c r="U5" s="1336"/>
      <c r="V5" s="1336"/>
      <c r="W5" s="1336"/>
      <c r="X5" s="1337"/>
    </row>
    <row r="6" spans="1:24" ht="15.5" x14ac:dyDescent="0.35">
      <c r="A6" s="1341" t="s">
        <v>2232</v>
      </c>
      <c r="B6" s="1341"/>
      <c r="C6" s="1341"/>
      <c r="D6" s="1341"/>
      <c r="E6" s="1336"/>
      <c r="F6" s="1336"/>
      <c r="G6" s="1336"/>
      <c r="H6" s="1336"/>
      <c r="I6" s="1336"/>
      <c r="J6" s="1336"/>
      <c r="K6" s="1336"/>
      <c r="L6" s="1336"/>
      <c r="M6" s="1336"/>
      <c r="N6" s="1336"/>
      <c r="O6" s="1336"/>
      <c r="P6" s="1336"/>
      <c r="Q6" s="1336"/>
      <c r="R6" s="1336"/>
      <c r="S6" s="1336"/>
      <c r="T6" s="1336"/>
      <c r="U6" s="1336"/>
      <c r="V6" s="1336"/>
      <c r="W6" s="1336"/>
      <c r="X6" s="1337"/>
    </row>
    <row r="7" spans="1:24" ht="15.5" x14ac:dyDescent="0.35">
      <c r="A7" s="1335"/>
      <c r="B7" s="1345" t="s">
        <v>2221</v>
      </c>
      <c r="C7" s="1344" t="s">
        <v>2233</v>
      </c>
      <c r="D7" s="1336"/>
      <c r="E7" s="1336"/>
      <c r="F7" s="1336"/>
      <c r="G7" s="1336"/>
      <c r="H7" s="1336"/>
      <c r="I7" s="1336"/>
      <c r="J7" s="1336"/>
      <c r="K7" s="1336"/>
      <c r="L7" s="1336"/>
      <c r="M7" s="1336"/>
      <c r="N7" s="1336"/>
      <c r="O7" s="1336"/>
      <c r="P7" s="1336"/>
      <c r="Q7" s="1336"/>
      <c r="R7" s="1336"/>
      <c r="S7" s="1336"/>
      <c r="T7" s="1336"/>
      <c r="U7" s="1336"/>
      <c r="V7" s="1336"/>
      <c r="W7" s="1336"/>
      <c r="X7" s="1337"/>
    </row>
    <row r="8" spans="1:24" ht="15.5" x14ac:dyDescent="0.35">
      <c r="A8" s="1335"/>
      <c r="B8" s="1345" t="s">
        <v>2222</v>
      </c>
      <c r="C8" s="1344" t="s">
        <v>2225</v>
      </c>
      <c r="D8" s="1336"/>
      <c r="E8" s="1336"/>
      <c r="F8" s="1336"/>
      <c r="G8" s="1336"/>
      <c r="H8" s="1336"/>
      <c r="I8" s="1336"/>
      <c r="J8" s="1336"/>
      <c r="K8" s="1336"/>
      <c r="L8" s="1336"/>
      <c r="M8" s="1336"/>
      <c r="N8" s="1336"/>
      <c r="O8" s="1336"/>
      <c r="P8" s="1336"/>
      <c r="Q8" s="1336"/>
      <c r="R8" s="1336"/>
      <c r="S8" s="1336"/>
      <c r="T8" s="1336"/>
      <c r="U8" s="1336"/>
      <c r="V8" s="1336"/>
      <c r="W8" s="1336"/>
      <c r="X8" s="1337"/>
    </row>
    <row r="9" spans="1:24" ht="15.5" x14ac:dyDescent="0.35">
      <c r="A9" s="1335"/>
      <c r="B9" s="1345" t="s">
        <v>2223</v>
      </c>
      <c r="C9" s="1344" t="s">
        <v>2236</v>
      </c>
      <c r="D9" s="1336"/>
      <c r="E9" s="1336"/>
      <c r="F9" s="1336"/>
      <c r="G9" s="1336"/>
      <c r="H9" s="1336"/>
      <c r="I9" s="1336"/>
      <c r="J9" s="1336"/>
      <c r="K9" s="1336"/>
      <c r="L9" s="1336"/>
      <c r="M9" s="1336"/>
      <c r="N9" s="1336"/>
      <c r="O9" s="1336"/>
      <c r="P9" s="1336"/>
      <c r="Q9" s="1336"/>
      <c r="R9" s="1336"/>
      <c r="S9" s="1336"/>
      <c r="T9" s="1336"/>
      <c r="U9" s="1336"/>
      <c r="V9" s="1336"/>
      <c r="W9" s="1336"/>
      <c r="X9" s="1337"/>
    </row>
    <row r="10" spans="1:24" ht="15.5" x14ac:dyDescent="0.35">
      <c r="A10" s="1335"/>
      <c r="B10" s="1345" t="s">
        <v>2224</v>
      </c>
      <c r="C10" s="1344" t="s">
        <v>2235</v>
      </c>
      <c r="D10" s="1336"/>
      <c r="E10" s="1336"/>
      <c r="F10" s="1336"/>
      <c r="G10" s="1336"/>
      <c r="H10" s="1336"/>
      <c r="I10" s="1336"/>
      <c r="J10" s="1336"/>
      <c r="K10" s="1336"/>
      <c r="L10" s="1336"/>
      <c r="M10" s="1336"/>
      <c r="N10" s="1336"/>
      <c r="O10" s="1336"/>
      <c r="P10" s="1336"/>
      <c r="Q10" s="1336"/>
      <c r="R10" s="1336"/>
      <c r="S10" s="1336"/>
      <c r="T10" s="1336"/>
      <c r="U10" s="1336"/>
      <c r="V10" s="1336"/>
      <c r="W10" s="1336"/>
      <c r="X10" s="1337"/>
    </row>
    <row r="11" spans="1:24" ht="15.5" x14ac:dyDescent="0.35">
      <c r="A11" s="1335"/>
      <c r="B11" s="1346"/>
      <c r="C11" s="1341"/>
      <c r="D11" s="1336"/>
      <c r="E11" s="1336"/>
      <c r="F11" s="1336"/>
      <c r="G11" s="1336"/>
      <c r="H11" s="1336"/>
      <c r="I11" s="1336"/>
      <c r="J11" s="1336"/>
      <c r="K11" s="1336"/>
      <c r="L11" s="1336"/>
      <c r="M11" s="1336"/>
      <c r="N11" s="1336"/>
      <c r="O11" s="1336"/>
      <c r="P11" s="1336"/>
      <c r="Q11" s="1336"/>
      <c r="R11" s="1336"/>
      <c r="S11" s="1336"/>
      <c r="T11" s="1336"/>
      <c r="U11" s="1336"/>
      <c r="V11" s="1336"/>
      <c r="W11" s="1336"/>
      <c r="X11" s="1337"/>
    </row>
    <row r="12" spans="1:24" ht="15.5" x14ac:dyDescent="0.35">
      <c r="A12" s="1335"/>
      <c r="B12" s="1341"/>
      <c r="C12" s="1345" t="s">
        <v>2271</v>
      </c>
      <c r="D12" s="1344" t="s">
        <v>2230</v>
      </c>
      <c r="E12" s="1336"/>
      <c r="F12" s="1336"/>
      <c r="G12" s="1336"/>
      <c r="H12" s="1336"/>
      <c r="I12" s="1336"/>
      <c r="J12" s="1336"/>
      <c r="K12" s="1336"/>
      <c r="L12" s="1336"/>
      <c r="M12" s="1336"/>
      <c r="N12" s="1336"/>
      <c r="O12" s="1336"/>
      <c r="P12" s="1336"/>
      <c r="Q12" s="1336"/>
      <c r="R12" s="1336"/>
      <c r="S12" s="1336"/>
      <c r="T12" s="1336"/>
      <c r="U12" s="1336"/>
      <c r="V12" s="1336"/>
      <c r="W12" s="1336"/>
      <c r="X12" s="1337"/>
    </row>
    <row r="13" spans="1:24" ht="15.5" x14ac:dyDescent="0.35">
      <c r="A13" s="1335"/>
      <c r="B13" s="1345" t="s">
        <v>2250</v>
      </c>
      <c r="C13" s="1341" t="s">
        <v>105</v>
      </c>
      <c r="D13" s="1336"/>
      <c r="E13" s="1336"/>
      <c r="F13" s="1336"/>
      <c r="G13" s="1336"/>
      <c r="H13" s="1336"/>
      <c r="I13" s="1336"/>
      <c r="J13" s="1336"/>
      <c r="K13" s="1336"/>
      <c r="L13" s="1336"/>
      <c r="M13" s="1336"/>
      <c r="N13" s="1336"/>
      <c r="O13" s="1336"/>
      <c r="P13" s="1336"/>
      <c r="Q13" s="1336"/>
      <c r="R13" s="1336"/>
      <c r="S13" s="1336"/>
      <c r="T13" s="1336"/>
      <c r="U13" s="1336"/>
      <c r="V13" s="1336"/>
      <c r="W13" s="1336"/>
      <c r="X13" s="1337"/>
    </row>
    <row r="14" spans="1:24" ht="15.5" x14ac:dyDescent="0.35">
      <c r="A14" s="1335"/>
      <c r="B14" s="1345" t="s">
        <v>2251</v>
      </c>
      <c r="C14" s="1341" t="s">
        <v>426</v>
      </c>
      <c r="D14" s="1336"/>
      <c r="E14" s="1336"/>
      <c r="F14" s="1336"/>
      <c r="G14" s="1336"/>
      <c r="H14" s="1336"/>
      <c r="I14" s="1336"/>
      <c r="J14" s="1336"/>
      <c r="K14" s="1336"/>
      <c r="L14" s="1336"/>
      <c r="M14" s="1336"/>
      <c r="N14" s="1336"/>
      <c r="O14" s="1336"/>
      <c r="P14" s="1336"/>
      <c r="Q14" s="1336"/>
      <c r="R14" s="1336"/>
      <c r="S14" s="1336"/>
      <c r="T14" s="1336"/>
      <c r="U14" s="1336"/>
      <c r="V14" s="1336"/>
      <c r="W14" s="1336"/>
      <c r="X14" s="1337"/>
    </row>
    <row r="15" spans="1:24" ht="15.5" x14ac:dyDescent="0.35">
      <c r="A15" s="1335"/>
      <c r="B15" s="1345" t="s">
        <v>2252</v>
      </c>
      <c r="C15" s="1341" t="s">
        <v>522</v>
      </c>
      <c r="D15" s="1336"/>
      <c r="E15" s="1336"/>
      <c r="F15" s="1336"/>
      <c r="G15" s="1336"/>
      <c r="H15" s="1336"/>
      <c r="I15" s="1336"/>
      <c r="J15" s="1336"/>
      <c r="K15" s="1336"/>
      <c r="L15" s="1336"/>
      <c r="M15" s="1336"/>
      <c r="N15" s="1336"/>
      <c r="O15" s="1336"/>
      <c r="P15" s="1336"/>
      <c r="Q15" s="1336"/>
      <c r="R15" s="1336"/>
      <c r="S15" s="1336"/>
      <c r="T15" s="1336"/>
      <c r="U15" s="1336"/>
      <c r="V15" s="1336"/>
      <c r="W15" s="1336"/>
      <c r="X15" s="1337"/>
    </row>
    <row r="16" spans="1:24" ht="15.5" x14ac:dyDescent="0.35">
      <c r="A16" s="1335"/>
      <c r="B16" s="1345" t="s">
        <v>2259</v>
      </c>
      <c r="C16" s="1341" t="s">
        <v>2228</v>
      </c>
      <c r="D16" s="1336"/>
      <c r="E16" s="1336"/>
      <c r="F16" s="1336"/>
      <c r="G16" s="1336"/>
      <c r="H16" s="1336"/>
      <c r="I16" s="1336"/>
      <c r="J16" s="1336"/>
      <c r="K16" s="1336"/>
      <c r="L16" s="1336"/>
      <c r="M16" s="1336"/>
      <c r="N16" s="1336"/>
      <c r="O16" s="1336"/>
      <c r="P16" s="1336"/>
      <c r="Q16" s="1336"/>
      <c r="R16" s="1336"/>
      <c r="S16" s="1336"/>
      <c r="T16" s="1336"/>
      <c r="U16" s="1336"/>
      <c r="V16" s="1336"/>
      <c r="W16" s="1336"/>
      <c r="X16" s="1337"/>
    </row>
    <row r="17" spans="1:24" ht="15.5" x14ac:dyDescent="0.35">
      <c r="A17" s="1335"/>
      <c r="B17" s="1345" t="s">
        <v>2253</v>
      </c>
      <c r="C17" s="1341" t="s">
        <v>2229</v>
      </c>
      <c r="D17" s="1336"/>
      <c r="E17" s="1336"/>
      <c r="F17" s="1336"/>
      <c r="G17" s="1336"/>
      <c r="H17" s="1336"/>
      <c r="I17" s="1336"/>
      <c r="J17" s="1336"/>
      <c r="K17" s="1336"/>
      <c r="L17" s="1336"/>
      <c r="M17" s="1336"/>
      <c r="N17" s="1336"/>
      <c r="O17" s="1336"/>
      <c r="P17" s="1336"/>
      <c r="Q17" s="1336"/>
      <c r="R17" s="1336"/>
      <c r="S17" s="1336"/>
      <c r="T17" s="1336"/>
      <c r="U17" s="1336"/>
      <c r="V17" s="1336"/>
      <c r="W17" s="1336"/>
      <c r="X17" s="1337"/>
    </row>
    <row r="18" spans="1:24" ht="15.5" x14ac:dyDescent="0.35">
      <c r="A18" s="1335"/>
      <c r="B18" s="1345" t="s">
        <v>2254</v>
      </c>
      <c r="C18" s="1341" t="s">
        <v>571</v>
      </c>
      <c r="D18" s="1336"/>
      <c r="E18" s="1336"/>
      <c r="F18" s="1336"/>
      <c r="G18" s="1336"/>
      <c r="H18" s="1336"/>
      <c r="I18" s="1336"/>
      <c r="J18" s="1336"/>
      <c r="K18" s="1336"/>
      <c r="L18" s="1336"/>
      <c r="M18" s="1336"/>
      <c r="N18" s="1336"/>
      <c r="O18" s="1336"/>
      <c r="P18" s="1336"/>
      <c r="Q18" s="1336"/>
      <c r="R18" s="1336"/>
      <c r="S18" s="1336"/>
      <c r="T18" s="1336"/>
      <c r="U18" s="1336"/>
      <c r="V18" s="1336"/>
      <c r="W18" s="1336"/>
      <c r="X18" s="1337"/>
    </row>
    <row r="19" spans="1:24" ht="15.5" x14ac:dyDescent="0.35">
      <c r="A19" s="1335"/>
      <c r="B19" s="1345" t="s">
        <v>2255</v>
      </c>
      <c r="C19" s="1341" t="s">
        <v>572</v>
      </c>
      <c r="D19" s="1336"/>
      <c r="E19" s="1336"/>
      <c r="F19" s="1336"/>
      <c r="G19" s="1336"/>
      <c r="H19" s="1336"/>
      <c r="I19" s="1336"/>
      <c r="J19" s="1336"/>
      <c r="K19" s="1336"/>
      <c r="L19" s="1336"/>
      <c r="M19" s="1336"/>
      <c r="N19" s="1336"/>
      <c r="O19" s="1336"/>
      <c r="P19" s="1336"/>
      <c r="Q19" s="1336"/>
      <c r="R19" s="1336"/>
      <c r="S19" s="1336"/>
      <c r="T19" s="1336"/>
      <c r="U19" s="1336"/>
      <c r="V19" s="1336"/>
      <c r="W19" s="1336"/>
      <c r="X19" s="1337"/>
    </row>
    <row r="20" spans="1:24" ht="15.5" x14ac:dyDescent="0.35">
      <c r="A20" s="1335"/>
      <c r="B20" s="1345" t="s">
        <v>2256</v>
      </c>
      <c r="C20" s="1341" t="s">
        <v>2107</v>
      </c>
      <c r="D20" s="1336"/>
      <c r="E20" s="1336"/>
      <c r="F20" s="1336"/>
      <c r="G20" s="1336"/>
      <c r="H20" s="1336"/>
      <c r="I20" s="1336"/>
      <c r="J20" s="1336"/>
      <c r="K20" s="1336"/>
      <c r="L20" s="1336"/>
      <c r="M20" s="1336"/>
      <c r="N20" s="1336"/>
      <c r="O20" s="1336"/>
      <c r="P20" s="1336"/>
      <c r="Q20" s="1336"/>
      <c r="R20" s="1336"/>
      <c r="S20" s="1336"/>
      <c r="T20" s="1336"/>
      <c r="U20" s="1336"/>
      <c r="V20" s="1336"/>
      <c r="W20" s="1336"/>
      <c r="X20" s="1337"/>
    </row>
    <row r="21" spans="1:24" ht="15.5" x14ac:dyDescent="0.35">
      <c r="A21" s="1335"/>
      <c r="B21" s="1345" t="s">
        <v>2257</v>
      </c>
      <c r="C21" s="1341" t="s">
        <v>1142</v>
      </c>
      <c r="D21" s="1336"/>
      <c r="E21" s="1336"/>
      <c r="F21" s="1336"/>
      <c r="G21" s="1336"/>
      <c r="H21" s="1336"/>
      <c r="I21" s="1336"/>
      <c r="J21" s="1336"/>
      <c r="K21" s="1336"/>
      <c r="L21" s="1336"/>
      <c r="M21" s="1336"/>
      <c r="N21" s="1336"/>
      <c r="O21" s="1336"/>
      <c r="P21" s="1336"/>
      <c r="Q21" s="1336"/>
      <c r="R21" s="1336"/>
      <c r="S21" s="1336"/>
      <c r="T21" s="1336"/>
      <c r="U21" s="1336"/>
      <c r="V21" s="1336"/>
      <c r="W21" s="1336"/>
      <c r="X21" s="1337"/>
    </row>
    <row r="22" spans="1:24" ht="15.5" x14ac:dyDescent="0.35">
      <c r="A22" s="1335"/>
      <c r="B22" s="1345" t="s">
        <v>2258</v>
      </c>
      <c r="C22" s="1341" t="s">
        <v>201</v>
      </c>
      <c r="D22" s="1336"/>
      <c r="E22" s="1336"/>
      <c r="F22" s="1336"/>
      <c r="G22" s="1336"/>
      <c r="H22" s="1336"/>
      <c r="I22" s="1336"/>
      <c r="J22" s="1336"/>
      <c r="K22" s="1336"/>
      <c r="L22" s="1336"/>
      <c r="M22" s="1336"/>
      <c r="N22" s="1336"/>
      <c r="O22" s="1336"/>
      <c r="P22" s="1336"/>
      <c r="Q22" s="1336"/>
      <c r="R22" s="1336"/>
      <c r="S22" s="1336"/>
      <c r="T22" s="1336"/>
      <c r="U22" s="1336"/>
      <c r="V22" s="1336"/>
      <c r="W22" s="1336"/>
      <c r="X22" s="1337"/>
    </row>
    <row r="23" spans="1:24" ht="15.5" x14ac:dyDescent="0.35">
      <c r="A23" s="1335"/>
      <c r="B23" s="1336"/>
      <c r="C23" s="1345"/>
      <c r="D23" s="1336"/>
      <c r="E23" s="1336"/>
      <c r="F23" s="1336"/>
      <c r="G23" s="1336"/>
      <c r="H23" s="1336"/>
      <c r="I23" s="1336"/>
      <c r="J23" s="1336"/>
      <c r="K23" s="1336"/>
      <c r="L23" s="1336"/>
      <c r="M23" s="1336"/>
      <c r="N23" s="1336"/>
      <c r="O23" s="1336"/>
      <c r="P23" s="1336"/>
      <c r="Q23" s="1336"/>
      <c r="R23" s="1336"/>
      <c r="S23" s="1336"/>
      <c r="T23" s="1336"/>
      <c r="U23" s="1336"/>
      <c r="V23" s="1336"/>
      <c r="W23" s="1336"/>
      <c r="X23" s="1337"/>
    </row>
    <row r="24" spans="1:24" ht="15.5" x14ac:dyDescent="0.35">
      <c r="A24" s="1335"/>
      <c r="B24" s="1345" t="s">
        <v>2269</v>
      </c>
      <c r="C24" s="1344" t="s">
        <v>2270</v>
      </c>
      <c r="D24" s="1336"/>
      <c r="E24" s="1336"/>
      <c r="F24" s="1336"/>
      <c r="G24" s="1336"/>
      <c r="H24" s="1336"/>
      <c r="I24" s="1336"/>
      <c r="J24" s="1336"/>
      <c r="K24" s="1336"/>
      <c r="L24" s="1336"/>
      <c r="M24" s="1336"/>
      <c r="N24" s="1336"/>
      <c r="O24" s="1336"/>
      <c r="P24" s="1336"/>
      <c r="Q24" s="1336"/>
      <c r="R24" s="1336"/>
      <c r="S24" s="1336"/>
      <c r="T24" s="1336"/>
      <c r="U24" s="1336"/>
      <c r="V24" s="1336"/>
      <c r="W24" s="1336"/>
      <c r="X24" s="1337"/>
    </row>
    <row r="25" spans="1:24" ht="15.5" x14ac:dyDescent="0.35">
      <c r="A25" s="1335"/>
      <c r="B25" s="1345" t="s">
        <v>2226</v>
      </c>
      <c r="C25" s="1344" t="s">
        <v>2237</v>
      </c>
      <c r="D25" s="1336"/>
      <c r="E25" s="1336"/>
      <c r="F25" s="1336"/>
      <c r="G25" s="1336"/>
      <c r="H25" s="1336"/>
      <c r="I25" s="1336"/>
      <c r="J25" s="1336"/>
      <c r="K25" s="1336"/>
      <c r="L25" s="1336"/>
      <c r="M25" s="1336"/>
      <c r="N25" s="1336"/>
      <c r="O25" s="1336"/>
      <c r="P25" s="1336"/>
      <c r="Q25" s="1336"/>
      <c r="R25" s="1336"/>
      <c r="S25" s="1336"/>
      <c r="T25" s="1336"/>
      <c r="U25" s="1336"/>
      <c r="V25" s="1336"/>
      <c r="W25" s="1336"/>
      <c r="X25" s="1337"/>
    </row>
    <row r="26" spans="1:24" ht="15.5" x14ac:dyDescent="0.35">
      <c r="A26" s="1335"/>
      <c r="B26" s="1345" t="s">
        <v>2227</v>
      </c>
      <c r="C26" s="1344" t="s">
        <v>2238</v>
      </c>
      <c r="D26" s="1336"/>
      <c r="E26" s="1336"/>
      <c r="F26" s="1336"/>
      <c r="G26" s="1336"/>
      <c r="H26" s="1336"/>
      <c r="I26" s="1336"/>
      <c r="J26" s="1336"/>
      <c r="K26" s="1336"/>
      <c r="L26" s="1336"/>
      <c r="M26" s="1336"/>
      <c r="N26" s="1336"/>
      <c r="O26" s="1336"/>
      <c r="P26" s="1336"/>
      <c r="Q26" s="1336"/>
      <c r="R26" s="1336"/>
      <c r="S26" s="1336"/>
      <c r="T26" s="1336"/>
      <c r="U26" s="1336"/>
      <c r="V26" s="1336"/>
      <c r="W26" s="1336"/>
      <c r="X26" s="1337"/>
    </row>
    <row r="27" spans="1:24" ht="15.5" x14ac:dyDescent="0.35">
      <c r="A27" s="1335"/>
      <c r="B27" s="1376"/>
      <c r="C27" s="1377"/>
      <c r="D27" s="1336"/>
      <c r="E27" s="1336"/>
      <c r="F27" s="1336"/>
      <c r="G27" s="1336"/>
      <c r="H27" s="1336"/>
      <c r="I27" s="1336"/>
      <c r="J27" s="1336"/>
      <c r="K27" s="1336"/>
      <c r="L27" s="1336"/>
      <c r="M27" s="1336"/>
      <c r="N27" s="1336"/>
      <c r="O27" s="1336"/>
      <c r="P27" s="1336"/>
      <c r="Q27" s="1336"/>
      <c r="R27" s="1336"/>
      <c r="S27" s="1336"/>
      <c r="T27" s="1336"/>
      <c r="U27" s="1336"/>
      <c r="V27" s="1336"/>
      <c r="W27" s="1336"/>
      <c r="X27" s="1337"/>
    </row>
    <row r="28" spans="1:24" ht="15.5" x14ac:dyDescent="0.35">
      <c r="A28" s="1335"/>
      <c r="B28" s="1376"/>
      <c r="C28" s="1377"/>
      <c r="D28" s="1336"/>
      <c r="E28" s="1336"/>
      <c r="F28" s="1336"/>
      <c r="G28" s="1336"/>
      <c r="H28" s="1336"/>
      <c r="I28" s="1336"/>
      <c r="J28" s="1336"/>
      <c r="K28" s="1336"/>
      <c r="L28" s="1336"/>
      <c r="M28" s="1336"/>
      <c r="N28" s="1336"/>
      <c r="O28" s="1336"/>
      <c r="P28" s="1336"/>
      <c r="Q28" s="1336"/>
      <c r="R28" s="1336"/>
      <c r="S28" s="1336"/>
      <c r="T28" s="1336"/>
      <c r="U28" s="1336"/>
      <c r="V28" s="1336"/>
      <c r="W28" s="1336"/>
      <c r="X28" s="1337"/>
    </row>
    <row r="29" spans="1:24" ht="15.5" x14ac:dyDescent="0.35">
      <c r="A29" s="1335"/>
      <c r="B29" s="1376"/>
      <c r="C29" s="1377"/>
      <c r="D29" s="1336"/>
      <c r="E29" s="1336"/>
      <c r="F29" s="1336"/>
      <c r="G29" s="1336"/>
      <c r="H29" s="1336"/>
      <c r="I29" s="1336"/>
      <c r="J29" s="1336"/>
      <c r="K29" s="1336"/>
      <c r="L29" s="1336"/>
      <c r="M29" s="1336"/>
      <c r="N29" s="1336"/>
      <c r="O29" s="1336"/>
      <c r="P29" s="1336"/>
      <c r="Q29" s="1336"/>
      <c r="R29" s="1336"/>
      <c r="S29" s="1336"/>
      <c r="T29" s="1336"/>
      <c r="U29" s="1336"/>
      <c r="V29" s="1336"/>
      <c r="W29" s="1336"/>
      <c r="X29" s="1337"/>
    </row>
    <row r="30" spans="1:24" ht="15.5" x14ac:dyDescent="0.35">
      <c r="A30" s="1335"/>
      <c r="B30" s="1376"/>
      <c r="C30" s="1379" t="s">
        <v>2279</v>
      </c>
      <c r="D30" s="1376"/>
      <c r="E30" s="1336"/>
      <c r="F30" s="1336"/>
      <c r="G30" s="1336"/>
      <c r="H30" s="1378"/>
      <c r="I30" s="1336"/>
      <c r="J30" s="1336"/>
      <c r="K30" s="1336"/>
      <c r="L30" s="1336"/>
      <c r="M30" s="1336"/>
      <c r="N30" s="1336"/>
      <c r="O30" s="1336"/>
      <c r="P30" s="1336"/>
      <c r="Q30" s="1336"/>
      <c r="R30" s="1336"/>
      <c r="S30" s="1336"/>
      <c r="T30" s="1336"/>
      <c r="U30" s="1336"/>
      <c r="V30" s="1336"/>
      <c r="W30" s="1336"/>
      <c r="X30" s="1337"/>
    </row>
    <row r="31" spans="1:24" ht="15.5" x14ac:dyDescent="0.35">
      <c r="A31" s="1335"/>
      <c r="B31" s="1376"/>
      <c r="C31" s="1377"/>
      <c r="D31" s="1336"/>
      <c r="E31" s="1336"/>
      <c r="F31" s="1336"/>
      <c r="G31" s="1336"/>
      <c r="H31" s="1336"/>
      <c r="I31" s="1336"/>
      <c r="J31" s="1336"/>
      <c r="K31" s="1336"/>
      <c r="L31" s="1336"/>
      <c r="M31" s="1336"/>
      <c r="N31" s="1336"/>
      <c r="O31" s="1336"/>
      <c r="P31" s="1336"/>
      <c r="Q31" s="1336"/>
      <c r="R31" s="1336"/>
      <c r="S31" s="1336"/>
      <c r="T31" s="1336"/>
      <c r="U31" s="1336"/>
      <c r="V31" s="1336"/>
      <c r="W31" s="1336"/>
      <c r="X31" s="1337"/>
    </row>
    <row r="32" spans="1:24" ht="15.5" x14ac:dyDescent="0.35">
      <c r="A32" s="1335"/>
      <c r="B32" s="1376"/>
      <c r="C32" s="1377"/>
      <c r="D32" s="1336"/>
      <c r="E32" s="1336"/>
      <c r="F32" s="1336"/>
      <c r="G32" s="1336"/>
      <c r="H32" s="1336"/>
      <c r="I32" s="1336"/>
      <c r="J32" s="1336"/>
      <c r="K32" s="1336"/>
      <c r="L32" s="1336"/>
      <c r="M32" s="1336"/>
      <c r="N32" s="1336"/>
      <c r="O32" s="1336"/>
      <c r="P32" s="1336"/>
      <c r="Q32" s="1336"/>
      <c r="R32" s="1336"/>
      <c r="S32" s="1336"/>
      <c r="T32" s="1336"/>
      <c r="U32" s="1336"/>
      <c r="V32" s="1336"/>
      <c r="W32" s="1336"/>
      <c r="X32" s="1337"/>
    </row>
    <row r="33" spans="1:24" ht="15.5" x14ac:dyDescent="0.35">
      <c r="A33" s="1335"/>
      <c r="B33" s="1376"/>
      <c r="C33" s="1377"/>
      <c r="D33" s="1336"/>
      <c r="E33" s="1336"/>
      <c r="F33" s="1336"/>
      <c r="G33" s="1336"/>
      <c r="H33" s="1336"/>
      <c r="I33" s="1336"/>
      <c r="J33" s="1336"/>
      <c r="K33" s="1336"/>
      <c r="L33" s="1336"/>
      <c r="M33" s="1336"/>
      <c r="N33" s="1336"/>
      <c r="O33" s="1336"/>
      <c r="P33" s="1336"/>
      <c r="Q33" s="1336"/>
      <c r="R33" s="1336"/>
      <c r="S33" s="1336"/>
      <c r="T33" s="1336"/>
      <c r="U33" s="1336"/>
      <c r="V33" s="1336"/>
      <c r="W33" s="1336"/>
      <c r="X33" s="1337"/>
    </row>
    <row r="34" spans="1:24" ht="15.5" x14ac:dyDescent="0.35">
      <c r="A34" s="1335"/>
      <c r="B34" s="1376"/>
      <c r="C34" s="1377"/>
      <c r="D34" s="1336"/>
      <c r="E34" s="1336"/>
      <c r="F34" s="1336"/>
      <c r="G34" s="1336"/>
      <c r="H34" s="1336"/>
      <c r="I34" s="1336"/>
      <c r="J34" s="1336"/>
      <c r="K34" s="1336"/>
      <c r="L34" s="1336"/>
      <c r="M34" s="1336"/>
      <c r="N34" s="1336"/>
      <c r="O34" s="1336"/>
      <c r="P34" s="1336"/>
      <c r="Q34" s="1336"/>
      <c r="R34" s="1336"/>
      <c r="S34" s="1336"/>
      <c r="T34" s="1336"/>
      <c r="U34" s="1336"/>
      <c r="V34" s="1336"/>
      <c r="W34" s="1336"/>
      <c r="X34" s="1337"/>
    </row>
    <row r="35" spans="1:24" ht="15.5" x14ac:dyDescent="0.35">
      <c r="A35" s="1335"/>
      <c r="B35" s="1376"/>
      <c r="C35" s="1377"/>
      <c r="D35" s="1336"/>
      <c r="E35" s="1336"/>
      <c r="F35" s="1336"/>
      <c r="G35" s="1336"/>
      <c r="H35" s="1336"/>
      <c r="I35" s="1336"/>
      <c r="J35" s="1336"/>
      <c r="K35" s="1336"/>
      <c r="L35" s="1336"/>
      <c r="M35" s="1336"/>
      <c r="N35" s="1336"/>
      <c r="O35" s="1336"/>
      <c r="P35" s="1336"/>
      <c r="Q35" s="1336"/>
      <c r="R35" s="1336"/>
      <c r="S35" s="1336"/>
      <c r="T35" s="1336"/>
      <c r="U35" s="1336"/>
      <c r="V35" s="1336"/>
      <c r="W35" s="1336"/>
      <c r="X35" s="1337"/>
    </row>
    <row r="36" spans="1:24" ht="15.5" x14ac:dyDescent="0.35">
      <c r="A36" s="1335"/>
      <c r="B36" s="1376"/>
      <c r="C36" s="1377"/>
      <c r="D36" s="1336"/>
      <c r="E36" s="1336"/>
      <c r="F36" s="1336"/>
      <c r="G36" s="1336"/>
      <c r="H36" s="1336"/>
      <c r="I36" s="1336"/>
      <c r="J36" s="1336"/>
      <c r="K36" s="1336"/>
      <c r="L36" s="1336"/>
      <c r="M36" s="1336"/>
      <c r="N36" s="1336"/>
      <c r="O36" s="1336"/>
      <c r="P36" s="1336"/>
      <c r="Q36" s="1336"/>
      <c r="R36" s="1336"/>
      <c r="S36" s="1336"/>
      <c r="T36" s="1336"/>
      <c r="U36" s="1336"/>
      <c r="V36" s="1336"/>
      <c r="W36" s="1336"/>
      <c r="X36" s="1337"/>
    </row>
    <row r="37" spans="1:24" ht="15.5" x14ac:dyDescent="0.35">
      <c r="A37" s="1335"/>
      <c r="B37" s="1376"/>
      <c r="C37" s="1377"/>
      <c r="D37" s="1336"/>
      <c r="E37" s="1336"/>
      <c r="F37" s="1336"/>
      <c r="G37" s="1336"/>
      <c r="H37" s="1336"/>
      <c r="I37" s="1336"/>
      <c r="J37" s="1336"/>
      <c r="K37" s="1336"/>
      <c r="L37" s="1336"/>
      <c r="M37" s="1336"/>
      <c r="N37" s="1336"/>
      <c r="O37" s="1336"/>
      <c r="P37" s="1336"/>
      <c r="Q37" s="1336"/>
      <c r="R37" s="1336"/>
      <c r="S37" s="1336"/>
      <c r="T37" s="1336"/>
      <c r="U37" s="1336"/>
      <c r="V37" s="1336"/>
      <c r="W37" s="1336"/>
      <c r="X37" s="1337"/>
    </row>
    <row r="38" spans="1:24" ht="15.5" x14ac:dyDescent="0.35">
      <c r="A38" s="1335"/>
      <c r="B38" s="1376"/>
      <c r="C38" s="1377"/>
      <c r="D38" s="1336"/>
      <c r="E38" s="1336"/>
      <c r="F38" s="1336"/>
      <c r="G38" s="1336"/>
      <c r="H38" s="1336"/>
      <c r="I38" s="1336"/>
      <c r="J38" s="1336"/>
      <c r="K38" s="1336"/>
      <c r="L38" s="1336"/>
      <c r="M38" s="1336"/>
      <c r="N38" s="1336"/>
      <c r="O38" s="1336"/>
      <c r="P38" s="1336"/>
      <c r="Q38" s="1336"/>
      <c r="R38" s="1336"/>
      <c r="S38" s="1336"/>
      <c r="T38" s="1336"/>
      <c r="U38" s="1336"/>
      <c r="V38" s="1336"/>
      <c r="W38" s="1336"/>
      <c r="X38" s="1337"/>
    </row>
    <row r="39" spans="1:24" ht="15.5" x14ac:dyDescent="0.35">
      <c r="A39" s="1335"/>
      <c r="B39" s="1376"/>
      <c r="C39" s="1377"/>
      <c r="D39" s="1336"/>
      <c r="E39" s="1336"/>
      <c r="F39" s="1336"/>
      <c r="G39" s="1336"/>
      <c r="H39" s="1336"/>
      <c r="I39" s="1336"/>
      <c r="J39" s="1336"/>
      <c r="K39" s="1336"/>
      <c r="L39" s="1336"/>
      <c r="M39" s="1336"/>
      <c r="N39" s="1336"/>
      <c r="O39" s="1336"/>
      <c r="P39" s="1336"/>
      <c r="Q39" s="1336"/>
      <c r="R39" s="1336"/>
      <c r="S39" s="1336"/>
      <c r="T39" s="1336"/>
      <c r="U39" s="1336"/>
      <c r="V39" s="1336"/>
      <c r="W39" s="1336"/>
      <c r="X39" s="1337"/>
    </row>
    <row r="40" spans="1:24" ht="8" customHeight="1" x14ac:dyDescent="0.35">
      <c r="A40" s="1335"/>
      <c r="B40" s="1376"/>
      <c r="C40" s="1377"/>
      <c r="D40" s="1377"/>
      <c r="E40" s="1336"/>
      <c r="F40" s="1336"/>
      <c r="G40" s="1336"/>
      <c r="H40" s="1336"/>
      <c r="I40" s="1376"/>
      <c r="J40" s="1380" t="s">
        <v>2278</v>
      </c>
      <c r="K40" s="1336"/>
      <c r="L40" s="1336"/>
      <c r="M40" s="1336"/>
      <c r="N40" s="1336"/>
      <c r="O40" s="1336"/>
      <c r="P40" s="1336"/>
      <c r="Q40" s="1336"/>
      <c r="R40" s="1336"/>
      <c r="S40" s="1336"/>
      <c r="T40" s="1336"/>
      <c r="U40" s="1336"/>
      <c r="V40" s="1336"/>
      <c r="W40" s="1336"/>
      <c r="X40" s="1337"/>
    </row>
    <row r="41" spans="1:24" ht="8" customHeight="1" x14ac:dyDescent="0.35">
      <c r="A41" s="1335"/>
      <c r="B41" s="1376"/>
      <c r="C41" s="1377"/>
      <c r="D41" s="1377"/>
      <c r="E41" s="1336"/>
      <c r="F41" s="1336"/>
      <c r="G41" s="1336"/>
      <c r="H41" s="1336"/>
      <c r="I41" s="1376"/>
      <c r="J41" s="1380" t="s">
        <v>2277</v>
      </c>
      <c r="K41" s="1336"/>
      <c r="L41" s="1336"/>
      <c r="M41" s="1336"/>
      <c r="N41" s="1336"/>
      <c r="O41" s="1336"/>
      <c r="P41" s="1336"/>
      <c r="Q41" s="1336"/>
      <c r="R41" s="1336"/>
      <c r="S41" s="1336"/>
      <c r="T41" s="1336"/>
      <c r="U41" s="1336"/>
      <c r="V41" s="1336"/>
      <c r="W41" s="1336"/>
      <c r="X41" s="1337"/>
    </row>
    <row r="42" spans="1:24" ht="8" customHeight="1" x14ac:dyDescent="0.35">
      <c r="A42" s="1335"/>
      <c r="B42" s="1376"/>
      <c r="C42" s="1377"/>
      <c r="D42" s="1377"/>
      <c r="E42" s="1336"/>
      <c r="F42" s="1336"/>
      <c r="G42" s="1336"/>
      <c r="H42" s="1336"/>
      <c r="I42" s="1376"/>
      <c r="J42" s="1380" t="s">
        <v>2276</v>
      </c>
      <c r="K42" s="1336"/>
      <c r="L42" s="1336"/>
      <c r="M42" s="1336"/>
      <c r="N42" s="1336"/>
      <c r="O42" s="1336"/>
      <c r="P42" s="1336"/>
      <c r="Q42" s="1336"/>
      <c r="R42" s="1336"/>
      <c r="S42" s="1336"/>
      <c r="T42" s="1336"/>
      <c r="U42" s="1336"/>
      <c r="V42" s="1336"/>
      <c r="W42" s="1336"/>
      <c r="X42" s="1337"/>
    </row>
    <row r="43" spans="1:24" ht="15.5" x14ac:dyDescent="0.35">
      <c r="A43" s="1335"/>
      <c r="B43" s="1376"/>
      <c r="C43" s="1377"/>
      <c r="D43" s="1336"/>
      <c r="E43" s="1336"/>
      <c r="F43" s="1336"/>
      <c r="G43" s="1336"/>
      <c r="H43" s="1336"/>
      <c r="I43" s="1336"/>
      <c r="J43" s="1336"/>
      <c r="K43" s="1336"/>
      <c r="L43" s="1336"/>
      <c r="M43" s="1336"/>
      <c r="N43" s="1336"/>
      <c r="O43" s="1336"/>
      <c r="P43" s="1336"/>
      <c r="Q43" s="1336"/>
      <c r="R43" s="1336"/>
      <c r="S43" s="1336"/>
      <c r="T43" s="1336"/>
      <c r="U43" s="1336"/>
      <c r="V43" s="1336"/>
      <c r="W43" s="1336"/>
      <c r="X43" s="1337"/>
    </row>
    <row r="44" spans="1:24" ht="15.5" x14ac:dyDescent="0.35">
      <c r="A44" s="1335"/>
      <c r="B44" s="1376"/>
      <c r="C44" s="1377"/>
      <c r="D44" s="1336"/>
      <c r="E44" s="1336"/>
      <c r="F44" s="1336"/>
      <c r="G44" s="1336"/>
      <c r="H44" s="1336"/>
      <c r="I44" s="1336"/>
      <c r="J44" s="1336"/>
      <c r="K44" s="1336"/>
      <c r="L44" s="1336"/>
      <c r="M44" s="1336"/>
      <c r="N44" s="1336"/>
      <c r="O44" s="1336"/>
      <c r="P44" s="1336"/>
      <c r="Q44" s="1336"/>
      <c r="R44" s="1336"/>
      <c r="S44" s="1336"/>
      <c r="T44" s="1336"/>
      <c r="U44" s="1336"/>
      <c r="V44" s="1336"/>
      <c r="W44" s="1336"/>
      <c r="X44" s="1337"/>
    </row>
    <row r="45" spans="1:24" ht="13" thickBot="1" x14ac:dyDescent="0.3">
      <c r="A45" s="1338"/>
      <c r="B45" s="1339"/>
      <c r="C45" s="1339"/>
      <c r="D45" s="1339"/>
      <c r="E45" s="1339"/>
      <c r="F45" s="1339"/>
      <c r="G45" s="1339"/>
      <c r="H45" s="1339"/>
      <c r="I45" s="1339"/>
      <c r="J45" s="1339"/>
      <c r="K45" s="1339"/>
      <c r="L45" s="1339"/>
      <c r="M45" s="1339"/>
      <c r="N45" s="1339"/>
      <c r="O45" s="1339"/>
      <c r="P45" s="1339"/>
      <c r="Q45" s="1339"/>
      <c r="R45" s="1339"/>
      <c r="S45" s="1339"/>
      <c r="T45" s="1339"/>
      <c r="U45" s="1339"/>
      <c r="V45" s="1339"/>
      <c r="W45" s="1339"/>
      <c r="X45" s="1340"/>
    </row>
  </sheetData>
  <sheetProtection algorithmName="SHA-512" hashValue="LDEeuHYM5MlBm0txYz4XcN7xAzMxz1s1jXgJz0lYOQroNO6UhwtNZr3QqIl5M+DwWBCmv/oo3QWwlywwCJZR3w==" saltValue="GLQPx79rJdbEt5o1S3LIxA==" spinCount="100000" sheet="1" objects="1" scenarios="1"/>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8"/>
  <sheetViews>
    <sheetView zoomScaleNormal="100" workbookViewId="0">
      <selection activeCell="A21" sqref="A21"/>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7" s="975" customFormat="1" ht="52" customHeight="1" thickBot="1" x14ac:dyDescent="0.55000000000000004">
      <c r="A1" s="1383" t="s">
        <v>1941</v>
      </c>
      <c r="B1" s="1384"/>
      <c r="C1" s="1384"/>
      <c r="D1" s="1384"/>
      <c r="E1" s="1384"/>
      <c r="F1" s="1384"/>
      <c r="G1" s="1384"/>
    </row>
    <row r="2" spans="1:7" ht="28" customHeight="1" thickTop="1" x14ac:dyDescent="0.35">
      <c r="A2" s="1385" t="s">
        <v>2178</v>
      </c>
      <c r="B2" s="1386"/>
      <c r="C2" s="1386"/>
      <c r="D2" s="1386"/>
      <c r="E2" s="1386"/>
      <c r="F2" s="1386"/>
      <c r="G2" s="1386"/>
    </row>
    <row r="3" spans="1:7" ht="71" customHeight="1" thickBot="1" x14ac:dyDescent="0.3">
      <c r="A3" s="1387" t="s">
        <v>2210</v>
      </c>
      <c r="B3" s="1388"/>
      <c r="C3" s="1388"/>
      <c r="D3" s="1388"/>
      <c r="E3" s="1388"/>
      <c r="F3" s="1388"/>
      <c r="G3" s="1388"/>
    </row>
    <row r="4" spans="1:7" ht="29" customHeight="1" thickBot="1" x14ac:dyDescent="0.35">
      <c r="A4" s="976" t="s">
        <v>230</v>
      </c>
      <c r="B4" s="977" t="s">
        <v>1732</v>
      </c>
      <c r="C4" s="977" t="s">
        <v>1733</v>
      </c>
      <c r="D4" s="977"/>
      <c r="E4" s="977" t="s">
        <v>1734</v>
      </c>
      <c r="F4" s="978"/>
      <c r="G4" s="979" t="s">
        <v>1735</v>
      </c>
    </row>
    <row r="5" spans="1:7" ht="13" customHeight="1" x14ac:dyDescent="0.3">
      <c r="A5" s="980" t="s">
        <v>1812</v>
      </c>
      <c r="B5" s="981">
        <f>FARM!D19</f>
        <v>0</v>
      </c>
      <c r="C5" s="982">
        <f>FARM!F19</f>
        <v>10.32</v>
      </c>
      <c r="D5" s="983" t="s">
        <v>1736</v>
      </c>
      <c r="E5" s="982">
        <f>B5*C5</f>
        <v>0</v>
      </c>
      <c r="F5" s="984"/>
      <c r="G5" s="985"/>
    </row>
    <row r="6" spans="1:7" ht="13" customHeight="1" x14ac:dyDescent="0.3">
      <c r="A6" s="980" t="s">
        <v>2260</v>
      </c>
      <c r="B6" s="1365">
        <f>Straw!O13*SUM(Straw!Q13:R13)</f>
        <v>0</v>
      </c>
      <c r="C6" s="982">
        <f>Straw!D13</f>
        <v>40</v>
      </c>
      <c r="D6" s="983" t="s">
        <v>1736</v>
      </c>
      <c r="E6" s="982">
        <f>IF(Straw!C13="Both round &amp; square",(B6*C6*Straw!I13),(B6*C6))</f>
        <v>0</v>
      </c>
      <c r="F6" s="984"/>
      <c r="G6" s="989"/>
    </row>
    <row r="7" spans="1:7" ht="13" customHeight="1" x14ac:dyDescent="0.3">
      <c r="A7" s="986" t="s">
        <v>1737</v>
      </c>
      <c r="B7" s="1069">
        <f>Straw!P13*SUM(Straw!R13:S13)</f>
        <v>0</v>
      </c>
      <c r="C7" s="1017">
        <f>Straw!F13</f>
        <v>5.0833333333333304</v>
      </c>
      <c r="D7" s="988" t="s">
        <v>1736</v>
      </c>
      <c r="E7" s="1017">
        <f>IF(Straw!C13="Both round &amp; square",(B7*C7*Straw!J13),(B7*C7))</f>
        <v>0</v>
      </c>
      <c r="F7" s="984"/>
      <c r="G7" s="989"/>
    </row>
    <row r="8" spans="1:7" ht="13" customHeight="1" x14ac:dyDescent="0.3">
      <c r="A8" s="990" t="s">
        <v>1738</v>
      </c>
      <c r="B8" s="991"/>
      <c r="C8" s="992"/>
      <c r="D8" s="993"/>
      <c r="E8" s="993">
        <f>SUM(E5:E7)</f>
        <v>0</v>
      </c>
      <c r="F8" s="984"/>
      <c r="G8" s="994"/>
    </row>
    <row r="9" spans="1:7" ht="13" customHeight="1" thickBot="1" x14ac:dyDescent="0.35">
      <c r="A9" s="995"/>
      <c r="B9" s="992"/>
      <c r="C9" s="992"/>
      <c r="D9" s="992"/>
      <c r="E9" s="992"/>
      <c r="F9" s="984"/>
      <c r="G9" s="989"/>
    </row>
    <row r="10" spans="1:7" ht="29" customHeight="1" thickBot="1" x14ac:dyDescent="0.35">
      <c r="A10" s="996" t="s">
        <v>1739</v>
      </c>
      <c r="B10" s="997" t="s">
        <v>1740</v>
      </c>
      <c r="C10" s="997" t="s">
        <v>1636</v>
      </c>
      <c r="D10" s="998"/>
      <c r="E10" s="998" t="s">
        <v>1741</v>
      </c>
      <c r="F10" s="984"/>
      <c r="G10" s="999" t="s">
        <v>1735</v>
      </c>
    </row>
    <row r="11" spans="1:7" ht="15" customHeight="1" x14ac:dyDescent="0.3">
      <c r="A11" s="1000" t="s">
        <v>1742</v>
      </c>
      <c r="B11" s="1001"/>
      <c r="C11" s="1001"/>
      <c r="D11" s="1001"/>
      <c r="E11" s="1001"/>
      <c r="F11" s="984"/>
      <c r="G11" s="989"/>
    </row>
    <row r="12" spans="1:7" ht="13" customHeight="1" x14ac:dyDescent="0.3">
      <c r="A12" s="1002" t="s">
        <v>1743</v>
      </c>
      <c r="B12" s="1070">
        <f>INPUT!$G$17</f>
        <v>140</v>
      </c>
      <c r="C12" s="982">
        <f>INPUT!$G$18</f>
        <v>0.6</v>
      </c>
      <c r="D12" s="983" t="s">
        <v>1736</v>
      </c>
      <c r="E12" s="982">
        <f>B12*C12</f>
        <v>84</v>
      </c>
      <c r="F12" s="984"/>
      <c r="G12" s="985"/>
    </row>
    <row r="13" spans="1:7" ht="13" customHeight="1" x14ac:dyDescent="0.3">
      <c r="A13" s="1002" t="s">
        <v>1744</v>
      </c>
      <c r="B13" s="1004"/>
      <c r="C13" s="992"/>
      <c r="D13" s="983"/>
      <c r="E13" s="982"/>
      <c r="F13" s="984"/>
      <c r="G13" s="989"/>
    </row>
    <row r="14" spans="1:7" ht="13" customHeight="1" x14ac:dyDescent="0.3">
      <c r="A14" s="1005" t="s">
        <v>1745</v>
      </c>
      <c r="B14" s="1070">
        <f>INPUT!$G$32</f>
        <v>3</v>
      </c>
      <c r="C14" s="1004">
        <f>INPUT!$G$33</f>
        <v>35</v>
      </c>
      <c r="D14" s="983" t="s">
        <v>1736</v>
      </c>
      <c r="E14" s="982">
        <f>B14*C14</f>
        <v>105</v>
      </c>
      <c r="F14" s="984"/>
      <c r="G14" s="985"/>
    </row>
    <row r="15" spans="1:7" ht="13" customHeight="1" x14ac:dyDescent="0.3">
      <c r="A15" s="1005" t="s">
        <v>1746</v>
      </c>
      <c r="B15" s="1070">
        <f>INPUT!$G$38</f>
        <v>0</v>
      </c>
      <c r="C15" s="982">
        <f>INPUT!$G$39</f>
        <v>0.6</v>
      </c>
      <c r="D15" s="1372" t="s">
        <v>1736</v>
      </c>
      <c r="E15" s="1373">
        <f>B15*C15</f>
        <v>0</v>
      </c>
      <c r="F15" s="984"/>
      <c r="G15" s="985"/>
    </row>
    <row r="16" spans="1:7" ht="13" customHeight="1" x14ac:dyDescent="0.3">
      <c r="A16" s="1002" t="s">
        <v>1747</v>
      </c>
      <c r="B16" s="1003">
        <f>INPUT!$G$41*(INPUT!$G$43/INPUT!$G$44)</f>
        <v>0</v>
      </c>
      <c r="C16" s="1004">
        <f>OSI!$K$61</f>
        <v>75</v>
      </c>
      <c r="D16" s="1374" t="s">
        <v>1736</v>
      </c>
      <c r="E16" s="1017">
        <f>B16*C16</f>
        <v>0</v>
      </c>
      <c r="F16" s="984"/>
      <c r="G16" s="1007"/>
    </row>
    <row r="17" spans="1:7" ht="13" customHeight="1" x14ac:dyDescent="0.3">
      <c r="A17" s="1008" t="s">
        <v>1748</v>
      </c>
      <c r="B17" s="1381"/>
      <c r="C17" s="1382"/>
      <c r="D17" s="982"/>
      <c r="E17" s="982">
        <f>SUM(E12:E16)</f>
        <v>189</v>
      </c>
      <c r="F17" s="984"/>
      <c r="G17" s="985"/>
    </row>
    <row r="18" spans="1:7" ht="13" customHeight="1" x14ac:dyDescent="0.3">
      <c r="A18" s="1009" t="s">
        <v>1749</v>
      </c>
      <c r="B18" s="1004"/>
      <c r="C18" s="992"/>
      <c r="D18" s="982"/>
      <c r="E18" s="982"/>
      <c r="F18" s="984"/>
      <c r="G18" s="989"/>
    </row>
    <row r="19" spans="1:7" ht="13" customHeight="1" x14ac:dyDescent="0.3">
      <c r="A19" s="1002" t="s">
        <v>1750</v>
      </c>
      <c r="B19" s="1004"/>
      <c r="C19" s="992"/>
      <c r="E19" s="982" t="e">
        <f>wWb!D34</f>
        <v>#DIV/0!</v>
      </c>
      <c r="F19" s="984"/>
      <c r="G19" s="985"/>
    </row>
    <row r="20" spans="1:7" ht="13" customHeight="1" x14ac:dyDescent="0.3">
      <c r="A20" s="1002" t="s">
        <v>1751</v>
      </c>
      <c r="B20" s="1004"/>
      <c r="C20" s="992"/>
      <c r="E20" s="982" t="e">
        <f>wWb!D35</f>
        <v>#DIV/0!</v>
      </c>
      <c r="F20" s="984"/>
      <c r="G20" s="985"/>
    </row>
    <row r="21" spans="1:7" ht="13" customHeight="1" x14ac:dyDescent="0.3">
      <c r="A21" s="1010" t="s">
        <v>1752</v>
      </c>
      <c r="B21" s="1004"/>
      <c r="C21" s="992"/>
      <c r="E21" s="982" t="e">
        <f>wWb!D36</f>
        <v>#DIV/0!</v>
      </c>
      <c r="F21" s="984"/>
      <c r="G21" s="994"/>
    </row>
    <row r="22" spans="1:7" ht="13" customHeight="1" x14ac:dyDescent="0.3">
      <c r="A22" s="1002" t="s">
        <v>170</v>
      </c>
      <c r="B22" s="1004"/>
      <c r="C22" s="992"/>
      <c r="D22" s="982"/>
      <c r="E22" s="982" t="e">
        <f>wWb!D37</f>
        <v>#DIV/0!</v>
      </c>
      <c r="F22" s="984"/>
      <c r="G22" s="1011"/>
    </row>
    <row r="23" spans="1:7" ht="13" customHeight="1" x14ac:dyDescent="0.3">
      <c r="A23" s="1002" t="s">
        <v>1756</v>
      </c>
      <c r="B23" s="1004"/>
      <c r="C23" s="992"/>
      <c r="D23" s="982"/>
      <c r="E23" s="1373" t="e">
        <f>wWb!D38</f>
        <v>#DIV/0!</v>
      </c>
      <c r="F23" s="984"/>
      <c r="G23" s="1011"/>
    </row>
    <row r="24" spans="1:7" ht="13" customHeight="1" x14ac:dyDescent="0.3">
      <c r="A24" s="1002" t="s">
        <v>1753</v>
      </c>
      <c r="B24" s="1004"/>
      <c r="C24" s="992"/>
      <c r="E24" s="1017" t="e">
        <f>wWb!D47</f>
        <v>#DIV/0!</v>
      </c>
      <c r="F24" s="984"/>
      <c r="G24" s="1007"/>
    </row>
    <row r="25" spans="1:7" ht="13" customHeight="1" x14ac:dyDescent="0.3">
      <c r="A25" s="1008" t="s">
        <v>1748</v>
      </c>
      <c r="B25" s="1381"/>
      <c r="C25" s="1382"/>
      <c r="E25" s="982" t="e">
        <f>SUM(E19:E24)</f>
        <v>#DIV/0!</v>
      </c>
      <c r="F25" s="984"/>
      <c r="G25" s="989"/>
    </row>
    <row r="26" spans="1:7" ht="13" customHeight="1" x14ac:dyDescent="0.3">
      <c r="A26" s="1009" t="s">
        <v>1754</v>
      </c>
      <c r="B26" s="1004"/>
      <c r="C26" s="992"/>
      <c r="E26" s="982"/>
      <c r="F26" s="984"/>
      <c r="G26" s="1011"/>
    </row>
    <row r="27" spans="1:7" ht="13" customHeight="1" x14ac:dyDescent="0.3">
      <c r="A27" s="1002" t="s">
        <v>1757</v>
      </c>
      <c r="B27" s="1004"/>
      <c r="C27" s="992"/>
      <c r="E27" s="982" t="e">
        <f>wWb!D40</f>
        <v>#DIV/0!</v>
      </c>
      <c r="F27" s="984"/>
      <c r="G27" s="985"/>
    </row>
    <row r="28" spans="1:7" ht="13" customHeight="1" x14ac:dyDescent="0.3">
      <c r="A28" s="1002" t="s">
        <v>1792</v>
      </c>
      <c r="B28" s="1004"/>
      <c r="C28" s="992"/>
      <c r="D28" s="982"/>
      <c r="E28" s="982" t="e">
        <f>wWb!D41</f>
        <v>#DIV/0!</v>
      </c>
      <c r="F28" s="984"/>
      <c r="G28" s="985"/>
    </row>
    <row r="29" spans="1:7" ht="13" customHeight="1" x14ac:dyDescent="0.3">
      <c r="A29" s="1002" t="s">
        <v>1795</v>
      </c>
      <c r="B29" s="1004"/>
      <c r="C29" s="992"/>
      <c r="D29" s="982"/>
      <c r="E29" s="982" t="e">
        <f>wWb!D42</f>
        <v>#DIV/0!</v>
      </c>
      <c r="F29" s="984"/>
      <c r="G29" s="985"/>
    </row>
    <row r="30" spans="1:7" ht="13" customHeight="1" x14ac:dyDescent="0.3">
      <c r="A30" s="1002" t="s">
        <v>2261</v>
      </c>
      <c r="B30" s="1004"/>
      <c r="C30" s="992"/>
      <c r="D30" s="982"/>
      <c r="E30" s="982" t="e">
        <f>wWb!D43</f>
        <v>#DIV/0!</v>
      </c>
      <c r="F30" s="984"/>
      <c r="G30" s="985"/>
    </row>
    <row r="31" spans="1:7" ht="13" customHeight="1" x14ac:dyDescent="0.3">
      <c r="A31" s="1002" t="s">
        <v>1755</v>
      </c>
      <c r="B31" s="1004"/>
      <c r="C31" s="992"/>
      <c r="E31" s="982" t="e">
        <f>wWb!D44</f>
        <v>#DIV/0!</v>
      </c>
      <c r="F31" s="984"/>
      <c r="G31" s="985"/>
    </row>
    <row r="32" spans="1:7" ht="13" customHeight="1" x14ac:dyDescent="0.3">
      <c r="A32" s="1002" t="s">
        <v>1758</v>
      </c>
      <c r="B32" s="1004"/>
      <c r="C32" s="992"/>
      <c r="E32" s="982" t="e">
        <f>wWb!D45</f>
        <v>#DIV/0!</v>
      </c>
      <c r="F32" s="984"/>
      <c r="G32" s="985"/>
    </row>
    <row r="33" spans="1:7" ht="12.65" customHeight="1" x14ac:dyDescent="0.3">
      <c r="A33" s="1002" t="s">
        <v>2262</v>
      </c>
      <c r="B33" s="1004"/>
      <c r="C33" s="992"/>
      <c r="D33" s="982"/>
      <c r="E33" s="982" t="e">
        <f>wWb!D46</f>
        <v>#DIV/0!</v>
      </c>
      <c r="F33" s="984"/>
      <c r="G33" s="985"/>
    </row>
    <row r="34" spans="1:7" ht="13" customHeight="1" x14ac:dyDescent="0.3">
      <c r="A34" s="1002" t="s">
        <v>2075</v>
      </c>
      <c r="B34" s="1004"/>
      <c r="C34" s="992"/>
      <c r="D34" s="982"/>
      <c r="E34" s="982" t="e">
        <f>wWb!D47</f>
        <v>#DIV/0!</v>
      </c>
      <c r="F34" s="984"/>
      <c r="G34" s="985"/>
    </row>
    <row r="35" spans="1:7" ht="13" customHeight="1" x14ac:dyDescent="0.3">
      <c r="A35" s="1002" t="s">
        <v>1793</v>
      </c>
      <c r="B35" s="1004"/>
      <c r="C35" s="992"/>
      <c r="D35" s="982"/>
      <c r="E35" s="982" t="e">
        <f>wWb!D48</f>
        <v>#DIV/0!</v>
      </c>
      <c r="F35" s="984"/>
      <c r="G35" s="985"/>
    </row>
    <row r="36" spans="1:7" ht="13" customHeight="1" x14ac:dyDescent="0.3">
      <c r="A36" s="1002" t="s">
        <v>2263</v>
      </c>
      <c r="B36" s="1004"/>
      <c r="C36" s="992"/>
      <c r="D36" s="982"/>
      <c r="E36" s="982" t="e">
        <f>wWb!D49</f>
        <v>#DIV/0!</v>
      </c>
      <c r="F36" s="984"/>
      <c r="G36" s="985"/>
    </row>
    <row r="37" spans="1:7" ht="13" customHeight="1" x14ac:dyDescent="0.3">
      <c r="A37" s="1002" t="s">
        <v>1794</v>
      </c>
      <c r="B37" s="1004"/>
      <c r="C37" s="992"/>
      <c r="D37" s="982"/>
      <c r="E37" s="1373" t="e">
        <f>SUM(wWb!D50:D52)</f>
        <v>#DIV/0!</v>
      </c>
      <c r="F37" s="984"/>
      <c r="G37" s="985"/>
    </row>
    <row r="38" spans="1:7" ht="13" customHeight="1" x14ac:dyDescent="0.3">
      <c r="A38" s="1002" t="s">
        <v>1759</v>
      </c>
      <c r="B38" s="1004"/>
      <c r="C38" s="992"/>
      <c r="E38" s="1017" t="e">
        <f>wWb!D54</f>
        <v>#DIV/0!</v>
      </c>
      <c r="F38" s="984"/>
      <c r="G38" s="1007"/>
    </row>
    <row r="39" spans="1:7" ht="13" customHeight="1" x14ac:dyDescent="0.3">
      <c r="A39" s="1008" t="s">
        <v>1748</v>
      </c>
      <c r="B39" s="1381"/>
      <c r="C39" s="1382"/>
      <c r="E39" s="982" t="e">
        <f>SUM(E27:E38)</f>
        <v>#DIV/0!</v>
      </c>
      <c r="F39" s="984"/>
      <c r="G39" s="985"/>
    </row>
    <row r="40" spans="1:7" ht="13" customHeight="1" thickBot="1" x14ac:dyDescent="0.35">
      <c r="A40" s="1012" t="s">
        <v>1760</v>
      </c>
      <c r="B40" s="1013"/>
      <c r="C40" s="1014"/>
      <c r="D40" s="1014"/>
      <c r="E40" s="1015" t="e">
        <f>E17+E25+E39</f>
        <v>#DIV/0!</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92"/>
      <c r="E42" s="982" t="e">
        <f>SUM(wWb!D59:D71)</f>
        <v>#DIV/0!</v>
      </c>
      <c r="F42" s="984"/>
      <c r="G42" s="989"/>
    </row>
    <row r="43" spans="1:7" ht="13" customHeight="1" x14ac:dyDescent="0.3">
      <c r="A43" s="1002" t="s">
        <v>79</v>
      </c>
      <c r="B43" s="1004"/>
      <c r="C43" s="992"/>
      <c r="D43" s="992"/>
      <c r="E43" s="1017" t="e">
        <f>wWb!D72</f>
        <v>#DIV/0!</v>
      </c>
      <c r="F43" s="984"/>
      <c r="G43" s="1007"/>
    </row>
    <row r="44" spans="1:7" ht="13" customHeight="1" x14ac:dyDescent="0.3">
      <c r="A44" s="990" t="s">
        <v>1762</v>
      </c>
      <c r="B44" s="991"/>
      <c r="C44" s="992"/>
      <c r="D44" s="992"/>
      <c r="E44" s="993" t="e">
        <f>SUM(E42:E43)</f>
        <v>#DIV/0!</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0"/>
      <c r="E46" s="1021" t="e">
        <f>E40+E44</f>
        <v>#DIV/0!</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0</v>
      </c>
      <c r="D49" s="1227" t="e">
        <f>CONCATENATE(" -   $",ROUND(E46,2)," =")</f>
        <v>#DIV/0!</v>
      </c>
      <c r="E49" s="993" t="e">
        <f>E8-E40-E44</f>
        <v>#DIV/0!</v>
      </c>
      <c r="F49" s="984"/>
      <c r="G49" s="985"/>
    </row>
    <row r="50" spans="1:7" ht="13" customHeight="1" thickBot="1" x14ac:dyDescent="0.35">
      <c r="A50" s="1016" t="s">
        <v>1765</v>
      </c>
      <c r="B50" s="1013"/>
      <c r="C50" s="1319">
        <f>E8</f>
        <v>0</v>
      </c>
      <c r="D50" s="1228" t="e">
        <f>CONCATENATE("   -   $",ROUND(E40,2)," =")</f>
        <v>#DIV/0!</v>
      </c>
      <c r="E50" s="1015" t="e">
        <f>E8-E40</f>
        <v>#DIV/0!</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t="e">
        <f>E46</f>
        <v>#DIV/0!</v>
      </c>
      <c r="E53" s="982" t="e">
        <f>D53/$B$5</f>
        <v>#DIV/0!</v>
      </c>
      <c r="F53" s="984"/>
      <c r="G53" s="985"/>
    </row>
    <row r="54" spans="1:7" ht="13" customHeight="1" x14ac:dyDescent="0.3">
      <c r="A54" s="1002" t="s">
        <v>371</v>
      </c>
      <c r="B54" s="1027"/>
      <c r="C54" s="992"/>
      <c r="D54" s="982" t="e">
        <f>E40</f>
        <v>#DIV/0!</v>
      </c>
      <c r="E54" s="982" t="e">
        <f>D54/$B$5</f>
        <v>#DIV/0!</v>
      </c>
      <c r="F54" s="984"/>
      <c r="G54" s="994"/>
    </row>
    <row r="55" spans="1:7" ht="13" customHeight="1" x14ac:dyDescent="0.3">
      <c r="A55" s="1002"/>
      <c r="C55" s="1210"/>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1773</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211"/>
      <c r="C70" s="1211"/>
      <c r="D70" s="1211"/>
      <c r="E70" s="1211"/>
      <c r="F70" s="1211"/>
      <c r="G70" s="1211"/>
    </row>
    <row r="71" spans="1:7" ht="15" customHeight="1" x14ac:dyDescent="0.25">
      <c r="A71" s="1391" t="s">
        <v>1780</v>
      </c>
      <c r="B71" s="1392"/>
      <c r="C71" s="1392"/>
      <c r="D71" s="1392"/>
      <c r="E71" s="1392"/>
      <c r="F71" s="1211"/>
      <c r="G71" s="1211"/>
    </row>
    <row r="72" spans="1:7" s="1212" customFormat="1" ht="29" customHeight="1" x14ac:dyDescent="0.3">
      <c r="A72" s="1047" t="s">
        <v>1781</v>
      </c>
      <c r="B72" s="1048" t="s">
        <v>1214</v>
      </c>
      <c r="C72" s="1048" t="s">
        <v>169</v>
      </c>
      <c r="D72" s="1048" t="s">
        <v>1782</v>
      </c>
      <c r="E72" s="1049" t="s">
        <v>1783</v>
      </c>
      <c r="F72" s="1050"/>
      <c r="G72" s="1051" t="s">
        <v>1735</v>
      </c>
    </row>
    <row r="73" spans="1:7" ht="12.75" customHeight="1" x14ac:dyDescent="0.3">
      <c r="A73" s="1053" t="s">
        <v>1784</v>
      </c>
      <c r="B73" s="982" t="e">
        <f>Wb!D129</f>
        <v>#DIV/0!</v>
      </c>
      <c r="C73" s="982" t="e">
        <f>Wb!D144</f>
        <v>#DIV/0!</v>
      </c>
      <c r="D73" s="982">
        <f>SUM(Wf!J56:J58)/200</f>
        <v>0</v>
      </c>
      <c r="E73" s="982" t="e">
        <f t="shared" ref="E73:E81" si="0">SUM(B73:D73)</f>
        <v>#DIV/0!</v>
      </c>
      <c r="F73" s="1054"/>
      <c r="G73" s="985"/>
    </row>
    <row r="74" spans="1:7" ht="12.75" customHeight="1" x14ac:dyDescent="0.3">
      <c r="A74" s="1053" t="s">
        <v>1429</v>
      </c>
      <c r="B74" s="982" t="e">
        <f>Wb!D130</f>
        <v>#DIV/0!</v>
      </c>
      <c r="C74" s="982" t="e">
        <f>Wb!D145</f>
        <v>#DIV/0!</v>
      </c>
      <c r="D74" s="982">
        <f>(SUM(Wf!J38:J40)/300)</f>
        <v>0</v>
      </c>
      <c r="E74" s="982" t="e">
        <f>SUM(B74:D74)</f>
        <v>#DIV/0!</v>
      </c>
      <c r="F74" s="1054"/>
      <c r="G74" s="985"/>
    </row>
    <row r="75" spans="1:7" ht="12.75" customHeight="1" x14ac:dyDescent="0.3">
      <c r="A75" s="1053" t="s">
        <v>1785</v>
      </c>
      <c r="B75" s="982" t="e">
        <f>Wb!D131</f>
        <v>#DIV/0!</v>
      </c>
      <c r="C75" s="982" t="e">
        <f>Wb!D146</f>
        <v>#DIV/0!</v>
      </c>
      <c r="D75" s="982">
        <f>SUM(Wf!J41:J43)/300</f>
        <v>0</v>
      </c>
      <c r="E75" s="982" t="e">
        <f t="shared" si="0"/>
        <v>#DIV/0!</v>
      </c>
      <c r="F75" s="1054"/>
      <c r="G75" s="985"/>
    </row>
    <row r="76" spans="1:7" ht="12.75" customHeight="1" x14ac:dyDescent="0.3">
      <c r="A76" s="1053" t="s">
        <v>1786</v>
      </c>
      <c r="B76" s="982" t="e">
        <f>Wb!D132</f>
        <v>#DIV/0!</v>
      </c>
      <c r="C76" s="982" t="e">
        <f>Wb!D147</f>
        <v>#DIV/0!</v>
      </c>
      <c r="D76" s="982">
        <f>SUM(Wf!J44:J46)/300</f>
        <v>0</v>
      </c>
      <c r="E76" s="982" t="e">
        <f t="shared" si="0"/>
        <v>#DIV/0!</v>
      </c>
      <c r="F76" s="1054"/>
      <c r="G76" s="985"/>
    </row>
    <row r="77" spans="1:7" ht="12.75" customHeight="1" x14ac:dyDescent="0.3">
      <c r="A77" s="1053" t="s">
        <v>1787</v>
      </c>
      <c r="B77" s="982" t="e">
        <f>Wb!D133</f>
        <v>#DIV/0!</v>
      </c>
      <c r="C77" s="982" t="e">
        <f>Wb!D148</f>
        <v>#DIV/0!</v>
      </c>
      <c r="D77" s="982">
        <f>SUM(Wf!J59:J61)/300</f>
        <v>0</v>
      </c>
      <c r="E77" s="982" t="e">
        <f t="shared" si="0"/>
        <v>#DIV/0!</v>
      </c>
      <c r="F77" s="1054"/>
      <c r="G77" s="985"/>
    </row>
    <row r="78" spans="1:7" ht="12.75" customHeight="1" x14ac:dyDescent="0.3">
      <c r="A78" s="1053" t="e">
        <f>IF(FARM!#REF!=1,"Flex Tine Harrow (2x)","Spin Spread Chilean Nitrate")</f>
        <v>#REF!</v>
      </c>
      <c r="B78" s="982" t="e">
        <f>IF(FARM!#REF!=1,Wb!D134,Wb!D135)</f>
        <v>#REF!</v>
      </c>
      <c r="C78" s="982" t="e">
        <f>IF(FARM!#REF!=1,Wb!D149,Wb!D150)</f>
        <v>#REF!</v>
      </c>
      <c r="D78" s="982" t="e">
        <f>IF(FARM!#REF!=1,(SUM(Wf!J47:J49)/200)*2,SUM(Wf!J53:J55)/100)</f>
        <v>#REF!</v>
      </c>
      <c r="E78" s="982" t="e">
        <f t="shared" si="0"/>
        <v>#REF!</v>
      </c>
      <c r="F78" s="1054"/>
      <c r="G78" s="985"/>
    </row>
    <row r="79" spans="1:7" ht="12.75" customHeight="1" x14ac:dyDescent="0.3">
      <c r="A79" s="1053" t="s">
        <v>1788</v>
      </c>
      <c r="B79" s="982" t="e">
        <f>Wb!D136</f>
        <v>#DIV/0!</v>
      </c>
      <c r="C79" s="982" t="e">
        <f>Wb!D151</f>
        <v>#DIV/0!</v>
      </c>
      <c r="D79" s="982">
        <f>(SUM(Wf!J69:J71)+SUM(Wf!J72:J74))/300</f>
        <v>0</v>
      </c>
      <c r="E79" s="982" t="e">
        <f t="shared" si="0"/>
        <v>#DIV/0!</v>
      </c>
      <c r="F79" s="1054"/>
      <c r="G79" s="985"/>
    </row>
    <row r="80" spans="1:7" ht="12.75" customHeight="1" x14ac:dyDescent="0.3">
      <c r="A80" s="1055" t="s">
        <v>1819</v>
      </c>
      <c r="B80" s="1017" t="e">
        <f>Wb!D137</f>
        <v>#DIV/0!</v>
      </c>
      <c r="C80" s="1017" t="e">
        <f>Wb!D152</f>
        <v>#DIV/0!</v>
      </c>
      <c r="D80" s="1017">
        <f>SUM(Wf!J26:J28)/300</f>
        <v>0</v>
      </c>
      <c r="E80" s="1017" t="e">
        <f t="shared" si="0"/>
        <v>#DIV/0!</v>
      </c>
      <c r="F80" s="1054"/>
      <c r="G80" s="1056"/>
    </row>
    <row r="81" spans="1:7" ht="12.75" customHeight="1" x14ac:dyDescent="0.3">
      <c r="A81" s="1057" t="s">
        <v>1789</v>
      </c>
      <c r="B81" s="1017" t="e">
        <f>SUM(B73:B80)</f>
        <v>#DIV/0!</v>
      </c>
      <c r="C81" s="1017" t="e">
        <f>SUM(C73:C80)</f>
        <v>#DIV/0!</v>
      </c>
      <c r="D81" s="1017" t="e">
        <f>SUM(D73:D80)</f>
        <v>#REF!</v>
      </c>
      <c r="E81" s="1058" t="e">
        <f t="shared" si="0"/>
        <v>#DIV/0!</v>
      </c>
      <c r="F81" s="1059"/>
      <c r="G81" s="1060"/>
    </row>
    <row r="82" spans="1:7" ht="18" customHeight="1" x14ac:dyDescent="0.3">
      <c r="A82" s="1061" t="s">
        <v>1790</v>
      </c>
      <c r="B82" s="1062"/>
      <c r="C82" s="1062"/>
      <c r="D82" s="1062"/>
      <c r="E82" s="995"/>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yjelAiOZ30wJMHMz/kaJhiPjhIQjtz0hmVU8qWiQ8I1c3BA/0RJC3905Fs8Y2wYavIlkynn5cL/EODePswzpXw==" saltValue="O2aXveptx0Cx8TDM6cL0jg==" spinCount="100000" sheet="1" objects="1" scenarios="1"/>
  <mergeCells count="15">
    <mergeCell ref="B39:C39"/>
    <mergeCell ref="A1:G1"/>
    <mergeCell ref="A2:G2"/>
    <mergeCell ref="A3:G3"/>
    <mergeCell ref="B17:C17"/>
    <mergeCell ref="B25:C25"/>
    <mergeCell ref="A69:G69"/>
    <mergeCell ref="A71:E71"/>
    <mergeCell ref="A83:G83"/>
    <mergeCell ref="A61:G61"/>
    <mergeCell ref="A62:G62"/>
    <mergeCell ref="A64:G64"/>
    <mergeCell ref="A65:G65"/>
    <mergeCell ref="A66:G66"/>
    <mergeCell ref="A68:G68"/>
  </mergeCells>
  <pageMargins left="0.7" right="0.7" top="0.75" bottom="0.75" header="0.3" footer="0.3"/>
  <pageSetup scale="84" orientation="portrait" r:id="rId1"/>
  <rowBreaks count="1" manualBreakCount="1">
    <brk id="5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activeCell="E20" sqref="E20"/>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1813</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2211</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1814</v>
      </c>
      <c r="B5" s="981">
        <f>FARM!D20</f>
        <v>0</v>
      </c>
      <c r="C5" s="982">
        <f>FARM!F20</f>
        <v>16.8</v>
      </c>
      <c r="D5" s="983" t="s">
        <v>1736</v>
      </c>
      <c r="E5" s="982">
        <f>B5*C5</f>
        <v>0</v>
      </c>
      <c r="F5" s="984"/>
      <c r="G5" s="985"/>
      <c r="I5" s="982"/>
    </row>
    <row r="6" spans="1:9" ht="13" customHeight="1" x14ac:dyDescent="0.3">
      <c r="A6" s="980" t="s">
        <v>2260</v>
      </c>
      <c r="B6" s="1365">
        <f>Straw!O14*SUM(Straw!Q14:R14)</f>
        <v>0</v>
      </c>
      <c r="C6" s="982">
        <f>Straw!D14</f>
        <v>40</v>
      </c>
      <c r="D6" s="983" t="s">
        <v>1736</v>
      </c>
      <c r="E6" s="982">
        <f>IF(Straw!C14="Both round &amp; square",(B6*C6*Straw!I14),(B6*C6))</f>
        <v>0</v>
      </c>
      <c r="F6" s="984"/>
      <c r="G6" s="989"/>
      <c r="I6" s="982"/>
    </row>
    <row r="7" spans="1:9" ht="13" customHeight="1" x14ac:dyDescent="0.3">
      <c r="A7" s="986" t="s">
        <v>1737</v>
      </c>
      <c r="B7" s="1069">
        <f>Straw!P14*SUM(Straw!R14:S14)</f>
        <v>0</v>
      </c>
      <c r="C7" s="1017">
        <f>Straw!F14</f>
        <v>5.0833333333333304</v>
      </c>
      <c r="D7" s="988" t="s">
        <v>1736</v>
      </c>
      <c r="E7" s="1017">
        <f>IF(Straw!C14="Both round &amp; square",(B7*C7*Straw!J14),(B7*C7))</f>
        <v>0</v>
      </c>
      <c r="F7" s="984"/>
      <c r="G7" s="989"/>
    </row>
    <row r="8" spans="1:9" ht="13" customHeight="1" x14ac:dyDescent="0.3">
      <c r="A8" s="990" t="s">
        <v>1738</v>
      </c>
      <c r="B8" s="991"/>
      <c r="C8" s="992"/>
      <c r="D8" s="993"/>
      <c r="E8" s="993">
        <f>SUM(E5:E7)</f>
        <v>0</v>
      </c>
      <c r="F8" s="984"/>
      <c r="G8" s="994"/>
    </row>
    <row r="9" spans="1:9" ht="13" customHeight="1" thickBot="1" x14ac:dyDescent="0.35">
      <c r="A9" s="995"/>
      <c r="B9" s="992"/>
      <c r="C9" s="992"/>
      <c r="D9" s="992"/>
      <c r="E9" s="992"/>
      <c r="F9" s="984"/>
      <c r="G9" s="989"/>
    </row>
    <row r="10" spans="1:9" ht="29" customHeight="1" thickBot="1" x14ac:dyDescent="0.35">
      <c r="A10" s="996" t="s">
        <v>1739</v>
      </c>
      <c r="B10" s="997" t="s">
        <v>1740</v>
      </c>
      <c r="C10" s="997" t="s">
        <v>1636</v>
      </c>
      <c r="D10" s="998"/>
      <c r="E10" s="998" t="s">
        <v>1741</v>
      </c>
      <c r="F10" s="984"/>
      <c r="G10" s="999" t="s">
        <v>1735</v>
      </c>
    </row>
    <row r="11" spans="1:9" ht="15" customHeight="1" x14ac:dyDescent="0.3">
      <c r="A11" s="1000" t="s">
        <v>1742</v>
      </c>
      <c r="B11" s="1001"/>
      <c r="C11" s="1001"/>
      <c r="D11" s="1001"/>
      <c r="E11" s="1001"/>
      <c r="F11" s="984"/>
      <c r="G11" s="989"/>
    </row>
    <row r="12" spans="1:9" ht="13" customHeight="1" x14ac:dyDescent="0.3">
      <c r="A12" s="1002" t="s">
        <v>1743</v>
      </c>
      <c r="B12" s="1070">
        <f>INPUT!$H$17</f>
        <v>140</v>
      </c>
      <c r="C12" s="982">
        <f>INPUT!$H$18</f>
        <v>0.56000000000000005</v>
      </c>
      <c r="D12" s="983" t="s">
        <v>1736</v>
      </c>
      <c r="E12" s="982">
        <f>B12*C12</f>
        <v>78.400000000000006</v>
      </c>
      <c r="F12" s="984"/>
      <c r="G12" s="985"/>
    </row>
    <row r="13" spans="1:9" ht="13" customHeight="1" x14ac:dyDescent="0.3">
      <c r="A13" s="1002" t="s">
        <v>1744</v>
      </c>
      <c r="B13" s="1004"/>
      <c r="C13" s="992"/>
      <c r="D13" s="983"/>
      <c r="E13" s="982"/>
      <c r="F13" s="984"/>
      <c r="G13" s="989"/>
    </row>
    <row r="14" spans="1:9" ht="13" customHeight="1" x14ac:dyDescent="0.3">
      <c r="A14" s="1005" t="s">
        <v>1745</v>
      </c>
      <c r="B14" s="1070">
        <f>INPUT!$H$32</f>
        <v>3</v>
      </c>
      <c r="C14" s="1004">
        <f>INPUT!$H$33</f>
        <v>35</v>
      </c>
      <c r="D14" s="983" t="s">
        <v>1736</v>
      </c>
      <c r="E14" s="982">
        <f>B14*C14</f>
        <v>105</v>
      </c>
      <c r="F14" s="984"/>
      <c r="G14" s="985"/>
    </row>
    <row r="15" spans="1:9" ht="13" customHeight="1" x14ac:dyDescent="0.3">
      <c r="A15" s="1005" t="s">
        <v>1806</v>
      </c>
      <c r="B15" s="1070">
        <f>INPUT!$H$38</f>
        <v>0</v>
      </c>
      <c r="C15" s="982">
        <f>INPUT!$H$39</f>
        <v>0.6</v>
      </c>
      <c r="D15" s="1372" t="s">
        <v>1736</v>
      </c>
      <c r="E15" s="1373">
        <f>B15*C15</f>
        <v>0</v>
      </c>
      <c r="F15" s="984"/>
      <c r="G15" s="985"/>
    </row>
    <row r="16" spans="1:9" ht="13" customHeight="1" x14ac:dyDescent="0.3">
      <c r="A16" s="1002" t="s">
        <v>1807</v>
      </c>
      <c r="B16" s="1003">
        <f>INPUT!$H$41*(INPUT!$H$43/INPUT!$H$44)</f>
        <v>0</v>
      </c>
      <c r="C16" s="1004">
        <f>OSI!$K$61</f>
        <v>75</v>
      </c>
      <c r="D16" s="1374" t="s">
        <v>1736</v>
      </c>
      <c r="E16" s="1017">
        <f>B16*C16</f>
        <v>0</v>
      </c>
      <c r="F16" s="984"/>
      <c r="G16" s="1007"/>
    </row>
    <row r="17" spans="1:7" ht="13" customHeight="1" x14ac:dyDescent="0.3">
      <c r="A17" s="1008" t="s">
        <v>1748</v>
      </c>
      <c r="B17" s="1381"/>
      <c r="C17" s="1382"/>
      <c r="D17" s="982"/>
      <c r="E17" s="982">
        <f>SUM(E12:E16)</f>
        <v>183.4</v>
      </c>
      <c r="F17" s="984"/>
      <c r="G17" s="985"/>
    </row>
    <row r="18" spans="1:7" ht="13" customHeight="1" x14ac:dyDescent="0.3">
      <c r="A18" s="1009" t="s">
        <v>1749</v>
      </c>
      <c r="B18" s="1004"/>
      <c r="C18" s="992"/>
      <c r="E18" s="982"/>
      <c r="F18" s="984"/>
      <c r="G18" s="989"/>
    </row>
    <row r="19" spans="1:7" ht="13" customHeight="1" x14ac:dyDescent="0.3">
      <c r="A19" s="1002" t="s">
        <v>1750</v>
      </c>
      <c r="B19" s="1004"/>
      <c r="C19" s="992"/>
      <c r="E19" s="982" t="e">
        <f>Tb!D34</f>
        <v>#DIV/0!</v>
      </c>
      <c r="F19" s="984"/>
      <c r="G19" s="985"/>
    </row>
    <row r="20" spans="1:7" ht="13" customHeight="1" x14ac:dyDescent="0.3">
      <c r="A20" s="1002" t="s">
        <v>1751</v>
      </c>
      <c r="B20" s="1004"/>
      <c r="C20" s="992"/>
      <c r="E20" s="982" t="e">
        <f>Tb!D35</f>
        <v>#DIV/0!</v>
      </c>
      <c r="F20" s="984"/>
      <c r="G20" s="985"/>
    </row>
    <row r="21" spans="1:7" ht="13" customHeight="1" x14ac:dyDescent="0.3">
      <c r="A21" s="1010" t="s">
        <v>1752</v>
      </c>
      <c r="B21" s="1004"/>
      <c r="C21" s="992"/>
      <c r="E21" s="982" t="e">
        <f>Tb!D36</f>
        <v>#DIV/0!</v>
      </c>
      <c r="F21" s="984"/>
      <c r="G21" s="994"/>
    </row>
    <row r="22" spans="1:7" ht="13" customHeight="1" x14ac:dyDescent="0.3">
      <c r="A22" s="1002" t="s">
        <v>170</v>
      </c>
      <c r="B22" s="1004"/>
      <c r="C22" s="992"/>
      <c r="D22" s="982"/>
      <c r="E22" s="982" t="e">
        <f>Tb!D37</f>
        <v>#DIV/0!</v>
      </c>
      <c r="F22" s="984"/>
      <c r="G22" s="1011"/>
    </row>
    <row r="23" spans="1:7" ht="13" customHeight="1" x14ac:dyDescent="0.3">
      <c r="A23" s="1002" t="s">
        <v>1756</v>
      </c>
      <c r="B23" s="1004"/>
      <c r="C23" s="992"/>
      <c r="D23" s="982"/>
      <c r="E23" s="1373" t="e">
        <f>Tb!D38</f>
        <v>#DIV/0!</v>
      </c>
      <c r="F23" s="984"/>
      <c r="G23" s="1011"/>
    </row>
    <row r="24" spans="1:7" ht="13" customHeight="1" x14ac:dyDescent="0.3">
      <c r="A24" s="1002" t="s">
        <v>1753</v>
      </c>
      <c r="B24" s="1004"/>
      <c r="C24" s="992"/>
      <c r="E24" s="1017" t="e">
        <f>Tb!D47</f>
        <v>#DIV/0!</v>
      </c>
      <c r="F24" s="984"/>
      <c r="G24" s="1007"/>
    </row>
    <row r="25" spans="1:7" ht="13" customHeight="1" x14ac:dyDescent="0.3">
      <c r="A25" s="1008" t="s">
        <v>1748</v>
      </c>
      <c r="B25" s="1381"/>
      <c r="C25" s="1382"/>
      <c r="E25" s="982" t="e">
        <f>SUM(E19:E24)</f>
        <v>#DIV/0!</v>
      </c>
      <c r="F25" s="984"/>
      <c r="G25" s="989"/>
    </row>
    <row r="26" spans="1:7" ht="13" customHeight="1" x14ac:dyDescent="0.3">
      <c r="A26" s="1009" t="s">
        <v>1754</v>
      </c>
      <c r="B26" s="1004"/>
      <c r="C26" s="992"/>
      <c r="E26" s="982"/>
      <c r="F26" s="984"/>
      <c r="G26" s="1011"/>
    </row>
    <row r="27" spans="1:7" ht="13" customHeight="1" x14ac:dyDescent="0.3">
      <c r="A27" s="1002" t="s">
        <v>1757</v>
      </c>
      <c r="B27" s="1004"/>
      <c r="C27" s="992"/>
      <c r="E27" s="982" t="e">
        <f>Tb!D40</f>
        <v>#DIV/0!</v>
      </c>
      <c r="F27" s="984"/>
      <c r="G27" s="985"/>
    </row>
    <row r="28" spans="1:7" ht="13" customHeight="1" x14ac:dyDescent="0.3">
      <c r="A28" s="1002" t="s">
        <v>1792</v>
      </c>
      <c r="B28" s="1004"/>
      <c r="C28" s="992"/>
      <c r="D28" s="982"/>
      <c r="E28" s="982" t="e">
        <f>Tb!D41</f>
        <v>#DIV/0!</v>
      </c>
      <c r="F28" s="984"/>
      <c r="G28" s="985"/>
    </row>
    <row r="29" spans="1:7" ht="13" customHeight="1" x14ac:dyDescent="0.3">
      <c r="A29" s="1002" t="s">
        <v>1795</v>
      </c>
      <c r="B29" s="1004"/>
      <c r="C29" s="992"/>
      <c r="D29" s="982"/>
      <c r="E29" s="982" t="e">
        <f>Tb!D42</f>
        <v>#DIV/0!</v>
      </c>
      <c r="F29" s="984"/>
      <c r="G29" s="985"/>
    </row>
    <row r="30" spans="1:7" ht="13" customHeight="1" x14ac:dyDescent="0.3">
      <c r="A30" s="1002" t="s">
        <v>2261</v>
      </c>
      <c r="B30" s="1004"/>
      <c r="C30" s="992"/>
      <c r="D30" s="982"/>
      <c r="E30" s="982" t="e">
        <f>Tb!D43</f>
        <v>#DIV/0!</v>
      </c>
      <c r="F30" s="984"/>
      <c r="G30" s="985"/>
    </row>
    <row r="31" spans="1:7" ht="13" customHeight="1" x14ac:dyDescent="0.3">
      <c r="A31" s="1002" t="s">
        <v>1755</v>
      </c>
      <c r="B31" s="1004"/>
      <c r="C31" s="992"/>
      <c r="E31" s="982" t="e">
        <f>Tb!D44</f>
        <v>#DIV/0!</v>
      </c>
      <c r="F31" s="984"/>
      <c r="G31" s="985"/>
    </row>
    <row r="32" spans="1:7" ht="13" customHeight="1" x14ac:dyDescent="0.3">
      <c r="A32" s="1002" t="s">
        <v>1758</v>
      </c>
      <c r="B32" s="1004"/>
      <c r="C32" s="992"/>
      <c r="E32" s="982" t="e">
        <f>Tb!D45</f>
        <v>#DIV/0!</v>
      </c>
      <c r="F32" s="984"/>
      <c r="G32" s="985"/>
    </row>
    <row r="33" spans="1:7" ht="12.65" customHeight="1" x14ac:dyDescent="0.3">
      <c r="A33" s="1002" t="s">
        <v>2262</v>
      </c>
      <c r="B33" s="1004"/>
      <c r="C33" s="992"/>
      <c r="D33" s="982"/>
      <c r="E33" s="982" t="e">
        <f>Tb!D46</f>
        <v>#DIV/0!</v>
      </c>
      <c r="F33" s="984"/>
      <c r="G33" s="985"/>
    </row>
    <row r="34" spans="1:7" ht="13" customHeight="1" x14ac:dyDescent="0.3">
      <c r="A34" s="1002" t="s">
        <v>2075</v>
      </c>
      <c r="B34" s="1004"/>
      <c r="C34" s="992"/>
      <c r="D34" s="982"/>
      <c r="E34" s="982" t="e">
        <f>Tb!D47</f>
        <v>#DIV/0!</v>
      </c>
      <c r="F34" s="984"/>
      <c r="G34" s="985"/>
    </row>
    <row r="35" spans="1:7" ht="13" customHeight="1" x14ac:dyDescent="0.3">
      <c r="A35" s="1002" t="s">
        <v>1793</v>
      </c>
      <c r="B35" s="1004"/>
      <c r="C35" s="992"/>
      <c r="D35" s="982"/>
      <c r="E35" s="982" t="e">
        <f>Tb!D48</f>
        <v>#DIV/0!</v>
      </c>
      <c r="F35" s="984"/>
      <c r="G35" s="985"/>
    </row>
    <row r="36" spans="1:7" ht="13" customHeight="1" x14ac:dyDescent="0.3">
      <c r="A36" s="1002" t="s">
        <v>2263</v>
      </c>
      <c r="B36" s="1004"/>
      <c r="C36" s="992"/>
      <c r="D36" s="982"/>
      <c r="E36" s="982" t="e">
        <f>Tb!D49</f>
        <v>#DIV/0!</v>
      </c>
      <c r="F36" s="984"/>
      <c r="G36" s="985"/>
    </row>
    <row r="37" spans="1:7" ht="13" customHeight="1" x14ac:dyDescent="0.3">
      <c r="A37" s="1002" t="s">
        <v>1794</v>
      </c>
      <c r="B37" s="1004"/>
      <c r="C37" s="992"/>
      <c r="D37" s="982"/>
      <c r="E37" s="1373" t="e">
        <f>SUM(Tb!D50:D52)</f>
        <v>#DIV/0!</v>
      </c>
      <c r="F37" s="984"/>
      <c r="G37" s="985"/>
    </row>
    <row r="38" spans="1:7" ht="13" customHeight="1" x14ac:dyDescent="0.3">
      <c r="A38" s="1002" t="s">
        <v>1759</v>
      </c>
      <c r="B38" s="1004"/>
      <c r="C38" s="992"/>
      <c r="E38" s="1017" t="e">
        <f>Tb!D54</f>
        <v>#DIV/0!</v>
      </c>
      <c r="F38" s="984"/>
      <c r="G38" s="1007"/>
    </row>
    <row r="39" spans="1:7" ht="13" customHeight="1" x14ac:dyDescent="0.3">
      <c r="A39" s="1008" t="s">
        <v>1748</v>
      </c>
      <c r="B39" s="1381"/>
      <c r="C39" s="1382"/>
      <c r="E39" s="982" t="e">
        <f>SUM(E27:E38)</f>
        <v>#DIV/0!</v>
      </c>
      <c r="F39" s="984"/>
      <c r="G39" s="985"/>
    </row>
    <row r="40" spans="1:7" ht="13" customHeight="1" thickBot="1" x14ac:dyDescent="0.35">
      <c r="A40" s="1012" t="s">
        <v>1760</v>
      </c>
      <c r="B40" s="1013"/>
      <c r="C40" s="1014"/>
      <c r="D40" s="1014"/>
      <c r="E40" s="1015" t="e">
        <f>E17+E25+E39</f>
        <v>#DIV/0!</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82"/>
      <c r="E42" s="982" t="e">
        <f>SUM(Tb!D59:D71)</f>
        <v>#DIV/0!</v>
      </c>
      <c r="F42" s="984"/>
      <c r="G42" s="989"/>
    </row>
    <row r="43" spans="1:7" ht="13" customHeight="1" x14ac:dyDescent="0.3">
      <c r="A43" s="1002" t="s">
        <v>79</v>
      </c>
      <c r="B43" s="1004"/>
      <c r="C43" s="992"/>
      <c r="D43" s="992"/>
      <c r="E43" s="1017" t="e">
        <f>Tb!D72</f>
        <v>#DIV/0!</v>
      </c>
      <c r="F43" s="984"/>
      <c r="G43" s="1007"/>
    </row>
    <row r="44" spans="1:7" ht="13" customHeight="1" x14ac:dyDescent="0.3">
      <c r="A44" s="990" t="s">
        <v>1762</v>
      </c>
      <c r="B44" s="991"/>
      <c r="C44" s="992"/>
      <c r="D44" s="992"/>
      <c r="E44" s="993" t="e">
        <f>SUM(E42:E43)</f>
        <v>#DIV/0!</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1"/>
      <c r="E46" s="1021" t="e">
        <f>E40+E44</f>
        <v>#DIV/0!</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0</v>
      </c>
      <c r="D49" s="1227" t="e">
        <f>CONCATENATE(" -   $",ROUND(E46,2)," =")</f>
        <v>#DIV/0!</v>
      </c>
      <c r="E49" s="993" t="e">
        <f>E8-E40-E44</f>
        <v>#DIV/0!</v>
      </c>
      <c r="F49" s="984"/>
      <c r="G49" s="985"/>
    </row>
    <row r="50" spans="1:7" ht="13" customHeight="1" thickBot="1" x14ac:dyDescent="0.35">
      <c r="A50" s="1016" t="s">
        <v>1765</v>
      </c>
      <c r="B50" s="1013"/>
      <c r="C50" s="1319">
        <f>E8</f>
        <v>0</v>
      </c>
      <c r="D50" s="1228" t="e">
        <f>CONCATENATE("   -   $",ROUND(E40,2)," =")</f>
        <v>#DIV/0!</v>
      </c>
      <c r="E50" s="1015" t="e">
        <f>E8-E40</f>
        <v>#DIV/0!</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t="e">
        <f>E46</f>
        <v>#DIV/0!</v>
      </c>
      <c r="E53" s="982" t="e">
        <f>D53/$B$5</f>
        <v>#DIV/0!</v>
      </c>
      <c r="F53" s="984"/>
      <c r="G53" s="985"/>
    </row>
    <row r="54" spans="1:7" ht="13" customHeight="1" x14ac:dyDescent="0.3">
      <c r="A54" s="1002" t="s">
        <v>371</v>
      </c>
      <c r="B54" s="1027"/>
      <c r="C54" s="992"/>
      <c r="D54" s="982" t="e">
        <f>E40</f>
        <v>#DIV/0!</v>
      </c>
      <c r="E54" s="982" t="e">
        <f>D54/$B$5</f>
        <v>#DIV/0!</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1808</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1817</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1809</v>
      </c>
      <c r="F72" s="1050"/>
      <c r="G72" s="1051" t="s">
        <v>1735</v>
      </c>
    </row>
    <row r="73" spans="1:7" ht="12.75" customHeight="1" x14ac:dyDescent="0.3">
      <c r="A73" s="1053" t="s">
        <v>1784</v>
      </c>
      <c r="B73" s="982" t="e">
        <f>Tb!D127</f>
        <v>#DIV/0!</v>
      </c>
      <c r="C73" s="982" t="e">
        <f>Tb!D142</f>
        <v>#DIV/0!</v>
      </c>
      <c r="D73" s="982">
        <f>SUM(Tf!J56:J58)/200</f>
        <v>0</v>
      </c>
      <c r="E73" s="982" t="e">
        <f t="shared" ref="E73:E81" si="0">SUM(B73:D73)</f>
        <v>#DIV/0!</v>
      </c>
      <c r="F73" s="1054"/>
      <c r="G73" s="985"/>
    </row>
    <row r="74" spans="1:7" ht="12.75" customHeight="1" x14ac:dyDescent="0.3">
      <c r="A74" s="1053" t="s">
        <v>1429</v>
      </c>
      <c r="B74" s="982" t="e">
        <f>Tb!D128</f>
        <v>#DIV/0!</v>
      </c>
      <c r="C74" s="982" t="e">
        <f>Tb!D143</f>
        <v>#DIV/0!</v>
      </c>
      <c r="D74" s="982">
        <f>(SUM(Tf!J38:J40)/300)</f>
        <v>0</v>
      </c>
      <c r="E74" s="982" t="e">
        <f>SUM(B74:D74)</f>
        <v>#DIV/0!</v>
      </c>
      <c r="F74" s="1054"/>
      <c r="G74" s="985"/>
    </row>
    <row r="75" spans="1:7" ht="12.75" customHeight="1" x14ac:dyDescent="0.3">
      <c r="A75" s="1053" t="s">
        <v>1785</v>
      </c>
      <c r="B75" s="982" t="e">
        <f>Tb!D129</f>
        <v>#DIV/0!</v>
      </c>
      <c r="C75" s="982" t="e">
        <f>Tb!D144</f>
        <v>#DIV/0!</v>
      </c>
      <c r="D75" s="982">
        <f>SUM(Tf!J41:J43)/300</f>
        <v>0</v>
      </c>
      <c r="E75" s="982" t="e">
        <f t="shared" si="0"/>
        <v>#DIV/0!</v>
      </c>
      <c r="F75" s="1054"/>
      <c r="G75" s="985"/>
    </row>
    <row r="76" spans="1:7" ht="12.75" customHeight="1" x14ac:dyDescent="0.3">
      <c r="A76" s="1053" t="s">
        <v>1786</v>
      </c>
      <c r="B76" s="982" t="e">
        <f>Tb!D130</f>
        <v>#DIV/0!</v>
      </c>
      <c r="C76" s="982" t="e">
        <f>Tb!D145</f>
        <v>#DIV/0!</v>
      </c>
      <c r="D76" s="982">
        <f>SUM(Tf!J44:J46)/300</f>
        <v>0</v>
      </c>
      <c r="E76" s="982" t="e">
        <f t="shared" si="0"/>
        <v>#DIV/0!</v>
      </c>
      <c r="F76" s="1054"/>
      <c r="G76" s="985"/>
    </row>
    <row r="77" spans="1:7" ht="12.75" customHeight="1" x14ac:dyDescent="0.3">
      <c r="A77" s="1053" t="s">
        <v>1787</v>
      </c>
      <c r="B77" s="982" t="e">
        <f>Tb!D131</f>
        <v>#DIV/0!</v>
      </c>
      <c r="C77" s="982" t="e">
        <f>Tb!D146</f>
        <v>#DIV/0!</v>
      </c>
      <c r="D77" s="982">
        <f>SUM(Tf!J59:J61)/300</f>
        <v>0</v>
      </c>
      <c r="E77" s="982" t="e">
        <f t="shared" si="0"/>
        <v>#DIV/0!</v>
      </c>
      <c r="F77" s="1054"/>
      <c r="G77" s="985"/>
    </row>
    <row r="78" spans="1:7" ht="12.75" customHeight="1" x14ac:dyDescent="0.3">
      <c r="A78" s="1053" t="e">
        <f>IF(FARM!#REF!=1,"Flex Tine Harrow (2x)","Spin Spread Chilean Nitrate")</f>
        <v>#REF!</v>
      </c>
      <c r="B78" s="1004" t="e">
        <f>IF(FARM!#REF!=1,Tb!D132,Tb!D133)</f>
        <v>#REF!</v>
      </c>
      <c r="C78" s="1004" t="e">
        <f>IF(FARM!#REF!=1,Tb!D147,Tb!D148)</f>
        <v>#REF!</v>
      </c>
      <c r="D78" s="1004" t="e">
        <f>IF(FARM!#REF!=1,(SUM(Tf!J47:J49)/200)*2,SUM(Tf!J53:J55)/100)</f>
        <v>#REF!</v>
      </c>
      <c r="E78" s="982" t="e">
        <f t="shared" si="0"/>
        <v>#REF!</v>
      </c>
      <c r="F78" s="1054"/>
      <c r="G78" s="985"/>
    </row>
    <row r="79" spans="1:7" ht="12.75" customHeight="1" x14ac:dyDescent="0.3">
      <c r="A79" s="1053" t="s">
        <v>1810</v>
      </c>
      <c r="B79" s="982" t="e">
        <f>Tb!D134</f>
        <v>#DIV/0!</v>
      </c>
      <c r="C79" s="982" t="e">
        <f>Tb!D149</f>
        <v>#DIV/0!</v>
      </c>
      <c r="D79" s="982">
        <f>(SUM(Tf!J69:J71)+SUM(Tf!J72:J74))/300</f>
        <v>0</v>
      </c>
      <c r="E79" s="982" t="e">
        <f t="shared" si="0"/>
        <v>#DIV/0!</v>
      </c>
      <c r="F79" s="1054"/>
      <c r="G79" s="985"/>
    </row>
    <row r="80" spans="1:7" ht="12.75" customHeight="1" x14ac:dyDescent="0.3">
      <c r="A80" s="1055" t="s">
        <v>1819</v>
      </c>
      <c r="B80" s="1017" t="e">
        <f>Tb!D135</f>
        <v>#DIV/0!</v>
      </c>
      <c r="C80" s="1017" t="e">
        <f>Tb!D150</f>
        <v>#DIV/0!</v>
      </c>
      <c r="D80" s="1017">
        <f>SUM(Tf!J26:J28)/300</f>
        <v>0</v>
      </c>
      <c r="E80" s="1017" t="e">
        <f t="shared" si="0"/>
        <v>#DIV/0!</v>
      </c>
      <c r="F80" s="1054"/>
      <c r="G80" s="1056"/>
    </row>
    <row r="81" spans="1:7" ht="12.75" customHeight="1" x14ac:dyDescent="0.3">
      <c r="A81" s="1057" t="s">
        <v>1811</v>
      </c>
      <c r="B81" s="1017" t="e">
        <f>SUM(B73:B80)</f>
        <v>#DIV/0!</v>
      </c>
      <c r="C81" s="1017" t="e">
        <f>SUM(C73:C80)</f>
        <v>#DIV/0!</v>
      </c>
      <c r="D81" s="1017" t="e">
        <f>SUM(D73:D80)</f>
        <v>#REF!</v>
      </c>
      <c r="E81" s="1058" t="e">
        <f t="shared" si="0"/>
        <v>#DIV/0!</v>
      </c>
      <c r="F81" s="1059"/>
      <c r="G81" s="1060"/>
    </row>
    <row r="82" spans="1:7" ht="18" customHeight="1" x14ac:dyDescent="0.3">
      <c r="A82" s="1061" t="s">
        <v>1790</v>
      </c>
      <c r="B82" s="1062"/>
      <c r="C82" s="1062"/>
      <c r="D82" s="1062"/>
      <c r="E82" s="995"/>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kMf6v/N6Paoqaa5vTfxiNhAU5zQR3q8gpWluZMKGqJgayxhsjX9Kb9oFx87AN+IMFwNA7aSWb2Pyt93FFBioIA==" saltValue="PTmLt9dJdCitTv4yoB8KGw==" spinCount="100000" sheet="1" objects="1" scenarios="1"/>
  <mergeCells count="15">
    <mergeCell ref="A69:G69"/>
    <mergeCell ref="A71:E71"/>
    <mergeCell ref="A83:G83"/>
    <mergeCell ref="A61:G61"/>
    <mergeCell ref="A62:G62"/>
    <mergeCell ref="A64:G64"/>
    <mergeCell ref="A65:G65"/>
    <mergeCell ref="A66:G66"/>
    <mergeCell ref="A68:G68"/>
    <mergeCell ref="B39:C39"/>
    <mergeCell ref="A1:G1"/>
    <mergeCell ref="A2:G2"/>
    <mergeCell ref="A3:G3"/>
    <mergeCell ref="B17:C17"/>
    <mergeCell ref="B25:C25"/>
  </mergeCells>
  <pageMargins left="0.7" right="0.7" top="0.75" bottom="0.75" header="0.3" footer="0.3"/>
  <pageSetup scale="84" orientation="portrait" r:id="rId1"/>
  <rowBreaks count="1" manualBreakCount="1">
    <brk id="5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activeCell="J4" sqref="J4"/>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1815</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2212</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1816</v>
      </c>
      <c r="B5" s="981">
        <f>FARM!D21</f>
        <v>42</v>
      </c>
      <c r="C5" s="982">
        <f>FARM!F21</f>
        <v>24</v>
      </c>
      <c r="D5" s="983" t="s">
        <v>1736</v>
      </c>
      <c r="E5" s="982">
        <f>B5*C5</f>
        <v>1008</v>
      </c>
      <c r="F5" s="984"/>
      <c r="G5" s="985"/>
      <c r="I5" s="982"/>
    </row>
    <row r="6" spans="1:9" ht="13" customHeight="1" x14ac:dyDescent="0.3">
      <c r="A6" s="980" t="s">
        <v>2260</v>
      </c>
      <c r="B6" s="1365">
        <f>Straw!O15*SUM(Straw!Q15:R15)</f>
        <v>0</v>
      </c>
      <c r="C6" s="982">
        <f>Straw!D15</f>
        <v>40</v>
      </c>
      <c r="D6" s="983" t="s">
        <v>1736</v>
      </c>
      <c r="E6" s="982">
        <f>IF(Straw!C15="Both round &amp; square",(B6*C6*Straw!I15),(B6*C6))</f>
        <v>0</v>
      </c>
      <c r="F6" s="984"/>
      <c r="G6" s="989"/>
      <c r="I6" s="982"/>
    </row>
    <row r="7" spans="1:9" ht="13" customHeight="1" x14ac:dyDescent="0.3">
      <c r="A7" s="986" t="s">
        <v>1737</v>
      </c>
      <c r="B7" s="1069">
        <f>Straw!P15*SUM(Straw!R15:S15)</f>
        <v>0</v>
      </c>
      <c r="C7" s="1017">
        <f>Straw!F15</f>
        <v>5.0833333333333304</v>
      </c>
      <c r="D7" s="988" t="s">
        <v>1736</v>
      </c>
      <c r="E7" s="1017">
        <f>IF(Straw!C15="Both round &amp; square",(B7*C7*Straw!J15),(B7*C7))</f>
        <v>0</v>
      </c>
      <c r="F7" s="984"/>
      <c r="G7" s="989"/>
    </row>
    <row r="8" spans="1:9" ht="13" customHeight="1" x14ac:dyDescent="0.3">
      <c r="A8" s="990" t="s">
        <v>1738</v>
      </c>
      <c r="B8" s="991"/>
      <c r="C8" s="992"/>
      <c r="D8" s="993"/>
      <c r="E8" s="993">
        <f>SUM(E5:E7)</f>
        <v>1008</v>
      </c>
      <c r="F8" s="984"/>
      <c r="G8" s="994"/>
    </row>
    <row r="9" spans="1:9" ht="13" customHeight="1" thickBot="1" x14ac:dyDescent="0.35">
      <c r="A9" s="995"/>
      <c r="B9" s="992"/>
      <c r="C9" s="992"/>
      <c r="D9" s="992"/>
      <c r="E9" s="992"/>
      <c r="F9" s="984"/>
      <c r="G9" s="989"/>
    </row>
    <row r="10" spans="1:9" ht="29" customHeight="1" thickBot="1" x14ac:dyDescent="0.35">
      <c r="A10" s="996" t="s">
        <v>1739</v>
      </c>
      <c r="B10" s="997" t="s">
        <v>1740</v>
      </c>
      <c r="C10" s="997" t="s">
        <v>1636</v>
      </c>
      <c r="D10" s="998"/>
      <c r="E10" s="998" t="s">
        <v>1741</v>
      </c>
      <c r="F10" s="984"/>
      <c r="G10" s="999" t="s">
        <v>1735</v>
      </c>
    </row>
    <row r="11" spans="1:9" ht="15" customHeight="1" x14ac:dyDescent="0.3">
      <c r="A11" s="1000" t="s">
        <v>1742</v>
      </c>
      <c r="B11" s="1001"/>
      <c r="C11" s="1001"/>
      <c r="D11" s="1001"/>
      <c r="E11" s="1001"/>
      <c r="F11" s="984"/>
      <c r="G11" s="989"/>
    </row>
    <row r="12" spans="1:9" ht="13" customHeight="1" x14ac:dyDescent="0.3">
      <c r="A12" s="1002" t="s">
        <v>1743</v>
      </c>
      <c r="B12" s="1070">
        <f>INPUT!$I$17</f>
        <v>140</v>
      </c>
      <c r="C12" s="982">
        <f>INPUT!$I$18</f>
        <v>0.7</v>
      </c>
      <c r="D12" s="983" t="s">
        <v>1736</v>
      </c>
      <c r="E12" s="982">
        <f>B12*C12</f>
        <v>98</v>
      </c>
      <c r="F12" s="984"/>
      <c r="G12" s="985"/>
    </row>
    <row r="13" spans="1:9" ht="13" customHeight="1" x14ac:dyDescent="0.3">
      <c r="A13" s="1002" t="s">
        <v>1744</v>
      </c>
      <c r="B13" s="1004"/>
      <c r="C13" s="992"/>
      <c r="D13" s="983"/>
      <c r="E13" s="982"/>
      <c r="F13" s="984"/>
      <c r="G13" s="989"/>
    </row>
    <row r="14" spans="1:9" ht="13" customHeight="1" x14ac:dyDescent="0.3">
      <c r="A14" s="1005" t="s">
        <v>1745</v>
      </c>
      <c r="B14" s="1070">
        <f>INPUT!$I$32</f>
        <v>3</v>
      </c>
      <c r="C14" s="1004">
        <f>INPUT!$I$33</f>
        <v>35</v>
      </c>
      <c r="D14" s="983" t="s">
        <v>1736</v>
      </c>
      <c r="E14" s="982">
        <f>B14*C14</f>
        <v>105</v>
      </c>
      <c r="F14" s="984"/>
      <c r="G14" s="985"/>
    </row>
    <row r="15" spans="1:9" ht="13" customHeight="1" x14ac:dyDescent="0.3">
      <c r="A15" s="1005" t="s">
        <v>1806</v>
      </c>
      <c r="B15" s="1070">
        <f>INPUT!$I$38</f>
        <v>0</v>
      </c>
      <c r="C15" s="982">
        <f>INPUT!$I$39</f>
        <v>0.6</v>
      </c>
      <c r="D15" s="1372" t="s">
        <v>1736</v>
      </c>
      <c r="E15" s="1373">
        <f>B15*C15</f>
        <v>0</v>
      </c>
      <c r="F15" s="984"/>
      <c r="G15" s="985"/>
    </row>
    <row r="16" spans="1:9" ht="13" customHeight="1" x14ac:dyDescent="0.3">
      <c r="A16" s="1002" t="s">
        <v>1807</v>
      </c>
      <c r="B16" s="1003">
        <f>INPUT!$I$41*(INPUT!$I$43/INPUT!$I$44)</f>
        <v>0</v>
      </c>
      <c r="C16" s="1004">
        <f>OSI!$K$61</f>
        <v>75</v>
      </c>
      <c r="D16" s="1374" t="s">
        <v>1736</v>
      </c>
      <c r="E16" s="1017">
        <f>B16*C16</f>
        <v>0</v>
      </c>
      <c r="F16" s="984"/>
      <c r="G16" s="1007"/>
    </row>
    <row r="17" spans="1:7" ht="13" customHeight="1" x14ac:dyDescent="0.3">
      <c r="A17" s="1008" t="s">
        <v>1748</v>
      </c>
      <c r="B17" s="1381"/>
      <c r="C17" s="1382"/>
      <c r="D17" s="982"/>
      <c r="E17" s="982">
        <f>SUM(E12:E16)</f>
        <v>203</v>
      </c>
      <c r="F17" s="984"/>
      <c r="G17" s="985"/>
    </row>
    <row r="18" spans="1:7" ht="13" customHeight="1" x14ac:dyDescent="0.3">
      <c r="A18" s="1009" t="s">
        <v>1749</v>
      </c>
      <c r="B18" s="1004"/>
      <c r="C18" s="992"/>
      <c r="E18" s="982"/>
      <c r="F18" s="984"/>
      <c r="G18" s="989"/>
    </row>
    <row r="19" spans="1:7" ht="13" customHeight="1" x14ac:dyDescent="0.3">
      <c r="A19" s="1002" t="s">
        <v>1750</v>
      </c>
      <c r="B19" s="1004"/>
      <c r="C19" s="992"/>
      <c r="E19" s="982">
        <f>Sb!D34</f>
        <v>31.887424332012291</v>
      </c>
      <c r="F19" s="984"/>
      <c r="G19" s="985"/>
    </row>
    <row r="20" spans="1:7" ht="13" customHeight="1" x14ac:dyDescent="0.3">
      <c r="A20" s="1002" t="s">
        <v>1751</v>
      </c>
      <c r="B20" s="1004"/>
      <c r="C20" s="992"/>
      <c r="E20" s="982">
        <f>Sb!D35</f>
        <v>14.493409901853983</v>
      </c>
      <c r="F20" s="984"/>
      <c r="G20" s="985"/>
    </row>
    <row r="21" spans="1:7" ht="13" customHeight="1" x14ac:dyDescent="0.3">
      <c r="A21" s="1010" t="s">
        <v>1752</v>
      </c>
      <c r="B21" s="1004"/>
      <c r="C21" s="992"/>
      <c r="E21" s="982">
        <f>Sb!D36</f>
        <v>72.737209198926479</v>
      </c>
      <c r="F21" s="984"/>
      <c r="G21" s="994"/>
    </row>
    <row r="22" spans="1:7" ht="13" customHeight="1" x14ac:dyDescent="0.3">
      <c r="A22" s="1002" t="s">
        <v>170</v>
      </c>
      <c r="B22" s="1004"/>
      <c r="C22" s="992"/>
      <c r="D22" s="982"/>
      <c r="E22" s="982">
        <f>Sb!D37</f>
        <v>0</v>
      </c>
      <c r="F22" s="984"/>
      <c r="G22" s="1011"/>
    </row>
    <row r="23" spans="1:7" ht="13" customHeight="1" x14ac:dyDescent="0.3">
      <c r="A23" s="1002" t="s">
        <v>1756</v>
      </c>
      <c r="B23" s="1004"/>
      <c r="C23" s="992"/>
      <c r="D23" s="982"/>
      <c r="E23" s="1373">
        <f>Sb!D38</f>
        <v>3</v>
      </c>
      <c r="F23" s="984"/>
      <c r="G23" s="1011"/>
    </row>
    <row r="24" spans="1:7" ht="13" customHeight="1" x14ac:dyDescent="0.3">
      <c r="A24" s="1002" t="s">
        <v>1753</v>
      </c>
      <c r="B24" s="1004"/>
      <c r="C24" s="992"/>
      <c r="E24" s="1017">
        <f>Sb!D47</f>
        <v>0</v>
      </c>
      <c r="F24" s="984"/>
      <c r="G24" s="1007"/>
    </row>
    <row r="25" spans="1:7" ht="13" customHeight="1" x14ac:dyDescent="0.3">
      <c r="A25" s="1008" t="s">
        <v>1748</v>
      </c>
      <c r="B25" s="1381"/>
      <c r="C25" s="1382"/>
      <c r="E25" s="982">
        <f>SUM(E19:E24)</f>
        <v>122.11804343279275</v>
      </c>
      <c r="F25" s="984"/>
      <c r="G25" s="989"/>
    </row>
    <row r="26" spans="1:7" ht="13" customHeight="1" x14ac:dyDescent="0.3">
      <c r="A26" s="1009" t="s">
        <v>1754</v>
      </c>
      <c r="B26" s="1004"/>
      <c r="C26" s="992"/>
      <c r="E26" s="982"/>
      <c r="F26" s="984"/>
      <c r="G26" s="1011"/>
    </row>
    <row r="27" spans="1:7" ht="13" customHeight="1" x14ac:dyDescent="0.3">
      <c r="A27" s="1002" t="s">
        <v>1757</v>
      </c>
      <c r="B27" s="1004"/>
      <c r="C27" s="992"/>
      <c r="E27" s="982">
        <f>Sb!D40</f>
        <v>1.5</v>
      </c>
      <c r="F27" s="984"/>
      <c r="G27" s="985"/>
    </row>
    <row r="28" spans="1:7" ht="13" customHeight="1" x14ac:dyDescent="0.3">
      <c r="A28" s="1002" t="s">
        <v>1792</v>
      </c>
      <c r="B28" s="1004"/>
      <c r="C28" s="992"/>
      <c r="D28" s="982"/>
      <c r="E28" s="982">
        <f>Sb!D41</f>
        <v>8.75</v>
      </c>
      <c r="F28" s="984"/>
      <c r="G28" s="985"/>
    </row>
    <row r="29" spans="1:7" ht="13" customHeight="1" x14ac:dyDescent="0.3">
      <c r="A29" s="1002" t="s">
        <v>1795</v>
      </c>
      <c r="B29" s="1004"/>
      <c r="C29" s="992"/>
      <c r="D29" s="982"/>
      <c r="E29" s="982">
        <f>Sb!D42</f>
        <v>4.5</v>
      </c>
      <c r="F29" s="984"/>
      <c r="G29" s="985"/>
    </row>
    <row r="30" spans="1:7" ht="13" customHeight="1" x14ac:dyDescent="0.3">
      <c r="A30" s="1002" t="s">
        <v>2261</v>
      </c>
      <c r="B30" s="1004"/>
      <c r="C30" s="992"/>
      <c r="D30" s="982"/>
      <c r="E30" s="982">
        <f>Sb!D43</f>
        <v>15</v>
      </c>
      <c r="F30" s="984"/>
      <c r="G30" s="985"/>
    </row>
    <row r="31" spans="1:7" ht="13" customHeight="1" x14ac:dyDescent="0.3">
      <c r="A31" s="1002" t="s">
        <v>1755</v>
      </c>
      <c r="B31" s="1004"/>
      <c r="C31" s="992"/>
      <c r="E31" s="982">
        <f>Sb!D44</f>
        <v>12.5</v>
      </c>
      <c r="F31" s="984"/>
      <c r="G31" s="985"/>
    </row>
    <row r="32" spans="1:7" ht="13" customHeight="1" x14ac:dyDescent="0.3">
      <c r="A32" s="1002" t="s">
        <v>1758</v>
      </c>
      <c r="B32" s="1004"/>
      <c r="C32" s="992"/>
      <c r="E32" s="982">
        <f>Sb!D45</f>
        <v>22.479045114694269</v>
      </c>
      <c r="F32" s="984"/>
      <c r="G32" s="985"/>
    </row>
    <row r="33" spans="1:7" ht="12.65" customHeight="1" x14ac:dyDescent="0.3">
      <c r="A33" s="1002" t="s">
        <v>2262</v>
      </c>
      <c r="B33" s="1004"/>
      <c r="C33" s="992"/>
      <c r="D33" s="982"/>
      <c r="E33" s="982">
        <f>Sb!D46</f>
        <v>0</v>
      </c>
      <c r="F33" s="984"/>
      <c r="G33" s="985"/>
    </row>
    <row r="34" spans="1:7" ht="13" customHeight="1" x14ac:dyDescent="0.3">
      <c r="A34" s="1002" t="s">
        <v>2075</v>
      </c>
      <c r="B34" s="1004"/>
      <c r="C34" s="992"/>
      <c r="D34" s="982"/>
      <c r="E34" s="982">
        <f>Sb!D47</f>
        <v>0</v>
      </c>
      <c r="F34" s="984"/>
      <c r="G34" s="985"/>
    </row>
    <row r="35" spans="1:7" ht="13" customHeight="1" x14ac:dyDescent="0.3">
      <c r="A35" s="1002" t="s">
        <v>1793</v>
      </c>
      <c r="B35" s="1004"/>
      <c r="C35" s="992"/>
      <c r="D35" s="982"/>
      <c r="E35" s="982">
        <f>Sb!D48</f>
        <v>11.061</v>
      </c>
      <c r="F35" s="984"/>
      <c r="G35" s="985"/>
    </row>
    <row r="36" spans="1:7" ht="13" customHeight="1" x14ac:dyDescent="0.3">
      <c r="A36" s="1002" t="s">
        <v>2263</v>
      </c>
      <c r="B36" s="1004"/>
      <c r="C36" s="992"/>
      <c r="D36" s="982"/>
      <c r="E36" s="982">
        <f>Sb!D49</f>
        <v>0</v>
      </c>
      <c r="F36" s="984"/>
      <c r="G36" s="985"/>
    </row>
    <row r="37" spans="1:7" ht="13" customHeight="1" x14ac:dyDescent="0.3">
      <c r="A37" s="1002" t="s">
        <v>1794</v>
      </c>
      <c r="B37" s="1004"/>
      <c r="C37" s="992"/>
      <c r="D37" s="982"/>
      <c r="E37" s="1373">
        <f>SUM(Sb!D50:D52)</f>
        <v>2.375</v>
      </c>
      <c r="F37" s="984"/>
      <c r="G37" s="985"/>
    </row>
    <row r="38" spans="1:7" ht="13" customHeight="1" x14ac:dyDescent="0.3">
      <c r="A38" s="1002" t="s">
        <v>1759</v>
      </c>
      <c r="B38" s="1004"/>
      <c r="C38" s="992"/>
      <c r="E38" s="1017">
        <f>Sb!D54</f>
        <v>11.137064907159651</v>
      </c>
      <c r="F38" s="984"/>
      <c r="G38" s="1007"/>
    </row>
    <row r="39" spans="1:7" ht="13" customHeight="1" x14ac:dyDescent="0.3">
      <c r="A39" s="1008" t="s">
        <v>1748</v>
      </c>
      <c r="B39" s="1381"/>
      <c r="C39" s="1382"/>
      <c r="E39" s="982">
        <f>SUM(E27:E38)</f>
        <v>89.30211002185392</v>
      </c>
      <c r="F39" s="984"/>
      <c r="G39" s="985"/>
    </row>
    <row r="40" spans="1:7" ht="13" customHeight="1" thickBot="1" x14ac:dyDescent="0.35">
      <c r="A40" s="1012" t="s">
        <v>1760</v>
      </c>
      <c r="B40" s="1013"/>
      <c r="C40" s="1014"/>
      <c r="D40" s="1014"/>
      <c r="E40" s="1015">
        <f>E17+E25+E39</f>
        <v>414.42015345464671</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82"/>
      <c r="E42" s="982">
        <f>SUM(Sb!D59:D71)</f>
        <v>109.49637435354893</v>
      </c>
      <c r="F42" s="984"/>
      <c r="G42" s="989"/>
    </row>
    <row r="43" spans="1:7" ht="13" customHeight="1" x14ac:dyDescent="0.3">
      <c r="A43" s="1002" t="s">
        <v>79</v>
      </c>
      <c r="B43" s="1004"/>
      <c r="C43" s="992"/>
      <c r="D43" s="992"/>
      <c r="E43" s="1017">
        <f>Sb!D72</f>
        <v>26.342715617159655</v>
      </c>
      <c r="F43" s="984"/>
      <c r="G43" s="1007"/>
    </row>
    <row r="44" spans="1:7" ht="13" customHeight="1" x14ac:dyDescent="0.3">
      <c r="A44" s="990" t="s">
        <v>1762</v>
      </c>
      <c r="B44" s="991"/>
      <c r="C44" s="992"/>
      <c r="D44" s="992"/>
      <c r="E44" s="993">
        <f>SUM(E42:E43)</f>
        <v>135.83908997070859</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1"/>
      <c r="E46" s="1021">
        <f>E40+E44</f>
        <v>550.25924342535529</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1008</v>
      </c>
      <c r="D49" s="1227" t="str">
        <f>CONCATENATE(" -   $",ROUND(E46,2)," =")</f>
        <v xml:space="preserve"> -   $550.26 =</v>
      </c>
      <c r="E49" s="993">
        <f>E8-E40-E44</f>
        <v>457.74075657464476</v>
      </c>
      <c r="F49" s="984"/>
      <c r="G49" s="985"/>
    </row>
    <row r="50" spans="1:7" ht="13" customHeight="1" thickBot="1" x14ac:dyDescent="0.35">
      <c r="A50" s="1016" t="s">
        <v>1765</v>
      </c>
      <c r="B50" s="1013"/>
      <c r="C50" s="1319">
        <f>E8</f>
        <v>1008</v>
      </c>
      <c r="D50" s="1228" t="str">
        <f>CONCATENATE("   -   $",ROUND(E40,2)," =")</f>
        <v xml:space="preserve">   -   $414.42 =</v>
      </c>
      <c r="E50" s="1015">
        <f>E8-E40</f>
        <v>593.57984654535335</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f>E46</f>
        <v>550.25924342535529</v>
      </c>
      <c r="E53" s="982">
        <f>D53/$B$5</f>
        <v>13.101410557746554</v>
      </c>
      <c r="F53" s="984"/>
      <c r="G53" s="985"/>
    </row>
    <row r="54" spans="1:7" ht="13" customHeight="1" x14ac:dyDescent="0.3">
      <c r="A54" s="1002" t="s">
        <v>371</v>
      </c>
      <c r="B54" s="1027"/>
      <c r="C54" s="992"/>
      <c r="D54" s="982">
        <f>E40</f>
        <v>414.42015345464671</v>
      </c>
      <c r="E54" s="982">
        <f>D54/$B$5</f>
        <v>9.8671465108249219</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1808</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1809</v>
      </c>
      <c r="F72" s="1050"/>
      <c r="G72" s="1051" t="s">
        <v>1735</v>
      </c>
    </row>
    <row r="73" spans="1:7" ht="12.75" customHeight="1" x14ac:dyDescent="0.3">
      <c r="A73" s="1053" t="s">
        <v>1784</v>
      </c>
      <c r="B73" s="982">
        <f>Sb!D127</f>
        <v>3.0724999999999998</v>
      </c>
      <c r="C73" s="982">
        <f>Sb!D142</f>
        <v>1.1270109002769051</v>
      </c>
      <c r="D73" s="982">
        <f>SUM(Sf!J56:J58)/200</f>
        <v>0.32150813298933562</v>
      </c>
      <c r="E73" s="982">
        <f t="shared" ref="E73:E81" si="0">SUM(B73:D73)</f>
        <v>4.5210190332662403</v>
      </c>
      <c r="F73" s="1054"/>
      <c r="G73" s="985"/>
    </row>
    <row r="74" spans="1:7" ht="12.75" customHeight="1" x14ac:dyDescent="0.3">
      <c r="A74" s="1053" t="s">
        <v>1429</v>
      </c>
      <c r="B74" s="982">
        <f>Sb!D128</f>
        <v>1.4458823529411715</v>
      </c>
      <c r="C74" s="982">
        <f>Sb!D143</f>
        <v>1.6384000000000001</v>
      </c>
      <c r="D74" s="982">
        <f>(SUM(Sf!J38:J40)/300)</f>
        <v>0.43642170667342089</v>
      </c>
      <c r="E74" s="982">
        <f>SUM(B74:D74)</f>
        <v>3.5207040596145922</v>
      </c>
      <c r="F74" s="1054"/>
      <c r="G74" s="985"/>
    </row>
    <row r="75" spans="1:7" ht="12.75" customHeight="1" x14ac:dyDescent="0.3">
      <c r="A75" s="1053" t="s">
        <v>1785</v>
      </c>
      <c r="B75" s="982">
        <f>Sb!D129</f>
        <v>1.0057283142389524</v>
      </c>
      <c r="C75" s="982">
        <f>Sb!D144</f>
        <v>1.8944000000000001</v>
      </c>
      <c r="D75" s="982">
        <f>SUM(Sf!J41:J43)/300</f>
        <v>1.2686809215190578</v>
      </c>
      <c r="E75" s="982">
        <f t="shared" si="0"/>
        <v>4.16880923575801</v>
      </c>
      <c r="F75" s="1054"/>
      <c r="G75" s="985"/>
    </row>
    <row r="76" spans="1:7" ht="12.75" customHeight="1" x14ac:dyDescent="0.3">
      <c r="A76" s="1053" t="s">
        <v>1786</v>
      </c>
      <c r="B76" s="982">
        <f>Sb!D130</f>
        <v>0.94684129429892172</v>
      </c>
      <c r="C76" s="982">
        <f>Sb!D145</f>
        <v>0.87040000000000006</v>
      </c>
      <c r="D76" s="982">
        <f>SUM(Sf!J44:J46)/300</f>
        <v>0.79629972733642973</v>
      </c>
      <c r="E76" s="982">
        <f t="shared" si="0"/>
        <v>2.6135410216353514</v>
      </c>
      <c r="F76" s="1054"/>
      <c r="G76" s="985"/>
    </row>
    <row r="77" spans="1:7" ht="12.75" customHeight="1" x14ac:dyDescent="0.3">
      <c r="A77" s="1053" t="s">
        <v>1787</v>
      </c>
      <c r="B77" s="982">
        <f>Sb!D131</f>
        <v>0.94684129429892172</v>
      </c>
      <c r="C77" s="982">
        <f>Sb!D146</f>
        <v>1.5615999999999999</v>
      </c>
      <c r="D77" s="982">
        <f>SUM(Sf!J59:J61)/300</f>
        <v>1.0054499224031039</v>
      </c>
      <c r="E77" s="982">
        <f t="shared" si="0"/>
        <v>3.5138912167020253</v>
      </c>
      <c r="F77" s="1054"/>
      <c r="G77" s="985"/>
    </row>
    <row r="78" spans="1:7" ht="12.75" customHeight="1" x14ac:dyDescent="0.3">
      <c r="A78" s="1053" t="s">
        <v>1818</v>
      </c>
      <c r="B78" s="1004">
        <f>Sb!D133</f>
        <v>0</v>
      </c>
      <c r="C78" s="1004">
        <f>Sb!D148</f>
        <v>0</v>
      </c>
      <c r="D78" s="1004">
        <f>SUM(Sf!J47:J49)</f>
        <v>0</v>
      </c>
      <c r="E78" s="1004">
        <f t="shared" si="0"/>
        <v>0</v>
      </c>
      <c r="F78" s="1054"/>
      <c r="G78" s="985"/>
    </row>
    <row r="79" spans="1:7" ht="12.75" customHeight="1" x14ac:dyDescent="0.3">
      <c r="A79" s="1053" t="s">
        <v>1810</v>
      </c>
      <c r="B79" s="982">
        <f>Sb!D134</f>
        <v>4.0966666666666622</v>
      </c>
      <c r="C79" s="982">
        <f>Sb!D149</f>
        <v>5.12</v>
      </c>
      <c r="D79" s="982">
        <f>(SUM(Sf!J69:J71)+SUM(Sf!J72:J74))/300</f>
        <v>7.0241442901972473</v>
      </c>
      <c r="E79" s="982">
        <f t="shared" si="0"/>
        <v>16.240810956863911</v>
      </c>
      <c r="F79" s="1054"/>
      <c r="G79" s="985"/>
    </row>
    <row r="80" spans="1:7" ht="12.75" customHeight="1" x14ac:dyDescent="0.3">
      <c r="A80" s="1055" t="s">
        <v>1819</v>
      </c>
      <c r="B80" s="1017">
        <f>Sb!D135</f>
        <v>0.96034158128483815</v>
      </c>
      <c r="C80" s="1017">
        <f>Sb!D150</f>
        <v>0.38450012359330299</v>
      </c>
      <c r="D80" s="1017">
        <f>SUM(Sf!J26:J28)/300</f>
        <v>1.9877833042447135</v>
      </c>
      <c r="E80" s="1017">
        <f t="shared" si="0"/>
        <v>3.3326250091228546</v>
      </c>
      <c r="F80" s="1054"/>
      <c r="G80" s="1056"/>
    </row>
    <row r="81" spans="1:7" ht="12.75" customHeight="1" x14ac:dyDescent="0.3">
      <c r="A81" s="1057" t="s">
        <v>1811</v>
      </c>
      <c r="B81" s="1017">
        <f>SUM(B73:B80)</f>
        <v>12.474801503729468</v>
      </c>
      <c r="C81" s="1017">
        <f>SUM(C73:C80)</f>
        <v>12.596311023870209</v>
      </c>
      <c r="D81" s="1017">
        <f>SUM(D73:D80)</f>
        <v>12.840288005363307</v>
      </c>
      <c r="E81" s="1058">
        <f t="shared" si="0"/>
        <v>37.911400532962986</v>
      </c>
      <c r="F81" s="1059"/>
      <c r="G81" s="1060"/>
    </row>
    <row r="82" spans="1:7" ht="18" customHeight="1" x14ac:dyDescent="0.3">
      <c r="A82" s="1061" t="s">
        <v>1790</v>
      </c>
      <c r="B82" s="1062"/>
      <c r="C82" s="1062"/>
      <c r="D82" s="1062"/>
      <c r="E82" s="995"/>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VmPo2l4uV72angLozgO+7VKPypGFj+0YmpWwFR0c9BQnmPFumLUb5MSpn4PB1uZcMCrO2cOXA9050CkOBcaqxA==" saltValue="iykzVwmz2GS4CRfukcuGrQ==" spinCount="100000" sheet="1" objects="1" scenarios="1"/>
  <mergeCells count="15">
    <mergeCell ref="A69:G69"/>
    <mergeCell ref="A71:E71"/>
    <mergeCell ref="A83:G83"/>
    <mergeCell ref="A61:G61"/>
    <mergeCell ref="A62:G62"/>
    <mergeCell ref="A64:G64"/>
    <mergeCell ref="A65:G65"/>
    <mergeCell ref="A66:G66"/>
    <mergeCell ref="A68:G68"/>
    <mergeCell ref="B39:C39"/>
    <mergeCell ref="A1:G1"/>
    <mergeCell ref="A2:G2"/>
    <mergeCell ref="A3:G3"/>
    <mergeCell ref="B17:C17"/>
    <mergeCell ref="B25:C25"/>
  </mergeCells>
  <pageMargins left="0.7" right="0.7" top="0.75" bottom="0.75" header="0.3" footer="0.3"/>
  <pageSetup scale="84" orientation="portrait" r:id="rId1"/>
  <rowBreaks count="1" manualBreakCount="1">
    <brk id="5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zoomScaleNormal="100" workbookViewId="0">
      <selection activeCell="A19" sqref="A19"/>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2143</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2213</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2111</v>
      </c>
      <c r="B5" s="981">
        <f>FARM!D22</f>
        <v>15</v>
      </c>
      <c r="C5" s="982">
        <f>FARM!F22</f>
        <v>30</v>
      </c>
      <c r="D5" s="983" t="s">
        <v>1736</v>
      </c>
      <c r="E5" s="982">
        <f>B5*C5</f>
        <v>450</v>
      </c>
      <c r="F5" s="984"/>
      <c r="G5" s="985"/>
      <c r="I5" s="982"/>
    </row>
    <row r="6" spans="1:9" ht="13" customHeight="1" x14ac:dyDescent="0.3">
      <c r="A6" s="986"/>
      <c r="B6" s="1069"/>
      <c r="C6" s="987"/>
      <c r="D6" s="988"/>
      <c r="E6" s="987"/>
      <c r="F6" s="984"/>
      <c r="G6" s="989"/>
    </row>
    <row r="7" spans="1:9" ht="13" customHeight="1" x14ac:dyDescent="0.3">
      <c r="A7" s="990" t="s">
        <v>1738</v>
      </c>
      <c r="B7" s="991"/>
      <c r="C7" s="992"/>
      <c r="D7" s="993"/>
      <c r="E7" s="993">
        <f>SUM(E5:E6)</f>
        <v>450</v>
      </c>
      <c r="F7" s="984"/>
      <c r="G7" s="994"/>
    </row>
    <row r="8" spans="1:9" ht="13" customHeight="1" thickBot="1" x14ac:dyDescent="0.35">
      <c r="A8" s="995"/>
      <c r="B8" s="992"/>
      <c r="C8" s="992"/>
      <c r="D8" s="992"/>
      <c r="E8" s="992"/>
      <c r="F8" s="984"/>
      <c r="G8" s="989"/>
    </row>
    <row r="9" spans="1:9" ht="29" customHeight="1" thickBot="1" x14ac:dyDescent="0.35">
      <c r="A9" s="996" t="s">
        <v>1739</v>
      </c>
      <c r="B9" s="997" t="s">
        <v>1740</v>
      </c>
      <c r="C9" s="997" t="s">
        <v>1636</v>
      </c>
      <c r="D9" s="998"/>
      <c r="E9" s="998" t="s">
        <v>1741</v>
      </c>
      <c r="F9" s="984"/>
      <c r="G9" s="999" t="s">
        <v>1735</v>
      </c>
    </row>
    <row r="10" spans="1:9" ht="15" customHeight="1" x14ac:dyDescent="0.3">
      <c r="A10" s="1000" t="s">
        <v>1742</v>
      </c>
      <c r="B10" s="1001"/>
      <c r="C10" s="1001"/>
      <c r="D10" s="1001"/>
      <c r="E10" s="1001"/>
      <c r="F10" s="984"/>
      <c r="G10" s="989"/>
    </row>
    <row r="11" spans="1:9" ht="13" customHeight="1" x14ac:dyDescent="0.3">
      <c r="A11" s="1002" t="s">
        <v>1743</v>
      </c>
      <c r="B11" s="1070">
        <f>INPUT!$J$17</f>
        <v>70</v>
      </c>
      <c r="C11" s="982">
        <f>INPUT!$J$18</f>
        <v>1.06</v>
      </c>
      <c r="D11" s="983" t="s">
        <v>1736</v>
      </c>
      <c r="E11" s="982">
        <f>B11*C11</f>
        <v>74.2</v>
      </c>
      <c r="F11" s="984"/>
      <c r="G11" s="985"/>
    </row>
    <row r="12" spans="1:9" ht="13" customHeight="1" x14ac:dyDescent="0.3">
      <c r="A12" s="1002" t="s">
        <v>1744</v>
      </c>
      <c r="B12" s="1004"/>
      <c r="C12" s="992"/>
      <c r="D12" s="983"/>
      <c r="E12" s="982"/>
      <c r="F12" s="984"/>
      <c r="G12" s="989"/>
    </row>
    <row r="13" spans="1:9" ht="13" customHeight="1" x14ac:dyDescent="0.3">
      <c r="A13" s="1005" t="s">
        <v>1745</v>
      </c>
      <c r="B13" s="1070">
        <f>INPUT!$J$32</f>
        <v>0</v>
      </c>
      <c r="C13" s="1004">
        <f>INPUT!$J$33</f>
        <v>35</v>
      </c>
      <c r="D13" s="983" t="s">
        <v>1736</v>
      </c>
      <c r="E13" s="982">
        <f>B13*C13</f>
        <v>0</v>
      </c>
      <c r="F13" s="984"/>
      <c r="G13" s="985"/>
    </row>
    <row r="14" spans="1:9" ht="13" customHeight="1" x14ac:dyDescent="0.3">
      <c r="A14" s="1005" t="s">
        <v>1746</v>
      </c>
      <c r="B14" s="1070">
        <f>INPUT!$J$38</f>
        <v>0</v>
      </c>
      <c r="C14" s="982">
        <f>INPUT!$J$39</f>
        <v>0.6</v>
      </c>
      <c r="D14" s="1372" t="s">
        <v>1736</v>
      </c>
      <c r="E14" s="1373">
        <f>B14*C14</f>
        <v>0</v>
      </c>
      <c r="F14" s="984"/>
      <c r="G14" s="985"/>
    </row>
    <row r="15" spans="1:9" ht="13" customHeight="1" x14ac:dyDescent="0.3">
      <c r="A15" s="1002" t="s">
        <v>1807</v>
      </c>
      <c r="B15" s="1003">
        <f>INPUT!$J$41*(INPUT!$J$43/INPUT!$J$44)</f>
        <v>0</v>
      </c>
      <c r="C15" s="1004">
        <f>OSI!$K$61</f>
        <v>75</v>
      </c>
      <c r="D15" s="1374" t="s">
        <v>1736</v>
      </c>
      <c r="E15" s="1017">
        <f>B15*C15</f>
        <v>0</v>
      </c>
      <c r="F15" s="984"/>
      <c r="G15" s="1007"/>
    </row>
    <row r="16" spans="1:9" ht="13" customHeight="1" x14ac:dyDescent="0.3">
      <c r="A16" s="1008" t="s">
        <v>1748</v>
      </c>
      <c r="B16" s="1381"/>
      <c r="C16" s="1382"/>
      <c r="D16" s="982"/>
      <c r="E16" s="982">
        <f>SUM(E11:E15)</f>
        <v>74.2</v>
      </c>
      <c r="F16" s="984"/>
      <c r="G16" s="985"/>
    </row>
    <row r="17" spans="1:7" ht="13" customHeight="1" x14ac:dyDescent="0.3">
      <c r="A17" s="1009" t="s">
        <v>1749</v>
      </c>
      <c r="B17" s="1004"/>
      <c r="C17" s="992"/>
      <c r="E17" s="982"/>
      <c r="F17" s="984"/>
      <c r="G17" s="989"/>
    </row>
    <row r="18" spans="1:7" ht="13" customHeight="1" x14ac:dyDescent="0.3">
      <c r="A18" s="1002" t="s">
        <v>1750</v>
      </c>
      <c r="B18" s="1004"/>
      <c r="C18" s="992"/>
      <c r="E18" s="982">
        <f>BWb!D24</f>
        <v>21.513798182810632</v>
      </c>
      <c r="F18" s="984"/>
      <c r="G18" s="985"/>
    </row>
    <row r="19" spans="1:7" ht="13" customHeight="1" x14ac:dyDescent="0.3">
      <c r="A19" s="1002" t="s">
        <v>1751</v>
      </c>
      <c r="B19" s="1004"/>
      <c r="C19" s="992"/>
      <c r="E19" s="982">
        <f>BWb!D25</f>
        <v>18.421900589675985</v>
      </c>
      <c r="F19" s="984"/>
      <c r="G19" s="985"/>
    </row>
    <row r="20" spans="1:7" ht="13" customHeight="1" x14ac:dyDescent="0.3">
      <c r="A20" s="1010" t="s">
        <v>1752</v>
      </c>
      <c r="B20" s="1004"/>
      <c r="C20" s="992"/>
      <c r="E20" s="982">
        <f>BWb!D26</f>
        <v>58.531396814318647</v>
      </c>
      <c r="F20" s="984"/>
      <c r="G20" s="994"/>
    </row>
    <row r="21" spans="1:7" ht="13" customHeight="1" x14ac:dyDescent="0.3">
      <c r="A21" s="1002" t="s">
        <v>170</v>
      </c>
      <c r="B21" s="1004"/>
      <c r="C21" s="992"/>
      <c r="D21" s="982"/>
      <c r="E21" s="982">
        <f>BWb!D27</f>
        <v>0</v>
      </c>
      <c r="F21" s="984"/>
      <c r="G21" s="1011"/>
    </row>
    <row r="22" spans="1:7" ht="13" customHeight="1" x14ac:dyDescent="0.3">
      <c r="A22" s="1002" t="s">
        <v>1756</v>
      </c>
      <c r="B22" s="1004"/>
      <c r="C22" s="992"/>
      <c r="D22" s="982"/>
      <c r="E22" s="1373">
        <f>BWb!D28</f>
        <v>3</v>
      </c>
      <c r="F22" s="984"/>
      <c r="G22" s="1011"/>
    </row>
    <row r="23" spans="1:7" ht="13" customHeight="1" x14ac:dyDescent="0.3">
      <c r="A23" s="1002" t="s">
        <v>1753</v>
      </c>
      <c r="B23" s="1004"/>
      <c r="C23" s="992"/>
      <c r="E23" s="1017">
        <f>BWb!D36</f>
        <v>0</v>
      </c>
      <c r="F23" s="984"/>
      <c r="G23" s="1007"/>
    </row>
    <row r="24" spans="1:7" ht="13" customHeight="1" x14ac:dyDescent="0.3">
      <c r="A24" s="1008" t="s">
        <v>1748</v>
      </c>
      <c r="B24" s="1381"/>
      <c r="C24" s="1382"/>
      <c r="E24" s="982">
        <f>SUM(E18:E23)</f>
        <v>101.46709558680527</v>
      </c>
      <c r="F24" s="984"/>
      <c r="G24" s="989"/>
    </row>
    <row r="25" spans="1:7" ht="13" customHeight="1" x14ac:dyDescent="0.3">
      <c r="A25" s="1009" t="s">
        <v>1754</v>
      </c>
      <c r="B25" s="1004"/>
      <c r="C25" s="992"/>
      <c r="E25" s="982"/>
      <c r="F25" s="984"/>
      <c r="G25" s="1011"/>
    </row>
    <row r="26" spans="1:7" ht="13" customHeight="1" x14ac:dyDescent="0.3">
      <c r="A26" s="1002" t="s">
        <v>1757</v>
      </c>
      <c r="B26" s="1004"/>
      <c r="C26" s="992"/>
      <c r="E26" s="982">
        <f>BWb!D30</f>
        <v>1.5</v>
      </c>
      <c r="F26" s="984"/>
      <c r="G26" s="985"/>
    </row>
    <row r="27" spans="1:7" ht="13" customHeight="1" x14ac:dyDescent="0.3">
      <c r="A27" s="1002" t="s">
        <v>1792</v>
      </c>
      <c r="B27" s="1004"/>
      <c r="C27" s="992"/>
      <c r="D27" s="982"/>
      <c r="E27" s="982">
        <f>BWb!D31</f>
        <v>8.75</v>
      </c>
      <c r="F27" s="984"/>
      <c r="G27" s="985"/>
    </row>
    <row r="28" spans="1:7" ht="13" customHeight="1" x14ac:dyDescent="0.3">
      <c r="A28" s="1002" t="s">
        <v>1795</v>
      </c>
      <c r="B28" s="1004"/>
      <c r="C28" s="992"/>
      <c r="D28" s="982"/>
      <c r="E28" s="982">
        <f>BWb!D32</f>
        <v>4.5</v>
      </c>
      <c r="F28" s="984"/>
      <c r="G28" s="985"/>
    </row>
    <row r="29" spans="1:7" ht="13" customHeight="1" x14ac:dyDescent="0.3">
      <c r="A29" s="1002" t="s">
        <v>2261</v>
      </c>
      <c r="B29" s="1004"/>
      <c r="C29" s="992"/>
      <c r="D29" s="982"/>
      <c r="E29" s="982">
        <f>BWb!D33</f>
        <v>15</v>
      </c>
      <c r="F29" s="984"/>
      <c r="G29" s="985"/>
    </row>
    <row r="30" spans="1:7" ht="13" customHeight="1" x14ac:dyDescent="0.3">
      <c r="A30" s="1002" t="s">
        <v>1755</v>
      </c>
      <c r="B30" s="1004"/>
      <c r="C30" s="992"/>
      <c r="E30" s="982">
        <f>BWb!D34</f>
        <v>12.5</v>
      </c>
      <c r="F30" s="984"/>
      <c r="G30" s="985"/>
    </row>
    <row r="31" spans="1:7" ht="13" customHeight="1" x14ac:dyDescent="0.3">
      <c r="A31" s="1002" t="s">
        <v>1758</v>
      </c>
      <c r="B31" s="1004"/>
      <c r="C31" s="992"/>
      <c r="E31" s="982">
        <f>BWb!D35</f>
        <v>8.0282303981050962</v>
      </c>
      <c r="F31" s="984"/>
      <c r="G31" s="985"/>
    </row>
    <row r="32" spans="1:7" ht="13" customHeight="1" x14ac:dyDescent="0.3">
      <c r="A32" s="1002" t="s">
        <v>2075</v>
      </c>
      <c r="B32" s="1004"/>
      <c r="C32" s="992"/>
      <c r="D32" s="982"/>
      <c r="E32" s="982">
        <f>BWb!D36</f>
        <v>0</v>
      </c>
      <c r="F32" s="984"/>
      <c r="G32" s="985"/>
    </row>
    <row r="33" spans="1:7" ht="13" customHeight="1" x14ac:dyDescent="0.3">
      <c r="A33" s="1002" t="s">
        <v>1793</v>
      </c>
      <c r="B33" s="1004"/>
      <c r="C33" s="992"/>
      <c r="D33" s="982"/>
      <c r="E33" s="982">
        <f>BWb!D37</f>
        <v>11.061</v>
      </c>
      <c r="F33" s="984"/>
      <c r="G33" s="985"/>
    </row>
    <row r="34" spans="1:7" ht="13" customHeight="1" x14ac:dyDescent="0.3">
      <c r="A34" s="1002" t="s">
        <v>2263</v>
      </c>
      <c r="B34" s="1004"/>
      <c r="C34" s="992"/>
      <c r="D34" s="982"/>
      <c r="E34" s="982">
        <f>BWb!D38</f>
        <v>0</v>
      </c>
      <c r="F34" s="984"/>
      <c r="G34" s="985"/>
    </row>
    <row r="35" spans="1:7" ht="13" customHeight="1" x14ac:dyDescent="0.3">
      <c r="A35" s="1002" t="s">
        <v>1794</v>
      </c>
      <c r="B35" s="1004"/>
      <c r="C35" s="992"/>
      <c r="D35" s="982"/>
      <c r="E35" s="1373">
        <f>SUM(BWb!D39:D41)</f>
        <v>2.375</v>
      </c>
      <c r="F35" s="984"/>
      <c r="G35" s="985"/>
    </row>
    <row r="36" spans="1:7" ht="13" customHeight="1" x14ac:dyDescent="0.3">
      <c r="A36" s="1002" t="s">
        <v>1759</v>
      </c>
      <c r="B36" s="1004"/>
      <c r="C36" s="992"/>
      <c r="E36" s="1017">
        <f>BWb!D43</f>
        <v>6.6107541842582487</v>
      </c>
      <c r="F36" s="984"/>
      <c r="G36" s="1007"/>
    </row>
    <row r="37" spans="1:7" ht="13" customHeight="1" x14ac:dyDescent="0.3">
      <c r="A37" s="1008" t="s">
        <v>1748</v>
      </c>
      <c r="B37" s="1381"/>
      <c r="C37" s="1382"/>
      <c r="E37" s="982">
        <f>SUM(E26:E36)</f>
        <v>70.324984582363342</v>
      </c>
      <c r="F37" s="984"/>
      <c r="G37" s="985"/>
    </row>
    <row r="38" spans="1:7" ht="13" customHeight="1" thickBot="1" x14ac:dyDescent="0.35">
      <c r="A38" s="1012" t="s">
        <v>1760</v>
      </c>
      <c r="B38" s="1013"/>
      <c r="C38" s="1014"/>
      <c r="D38" s="1014"/>
      <c r="E38" s="1015">
        <f>E16+E24+E37</f>
        <v>245.99208016916862</v>
      </c>
      <c r="F38" s="984"/>
      <c r="G38" s="985"/>
    </row>
    <row r="39" spans="1:7" ht="13" customHeight="1" thickBot="1" x14ac:dyDescent="0.35">
      <c r="A39" s="1016" t="s">
        <v>1761</v>
      </c>
      <c r="B39" s="1014"/>
      <c r="C39" s="1014"/>
      <c r="D39" s="1014"/>
      <c r="E39" s="1014"/>
      <c r="F39" s="984"/>
      <c r="G39" s="1011"/>
    </row>
    <row r="40" spans="1:7" ht="13" customHeight="1" x14ac:dyDescent="0.3">
      <c r="A40" s="1002" t="s">
        <v>29</v>
      </c>
      <c r="B40" s="1004"/>
      <c r="C40" s="992"/>
      <c r="D40" s="982"/>
      <c r="E40" s="982">
        <f>SUM(BWb!D48:D60)</f>
        <v>85.45930660649239</v>
      </c>
      <c r="F40" s="984"/>
      <c r="G40" s="989"/>
    </row>
    <row r="41" spans="1:7" ht="13" customHeight="1" x14ac:dyDescent="0.3">
      <c r="A41" s="1002" t="s">
        <v>79</v>
      </c>
      <c r="B41" s="1004"/>
      <c r="C41" s="992"/>
      <c r="D41" s="992"/>
      <c r="E41" s="1017">
        <f>BWb!D61</f>
        <v>21.43653499145411</v>
      </c>
      <c r="F41" s="984"/>
      <c r="G41" s="1007"/>
    </row>
    <row r="42" spans="1:7" ht="13" customHeight="1" x14ac:dyDescent="0.3">
      <c r="A42" s="990" t="s">
        <v>1762</v>
      </c>
      <c r="B42" s="991"/>
      <c r="C42" s="992"/>
      <c r="D42" s="992"/>
      <c r="E42" s="993">
        <f>SUM(E40:E41)</f>
        <v>106.8958415979465</v>
      </c>
      <c r="F42" s="984"/>
      <c r="G42" s="985"/>
    </row>
    <row r="43" spans="1:7" ht="8" customHeight="1" thickBot="1" x14ac:dyDescent="0.35">
      <c r="A43" s="995"/>
      <c r="B43" s="992"/>
      <c r="C43" s="992"/>
      <c r="D43" s="992"/>
      <c r="E43" s="992"/>
      <c r="F43" s="984"/>
      <c r="G43" s="989"/>
    </row>
    <row r="44" spans="1:7" ht="13" customHeight="1" thickBot="1" x14ac:dyDescent="0.35">
      <c r="A44" s="1018" t="s">
        <v>80</v>
      </c>
      <c r="B44" s="1019"/>
      <c r="C44" s="1020"/>
      <c r="D44" s="1021"/>
      <c r="E44" s="1021">
        <f>E38+E42</f>
        <v>352.88792176711513</v>
      </c>
      <c r="F44" s="984"/>
      <c r="G44" s="985"/>
    </row>
    <row r="45" spans="1:7" ht="6" customHeight="1" x14ac:dyDescent="0.3">
      <c r="A45" s="1022"/>
      <c r="B45" s="1023"/>
      <c r="C45" s="1024"/>
      <c r="D45" s="1025"/>
      <c r="E45" s="1023"/>
      <c r="F45" s="984"/>
      <c r="G45" s="989"/>
    </row>
    <row r="46" spans="1:7" ht="13" customHeight="1" x14ac:dyDescent="0.35">
      <c r="A46" s="1026"/>
      <c r="B46" s="992"/>
      <c r="C46" s="1027" t="s">
        <v>1734</v>
      </c>
      <c r="D46" s="1027" t="s">
        <v>452</v>
      </c>
      <c r="E46" s="1028" t="s">
        <v>1763</v>
      </c>
      <c r="F46" s="984"/>
      <c r="G46" s="989"/>
    </row>
    <row r="47" spans="1:7" ht="13" customHeight="1" x14ac:dyDescent="0.3">
      <c r="A47" s="990" t="s">
        <v>1764</v>
      </c>
      <c r="B47" s="991"/>
      <c r="C47" s="1318">
        <f>E7</f>
        <v>450</v>
      </c>
      <c r="D47" s="1227" t="str">
        <f>CONCATENATE(" -   $",ROUND(E44,2)," =")</f>
        <v xml:space="preserve"> -   $352.89 =</v>
      </c>
      <c r="E47" s="993">
        <f>E7-E38-E42</f>
        <v>97.112078232884883</v>
      </c>
      <c r="F47" s="984"/>
      <c r="G47" s="985"/>
    </row>
    <row r="48" spans="1:7" ht="13" customHeight="1" thickBot="1" x14ac:dyDescent="0.35">
      <c r="A48" s="1016" t="s">
        <v>1765</v>
      </c>
      <c r="B48" s="1013"/>
      <c r="C48" s="1319">
        <f>E7</f>
        <v>450</v>
      </c>
      <c r="D48" s="1228" t="str">
        <f>CONCATENATE("   -   $",ROUND(E38,2)," =")</f>
        <v xml:space="preserve">   -   $245.99 =</v>
      </c>
      <c r="E48" s="1015">
        <f>E7-E38</f>
        <v>204.00791983083138</v>
      </c>
      <c r="F48" s="978"/>
      <c r="G48" s="1029"/>
    </row>
    <row r="49" spans="1:7" ht="8" customHeight="1" thickBot="1" x14ac:dyDescent="0.35">
      <c r="A49" s="1030"/>
      <c r="B49" s="1031"/>
      <c r="C49" s="1031"/>
      <c r="D49" s="1031"/>
      <c r="E49" s="1031"/>
      <c r="F49" s="1032"/>
      <c r="G49" s="1033"/>
    </row>
    <row r="50" spans="1:7" ht="14" customHeight="1" thickTop="1" x14ac:dyDescent="0.3">
      <c r="A50" s="990" t="s">
        <v>1766</v>
      </c>
      <c r="B50" s="992"/>
      <c r="C50" s="992"/>
      <c r="D50" s="1034" t="s">
        <v>1734</v>
      </c>
      <c r="E50" s="1034" t="s">
        <v>1767</v>
      </c>
      <c r="F50" s="984"/>
      <c r="G50" s="989"/>
    </row>
    <row r="51" spans="1:7" ht="13" customHeight="1" x14ac:dyDescent="0.3">
      <c r="A51" s="1002" t="s">
        <v>370</v>
      </c>
      <c r="B51" s="1027"/>
      <c r="C51" s="992"/>
      <c r="D51" s="982">
        <f>E44</f>
        <v>352.88792176711513</v>
      </c>
      <c r="E51" s="982">
        <f>D51/$B$5</f>
        <v>23.525861451141008</v>
      </c>
      <c r="F51" s="984"/>
      <c r="G51" s="985"/>
    </row>
    <row r="52" spans="1:7" ht="13" customHeight="1" x14ac:dyDescent="0.3">
      <c r="A52" s="1002" t="s">
        <v>371</v>
      </c>
      <c r="B52" s="1027"/>
      <c r="C52" s="992"/>
      <c r="D52" s="982">
        <f>E38</f>
        <v>245.99208016916862</v>
      </c>
      <c r="E52" s="982">
        <f>D52/$B$5</f>
        <v>16.399472011277908</v>
      </c>
      <c r="F52" s="984"/>
      <c r="G52" s="994"/>
    </row>
    <row r="53" spans="1:7" ht="13" customHeight="1" x14ac:dyDescent="0.3">
      <c r="A53" s="1002"/>
      <c r="C53" s="1301"/>
      <c r="D53" s="1036"/>
      <c r="E53" s="1036"/>
      <c r="F53" s="984"/>
      <c r="G53" s="989"/>
    </row>
    <row r="54" spans="1:7" x14ac:dyDescent="0.25">
      <c r="A54" s="995"/>
      <c r="B54" s="995"/>
      <c r="E54" s="1037" t="s">
        <v>1768</v>
      </c>
      <c r="F54" s="1038"/>
      <c r="G54" s="1038"/>
    </row>
    <row r="55" spans="1:7" ht="7.75" customHeight="1" x14ac:dyDescent="0.25">
      <c r="A55" s="995"/>
      <c r="B55" s="995"/>
      <c r="C55" s="995"/>
      <c r="D55" s="995"/>
      <c r="E55" s="995"/>
      <c r="F55" s="995"/>
      <c r="G55" s="995"/>
    </row>
    <row r="56" spans="1:7" ht="18.5" x14ac:dyDescent="0.45">
      <c r="A56" s="1039" t="s">
        <v>1769</v>
      </c>
      <c r="B56" s="995"/>
      <c r="C56" s="995"/>
      <c r="D56" s="995"/>
      <c r="E56" s="995"/>
      <c r="F56" s="1040"/>
      <c r="G56" s="1040"/>
    </row>
    <row r="57" spans="1:7" ht="9.75" customHeight="1" x14ac:dyDescent="0.45">
      <c r="A57" s="1039"/>
      <c r="B57" s="995"/>
      <c r="C57" s="995"/>
      <c r="D57" s="995"/>
      <c r="E57" s="995"/>
      <c r="F57" s="1040"/>
      <c r="G57" s="1040"/>
    </row>
    <row r="58" spans="1:7" ht="14.5" x14ac:dyDescent="0.35">
      <c r="A58" s="1041" t="s">
        <v>1770</v>
      </c>
      <c r="B58" s="995"/>
      <c r="C58" s="995"/>
      <c r="D58" s="995"/>
      <c r="E58" s="995"/>
      <c r="F58" s="1040"/>
      <c r="G58" s="1040"/>
    </row>
    <row r="59" spans="1:7" ht="47" customHeight="1" x14ac:dyDescent="0.25">
      <c r="A59" s="1394" t="s">
        <v>1771</v>
      </c>
      <c r="B59" s="1395"/>
      <c r="C59" s="1395"/>
      <c r="D59" s="1395"/>
      <c r="E59" s="1395"/>
      <c r="F59" s="1395"/>
      <c r="G59" s="1395"/>
    </row>
    <row r="60" spans="1:7" ht="56" customHeight="1" x14ac:dyDescent="0.35">
      <c r="A60" s="1396" t="s">
        <v>1772</v>
      </c>
      <c r="B60" s="1393"/>
      <c r="C60" s="1393"/>
      <c r="D60" s="1393"/>
      <c r="E60" s="1393"/>
      <c r="F60" s="1393"/>
      <c r="G60" s="1393"/>
    </row>
    <row r="61" spans="1:7" s="1043" customFormat="1" ht="19.75" customHeight="1" x14ac:dyDescent="0.35">
      <c r="A61" s="1042" t="s">
        <v>1773</v>
      </c>
      <c r="B61" s="995"/>
      <c r="C61" s="995"/>
      <c r="D61" s="995"/>
      <c r="E61" s="995"/>
      <c r="F61" s="1040"/>
      <c r="G61" s="1040"/>
    </row>
    <row r="62" spans="1:7" ht="17" customHeight="1" x14ac:dyDescent="0.25">
      <c r="A62" s="1397" t="s">
        <v>1774</v>
      </c>
      <c r="B62" s="1398"/>
      <c r="C62" s="1398"/>
      <c r="D62" s="1398"/>
      <c r="E62" s="1398"/>
      <c r="F62" s="1398"/>
      <c r="G62" s="1398"/>
    </row>
    <row r="63" spans="1:7" ht="16" customHeight="1" x14ac:dyDescent="0.25">
      <c r="A63" s="1397" t="s">
        <v>1775</v>
      </c>
      <c r="B63" s="1398"/>
      <c r="C63" s="1398"/>
      <c r="D63" s="1398"/>
      <c r="E63" s="1398"/>
      <c r="F63" s="1398"/>
      <c r="G63" s="1398"/>
    </row>
    <row r="64" spans="1:7" ht="15" customHeight="1" x14ac:dyDescent="0.25">
      <c r="A64" s="1399" t="s">
        <v>1776</v>
      </c>
      <c r="B64" s="1400"/>
      <c r="C64" s="1400"/>
      <c r="D64" s="1400"/>
      <c r="E64" s="1400"/>
      <c r="F64" s="1400"/>
      <c r="G64" s="1400"/>
    </row>
    <row r="65" spans="1:7" ht="14" customHeight="1" x14ac:dyDescent="0.25">
      <c r="A65" s="1044" t="s">
        <v>1777</v>
      </c>
      <c r="B65" s="995"/>
      <c r="C65" s="995"/>
      <c r="D65" s="995"/>
      <c r="E65" s="995"/>
      <c r="F65" s="1040"/>
      <c r="G65" s="1040"/>
    </row>
    <row r="66" spans="1:7" ht="15" customHeight="1" x14ac:dyDescent="0.25">
      <c r="A66" s="1401" t="s">
        <v>1778</v>
      </c>
      <c r="B66" s="1393"/>
      <c r="C66" s="1393"/>
      <c r="D66" s="1393"/>
      <c r="E66" s="1393"/>
      <c r="F66" s="1393"/>
      <c r="G66" s="1393"/>
    </row>
    <row r="67" spans="1:7" ht="15" customHeight="1" x14ac:dyDescent="0.25">
      <c r="A67" s="1389" t="s">
        <v>1779</v>
      </c>
      <c r="B67" s="1390"/>
      <c r="C67" s="1390"/>
      <c r="D67" s="1390"/>
      <c r="E67" s="1390"/>
      <c r="F67" s="1390"/>
      <c r="G67" s="1390"/>
    </row>
    <row r="68" spans="1:7" ht="6" customHeight="1" x14ac:dyDescent="0.25">
      <c r="A68" s="1045"/>
      <c r="B68" s="1302"/>
      <c r="C68" s="1302"/>
      <c r="D68" s="1302"/>
      <c r="E68" s="1302"/>
      <c r="F68" s="1302"/>
      <c r="G68" s="1302"/>
    </row>
    <row r="69" spans="1:7" ht="15" customHeight="1" x14ac:dyDescent="0.25">
      <c r="A69" s="1391" t="s">
        <v>1780</v>
      </c>
      <c r="B69" s="1392"/>
      <c r="C69" s="1392"/>
      <c r="D69" s="1392"/>
      <c r="E69" s="1392"/>
      <c r="F69" s="1302"/>
      <c r="G69" s="1302"/>
    </row>
    <row r="70" spans="1:7" s="1303" customFormat="1" ht="29" customHeight="1" x14ac:dyDescent="0.3">
      <c r="A70" s="1047" t="s">
        <v>1781</v>
      </c>
      <c r="B70" s="1048" t="s">
        <v>1214</v>
      </c>
      <c r="C70" s="1048" t="s">
        <v>169</v>
      </c>
      <c r="D70" s="1048" t="s">
        <v>1782</v>
      </c>
      <c r="E70" s="1049" t="s">
        <v>1783</v>
      </c>
      <c r="F70" s="1050"/>
      <c r="G70" s="1051" t="s">
        <v>1735</v>
      </c>
    </row>
    <row r="71" spans="1:7" ht="12.75" customHeight="1" x14ac:dyDescent="0.3">
      <c r="A71" s="1053" t="s">
        <v>1784</v>
      </c>
      <c r="B71" s="982">
        <f>BWb!D106</f>
        <v>3.0724999999999998</v>
      </c>
      <c r="C71" s="982">
        <f>BWb!D122</f>
        <v>1.1270109002769051</v>
      </c>
      <c r="D71" s="982">
        <f>SUM(BWf!J56:J58)/200</f>
        <v>0.21691501374480285</v>
      </c>
      <c r="E71" s="982">
        <f t="shared" ref="E71:E79" si="0">SUM(B71:D71)</f>
        <v>4.4164259140217075</v>
      </c>
      <c r="F71" s="1054"/>
      <c r="G71" s="985"/>
    </row>
    <row r="72" spans="1:7" ht="12.75" customHeight="1" x14ac:dyDescent="0.3">
      <c r="A72" s="1053" t="s">
        <v>1429</v>
      </c>
      <c r="B72" s="982">
        <f>BWb!D107</f>
        <v>1.4458823529411715</v>
      </c>
      <c r="C72" s="982">
        <f>BWb!D123</f>
        <v>1.6384000000000001</v>
      </c>
      <c r="D72" s="982">
        <f>(SUM(BWf!J38:J40)/300)</f>
        <v>0.29444487024760729</v>
      </c>
      <c r="E72" s="982">
        <f>SUM(B72:D72)</f>
        <v>3.3787272231887786</v>
      </c>
      <c r="F72" s="1054"/>
      <c r="G72" s="985"/>
    </row>
    <row r="73" spans="1:7" ht="12.75" customHeight="1" x14ac:dyDescent="0.3">
      <c r="A73" s="1053" t="s">
        <v>1785</v>
      </c>
      <c r="B73" s="982">
        <f>BWb!D108</f>
        <v>1.0057283142389524</v>
      </c>
      <c r="C73" s="982">
        <f>BWb!D124</f>
        <v>1.8944000000000001</v>
      </c>
      <c r="D73" s="982">
        <f>SUM(BWf!J41:J43)/300</f>
        <v>0.85595327549055733</v>
      </c>
      <c r="E73" s="982">
        <f t="shared" si="0"/>
        <v>3.7560815897295101</v>
      </c>
      <c r="F73" s="1054"/>
      <c r="G73" s="985"/>
    </row>
    <row r="74" spans="1:7" ht="12.75" customHeight="1" x14ac:dyDescent="0.3">
      <c r="A74" s="1053" t="s">
        <v>1786</v>
      </c>
      <c r="B74" s="982">
        <f>BWb!D109</f>
        <v>0.94684129429892172</v>
      </c>
      <c r="C74" s="982">
        <f>BWb!D125</f>
        <v>0.87040000000000006</v>
      </c>
      <c r="D74" s="982">
        <f>SUM(BWf!J44:J46)/300</f>
        <v>0.53724726865896688</v>
      </c>
      <c r="E74" s="982">
        <f t="shared" si="0"/>
        <v>2.3544885629578887</v>
      </c>
      <c r="F74" s="1054"/>
      <c r="G74" s="985"/>
    </row>
    <row r="75" spans="1:7" ht="12.75" customHeight="1" x14ac:dyDescent="0.3">
      <c r="A75" s="1053" t="s">
        <v>1787</v>
      </c>
      <c r="B75" s="982">
        <f>BWb!D110</f>
        <v>0.94684129429892172</v>
      </c>
      <c r="C75" s="982">
        <f>BWb!D126</f>
        <v>1.5615999999999999</v>
      </c>
      <c r="D75" s="982">
        <f>SUM(BWf!J59:J61)/300</f>
        <v>0.67835666149389273</v>
      </c>
      <c r="E75" s="982">
        <f t="shared" si="0"/>
        <v>3.1867979557928141</v>
      </c>
      <c r="F75" s="1054"/>
      <c r="G75" s="985"/>
    </row>
    <row r="76" spans="1:7" ht="12.75" customHeight="1" x14ac:dyDescent="0.3">
      <c r="A76" s="1053" t="s">
        <v>1818</v>
      </c>
      <c r="B76" s="1004">
        <f>BWb!D112</f>
        <v>0</v>
      </c>
      <c r="C76" s="1004">
        <f>BWb!D128</f>
        <v>0</v>
      </c>
      <c r="D76" s="1004">
        <f>SUM(BWf!J47:J49)</f>
        <v>0</v>
      </c>
      <c r="E76" s="1004">
        <f t="shared" si="0"/>
        <v>0</v>
      </c>
      <c r="F76" s="1054"/>
      <c r="G76" s="985"/>
    </row>
    <row r="77" spans="1:7" ht="12.75" customHeight="1" x14ac:dyDescent="0.3">
      <c r="A77" s="1053" t="s">
        <v>1788</v>
      </c>
      <c r="B77" s="982">
        <f>BWb!D115</f>
        <v>4.0966666666666658</v>
      </c>
      <c r="C77" s="982">
        <f>BWb!D131</f>
        <v>5.12</v>
      </c>
      <c r="D77" s="982">
        <f>(SUM(BWf!J72:J74)+SUM(BWf!J75:J77))/300</f>
        <v>4.7390476287085201</v>
      </c>
      <c r="E77" s="982">
        <f t="shared" si="0"/>
        <v>13.955714295375184</v>
      </c>
      <c r="F77" s="1054"/>
      <c r="G77" s="985"/>
    </row>
    <row r="78" spans="1:7" ht="12.75" customHeight="1" x14ac:dyDescent="0.3">
      <c r="A78" s="1055" t="s">
        <v>1819</v>
      </c>
      <c r="B78" s="1017">
        <f>BWb!D116</f>
        <v>0.64570644218418272</v>
      </c>
      <c r="C78" s="1017">
        <f>BWb!D132</f>
        <v>0.2412918461017465</v>
      </c>
      <c r="D78" s="1017">
        <f>SUM(BWf!J26:J28)/300</f>
        <v>1.3411170621187172</v>
      </c>
      <c r="E78" s="1017">
        <f t="shared" si="0"/>
        <v>2.2281153504046465</v>
      </c>
      <c r="F78" s="1054"/>
      <c r="G78" s="1056"/>
    </row>
    <row r="79" spans="1:7" ht="12.75" customHeight="1" x14ac:dyDescent="0.3">
      <c r="A79" s="1057" t="s">
        <v>1789</v>
      </c>
      <c r="B79" s="1017">
        <f>SUM(B71:B78)</f>
        <v>12.160166364628816</v>
      </c>
      <c r="C79" s="1017">
        <f>SUM(C71:C78)</f>
        <v>12.453102746378653</v>
      </c>
      <c r="D79" s="1017">
        <f>SUM(D71:D78)</f>
        <v>8.6630817804630649</v>
      </c>
      <c r="E79" s="1058">
        <f t="shared" si="0"/>
        <v>33.276350891470535</v>
      </c>
      <c r="F79" s="1059"/>
      <c r="G79" s="1060"/>
    </row>
    <row r="80" spans="1:7" ht="18" customHeight="1" x14ac:dyDescent="0.3">
      <c r="A80" s="1061" t="s">
        <v>1790</v>
      </c>
      <c r="B80" s="1062"/>
      <c r="C80" s="1062"/>
      <c r="D80" s="1062"/>
      <c r="E80" s="995"/>
      <c r="F80" s="1040"/>
      <c r="G80" s="1040"/>
    </row>
    <row r="81" spans="1:7" ht="37.75" hidden="1" customHeight="1" x14ac:dyDescent="0.25">
      <c r="A81" s="1393"/>
      <c r="B81" s="1393"/>
      <c r="C81" s="1393"/>
      <c r="D81" s="1393"/>
      <c r="E81" s="1393"/>
      <c r="F81" s="1393"/>
      <c r="G81" s="1393"/>
    </row>
    <row r="82" spans="1:7" ht="13.75" customHeight="1" x14ac:dyDescent="0.25">
      <c r="A82" s="1064" t="s">
        <v>1791</v>
      </c>
      <c r="B82" s="1065"/>
      <c r="C82" s="995"/>
      <c r="D82" s="995"/>
      <c r="E82" s="995"/>
      <c r="F82" s="1040"/>
      <c r="G82" s="1040"/>
    </row>
    <row r="83" spans="1:7" ht="16.75" customHeight="1" x14ac:dyDescent="0.25">
      <c r="A83" s="1071" t="s">
        <v>1796</v>
      </c>
      <c r="B83" s="995"/>
      <c r="C83" s="995"/>
      <c r="D83" s="995"/>
      <c r="E83" s="995"/>
      <c r="F83" s="1040"/>
      <c r="G83" s="1040"/>
    </row>
    <row r="84" spans="1:7" ht="24" customHeight="1" x14ac:dyDescent="0.25"/>
    <row r="85" spans="1:7" ht="16.75" customHeight="1" x14ac:dyDescent="0.25">
      <c r="F85"/>
      <c r="G85"/>
    </row>
    <row r="86" spans="1:7" ht="13.75" customHeight="1" x14ac:dyDescent="0.25">
      <c r="F86"/>
      <c r="G86"/>
    </row>
    <row r="87" spans="1:7" ht="13.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6.75" customHeight="1" x14ac:dyDescent="0.25">
      <c r="F96"/>
      <c r="G96"/>
    </row>
    <row r="97" spans="6:7" ht="13.75" customHeight="1" x14ac:dyDescent="0.25">
      <c r="F97"/>
      <c r="G97"/>
    </row>
    <row r="98" spans="6:7" ht="13.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row r="106" spans="6:7" ht="13.75" customHeight="1" x14ac:dyDescent="0.25"/>
  </sheetData>
  <sheetProtection algorithmName="SHA-512" hashValue="7lCknMB1Bkzn//+ZRGTMTnfAjmVsnRu75sv39PEu+UYABEehO2BNZPEAwIya4icb7+vdirNklcsrmw4Agv6SAQ==" saltValue="xh/8ZRKkrrvbPnlNepkdzA==" spinCount="100000" sheet="1" objects="1" scenarios="1"/>
  <mergeCells count="15">
    <mergeCell ref="B37:C37"/>
    <mergeCell ref="A1:G1"/>
    <mergeCell ref="A2:G2"/>
    <mergeCell ref="A3:G3"/>
    <mergeCell ref="B16:C16"/>
    <mergeCell ref="B24:C24"/>
    <mergeCell ref="A67:G67"/>
    <mergeCell ref="A69:E69"/>
    <mergeCell ref="A81:G81"/>
    <mergeCell ref="A59:G59"/>
    <mergeCell ref="A60:G60"/>
    <mergeCell ref="A62:G62"/>
    <mergeCell ref="A63:G63"/>
    <mergeCell ref="A64:G64"/>
    <mergeCell ref="A66:G66"/>
  </mergeCells>
  <pageMargins left="0.7" right="0.7" top="0.75" bottom="0.75" header="0.3" footer="0.3"/>
  <pageSetup scale="87" orientation="portrait" r:id="rId1"/>
  <rowBreaks count="1" manualBreakCount="1">
    <brk id="5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zoomScaleNormal="100" workbookViewId="0">
      <selection activeCell="C4" sqref="C4"/>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1799</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2214</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1800</v>
      </c>
      <c r="B5" s="981">
        <f>FARM!D23</f>
        <v>0</v>
      </c>
      <c r="C5" s="982">
        <f>FARM!F23</f>
        <v>15</v>
      </c>
      <c r="D5" s="983" t="s">
        <v>1736</v>
      </c>
      <c r="E5" s="982">
        <f>B5*C5</f>
        <v>0</v>
      </c>
      <c r="F5" s="984"/>
      <c r="G5" s="985"/>
      <c r="I5" s="982"/>
    </row>
    <row r="6" spans="1:9" ht="13" customHeight="1" x14ac:dyDescent="0.3">
      <c r="A6" s="986"/>
      <c r="B6" s="987"/>
      <c r="C6" s="987"/>
      <c r="D6" s="988"/>
      <c r="E6" s="987"/>
      <c r="F6" s="984"/>
      <c r="G6" s="989"/>
    </row>
    <row r="7" spans="1:9" ht="13" customHeight="1" x14ac:dyDescent="0.3">
      <c r="A7" s="990" t="s">
        <v>1738</v>
      </c>
      <c r="B7" s="991"/>
      <c r="C7" s="992"/>
      <c r="D7" s="993"/>
      <c r="E7" s="993">
        <f>SUM(E5:E6)</f>
        <v>0</v>
      </c>
      <c r="F7" s="984"/>
      <c r="G7" s="994"/>
    </row>
    <row r="8" spans="1:9" ht="13" customHeight="1" thickBot="1" x14ac:dyDescent="0.35">
      <c r="A8" s="995"/>
      <c r="B8" s="992"/>
      <c r="C8" s="992"/>
      <c r="D8" s="992"/>
      <c r="E8" s="992"/>
      <c r="F8" s="984"/>
      <c r="G8" s="989"/>
    </row>
    <row r="9" spans="1:9" ht="29" customHeight="1" thickBot="1" x14ac:dyDescent="0.35">
      <c r="A9" s="996" t="s">
        <v>1739</v>
      </c>
      <c r="B9" s="997" t="s">
        <v>1740</v>
      </c>
      <c r="C9" s="997" t="s">
        <v>1636</v>
      </c>
      <c r="D9" s="998"/>
      <c r="E9" s="998" t="s">
        <v>1741</v>
      </c>
      <c r="F9" s="984"/>
      <c r="G9" s="999" t="s">
        <v>1735</v>
      </c>
    </row>
    <row r="10" spans="1:9" ht="15" customHeight="1" x14ac:dyDescent="0.3">
      <c r="A10" s="1000" t="s">
        <v>1742</v>
      </c>
      <c r="B10" s="1001"/>
      <c r="C10" s="1001"/>
      <c r="D10" s="1001"/>
      <c r="E10" s="1001"/>
      <c r="F10" s="984"/>
      <c r="G10" s="989"/>
    </row>
    <row r="11" spans="1:9" ht="13" customHeight="1" x14ac:dyDescent="0.3">
      <c r="A11" s="1002" t="s">
        <v>1743</v>
      </c>
      <c r="B11" s="1070">
        <f>INPUT!$K$17</f>
        <v>200</v>
      </c>
      <c r="C11" s="982">
        <f>INPUT!$K$18</f>
        <v>0.64</v>
      </c>
      <c r="D11" s="983" t="s">
        <v>1736</v>
      </c>
      <c r="E11" s="982">
        <f>B11*C11</f>
        <v>128</v>
      </c>
      <c r="F11" s="984"/>
      <c r="G11" s="985"/>
    </row>
    <row r="12" spans="1:9" ht="13" customHeight="1" x14ac:dyDescent="0.3">
      <c r="A12" s="1002" t="s">
        <v>1801</v>
      </c>
      <c r="B12" s="1003" t="s">
        <v>363</v>
      </c>
      <c r="C12" s="982" t="s">
        <v>363</v>
      </c>
      <c r="D12" s="983"/>
      <c r="E12" s="982">
        <f>Pv!G10</f>
        <v>10</v>
      </c>
      <c r="F12" s="984"/>
      <c r="G12" s="989"/>
    </row>
    <row r="13" spans="1:9" ht="13" customHeight="1" x14ac:dyDescent="0.3">
      <c r="A13" s="1002" t="s">
        <v>1744</v>
      </c>
      <c r="B13" s="1004"/>
      <c r="C13" s="992"/>
      <c r="D13" s="983"/>
      <c r="E13" s="982"/>
      <c r="F13" s="984"/>
      <c r="G13" s="989"/>
    </row>
    <row r="14" spans="1:9" ht="13" customHeight="1" x14ac:dyDescent="0.3">
      <c r="A14" s="1005" t="s">
        <v>1745</v>
      </c>
      <c r="B14" s="1070">
        <f>INPUT!$K$32</f>
        <v>0</v>
      </c>
      <c r="C14" s="1004">
        <f>INPUT!$K$33</f>
        <v>35</v>
      </c>
      <c r="D14" s="1006" t="s">
        <v>1736</v>
      </c>
      <c r="E14" s="982">
        <f>B14*C14</f>
        <v>0</v>
      </c>
      <c r="F14" s="984"/>
      <c r="G14" s="985"/>
    </row>
    <row r="15" spans="1:9" ht="13" customHeight="1" x14ac:dyDescent="0.3">
      <c r="A15" s="1005" t="s">
        <v>1746</v>
      </c>
      <c r="B15" s="1070">
        <f>INPUT!$K$38</f>
        <v>0</v>
      </c>
      <c r="C15" s="982">
        <f>INPUT!$K$39</f>
        <v>0.6</v>
      </c>
      <c r="D15" s="1372" t="s">
        <v>1736</v>
      </c>
      <c r="E15" s="1373">
        <f>B15*C15</f>
        <v>0</v>
      </c>
      <c r="F15" s="984"/>
      <c r="G15" s="985"/>
    </row>
    <row r="16" spans="1:9" ht="13" customHeight="1" x14ac:dyDescent="0.3">
      <c r="A16" s="1002" t="s">
        <v>1747</v>
      </c>
      <c r="B16" s="1003">
        <f>INPUT!$K$41*(INPUT!$K$43/INPUT!$K$44)</f>
        <v>0</v>
      </c>
      <c r="C16" s="1004">
        <f>OSI!$K$61</f>
        <v>75</v>
      </c>
      <c r="D16" s="1374" t="s">
        <v>1736</v>
      </c>
      <c r="E16" s="1017">
        <f>B16*C16</f>
        <v>0</v>
      </c>
      <c r="F16" s="984"/>
      <c r="G16" s="1007"/>
    </row>
    <row r="17" spans="1:7" ht="13" customHeight="1" x14ac:dyDescent="0.3">
      <c r="A17" s="1008" t="s">
        <v>1748</v>
      </c>
      <c r="B17" s="1381"/>
      <c r="C17" s="1382"/>
      <c r="D17" s="982"/>
      <c r="E17" s="982">
        <f>SUM(E11:E16)</f>
        <v>138</v>
      </c>
      <c r="F17" s="984"/>
      <c r="G17" s="985"/>
    </row>
    <row r="18" spans="1:7" ht="13" customHeight="1" x14ac:dyDescent="0.3">
      <c r="A18" s="1009" t="s">
        <v>1749</v>
      </c>
      <c r="B18" s="1004"/>
      <c r="C18" s="992"/>
      <c r="D18" s="982"/>
      <c r="E18" s="1004"/>
      <c r="F18" s="984"/>
      <c r="G18" s="989"/>
    </row>
    <row r="19" spans="1:7" ht="13" customHeight="1" x14ac:dyDescent="0.3">
      <c r="A19" s="1002" t="s">
        <v>1750</v>
      </c>
      <c r="B19" s="1004"/>
      <c r="C19" s="992"/>
      <c r="D19" s="982"/>
      <c r="E19" s="982" t="e">
        <f>Pb!D24</f>
        <v>#DIV/0!</v>
      </c>
      <c r="F19" s="984"/>
      <c r="G19" s="985"/>
    </row>
    <row r="20" spans="1:7" ht="13" customHeight="1" x14ac:dyDescent="0.3">
      <c r="A20" s="1002" t="s">
        <v>1751</v>
      </c>
      <c r="B20" s="1004"/>
      <c r="C20" s="992"/>
      <c r="D20" s="982"/>
      <c r="E20" s="982" t="e">
        <f>Pb!D25</f>
        <v>#DIV/0!</v>
      </c>
      <c r="F20" s="984"/>
      <c r="G20" s="985"/>
    </row>
    <row r="21" spans="1:7" ht="13" customHeight="1" x14ac:dyDescent="0.3">
      <c r="A21" s="1010" t="s">
        <v>1752</v>
      </c>
      <c r="B21" s="1004"/>
      <c r="C21" s="992"/>
      <c r="D21" s="982"/>
      <c r="E21" s="982" t="e">
        <f>Pb!D26</f>
        <v>#DIV/0!</v>
      </c>
      <c r="F21" s="984"/>
      <c r="G21" s="994"/>
    </row>
    <row r="22" spans="1:7" ht="13" customHeight="1" x14ac:dyDescent="0.3">
      <c r="A22" s="1002" t="s">
        <v>170</v>
      </c>
      <c r="B22" s="1004"/>
      <c r="C22" s="992"/>
      <c r="D22" s="982"/>
      <c r="E22" s="982" t="e">
        <f>Pb!D27</f>
        <v>#DIV/0!</v>
      </c>
      <c r="F22" s="984"/>
      <c r="G22" s="1011"/>
    </row>
    <row r="23" spans="1:7" ht="13" customHeight="1" x14ac:dyDescent="0.3">
      <c r="A23" s="1002" t="s">
        <v>1756</v>
      </c>
      <c r="B23" s="1004"/>
      <c r="C23" s="992"/>
      <c r="D23" s="982"/>
      <c r="E23" s="1373" t="e">
        <f>Pb!D28</f>
        <v>#DIV/0!</v>
      </c>
      <c r="F23" s="984"/>
      <c r="G23" s="1011"/>
    </row>
    <row r="24" spans="1:7" ht="13" customHeight="1" x14ac:dyDescent="0.3">
      <c r="A24" s="1002" t="s">
        <v>1753</v>
      </c>
      <c r="B24" s="1004"/>
      <c r="C24" s="992"/>
      <c r="D24" s="982"/>
      <c r="E24" s="1017" t="e">
        <f>Pb!D36</f>
        <v>#DIV/0!</v>
      </c>
      <c r="F24" s="984"/>
      <c r="G24" s="1007"/>
    </row>
    <row r="25" spans="1:7" ht="13" customHeight="1" x14ac:dyDescent="0.3">
      <c r="A25" s="1008" t="s">
        <v>1748</v>
      </c>
      <c r="B25" s="1381"/>
      <c r="C25" s="1382"/>
      <c r="D25" s="982"/>
      <c r="E25" s="982" t="e">
        <f>SUM(E19:E24)</f>
        <v>#DIV/0!</v>
      </c>
      <c r="F25" s="984"/>
      <c r="G25" s="989"/>
    </row>
    <row r="26" spans="1:7" ht="13" customHeight="1" x14ac:dyDescent="0.3">
      <c r="A26" s="1009" t="s">
        <v>1754</v>
      </c>
      <c r="B26" s="1004"/>
      <c r="C26" s="992"/>
      <c r="D26" s="982"/>
      <c r="E26" s="982"/>
      <c r="F26" s="984"/>
      <c r="G26" s="1011"/>
    </row>
    <row r="27" spans="1:7" ht="13" customHeight="1" x14ac:dyDescent="0.3">
      <c r="A27" s="1002" t="s">
        <v>1757</v>
      </c>
      <c r="B27" s="1004"/>
      <c r="C27" s="992"/>
      <c r="D27" s="982"/>
      <c r="E27" s="982" t="e">
        <f>Pb!D30</f>
        <v>#DIV/0!</v>
      </c>
      <c r="F27" s="984"/>
      <c r="G27" s="985"/>
    </row>
    <row r="28" spans="1:7" ht="13" customHeight="1" x14ac:dyDescent="0.3">
      <c r="A28" s="1002" t="s">
        <v>1792</v>
      </c>
      <c r="B28" s="1004"/>
      <c r="C28" s="992"/>
      <c r="D28" s="982"/>
      <c r="E28" s="982" t="e">
        <f>Pb!D31</f>
        <v>#DIV/0!</v>
      </c>
      <c r="F28" s="984"/>
      <c r="G28" s="985"/>
    </row>
    <row r="29" spans="1:7" ht="13" customHeight="1" x14ac:dyDescent="0.3">
      <c r="A29" s="1002" t="s">
        <v>1795</v>
      </c>
      <c r="B29" s="1004"/>
      <c r="C29" s="992"/>
      <c r="D29" s="982"/>
      <c r="E29" s="982" t="e">
        <f>Pb!D32</f>
        <v>#DIV/0!</v>
      </c>
      <c r="F29" s="984"/>
      <c r="G29" s="985"/>
    </row>
    <row r="30" spans="1:7" ht="13" customHeight="1" x14ac:dyDescent="0.3">
      <c r="A30" s="1002" t="s">
        <v>2261</v>
      </c>
      <c r="B30" s="1004"/>
      <c r="C30" s="992"/>
      <c r="D30" s="982"/>
      <c r="E30" s="982" t="e">
        <f>Pb!D33</f>
        <v>#DIV/0!</v>
      </c>
      <c r="F30" s="984"/>
      <c r="G30" s="985"/>
    </row>
    <row r="31" spans="1:7" ht="13" customHeight="1" x14ac:dyDescent="0.3">
      <c r="A31" s="1002" t="s">
        <v>1755</v>
      </c>
      <c r="B31" s="1004"/>
      <c r="C31" s="992"/>
      <c r="D31" s="982"/>
      <c r="E31" s="982" t="e">
        <f>Pb!D34</f>
        <v>#DIV/0!</v>
      </c>
      <c r="F31" s="984"/>
      <c r="G31" s="985"/>
    </row>
    <row r="32" spans="1:7" ht="13" customHeight="1" x14ac:dyDescent="0.3">
      <c r="A32" s="1002" t="s">
        <v>1758</v>
      </c>
      <c r="B32" s="1004"/>
      <c r="C32" s="992"/>
      <c r="D32" s="982"/>
      <c r="E32" s="1373" t="e">
        <f>Pb!D35</f>
        <v>#DIV/0!</v>
      </c>
      <c r="F32" s="984"/>
      <c r="G32" s="985"/>
    </row>
    <row r="33" spans="1:7" ht="13" customHeight="1" x14ac:dyDescent="0.3">
      <c r="A33" s="1002" t="s">
        <v>2075</v>
      </c>
      <c r="B33" s="1004"/>
      <c r="C33" s="992"/>
      <c r="D33" s="982"/>
      <c r="E33" s="1373" t="e">
        <f>Pb!D36</f>
        <v>#DIV/0!</v>
      </c>
      <c r="F33" s="984"/>
      <c r="G33" s="985"/>
    </row>
    <row r="34" spans="1:7" ht="13" customHeight="1" x14ac:dyDescent="0.3">
      <c r="A34" s="1002" t="s">
        <v>1793</v>
      </c>
      <c r="B34" s="1004"/>
      <c r="C34" s="992"/>
      <c r="D34" s="982"/>
      <c r="E34" s="982" t="e">
        <f>Pb!D37</f>
        <v>#DIV/0!</v>
      </c>
      <c r="F34" s="984"/>
      <c r="G34" s="985"/>
    </row>
    <row r="35" spans="1:7" ht="13" customHeight="1" x14ac:dyDescent="0.3">
      <c r="A35" s="1002" t="s">
        <v>2263</v>
      </c>
      <c r="B35" s="1004"/>
      <c r="C35" s="992"/>
      <c r="D35" s="982"/>
      <c r="E35" s="982" t="e">
        <f>Pb!D38</f>
        <v>#DIV/0!</v>
      </c>
      <c r="F35" s="984"/>
      <c r="G35" s="985"/>
    </row>
    <row r="36" spans="1:7" ht="13" customHeight="1" x14ac:dyDescent="0.3">
      <c r="A36" s="1002" t="s">
        <v>1794</v>
      </c>
      <c r="B36" s="1004"/>
      <c r="C36" s="992"/>
      <c r="D36" s="982"/>
      <c r="E36" s="982" t="e">
        <f>SUM(Pb!D39:D41)</f>
        <v>#DIV/0!</v>
      </c>
      <c r="F36" s="984"/>
      <c r="G36" s="985"/>
    </row>
    <row r="37" spans="1:7" ht="13" customHeight="1" x14ac:dyDescent="0.3">
      <c r="A37" s="1002" t="s">
        <v>1759</v>
      </c>
      <c r="B37" s="1004"/>
      <c r="C37" s="992"/>
      <c r="D37" s="982"/>
      <c r="E37" s="1017" t="e">
        <f>Pb!D43</f>
        <v>#DIV/0!</v>
      </c>
      <c r="F37" s="984"/>
      <c r="G37" s="1007"/>
    </row>
    <row r="38" spans="1:7" ht="13" customHeight="1" x14ac:dyDescent="0.3">
      <c r="A38" s="1008" t="s">
        <v>1748</v>
      </c>
      <c r="B38" s="1381"/>
      <c r="C38" s="1382"/>
      <c r="D38" s="982"/>
      <c r="E38" s="982" t="e">
        <f>SUM(E27:E37)</f>
        <v>#DIV/0!</v>
      </c>
      <c r="F38" s="984"/>
      <c r="G38" s="985"/>
    </row>
    <row r="39" spans="1:7" ht="13" customHeight="1" thickBot="1" x14ac:dyDescent="0.35">
      <c r="A39" s="1012" t="s">
        <v>1760</v>
      </c>
      <c r="B39" s="1013"/>
      <c r="C39" s="1014"/>
      <c r="D39" s="1014"/>
      <c r="E39" s="1015" t="e">
        <f>E17+E25+E38</f>
        <v>#DIV/0!</v>
      </c>
      <c r="F39" s="984"/>
      <c r="G39" s="985"/>
    </row>
    <row r="40" spans="1:7" ht="13" customHeight="1" thickBot="1" x14ac:dyDescent="0.35">
      <c r="A40" s="1016" t="s">
        <v>1761</v>
      </c>
      <c r="B40" s="1014"/>
      <c r="C40" s="1014"/>
      <c r="D40" s="1014"/>
      <c r="E40" s="1014"/>
      <c r="F40" s="984"/>
      <c r="G40" s="1011"/>
    </row>
    <row r="41" spans="1:7" ht="13" customHeight="1" x14ac:dyDescent="0.3">
      <c r="A41" s="1002" t="s">
        <v>29</v>
      </c>
      <c r="B41" s="1004"/>
      <c r="C41" s="992"/>
      <c r="D41" s="992"/>
      <c r="E41" s="982" t="e">
        <f>SUM(Pb!D48:D60)</f>
        <v>#DIV/0!</v>
      </c>
      <c r="F41" s="984"/>
      <c r="G41" s="989"/>
    </row>
    <row r="42" spans="1:7" ht="13" customHeight="1" x14ac:dyDescent="0.3">
      <c r="A42" s="1002" t="s">
        <v>79</v>
      </c>
      <c r="B42" s="1004"/>
      <c r="C42" s="992"/>
      <c r="D42" s="992"/>
      <c r="E42" s="1017" t="e">
        <f>Pb!D61</f>
        <v>#DIV/0!</v>
      </c>
      <c r="F42" s="984"/>
      <c r="G42" s="1007"/>
    </row>
    <row r="43" spans="1:7" ht="13" customHeight="1" x14ac:dyDescent="0.3">
      <c r="A43" s="990" t="s">
        <v>1762</v>
      </c>
      <c r="B43" s="991"/>
      <c r="C43" s="992"/>
      <c r="D43" s="992"/>
      <c r="E43" s="993" t="e">
        <f>SUM(E41:E42)</f>
        <v>#DIV/0!</v>
      </c>
      <c r="F43" s="984"/>
      <c r="G43" s="985"/>
    </row>
    <row r="44" spans="1:7" ht="8" customHeight="1" thickBot="1" x14ac:dyDescent="0.35">
      <c r="A44" s="995"/>
      <c r="B44" s="992"/>
      <c r="C44" s="992"/>
      <c r="D44" s="992"/>
      <c r="E44" s="992"/>
      <c r="F44" s="984"/>
      <c r="G44" s="989"/>
    </row>
    <row r="45" spans="1:7" ht="13" customHeight="1" thickBot="1" x14ac:dyDescent="0.35">
      <c r="A45" s="1018" t="s">
        <v>80</v>
      </c>
      <c r="B45" s="1019"/>
      <c r="C45" s="1020"/>
      <c r="D45" s="1020"/>
      <c r="E45" s="1021" t="e">
        <f>E39+E43</f>
        <v>#DIV/0!</v>
      </c>
      <c r="F45" s="984"/>
      <c r="G45" s="985"/>
    </row>
    <row r="46" spans="1:7" ht="6" customHeight="1" x14ac:dyDescent="0.3">
      <c r="A46" s="1022"/>
      <c r="B46" s="1023"/>
      <c r="C46" s="1024"/>
      <c r="D46" s="1025"/>
      <c r="E46" s="1023"/>
      <c r="F46" s="984"/>
      <c r="G46" s="989"/>
    </row>
    <row r="47" spans="1:7" ht="13" customHeight="1" x14ac:dyDescent="0.35">
      <c r="A47" s="1026"/>
      <c r="B47" s="992"/>
      <c r="C47" s="1027" t="s">
        <v>1734</v>
      </c>
      <c r="D47" s="1027" t="s">
        <v>452</v>
      </c>
      <c r="E47" s="1028" t="s">
        <v>1763</v>
      </c>
      <c r="F47" s="984"/>
      <c r="G47" s="989"/>
    </row>
    <row r="48" spans="1:7" ht="13" customHeight="1" x14ac:dyDescent="0.3">
      <c r="A48" s="990" t="s">
        <v>1764</v>
      </c>
      <c r="B48" s="991"/>
      <c r="C48" s="1318">
        <f>E7</f>
        <v>0</v>
      </c>
      <c r="D48" s="1227" t="e">
        <f>CONCATENATE(" -   $",ROUND(E45,2)," =")</f>
        <v>#DIV/0!</v>
      </c>
      <c r="E48" s="993" t="e">
        <f>E7-E39-E43</f>
        <v>#DIV/0!</v>
      </c>
      <c r="F48" s="984"/>
      <c r="G48" s="985"/>
    </row>
    <row r="49" spans="1:7" ht="13" customHeight="1" thickBot="1" x14ac:dyDescent="0.35">
      <c r="A49" s="1016" t="s">
        <v>1765</v>
      </c>
      <c r="B49" s="1013"/>
      <c r="C49" s="1319">
        <f>E7</f>
        <v>0</v>
      </c>
      <c r="D49" s="1228" t="e">
        <f>CONCATENATE("   -   $",ROUND(E39,2)," =")</f>
        <v>#DIV/0!</v>
      </c>
      <c r="E49" s="1015" t="e">
        <f>E7-E39</f>
        <v>#DIV/0!</v>
      </c>
      <c r="F49" s="978"/>
      <c r="G49" s="1029"/>
    </row>
    <row r="50" spans="1:7" ht="8" customHeight="1" thickBot="1" x14ac:dyDescent="0.35">
      <c r="A50" s="1030"/>
      <c r="B50" s="1031"/>
      <c r="C50" s="1031"/>
      <c r="D50" s="1031"/>
      <c r="E50" s="1031"/>
      <c r="F50" s="1032"/>
      <c r="G50" s="1033"/>
    </row>
    <row r="51" spans="1:7" ht="14" customHeight="1" thickTop="1" x14ac:dyDescent="0.3">
      <c r="A51" s="990" t="s">
        <v>1766</v>
      </c>
      <c r="B51" s="992"/>
      <c r="C51" s="992"/>
      <c r="D51" s="1034" t="s">
        <v>1734</v>
      </c>
      <c r="E51" s="1034" t="s">
        <v>1767</v>
      </c>
      <c r="F51" s="984"/>
      <c r="G51" s="989"/>
    </row>
    <row r="52" spans="1:7" ht="13" customHeight="1" x14ac:dyDescent="0.3">
      <c r="A52" s="1002" t="s">
        <v>370</v>
      </c>
      <c r="B52" s="1027"/>
      <c r="C52" s="992"/>
      <c r="D52" s="982" t="e">
        <f>E45</f>
        <v>#DIV/0!</v>
      </c>
      <c r="E52" s="982" t="e">
        <f>D52/$B$5</f>
        <v>#DIV/0!</v>
      </c>
      <c r="F52" s="984"/>
      <c r="G52" s="985"/>
    </row>
    <row r="53" spans="1:7" ht="13" customHeight="1" x14ac:dyDescent="0.3">
      <c r="A53" s="1002" t="s">
        <v>371</v>
      </c>
      <c r="B53" s="1027"/>
      <c r="C53" s="992"/>
      <c r="D53" s="982" t="e">
        <f>E39</f>
        <v>#DIV/0!</v>
      </c>
      <c r="E53" s="982" t="e">
        <f>D53/$B$5</f>
        <v>#DIV/0!</v>
      </c>
      <c r="F53" s="984"/>
      <c r="G53" s="994"/>
    </row>
    <row r="54" spans="1:7" ht="13" customHeight="1" x14ac:dyDescent="0.3">
      <c r="A54" s="1002"/>
      <c r="C54" s="1035"/>
      <c r="D54" s="1036"/>
      <c r="E54" s="1036"/>
      <c r="F54" s="984"/>
      <c r="G54" s="989"/>
    </row>
    <row r="55" spans="1:7" x14ac:dyDescent="0.25">
      <c r="A55" s="995"/>
      <c r="B55" s="995"/>
      <c r="E55" s="1037" t="s">
        <v>1768</v>
      </c>
      <c r="F55" s="1038"/>
      <c r="G55" s="1038"/>
    </row>
    <row r="56" spans="1:7" ht="7.75" customHeight="1" x14ac:dyDescent="0.25">
      <c r="A56" s="995"/>
      <c r="B56" s="995"/>
      <c r="C56" s="995"/>
      <c r="D56" s="995"/>
      <c r="E56" s="995"/>
      <c r="F56" s="995"/>
      <c r="G56" s="995"/>
    </row>
    <row r="57" spans="1:7" ht="18.5" x14ac:dyDescent="0.45">
      <c r="A57" s="1039" t="s">
        <v>1769</v>
      </c>
      <c r="B57" s="995"/>
      <c r="C57" s="995"/>
      <c r="D57" s="995"/>
      <c r="E57" s="995"/>
      <c r="F57" s="1040"/>
      <c r="G57" s="1040"/>
    </row>
    <row r="58" spans="1:7" ht="9.75" customHeight="1" x14ac:dyDescent="0.45">
      <c r="A58" s="1039"/>
      <c r="B58" s="995"/>
      <c r="C58" s="995"/>
      <c r="D58" s="995"/>
      <c r="E58" s="995"/>
      <c r="F58" s="1040"/>
      <c r="G58" s="1040"/>
    </row>
    <row r="59" spans="1:7" ht="14.5" x14ac:dyDescent="0.35">
      <c r="A59" s="1041" t="s">
        <v>1770</v>
      </c>
      <c r="B59" s="995"/>
      <c r="C59" s="995"/>
      <c r="D59" s="995"/>
      <c r="E59" s="995"/>
      <c r="F59" s="1040"/>
      <c r="G59" s="1040"/>
    </row>
    <row r="60" spans="1:7" ht="47" customHeight="1" x14ac:dyDescent="0.25">
      <c r="A60" s="1394" t="s">
        <v>1771</v>
      </c>
      <c r="B60" s="1395"/>
      <c r="C60" s="1395"/>
      <c r="D60" s="1395"/>
      <c r="E60" s="1395"/>
      <c r="F60" s="1395"/>
      <c r="G60" s="1395"/>
    </row>
    <row r="61" spans="1:7" ht="56" customHeight="1" x14ac:dyDescent="0.35">
      <c r="A61" s="1396" t="s">
        <v>1772</v>
      </c>
      <c r="B61" s="1393"/>
      <c r="C61" s="1393"/>
      <c r="D61" s="1393"/>
      <c r="E61" s="1393"/>
      <c r="F61" s="1393"/>
      <c r="G61" s="1393"/>
    </row>
    <row r="62" spans="1:7" s="1043" customFormat="1" ht="19.75" customHeight="1" x14ac:dyDescent="0.35">
      <c r="A62" s="1042" t="s">
        <v>1773</v>
      </c>
      <c r="B62" s="995"/>
      <c r="C62" s="995"/>
      <c r="D62" s="995"/>
      <c r="E62" s="995"/>
      <c r="F62" s="1040"/>
      <c r="G62" s="1040"/>
    </row>
    <row r="63" spans="1:7" ht="17" customHeight="1" x14ac:dyDescent="0.25">
      <c r="A63" s="1397" t="s">
        <v>1774</v>
      </c>
      <c r="B63" s="1398"/>
      <c r="C63" s="1398"/>
      <c r="D63" s="1398"/>
      <c r="E63" s="1398"/>
      <c r="F63" s="1398"/>
      <c r="G63" s="1398"/>
    </row>
    <row r="64" spans="1:7" ht="16" customHeight="1" x14ac:dyDescent="0.25">
      <c r="A64" s="1397" t="s">
        <v>1775</v>
      </c>
      <c r="B64" s="1398"/>
      <c r="C64" s="1398"/>
      <c r="D64" s="1398"/>
      <c r="E64" s="1398"/>
      <c r="F64" s="1398"/>
      <c r="G64" s="1398"/>
    </row>
    <row r="65" spans="1:7" ht="15" customHeight="1" x14ac:dyDescent="0.25">
      <c r="A65" s="1399" t="s">
        <v>1776</v>
      </c>
      <c r="B65" s="1400"/>
      <c r="C65" s="1400"/>
      <c r="D65" s="1400"/>
      <c r="E65" s="1400"/>
      <c r="F65" s="1400"/>
      <c r="G65" s="1400"/>
    </row>
    <row r="66" spans="1:7" ht="14" customHeight="1" x14ac:dyDescent="0.25">
      <c r="A66" s="1044" t="s">
        <v>1777</v>
      </c>
      <c r="B66" s="995"/>
      <c r="C66" s="995"/>
      <c r="D66" s="995"/>
      <c r="E66" s="995"/>
      <c r="F66" s="1040"/>
      <c r="G66" s="1040"/>
    </row>
    <row r="67" spans="1:7" ht="15" customHeight="1" x14ac:dyDescent="0.25">
      <c r="A67" s="1401" t="s">
        <v>1778</v>
      </c>
      <c r="B67" s="1393"/>
      <c r="C67" s="1393"/>
      <c r="D67" s="1393"/>
      <c r="E67" s="1393"/>
      <c r="F67" s="1393"/>
      <c r="G67" s="1393"/>
    </row>
    <row r="68" spans="1:7" ht="15" customHeight="1" x14ac:dyDescent="0.25">
      <c r="A68" s="1389" t="s">
        <v>1779</v>
      </c>
      <c r="B68" s="1390"/>
      <c r="C68" s="1390"/>
      <c r="D68" s="1390"/>
      <c r="E68" s="1390"/>
      <c r="F68" s="1390"/>
      <c r="G68" s="1390"/>
    </row>
    <row r="69" spans="1:7" ht="6" customHeight="1" x14ac:dyDescent="0.25">
      <c r="A69" s="1045"/>
      <c r="B69" s="1046"/>
      <c r="C69" s="1046"/>
      <c r="D69" s="1046"/>
      <c r="E69" s="1046"/>
      <c r="F69" s="1046"/>
      <c r="G69" s="1046"/>
    </row>
    <row r="70" spans="1:7" ht="15" customHeight="1" x14ac:dyDescent="0.25">
      <c r="A70" s="1391" t="s">
        <v>1780</v>
      </c>
      <c r="B70" s="1392"/>
      <c r="C70" s="1392"/>
      <c r="D70" s="1392"/>
      <c r="E70" s="1392"/>
      <c r="F70" s="1046"/>
      <c r="G70" s="1046"/>
    </row>
    <row r="71" spans="1:7" s="1052" customFormat="1" ht="29" customHeight="1" x14ac:dyDescent="0.3">
      <c r="A71" s="1047" t="s">
        <v>1781</v>
      </c>
      <c r="B71" s="1048" t="s">
        <v>1214</v>
      </c>
      <c r="C71" s="1048" t="s">
        <v>169</v>
      </c>
      <c r="D71" s="1048" t="s">
        <v>1782</v>
      </c>
      <c r="E71" s="1049" t="s">
        <v>1783</v>
      </c>
      <c r="F71" s="1050"/>
      <c r="G71" s="1051" t="s">
        <v>1735</v>
      </c>
    </row>
    <row r="72" spans="1:7" ht="12.75" customHeight="1" x14ac:dyDescent="0.3">
      <c r="A72" s="1053" t="s">
        <v>1429</v>
      </c>
      <c r="B72" s="982" t="e">
        <f>Pb!D106</f>
        <v>#DIV/0!</v>
      </c>
      <c r="C72" s="982" t="e">
        <f>Pb!D119</f>
        <v>#DIV/0!</v>
      </c>
      <c r="D72" s="982">
        <f>(SUM(Pf!J38:J40)/300)</f>
        <v>0</v>
      </c>
      <c r="E72" s="982" t="e">
        <f t="shared" ref="E72:E80" si="0">SUM(B72:D72)</f>
        <v>#DIV/0!</v>
      </c>
      <c r="F72" s="1054"/>
      <c r="G72" s="985"/>
    </row>
    <row r="73" spans="1:7" ht="12.75" customHeight="1" x14ac:dyDescent="0.3">
      <c r="A73" s="1053" t="s">
        <v>1785</v>
      </c>
      <c r="B73" s="982" t="e">
        <f>Pb!D107</f>
        <v>#DIV/0!</v>
      </c>
      <c r="C73" s="982" t="e">
        <f>Pb!D120</f>
        <v>#DIV/0!</v>
      </c>
      <c r="D73" s="982">
        <f>SUM(Pf!J41:J43)/300</f>
        <v>0</v>
      </c>
      <c r="E73" s="982" t="e">
        <f t="shared" si="0"/>
        <v>#DIV/0!</v>
      </c>
      <c r="F73" s="1054"/>
      <c r="G73" s="985"/>
    </row>
    <row r="74" spans="1:7" ht="12.75" customHeight="1" x14ac:dyDescent="0.3">
      <c r="A74" s="1053" t="s">
        <v>1786</v>
      </c>
      <c r="B74" s="982" t="e">
        <f>Pb!D108</f>
        <v>#DIV/0!</v>
      </c>
      <c r="C74" s="982" t="e">
        <f>Pb!D121</f>
        <v>#DIV/0!</v>
      </c>
      <c r="D74" s="982">
        <f>SUM(Pf!J44:J46)/300</f>
        <v>0</v>
      </c>
      <c r="E74" s="982" t="e">
        <f t="shared" si="0"/>
        <v>#DIV/0!</v>
      </c>
      <c r="F74" s="1054"/>
      <c r="G74" s="985"/>
    </row>
    <row r="75" spans="1:7" ht="12.75" customHeight="1" x14ac:dyDescent="0.3">
      <c r="A75" s="1053" t="s">
        <v>1787</v>
      </c>
      <c r="B75" s="982" t="e">
        <f>Pb!D109</f>
        <v>#DIV/0!</v>
      </c>
      <c r="C75" s="982" t="e">
        <f>Pb!D122</f>
        <v>#DIV/0!</v>
      </c>
      <c r="D75" s="982">
        <f>SUM(Pf!J55:J57)/300</f>
        <v>0</v>
      </c>
      <c r="E75" s="982" t="e">
        <f t="shared" si="0"/>
        <v>#DIV/0!</v>
      </c>
      <c r="F75" s="1054"/>
      <c r="G75" s="985"/>
    </row>
    <row r="76" spans="1:7" ht="12.75" customHeight="1" x14ac:dyDescent="0.3">
      <c r="A76" s="1053" t="s">
        <v>2168</v>
      </c>
      <c r="B76" s="982" t="e">
        <f>Pb!D110</f>
        <v>#DIV/0!</v>
      </c>
      <c r="C76" s="982" t="e">
        <f>Pb!D123</f>
        <v>#DIV/0!</v>
      </c>
      <c r="D76" s="982">
        <f>SUM(Pf!J50:J52)/300</f>
        <v>0</v>
      </c>
      <c r="E76" s="982" t="e">
        <f t="shared" si="0"/>
        <v>#DIV/0!</v>
      </c>
      <c r="F76" s="1054"/>
      <c r="G76" s="985"/>
    </row>
    <row r="77" spans="1:7" ht="12.75" customHeight="1" x14ac:dyDescent="0.3">
      <c r="A77" s="1053" t="s">
        <v>1802</v>
      </c>
      <c r="B77" s="982" t="e">
        <f>Pb!D111</f>
        <v>#DIV/0!</v>
      </c>
      <c r="C77" s="982" t="e">
        <f>Pb!D124</f>
        <v>#DIV/0!</v>
      </c>
      <c r="D77" s="982">
        <f>SUM(Pf!J47:J49)/100</f>
        <v>0</v>
      </c>
      <c r="E77" s="982" t="e">
        <f t="shared" si="0"/>
        <v>#DIV/0!</v>
      </c>
      <c r="F77" s="1054"/>
      <c r="G77" s="985"/>
    </row>
    <row r="78" spans="1:7" ht="12.75" customHeight="1" x14ac:dyDescent="0.3">
      <c r="A78" s="1053" t="s">
        <v>1788</v>
      </c>
      <c r="B78" s="982" t="e">
        <f>Pb!D112</f>
        <v>#DIV/0!</v>
      </c>
      <c r="C78" s="982" t="e">
        <f>Pb!D125</f>
        <v>#DIV/0!</v>
      </c>
      <c r="D78" s="982">
        <f>(SUM(Pf!J66:J68)+SUM(Pf!J69:J71))/300</f>
        <v>0</v>
      </c>
      <c r="E78" s="982" t="e">
        <f t="shared" si="0"/>
        <v>#DIV/0!</v>
      </c>
      <c r="F78" s="1054"/>
      <c r="G78" s="985"/>
    </row>
    <row r="79" spans="1:7" ht="12.75" customHeight="1" x14ac:dyDescent="0.3">
      <c r="A79" s="1055" t="s">
        <v>1819</v>
      </c>
      <c r="B79" s="1017" t="e">
        <f>Pb!D113</f>
        <v>#DIV/0!</v>
      </c>
      <c r="C79" s="1017" t="e">
        <f>Pb!D126</f>
        <v>#DIV/0!</v>
      </c>
      <c r="D79" s="1017">
        <f>SUM(Pf!J26:J28)/300</f>
        <v>0</v>
      </c>
      <c r="E79" s="1017" t="e">
        <f t="shared" si="0"/>
        <v>#DIV/0!</v>
      </c>
      <c r="F79" s="1054"/>
      <c r="G79" s="1056"/>
    </row>
    <row r="80" spans="1:7" ht="12.75" customHeight="1" x14ac:dyDescent="0.3">
      <c r="A80" s="1057" t="s">
        <v>1789</v>
      </c>
      <c r="B80" s="1017" t="e">
        <f>SUM(B72:B79)</f>
        <v>#DIV/0!</v>
      </c>
      <c r="C80" s="1017" t="e">
        <f>SUM(C72:C79)</f>
        <v>#DIV/0!</v>
      </c>
      <c r="D80" s="1017">
        <f>SUM(D72:D79)</f>
        <v>0</v>
      </c>
      <c r="E80" s="1058" t="e">
        <f t="shared" si="0"/>
        <v>#DIV/0!</v>
      </c>
      <c r="F80" s="1059"/>
      <c r="G80" s="1060"/>
    </row>
    <row r="81" spans="1:7" ht="18" customHeight="1" x14ac:dyDescent="0.3">
      <c r="A81" s="1061" t="s">
        <v>1790</v>
      </c>
      <c r="B81" s="1062"/>
      <c r="C81" s="1062"/>
      <c r="D81" s="1062"/>
      <c r="E81" s="1063"/>
      <c r="F81" s="1040"/>
      <c r="G81" s="1040"/>
    </row>
    <row r="82" spans="1:7" ht="37.75" hidden="1" customHeight="1" x14ac:dyDescent="0.25">
      <c r="A82" s="1393"/>
      <c r="B82" s="1393"/>
      <c r="C82" s="1393"/>
      <c r="D82" s="1393"/>
      <c r="E82" s="1393"/>
      <c r="F82" s="1393"/>
      <c r="G82" s="1393"/>
    </row>
    <row r="83" spans="1:7" ht="13.75" customHeight="1" x14ac:dyDescent="0.25">
      <c r="A83" s="1064" t="s">
        <v>1791</v>
      </c>
      <c r="B83" s="1065"/>
      <c r="C83" s="995"/>
      <c r="D83" s="995"/>
      <c r="E83" s="995"/>
      <c r="F83" s="1040"/>
      <c r="G83" s="1040"/>
    </row>
    <row r="84" spans="1:7" ht="16.75" customHeight="1" x14ac:dyDescent="0.25">
      <c r="A84" s="1071" t="s">
        <v>1796</v>
      </c>
      <c r="B84" s="995"/>
      <c r="C84" s="995"/>
      <c r="D84" s="995"/>
      <c r="E84" s="995"/>
      <c r="F84" s="1040"/>
      <c r="G84" s="1040"/>
    </row>
    <row r="85" spans="1:7" ht="24" customHeight="1" x14ac:dyDescent="0.25"/>
    <row r="86" spans="1:7" ht="16.75" customHeight="1" x14ac:dyDescent="0.25">
      <c r="F86"/>
      <c r="G86"/>
    </row>
    <row r="87" spans="1:7" ht="13.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6.75" customHeight="1" x14ac:dyDescent="0.25">
      <c r="F97"/>
      <c r="G97"/>
    </row>
    <row r="98" spans="6:7" ht="13.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row r="107" spans="6:7" ht="13.75" customHeight="1" x14ac:dyDescent="0.25"/>
  </sheetData>
  <sheetProtection algorithmName="SHA-512" hashValue="AX8tG2Gs26nvbrAjIh94e3G90CuELxbUR7W0HnJlEUbJ03MU++8gvNYyGT7TPjG7idfy3gKf0f2CNfD0LylRgA==" saltValue="x9OTQKg2Ctry2d90lOuMqw==" spinCount="100000" sheet="1" objects="1" scenarios="1"/>
  <mergeCells count="15">
    <mergeCell ref="A68:G68"/>
    <mergeCell ref="A70:E70"/>
    <mergeCell ref="A82:G82"/>
    <mergeCell ref="A60:G60"/>
    <mergeCell ref="A61:G61"/>
    <mergeCell ref="A63:G63"/>
    <mergeCell ref="A64:G64"/>
    <mergeCell ref="A65:G65"/>
    <mergeCell ref="A67:G67"/>
    <mergeCell ref="B38:C38"/>
    <mergeCell ref="A1:G1"/>
    <mergeCell ref="A2:G2"/>
    <mergeCell ref="A3:G3"/>
    <mergeCell ref="B17:C17"/>
    <mergeCell ref="B25:C25"/>
  </mergeCells>
  <pageMargins left="0.7" right="0.7" top="0.75" bottom="0.75" header="0.3" footer="0.3"/>
  <pageSetup scale="85" orientation="portrait" r:id="rId1"/>
  <rowBreaks count="1" manualBreakCount="1">
    <brk id="5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zoomScaleNormal="100" workbookViewId="0">
      <selection activeCell="E14" sqref="E14"/>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1803</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2215</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373</v>
      </c>
      <c r="B5" s="981">
        <f>FARM!D24</f>
        <v>25</v>
      </c>
      <c r="C5" s="982">
        <f>FARM!F24</f>
        <v>28.98</v>
      </c>
      <c r="D5" s="983" t="s">
        <v>1736</v>
      </c>
      <c r="E5" s="982">
        <f>B5*C5</f>
        <v>724.5</v>
      </c>
      <c r="F5" s="984"/>
      <c r="G5" s="985"/>
      <c r="I5" s="982"/>
    </row>
    <row r="6" spans="1:9" ht="13" customHeight="1" x14ac:dyDescent="0.3">
      <c r="A6" s="986"/>
      <c r="B6" s="987"/>
      <c r="C6" s="987"/>
      <c r="D6" s="988"/>
      <c r="E6" s="987"/>
      <c r="F6" s="984"/>
      <c r="G6" s="989"/>
    </row>
    <row r="7" spans="1:9" ht="13" customHeight="1" x14ac:dyDescent="0.3">
      <c r="A7" s="990" t="s">
        <v>1738</v>
      </c>
      <c r="B7" s="991"/>
      <c r="C7" s="992"/>
      <c r="D7" s="993"/>
      <c r="E7" s="993">
        <f>SUM(E5:E6)</f>
        <v>724.5</v>
      </c>
      <c r="F7" s="984"/>
      <c r="G7" s="994"/>
    </row>
    <row r="8" spans="1:9" ht="13" customHeight="1" thickBot="1" x14ac:dyDescent="0.35">
      <c r="A8" s="995"/>
      <c r="B8" s="992"/>
      <c r="C8" s="992"/>
      <c r="D8" s="992"/>
      <c r="E8" s="992"/>
      <c r="F8" s="984"/>
      <c r="G8" s="989"/>
    </row>
    <row r="9" spans="1:9" ht="29" customHeight="1" thickBot="1" x14ac:dyDescent="0.35">
      <c r="A9" s="996" t="s">
        <v>1739</v>
      </c>
      <c r="B9" s="997" t="s">
        <v>1740</v>
      </c>
      <c r="C9" s="997" t="s">
        <v>1636</v>
      </c>
      <c r="D9" s="998"/>
      <c r="E9" s="998" t="s">
        <v>1741</v>
      </c>
      <c r="F9" s="984"/>
      <c r="G9" s="999" t="s">
        <v>1735</v>
      </c>
    </row>
    <row r="10" spans="1:9" ht="15" customHeight="1" x14ac:dyDescent="0.3">
      <c r="A10" s="1000" t="s">
        <v>1742</v>
      </c>
      <c r="B10" s="1001"/>
      <c r="C10" s="1001"/>
      <c r="D10" s="1001"/>
      <c r="E10" s="1001"/>
      <c r="F10" s="984"/>
      <c r="G10" s="989"/>
    </row>
    <row r="11" spans="1:9" ht="13" customHeight="1" x14ac:dyDescent="0.3">
      <c r="A11" s="1002" t="s">
        <v>1743</v>
      </c>
      <c r="B11" s="1070">
        <f>INPUT!$L$17</f>
        <v>74</v>
      </c>
      <c r="C11" s="982">
        <f>INPUT!$L$18</f>
        <v>0.8</v>
      </c>
      <c r="D11" s="983" t="s">
        <v>1736</v>
      </c>
      <c r="E11" s="982">
        <f>B11*C11</f>
        <v>59.2</v>
      </c>
      <c r="F11" s="984"/>
      <c r="G11" s="985"/>
    </row>
    <row r="12" spans="1:9" ht="13" customHeight="1" x14ac:dyDescent="0.3">
      <c r="A12" s="1002" t="s">
        <v>1801</v>
      </c>
      <c r="B12" s="1003" t="s">
        <v>363</v>
      </c>
      <c r="C12" s="982" t="s">
        <v>363</v>
      </c>
      <c r="D12" s="983"/>
      <c r="E12" s="982">
        <f>Syv!G10</f>
        <v>3.7</v>
      </c>
      <c r="F12" s="984"/>
      <c r="G12" s="989"/>
    </row>
    <row r="13" spans="1:9" ht="13" customHeight="1" x14ac:dyDescent="0.3">
      <c r="A13" s="1002" t="s">
        <v>1744</v>
      </c>
      <c r="B13" s="1004"/>
      <c r="C13" s="992"/>
      <c r="D13" s="983"/>
      <c r="E13" s="982"/>
      <c r="F13" s="984"/>
      <c r="G13" s="989"/>
    </row>
    <row r="14" spans="1:9" ht="13" customHeight="1" x14ac:dyDescent="0.3">
      <c r="A14" s="1005" t="s">
        <v>1745</v>
      </c>
      <c r="B14" s="1070">
        <f>INPUT!$L$32</f>
        <v>0</v>
      </c>
      <c r="C14" s="1004">
        <f>INPUT!$L$33</f>
        <v>35</v>
      </c>
      <c r="D14" s="1006" t="s">
        <v>1736</v>
      </c>
      <c r="E14" s="982">
        <f>B14*C14</f>
        <v>0</v>
      </c>
      <c r="F14" s="984"/>
      <c r="G14" s="985"/>
    </row>
    <row r="15" spans="1:9" ht="13" customHeight="1" x14ac:dyDescent="0.3">
      <c r="A15" s="1005" t="s">
        <v>1746</v>
      </c>
      <c r="B15" s="1070">
        <f>INPUT!$L$38</f>
        <v>0</v>
      </c>
      <c r="C15" s="982">
        <f>INPUT!$L$39</f>
        <v>0.6</v>
      </c>
      <c r="D15" s="1372" t="s">
        <v>1736</v>
      </c>
      <c r="E15" s="1373">
        <f>B15*C15</f>
        <v>0</v>
      </c>
      <c r="F15" s="984"/>
      <c r="G15" s="985"/>
    </row>
    <row r="16" spans="1:9" ht="13" customHeight="1" x14ac:dyDescent="0.3">
      <c r="A16" s="1002" t="s">
        <v>1747</v>
      </c>
      <c r="B16" s="1003">
        <f>INPUT!$L$41*(INPUT!$L$43/INPUT!$L$44)</f>
        <v>0</v>
      </c>
      <c r="C16" s="1004">
        <f>OSI!$K$61</f>
        <v>75</v>
      </c>
      <c r="D16" s="1374" t="s">
        <v>1736</v>
      </c>
      <c r="E16" s="1017">
        <f>B16*C16</f>
        <v>0</v>
      </c>
      <c r="F16" s="984"/>
      <c r="G16" s="1007"/>
    </row>
    <row r="17" spans="1:7" ht="13" customHeight="1" x14ac:dyDescent="0.3">
      <c r="A17" s="1008" t="s">
        <v>1748</v>
      </c>
      <c r="B17" s="1381"/>
      <c r="C17" s="1382"/>
      <c r="D17" s="982"/>
      <c r="E17" s="982">
        <f>SUM(E11:E16)</f>
        <v>62.900000000000006</v>
      </c>
      <c r="F17" s="984"/>
      <c r="G17" s="985"/>
    </row>
    <row r="18" spans="1:7" ht="13" customHeight="1" x14ac:dyDescent="0.3">
      <c r="A18" s="1009" t="s">
        <v>1749</v>
      </c>
      <c r="B18" s="1004"/>
      <c r="C18" s="992"/>
      <c r="D18" s="982"/>
      <c r="E18" s="1004"/>
      <c r="F18" s="984"/>
      <c r="G18" s="989"/>
    </row>
    <row r="19" spans="1:7" ht="13" customHeight="1" x14ac:dyDescent="0.3">
      <c r="A19" s="1002" t="s">
        <v>1750</v>
      </c>
      <c r="B19" s="1004"/>
      <c r="C19" s="992"/>
      <c r="D19" s="982"/>
      <c r="E19" s="982">
        <f>Syb!D24</f>
        <v>21.986314993148071</v>
      </c>
      <c r="F19" s="984"/>
      <c r="G19" s="985"/>
    </row>
    <row r="20" spans="1:7" ht="13" customHeight="1" x14ac:dyDescent="0.3">
      <c r="A20" s="1002" t="s">
        <v>1751</v>
      </c>
      <c r="B20" s="1004"/>
      <c r="C20" s="992"/>
      <c r="D20" s="982"/>
      <c r="E20" s="982">
        <f>Syb!D25</f>
        <v>16.60926076400181</v>
      </c>
      <c r="F20" s="984"/>
      <c r="G20" s="985"/>
    </row>
    <row r="21" spans="1:7" ht="13" customHeight="1" x14ac:dyDescent="0.3">
      <c r="A21" s="1010" t="s">
        <v>1752</v>
      </c>
      <c r="B21" s="1004"/>
      <c r="C21" s="992"/>
      <c r="D21" s="982"/>
      <c r="E21" s="982">
        <f>Syb!D26</f>
        <v>74.919533446208376</v>
      </c>
      <c r="F21" s="984"/>
      <c r="G21" s="994"/>
    </row>
    <row r="22" spans="1:7" ht="13" customHeight="1" x14ac:dyDescent="0.3">
      <c r="A22" s="1002" t="s">
        <v>170</v>
      </c>
      <c r="B22" s="1004"/>
      <c r="C22" s="992"/>
      <c r="D22" s="982"/>
      <c r="E22" s="982">
        <f>Syb!D27</f>
        <v>0</v>
      </c>
      <c r="F22" s="984"/>
      <c r="G22" s="1011"/>
    </row>
    <row r="23" spans="1:7" ht="13" customHeight="1" x14ac:dyDescent="0.3">
      <c r="A23" s="1002" t="s">
        <v>1756</v>
      </c>
      <c r="B23" s="1004"/>
      <c r="C23" s="992"/>
      <c r="D23" s="982"/>
      <c r="E23" s="1373">
        <f>Syb!D28</f>
        <v>3</v>
      </c>
      <c r="F23" s="984"/>
      <c r="G23" s="1011"/>
    </row>
    <row r="24" spans="1:7" ht="13" customHeight="1" x14ac:dyDescent="0.3">
      <c r="A24" s="1002" t="s">
        <v>1753</v>
      </c>
      <c r="B24" s="1004"/>
      <c r="C24" s="992"/>
      <c r="D24" s="982"/>
      <c r="E24" s="1017">
        <f>Syb!D36</f>
        <v>0</v>
      </c>
      <c r="F24" s="984"/>
      <c r="G24" s="1007"/>
    </row>
    <row r="25" spans="1:7" ht="13" customHeight="1" x14ac:dyDescent="0.3">
      <c r="A25" s="1008" t="s">
        <v>1748</v>
      </c>
      <c r="B25" s="1381"/>
      <c r="C25" s="1382"/>
      <c r="D25" s="982"/>
      <c r="E25" s="982">
        <f>SUM(E19:E24)</f>
        <v>116.51510920335826</v>
      </c>
      <c r="F25" s="984"/>
      <c r="G25" s="989"/>
    </row>
    <row r="26" spans="1:7" ht="13" customHeight="1" x14ac:dyDescent="0.3">
      <c r="A26" s="1009" t="s">
        <v>1754</v>
      </c>
      <c r="B26" s="1004"/>
      <c r="C26" s="992"/>
      <c r="D26" s="982"/>
      <c r="E26" s="982"/>
      <c r="F26" s="984"/>
      <c r="G26" s="1011"/>
    </row>
    <row r="27" spans="1:7" ht="13" customHeight="1" x14ac:dyDescent="0.3">
      <c r="A27" s="1002" t="s">
        <v>1757</v>
      </c>
      <c r="B27" s="1004"/>
      <c r="C27" s="992"/>
      <c r="D27" s="982"/>
      <c r="E27" s="982">
        <f>Syb!D30</f>
        <v>1.5</v>
      </c>
      <c r="F27" s="984"/>
      <c r="G27" s="985"/>
    </row>
    <row r="28" spans="1:7" ht="13" customHeight="1" x14ac:dyDescent="0.3">
      <c r="A28" s="1002" t="s">
        <v>1792</v>
      </c>
      <c r="B28" s="1004"/>
      <c r="C28" s="992"/>
      <c r="D28" s="982"/>
      <c r="E28" s="982">
        <f>Syb!D31</f>
        <v>8.75</v>
      </c>
      <c r="F28" s="984"/>
      <c r="G28" s="985"/>
    </row>
    <row r="29" spans="1:7" ht="13" customHeight="1" x14ac:dyDescent="0.3">
      <c r="A29" s="1002" t="s">
        <v>1795</v>
      </c>
      <c r="B29" s="1004"/>
      <c r="C29" s="992"/>
      <c r="D29" s="982"/>
      <c r="E29" s="982">
        <f>Syb!D32</f>
        <v>4.5</v>
      </c>
      <c r="F29" s="984"/>
      <c r="G29" s="985"/>
    </row>
    <row r="30" spans="1:7" ht="13" customHeight="1" x14ac:dyDescent="0.3">
      <c r="A30" s="1002" t="s">
        <v>2261</v>
      </c>
      <c r="B30" s="1004"/>
      <c r="C30" s="992"/>
      <c r="D30" s="982"/>
      <c r="E30" s="982">
        <f>Syb!D33</f>
        <v>15</v>
      </c>
      <c r="F30" s="984"/>
      <c r="G30" s="985"/>
    </row>
    <row r="31" spans="1:7" ht="13" customHeight="1" x14ac:dyDescent="0.3">
      <c r="A31" s="1002" t="s">
        <v>1755</v>
      </c>
      <c r="B31" s="1004"/>
      <c r="C31" s="992"/>
      <c r="D31" s="982"/>
      <c r="E31" s="982">
        <f>Syb!D34</f>
        <v>12.5</v>
      </c>
      <c r="F31" s="984"/>
      <c r="G31" s="985"/>
    </row>
    <row r="32" spans="1:7" ht="13" customHeight="1" x14ac:dyDescent="0.3">
      <c r="A32" s="1002" t="s">
        <v>1758</v>
      </c>
      <c r="B32" s="1004"/>
      <c r="C32" s="992"/>
      <c r="D32" s="982"/>
      <c r="E32" s="982">
        <f>Syb!D35</f>
        <v>13.380383996841827</v>
      </c>
      <c r="F32" s="984"/>
      <c r="G32" s="985"/>
    </row>
    <row r="33" spans="1:7" ht="13" customHeight="1" x14ac:dyDescent="0.3">
      <c r="A33" s="1002" t="s">
        <v>2075</v>
      </c>
      <c r="B33" s="1004"/>
      <c r="C33" s="992"/>
      <c r="D33" s="982"/>
      <c r="E33" s="982">
        <f>Syb!D36</f>
        <v>0</v>
      </c>
      <c r="F33" s="984"/>
      <c r="G33" s="985"/>
    </row>
    <row r="34" spans="1:7" ht="13" customHeight="1" x14ac:dyDescent="0.3">
      <c r="A34" s="1002" t="s">
        <v>1793</v>
      </c>
      <c r="B34" s="1004"/>
      <c r="C34" s="992"/>
      <c r="D34" s="982"/>
      <c r="E34" s="982">
        <f>Syb!D37</f>
        <v>11.061</v>
      </c>
      <c r="F34" s="984"/>
      <c r="G34" s="985"/>
    </row>
    <row r="35" spans="1:7" ht="13" customHeight="1" x14ac:dyDescent="0.3">
      <c r="A35" s="1002" t="s">
        <v>2263</v>
      </c>
      <c r="B35" s="1004"/>
      <c r="C35" s="992"/>
      <c r="D35" s="982"/>
      <c r="E35" s="982">
        <f>Syb!D38</f>
        <v>0</v>
      </c>
      <c r="F35" s="984"/>
      <c r="G35" s="985"/>
    </row>
    <row r="36" spans="1:7" ht="13" customHeight="1" x14ac:dyDescent="0.3">
      <c r="A36" s="1002" t="s">
        <v>1794</v>
      </c>
      <c r="B36" s="1004"/>
      <c r="C36" s="992"/>
      <c r="D36" s="982"/>
      <c r="E36" s="1373">
        <f>SUM(Syb!D39:D41)</f>
        <v>2.375</v>
      </c>
      <c r="F36" s="984"/>
      <c r="G36" s="985"/>
    </row>
    <row r="37" spans="1:7" ht="13" customHeight="1" x14ac:dyDescent="0.3">
      <c r="A37" s="1002" t="s">
        <v>1759</v>
      </c>
      <c r="B37" s="1004"/>
      <c r="C37" s="992"/>
      <c r="D37" s="982"/>
      <c r="E37" s="1017">
        <f>Syb!D43</f>
        <v>6.8620643825304333</v>
      </c>
      <c r="F37" s="984"/>
      <c r="G37" s="1007"/>
    </row>
    <row r="38" spans="1:7" ht="13" customHeight="1" x14ac:dyDescent="0.3">
      <c r="A38" s="1008" t="s">
        <v>1748</v>
      </c>
      <c r="B38" s="1381"/>
      <c r="C38" s="1382"/>
      <c r="D38" s="982"/>
      <c r="E38" s="982">
        <f>SUM(E27:E37)</f>
        <v>75.92844837937227</v>
      </c>
      <c r="F38" s="984"/>
      <c r="G38" s="985"/>
    </row>
    <row r="39" spans="1:7" ht="13" customHeight="1" thickBot="1" x14ac:dyDescent="0.35">
      <c r="A39" s="1012" t="s">
        <v>1760</v>
      </c>
      <c r="B39" s="1013"/>
      <c r="C39" s="1014"/>
      <c r="D39" s="1014"/>
      <c r="E39" s="1015">
        <f>E17+E25+E38</f>
        <v>255.34355758273054</v>
      </c>
      <c r="F39" s="984"/>
      <c r="G39" s="985"/>
    </row>
    <row r="40" spans="1:7" ht="13" customHeight="1" thickBot="1" x14ac:dyDescent="0.35">
      <c r="A40" s="1016" t="s">
        <v>1761</v>
      </c>
      <c r="B40" s="1014"/>
      <c r="C40" s="1014"/>
      <c r="D40" s="1014"/>
      <c r="E40" s="1014"/>
      <c r="F40" s="984"/>
      <c r="G40" s="1011"/>
    </row>
    <row r="41" spans="1:7" ht="13" customHeight="1" x14ac:dyDescent="0.3">
      <c r="A41" s="1002" t="s">
        <v>29</v>
      </c>
      <c r="B41" s="1004"/>
      <c r="C41" s="992"/>
      <c r="D41" s="992"/>
      <c r="E41" s="982">
        <f>SUM(Syb!D48:D60)</f>
        <v>110.4916427842619</v>
      </c>
      <c r="F41" s="984"/>
      <c r="G41" s="989"/>
    </row>
    <row r="42" spans="1:7" ht="13" customHeight="1" x14ac:dyDescent="0.3">
      <c r="A42" s="1002" t="s">
        <v>79</v>
      </c>
      <c r="B42" s="1004"/>
      <c r="C42" s="992"/>
      <c r="D42" s="992"/>
      <c r="E42" s="1017">
        <f>Syb!D61</f>
        <v>26.402565415975268</v>
      </c>
      <c r="F42" s="984"/>
      <c r="G42" s="1007"/>
    </row>
    <row r="43" spans="1:7" ht="13" customHeight="1" x14ac:dyDescent="0.3">
      <c r="A43" s="990" t="s">
        <v>1762</v>
      </c>
      <c r="B43" s="991"/>
      <c r="C43" s="992"/>
      <c r="D43" s="992"/>
      <c r="E43" s="993">
        <f>SUM(E41:E42)</f>
        <v>136.89420820023716</v>
      </c>
      <c r="F43" s="984"/>
      <c r="G43" s="985"/>
    </row>
    <row r="44" spans="1:7" ht="8" customHeight="1" thickBot="1" x14ac:dyDescent="0.35">
      <c r="A44" s="995"/>
      <c r="B44" s="992"/>
      <c r="C44" s="992"/>
      <c r="D44" s="992"/>
      <c r="E44" s="992"/>
      <c r="F44" s="984"/>
      <c r="G44" s="989"/>
    </row>
    <row r="45" spans="1:7" ht="13" customHeight="1" thickBot="1" x14ac:dyDescent="0.35">
      <c r="A45" s="1018" t="s">
        <v>80</v>
      </c>
      <c r="B45" s="1019"/>
      <c r="C45" s="1020"/>
      <c r="D45" s="1020"/>
      <c r="E45" s="1021">
        <f>E39+E43</f>
        <v>392.2377657829677</v>
      </c>
      <c r="F45" s="984"/>
      <c r="G45" s="985"/>
    </row>
    <row r="46" spans="1:7" ht="6" customHeight="1" x14ac:dyDescent="0.3">
      <c r="A46" s="1022"/>
      <c r="B46" s="1023"/>
      <c r="C46" s="1024"/>
      <c r="D46" s="1025"/>
      <c r="E46" s="1023"/>
      <c r="F46" s="984"/>
      <c r="G46" s="989"/>
    </row>
    <row r="47" spans="1:7" ht="13" customHeight="1" x14ac:dyDescent="0.35">
      <c r="A47" s="1026"/>
      <c r="B47" s="992"/>
      <c r="C47" s="1027" t="s">
        <v>1734</v>
      </c>
      <c r="D47" s="1027" t="s">
        <v>452</v>
      </c>
      <c r="E47" s="1028" t="s">
        <v>1763</v>
      </c>
      <c r="F47" s="984"/>
      <c r="G47" s="989"/>
    </row>
    <row r="48" spans="1:7" ht="13" customHeight="1" x14ac:dyDescent="0.3">
      <c r="A48" s="990" t="s">
        <v>1764</v>
      </c>
      <c r="B48" s="991"/>
      <c r="C48" s="1318">
        <f>E7</f>
        <v>724.5</v>
      </c>
      <c r="D48" s="1227" t="str">
        <f>CONCATENATE(" -   $",ROUND(E45,2)," =")</f>
        <v xml:space="preserve"> -   $392.24 =</v>
      </c>
      <c r="E48" s="993">
        <f>E7-E39-E43</f>
        <v>332.2622342170323</v>
      </c>
      <c r="F48" s="984"/>
      <c r="G48" s="985"/>
    </row>
    <row r="49" spans="1:7" ht="13" customHeight="1" thickBot="1" x14ac:dyDescent="0.35">
      <c r="A49" s="1016" t="s">
        <v>1765</v>
      </c>
      <c r="B49" s="1013"/>
      <c r="C49" s="1319">
        <f>E7</f>
        <v>724.5</v>
      </c>
      <c r="D49" s="1228" t="str">
        <f>CONCATENATE("   -   $",ROUND(E39,2)," =")</f>
        <v xml:space="preserve">   -   $255.34 =</v>
      </c>
      <c r="E49" s="1015">
        <f>E7-E39</f>
        <v>469.15644241726943</v>
      </c>
      <c r="F49" s="978"/>
      <c r="G49" s="1029"/>
    </row>
    <row r="50" spans="1:7" ht="8" customHeight="1" thickBot="1" x14ac:dyDescent="0.35">
      <c r="A50" s="1030"/>
      <c r="B50" s="1031"/>
      <c r="C50" s="1031"/>
      <c r="D50" s="1031"/>
      <c r="E50" s="1031"/>
      <c r="F50" s="1032"/>
      <c r="G50" s="1033"/>
    </row>
    <row r="51" spans="1:7" ht="14" customHeight="1" thickTop="1" x14ac:dyDescent="0.3">
      <c r="A51" s="990" t="s">
        <v>1766</v>
      </c>
      <c r="B51" s="992"/>
      <c r="C51" s="992"/>
      <c r="D51" s="1034" t="s">
        <v>1734</v>
      </c>
      <c r="E51" s="1034" t="s">
        <v>1767</v>
      </c>
      <c r="F51" s="984"/>
      <c r="G51" s="989"/>
    </row>
    <row r="52" spans="1:7" ht="13" customHeight="1" x14ac:dyDescent="0.3">
      <c r="A52" s="1002" t="s">
        <v>370</v>
      </c>
      <c r="B52" s="1027"/>
      <c r="C52" s="992"/>
      <c r="D52" s="982">
        <f>E45</f>
        <v>392.2377657829677</v>
      </c>
      <c r="E52" s="982">
        <f>D52/$B$5</f>
        <v>15.689510631318708</v>
      </c>
      <c r="F52" s="984"/>
      <c r="G52" s="985"/>
    </row>
    <row r="53" spans="1:7" ht="13" customHeight="1" x14ac:dyDescent="0.3">
      <c r="A53" s="1002" t="s">
        <v>371</v>
      </c>
      <c r="B53" s="1027"/>
      <c r="C53" s="992"/>
      <c r="D53" s="982">
        <f>E39</f>
        <v>255.34355758273054</v>
      </c>
      <c r="E53" s="982">
        <f>D53/$B$5</f>
        <v>10.213742303309221</v>
      </c>
      <c r="F53" s="984"/>
      <c r="G53" s="994"/>
    </row>
    <row r="54" spans="1:7" ht="13" customHeight="1" x14ac:dyDescent="0.3">
      <c r="A54" s="1002"/>
      <c r="C54" s="1035"/>
      <c r="D54" s="1036"/>
      <c r="E54" s="1036"/>
      <c r="F54" s="984"/>
      <c r="G54" s="989"/>
    </row>
    <row r="55" spans="1:7" x14ac:dyDescent="0.25">
      <c r="A55" s="995"/>
      <c r="B55" s="995"/>
      <c r="E55" s="1037" t="s">
        <v>1768</v>
      </c>
      <c r="F55" s="1038"/>
      <c r="G55" s="1038"/>
    </row>
    <row r="56" spans="1:7" ht="7.75" customHeight="1" x14ac:dyDescent="0.25">
      <c r="A56" s="995"/>
      <c r="B56" s="995"/>
      <c r="C56" s="995"/>
      <c r="D56" s="995"/>
      <c r="E56" s="995"/>
      <c r="F56" s="995"/>
      <c r="G56" s="995"/>
    </row>
    <row r="57" spans="1:7" ht="18.5" x14ac:dyDescent="0.45">
      <c r="A57" s="1039" t="s">
        <v>1769</v>
      </c>
      <c r="B57" s="995"/>
      <c r="C57" s="995"/>
      <c r="D57" s="995"/>
      <c r="E57" s="995"/>
      <c r="F57" s="1040"/>
      <c r="G57" s="1040"/>
    </row>
    <row r="58" spans="1:7" ht="9.75" customHeight="1" x14ac:dyDescent="0.45">
      <c r="A58" s="1039"/>
      <c r="B58" s="995"/>
      <c r="C58" s="995"/>
      <c r="D58" s="995"/>
      <c r="E58" s="995"/>
      <c r="F58" s="1040"/>
      <c r="G58" s="1040"/>
    </row>
    <row r="59" spans="1:7" ht="14.5" x14ac:dyDescent="0.35">
      <c r="A59" s="1041" t="s">
        <v>1770</v>
      </c>
      <c r="B59" s="995"/>
      <c r="C59" s="995"/>
      <c r="D59" s="995"/>
      <c r="E59" s="995"/>
      <c r="F59" s="1040"/>
      <c r="G59" s="1040"/>
    </row>
    <row r="60" spans="1:7" ht="47" customHeight="1" x14ac:dyDescent="0.25">
      <c r="A60" s="1394" t="s">
        <v>1771</v>
      </c>
      <c r="B60" s="1395"/>
      <c r="C60" s="1395"/>
      <c r="D60" s="1395"/>
      <c r="E60" s="1395"/>
      <c r="F60" s="1395"/>
      <c r="G60" s="1395"/>
    </row>
    <row r="61" spans="1:7" ht="56" customHeight="1" x14ac:dyDescent="0.35">
      <c r="A61" s="1396" t="s">
        <v>1772</v>
      </c>
      <c r="B61" s="1393"/>
      <c r="C61" s="1393"/>
      <c r="D61" s="1393"/>
      <c r="E61" s="1393"/>
      <c r="F61" s="1393"/>
      <c r="G61" s="1393"/>
    </row>
    <row r="62" spans="1:7" s="1043" customFormat="1" ht="19.75" customHeight="1" x14ac:dyDescent="0.35">
      <c r="A62" s="1042" t="s">
        <v>1773</v>
      </c>
      <c r="B62" s="995"/>
      <c r="C62" s="995"/>
      <c r="D62" s="995"/>
      <c r="E62" s="995"/>
      <c r="F62" s="1040"/>
      <c r="G62" s="1040"/>
    </row>
    <row r="63" spans="1:7" ht="17" customHeight="1" x14ac:dyDescent="0.25">
      <c r="A63" s="1397" t="s">
        <v>1774</v>
      </c>
      <c r="B63" s="1398"/>
      <c r="C63" s="1398"/>
      <c r="D63" s="1398"/>
      <c r="E63" s="1398"/>
      <c r="F63" s="1398"/>
      <c r="G63" s="1398"/>
    </row>
    <row r="64" spans="1:7" ht="16" customHeight="1" x14ac:dyDescent="0.25">
      <c r="A64" s="1397" t="s">
        <v>1775</v>
      </c>
      <c r="B64" s="1398"/>
      <c r="C64" s="1398"/>
      <c r="D64" s="1398"/>
      <c r="E64" s="1398"/>
      <c r="F64" s="1398"/>
      <c r="G64" s="1398"/>
    </row>
    <row r="65" spans="1:7" ht="15" customHeight="1" x14ac:dyDescent="0.25">
      <c r="A65" s="1399" t="s">
        <v>1776</v>
      </c>
      <c r="B65" s="1400"/>
      <c r="C65" s="1400"/>
      <c r="D65" s="1400"/>
      <c r="E65" s="1400"/>
      <c r="F65" s="1400"/>
      <c r="G65" s="1400"/>
    </row>
    <row r="66" spans="1:7" ht="14" customHeight="1" x14ac:dyDescent="0.25">
      <c r="A66" s="1044" t="s">
        <v>1777</v>
      </c>
      <c r="B66" s="995"/>
      <c r="C66" s="995"/>
      <c r="D66" s="995"/>
      <c r="E66" s="995"/>
      <c r="F66" s="1040"/>
      <c r="G66" s="1040"/>
    </row>
    <row r="67" spans="1:7" ht="15" customHeight="1" x14ac:dyDescent="0.25">
      <c r="A67" s="1401" t="s">
        <v>1778</v>
      </c>
      <c r="B67" s="1393"/>
      <c r="C67" s="1393"/>
      <c r="D67" s="1393"/>
      <c r="E67" s="1393"/>
      <c r="F67" s="1393"/>
      <c r="G67" s="1393"/>
    </row>
    <row r="68" spans="1:7" ht="15" customHeight="1" x14ac:dyDescent="0.25">
      <c r="A68" s="1389" t="s">
        <v>1779</v>
      </c>
      <c r="B68" s="1390"/>
      <c r="C68" s="1390"/>
      <c r="D68" s="1390"/>
      <c r="E68" s="1390"/>
      <c r="F68" s="1390"/>
      <c r="G68" s="1390"/>
    </row>
    <row r="69" spans="1:7" ht="6" customHeight="1" x14ac:dyDescent="0.25">
      <c r="A69" s="1045"/>
      <c r="B69" s="1046"/>
      <c r="C69" s="1046"/>
      <c r="D69" s="1046"/>
      <c r="E69" s="1046"/>
      <c r="F69" s="1046"/>
      <c r="G69" s="1046"/>
    </row>
    <row r="70" spans="1:7" ht="15" customHeight="1" x14ac:dyDescent="0.25">
      <c r="A70" s="1391" t="s">
        <v>1780</v>
      </c>
      <c r="B70" s="1392"/>
      <c r="C70" s="1392"/>
      <c r="D70" s="1392"/>
      <c r="E70" s="1392"/>
      <c r="F70" s="1046"/>
      <c r="G70" s="1046"/>
    </row>
    <row r="71" spans="1:7" s="1052" customFormat="1" ht="29" customHeight="1" x14ac:dyDescent="0.3">
      <c r="A71" s="1047" t="s">
        <v>1781</v>
      </c>
      <c r="B71" s="1048" t="s">
        <v>1214</v>
      </c>
      <c r="C71" s="1048" t="s">
        <v>169</v>
      </c>
      <c r="D71" s="1048" t="s">
        <v>1782</v>
      </c>
      <c r="E71" s="1049" t="s">
        <v>1783</v>
      </c>
      <c r="F71" s="1050"/>
      <c r="G71" s="1051" t="s">
        <v>1735</v>
      </c>
    </row>
    <row r="72" spans="1:7" ht="12.75" customHeight="1" x14ac:dyDescent="0.3">
      <c r="A72" s="1053" t="s">
        <v>1429</v>
      </c>
      <c r="B72" s="982">
        <f>Syb!D106</f>
        <v>1.4458823529411715</v>
      </c>
      <c r="C72" s="982">
        <f>Syb!D119</f>
        <v>1.6384000000000001</v>
      </c>
      <c r="D72" s="982">
        <f>(SUM(Syf!J38:J40)/300)</f>
        <v>0.34246053842468088</v>
      </c>
      <c r="E72" s="982">
        <f t="shared" ref="E72:E80" si="0">SUM(B72:D72)</f>
        <v>3.4267428913658522</v>
      </c>
      <c r="F72" s="1054"/>
      <c r="G72" s="985"/>
    </row>
    <row r="73" spans="1:7" ht="12.75" customHeight="1" x14ac:dyDescent="0.3">
      <c r="A73" s="1053" t="s">
        <v>1785</v>
      </c>
      <c r="B73" s="982">
        <f>Syb!D107</f>
        <v>1.0057283142389524</v>
      </c>
      <c r="C73" s="982">
        <f>Syb!D120</f>
        <v>1.8944000000000001</v>
      </c>
      <c r="D73" s="982">
        <f>SUM(Syf!J41:J43)/300</f>
        <v>0.99553515516967117</v>
      </c>
      <c r="E73" s="982">
        <f t="shared" si="0"/>
        <v>3.8956634694086238</v>
      </c>
      <c r="F73" s="1054"/>
      <c r="G73" s="985"/>
    </row>
    <row r="74" spans="1:7" ht="12.75" customHeight="1" x14ac:dyDescent="0.3">
      <c r="A74" s="1053" t="s">
        <v>1786</v>
      </c>
      <c r="B74" s="982">
        <f>Syb!D108</f>
        <v>0.94684129429892172</v>
      </c>
      <c r="C74" s="982">
        <f>Syb!D121</f>
        <v>0.87040000000000006</v>
      </c>
      <c r="D74" s="982">
        <f>SUM(Syf!J44:J46)/300</f>
        <v>0.62485717186181478</v>
      </c>
      <c r="E74" s="982">
        <f t="shared" si="0"/>
        <v>2.4420984661607363</v>
      </c>
      <c r="F74" s="1054"/>
      <c r="G74" s="985"/>
    </row>
    <row r="75" spans="1:7" ht="12.75" customHeight="1" x14ac:dyDescent="0.3">
      <c r="A75" s="1053" t="s">
        <v>1787</v>
      </c>
      <c r="B75" s="982">
        <f>Syb!D109</f>
        <v>0.94684129429892172</v>
      </c>
      <c r="C75" s="982">
        <f>Syb!D122</f>
        <v>1.5615999999999999</v>
      </c>
      <c r="D75" s="982">
        <f>SUM(Syf!J55:J57)/300</f>
        <v>0.78897753370201651</v>
      </c>
      <c r="E75" s="982">
        <f t="shared" si="0"/>
        <v>3.297418828000938</v>
      </c>
      <c r="F75" s="1054"/>
      <c r="G75" s="985"/>
    </row>
    <row r="76" spans="1:7" ht="12.75" customHeight="1" x14ac:dyDescent="0.3">
      <c r="A76" s="1053" t="s">
        <v>2168</v>
      </c>
      <c r="B76" s="982">
        <f>Syb!D110</f>
        <v>0.94684129429892172</v>
      </c>
      <c r="C76" s="982">
        <f>Syb!D123</f>
        <v>0.87040000000000006</v>
      </c>
      <c r="D76" s="982">
        <f>SUM(Syf!J50:J52)/300</f>
        <v>7.4061535126444811E-2</v>
      </c>
      <c r="E76" s="982">
        <f t="shared" si="0"/>
        <v>1.8913028294253666</v>
      </c>
      <c r="F76" s="1054"/>
      <c r="G76" s="985"/>
    </row>
    <row r="77" spans="1:7" ht="12.75" customHeight="1" x14ac:dyDescent="0.3">
      <c r="A77" s="1053" t="s">
        <v>1802</v>
      </c>
      <c r="B77" s="982">
        <f>Syb!D111</f>
        <v>1.5909385113268599</v>
      </c>
      <c r="C77" s="982">
        <f>Syb!D124</f>
        <v>2.3552</v>
      </c>
      <c r="D77" s="982">
        <f>SUM(Syf!J47:J49)/100</f>
        <v>8.1884999999999994</v>
      </c>
      <c r="E77" s="982">
        <f t="shared" si="0"/>
        <v>12.134638511326859</v>
      </c>
      <c r="F77" s="1054"/>
      <c r="G77" s="985"/>
    </row>
    <row r="78" spans="1:7" ht="12.75" customHeight="1" x14ac:dyDescent="0.3">
      <c r="A78" s="1053" t="s">
        <v>1788</v>
      </c>
      <c r="B78" s="982">
        <f>Syb!D112</f>
        <v>4.0966666666666622</v>
      </c>
      <c r="C78" s="982">
        <f>Syb!D125</f>
        <v>5.12</v>
      </c>
      <c r="D78" s="982">
        <f>(SUM(Syf!J66:J68)+SUM(Syf!J69:J71))/300</f>
        <v>8.2025156463984121</v>
      </c>
      <c r="E78" s="982">
        <f t="shared" si="0"/>
        <v>17.419182313065072</v>
      </c>
      <c r="F78" s="1054"/>
      <c r="G78" s="985"/>
    </row>
    <row r="79" spans="1:7" ht="12.75" customHeight="1" x14ac:dyDescent="0.3">
      <c r="A79" s="1055" t="s">
        <v>1819</v>
      </c>
      <c r="B79" s="1017">
        <f>Syb!D113</f>
        <v>0.70613351565061577</v>
      </c>
      <c r="C79" s="1017">
        <f>Syb!D126</f>
        <v>0.28272067911272286</v>
      </c>
      <c r="D79" s="1017">
        <f>SUM(Syf!J26:J28)/300</f>
        <v>1.5598154955033869</v>
      </c>
      <c r="E79" s="1017">
        <f t="shared" si="0"/>
        <v>2.5486696902667259</v>
      </c>
      <c r="F79" s="1054"/>
      <c r="G79" s="1056"/>
    </row>
    <row r="80" spans="1:7" ht="12.75" customHeight="1" x14ac:dyDescent="0.3">
      <c r="A80" s="1057" t="s">
        <v>1789</v>
      </c>
      <c r="B80" s="1017">
        <f>SUM(B72:B79)</f>
        <v>11.685873243721026</v>
      </c>
      <c r="C80" s="1017">
        <f>SUM(C72:C79)</f>
        <v>14.593120679112724</v>
      </c>
      <c r="D80" s="1017">
        <f>SUM(D72:D79)</f>
        <v>20.776723076186428</v>
      </c>
      <c r="E80" s="1058">
        <f t="shared" si="0"/>
        <v>47.055716999020177</v>
      </c>
      <c r="F80" s="1059"/>
      <c r="G80" s="1060"/>
    </row>
    <row r="81" spans="1:7" ht="18" customHeight="1" x14ac:dyDescent="0.3">
      <c r="A81" s="1061" t="s">
        <v>1790</v>
      </c>
      <c r="B81" s="1062"/>
      <c r="C81" s="1062"/>
      <c r="D81" s="1062"/>
      <c r="E81" s="1063"/>
      <c r="F81" s="1040"/>
      <c r="G81" s="1040"/>
    </row>
    <row r="82" spans="1:7" ht="37.75" hidden="1" customHeight="1" x14ac:dyDescent="0.25">
      <c r="A82" s="1393"/>
      <c r="B82" s="1393"/>
      <c r="C82" s="1393"/>
      <c r="D82" s="1393"/>
      <c r="E82" s="1393"/>
      <c r="F82" s="1393"/>
      <c r="G82" s="1393"/>
    </row>
    <row r="83" spans="1:7" ht="13.75" customHeight="1" x14ac:dyDescent="0.25">
      <c r="A83" s="1064" t="s">
        <v>1791</v>
      </c>
      <c r="B83" s="1065"/>
      <c r="C83" s="995"/>
      <c r="D83" s="995"/>
      <c r="E83" s="995"/>
      <c r="F83" s="1040"/>
      <c r="G83" s="1040"/>
    </row>
    <row r="84" spans="1:7" ht="16.75" customHeight="1" x14ac:dyDescent="0.25">
      <c r="A84" s="1071" t="s">
        <v>1796</v>
      </c>
      <c r="B84" s="995"/>
      <c r="C84" s="995"/>
      <c r="D84" s="995"/>
      <c r="E84" s="995"/>
      <c r="F84" s="1040"/>
      <c r="G84" s="1040"/>
    </row>
    <row r="85" spans="1:7" ht="24" customHeight="1" x14ac:dyDescent="0.25"/>
    <row r="86" spans="1:7" ht="16.75" customHeight="1" x14ac:dyDescent="0.25">
      <c r="F86"/>
      <c r="G86"/>
    </row>
    <row r="87" spans="1:7" ht="13.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6.75" customHeight="1" x14ac:dyDescent="0.25">
      <c r="F97"/>
      <c r="G97"/>
    </row>
    <row r="98" spans="6:7" ht="13.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row r="107" spans="6:7" ht="13.75" customHeight="1" x14ac:dyDescent="0.25"/>
  </sheetData>
  <sheetProtection algorithmName="SHA-512" hashValue="9cBZMIjkZaH6H2huDtUnbKyaVZJ07SY0mH9IkPzydFsw+GSsQlUfT+tCgfZMTwWGQaZGphF9SjmGNqWbYtyLeg==" saltValue="t3/dahsvqwiCB9HBy73xYA==" spinCount="100000" sheet="1" objects="1" scenarios="1"/>
  <mergeCells count="15">
    <mergeCell ref="A68:G68"/>
    <mergeCell ref="A70:E70"/>
    <mergeCell ref="A82:G82"/>
    <mergeCell ref="A60:G60"/>
    <mergeCell ref="A61:G61"/>
    <mergeCell ref="A63:G63"/>
    <mergeCell ref="A64:G64"/>
    <mergeCell ref="A65:G65"/>
    <mergeCell ref="A67:G67"/>
    <mergeCell ref="B38:C38"/>
    <mergeCell ref="A1:G1"/>
    <mergeCell ref="A2:G2"/>
    <mergeCell ref="A3:G3"/>
    <mergeCell ref="B17:C17"/>
    <mergeCell ref="B25:C25"/>
  </mergeCells>
  <pageMargins left="0.7" right="0.7" top="0.75" bottom="0.75" header="0.3" footer="0.3"/>
  <pageSetup scale="85" orientation="portrait" r:id="rId1"/>
  <rowBreaks count="1" manualBreakCount="1">
    <brk id="56"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7"/>
  <sheetViews>
    <sheetView zoomScale="80" zoomScaleNormal="80" workbookViewId="0">
      <selection activeCell="C6" sqref="C6"/>
    </sheetView>
  </sheetViews>
  <sheetFormatPr defaultRowHeight="18" customHeight="1" x14ac:dyDescent="0.25"/>
  <cols>
    <col min="1" max="1" width="3.81640625" customWidth="1"/>
    <col min="2" max="2" width="16" customWidth="1"/>
    <col min="3" max="3" width="26.81640625" customWidth="1"/>
    <col min="4" max="4" width="16" customWidth="1"/>
    <col min="5" max="5" width="16.453125" customWidth="1"/>
    <col min="6" max="6" width="19.1796875" customWidth="1"/>
    <col min="7" max="7" width="17" customWidth="1"/>
    <col min="8" max="8" width="17.81640625" customWidth="1"/>
    <col min="9" max="10" width="19.6328125" customWidth="1"/>
    <col min="11" max="11" width="13.54296875" customWidth="1"/>
    <col min="12" max="12" width="6.90625" customWidth="1"/>
    <col min="13" max="13" width="17" customWidth="1"/>
    <col min="14" max="14" width="16" customWidth="1"/>
    <col min="15" max="16" width="14.6328125" customWidth="1"/>
    <col min="17" max="19" width="8.6328125" customWidth="1"/>
  </cols>
  <sheetData>
    <row r="1" spans="1:19" ht="18" customHeight="1" thickBot="1" x14ac:dyDescent="0.5">
      <c r="A1" s="1086"/>
      <c r="B1" s="1100"/>
      <c r="C1" s="1100"/>
      <c r="D1" s="1100"/>
      <c r="E1" s="1100"/>
      <c r="F1" s="1100"/>
      <c r="G1" s="1100"/>
      <c r="H1" s="1100"/>
      <c r="I1" s="1100"/>
      <c r="J1" s="1100"/>
      <c r="K1" s="1100"/>
      <c r="L1" s="1106"/>
      <c r="M1" s="1102"/>
      <c r="N1" s="1333"/>
      <c r="O1" s="1333"/>
      <c r="P1" s="1333"/>
      <c r="Q1" s="1333"/>
      <c r="R1" s="1333"/>
      <c r="S1" s="1334"/>
    </row>
    <row r="2" spans="1:19" ht="18" customHeight="1" thickBot="1" x14ac:dyDescent="0.45">
      <c r="A2" s="1341"/>
      <c r="B2" s="1086" t="s">
        <v>2239</v>
      </c>
      <c r="C2" s="1341"/>
      <c r="D2" s="1336"/>
      <c r="E2" s="1336"/>
      <c r="F2" s="1336"/>
      <c r="G2" s="1336"/>
      <c r="H2" s="1336"/>
      <c r="I2" s="1336"/>
      <c r="J2" s="1336"/>
      <c r="K2" s="1336"/>
      <c r="L2" s="1336"/>
      <c r="M2" s="1079"/>
      <c r="N2" s="1336"/>
      <c r="O2" s="1336"/>
      <c r="P2" s="1336"/>
      <c r="Q2" s="1336"/>
      <c r="R2" s="1336"/>
      <c r="S2" s="1337"/>
    </row>
    <row r="3" spans="1:19" ht="18" customHeight="1" x14ac:dyDescent="0.45">
      <c r="A3" s="1341"/>
      <c r="B3" s="1101"/>
      <c r="C3" s="1341"/>
      <c r="D3" s="1336"/>
      <c r="E3" s="1336"/>
      <c r="F3" s="1336"/>
      <c r="G3" s="1336"/>
      <c r="H3" s="1336"/>
      <c r="I3" s="1336"/>
      <c r="J3" s="1336"/>
      <c r="K3" s="1336"/>
      <c r="L3" s="1336"/>
      <c r="M3" s="1336"/>
      <c r="N3" s="1336"/>
      <c r="O3" s="1336"/>
      <c r="P3" s="1336"/>
      <c r="Q3" s="1336"/>
      <c r="R3" s="1336"/>
      <c r="S3" s="1337"/>
    </row>
    <row r="4" spans="1:19" ht="18" customHeight="1" thickBot="1" x14ac:dyDescent="0.45">
      <c r="A4" s="1341"/>
      <c r="B4" s="1091" t="s">
        <v>2242</v>
      </c>
      <c r="C4" s="1341"/>
      <c r="D4" s="1336"/>
      <c r="E4" s="1336"/>
      <c r="F4" s="1336"/>
      <c r="G4" s="1336"/>
      <c r="H4" s="1336"/>
      <c r="I4" s="1336"/>
      <c r="J4" s="1336"/>
      <c r="K4" s="1336"/>
      <c r="L4" s="1336"/>
      <c r="M4" s="1336"/>
      <c r="N4" s="1336"/>
      <c r="O4" s="1336"/>
      <c r="P4" s="1336"/>
      <c r="Q4" s="1336"/>
      <c r="R4" s="1336"/>
      <c r="S4" s="1337"/>
    </row>
    <row r="5" spans="1:19" ht="18" customHeight="1" thickBot="1" x14ac:dyDescent="0.5">
      <c r="A5" s="1341"/>
      <c r="B5" s="1341"/>
      <c r="C5" s="1341"/>
      <c r="D5" s="1336"/>
      <c r="E5" s="1336"/>
      <c r="F5" s="1336"/>
      <c r="G5" s="1336"/>
      <c r="H5" s="1336"/>
      <c r="I5" s="1098" t="s">
        <v>2245</v>
      </c>
      <c r="J5" s="1098" t="s">
        <v>2245</v>
      </c>
      <c r="K5" s="1336"/>
      <c r="L5" s="1336"/>
      <c r="M5" s="1336"/>
      <c r="N5" s="1336"/>
      <c r="O5" s="1232" t="s">
        <v>2179</v>
      </c>
      <c r="P5" s="1232" t="s">
        <v>2179</v>
      </c>
      <c r="Q5" s="1082"/>
      <c r="R5" s="1082"/>
      <c r="S5" s="1337"/>
    </row>
    <row r="6" spans="1:19" ht="18" customHeight="1" thickBot="1" x14ac:dyDescent="0.5">
      <c r="A6" s="1341"/>
      <c r="B6" s="1101"/>
      <c r="C6" s="1242" t="s">
        <v>2249</v>
      </c>
      <c r="D6" s="1336"/>
      <c r="E6" s="1242" t="s">
        <v>1899</v>
      </c>
      <c r="F6" s="1336"/>
      <c r="G6" s="1242" t="s">
        <v>1899</v>
      </c>
      <c r="H6" s="1336"/>
      <c r="I6" s="1098" t="s">
        <v>2264</v>
      </c>
      <c r="J6" s="1098" t="s">
        <v>2264</v>
      </c>
      <c r="K6" s="1375" t="s">
        <v>76</v>
      </c>
      <c r="L6" s="1336"/>
      <c r="M6" s="1099"/>
      <c r="N6" s="1232" t="s">
        <v>2179</v>
      </c>
      <c r="O6" s="1232" t="s">
        <v>2182</v>
      </c>
      <c r="P6" s="1232" t="s">
        <v>2182</v>
      </c>
      <c r="Q6" s="1082"/>
      <c r="R6" s="1082"/>
      <c r="S6" s="1337"/>
    </row>
    <row r="7" spans="1:19" ht="18" customHeight="1" thickBot="1" x14ac:dyDescent="0.5">
      <c r="A7" s="1341"/>
      <c r="B7" s="1101"/>
      <c r="C7" s="1242" t="s">
        <v>2243</v>
      </c>
      <c r="D7" s="1242" t="s">
        <v>2008</v>
      </c>
      <c r="E7" s="1242" t="s">
        <v>2008</v>
      </c>
      <c r="F7" s="1242" t="s">
        <v>2008</v>
      </c>
      <c r="G7" s="1242" t="s">
        <v>2008</v>
      </c>
      <c r="H7" s="1336"/>
      <c r="I7" s="1098" t="s">
        <v>2265</v>
      </c>
      <c r="J7" s="1098" t="s">
        <v>2265</v>
      </c>
      <c r="K7" s="1375" t="s">
        <v>2268</v>
      </c>
      <c r="L7" s="1336"/>
      <c r="M7" s="1242" t="s">
        <v>2097</v>
      </c>
      <c r="N7" s="1232" t="s">
        <v>2182</v>
      </c>
      <c r="O7" s="1233" t="s">
        <v>2248</v>
      </c>
      <c r="P7" s="1233" t="s">
        <v>2246</v>
      </c>
      <c r="Q7" s="1082"/>
      <c r="R7" s="1082"/>
      <c r="S7" s="1337"/>
    </row>
    <row r="8" spans="1:19" ht="18" customHeight="1" x14ac:dyDescent="0.45">
      <c r="A8" s="1341"/>
      <c r="B8" s="1081" t="s">
        <v>1838</v>
      </c>
      <c r="C8" s="1213" t="s">
        <v>761</v>
      </c>
      <c r="D8" s="1213" t="s">
        <v>2009</v>
      </c>
      <c r="E8" s="1213" t="s">
        <v>2009</v>
      </c>
      <c r="F8" s="1213" t="s">
        <v>2010</v>
      </c>
      <c r="G8" s="1213" t="s">
        <v>2010</v>
      </c>
      <c r="H8" s="1336"/>
      <c r="I8" s="1098" t="s">
        <v>2266</v>
      </c>
      <c r="J8" s="1098" t="s">
        <v>2267</v>
      </c>
      <c r="K8" s="1375" t="s">
        <v>155</v>
      </c>
      <c r="L8" s="1336"/>
      <c r="M8" s="1098" t="s">
        <v>2096</v>
      </c>
      <c r="N8" s="1233" t="s">
        <v>291</v>
      </c>
      <c r="O8" s="1233" t="s">
        <v>2247</v>
      </c>
      <c r="P8" s="1233" t="s">
        <v>2247</v>
      </c>
      <c r="Q8" s="1082"/>
      <c r="R8" s="1082"/>
      <c r="S8" s="1337"/>
    </row>
    <row r="9" spans="1:19" ht="18" customHeight="1" x14ac:dyDescent="0.45">
      <c r="A9" s="1341"/>
      <c r="B9" s="1160" t="s">
        <v>105</v>
      </c>
      <c r="C9" s="1172" t="s">
        <v>1574</v>
      </c>
      <c r="D9" s="1174">
        <v>40</v>
      </c>
      <c r="E9" s="1175">
        <f>Data!E177</f>
        <v>40</v>
      </c>
      <c r="F9" s="1167">
        <v>5.0833333333333304</v>
      </c>
      <c r="G9" s="1362">
        <f>Data!H177</f>
        <v>5.083333333333333</v>
      </c>
      <c r="H9" s="1336"/>
      <c r="I9" s="1184">
        <v>0</v>
      </c>
      <c r="J9" s="1184">
        <v>0</v>
      </c>
      <c r="K9" s="1363">
        <f>SUM(I9:J9)</f>
        <v>0</v>
      </c>
      <c r="L9" s="1336"/>
      <c r="M9" s="1244">
        <v>0.66200000000000003</v>
      </c>
      <c r="N9" s="1314">
        <f>(FARM!D15*FARM!L15*M9)/2000</f>
        <v>0.667296</v>
      </c>
      <c r="O9" s="1315">
        <f>(N9*2000)/Straw!$C$25</f>
        <v>1.334592</v>
      </c>
      <c r="P9" s="1316">
        <f>(N9*2000)/Straw!$D$25</f>
        <v>33.364800000000002</v>
      </c>
      <c r="Q9" s="1366">
        <f>IF(C9="Round bale",1,0)</f>
        <v>0</v>
      </c>
      <c r="R9" s="1366">
        <f>IF(C9="Both round &amp; square",1,0)</f>
        <v>0</v>
      </c>
      <c r="S9" s="1367">
        <f t="shared" ref="S9:S15" si="0">IF(C9="Square bale",1,0)</f>
        <v>0</v>
      </c>
    </row>
    <row r="10" spans="1:19" ht="18" customHeight="1" x14ac:dyDescent="0.45">
      <c r="A10" s="1341"/>
      <c r="B10" s="1161" t="s">
        <v>426</v>
      </c>
      <c r="C10" s="1172" t="s">
        <v>1574</v>
      </c>
      <c r="D10" s="1174">
        <v>40</v>
      </c>
      <c r="E10" s="1175">
        <f>Data!E185</f>
        <v>40</v>
      </c>
      <c r="F10" s="1167">
        <v>5.0833333333333304</v>
      </c>
      <c r="G10" s="1362">
        <f>Data!H185</f>
        <v>5.083333333333333</v>
      </c>
      <c r="H10" s="1336"/>
      <c r="I10" s="1184">
        <v>0</v>
      </c>
      <c r="J10" s="1184">
        <v>0</v>
      </c>
      <c r="K10" s="1363">
        <f t="shared" ref="K10:K15" si="1">SUM(I10:J10)</f>
        <v>0</v>
      </c>
      <c r="L10" s="1336"/>
      <c r="M10" s="1244">
        <v>1.3160000000000001</v>
      </c>
      <c r="N10" s="1314">
        <f>(FARM!D16*FARM!L16*M10)/2000</f>
        <v>0</v>
      </c>
      <c r="O10" s="1315">
        <f>(N10*2000)/Straw!$C$25</f>
        <v>0</v>
      </c>
      <c r="P10" s="1316">
        <f>(N10*2000)/Straw!$D$25</f>
        <v>0</v>
      </c>
      <c r="Q10" s="1366">
        <f t="shared" ref="Q10:Q15" si="2">IF(C10="Round bale",1,0)</f>
        <v>0</v>
      </c>
      <c r="R10" s="1366">
        <f t="shared" ref="R10:R15" si="3">IF(C10="Both round &amp; square",1,0)</f>
        <v>0</v>
      </c>
      <c r="S10" s="1367">
        <f t="shared" si="0"/>
        <v>0</v>
      </c>
    </row>
    <row r="11" spans="1:19" ht="18" customHeight="1" x14ac:dyDescent="0.45">
      <c r="A11" s="1341"/>
      <c r="B11" s="1161" t="s">
        <v>522</v>
      </c>
      <c r="C11" s="1172" t="s">
        <v>1574</v>
      </c>
      <c r="D11" s="1174">
        <v>40</v>
      </c>
      <c r="E11" s="1175">
        <f>Data!E193</f>
        <v>40</v>
      </c>
      <c r="F11" s="1167">
        <v>5.0833333333333304</v>
      </c>
      <c r="G11" s="1362">
        <f>Data!H193</f>
        <v>5.083333333333333</v>
      </c>
      <c r="H11" s="1336"/>
      <c r="I11" s="1184">
        <v>0</v>
      </c>
      <c r="J11" s="1184">
        <v>0</v>
      </c>
      <c r="K11" s="1363">
        <f t="shared" si="1"/>
        <v>0</v>
      </c>
      <c r="L11" s="1336"/>
      <c r="M11" s="1244">
        <v>1.5</v>
      </c>
      <c r="N11" s="1314">
        <f>(FARM!D17*FARM!L17*M11)/2000</f>
        <v>0</v>
      </c>
      <c r="O11" s="1315">
        <f>(N11*2000)/Straw!$C$25</f>
        <v>0</v>
      </c>
      <c r="P11" s="1316">
        <f>(N11*2000)/Straw!$D$25</f>
        <v>0</v>
      </c>
      <c r="Q11" s="1366">
        <f t="shared" si="2"/>
        <v>0</v>
      </c>
      <c r="R11" s="1366">
        <f t="shared" si="3"/>
        <v>0</v>
      </c>
      <c r="S11" s="1367">
        <f t="shared" si="0"/>
        <v>0</v>
      </c>
    </row>
    <row r="12" spans="1:19" ht="18" customHeight="1" x14ac:dyDescent="0.45">
      <c r="A12" s="1341"/>
      <c r="B12" s="1161" t="s">
        <v>1934</v>
      </c>
      <c r="C12" s="1172" t="s">
        <v>1574</v>
      </c>
      <c r="D12" s="1174">
        <v>40</v>
      </c>
      <c r="E12" s="1175">
        <f>Data!E201</f>
        <v>40</v>
      </c>
      <c r="F12" s="1167">
        <v>5.0833333333333304</v>
      </c>
      <c r="G12" s="1362">
        <f>Data!H201</f>
        <v>5.083333333333333</v>
      </c>
      <c r="H12" s="1336"/>
      <c r="I12" s="1184">
        <v>0</v>
      </c>
      <c r="J12" s="1184">
        <v>0</v>
      </c>
      <c r="K12" s="1363">
        <f t="shared" si="1"/>
        <v>0</v>
      </c>
      <c r="L12" s="1336"/>
      <c r="M12" s="1244">
        <v>1.1120000000000001</v>
      </c>
      <c r="N12" s="1314">
        <f>(FARM!D18*FARM!L18*M12)/2000</f>
        <v>0</v>
      </c>
      <c r="O12" s="1315">
        <f>(N12*2000)/Straw!$C$25</f>
        <v>0</v>
      </c>
      <c r="P12" s="1316">
        <f>(N12*2000)/Straw!$D$25</f>
        <v>0</v>
      </c>
      <c r="Q12" s="1366">
        <f t="shared" si="2"/>
        <v>0</v>
      </c>
      <c r="R12" s="1366">
        <f t="shared" si="3"/>
        <v>0</v>
      </c>
      <c r="S12" s="1367">
        <f t="shared" si="0"/>
        <v>0</v>
      </c>
    </row>
    <row r="13" spans="1:19" ht="18" customHeight="1" x14ac:dyDescent="0.45">
      <c r="A13" s="1341"/>
      <c r="B13" s="1161" t="s">
        <v>1935</v>
      </c>
      <c r="C13" s="1172" t="s">
        <v>1574</v>
      </c>
      <c r="D13" s="1174">
        <v>40</v>
      </c>
      <c r="E13" s="1175">
        <f>Data!E209</f>
        <v>40</v>
      </c>
      <c r="F13" s="1167">
        <v>5.0833333333333304</v>
      </c>
      <c r="G13" s="1362">
        <f>Data!H209</f>
        <v>5.083333333333333</v>
      </c>
      <c r="H13" s="1336"/>
      <c r="I13" s="1184">
        <v>0</v>
      </c>
      <c r="J13" s="1184">
        <v>0</v>
      </c>
      <c r="K13" s="1363">
        <f t="shared" si="1"/>
        <v>0</v>
      </c>
      <c r="L13" s="1336"/>
      <c r="M13" s="1244">
        <v>1.1120000000000001</v>
      </c>
      <c r="N13" s="1314">
        <f>(FARM!D19*FARM!L19*M13)/2000</f>
        <v>0</v>
      </c>
      <c r="O13" s="1315">
        <f>(N13*2000)/Straw!$C$25</f>
        <v>0</v>
      </c>
      <c r="P13" s="1316">
        <f>(N13*2000)/Straw!$D$25</f>
        <v>0</v>
      </c>
      <c r="Q13" s="1366">
        <f t="shared" si="2"/>
        <v>0</v>
      </c>
      <c r="R13" s="1366">
        <f t="shared" si="3"/>
        <v>0</v>
      </c>
      <c r="S13" s="1367">
        <f t="shared" si="0"/>
        <v>0</v>
      </c>
    </row>
    <row r="14" spans="1:19" ht="18" customHeight="1" x14ac:dyDescent="0.45">
      <c r="A14" s="1341"/>
      <c r="B14" s="1161" t="s">
        <v>571</v>
      </c>
      <c r="C14" s="1172" t="s">
        <v>1574</v>
      </c>
      <c r="D14" s="1174">
        <v>40</v>
      </c>
      <c r="E14" s="1175">
        <f>Data!E217</f>
        <v>40</v>
      </c>
      <c r="F14" s="1167">
        <v>5.0833333333333304</v>
      </c>
      <c r="G14" s="1362">
        <f>Data!H217</f>
        <v>5.083333333333333</v>
      </c>
      <c r="H14" s="1336"/>
      <c r="I14" s="1184">
        <v>0</v>
      </c>
      <c r="J14" s="1184">
        <v>0</v>
      </c>
      <c r="K14" s="1363">
        <f t="shared" si="1"/>
        <v>0</v>
      </c>
      <c r="L14" s="1336"/>
      <c r="M14" s="1244">
        <v>1.1120000000000001</v>
      </c>
      <c r="N14" s="1314">
        <f>(FARM!D20*FARM!L20*M14)/2000</f>
        <v>0</v>
      </c>
      <c r="O14" s="1315">
        <f>(N14*2000)/Straw!$C$25</f>
        <v>0</v>
      </c>
      <c r="P14" s="1316">
        <f>(N14*2000)/Straw!$D$25</f>
        <v>0</v>
      </c>
      <c r="Q14" s="1366">
        <f t="shared" si="2"/>
        <v>0</v>
      </c>
      <c r="R14" s="1366">
        <f t="shared" si="3"/>
        <v>0</v>
      </c>
      <c r="S14" s="1367">
        <f t="shared" si="0"/>
        <v>0</v>
      </c>
    </row>
    <row r="15" spans="1:19" ht="18" customHeight="1" x14ac:dyDescent="0.45">
      <c r="A15" s="1341"/>
      <c r="B15" s="1161" t="s">
        <v>572</v>
      </c>
      <c r="C15" s="1172" t="s">
        <v>1574</v>
      </c>
      <c r="D15" s="1174">
        <v>40</v>
      </c>
      <c r="E15" s="1175">
        <f>Data!E225</f>
        <v>40</v>
      </c>
      <c r="F15" s="1167">
        <v>5.0833333333333304</v>
      </c>
      <c r="G15" s="1362">
        <f>Data!H225</f>
        <v>5.083333333333333</v>
      </c>
      <c r="H15" s="1336"/>
      <c r="I15" s="1184">
        <v>0</v>
      </c>
      <c r="J15" s="1184">
        <v>0</v>
      </c>
      <c r="K15" s="1363">
        <f t="shared" si="1"/>
        <v>0</v>
      </c>
      <c r="L15" s="1336"/>
      <c r="M15" s="1244">
        <v>1.1120000000000001</v>
      </c>
      <c r="N15" s="1314">
        <f>(FARM!D21*FARM!L21*M15)/2000</f>
        <v>1.4011200000000001</v>
      </c>
      <c r="O15" s="1315">
        <f>(N15*2000)/Straw!$C$25</f>
        <v>2.8022400000000003</v>
      </c>
      <c r="P15" s="1316">
        <f>(N15*2000)/Straw!$D$25</f>
        <v>70.056000000000012</v>
      </c>
      <c r="Q15" s="1366">
        <f t="shared" si="2"/>
        <v>0</v>
      </c>
      <c r="R15" s="1366">
        <f t="shared" si="3"/>
        <v>0</v>
      </c>
      <c r="S15" s="1367">
        <f t="shared" si="0"/>
        <v>0</v>
      </c>
    </row>
    <row r="16" spans="1:19" ht="18" customHeight="1" x14ac:dyDescent="0.45">
      <c r="A16" s="1341"/>
      <c r="B16" s="1161" t="s">
        <v>2107</v>
      </c>
      <c r="C16" s="1243" t="s">
        <v>45</v>
      </c>
      <c r="D16" s="1243" t="s">
        <v>45</v>
      </c>
      <c r="E16" s="1243" t="s">
        <v>45</v>
      </c>
      <c r="F16" s="1243" t="s">
        <v>45</v>
      </c>
      <c r="G16" s="1243" t="s">
        <v>45</v>
      </c>
      <c r="H16" s="1336"/>
      <c r="I16" s="1243" t="s">
        <v>45</v>
      </c>
      <c r="J16" s="1243" t="s">
        <v>45</v>
      </c>
      <c r="K16" s="1336"/>
      <c r="L16" s="1336"/>
      <c r="M16" s="1243" t="s">
        <v>45</v>
      </c>
      <c r="N16" s="1243" t="s">
        <v>45</v>
      </c>
      <c r="O16" s="1243" t="s">
        <v>45</v>
      </c>
      <c r="P16" s="1243" t="s">
        <v>45</v>
      </c>
      <c r="Q16" s="1082"/>
      <c r="R16" s="1082"/>
      <c r="S16" s="1337"/>
    </row>
    <row r="17" spans="1:19" ht="18" customHeight="1" x14ac:dyDescent="0.45">
      <c r="A17" s="1341"/>
      <c r="B17" s="1161" t="s">
        <v>1142</v>
      </c>
      <c r="C17" s="1243" t="s">
        <v>45</v>
      </c>
      <c r="D17" s="1243" t="s">
        <v>45</v>
      </c>
      <c r="E17" s="1243" t="s">
        <v>45</v>
      </c>
      <c r="F17" s="1243" t="s">
        <v>45</v>
      </c>
      <c r="G17" s="1243" t="s">
        <v>45</v>
      </c>
      <c r="H17" s="1336"/>
      <c r="I17" s="1243" t="s">
        <v>45</v>
      </c>
      <c r="J17" s="1243" t="s">
        <v>45</v>
      </c>
      <c r="K17" s="1336"/>
      <c r="L17" s="1336"/>
      <c r="M17" s="1243" t="s">
        <v>45</v>
      </c>
      <c r="N17" s="1243" t="s">
        <v>45</v>
      </c>
      <c r="O17" s="1243" t="s">
        <v>45</v>
      </c>
      <c r="P17" s="1243" t="s">
        <v>45</v>
      </c>
      <c r="Q17" s="1082"/>
      <c r="R17" s="1082"/>
      <c r="S17" s="1337"/>
    </row>
    <row r="18" spans="1:19" ht="18" customHeight="1" x14ac:dyDescent="0.45">
      <c r="A18" s="1341"/>
      <c r="B18" s="1161" t="s">
        <v>201</v>
      </c>
      <c r="C18" s="1243" t="s">
        <v>45</v>
      </c>
      <c r="D18" s="1243" t="s">
        <v>45</v>
      </c>
      <c r="E18" s="1243" t="s">
        <v>45</v>
      </c>
      <c r="F18" s="1243" t="s">
        <v>45</v>
      </c>
      <c r="G18" s="1243" t="s">
        <v>45</v>
      </c>
      <c r="H18" s="1336"/>
      <c r="I18" s="1243" t="s">
        <v>45</v>
      </c>
      <c r="J18" s="1243" t="s">
        <v>45</v>
      </c>
      <c r="K18" s="1336"/>
      <c r="L18" s="1336"/>
      <c r="M18" s="1243" t="s">
        <v>45</v>
      </c>
      <c r="N18" s="1243" t="s">
        <v>45</v>
      </c>
      <c r="O18" s="1243" t="s">
        <v>45</v>
      </c>
      <c r="P18" s="1243" t="s">
        <v>45</v>
      </c>
      <c r="Q18" s="1098"/>
      <c r="R18" s="1098"/>
      <c r="S18" s="1337"/>
    </row>
    <row r="19" spans="1:19" ht="18" customHeight="1" x14ac:dyDescent="0.45">
      <c r="A19" s="1341"/>
      <c r="B19" s="1101"/>
      <c r="C19" s="1341"/>
      <c r="D19" s="1336"/>
      <c r="E19" s="1336"/>
      <c r="F19" s="1336"/>
      <c r="G19" s="1336"/>
      <c r="H19" s="1336"/>
      <c r="I19" s="1336"/>
      <c r="J19" s="1336"/>
      <c r="K19" s="1336"/>
      <c r="L19" s="1336"/>
      <c r="M19" s="1336"/>
      <c r="N19" s="1336"/>
      <c r="O19" s="1336"/>
      <c r="P19" s="1336"/>
      <c r="Q19" s="1336"/>
      <c r="R19" s="1336"/>
      <c r="S19" s="1337"/>
    </row>
    <row r="20" spans="1:19" ht="18" customHeight="1" x14ac:dyDescent="0.45">
      <c r="A20" s="1341"/>
      <c r="B20" s="1101"/>
      <c r="C20" s="1341"/>
      <c r="D20" s="1336"/>
      <c r="E20" s="1336"/>
      <c r="F20" s="1336"/>
      <c r="G20" s="1336"/>
      <c r="H20" s="1336"/>
      <c r="I20" s="1336"/>
      <c r="J20" s="1336"/>
      <c r="K20" s="1336"/>
      <c r="L20" s="1336"/>
      <c r="M20" s="1336"/>
      <c r="N20" s="1336"/>
      <c r="O20" s="1336"/>
      <c r="P20" s="1336"/>
      <c r="Q20" s="1336"/>
      <c r="R20" s="1336"/>
      <c r="S20" s="1337"/>
    </row>
    <row r="21" spans="1:19" ht="18" customHeight="1" x14ac:dyDescent="0.4">
      <c r="A21" s="1341"/>
      <c r="B21" s="1091" t="s">
        <v>2244</v>
      </c>
      <c r="C21" s="1341"/>
      <c r="D21" s="1336"/>
      <c r="E21" s="1336"/>
      <c r="F21" s="1336"/>
      <c r="G21" s="1336"/>
      <c r="H21" s="1336"/>
      <c r="I21" s="1336"/>
      <c r="J21" s="1336"/>
      <c r="K21" s="1336"/>
      <c r="L21" s="1336"/>
      <c r="M21" s="1336"/>
      <c r="N21" s="1336"/>
      <c r="O21" s="1336"/>
      <c r="P21" s="1336"/>
      <c r="Q21" s="1336"/>
      <c r="R21" s="1336"/>
      <c r="S21" s="1337"/>
    </row>
    <row r="22" spans="1:19" ht="18" customHeight="1" thickBot="1" x14ac:dyDescent="0.4">
      <c r="A22" s="1341"/>
      <c r="B22" s="1336"/>
      <c r="C22" s="1336"/>
      <c r="D22" s="1336"/>
      <c r="E22" s="1336"/>
      <c r="F22" s="1336"/>
      <c r="G22" s="1336"/>
      <c r="H22" s="1336"/>
      <c r="I22" s="1336"/>
      <c r="J22" s="1336"/>
      <c r="K22" s="1336"/>
      <c r="L22" s="1336"/>
      <c r="M22" s="1336"/>
      <c r="N22" s="1336"/>
      <c r="O22" s="1336"/>
      <c r="P22" s="1336"/>
      <c r="Q22" s="1336"/>
      <c r="R22" s="1336"/>
      <c r="S22" s="1337"/>
    </row>
    <row r="23" spans="1:19" ht="18" customHeight="1" thickBot="1" x14ac:dyDescent="0.5">
      <c r="A23" s="1341"/>
      <c r="B23" s="1336"/>
      <c r="C23" s="1242" t="s">
        <v>760</v>
      </c>
      <c r="D23" s="1242" t="s">
        <v>761</v>
      </c>
      <c r="E23" s="1336"/>
      <c r="F23" s="1336"/>
      <c r="G23" s="1336"/>
      <c r="H23" s="1336"/>
      <c r="I23" s="1336"/>
      <c r="J23" s="1336"/>
      <c r="K23" s="1336"/>
      <c r="L23" s="1336"/>
      <c r="M23" s="1336"/>
      <c r="N23" s="1336"/>
      <c r="O23" s="1336"/>
      <c r="P23" s="1336"/>
      <c r="Q23" s="1336"/>
      <c r="R23" s="1336"/>
      <c r="S23" s="1337"/>
    </row>
    <row r="24" spans="1:19" ht="18" customHeight="1" x14ac:dyDescent="0.45">
      <c r="A24" s="1341"/>
      <c r="B24" s="1336"/>
      <c r="C24" s="1098" t="s">
        <v>2012</v>
      </c>
      <c r="D24" s="1098" t="s">
        <v>2012</v>
      </c>
      <c r="E24" s="1336"/>
      <c r="F24" s="1336"/>
      <c r="G24" s="1336"/>
      <c r="H24" s="1336"/>
      <c r="I24" s="1336"/>
      <c r="J24" s="1336"/>
      <c r="K24" s="1336"/>
      <c r="L24" s="1336"/>
      <c r="M24" s="1336"/>
      <c r="N24" s="1336"/>
      <c r="O24" s="1336"/>
      <c r="P24" s="1336"/>
      <c r="Q24" s="1336"/>
      <c r="R24" s="1336"/>
      <c r="S24" s="1337"/>
    </row>
    <row r="25" spans="1:19" ht="18" customHeight="1" x14ac:dyDescent="0.4">
      <c r="A25" s="1341"/>
      <c r="B25" s="1336"/>
      <c r="C25" s="1158">
        <v>1000</v>
      </c>
      <c r="D25" s="1158">
        <v>40</v>
      </c>
      <c r="E25" s="1336"/>
      <c r="F25" s="1336"/>
      <c r="G25" s="1336"/>
      <c r="H25" s="1336"/>
      <c r="I25" s="1336"/>
      <c r="J25" s="1336"/>
      <c r="K25" s="1336"/>
      <c r="L25" s="1336"/>
      <c r="M25" s="1336"/>
      <c r="N25" s="1336"/>
      <c r="O25" s="1336"/>
      <c r="P25" s="1336"/>
      <c r="Q25" s="1336"/>
      <c r="R25" s="1336"/>
      <c r="S25" s="1337"/>
    </row>
    <row r="26" spans="1:19" ht="18" customHeight="1" x14ac:dyDescent="0.25">
      <c r="A26" s="1335"/>
      <c r="B26" s="1336"/>
      <c r="C26" s="1336"/>
      <c r="D26" s="1336"/>
      <c r="E26" s="1336"/>
      <c r="F26" s="1336"/>
      <c r="G26" s="1336"/>
      <c r="H26" s="1336"/>
      <c r="I26" s="1336"/>
      <c r="J26" s="1336"/>
      <c r="K26" s="1336"/>
      <c r="L26" s="1336"/>
      <c r="M26" s="1336"/>
      <c r="N26" s="1336"/>
      <c r="O26" s="1336"/>
      <c r="P26" s="1336"/>
      <c r="Q26" s="1336"/>
      <c r="R26" s="1336"/>
      <c r="S26" s="1337"/>
    </row>
    <row r="27" spans="1:19" ht="18" customHeight="1" x14ac:dyDescent="0.25">
      <c r="A27" s="1335"/>
      <c r="B27" s="1336"/>
      <c r="C27" s="1336"/>
      <c r="D27" s="1336"/>
      <c r="E27" s="1336"/>
      <c r="F27" s="1336"/>
      <c r="G27" s="1336"/>
      <c r="H27" s="1336"/>
      <c r="I27" s="1336"/>
      <c r="J27" s="1336"/>
      <c r="K27" s="1336"/>
      <c r="L27" s="1336"/>
      <c r="M27" s="1336"/>
      <c r="N27" s="1336"/>
      <c r="O27" s="1336"/>
      <c r="P27" s="1336"/>
      <c r="Q27" s="1336"/>
      <c r="R27" s="1336"/>
      <c r="S27" s="1337"/>
    </row>
    <row r="28" spans="1:19" ht="18" customHeight="1" x14ac:dyDescent="0.4">
      <c r="A28" s="1335"/>
      <c r="B28" s="1091" t="s">
        <v>2272</v>
      </c>
      <c r="C28" s="1336"/>
      <c r="D28" s="1336"/>
      <c r="E28" s="1336"/>
      <c r="F28" s="1336"/>
      <c r="G28" s="1336"/>
      <c r="H28" s="1336"/>
      <c r="I28" s="1336"/>
      <c r="J28" s="1336"/>
      <c r="K28" s="1336"/>
      <c r="L28" s="1336"/>
      <c r="M28" s="1336"/>
      <c r="N28" s="1336"/>
      <c r="O28" s="1336"/>
      <c r="P28" s="1336"/>
      <c r="Q28" s="1336"/>
      <c r="R28" s="1336"/>
      <c r="S28" s="1337"/>
    </row>
    <row r="29" spans="1:19" ht="18" customHeight="1" x14ac:dyDescent="0.4">
      <c r="A29" s="1335"/>
      <c r="B29" s="1093"/>
      <c r="C29" s="1336"/>
      <c r="D29" s="1336"/>
      <c r="E29" s="1336"/>
      <c r="F29" s="1336"/>
      <c r="G29" s="1336"/>
      <c r="H29" s="1336"/>
      <c r="I29" s="1336"/>
      <c r="J29" s="1336"/>
      <c r="K29" s="1336"/>
      <c r="L29" s="1336"/>
      <c r="M29" s="1336"/>
      <c r="N29" s="1336"/>
      <c r="O29" s="1336"/>
      <c r="P29" s="1336"/>
      <c r="Q29" s="1336"/>
      <c r="R29" s="1336"/>
      <c r="S29" s="1337"/>
    </row>
    <row r="30" spans="1:19" ht="18" customHeight="1" x14ac:dyDescent="0.45">
      <c r="A30" s="1335"/>
      <c r="B30" s="1093"/>
      <c r="C30" s="1156" t="s">
        <v>2098</v>
      </c>
      <c r="D30" s="1143" t="s">
        <v>105</v>
      </c>
      <c r="E30" s="1143" t="s">
        <v>426</v>
      </c>
      <c r="F30" s="1143" t="s">
        <v>522</v>
      </c>
      <c r="G30" s="1143" t="s">
        <v>2105</v>
      </c>
      <c r="H30" s="1143" t="s">
        <v>2106</v>
      </c>
      <c r="I30" s="1143" t="s">
        <v>571</v>
      </c>
      <c r="J30" s="1143" t="s">
        <v>572</v>
      </c>
      <c r="K30" s="1143" t="s">
        <v>2107</v>
      </c>
      <c r="L30" s="1143" t="s">
        <v>1142</v>
      </c>
      <c r="M30" s="1143" t="s">
        <v>201</v>
      </c>
      <c r="N30" s="1336"/>
      <c r="O30" s="1336"/>
      <c r="P30" s="1336"/>
      <c r="Q30" s="1336"/>
      <c r="R30" s="1336"/>
      <c r="S30" s="1337"/>
    </row>
    <row r="31" spans="1:19" ht="18" customHeight="1" x14ac:dyDescent="0.45">
      <c r="A31" s="1335"/>
      <c r="B31" s="1336"/>
      <c r="C31" s="1170" t="s">
        <v>2099</v>
      </c>
      <c r="D31" s="1184">
        <v>0</v>
      </c>
      <c r="E31" s="1184">
        <v>0</v>
      </c>
      <c r="F31" s="1184">
        <v>0</v>
      </c>
      <c r="G31" s="1184">
        <v>0</v>
      </c>
      <c r="H31" s="1184">
        <v>0</v>
      </c>
      <c r="I31" s="1184">
        <v>0</v>
      </c>
      <c r="J31" s="1184">
        <v>0</v>
      </c>
      <c r="K31" s="1175" t="s">
        <v>45</v>
      </c>
      <c r="L31" s="1175" t="s">
        <v>45</v>
      </c>
      <c r="M31" s="1175" t="s">
        <v>45</v>
      </c>
      <c r="N31" s="1336"/>
      <c r="O31" s="1336"/>
      <c r="P31" s="1336"/>
      <c r="Q31" s="1336"/>
      <c r="R31" s="1336"/>
      <c r="S31" s="1337"/>
    </row>
    <row r="32" spans="1:19" ht="18" customHeight="1" x14ac:dyDescent="0.45">
      <c r="A32" s="1335"/>
      <c r="B32" s="1336"/>
      <c r="C32" s="1171" t="s">
        <v>2100</v>
      </c>
      <c r="D32" s="1184">
        <v>1</v>
      </c>
      <c r="E32" s="1184">
        <v>1</v>
      </c>
      <c r="F32" s="1184">
        <v>1</v>
      </c>
      <c r="G32" s="1184">
        <v>1</v>
      </c>
      <c r="H32" s="1184">
        <v>1</v>
      </c>
      <c r="I32" s="1184">
        <v>1</v>
      </c>
      <c r="J32" s="1184">
        <v>1</v>
      </c>
      <c r="K32" s="1175" t="s">
        <v>45</v>
      </c>
      <c r="L32" s="1175" t="s">
        <v>45</v>
      </c>
      <c r="M32" s="1175" t="s">
        <v>45</v>
      </c>
      <c r="N32" s="1336"/>
      <c r="O32" s="1336"/>
      <c r="P32" s="1336"/>
      <c r="Q32" s="1336"/>
      <c r="R32" s="1336"/>
      <c r="S32" s="1337"/>
    </row>
    <row r="33" spans="1:19" ht="18" customHeight="1" x14ac:dyDescent="0.45">
      <c r="A33" s="1335"/>
      <c r="B33" s="1336"/>
      <c r="C33" s="1171" t="s">
        <v>2101</v>
      </c>
      <c r="D33" s="1167">
        <v>5.42372881355932</v>
      </c>
      <c r="E33" s="1167">
        <v>5.42372881355932</v>
      </c>
      <c r="F33" s="1167">
        <v>5.42372881355932</v>
      </c>
      <c r="G33" s="1167">
        <v>5.42372881355932</v>
      </c>
      <c r="H33" s="1167">
        <v>5.42372881355932</v>
      </c>
      <c r="I33" s="1167">
        <v>5.42372881355932</v>
      </c>
      <c r="J33" s="1167">
        <v>5.42372881355932</v>
      </c>
      <c r="K33" s="1175" t="s">
        <v>45</v>
      </c>
      <c r="L33" s="1175" t="s">
        <v>45</v>
      </c>
      <c r="M33" s="1175" t="s">
        <v>45</v>
      </c>
      <c r="N33" s="1336"/>
      <c r="O33" s="1336"/>
      <c r="P33" s="1336"/>
      <c r="Q33" s="1336"/>
      <c r="R33" s="1336"/>
      <c r="S33" s="1337"/>
    </row>
    <row r="34" spans="1:19" ht="18" customHeight="1" x14ac:dyDescent="0.45">
      <c r="A34" s="1335"/>
      <c r="B34" s="1336"/>
      <c r="C34" s="1171" t="s">
        <v>2102</v>
      </c>
      <c r="D34" s="1167">
        <v>0.86</v>
      </c>
      <c r="E34" s="1167">
        <v>0.86</v>
      </c>
      <c r="F34" s="1167">
        <v>0.86</v>
      </c>
      <c r="G34" s="1167">
        <v>0.86</v>
      </c>
      <c r="H34" s="1167">
        <v>0.86</v>
      </c>
      <c r="I34" s="1167">
        <v>0.86</v>
      </c>
      <c r="J34" s="1167">
        <v>0.86</v>
      </c>
      <c r="K34" s="1175" t="s">
        <v>45</v>
      </c>
      <c r="L34" s="1175" t="s">
        <v>45</v>
      </c>
      <c r="M34" s="1175" t="s">
        <v>45</v>
      </c>
      <c r="N34" s="1336"/>
      <c r="O34" s="1336"/>
      <c r="P34" s="1336"/>
      <c r="Q34" s="1336"/>
      <c r="R34" s="1336"/>
      <c r="S34" s="1337"/>
    </row>
    <row r="35" spans="1:19" ht="18" customHeight="1" x14ac:dyDescent="0.45">
      <c r="A35" s="1335"/>
      <c r="B35" s="1336"/>
      <c r="C35" s="1171" t="s">
        <v>2103</v>
      </c>
      <c r="D35" s="1167">
        <v>7.0000000000000007E-2</v>
      </c>
      <c r="E35" s="1167">
        <v>7.0000000000000007E-2</v>
      </c>
      <c r="F35" s="1167">
        <v>7.0000000000000007E-2</v>
      </c>
      <c r="G35" s="1167">
        <v>7.0000000000000007E-2</v>
      </c>
      <c r="H35" s="1167">
        <v>7.0000000000000007E-2</v>
      </c>
      <c r="I35" s="1167">
        <v>7.0000000000000007E-2</v>
      </c>
      <c r="J35" s="1167">
        <v>7.0000000000000007E-2</v>
      </c>
      <c r="K35" s="1175" t="s">
        <v>45</v>
      </c>
      <c r="L35" s="1175" t="s">
        <v>45</v>
      </c>
      <c r="M35" s="1175" t="s">
        <v>45</v>
      </c>
      <c r="N35" s="1336"/>
      <c r="O35" s="1336"/>
      <c r="P35" s="1336"/>
      <c r="Q35" s="1336"/>
      <c r="R35" s="1336"/>
      <c r="S35" s="1337"/>
    </row>
    <row r="36" spans="1:19" ht="18" customHeight="1" x14ac:dyDescent="0.25">
      <c r="A36" s="1335"/>
      <c r="B36" s="1336"/>
      <c r="C36" s="1336"/>
      <c r="D36" s="1336"/>
      <c r="E36" s="1336"/>
      <c r="F36" s="1336"/>
      <c r="G36" s="1336"/>
      <c r="H36" s="1336"/>
      <c r="I36" s="1336"/>
      <c r="J36" s="1336"/>
      <c r="K36" s="1336"/>
      <c r="L36" s="1336"/>
      <c r="M36" s="1336"/>
      <c r="N36" s="1336"/>
      <c r="O36" s="1336"/>
      <c r="P36" s="1336"/>
      <c r="Q36" s="1336"/>
      <c r="R36" s="1336"/>
      <c r="S36" s="1337"/>
    </row>
    <row r="37" spans="1:19" ht="18" customHeight="1" thickBot="1" x14ac:dyDescent="0.3">
      <c r="A37" s="1338"/>
      <c r="B37" s="1339"/>
      <c r="C37" s="1339"/>
      <c r="D37" s="1339"/>
      <c r="E37" s="1339"/>
      <c r="F37" s="1339"/>
      <c r="G37" s="1339"/>
      <c r="H37" s="1339"/>
      <c r="I37" s="1339"/>
      <c r="J37" s="1339"/>
      <c r="K37" s="1339"/>
      <c r="L37" s="1339"/>
      <c r="M37" s="1339"/>
      <c r="N37" s="1339"/>
      <c r="O37" s="1339"/>
      <c r="P37" s="1339"/>
      <c r="Q37" s="1339"/>
      <c r="R37" s="1339"/>
      <c r="S37" s="1340"/>
    </row>
  </sheetData>
  <sheetProtection algorithmName="SHA-512" hashValue="DNteuNvod6eCtsv7IFKFqWNaRNnIDCHK7QQ+5c2ZlVAqAYEbys/5SC4YQBhDcnnpBmVhY9dghV8kYtnAuOYkxg==" saltValue="1oCr4J/HbvJbwlEUf9G0tw==" spinCount="100000" sheet="1" objects="1" scenarios="1"/>
  <dataValidations count="1">
    <dataValidation type="list" allowBlank="1" showInputMessage="1" showErrorMessage="1" sqref="C9:C15">
      <formula1>"Round bale, Square bale, Both round &amp; square, None"</formula1>
    </dataValidation>
  </dataValidations>
  <pageMargins left="0.7" right="0.7" top="0.75" bottom="0.75" header="0.3" footer="0.3"/>
  <pageSetup scale="33"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8"/>
  <sheetViews>
    <sheetView topLeftCell="A50" zoomScale="90" zoomScaleNormal="90" workbookViewId="0">
      <selection activeCell="B58" sqref="B58"/>
    </sheetView>
  </sheetViews>
  <sheetFormatPr defaultColWidth="8.90625" defaultRowHeight="20.5" x14ac:dyDescent="0.45"/>
  <cols>
    <col min="1" max="1" width="5.6328125" style="1108" customWidth="1"/>
    <col min="2" max="2" width="13.81640625" style="1108" customWidth="1"/>
    <col min="3" max="12" width="18.81640625" style="1108" customWidth="1"/>
    <col min="13" max="13" width="17.81640625" style="1108" customWidth="1"/>
    <col min="14" max="14" width="5.81640625" style="1108" customWidth="1"/>
    <col min="15" max="16" width="8.90625" style="1108"/>
    <col min="17" max="17" width="13.08984375" style="1108" customWidth="1"/>
    <col min="18" max="16384" width="8.90625" style="1108"/>
  </cols>
  <sheetData>
    <row r="1" spans="1:15" ht="18" customHeight="1" x14ac:dyDescent="0.45">
      <c r="A1" s="1109"/>
      <c r="B1" s="1101"/>
      <c r="C1" s="1101"/>
      <c r="D1" s="1101"/>
      <c r="E1" s="1101"/>
      <c r="F1" s="1101"/>
      <c r="G1" s="1101"/>
      <c r="H1" s="1101"/>
      <c r="I1" s="1101"/>
      <c r="J1" s="1101"/>
      <c r="K1" s="1151" t="s">
        <v>1839</v>
      </c>
      <c r="L1" s="1101"/>
      <c r="M1" s="1101"/>
      <c r="N1" s="1112"/>
    </row>
    <row r="2" spans="1:15" ht="18" customHeight="1" thickBot="1" x14ac:dyDescent="0.5">
      <c r="A2" s="1101"/>
      <c r="B2" s="1086" t="s">
        <v>2203</v>
      </c>
      <c r="C2" s="1101"/>
      <c r="D2" s="1101"/>
      <c r="E2" s="1101"/>
      <c r="F2" s="1101"/>
      <c r="G2" s="1101"/>
      <c r="H2" s="1101"/>
      <c r="I2" s="1101"/>
      <c r="J2" s="1101"/>
      <c r="K2" s="1093" t="str">
        <f>FARM!$K$2</f>
        <v>ME Grain &amp; Pulse</v>
      </c>
      <c r="L2" s="1101"/>
      <c r="M2" s="1101"/>
      <c r="N2" s="1112"/>
    </row>
    <row r="3" spans="1:15" ht="18" customHeight="1" thickBot="1" x14ac:dyDescent="0.5">
      <c r="A3" s="1088"/>
      <c r="B3" s="1101"/>
      <c r="C3" s="1101"/>
      <c r="D3" s="1089"/>
      <c r="E3" s="1090"/>
      <c r="F3" s="1090"/>
      <c r="G3" s="1090"/>
      <c r="H3" s="1101"/>
      <c r="I3" s="1101"/>
      <c r="J3" s="1101"/>
      <c r="K3" s="1101"/>
      <c r="L3" s="1079"/>
      <c r="M3" s="1101"/>
      <c r="N3" s="1112"/>
    </row>
    <row r="4" spans="1:15" ht="18" customHeight="1" x14ac:dyDescent="0.45">
      <c r="A4" s="1109"/>
      <c r="B4" s="1091" t="s">
        <v>2184</v>
      </c>
      <c r="C4" s="1101"/>
      <c r="D4" s="1101"/>
      <c r="E4" s="1101"/>
      <c r="F4" s="1101"/>
      <c r="G4" s="1101"/>
      <c r="H4" s="1101"/>
      <c r="I4" s="1101"/>
      <c r="J4" s="1101"/>
      <c r="K4" s="1101"/>
      <c r="L4" s="1079"/>
      <c r="M4" s="1101"/>
      <c r="N4" s="1112"/>
      <c r="O4" s="1097"/>
    </row>
    <row r="5" spans="1:15" ht="18" customHeight="1" thickBot="1" x14ac:dyDescent="0.5">
      <c r="A5" s="1109"/>
      <c r="B5" s="1101"/>
      <c r="C5" s="1101"/>
      <c r="D5" s="1101"/>
      <c r="E5" s="1101"/>
      <c r="F5" s="1101"/>
      <c r="G5" s="1101"/>
      <c r="H5" s="1101"/>
      <c r="I5" s="1101"/>
      <c r="J5" s="1101"/>
      <c r="K5" s="1101"/>
      <c r="L5" s="1101"/>
      <c r="M5" s="1101"/>
      <c r="N5" s="1112"/>
      <c r="O5" s="1097"/>
    </row>
    <row r="6" spans="1:15" ht="18" customHeight="1" x14ac:dyDescent="0.45">
      <c r="A6" s="1109"/>
      <c r="B6" s="1081"/>
      <c r="C6" s="1081" t="s">
        <v>1544</v>
      </c>
      <c r="D6" s="1153"/>
      <c r="E6" s="1153"/>
      <c r="F6" s="1154"/>
      <c r="G6" s="1090"/>
      <c r="H6" s="1101"/>
      <c r="I6" s="1154"/>
      <c r="J6" s="1154"/>
      <c r="K6" s="1153"/>
      <c r="L6" s="1155"/>
      <c r="M6" s="1153"/>
      <c r="N6" s="1112"/>
    </row>
    <row r="7" spans="1:15" ht="17.399999999999999" customHeight="1" x14ac:dyDescent="0.45">
      <c r="A7" s="1109"/>
      <c r="B7" s="1081" t="s">
        <v>1612</v>
      </c>
      <c r="C7" s="1098" t="s">
        <v>105</v>
      </c>
      <c r="D7" s="1098" t="s">
        <v>426</v>
      </c>
      <c r="E7" s="1098" t="s">
        <v>522</v>
      </c>
      <c r="F7" s="1143" t="s">
        <v>2105</v>
      </c>
      <c r="G7" s="1143" t="s">
        <v>2106</v>
      </c>
      <c r="H7" s="1098" t="s">
        <v>571</v>
      </c>
      <c r="I7" s="1098" t="s">
        <v>572</v>
      </c>
      <c r="J7" s="1143" t="s">
        <v>2107</v>
      </c>
      <c r="K7" s="1098" t="s">
        <v>1142</v>
      </c>
      <c r="L7" s="1098" t="s">
        <v>201</v>
      </c>
      <c r="M7" s="1101"/>
      <c r="N7" s="1112"/>
    </row>
    <row r="8" spans="1:15" ht="18" customHeight="1" x14ac:dyDescent="0.45">
      <c r="A8" s="1109"/>
      <c r="B8" s="1161" t="s">
        <v>1897</v>
      </c>
      <c r="C8" s="1180">
        <f>(FARM!$F$5*(1/0.239808153477218))+(FARM!$F$6*(1/0.239808153477218))+(FARM!$F$7*(1/0.179856115107914))</f>
        <v>4.1700000000000035</v>
      </c>
      <c r="D8" s="1180">
        <f>(FARM!$F$5*(1/0.239808153477218))+(FARM!$F$6*(1/0.239808153477218))+(FARM!$F$7*(1/0.179856115107914))</f>
        <v>4.1700000000000035</v>
      </c>
      <c r="E8" s="1180">
        <f>(FARM!$F$5*(1/0.239808153477218))+(FARM!$F$6*(1/0.239808153477218))+(FARM!$F$7*(1/0.179856115107914))</f>
        <v>4.1700000000000035</v>
      </c>
      <c r="F8" s="1180">
        <f>(FARM!$F$5*(1/0.239808153477218))+(FARM!$F$6*(1/0.239808153477218))+(FARM!$F$7*(1/0.179856115107914))</f>
        <v>4.1700000000000035</v>
      </c>
      <c r="G8" s="1180">
        <f>(FARM!$F$5*(1/0.239808153477218))+(FARM!$F$6*(1/0.239808153477218))+(FARM!$F$7*(1/0.179856115107914))</f>
        <v>4.1700000000000035</v>
      </c>
      <c r="H8" s="1180">
        <f>(FARM!$F$5*(1/0.239808153477218))+(FARM!$F$6*(1/0.239808153477218))+(FARM!$F$7*(1/0.179856115107914))</f>
        <v>4.1700000000000035</v>
      </c>
      <c r="I8" s="1180">
        <f>(FARM!$F$5*(1/0.239808153477218))+(FARM!$F$6*(1/0.239808153477218))+(FARM!$F$7*(1/0.179856115107914))</f>
        <v>4.1700000000000035</v>
      </c>
      <c r="J8" s="1180">
        <f>(FARM!$F$5*(1/0.239808153477218))+(FARM!$F$6*(1/0.239808153477218))+(FARM!$F$7*(1/0.179856115107914))</f>
        <v>4.1700000000000035</v>
      </c>
      <c r="K8" s="1180">
        <f>(FARM!$F$5*(1/0.239808153477218))+(FARM!$F$6*(1/0.239808153477218))+(FARM!$F$7*(1/0.179856115107914))</f>
        <v>4.1700000000000035</v>
      </c>
      <c r="L8" s="1180">
        <f>(FARM!$F$5*(1/0.239808153477218))+(FARM!$F$6*(1/0.239808153477218))+(FARM!$F$7*(1/0.179856115107914))</f>
        <v>4.1700000000000035</v>
      </c>
      <c r="M8" s="1101"/>
      <c r="N8" s="1112"/>
    </row>
    <row r="9" spans="1:15" ht="18" customHeight="1" x14ac:dyDescent="0.45">
      <c r="A9" s="1109"/>
      <c r="B9" s="1160" t="s">
        <v>1602</v>
      </c>
      <c r="C9" s="1172">
        <f>1/0.25</f>
        <v>4</v>
      </c>
      <c r="D9" s="1172">
        <f t="shared" ref="D9:L9" si="0">1/0.25</f>
        <v>4</v>
      </c>
      <c r="E9" s="1172">
        <f t="shared" si="0"/>
        <v>4</v>
      </c>
      <c r="F9" s="1172">
        <f t="shared" si="0"/>
        <v>4</v>
      </c>
      <c r="G9" s="1172">
        <f t="shared" si="0"/>
        <v>4</v>
      </c>
      <c r="H9" s="1172">
        <f t="shared" si="0"/>
        <v>4</v>
      </c>
      <c r="I9" s="1172">
        <f>1/0.25</f>
        <v>4</v>
      </c>
      <c r="J9" s="1172">
        <f t="shared" si="0"/>
        <v>4</v>
      </c>
      <c r="K9" s="1172">
        <f t="shared" si="0"/>
        <v>4</v>
      </c>
      <c r="L9" s="1172">
        <f t="shared" si="0"/>
        <v>4</v>
      </c>
      <c r="M9" s="1095"/>
      <c r="N9" s="1112"/>
    </row>
    <row r="10" spans="1:15" ht="18" customHeight="1" x14ac:dyDescent="0.45">
      <c r="A10" s="1109"/>
      <c r="B10" s="1161" t="s">
        <v>1429</v>
      </c>
      <c r="C10" s="1180">
        <f>(FARM!$F$5*(1/0.117647058823529))+(FARM!$F$6*(1/0.117647058823529))+(FARM!$F$7*(1/0.0767459708365311))</f>
        <v>8.5000000000000302</v>
      </c>
      <c r="D10" s="1180">
        <f>(FARM!$F$5*(1/0.117647058823529))+(FARM!$F$6*(1/0.117647058823529))+(FARM!$F$7*(1/0.0767459708365311))</f>
        <v>8.5000000000000302</v>
      </c>
      <c r="E10" s="1180">
        <f>(FARM!$F$5*(1/0.117647058823529))+(FARM!$F$6*(1/0.117647058823529))+(FARM!$F$7*(1/0.0767459708365311))</f>
        <v>8.5000000000000302</v>
      </c>
      <c r="F10" s="1180">
        <f>(FARM!$F$5*(1/0.117647058823529))+(FARM!$F$6*(1/0.117647058823529))+(FARM!$F$7*(1/0.0767459708365311))</f>
        <v>8.5000000000000302</v>
      </c>
      <c r="G10" s="1180">
        <f>(FARM!$F$5*(1/0.117647058823529))+(FARM!$F$6*(1/0.117647058823529))+(FARM!$F$7*(1/0.0767459708365311))</f>
        <v>8.5000000000000302</v>
      </c>
      <c r="H10" s="1180">
        <f>(FARM!$F$5*(1/0.117647058823529))+(FARM!$F$6*(1/0.117647058823529))+(FARM!$F$7*(1/0.0767459708365311))</f>
        <v>8.5000000000000302</v>
      </c>
      <c r="I10" s="1180">
        <f>(FARM!$F$5*(1/0.117647058823529))+(FARM!$F$6*(1/0.117647058823529))+(FARM!$F$7*(1/0.0767459708365311))</f>
        <v>8.5000000000000302</v>
      </c>
      <c r="J10" s="1180">
        <f>(FARM!$F$5*(1/0.117647058823529))+(FARM!$F$6*(1/0.117647058823529))+(FARM!$F$7*(1/0.0767459708365311))</f>
        <v>8.5000000000000302</v>
      </c>
      <c r="K10" s="1180">
        <f>(FARM!$F$5*(1/0.117647058823529))+(FARM!$F$6*(1/0.117647058823529))+(FARM!$F$7*(1/0.0767459708365311))</f>
        <v>8.5000000000000302</v>
      </c>
      <c r="L10" s="1180">
        <f>(FARM!$F$5*(1/0.117647058823529))+(FARM!$F$6*(1/0.117647058823529))+(FARM!$F$7*(1/0.0767459708365311))</f>
        <v>8.5000000000000302</v>
      </c>
      <c r="M10" s="1101"/>
      <c r="N10" s="1112"/>
    </row>
    <row r="11" spans="1:15" ht="18" customHeight="1" x14ac:dyDescent="0.45">
      <c r="A11" s="1109"/>
      <c r="B11" s="1161" t="s">
        <v>1608</v>
      </c>
      <c r="C11" s="1180">
        <f>(FARM!$F$5*(1/0.0818330605564648))+(FARM!$F$6*(1/0.0818330605564648))+(FARM!$F$7*(1/0.0573065902578797))</f>
        <v>12.22</v>
      </c>
      <c r="D11" s="1180">
        <f>(FARM!$F$5*(1/0.0818330605564648))+(FARM!$F$6*(1/0.0818330605564648))+(FARM!$F$7*(1/0.0573065902578797))</f>
        <v>12.22</v>
      </c>
      <c r="E11" s="1180">
        <f>(FARM!$F$5*(1/0.0818330605564648))+(FARM!$F$6*(1/0.0818330605564648))+(FARM!$F$7*(1/0.0573065902578797))</f>
        <v>12.22</v>
      </c>
      <c r="F11" s="1180">
        <f>(FARM!$F$5*(1/0.0818330605564648))+(FARM!$F$6*(1/0.0818330605564648))+(FARM!$F$7*(1/0.0573065902578797))</f>
        <v>12.22</v>
      </c>
      <c r="G11" s="1180">
        <f>(FARM!$F$5*(1/0.0818330605564648))+(FARM!$F$6*(1/0.0818330605564648))+(FARM!$F$7*(1/0.0573065902578797))</f>
        <v>12.22</v>
      </c>
      <c r="H11" s="1180">
        <f>(FARM!$F$5*(1/0.0818330605564648))+(FARM!$F$6*(1/0.0818330605564648))+(FARM!$F$7*(1/0.0573065902578797))</f>
        <v>12.22</v>
      </c>
      <c r="I11" s="1180">
        <f>(FARM!$F$5*(1/0.0818330605564648))+(FARM!$F$6*(1/0.0818330605564648))+(FARM!$F$7*(1/0.0573065902578797))</f>
        <v>12.22</v>
      </c>
      <c r="J11" s="1180">
        <f>(FARM!$F$5*(1/0.0818330605564648))+(FARM!$F$6*(1/0.0818330605564648))+(FARM!$F$7*(1/0.0573065902578797))</f>
        <v>12.22</v>
      </c>
      <c r="K11" s="1180">
        <f>(FARM!$F$5*(1/0.0818330605564648))+(FARM!$F$6*(1/0.0818330605564648))+(FARM!$F$7*(1/0.0573065902578797))</f>
        <v>12.22</v>
      </c>
      <c r="L11" s="1180">
        <f>(FARM!$F$5*(1/0.0818330605564648))+(FARM!$F$6*(1/0.0818330605564648))+(FARM!$F$7*(1/0.0573065902578797))</f>
        <v>12.22</v>
      </c>
      <c r="M11" s="1095"/>
      <c r="N11" s="1112"/>
    </row>
    <row r="12" spans="1:15" ht="18" customHeight="1" x14ac:dyDescent="0.45">
      <c r="A12" s="1109"/>
      <c r="B12" s="1161" t="s">
        <v>1609</v>
      </c>
      <c r="C12" s="1180">
        <f>1/0.0770416024653313</f>
        <v>12.979999999999997</v>
      </c>
      <c r="D12" s="1180">
        <f t="shared" ref="D12:L12" si="1">1/0.0770416024653313</f>
        <v>12.979999999999997</v>
      </c>
      <c r="E12" s="1180">
        <f t="shared" si="1"/>
        <v>12.979999999999997</v>
      </c>
      <c r="F12" s="1180">
        <f t="shared" si="1"/>
        <v>12.979999999999997</v>
      </c>
      <c r="G12" s="1180">
        <f t="shared" si="1"/>
        <v>12.979999999999997</v>
      </c>
      <c r="H12" s="1180">
        <f t="shared" si="1"/>
        <v>12.979999999999997</v>
      </c>
      <c r="I12" s="1180">
        <f t="shared" si="1"/>
        <v>12.979999999999997</v>
      </c>
      <c r="J12" s="1180">
        <f t="shared" si="1"/>
        <v>12.979999999999997</v>
      </c>
      <c r="K12" s="1180">
        <f t="shared" si="1"/>
        <v>12.979999999999997</v>
      </c>
      <c r="L12" s="1180">
        <f t="shared" si="1"/>
        <v>12.979999999999997</v>
      </c>
      <c r="M12" s="1101"/>
      <c r="N12" s="1112"/>
    </row>
    <row r="13" spans="1:15" ht="18" customHeight="1" x14ac:dyDescent="0.45">
      <c r="A13" s="1109"/>
      <c r="B13" s="1161" t="s">
        <v>1603</v>
      </c>
      <c r="C13" s="1180">
        <f>(FARM!$F$5*(1/0.147275405007364))+(FARM!$F$6*(1/0.0942507068803016))+(FARM!$F$7*(1/0.0785545954438335))</f>
        <v>10.610000000000001</v>
      </c>
      <c r="D13" s="1180">
        <f>(FARM!$F$5*(1/0.147275405007364))+(FARM!$F$6*(1/0.0942507068803016))+(FARM!$F$7*(1/0.0785545954438335))</f>
        <v>10.610000000000001</v>
      </c>
      <c r="E13" s="1180">
        <f>(FARM!$F$5*(1/0.147275405007364))+(FARM!$F$6*(1/0.0942507068803016))+(FARM!$F$7*(1/0.0785545954438335))</f>
        <v>10.610000000000001</v>
      </c>
      <c r="F13" s="1180">
        <f>(FARM!$F$5*(1/0.147275405007364))+(FARM!$F$6*(1/0.0942507068803016))+(FARM!$F$7*(1/0.0785545954438335))</f>
        <v>10.610000000000001</v>
      </c>
      <c r="G13" s="1180">
        <f>(FARM!$F$5*(1/0.147275405007364))+(FARM!$F$6*(1/0.0942507068803016))+(FARM!$F$7*(1/0.0785545954438335))</f>
        <v>10.610000000000001</v>
      </c>
      <c r="H13" s="1180">
        <f>(FARM!$F$5*(1/0.147275405007364))+(FARM!$F$6*(1/0.0942507068803016))+(FARM!$F$7*(1/0.0785545954438335))</f>
        <v>10.610000000000001</v>
      </c>
      <c r="I13" s="1180">
        <f>(FARM!$F$5*(1/0.147275405007364))+(FARM!$F$6*(1/0.0942507068803016))+(FARM!$F$7*(1/0.0785545954438335))</f>
        <v>10.610000000000001</v>
      </c>
      <c r="J13" s="1180">
        <f>(FARM!$F$5*(1/0.147275405007364))+(FARM!$F$6*(1/0.0942507068803016))+(FARM!$F$7*(1/0.0785545954438335))</f>
        <v>10.610000000000001</v>
      </c>
      <c r="K13" s="1180">
        <f>(FARM!$F$5*(1/0.147275405007364))+(FARM!$F$6*(1/0.0942507068803016))+(FARM!$F$7*(1/0.0785545954438335))</f>
        <v>10.610000000000001</v>
      </c>
      <c r="L13" s="1180">
        <f>(FARM!$F$5*(1/0.147275405007364))+(FARM!$F$6*(1/0.0942507068803016))+(FARM!$F$7*(1/0.0785545954438335))</f>
        <v>10.610000000000001</v>
      </c>
      <c r="M13" s="1101"/>
      <c r="N13" s="1112"/>
    </row>
    <row r="14" spans="1:15" ht="18" customHeight="1" x14ac:dyDescent="0.45">
      <c r="A14" s="1109"/>
      <c r="B14" s="1161" t="s">
        <v>2166</v>
      </c>
      <c r="C14" s="1180">
        <f>1/0.0770416024653313</f>
        <v>12.979999999999997</v>
      </c>
      <c r="D14" s="1180">
        <f t="shared" ref="D14:L14" si="2">1/0.0770416024653313</f>
        <v>12.979999999999997</v>
      </c>
      <c r="E14" s="1180">
        <f t="shared" si="2"/>
        <v>12.979999999999997</v>
      </c>
      <c r="F14" s="1180">
        <f t="shared" si="2"/>
        <v>12.979999999999997</v>
      </c>
      <c r="G14" s="1180">
        <f t="shared" si="2"/>
        <v>12.979999999999997</v>
      </c>
      <c r="H14" s="1180">
        <f t="shared" si="2"/>
        <v>12.979999999999997</v>
      </c>
      <c r="I14" s="1180">
        <f t="shared" si="2"/>
        <v>12.979999999999997</v>
      </c>
      <c r="J14" s="1180">
        <f t="shared" si="2"/>
        <v>12.979999999999997</v>
      </c>
      <c r="K14" s="1180">
        <f t="shared" si="2"/>
        <v>12.979999999999997</v>
      </c>
      <c r="L14" s="1180">
        <f t="shared" si="2"/>
        <v>12.979999999999997</v>
      </c>
      <c r="M14" s="1095"/>
      <c r="N14" s="1112"/>
    </row>
    <row r="15" spans="1:15" ht="18" customHeight="1" x14ac:dyDescent="0.45">
      <c r="A15" s="1109"/>
      <c r="B15" s="1161" t="s">
        <v>1607</v>
      </c>
      <c r="C15" s="1180">
        <f>(FARM!$F$5*(1/0.121359223300971))+(FARM!$F$6*(1/0.0647249190938511))+(FARM!$F$7*(1/0.0647249190938511))</f>
        <v>15.450000000000008</v>
      </c>
      <c r="D15" s="1180">
        <f>(FARM!$F$5*(1/0.121359223300971))+(FARM!$F$6*(1/0.0647249190938511))+(FARM!$F$7*(1/0.0647249190938511))</f>
        <v>15.450000000000008</v>
      </c>
      <c r="E15" s="1180">
        <f>(FARM!$F$5*(1/0.121359223300971))+(FARM!$F$6*(1/0.0647249190938511))+(FARM!$F$7*(1/0.0647249190938511))</f>
        <v>15.450000000000008</v>
      </c>
      <c r="F15" s="1180">
        <f>(FARM!$F$5*(1/0.121359223300971))+(FARM!$F$6*(1/0.0647249190938511))+(FARM!$F$7*(1/0.0647249190938511))</f>
        <v>15.450000000000008</v>
      </c>
      <c r="G15" s="1180">
        <f>(FARM!$F$5*(1/0.121359223300971))+(FARM!$F$6*(1/0.0647249190938511))+(FARM!$F$7*(1/0.0647249190938511))</f>
        <v>15.450000000000008</v>
      </c>
      <c r="H15" s="1180">
        <f>(FARM!$F$5*(1/0.121359223300971))+(FARM!$F$6*(1/0.0647249190938511))+(FARM!$F$7*(1/0.0647249190938511))</f>
        <v>15.450000000000008</v>
      </c>
      <c r="I15" s="1180">
        <f>(FARM!$F$5*(1/0.121359223300971))+(FARM!$F$6*(1/0.0647249190938511))+(FARM!$F$7*(1/0.0647249190938511))</f>
        <v>15.450000000000008</v>
      </c>
      <c r="J15" s="1180">
        <f>(FARM!$F$5*(1/0.121359223300971))+(FARM!$F$6*(1/0.0647249190938511))+(FARM!$F$7*(1/0.0647249190938511))</f>
        <v>15.450000000000008</v>
      </c>
      <c r="K15" s="1180">
        <f>(FARM!$F$5*(1/0.121359223300971))+(FARM!$F$6*(1/0.0647249190938511))+(FARM!$F$7*(1/0.0647249190938511))</f>
        <v>15.450000000000008</v>
      </c>
      <c r="L15" s="1180">
        <f>(FARM!$F$5*(1/0.121359223300971))+(FARM!$F$6*(1/0.0647249190938511))+(FARM!$F$7*(1/0.0647249190938511))</f>
        <v>15.450000000000008</v>
      </c>
      <c r="M15" s="1095"/>
      <c r="N15" s="1112"/>
    </row>
    <row r="16" spans="1:15" ht="18" customHeight="1" x14ac:dyDescent="0.45">
      <c r="A16" s="1109"/>
      <c r="B16" s="1161" t="s">
        <v>1604</v>
      </c>
      <c r="C16" s="1180">
        <f>1/0.0929292929292929</f>
        <v>10.760869565217394</v>
      </c>
      <c r="D16" s="1180">
        <f t="shared" ref="D16:L16" si="3">1/0.0929292929292929</f>
        <v>10.760869565217394</v>
      </c>
      <c r="E16" s="1180">
        <f t="shared" si="3"/>
        <v>10.760869565217394</v>
      </c>
      <c r="F16" s="1180">
        <f t="shared" si="3"/>
        <v>10.760869565217394</v>
      </c>
      <c r="G16" s="1180">
        <f t="shared" si="3"/>
        <v>10.760869565217394</v>
      </c>
      <c r="H16" s="1180">
        <f t="shared" si="3"/>
        <v>10.760869565217394</v>
      </c>
      <c r="I16" s="1180">
        <f t="shared" si="3"/>
        <v>10.760869565217394</v>
      </c>
      <c r="J16" s="1180">
        <f t="shared" si="3"/>
        <v>10.760869565217394</v>
      </c>
      <c r="K16" s="1180">
        <f t="shared" si="3"/>
        <v>10.760869565217394</v>
      </c>
      <c r="L16" s="1180">
        <f t="shared" si="3"/>
        <v>10.760869565217394</v>
      </c>
      <c r="M16" s="1095"/>
      <c r="N16" s="1112"/>
    </row>
    <row r="17" spans="1:15" ht="18" customHeight="1" x14ac:dyDescent="0.45">
      <c r="A17" s="1109"/>
      <c r="B17" s="1161" t="s">
        <v>926</v>
      </c>
      <c r="C17" s="1180">
        <f>(FARM!$F$5*(1/((0.04/0.0675)*0.2)))+(FARM!$F$6*46.09)+(FARM!$F$7*(44.12*(100/80)))</f>
        <v>46.09</v>
      </c>
      <c r="D17" s="1180">
        <f>(FARM!$F$5*(1/((0.04/0.0675)*0.2)))+(FARM!$F$6*46.09)+(FARM!$F$7*(44.12*(100/80)))</f>
        <v>46.09</v>
      </c>
      <c r="E17" s="1180">
        <f>(FARM!$F$5*(1/((0.04/0.0675)*0.2)))+(FARM!$F$6*46.09)+(FARM!$F$7*(44.12*(100/80)))</f>
        <v>46.09</v>
      </c>
      <c r="F17" s="1180">
        <f>(FARM!$F$5*(1/((0.04/0.0675)*0.2)))+(FARM!$F$6*46.09)+(FARM!$F$7*(44.12*(100/80)))</f>
        <v>46.09</v>
      </c>
      <c r="G17" s="1180">
        <f>(FARM!$F$5*(1/((0.04/0.0675)*0.2)))+(FARM!$F$6*46.09)+(FARM!$F$7*(44.12*(100/80)))</f>
        <v>46.09</v>
      </c>
      <c r="H17" s="1180">
        <f>(FARM!$F$5*(1/((0.04/0.0675)*0.2)))+(FARM!$F$6*46.09)+(FARM!$F$7*(44.12*(100/80)))</f>
        <v>46.09</v>
      </c>
      <c r="I17" s="1180">
        <f>(FARM!$F$5*(1/((0.04/0.0675)*0.2)))+(FARM!$F$6*46.09)+(FARM!$F$7*(44.12*(100/80)))</f>
        <v>46.09</v>
      </c>
      <c r="J17" s="1180">
        <f>(FARM!$F$5*(1/((0.04/0.0675)*0.2)))+(FARM!$F$6*46.09)+(FARM!$F$7*(44.12*(100/80)))</f>
        <v>46.09</v>
      </c>
      <c r="K17" s="1180">
        <f>(FARM!$F$5*(1/((0.04/0.0675)*0.2)))+(FARM!$F$6*46.09)+(FARM!$F$7*(44.12*(100/80)))</f>
        <v>46.09</v>
      </c>
      <c r="L17" s="1180">
        <f>(FARM!$F$5*(1/((0.04/0.0675)*0.2)))+(FARM!$F$6*46.09)+(FARM!$F$7*(44.12*(100/80)))</f>
        <v>46.09</v>
      </c>
      <c r="M17" s="1101"/>
      <c r="N17" s="1112"/>
    </row>
    <row r="18" spans="1:15" ht="18" customHeight="1" x14ac:dyDescent="0.45">
      <c r="A18" s="1109"/>
      <c r="B18" s="1161" t="s">
        <v>2113</v>
      </c>
      <c r="C18" s="1243" t="s">
        <v>45</v>
      </c>
      <c r="D18" s="1243" t="s">
        <v>45</v>
      </c>
      <c r="E18" s="1243" t="s">
        <v>45</v>
      </c>
      <c r="F18" s="1243" t="s">
        <v>45</v>
      </c>
      <c r="G18" s="1243" t="s">
        <v>45</v>
      </c>
      <c r="H18" s="1243" t="s">
        <v>45</v>
      </c>
      <c r="I18" s="1243" t="s">
        <v>45</v>
      </c>
      <c r="J18" s="1172">
        <f>1/0.2</f>
        <v>5</v>
      </c>
      <c r="K18" s="1243" t="s">
        <v>45</v>
      </c>
      <c r="L18" s="1243" t="s">
        <v>45</v>
      </c>
      <c r="M18" s="1101"/>
      <c r="N18" s="1112"/>
    </row>
    <row r="19" spans="1:15" ht="18" customHeight="1" x14ac:dyDescent="0.45">
      <c r="A19" s="1109"/>
      <c r="B19" s="1161" t="s">
        <v>836</v>
      </c>
      <c r="C19" s="1172">
        <f>(FARM!$F$5*(1/0.916666666666667))+(FARM!$F$6*(1/0.333333333333333))+(FARM!$F$7*(1/0.147275405007364))</f>
        <v>3.0000000000000031</v>
      </c>
      <c r="D19" s="1172">
        <f>(FARM!$F$5*(1/0.916666666666667))+(FARM!$F$6*(1/0.333333333333333))+(FARM!$F$7*(1/0.147275405007364))</f>
        <v>3.0000000000000031</v>
      </c>
      <c r="E19" s="1172">
        <f>(FARM!$F$5*(1/0.916666666666667))+(FARM!$F$6*(1/0.333333333333333))+(FARM!$F$7*(1/0.147275405007364))</f>
        <v>3.0000000000000031</v>
      </c>
      <c r="F19" s="1172">
        <f>(FARM!$F$5*(1/0.916666666666667))+(FARM!$F$6*(1/0.333333333333333))+(FARM!$F$7*(1/0.147275405007364))</f>
        <v>3.0000000000000031</v>
      </c>
      <c r="G19" s="1172">
        <f>(FARM!$F$5*(1/0.916666666666667))+(FARM!$F$6*(1/0.333333333333333))+(FARM!$F$7*(1/0.147275405007364))</f>
        <v>3.0000000000000031</v>
      </c>
      <c r="H19" s="1172">
        <f>(FARM!$F$5*(1/0.916666666666667))+(FARM!$F$6*(1/0.333333333333333))+(FARM!$F$7*(1/0.147275405007364))</f>
        <v>3.0000000000000031</v>
      </c>
      <c r="I19" s="1172">
        <f>(FARM!$F$5*(1/0.916666666666667))+(FARM!$F$6*(1/0.333333333333333))+(FARM!$F$7*(1/0.147275405007364))</f>
        <v>3.0000000000000031</v>
      </c>
      <c r="J19" s="1172">
        <v>3</v>
      </c>
      <c r="K19" s="1172">
        <f>(FARM!$F$5*(1/0.916666666666667))+(FARM!$F$6*(1/0.333333333333333))+(FARM!$F$7*(1/0.147275405007364))</f>
        <v>3.0000000000000031</v>
      </c>
      <c r="L19" s="1172">
        <f>(FARM!$F$5*(1/0.916666666666667))+(FARM!$F$6*(1/0.333333333333333))+(FARM!$F$7*(1/0.147275405007364))</f>
        <v>3.0000000000000031</v>
      </c>
      <c r="M19" s="1101"/>
      <c r="N19" s="1112"/>
    </row>
    <row r="20" spans="1:15" ht="18" customHeight="1" x14ac:dyDescent="0.45">
      <c r="A20" s="1109"/>
      <c r="B20" s="1161" t="s">
        <v>933</v>
      </c>
      <c r="C20" s="1180">
        <f>1/0.120362470175615</f>
        <v>8.3082375971592217</v>
      </c>
      <c r="D20" s="1180">
        <f>1/0.136219747992402</f>
        <v>7.3410795038012955</v>
      </c>
      <c r="E20" s="1180">
        <f>1/0.0525391734893558</f>
        <v>19.033417040764746</v>
      </c>
      <c r="F20" s="1180">
        <f>1/0.0781400798441691</f>
        <v>12.797529795135231</v>
      </c>
      <c r="G20" s="1180">
        <f>1/0.0781400798441691</f>
        <v>12.797529795135231</v>
      </c>
      <c r="H20" s="1180">
        <f>1/0.0772207847871789</f>
        <v>12.949881340315407</v>
      </c>
      <c r="I20" s="1180">
        <f>1/0.0781400798441691</f>
        <v>12.797529795135231</v>
      </c>
      <c r="J20" s="1180">
        <f>1/0.0525391734893558</f>
        <v>19.033417040764746</v>
      </c>
      <c r="K20" s="1180">
        <f>1/0.0781400798441691</f>
        <v>12.797529795135231</v>
      </c>
      <c r="L20" s="1180">
        <f>1/0.057455941061889</f>
        <v>17.404640521383929</v>
      </c>
      <c r="M20" s="1095"/>
      <c r="N20" s="1112"/>
    </row>
    <row r="21" spans="1:15" ht="18" customHeight="1" x14ac:dyDescent="0.45">
      <c r="A21" s="1109"/>
      <c r="B21" s="1161" t="s">
        <v>1605</v>
      </c>
      <c r="C21" s="1180">
        <f>(FARM!$F$5*(1/1.512))+(FARM!$F$6*(1/1.008))+(FARM!$F$7*(1/0.063))</f>
        <v>0.99206349206349209</v>
      </c>
      <c r="D21" s="1180">
        <f>(FARM!$F$5*(1/1.488))+(FARM!$F$6*(1/0.992))+(FARM!$F$7*(1/0.062))</f>
        <v>1.0080645161290323</v>
      </c>
      <c r="E21" s="1180">
        <f>(FARM!$F$5*(1/1.176))+(FARM!$F$6*(1/0.784))+(FARM!$F$7*(1/0.049))</f>
        <v>1.2755102040816326</v>
      </c>
      <c r="F21" s="1180">
        <f>(FARM!$F$5*(1/1.53))+(FARM!$F$6*(1/1.02))+(FARM!$F$7*(1/0.06375))</f>
        <v>0.98039215686274506</v>
      </c>
      <c r="G21" s="1180">
        <f>(FARM!$F$5*(1/1.53))+(FARM!$F$6*(1/1.02))+(FARM!$F$7*(1/0.06375))</f>
        <v>0.98039215686274506</v>
      </c>
      <c r="H21" s="1180">
        <f>(FARM!$F$5*(1/1.512))+(FARM!$F$6*(1/1.008))+(FARM!$F$7*(1/0.063))</f>
        <v>0.99206349206349209</v>
      </c>
      <c r="I21" s="1180">
        <f>(FARM!$F$5*(1/1.53))+(FARM!$F$6*(1/1.02))+(FARM!$F$7*(1/0.06375))</f>
        <v>0.98039215686274506</v>
      </c>
      <c r="J21" s="1180">
        <f>1/0.36</f>
        <v>2.7777777777777777</v>
      </c>
      <c r="K21" s="1180">
        <f>(FARM!$F$5*(1/1.53))+(FARM!$F$6*(1/1.02))+(FARM!$F$7*(1/0.06375))</f>
        <v>0.98039215686274506</v>
      </c>
      <c r="L21" s="1180">
        <f>(FARM!$F$5*(1/1.125))+(FARM!$F$6*(1/0.75))+(FARM!$F$7*(1/0.046875))</f>
        <v>1.3333333333333333</v>
      </c>
      <c r="M21" s="1101"/>
      <c r="N21" s="1112"/>
    </row>
    <row r="22" spans="1:15" ht="18" customHeight="1" x14ac:dyDescent="0.45">
      <c r="A22" s="1109"/>
      <c r="B22" s="1161" t="s">
        <v>1606</v>
      </c>
      <c r="C22" s="1180">
        <f>1/0.437014572083734</f>
        <v>2.2882532159783344</v>
      </c>
      <c r="D22" s="1180">
        <f>1/0.650319303696033</f>
        <v>1.5377061611374403</v>
      </c>
      <c r="E22" s="1180">
        <f>1/0.278708273012585</f>
        <v>3.5879810426540346</v>
      </c>
      <c r="F22" s="1180">
        <f>1/0.433546202464022</f>
        <v>2.3065592417061604</v>
      </c>
      <c r="G22" s="1180">
        <f>1/0.433546202464022</f>
        <v>2.3065592417061604</v>
      </c>
      <c r="H22" s="1180">
        <f>1/0.464513788354309</f>
        <v>2.1527886255924176</v>
      </c>
      <c r="I22" s="1180">
        <f>1/0.433546202464022</f>
        <v>2.3065592417061604</v>
      </c>
      <c r="J22" s="1180">
        <f>1/0.156076632887048</f>
        <v>6.40710900473933</v>
      </c>
      <c r="K22" s="1180">
        <f>1/0.346836961971218</f>
        <v>2.8831990521326971</v>
      </c>
      <c r="L22" s="1180">
        <f>1/0.260127721478413</f>
        <v>3.8442654028436034</v>
      </c>
      <c r="M22" s="1101"/>
      <c r="N22" s="1112"/>
    </row>
    <row r="23" spans="1:15" ht="18" customHeight="1" x14ac:dyDescent="0.45">
      <c r="A23" s="1109"/>
      <c r="B23" s="1101"/>
      <c r="C23" s="1101"/>
      <c r="D23" s="1092"/>
      <c r="E23" s="1089"/>
      <c r="F23" s="1101"/>
      <c r="G23" s="1101"/>
      <c r="H23" s="1101"/>
      <c r="I23" s="1101"/>
      <c r="J23" s="1101"/>
      <c r="K23" s="1101"/>
      <c r="L23" s="1101"/>
      <c r="M23" s="1101"/>
      <c r="N23" s="1112"/>
    </row>
    <row r="24" spans="1:15" ht="18" customHeight="1" x14ac:dyDescent="0.45">
      <c r="A24" s="1109"/>
      <c r="B24" s="1101"/>
      <c r="C24" s="1101"/>
      <c r="D24" s="1092"/>
      <c r="E24" s="1089"/>
      <c r="F24" s="1092"/>
      <c r="G24" s="1092"/>
      <c r="H24" s="1101"/>
      <c r="I24" s="1101"/>
      <c r="J24" s="1101"/>
      <c r="K24" s="1101"/>
      <c r="L24" s="1101"/>
      <c r="M24" s="1101"/>
      <c r="N24" s="1112"/>
    </row>
    <row r="25" spans="1:15" ht="18" customHeight="1" thickBot="1" x14ac:dyDescent="0.5">
      <c r="A25" s="1109"/>
      <c r="B25" s="1091" t="s">
        <v>2185</v>
      </c>
      <c r="C25" s="1101"/>
      <c r="D25" s="1101"/>
      <c r="E25" s="1101"/>
      <c r="F25" s="1101"/>
      <c r="G25" s="1101"/>
      <c r="H25" s="1101"/>
      <c r="I25" s="1101"/>
      <c r="J25" s="1101"/>
      <c r="K25" s="1101"/>
      <c r="L25" s="1101"/>
      <c r="M25" s="1101"/>
      <c r="N25" s="1112"/>
      <c r="O25" s="1097"/>
    </row>
    <row r="26" spans="1:15" ht="18" customHeight="1" x14ac:dyDescent="0.45">
      <c r="A26" s="1109"/>
      <c r="B26" s="1081"/>
      <c r="C26" s="1081" t="s">
        <v>1544</v>
      </c>
      <c r="D26" s="1153"/>
      <c r="E26" s="1153"/>
      <c r="F26" s="1154"/>
      <c r="G26" s="1090"/>
      <c r="H26" s="1101"/>
      <c r="I26" s="1154"/>
      <c r="J26" s="1154"/>
      <c r="K26" s="1153"/>
      <c r="L26" s="1155"/>
      <c r="M26" s="1153"/>
      <c r="N26" s="1112"/>
    </row>
    <row r="27" spans="1:15" ht="18" customHeight="1" x14ac:dyDescent="0.45">
      <c r="A27" s="1109"/>
      <c r="B27" s="1081" t="s">
        <v>1613</v>
      </c>
      <c r="C27" s="1098" t="s">
        <v>105</v>
      </c>
      <c r="D27" s="1098" t="s">
        <v>426</v>
      </c>
      <c r="E27" s="1098" t="s">
        <v>522</v>
      </c>
      <c r="F27" s="1143" t="s">
        <v>2105</v>
      </c>
      <c r="G27" s="1143" t="s">
        <v>2106</v>
      </c>
      <c r="H27" s="1098" t="s">
        <v>571</v>
      </c>
      <c r="I27" s="1098" t="s">
        <v>572</v>
      </c>
      <c r="J27" s="1143" t="s">
        <v>2107</v>
      </c>
      <c r="K27" s="1098" t="s">
        <v>1142</v>
      </c>
      <c r="L27" s="1098" t="s">
        <v>201</v>
      </c>
      <c r="M27" s="1101"/>
      <c r="N27" s="1112"/>
    </row>
    <row r="28" spans="1:15" ht="18" customHeight="1" x14ac:dyDescent="0.45">
      <c r="A28" s="1109"/>
      <c r="B28" s="1161" t="s">
        <v>1897</v>
      </c>
      <c r="C28" s="1180">
        <v>1.32</v>
      </c>
      <c r="D28" s="1180">
        <v>1.32</v>
      </c>
      <c r="E28" s="1180">
        <v>1.32</v>
      </c>
      <c r="F28" s="1180">
        <v>1.32</v>
      </c>
      <c r="G28" s="1180">
        <v>1.32</v>
      </c>
      <c r="H28" s="1180">
        <v>1.32</v>
      </c>
      <c r="I28" s="1180">
        <v>1.32</v>
      </c>
      <c r="J28" s="1180">
        <v>1.32</v>
      </c>
      <c r="K28" s="1180">
        <v>1.32</v>
      </c>
      <c r="L28" s="1180">
        <v>1.32</v>
      </c>
      <c r="M28" s="1101"/>
      <c r="N28" s="1112"/>
    </row>
    <row r="29" spans="1:15" ht="18" customHeight="1" x14ac:dyDescent="0.45">
      <c r="A29" s="1109"/>
      <c r="B29" s="1160" t="s">
        <v>1602</v>
      </c>
      <c r="C29" s="1180">
        <v>0.44023863292066601</v>
      </c>
      <c r="D29" s="1180">
        <v>0.44023863292066601</v>
      </c>
      <c r="E29" s="1180">
        <v>0.44023863292066601</v>
      </c>
      <c r="F29" s="1180">
        <v>0.44023863292066601</v>
      </c>
      <c r="G29" s="1180">
        <v>0.44023863292066601</v>
      </c>
      <c r="H29" s="1180">
        <v>0.44023863292066601</v>
      </c>
      <c r="I29" s="1180">
        <v>0.44023863292066601</v>
      </c>
      <c r="J29" s="1180">
        <v>0.44023863292066601</v>
      </c>
      <c r="K29" s="1180">
        <v>0.44023863292066601</v>
      </c>
      <c r="L29" s="1180">
        <v>0.44023863292066601</v>
      </c>
      <c r="M29" s="1095"/>
      <c r="N29" s="1112"/>
    </row>
    <row r="30" spans="1:15" ht="18" customHeight="1" x14ac:dyDescent="0.45">
      <c r="A30" s="1109"/>
      <c r="B30" s="1161" t="s">
        <v>897</v>
      </c>
      <c r="C30" s="1180">
        <v>0.64</v>
      </c>
      <c r="D30" s="1180">
        <v>0.64</v>
      </c>
      <c r="E30" s="1180">
        <v>0.64</v>
      </c>
      <c r="F30" s="1180">
        <v>0.64</v>
      </c>
      <c r="G30" s="1180">
        <v>0.64</v>
      </c>
      <c r="H30" s="1180">
        <v>0.64</v>
      </c>
      <c r="I30" s="1180">
        <v>0.64</v>
      </c>
      <c r="J30" s="1180">
        <v>0.64</v>
      </c>
      <c r="K30" s="1180">
        <v>0.64</v>
      </c>
      <c r="L30" s="1180">
        <v>0.64</v>
      </c>
      <c r="M30" s="1101"/>
      <c r="N30" s="1112"/>
    </row>
    <row r="31" spans="1:15" ht="18" customHeight="1" x14ac:dyDescent="0.45">
      <c r="A31" s="1109"/>
      <c r="B31" s="1161" t="s">
        <v>1608</v>
      </c>
      <c r="C31" s="1180">
        <v>0.74</v>
      </c>
      <c r="D31" s="1180">
        <v>0.74</v>
      </c>
      <c r="E31" s="1180">
        <v>0.74</v>
      </c>
      <c r="F31" s="1180">
        <v>0.74</v>
      </c>
      <c r="G31" s="1180">
        <v>0.74</v>
      </c>
      <c r="H31" s="1180">
        <v>0.74</v>
      </c>
      <c r="I31" s="1180">
        <v>0.74</v>
      </c>
      <c r="J31" s="1180">
        <v>0.74</v>
      </c>
      <c r="K31" s="1180">
        <v>0.74</v>
      </c>
      <c r="L31" s="1180">
        <v>0.74</v>
      </c>
      <c r="M31" s="1095"/>
      <c r="N31" s="1112"/>
    </row>
    <row r="32" spans="1:15" ht="18" customHeight="1" x14ac:dyDescent="0.45">
      <c r="A32" s="1109"/>
      <c r="B32" s="1161" t="s">
        <v>1609</v>
      </c>
      <c r="C32" s="1180">
        <v>0.34</v>
      </c>
      <c r="D32" s="1180">
        <v>0.34</v>
      </c>
      <c r="E32" s="1180">
        <v>0.34</v>
      </c>
      <c r="F32" s="1180">
        <v>0.34</v>
      </c>
      <c r="G32" s="1180">
        <v>0.34</v>
      </c>
      <c r="H32" s="1180">
        <v>0.34</v>
      </c>
      <c r="I32" s="1180">
        <v>0.34</v>
      </c>
      <c r="J32" s="1180">
        <v>0.34</v>
      </c>
      <c r="K32" s="1180">
        <v>0.34</v>
      </c>
      <c r="L32" s="1180">
        <v>0.34</v>
      </c>
      <c r="M32" s="1101"/>
      <c r="N32" s="1112"/>
    </row>
    <row r="33" spans="1:14" ht="18" customHeight="1" x14ac:dyDescent="0.45">
      <c r="A33" s="1109"/>
      <c r="B33" s="1161" t="s">
        <v>1603</v>
      </c>
      <c r="C33" s="1180">
        <v>0.61</v>
      </c>
      <c r="D33" s="1180">
        <v>0.61</v>
      </c>
      <c r="E33" s="1180">
        <v>0.61</v>
      </c>
      <c r="F33" s="1180">
        <v>0.61</v>
      </c>
      <c r="G33" s="1180">
        <v>0.61</v>
      </c>
      <c r="H33" s="1180">
        <v>0.61</v>
      </c>
      <c r="I33" s="1180">
        <v>0.61</v>
      </c>
      <c r="J33" s="1180">
        <v>0.61</v>
      </c>
      <c r="K33" s="1180">
        <v>0.61</v>
      </c>
      <c r="L33" s="1180">
        <v>0.61</v>
      </c>
      <c r="M33" s="1101"/>
      <c r="N33" s="1112"/>
    </row>
    <row r="34" spans="1:14" ht="18" customHeight="1" x14ac:dyDescent="0.45">
      <c r="A34" s="1109"/>
      <c r="B34" s="1161" t="s">
        <v>2166</v>
      </c>
      <c r="C34" s="1180">
        <v>0.34</v>
      </c>
      <c r="D34" s="1180">
        <v>0.34</v>
      </c>
      <c r="E34" s="1180">
        <v>0.34</v>
      </c>
      <c r="F34" s="1180">
        <v>0.34</v>
      </c>
      <c r="G34" s="1180">
        <v>0.34</v>
      </c>
      <c r="H34" s="1180">
        <v>0.34</v>
      </c>
      <c r="I34" s="1180">
        <v>0.34</v>
      </c>
      <c r="J34" s="1180">
        <v>0.34</v>
      </c>
      <c r="K34" s="1180">
        <v>0.34</v>
      </c>
      <c r="L34" s="1180">
        <v>0.34</v>
      </c>
      <c r="M34" s="1095"/>
      <c r="N34" s="1112"/>
    </row>
    <row r="35" spans="1:14" ht="18" customHeight="1" x14ac:dyDescent="0.45">
      <c r="A35" s="1109"/>
      <c r="B35" s="1161" t="s">
        <v>1607</v>
      </c>
      <c r="C35" s="1180">
        <f>(FARM!$F$5*0.8625)+(FARM!$F$6*0.46)+(FARM!$F$7*0.46)</f>
        <v>0.46</v>
      </c>
      <c r="D35" s="1180">
        <f>(FARM!$F$5*0.8625)+(FARM!$F$6*0.46)+(FARM!$F$7*0.46)</f>
        <v>0.46</v>
      </c>
      <c r="E35" s="1180">
        <f>(FARM!$F$5*0.8625)+(FARM!$F$6*0.46)+(FARM!$F$7*0.46)</f>
        <v>0.46</v>
      </c>
      <c r="F35" s="1180">
        <f>(FARM!$F$5*0.8625)+(FARM!$F$6*0.46)+(FARM!$F$7*0.46)</f>
        <v>0.46</v>
      </c>
      <c r="G35" s="1180">
        <f>(FARM!$F$5*0.8625)+(FARM!$F$6*0.46)+(FARM!$F$7*0.46)</f>
        <v>0.46</v>
      </c>
      <c r="H35" s="1180">
        <f>(FARM!$F$5*0.8625)+(FARM!$F$6*0.46)+(FARM!$F$7*0.46)</f>
        <v>0.46</v>
      </c>
      <c r="I35" s="1180">
        <f>(FARM!$F$5*0.8625)+(FARM!$F$6*0.46)+(FARM!$F$7*0.46)</f>
        <v>0.46</v>
      </c>
      <c r="J35" s="1180">
        <f>(FARM!$F$5*0.8625)+(FARM!$F$6*0.46)+(FARM!$F$7*0.46)</f>
        <v>0.46</v>
      </c>
      <c r="K35" s="1180">
        <f>(FARM!$F$5*0.8625)+(FARM!$F$6*0.46)+(FARM!$F$7*0.46)</f>
        <v>0.46</v>
      </c>
      <c r="L35" s="1180">
        <f>(FARM!$F$5*0.8625)+(FARM!$F$6*0.46)+(FARM!$F$7*0.46)</f>
        <v>0.46</v>
      </c>
      <c r="M35" s="1095"/>
      <c r="N35" s="1112"/>
    </row>
    <row r="36" spans="1:14" ht="18" customHeight="1" x14ac:dyDescent="0.45">
      <c r="A36" s="1109"/>
      <c r="B36" s="1161" t="s">
        <v>1604</v>
      </c>
      <c r="C36" s="1180">
        <v>0.13183670241332501</v>
      </c>
      <c r="D36" s="1180">
        <v>0.13183670241332501</v>
      </c>
      <c r="E36" s="1180">
        <v>0.13183670241332501</v>
      </c>
      <c r="F36" s="1180">
        <v>0.13183670241332501</v>
      </c>
      <c r="G36" s="1180">
        <v>0.13183670241332501</v>
      </c>
      <c r="H36" s="1180">
        <v>0.13183670241332501</v>
      </c>
      <c r="I36" s="1180">
        <v>0.13183670241332501</v>
      </c>
      <c r="J36" s="1180">
        <v>0.13183670241332501</v>
      </c>
      <c r="K36" s="1180">
        <v>0.13183670241332501</v>
      </c>
      <c r="L36" s="1180">
        <v>0.13183670241332501</v>
      </c>
      <c r="M36" s="1095"/>
      <c r="N36" s="1112"/>
    </row>
    <row r="37" spans="1:14" ht="18" customHeight="1" x14ac:dyDescent="0.45">
      <c r="A37" s="1109"/>
      <c r="B37" s="1161" t="s">
        <v>926</v>
      </c>
      <c r="C37" s="1180">
        <f>(FARM!$F$5*0.12)+(FARM!$F$6*0.12)+(FARM!$F$7*0.07)</f>
        <v>0.12</v>
      </c>
      <c r="D37" s="1180">
        <f>(FARM!$F$5*0.12)+(FARM!$F$6*0.12)+(FARM!$F$7*0.07)</f>
        <v>0.12</v>
      </c>
      <c r="E37" s="1180">
        <f>(FARM!$F$5*0.12)+(FARM!$F$6*0.12)+(FARM!$F$7*0.07)</f>
        <v>0.12</v>
      </c>
      <c r="F37" s="1180">
        <f>(FARM!$F$5*0.12)+(FARM!$F$6*0.12)+(FARM!$F$7*0.07)</f>
        <v>0.12</v>
      </c>
      <c r="G37" s="1180">
        <f>(FARM!$F$5*0.12)+(FARM!$F$6*0.12)+(FARM!$F$7*0.07)</f>
        <v>0.12</v>
      </c>
      <c r="H37" s="1180">
        <f>(FARM!$F$5*0.12)+(FARM!$F$6*0.12)+(FARM!$F$7*0.07)</f>
        <v>0.12</v>
      </c>
      <c r="I37" s="1180">
        <f>(FARM!$F$5*0.12)+(FARM!$F$6*0.12)+(FARM!$F$7*0.07)</f>
        <v>0.12</v>
      </c>
      <c r="J37" s="1180">
        <f>(FARM!$F$5*0.12)+(FARM!$F$6*0.12)+(FARM!$F$7*0.07)</f>
        <v>0.12</v>
      </c>
      <c r="K37" s="1180">
        <f>(FARM!$F$5*0.12)+(FARM!$F$6*0.12)+(FARM!$F$7*0.07)</f>
        <v>0.12</v>
      </c>
      <c r="L37" s="1180">
        <f>(FARM!$F$5*0.12)+(FARM!$F$6*0.12)+(FARM!$F$7*0.07)</f>
        <v>0.12</v>
      </c>
      <c r="M37" s="1101"/>
      <c r="N37" s="1112"/>
    </row>
    <row r="38" spans="1:14" ht="18" customHeight="1" x14ac:dyDescent="0.45">
      <c r="A38" s="1109"/>
      <c r="B38" s="1161" t="s">
        <v>2113</v>
      </c>
      <c r="C38" s="1243" t="s">
        <v>45</v>
      </c>
      <c r="D38" s="1243" t="s">
        <v>45</v>
      </c>
      <c r="E38" s="1243" t="s">
        <v>45</v>
      </c>
      <c r="F38" s="1243" t="s">
        <v>45</v>
      </c>
      <c r="G38" s="1243" t="s">
        <v>45</v>
      </c>
      <c r="H38" s="1243" t="s">
        <v>45</v>
      </c>
      <c r="I38" s="1243" t="s">
        <v>45</v>
      </c>
      <c r="J38" s="1180">
        <v>1.5</v>
      </c>
      <c r="K38" s="1243" t="s">
        <v>45</v>
      </c>
      <c r="L38" s="1243" t="s">
        <v>45</v>
      </c>
      <c r="M38" s="1101"/>
      <c r="N38" s="1112"/>
    </row>
    <row r="39" spans="1:14" ht="18" customHeight="1" x14ac:dyDescent="0.45">
      <c r="A39" s="1109"/>
      <c r="B39" s="1161" t="s">
        <v>836</v>
      </c>
      <c r="C39" s="1180">
        <f>(FARM!$F$5*2.66666666666667)+(FARM!$F$6*2)+(FARM!$F$7*2)</f>
        <v>2</v>
      </c>
      <c r="D39" s="1180">
        <f>(FARM!$F$5*2.66666666666667)+(FARM!$F$6*2)+(FARM!$F$7*2)</f>
        <v>2</v>
      </c>
      <c r="E39" s="1180">
        <f>(FARM!$F$5*2.66666666666667)+(FARM!$F$6*2)+(FARM!$F$7*2)</f>
        <v>2</v>
      </c>
      <c r="F39" s="1180">
        <f>(FARM!$F$5*2.66666666666667)+(FARM!$F$6*2)+(FARM!$F$7*2)</f>
        <v>2</v>
      </c>
      <c r="G39" s="1180">
        <f>(FARM!$F$5*2.66666666666667)+(FARM!$F$6*2)+(FARM!$F$7*2)</f>
        <v>2</v>
      </c>
      <c r="H39" s="1180">
        <f>(FARM!$F$5*2.66666666666667)+(FARM!$F$6*2)+(FARM!$F$7*2)</f>
        <v>2</v>
      </c>
      <c r="I39" s="1180">
        <f>(FARM!$F$5*2.66666666666667)+(FARM!$F$6*2)+(FARM!$F$7*2)</f>
        <v>2</v>
      </c>
      <c r="J39" s="1180">
        <f>(FARM!$F$5*2.66666666666667)+(FARM!$F$6*2)+(FARM!$F$7*2)</f>
        <v>2</v>
      </c>
      <c r="K39" s="1180">
        <f>(FARM!$F$5*2.66666666666667)+(FARM!$F$6*2)+(FARM!$F$7*2)</f>
        <v>2</v>
      </c>
      <c r="L39" s="1180">
        <f>(FARM!$F$5*2.66666666666667)+(FARM!$F$6*2)+(FARM!$F$7*2)</f>
        <v>2</v>
      </c>
      <c r="M39" s="1101"/>
      <c r="N39" s="1112"/>
    </row>
    <row r="40" spans="1:14" ht="18" customHeight="1" x14ac:dyDescent="0.45">
      <c r="A40" s="1109"/>
      <c r="B40" s="1161" t="s">
        <v>933</v>
      </c>
      <c r="C40" s="1180">
        <v>0.18508181377122601</v>
      </c>
      <c r="D40" s="1180">
        <v>0.13964373885596201</v>
      </c>
      <c r="E40" s="1180">
        <v>9.4254627383494702E-2</v>
      </c>
      <c r="F40" s="1180">
        <v>0.15019536077863399</v>
      </c>
      <c r="G40" s="1180">
        <v>0.15019536077863399</v>
      </c>
      <c r="H40" s="1180">
        <f>0.150195360778634*(36/34)*(56/60)</f>
        <v>0.14842835653417946</v>
      </c>
      <c r="I40" s="1180">
        <v>0.15019536077863399</v>
      </c>
      <c r="J40" s="1180">
        <v>9.425462738349473E-2</v>
      </c>
      <c r="K40" s="1180">
        <v>0.15019536077863399</v>
      </c>
      <c r="L40" s="1180">
        <f>0.150195360778634*(25/34)*(60/60)</f>
        <v>0.11043776527840736</v>
      </c>
      <c r="M40" s="1095"/>
      <c r="N40" s="1112"/>
    </row>
    <row r="41" spans="1:14" ht="18" customHeight="1" x14ac:dyDescent="0.45">
      <c r="A41" s="1109"/>
      <c r="B41" s="1161" t="s">
        <v>1605</v>
      </c>
      <c r="C41" s="1172">
        <v>0</v>
      </c>
      <c r="D41" s="1172">
        <v>0</v>
      </c>
      <c r="E41" s="1172">
        <v>0</v>
      </c>
      <c r="F41" s="1172">
        <v>0</v>
      </c>
      <c r="G41" s="1172">
        <v>0</v>
      </c>
      <c r="H41" s="1172">
        <v>0</v>
      </c>
      <c r="I41" s="1172">
        <v>0</v>
      </c>
      <c r="J41" s="1172">
        <v>0</v>
      </c>
      <c r="K41" s="1172">
        <v>0</v>
      </c>
      <c r="L41" s="1172">
        <v>0</v>
      </c>
      <c r="M41" s="1101"/>
      <c r="N41" s="1112"/>
    </row>
    <row r="42" spans="1:14" ht="18" customHeight="1" x14ac:dyDescent="0.45">
      <c r="A42" s="1109"/>
      <c r="B42" s="1161" t="s">
        <v>1606</v>
      </c>
      <c r="C42" s="1172">
        <v>0</v>
      </c>
      <c r="D42" s="1172">
        <v>0</v>
      </c>
      <c r="E42" s="1172">
        <v>0</v>
      </c>
      <c r="F42" s="1172">
        <v>0</v>
      </c>
      <c r="G42" s="1172">
        <v>0</v>
      </c>
      <c r="H42" s="1172">
        <v>0</v>
      </c>
      <c r="I42" s="1172">
        <v>0</v>
      </c>
      <c r="J42" s="1172">
        <v>0</v>
      </c>
      <c r="K42" s="1172">
        <v>0</v>
      </c>
      <c r="L42" s="1172">
        <v>0</v>
      </c>
      <c r="M42" s="1101"/>
      <c r="N42" s="1112"/>
    </row>
    <row r="43" spans="1:14" ht="18" customHeight="1" x14ac:dyDescent="0.45">
      <c r="A43" s="1109"/>
      <c r="B43" s="1101"/>
      <c r="C43" s="1098"/>
      <c r="D43" s="1098"/>
      <c r="E43" s="1098"/>
      <c r="F43" s="1098"/>
      <c r="G43" s="1098"/>
      <c r="H43" s="1098"/>
      <c r="I43" s="1101"/>
      <c r="J43" s="1101"/>
      <c r="K43" s="1101"/>
      <c r="L43" s="1101"/>
      <c r="M43" s="1101"/>
      <c r="N43" s="1112"/>
    </row>
    <row r="44" spans="1:14" ht="18" customHeight="1" x14ac:dyDescent="0.45">
      <c r="A44" s="1109"/>
      <c r="B44" s="1101"/>
      <c r="C44" s="1098"/>
      <c r="D44" s="1098"/>
      <c r="E44" s="1098"/>
      <c r="F44" s="1098"/>
      <c r="G44" s="1098"/>
      <c r="H44" s="1098"/>
      <c r="I44" s="1101"/>
      <c r="J44" s="1101"/>
      <c r="K44" s="1101"/>
      <c r="L44" s="1101"/>
      <c r="M44" s="1101"/>
      <c r="N44" s="1112"/>
    </row>
    <row r="45" spans="1:14" ht="18" customHeight="1" thickBot="1" x14ac:dyDescent="0.5">
      <c r="A45" s="1109"/>
      <c r="B45" s="1151" t="s">
        <v>2234</v>
      </c>
      <c r="C45" s="1101"/>
      <c r="D45" s="1101"/>
      <c r="E45" s="1098"/>
      <c r="F45" s="1098"/>
      <c r="G45" s="1098"/>
      <c r="H45" s="1098"/>
      <c r="I45" s="1101"/>
      <c r="J45" s="1101"/>
      <c r="K45" s="1101"/>
      <c r="L45" s="1101"/>
      <c r="M45" s="1101"/>
      <c r="N45" s="1112"/>
    </row>
    <row r="46" spans="1:14" ht="18" customHeight="1" thickBot="1" x14ac:dyDescent="0.5">
      <c r="A46" s="1109"/>
      <c r="B46" s="1181">
        <v>0.125</v>
      </c>
      <c r="C46" s="1179"/>
      <c r="D46" s="1152"/>
      <c r="E46" s="1098"/>
      <c r="F46" s="1098"/>
      <c r="G46" s="1098"/>
      <c r="H46" s="1098"/>
      <c r="I46" s="1101"/>
      <c r="J46" s="1101"/>
      <c r="K46" s="1101"/>
      <c r="L46" s="1101"/>
      <c r="M46" s="1101"/>
      <c r="N46" s="1112"/>
    </row>
    <row r="47" spans="1:14" ht="18" customHeight="1" x14ac:dyDescent="0.45">
      <c r="A47" s="1109"/>
      <c r="B47" s="1101"/>
      <c r="C47" s="1098"/>
      <c r="D47" s="1098"/>
      <c r="E47" s="1098"/>
      <c r="F47" s="1098"/>
      <c r="G47" s="1098"/>
      <c r="H47" s="1098"/>
      <c r="I47" s="1101"/>
      <c r="J47" s="1101"/>
      <c r="K47" s="1101"/>
      <c r="L47" s="1101"/>
      <c r="M47" s="1101"/>
      <c r="N47" s="1112"/>
    </row>
    <row r="48" spans="1:14" ht="18" customHeight="1" x14ac:dyDescent="0.45">
      <c r="A48" s="1109"/>
      <c r="B48" s="1101"/>
      <c r="C48" s="1098"/>
      <c r="D48" s="1098"/>
      <c r="E48" s="1098"/>
      <c r="F48" s="1098"/>
      <c r="G48" s="1098"/>
      <c r="H48" s="1098"/>
      <c r="I48" s="1101"/>
      <c r="J48" s="1101"/>
      <c r="K48" s="1101"/>
      <c r="L48" s="1101"/>
      <c r="M48" s="1101"/>
      <c r="N48" s="1112"/>
    </row>
    <row r="49" spans="1:14" ht="18" customHeight="1" thickBot="1" x14ac:dyDescent="0.5">
      <c r="A49" s="1109"/>
      <c r="B49" s="1091" t="s">
        <v>2186</v>
      </c>
      <c r="C49" s="1101"/>
      <c r="D49" s="1101"/>
      <c r="E49" s="1101"/>
      <c r="F49" s="1101"/>
      <c r="G49" s="1101"/>
      <c r="H49" s="1101"/>
      <c r="I49" s="1101"/>
      <c r="J49" s="1101"/>
      <c r="K49" s="1101"/>
      <c r="L49" s="1101"/>
      <c r="M49" s="1101"/>
      <c r="N49" s="1112"/>
    </row>
    <row r="50" spans="1:14" ht="18" customHeight="1" x14ac:dyDescent="0.45">
      <c r="A50" s="1109"/>
      <c r="B50" s="1081"/>
      <c r="C50" s="1081" t="s">
        <v>1544</v>
      </c>
      <c r="D50" s="1153"/>
      <c r="E50" s="1153"/>
      <c r="F50" s="1154"/>
      <c r="G50" s="1090"/>
      <c r="H50" s="1101"/>
      <c r="I50" s="1154"/>
      <c r="J50" s="1154"/>
      <c r="K50" s="1153"/>
      <c r="L50" s="1155"/>
      <c r="M50" s="1101"/>
      <c r="N50" s="1112"/>
    </row>
    <row r="51" spans="1:14" ht="18" customHeight="1" x14ac:dyDescent="0.45">
      <c r="A51" s="1109"/>
      <c r="B51" s="1081" t="s">
        <v>1638</v>
      </c>
      <c r="C51" s="1098" t="s">
        <v>105</v>
      </c>
      <c r="D51" s="1098" t="s">
        <v>426</v>
      </c>
      <c r="E51" s="1098" t="s">
        <v>522</v>
      </c>
      <c r="F51" s="1143" t="s">
        <v>2105</v>
      </c>
      <c r="G51" s="1143" t="s">
        <v>2106</v>
      </c>
      <c r="H51" s="1098" t="s">
        <v>571</v>
      </c>
      <c r="I51" s="1098" t="s">
        <v>572</v>
      </c>
      <c r="J51" s="1143" t="s">
        <v>2107</v>
      </c>
      <c r="K51" s="1098" t="s">
        <v>1142</v>
      </c>
      <c r="L51" s="1098" t="s">
        <v>201</v>
      </c>
      <c r="M51" s="1101"/>
      <c r="N51" s="1112"/>
    </row>
    <row r="52" spans="1:14" ht="18" customHeight="1" x14ac:dyDescent="0.45">
      <c r="A52" s="1109"/>
      <c r="B52" s="1160" t="s">
        <v>170</v>
      </c>
      <c r="C52" s="1174">
        <v>0</v>
      </c>
      <c r="D52" s="1174">
        <v>0</v>
      </c>
      <c r="E52" s="1174">
        <v>0</v>
      </c>
      <c r="F52" s="1174">
        <v>0</v>
      </c>
      <c r="G52" s="1174">
        <v>0</v>
      </c>
      <c r="H52" s="1174">
        <v>0</v>
      </c>
      <c r="I52" s="1174">
        <v>0</v>
      </c>
      <c r="J52" s="1174">
        <v>0</v>
      </c>
      <c r="K52" s="1174">
        <v>0</v>
      </c>
      <c r="L52" s="1174">
        <v>0</v>
      </c>
      <c r="M52" s="1101"/>
      <c r="N52" s="1112"/>
    </row>
    <row r="53" spans="1:14" ht="18" customHeight="1" x14ac:dyDescent="0.45">
      <c r="A53" s="1109"/>
      <c r="B53" s="1160" t="s">
        <v>1639</v>
      </c>
      <c r="C53" s="1174">
        <v>300</v>
      </c>
      <c r="D53" s="1174">
        <v>300</v>
      </c>
      <c r="E53" s="1174">
        <v>300</v>
      </c>
      <c r="F53" s="1174">
        <v>300</v>
      </c>
      <c r="G53" s="1174">
        <v>300</v>
      </c>
      <c r="H53" s="1174">
        <v>300</v>
      </c>
      <c r="I53" s="1174">
        <v>300</v>
      </c>
      <c r="J53" s="1174">
        <v>300</v>
      </c>
      <c r="K53" s="1174">
        <v>300</v>
      </c>
      <c r="L53" s="1174">
        <v>300</v>
      </c>
      <c r="M53" s="1101"/>
      <c r="N53" s="1112"/>
    </row>
    <row r="54" spans="1:14" ht="18" customHeight="1" x14ac:dyDescent="0.45">
      <c r="A54" s="1109"/>
      <c r="B54" s="1101"/>
      <c r="C54" s="1098"/>
      <c r="D54" s="1098"/>
      <c r="E54" s="1098"/>
      <c r="F54" s="1098"/>
      <c r="G54" s="1098"/>
      <c r="H54" s="1098"/>
      <c r="I54" s="1101"/>
      <c r="J54" s="1101"/>
      <c r="K54" s="1101"/>
      <c r="L54" s="1101"/>
      <c r="M54" s="1101"/>
      <c r="N54" s="1112"/>
    </row>
    <row r="55" spans="1:14" ht="18" customHeight="1" x14ac:dyDescent="0.45">
      <c r="A55" s="1109"/>
      <c r="B55" s="1101"/>
      <c r="C55" s="1098"/>
      <c r="D55" s="1098"/>
      <c r="E55" s="1098"/>
      <c r="F55" s="1098"/>
      <c r="G55" s="1098"/>
      <c r="H55" s="1098"/>
      <c r="I55" s="1101"/>
      <c r="J55" s="1101"/>
      <c r="K55" s="1101"/>
      <c r="L55" s="1101"/>
      <c r="M55" s="1101"/>
      <c r="N55" s="1112"/>
    </row>
    <row r="56" spans="1:14" ht="18" customHeight="1" thickBot="1" x14ac:dyDescent="0.5">
      <c r="A56" s="1109"/>
      <c r="B56" s="1151" t="s">
        <v>2187</v>
      </c>
      <c r="C56" s="1101"/>
      <c r="D56" s="1101"/>
      <c r="E56" s="1101"/>
      <c r="F56" s="1151" t="s">
        <v>2188</v>
      </c>
      <c r="G56" s="1093"/>
      <c r="H56" s="1098"/>
      <c r="I56" s="1101"/>
      <c r="J56" s="1101"/>
      <c r="K56" s="1101"/>
      <c r="L56" s="1101"/>
      <c r="M56" s="1101"/>
      <c r="N56" s="1112"/>
    </row>
    <row r="57" spans="1:14" ht="18" customHeight="1" thickBot="1" x14ac:dyDescent="0.5">
      <c r="A57" s="1109"/>
      <c r="B57" s="1172">
        <v>12</v>
      </c>
      <c r="C57" s="1179" t="s">
        <v>1222</v>
      </c>
      <c r="D57" s="1152"/>
      <c r="E57" s="1101"/>
      <c r="F57" s="1174">
        <v>50</v>
      </c>
      <c r="G57" s="1179" t="s">
        <v>1224</v>
      </c>
      <c r="H57" s="1098"/>
      <c r="I57" s="1101"/>
      <c r="J57" s="1101"/>
      <c r="K57" s="1101"/>
      <c r="L57" s="1101"/>
      <c r="M57" s="1101"/>
      <c r="N57" s="1112"/>
    </row>
    <row r="58" spans="1:14" ht="18" customHeight="1" x14ac:dyDescent="0.45">
      <c r="A58" s="1109"/>
      <c r="B58" s="1101"/>
      <c r="C58" s="1098"/>
      <c r="D58" s="1098"/>
      <c r="E58" s="1098"/>
      <c r="F58" s="1098"/>
      <c r="G58" s="1098"/>
      <c r="H58" s="1098"/>
      <c r="I58" s="1101"/>
      <c r="J58" s="1101"/>
      <c r="K58" s="1101"/>
      <c r="L58" s="1101"/>
      <c r="M58" s="1101"/>
      <c r="N58" s="1112"/>
    </row>
    <row r="59" spans="1:14" ht="18" customHeight="1" x14ac:dyDescent="0.45">
      <c r="A59" s="1109"/>
      <c r="B59" s="1101"/>
      <c r="C59" s="1098"/>
      <c r="D59" s="1098"/>
      <c r="E59" s="1098"/>
      <c r="F59" s="1098"/>
      <c r="G59" s="1098"/>
      <c r="H59" s="1098"/>
      <c r="I59" s="1101"/>
      <c r="J59" s="1101"/>
      <c r="K59" s="1101"/>
      <c r="L59" s="1101"/>
      <c r="M59" s="1101"/>
      <c r="N59" s="1112"/>
    </row>
    <row r="60" spans="1:14" ht="18" customHeight="1" thickBot="1" x14ac:dyDescent="0.5">
      <c r="A60" s="1109"/>
      <c r="B60" s="1093" t="s">
        <v>2189</v>
      </c>
      <c r="C60" s="1098"/>
      <c r="D60" s="1098"/>
      <c r="E60" s="1098"/>
      <c r="F60" s="1093" t="s">
        <v>2190</v>
      </c>
      <c r="G60" s="1093"/>
      <c r="H60" s="1098"/>
      <c r="I60" s="1101"/>
      <c r="J60" s="1101"/>
      <c r="K60" s="1093" t="s">
        <v>2191</v>
      </c>
      <c r="L60" s="1101"/>
      <c r="M60" s="1101"/>
      <c r="N60" s="1112"/>
    </row>
    <row r="61" spans="1:14" ht="18" customHeight="1" thickBot="1" x14ac:dyDescent="0.5">
      <c r="A61" s="1109"/>
      <c r="B61" s="1098"/>
      <c r="C61" s="1082" t="s">
        <v>1640</v>
      </c>
      <c r="D61" s="1082" t="s">
        <v>1258</v>
      </c>
      <c r="E61" s="1098"/>
      <c r="F61" s="1098"/>
      <c r="G61" s="1082" t="s">
        <v>1644</v>
      </c>
      <c r="H61" s="1098"/>
      <c r="I61" s="1082" t="s">
        <v>1647</v>
      </c>
      <c r="J61" s="1101"/>
      <c r="K61" s="1174">
        <v>75</v>
      </c>
      <c r="L61" s="1179" t="s">
        <v>254</v>
      </c>
      <c r="M61" s="1101"/>
      <c r="N61" s="1112"/>
    </row>
    <row r="62" spans="1:14" ht="18" customHeight="1" x14ac:dyDescent="0.45">
      <c r="A62" s="1109"/>
      <c r="B62" s="1098" t="s">
        <v>22</v>
      </c>
      <c r="C62" s="1182" t="s">
        <v>1641</v>
      </c>
      <c r="D62" s="1182" t="s">
        <v>1643</v>
      </c>
      <c r="E62" s="1098"/>
      <c r="F62" s="1098" t="s">
        <v>1645</v>
      </c>
      <c r="G62" s="1172">
        <v>12</v>
      </c>
      <c r="H62" s="1098" t="s">
        <v>1645</v>
      </c>
      <c r="I62" s="1172">
        <v>12</v>
      </c>
      <c r="J62" s="1101"/>
      <c r="K62" s="1101"/>
      <c r="L62" s="1101"/>
      <c r="M62" s="1101"/>
      <c r="N62" s="1112"/>
    </row>
    <row r="63" spans="1:14" ht="18" customHeight="1" x14ac:dyDescent="0.45">
      <c r="A63" s="1109"/>
      <c r="B63" s="1098" t="s">
        <v>1642</v>
      </c>
      <c r="C63" s="1172">
        <v>4</v>
      </c>
      <c r="D63" s="1172">
        <v>1000</v>
      </c>
      <c r="E63" s="1098"/>
      <c r="F63" s="1098" t="s">
        <v>1646</v>
      </c>
      <c r="G63" s="1174">
        <v>75</v>
      </c>
      <c r="H63" s="1098" t="s">
        <v>1646</v>
      </c>
      <c r="I63" s="1174">
        <v>75</v>
      </c>
      <c r="J63" s="1101"/>
      <c r="K63" s="1101"/>
      <c r="L63" s="1101"/>
      <c r="M63" s="1101"/>
      <c r="N63" s="1112"/>
    </row>
    <row r="64" spans="1:14" ht="18" customHeight="1" x14ac:dyDescent="0.45">
      <c r="A64" s="1109"/>
      <c r="B64" s="1098" t="s">
        <v>1498</v>
      </c>
      <c r="C64" s="1174">
        <v>250</v>
      </c>
      <c r="D64" s="1167">
        <v>2.5</v>
      </c>
      <c r="E64" s="1098"/>
      <c r="F64" s="1098"/>
      <c r="G64" s="1098"/>
      <c r="H64" s="1098"/>
      <c r="I64" s="1101"/>
      <c r="J64" s="1101"/>
      <c r="K64" s="1101"/>
      <c r="L64" s="1101"/>
      <c r="M64" s="1101"/>
      <c r="N64" s="1112"/>
    </row>
    <row r="65" spans="1:14" ht="18" customHeight="1" x14ac:dyDescent="0.45">
      <c r="A65" s="1109"/>
      <c r="B65" s="1101"/>
      <c r="C65" s="1098"/>
      <c r="D65" s="1098"/>
      <c r="E65" s="1098"/>
      <c r="F65" s="1098"/>
      <c r="G65" s="1098"/>
      <c r="H65" s="1098"/>
      <c r="I65" s="1101"/>
      <c r="J65" s="1101"/>
      <c r="K65" s="1101"/>
      <c r="L65" s="1101"/>
      <c r="M65" s="1101"/>
      <c r="N65" s="1112"/>
    </row>
    <row r="66" spans="1:14" ht="18" customHeight="1" x14ac:dyDescent="0.45">
      <c r="A66" s="1109"/>
      <c r="B66" s="1101"/>
      <c r="C66" s="1098"/>
      <c r="D66" s="1098"/>
      <c r="E66" s="1098"/>
      <c r="F66" s="1098"/>
      <c r="G66" s="1098"/>
      <c r="H66" s="1098"/>
      <c r="I66" s="1101"/>
      <c r="J66" s="1101"/>
      <c r="K66" s="1101"/>
      <c r="L66" s="1101"/>
      <c r="M66" s="1101"/>
      <c r="N66" s="1112"/>
    </row>
    <row r="67" spans="1:14" ht="18" customHeight="1" x14ac:dyDescent="0.45">
      <c r="A67" s="1109"/>
      <c r="B67" s="1093" t="s">
        <v>2192</v>
      </c>
      <c r="C67" s="1098"/>
      <c r="D67" s="1098"/>
      <c r="E67" s="1098"/>
      <c r="F67" s="1098"/>
      <c r="G67" s="1098"/>
      <c r="H67" s="1098"/>
      <c r="I67" s="1101"/>
      <c r="J67" s="1101"/>
      <c r="K67" s="1101"/>
      <c r="L67" s="1101"/>
      <c r="M67" s="1101"/>
      <c r="N67" s="1112"/>
    </row>
    <row r="68" spans="1:14" ht="18" customHeight="1" x14ac:dyDescent="0.45">
      <c r="A68" s="1109"/>
      <c r="B68" s="1101"/>
      <c r="C68" s="1183">
        <v>60</v>
      </c>
      <c r="D68" s="1084" t="s">
        <v>1653</v>
      </c>
      <c r="E68" s="1098"/>
      <c r="F68" s="1098"/>
      <c r="G68" s="1081" t="s">
        <v>1654</v>
      </c>
      <c r="H68" s="1098"/>
      <c r="I68" s="1081" t="s">
        <v>1655</v>
      </c>
      <c r="J68" s="1101"/>
      <c r="K68" s="1101"/>
      <c r="L68" s="1101"/>
      <c r="M68" s="1101"/>
      <c r="N68" s="1112"/>
    </row>
    <row r="69" spans="1:14" ht="18" customHeight="1" x14ac:dyDescent="0.45">
      <c r="A69" s="1109"/>
      <c r="B69" s="1098" t="s">
        <v>932</v>
      </c>
      <c r="C69" s="1172">
        <v>500</v>
      </c>
      <c r="D69" s="1089" t="s">
        <v>1649</v>
      </c>
      <c r="E69" s="1183">
        <f>$C$68*C69</f>
        <v>30000</v>
      </c>
      <c r="F69" s="1089" t="s">
        <v>1651</v>
      </c>
      <c r="G69" s="1172">
        <v>20</v>
      </c>
      <c r="H69" s="1262" t="s">
        <v>2036</v>
      </c>
      <c r="I69" s="1172">
        <v>20</v>
      </c>
      <c r="J69" s="1262" t="s">
        <v>2036</v>
      </c>
      <c r="K69" s="1101"/>
      <c r="L69" s="1101"/>
      <c r="M69" s="1101"/>
      <c r="N69" s="1112"/>
    </row>
    <row r="70" spans="1:14" ht="18" customHeight="1" x14ac:dyDescent="0.45">
      <c r="A70" s="1109"/>
      <c r="B70" s="1098" t="s">
        <v>934</v>
      </c>
      <c r="C70" s="1172">
        <v>3</v>
      </c>
      <c r="D70" s="1089" t="s">
        <v>1650</v>
      </c>
      <c r="E70" s="1183">
        <f>$C$68*C70</f>
        <v>180</v>
      </c>
      <c r="F70" s="1089" t="s">
        <v>1652</v>
      </c>
      <c r="G70" s="1172">
        <v>15</v>
      </c>
      <c r="H70" s="1262" t="s">
        <v>764</v>
      </c>
      <c r="I70" s="1172">
        <v>7</v>
      </c>
      <c r="J70" s="1262" t="s">
        <v>764</v>
      </c>
      <c r="K70" s="1101"/>
      <c r="L70" s="1101"/>
      <c r="M70" s="1101"/>
      <c r="N70" s="1112"/>
    </row>
    <row r="71" spans="1:14" ht="18" customHeight="1" x14ac:dyDescent="0.45">
      <c r="A71" s="1109"/>
      <c r="B71" s="1101"/>
      <c r="C71" s="1098"/>
      <c r="D71" s="1098"/>
      <c r="E71" s="1098"/>
      <c r="F71" s="1098"/>
      <c r="G71" s="1172">
        <v>8</v>
      </c>
      <c r="H71" s="1262" t="s">
        <v>2041</v>
      </c>
      <c r="I71" s="1172">
        <v>16</v>
      </c>
      <c r="J71" s="1262" t="s">
        <v>2041</v>
      </c>
      <c r="K71" s="1101"/>
      <c r="L71" s="1101"/>
      <c r="M71" s="1101"/>
      <c r="N71" s="1112"/>
    </row>
    <row r="72" spans="1:14" ht="18" customHeight="1" x14ac:dyDescent="0.45">
      <c r="A72" s="1109"/>
      <c r="B72" s="1101"/>
      <c r="C72" s="1098"/>
      <c r="D72" s="1098"/>
      <c r="E72" s="1098"/>
      <c r="F72" s="1098"/>
      <c r="G72" s="1172">
        <v>40</v>
      </c>
      <c r="H72" s="1262" t="s">
        <v>2042</v>
      </c>
      <c r="I72" s="1172">
        <v>40</v>
      </c>
      <c r="J72" s="1262" t="s">
        <v>2042</v>
      </c>
      <c r="K72" s="1101"/>
      <c r="L72" s="1101"/>
      <c r="M72" s="1101"/>
      <c r="N72" s="1112"/>
    </row>
    <row r="73" spans="1:14" ht="18" customHeight="1" x14ac:dyDescent="0.45">
      <c r="A73" s="1109"/>
      <c r="B73" s="1101"/>
      <c r="C73" s="1098"/>
      <c r="D73" s="1098"/>
      <c r="E73" s="1098"/>
      <c r="F73" s="1098"/>
      <c r="G73" s="1172">
        <v>1</v>
      </c>
      <c r="H73" s="1262" t="s">
        <v>2049</v>
      </c>
      <c r="I73" s="1172">
        <v>2</v>
      </c>
      <c r="J73" s="1262" t="s">
        <v>2049</v>
      </c>
      <c r="K73" s="1101"/>
      <c r="L73" s="1101"/>
      <c r="M73" s="1101"/>
      <c r="N73" s="1112"/>
    </row>
    <row r="74" spans="1:14" ht="18" customHeight="1" thickBot="1" x14ac:dyDescent="0.5">
      <c r="A74" s="1109"/>
      <c r="B74" s="1101"/>
      <c r="C74" s="1098"/>
      <c r="D74" s="1098"/>
      <c r="E74" s="1098"/>
      <c r="F74" s="1098"/>
      <c r="G74" s="1098"/>
      <c r="H74" s="1098"/>
      <c r="I74" s="1098"/>
      <c r="J74" s="1098"/>
      <c r="K74" s="1089"/>
      <c r="L74" s="1101"/>
      <c r="M74" s="1101"/>
      <c r="N74" s="1112"/>
    </row>
    <row r="75" spans="1:14" ht="18" customHeight="1" x14ac:dyDescent="0.45">
      <c r="A75" s="1109"/>
      <c r="B75" s="1081"/>
      <c r="C75" s="1081" t="s">
        <v>1544</v>
      </c>
      <c r="D75" s="1153"/>
      <c r="E75" s="1153"/>
      <c r="F75" s="1154"/>
      <c r="G75" s="1090"/>
      <c r="H75" s="1101"/>
      <c r="I75" s="1154"/>
      <c r="J75" s="1154"/>
      <c r="K75" s="1153"/>
      <c r="L75" s="1155"/>
      <c r="M75" s="1101"/>
      <c r="N75" s="1112"/>
    </row>
    <row r="76" spans="1:14" ht="18" customHeight="1" x14ac:dyDescent="0.45">
      <c r="A76" s="1109"/>
      <c r="B76" s="1081" t="s">
        <v>762</v>
      </c>
      <c r="C76" s="1098" t="s">
        <v>105</v>
      </c>
      <c r="D76" s="1098" t="s">
        <v>426</v>
      </c>
      <c r="E76" s="1098" t="s">
        <v>522</v>
      </c>
      <c r="F76" s="1143" t="s">
        <v>2105</v>
      </c>
      <c r="G76" s="1143" t="s">
        <v>2106</v>
      </c>
      <c r="H76" s="1098" t="s">
        <v>571</v>
      </c>
      <c r="I76" s="1098" t="s">
        <v>572</v>
      </c>
      <c r="J76" s="1143" t="s">
        <v>2107</v>
      </c>
      <c r="K76" s="1098" t="s">
        <v>1142</v>
      </c>
      <c r="L76" s="1098" t="s">
        <v>201</v>
      </c>
      <c r="M76" s="1101"/>
      <c r="N76" s="1112"/>
    </row>
    <row r="77" spans="1:14" ht="18" customHeight="1" x14ac:dyDescent="0.45">
      <c r="A77" s="1109"/>
      <c r="B77" s="1160" t="s">
        <v>2037</v>
      </c>
      <c r="C77" s="1184">
        <v>1</v>
      </c>
      <c r="D77" s="1184">
        <v>1</v>
      </c>
      <c r="E77" s="1184">
        <v>1</v>
      </c>
      <c r="F77" s="1184">
        <v>1</v>
      </c>
      <c r="G77" s="1184">
        <v>1</v>
      </c>
      <c r="H77" s="1184">
        <v>1</v>
      </c>
      <c r="I77" s="1184">
        <v>1</v>
      </c>
      <c r="J77" s="1184">
        <v>1</v>
      </c>
      <c r="K77" s="1184">
        <v>1</v>
      </c>
      <c r="L77" s="1184">
        <v>1</v>
      </c>
      <c r="M77" s="1101"/>
      <c r="N77" s="1112"/>
    </row>
    <row r="78" spans="1:14" ht="18" customHeight="1" x14ac:dyDescent="0.45">
      <c r="A78" s="1109"/>
      <c r="B78" s="1160" t="s">
        <v>2038</v>
      </c>
      <c r="C78" s="1184">
        <v>0</v>
      </c>
      <c r="D78" s="1184">
        <v>0</v>
      </c>
      <c r="E78" s="1184">
        <v>0</v>
      </c>
      <c r="F78" s="1184">
        <v>0</v>
      </c>
      <c r="G78" s="1184">
        <v>0</v>
      </c>
      <c r="H78" s="1184">
        <v>0</v>
      </c>
      <c r="I78" s="1184">
        <v>0</v>
      </c>
      <c r="J78" s="1184">
        <v>0</v>
      </c>
      <c r="K78" s="1184">
        <v>0</v>
      </c>
      <c r="L78" s="1184">
        <v>0</v>
      </c>
      <c r="M78" s="1101"/>
      <c r="N78" s="1112"/>
    </row>
    <row r="79" spans="1:14" ht="18" customHeight="1" x14ac:dyDescent="0.45">
      <c r="A79" s="1109"/>
      <c r="B79" s="1081" t="s">
        <v>1236</v>
      </c>
      <c r="C79" s="1098"/>
      <c r="D79" s="1098"/>
      <c r="E79" s="1098"/>
      <c r="F79" s="1098"/>
      <c r="G79" s="1098"/>
      <c r="H79" s="1098"/>
      <c r="I79" s="1101"/>
      <c r="J79" s="1101"/>
      <c r="K79" s="1101"/>
      <c r="L79" s="1101"/>
      <c r="M79" s="1101"/>
      <c r="N79" s="1112"/>
    </row>
    <row r="80" spans="1:14" ht="18" customHeight="1" x14ac:dyDescent="0.45">
      <c r="A80" s="1109"/>
      <c r="B80" s="1081" t="s">
        <v>2039</v>
      </c>
      <c r="C80" s="1098" t="s">
        <v>105</v>
      </c>
      <c r="D80" s="1098" t="s">
        <v>426</v>
      </c>
      <c r="E80" s="1098" t="s">
        <v>522</v>
      </c>
      <c r="F80" s="1143" t="s">
        <v>2105</v>
      </c>
      <c r="G80" s="1143" t="s">
        <v>2106</v>
      </c>
      <c r="H80" s="1098" t="s">
        <v>571</v>
      </c>
      <c r="I80" s="1098" t="s">
        <v>572</v>
      </c>
      <c r="J80" s="1143" t="s">
        <v>2107</v>
      </c>
      <c r="K80" s="1098" t="s">
        <v>1142</v>
      </c>
      <c r="L80" s="1098" t="s">
        <v>201</v>
      </c>
      <c r="M80" s="1101"/>
      <c r="N80" s="1112"/>
    </row>
    <row r="81" spans="1:14" ht="18" customHeight="1" x14ac:dyDescent="0.45">
      <c r="A81" s="1109"/>
      <c r="B81" s="1160" t="s">
        <v>2037</v>
      </c>
      <c r="C81" s="1184">
        <v>1</v>
      </c>
      <c r="D81" s="1184">
        <v>1</v>
      </c>
      <c r="E81" s="1184">
        <v>1</v>
      </c>
      <c r="F81" s="1184">
        <v>1</v>
      </c>
      <c r="G81" s="1184">
        <v>1</v>
      </c>
      <c r="H81" s="1184">
        <v>1</v>
      </c>
      <c r="I81" s="1184">
        <v>1</v>
      </c>
      <c r="J81" s="1184">
        <v>1</v>
      </c>
      <c r="K81" s="1184">
        <v>1</v>
      </c>
      <c r="L81" s="1184">
        <v>1</v>
      </c>
      <c r="M81" s="1101"/>
      <c r="N81" s="1112"/>
    </row>
    <row r="82" spans="1:14" ht="18" customHeight="1" x14ac:dyDescent="0.45">
      <c r="A82" s="1109"/>
      <c r="B82" s="1160" t="s">
        <v>2038</v>
      </c>
      <c r="C82" s="1184">
        <v>0</v>
      </c>
      <c r="D82" s="1184">
        <v>0</v>
      </c>
      <c r="E82" s="1184">
        <v>0</v>
      </c>
      <c r="F82" s="1184">
        <v>0</v>
      </c>
      <c r="G82" s="1184">
        <v>0</v>
      </c>
      <c r="H82" s="1184">
        <v>0</v>
      </c>
      <c r="I82" s="1184">
        <v>0</v>
      </c>
      <c r="J82" s="1184">
        <v>0</v>
      </c>
      <c r="K82" s="1184">
        <v>0</v>
      </c>
      <c r="L82" s="1184">
        <v>0</v>
      </c>
      <c r="M82" s="1101"/>
      <c r="N82" s="1112"/>
    </row>
    <row r="83" spans="1:14" ht="18" customHeight="1" x14ac:dyDescent="0.45">
      <c r="A83" s="1109"/>
      <c r="B83" s="1081" t="s">
        <v>1236</v>
      </c>
      <c r="C83" s="1098"/>
      <c r="D83" s="1098"/>
      <c r="E83" s="1098"/>
      <c r="F83" s="1098"/>
      <c r="G83" s="1098"/>
      <c r="H83" s="1098"/>
      <c r="I83" s="1101"/>
      <c r="J83" s="1101"/>
      <c r="K83" s="1101"/>
      <c r="L83" s="1101"/>
      <c r="M83" s="1101"/>
      <c r="N83" s="1112"/>
    </row>
    <row r="84" spans="1:14" ht="18" customHeight="1" x14ac:dyDescent="0.45">
      <c r="A84" s="1109"/>
      <c r="B84" s="1081" t="s">
        <v>2040</v>
      </c>
      <c r="C84" s="1098" t="s">
        <v>105</v>
      </c>
      <c r="D84" s="1098" t="s">
        <v>426</v>
      </c>
      <c r="E84" s="1098" t="s">
        <v>522</v>
      </c>
      <c r="F84" s="1143" t="s">
        <v>2105</v>
      </c>
      <c r="G84" s="1143" t="s">
        <v>2106</v>
      </c>
      <c r="H84" s="1098" t="s">
        <v>571</v>
      </c>
      <c r="I84" s="1098" t="s">
        <v>572</v>
      </c>
      <c r="J84" s="1143" t="s">
        <v>2107</v>
      </c>
      <c r="K84" s="1098" t="s">
        <v>1142</v>
      </c>
      <c r="L84" s="1098" t="s">
        <v>201</v>
      </c>
      <c r="M84" s="1101"/>
      <c r="N84" s="1112"/>
    </row>
    <row r="85" spans="1:14" ht="18" customHeight="1" x14ac:dyDescent="0.45">
      <c r="A85" s="1109"/>
      <c r="B85" s="1160" t="s">
        <v>2037</v>
      </c>
      <c r="C85" s="1184">
        <v>1</v>
      </c>
      <c r="D85" s="1184">
        <v>1</v>
      </c>
      <c r="E85" s="1184">
        <v>1</v>
      </c>
      <c r="F85" s="1184">
        <v>1</v>
      </c>
      <c r="G85" s="1184">
        <v>1</v>
      </c>
      <c r="H85" s="1184">
        <v>1</v>
      </c>
      <c r="I85" s="1184">
        <v>1</v>
      </c>
      <c r="J85" s="1184">
        <v>1</v>
      </c>
      <c r="K85" s="1184">
        <v>1</v>
      </c>
      <c r="L85" s="1184">
        <v>1</v>
      </c>
      <c r="M85" s="1101"/>
      <c r="N85" s="1112"/>
    </row>
    <row r="86" spans="1:14" ht="18" customHeight="1" x14ac:dyDescent="0.45">
      <c r="A86" s="1109"/>
      <c r="B86" s="1160" t="s">
        <v>2038</v>
      </c>
      <c r="C86" s="1184">
        <v>0</v>
      </c>
      <c r="D86" s="1184">
        <v>0</v>
      </c>
      <c r="E86" s="1184">
        <v>0</v>
      </c>
      <c r="F86" s="1184">
        <v>0</v>
      </c>
      <c r="G86" s="1184">
        <v>0</v>
      </c>
      <c r="H86" s="1184">
        <v>0</v>
      </c>
      <c r="I86" s="1184">
        <v>0</v>
      </c>
      <c r="J86" s="1184">
        <v>0</v>
      </c>
      <c r="K86" s="1184">
        <v>0</v>
      </c>
      <c r="L86" s="1184">
        <v>0</v>
      </c>
      <c r="M86" s="1101"/>
      <c r="N86" s="1112"/>
    </row>
    <row r="87" spans="1:14" ht="18" customHeight="1" x14ac:dyDescent="0.45">
      <c r="A87" s="1109"/>
      <c r="B87" s="1101"/>
      <c r="C87" s="1098"/>
      <c r="D87" s="1098"/>
      <c r="E87" s="1098"/>
      <c r="F87" s="1098"/>
      <c r="G87" s="1098"/>
      <c r="H87" s="1098"/>
      <c r="I87" s="1101"/>
      <c r="J87" s="1101"/>
      <c r="K87" s="1101"/>
      <c r="L87" s="1101"/>
      <c r="M87" s="1101"/>
      <c r="N87" s="1112"/>
    </row>
    <row r="88" spans="1:14" ht="18" customHeight="1" x14ac:dyDescent="0.45">
      <c r="A88" s="1109"/>
      <c r="B88" s="1101"/>
      <c r="C88" s="1098"/>
      <c r="D88" s="1098"/>
      <c r="E88" s="1098"/>
      <c r="F88" s="1098"/>
      <c r="G88" s="1098"/>
      <c r="H88" s="1098"/>
      <c r="I88" s="1101"/>
      <c r="J88" s="1101"/>
      <c r="K88" s="1101"/>
      <c r="L88" s="1101"/>
      <c r="M88" s="1101"/>
      <c r="N88" s="1112"/>
    </row>
    <row r="89" spans="1:14" ht="18" customHeight="1" thickBot="1" x14ac:dyDescent="0.5">
      <c r="A89" s="1109"/>
      <c r="B89" s="1093" t="s">
        <v>2193</v>
      </c>
      <c r="C89" s="1098"/>
      <c r="D89" s="1098"/>
      <c r="E89" s="1098"/>
      <c r="F89" s="1098"/>
      <c r="G89" s="1098"/>
      <c r="H89" s="1098"/>
      <c r="I89" s="1101"/>
      <c r="J89" s="1101"/>
      <c r="K89" s="1101"/>
      <c r="L89" s="1101"/>
      <c r="M89" s="1101"/>
      <c r="N89" s="1112"/>
    </row>
    <row r="90" spans="1:14" ht="18" customHeight="1" x14ac:dyDescent="0.45">
      <c r="A90" s="1109"/>
      <c r="B90" s="1093"/>
      <c r="C90" s="1081" t="s">
        <v>1544</v>
      </c>
      <c r="D90" s="1153"/>
      <c r="E90" s="1153"/>
      <c r="F90" s="1154"/>
      <c r="G90" s="1090"/>
      <c r="H90" s="1101"/>
      <c r="I90" s="1154"/>
      <c r="J90" s="1154"/>
      <c r="K90" s="1153"/>
      <c r="L90" s="1155"/>
      <c r="M90" s="1101"/>
      <c r="N90" s="1112"/>
    </row>
    <row r="91" spans="1:14" ht="18" customHeight="1" x14ac:dyDescent="0.45">
      <c r="A91" s="1109"/>
      <c r="B91" s="1093"/>
      <c r="C91" s="1098" t="s">
        <v>105</v>
      </c>
      <c r="D91" s="1098" t="s">
        <v>426</v>
      </c>
      <c r="E91" s="1098" t="s">
        <v>522</v>
      </c>
      <c r="F91" s="1143" t="s">
        <v>2105</v>
      </c>
      <c r="G91" s="1143" t="s">
        <v>2106</v>
      </c>
      <c r="H91" s="1098" t="s">
        <v>571</v>
      </c>
      <c r="I91" s="1098" t="s">
        <v>572</v>
      </c>
      <c r="J91" s="1143" t="s">
        <v>2107</v>
      </c>
      <c r="K91" s="1098" t="s">
        <v>1142</v>
      </c>
      <c r="L91" s="1098" t="s">
        <v>201</v>
      </c>
      <c r="M91" s="1101"/>
      <c r="N91" s="1112"/>
    </row>
    <row r="92" spans="1:14" ht="18" customHeight="1" x14ac:dyDescent="0.45">
      <c r="A92" s="1109"/>
      <c r="B92" s="1098" t="s">
        <v>2072</v>
      </c>
      <c r="C92" s="1174">
        <v>0</v>
      </c>
      <c r="D92" s="1174">
        <v>0</v>
      </c>
      <c r="E92" s="1174">
        <v>0</v>
      </c>
      <c r="F92" s="1174">
        <v>0</v>
      </c>
      <c r="G92" s="1174">
        <v>0</v>
      </c>
      <c r="H92" s="1174">
        <v>0</v>
      </c>
      <c r="I92" s="1174">
        <v>0</v>
      </c>
      <c r="J92" s="1174">
        <v>0</v>
      </c>
      <c r="K92" s="1174">
        <v>0</v>
      </c>
      <c r="L92" s="1174">
        <v>0</v>
      </c>
      <c r="M92" s="1101"/>
      <c r="N92" s="1112"/>
    </row>
    <row r="93" spans="1:14" ht="18" customHeight="1" x14ac:dyDescent="0.45">
      <c r="A93" s="1109"/>
      <c r="B93" s="1098" t="s">
        <v>2073</v>
      </c>
      <c r="C93" s="1098"/>
      <c r="D93" s="1098"/>
      <c r="E93" s="1098"/>
      <c r="F93" s="1098"/>
      <c r="G93" s="1098"/>
      <c r="H93" s="1098"/>
      <c r="I93" s="1101"/>
      <c r="J93" s="1101"/>
      <c r="K93" s="1101"/>
      <c r="L93" s="1101"/>
      <c r="M93" s="1101"/>
      <c r="N93" s="1112"/>
    </row>
    <row r="94" spans="1:14" ht="18" customHeight="1" x14ac:dyDescent="0.45">
      <c r="A94" s="1109"/>
      <c r="B94" s="1098" t="s">
        <v>1107</v>
      </c>
      <c r="C94" s="1172">
        <v>0</v>
      </c>
      <c r="D94" s="1172">
        <v>0</v>
      </c>
      <c r="E94" s="1172">
        <v>0</v>
      </c>
      <c r="F94" s="1172">
        <v>0</v>
      </c>
      <c r="G94" s="1172">
        <v>0</v>
      </c>
      <c r="H94" s="1172">
        <v>0</v>
      </c>
      <c r="I94" s="1172">
        <v>0</v>
      </c>
      <c r="J94" s="1172">
        <v>0</v>
      </c>
      <c r="K94" s="1172">
        <v>0</v>
      </c>
      <c r="L94" s="1172">
        <v>0</v>
      </c>
      <c r="M94" s="1101"/>
      <c r="N94" s="1112"/>
    </row>
    <row r="95" spans="1:14" ht="18" customHeight="1" x14ac:dyDescent="0.45">
      <c r="A95" s="1109"/>
      <c r="B95" s="1098" t="s">
        <v>2074</v>
      </c>
      <c r="C95" s="1167">
        <v>0</v>
      </c>
      <c r="D95" s="1167">
        <v>0</v>
      </c>
      <c r="E95" s="1167">
        <v>0</v>
      </c>
      <c r="F95" s="1167">
        <v>0</v>
      </c>
      <c r="G95" s="1167">
        <v>0</v>
      </c>
      <c r="H95" s="1167">
        <v>0</v>
      </c>
      <c r="I95" s="1167">
        <v>0</v>
      </c>
      <c r="J95" s="1167">
        <v>0</v>
      </c>
      <c r="K95" s="1167">
        <v>0</v>
      </c>
      <c r="L95" s="1167">
        <v>0</v>
      </c>
      <c r="M95" s="1101"/>
      <c r="N95" s="1112"/>
    </row>
    <row r="96" spans="1:14" ht="18" customHeight="1" x14ac:dyDescent="0.45">
      <c r="A96" s="1109"/>
      <c r="B96" s="1093"/>
      <c r="C96" s="1098"/>
      <c r="D96" s="1098"/>
      <c r="E96" s="1098"/>
      <c r="F96" s="1098"/>
      <c r="G96" s="1098"/>
      <c r="H96" s="1098"/>
      <c r="I96" s="1101"/>
      <c r="J96" s="1101"/>
      <c r="K96" s="1101"/>
      <c r="L96" s="1101"/>
      <c r="M96" s="1101"/>
      <c r="N96" s="1112"/>
    </row>
    <row r="97" spans="1:14" ht="18" customHeight="1" x14ac:dyDescent="0.45">
      <c r="A97" s="1109"/>
      <c r="B97" s="1093"/>
      <c r="C97" s="1098"/>
      <c r="D97" s="1098"/>
      <c r="E97" s="1098"/>
      <c r="F97" s="1098"/>
      <c r="G97" s="1098"/>
      <c r="H97" s="1098"/>
      <c r="I97" s="1101"/>
      <c r="J97" s="1101"/>
      <c r="K97" s="1101"/>
      <c r="L97" s="1101"/>
      <c r="M97" s="1101"/>
      <c r="N97" s="1112"/>
    </row>
    <row r="98" spans="1:14" ht="18" customHeight="1" x14ac:dyDescent="0.45">
      <c r="A98" s="1109"/>
      <c r="B98" s="1093" t="s">
        <v>2194</v>
      </c>
      <c r="C98" s="1098"/>
      <c r="D98" s="1098"/>
      <c r="E98" s="1098"/>
      <c r="F98" s="1098"/>
      <c r="G98" s="1098"/>
      <c r="H98" s="1098"/>
      <c r="I98" s="1101"/>
      <c r="J98" s="1101"/>
      <c r="K98" s="1101"/>
      <c r="L98" s="1101"/>
      <c r="M98" s="1101"/>
      <c r="N98" s="1112"/>
    </row>
    <row r="99" spans="1:14" ht="18" customHeight="1" x14ac:dyDescent="0.45">
      <c r="A99" s="1109"/>
      <c r="B99" s="1101"/>
      <c r="C99" s="1167">
        <v>0.53521535987367308</v>
      </c>
      <c r="D99" s="1089" t="s">
        <v>287</v>
      </c>
      <c r="E99" s="1098"/>
      <c r="F99" s="1098"/>
      <c r="G99" s="1098"/>
      <c r="H99" s="1098"/>
      <c r="I99" s="1101"/>
      <c r="J99" s="1101"/>
      <c r="K99" s="1101"/>
      <c r="L99" s="1101"/>
      <c r="M99" s="1101"/>
      <c r="N99" s="1112"/>
    </row>
    <row r="100" spans="1:14" ht="18" customHeight="1" x14ac:dyDescent="0.45">
      <c r="A100" s="1109"/>
      <c r="B100" s="1101"/>
      <c r="C100" s="1098"/>
      <c r="D100" s="1098"/>
      <c r="E100" s="1098"/>
      <c r="F100" s="1098"/>
      <c r="G100" s="1098"/>
      <c r="H100" s="1098"/>
      <c r="I100" s="1101"/>
      <c r="J100" s="1101"/>
      <c r="K100" s="1101"/>
      <c r="L100" s="1101"/>
      <c r="M100" s="1101"/>
      <c r="N100" s="1112"/>
    </row>
    <row r="101" spans="1:14" ht="18" customHeight="1" x14ac:dyDescent="0.45">
      <c r="A101" s="1109"/>
      <c r="B101" s="1101"/>
      <c r="C101" s="1098"/>
      <c r="D101" s="1098"/>
      <c r="E101" s="1098"/>
      <c r="F101" s="1098"/>
      <c r="G101" s="1098"/>
      <c r="H101" s="1098"/>
      <c r="I101" s="1101"/>
      <c r="J101" s="1101"/>
      <c r="K101" s="1101"/>
      <c r="L101" s="1101"/>
      <c r="M101" s="1101"/>
      <c r="N101" s="1112"/>
    </row>
    <row r="102" spans="1:14" ht="18" customHeight="1" x14ac:dyDescent="0.45">
      <c r="A102" s="1109"/>
      <c r="B102" s="1093" t="s">
        <v>2195</v>
      </c>
      <c r="C102" s="1098"/>
      <c r="D102" s="1098"/>
      <c r="E102" s="1098"/>
      <c r="F102" s="1098"/>
      <c r="G102" s="1098"/>
      <c r="H102" s="1098"/>
      <c r="I102" s="1101"/>
      <c r="J102" s="1101"/>
      <c r="K102" s="1101"/>
      <c r="L102" s="1101"/>
      <c r="M102" s="1101"/>
      <c r="N102" s="1112"/>
    </row>
    <row r="103" spans="1:14" ht="18" customHeight="1" x14ac:dyDescent="0.45">
      <c r="A103" s="1109"/>
      <c r="B103" s="1101"/>
      <c r="C103" s="1081" t="s">
        <v>1523</v>
      </c>
      <c r="D103" s="1098" t="s">
        <v>1525</v>
      </c>
      <c r="E103" s="1098" t="s">
        <v>1526</v>
      </c>
      <c r="F103" s="1098" t="s">
        <v>1527</v>
      </c>
      <c r="G103" s="1098" t="s">
        <v>1095</v>
      </c>
      <c r="H103" s="1098" t="s">
        <v>1656</v>
      </c>
      <c r="I103" s="1098" t="s">
        <v>164</v>
      </c>
      <c r="J103" s="1101"/>
      <c r="K103" s="1101"/>
      <c r="L103" s="1101"/>
      <c r="M103" s="1101"/>
      <c r="N103" s="1112"/>
    </row>
    <row r="104" spans="1:14" ht="18" customHeight="1" x14ac:dyDescent="0.45">
      <c r="A104" s="1109"/>
      <c r="B104" s="1101"/>
      <c r="C104" s="1160" t="s">
        <v>1519</v>
      </c>
      <c r="D104" s="1172">
        <v>8</v>
      </c>
      <c r="E104" s="1172">
        <v>5</v>
      </c>
      <c r="F104" s="1172">
        <v>1</v>
      </c>
      <c r="G104" s="1172">
        <v>1</v>
      </c>
      <c r="H104" s="1183">
        <f>D104*E104*F104*G104</f>
        <v>40</v>
      </c>
      <c r="I104" s="1185">
        <f>H104/crops</f>
        <v>0.1</v>
      </c>
      <c r="J104" s="1101"/>
      <c r="K104" s="1101"/>
      <c r="L104" s="1101"/>
      <c r="M104" s="1101"/>
      <c r="N104" s="1112"/>
    </row>
    <row r="105" spans="1:14" ht="18" customHeight="1" x14ac:dyDescent="0.45">
      <c r="A105" s="1109"/>
      <c r="B105" s="1101"/>
      <c r="C105" s="1098" t="s">
        <v>1520</v>
      </c>
      <c r="D105" s="1172">
        <v>8</v>
      </c>
      <c r="E105" s="1172">
        <v>1</v>
      </c>
      <c r="F105" s="1172">
        <v>1</v>
      </c>
      <c r="G105" s="1172">
        <v>1</v>
      </c>
      <c r="H105" s="1183">
        <f>D105*E105*F105*G105</f>
        <v>8</v>
      </c>
      <c r="I105" s="1185">
        <f>H105/crops</f>
        <v>0.02</v>
      </c>
      <c r="J105" s="1101"/>
      <c r="K105" s="1101"/>
      <c r="L105" s="1101"/>
      <c r="M105" s="1101"/>
      <c r="N105" s="1112"/>
    </row>
    <row r="106" spans="1:14" ht="18" customHeight="1" x14ac:dyDescent="0.45">
      <c r="A106" s="1109"/>
      <c r="B106" s="1101"/>
      <c r="C106" s="1098" t="s">
        <v>1521</v>
      </c>
      <c r="D106" s="1172">
        <v>1</v>
      </c>
      <c r="E106" s="1172">
        <v>7</v>
      </c>
      <c r="F106" s="1172">
        <v>26</v>
      </c>
      <c r="G106" s="1172">
        <v>1</v>
      </c>
      <c r="H106" s="1183">
        <f>D106*E106*F106*G106</f>
        <v>182</v>
      </c>
      <c r="I106" s="1185">
        <f>H106/crops</f>
        <v>0.45500000000000002</v>
      </c>
      <c r="J106" s="1101"/>
      <c r="K106" s="1101"/>
      <c r="L106" s="1101"/>
      <c r="M106" s="1101"/>
      <c r="N106" s="1112"/>
    </row>
    <row r="107" spans="1:14" ht="18" customHeight="1" x14ac:dyDescent="0.45">
      <c r="A107" s="1109"/>
      <c r="B107" s="1101"/>
      <c r="C107" s="1098" t="s">
        <v>1522</v>
      </c>
      <c r="D107" s="1172">
        <v>1</v>
      </c>
      <c r="E107" s="1172">
        <v>5</v>
      </c>
      <c r="F107" s="1172">
        <v>26</v>
      </c>
      <c r="G107" s="1172">
        <v>1</v>
      </c>
      <c r="H107" s="1183">
        <f>D107*E107*F107*G107</f>
        <v>130</v>
      </c>
      <c r="I107" s="1185">
        <f>H107/crops</f>
        <v>0.32500000000000001</v>
      </c>
      <c r="J107" s="1101"/>
      <c r="K107" s="1101"/>
      <c r="L107" s="1101"/>
      <c r="M107" s="1101"/>
      <c r="N107" s="1112"/>
    </row>
    <row r="108" spans="1:14" ht="18" customHeight="1" x14ac:dyDescent="0.45">
      <c r="A108" s="1109"/>
      <c r="B108" s="1101"/>
      <c r="C108" s="1081" t="s">
        <v>1529</v>
      </c>
      <c r="D108" s="1098" t="s">
        <v>1525</v>
      </c>
      <c r="E108" s="1098" t="s">
        <v>1526</v>
      </c>
      <c r="F108" s="1098" t="s">
        <v>1527</v>
      </c>
      <c r="G108" s="1098" t="s">
        <v>1095</v>
      </c>
      <c r="H108" s="1098" t="s">
        <v>1656</v>
      </c>
      <c r="I108" s="1098" t="s">
        <v>164</v>
      </c>
      <c r="J108" s="1101"/>
      <c r="K108" s="1101"/>
      <c r="L108" s="1101"/>
      <c r="M108" s="1101"/>
      <c r="N108" s="1112"/>
    </row>
    <row r="109" spans="1:14" ht="18" customHeight="1" x14ac:dyDescent="0.45">
      <c r="A109" s="1109"/>
      <c r="B109" s="1101"/>
      <c r="C109" s="1160" t="s">
        <v>1493</v>
      </c>
      <c r="D109" s="1172">
        <v>8</v>
      </c>
      <c r="E109" s="1172">
        <v>0</v>
      </c>
      <c r="F109" s="1172">
        <v>1</v>
      </c>
      <c r="G109" s="1172">
        <v>1</v>
      </c>
      <c r="H109" s="1186">
        <f>D109*E109*F109*G109</f>
        <v>0</v>
      </c>
      <c r="I109" s="1185">
        <f>H109/crops</f>
        <v>0</v>
      </c>
      <c r="J109" s="1101"/>
      <c r="K109" s="1101"/>
      <c r="L109" s="1101"/>
      <c r="M109" s="1101"/>
      <c r="N109" s="1112"/>
    </row>
    <row r="110" spans="1:14" ht="18" customHeight="1" x14ac:dyDescent="0.45">
      <c r="A110" s="1109"/>
      <c r="B110" s="1101"/>
      <c r="C110" s="1098"/>
      <c r="D110" s="1098"/>
      <c r="E110" s="1098"/>
      <c r="F110" s="1098"/>
      <c r="G110" s="1098"/>
      <c r="H110" s="1101"/>
      <c r="I110" s="1101"/>
      <c r="J110" s="1101"/>
      <c r="K110" s="1101"/>
      <c r="L110" s="1101"/>
      <c r="M110" s="1101"/>
      <c r="N110" s="1112"/>
    </row>
    <row r="111" spans="1:14" ht="18" customHeight="1" x14ac:dyDescent="0.45">
      <c r="A111" s="1109"/>
      <c r="B111" s="1101"/>
      <c r="C111" s="1160" t="s">
        <v>1657</v>
      </c>
      <c r="D111" s="1174">
        <v>45</v>
      </c>
      <c r="E111" s="1098"/>
      <c r="F111" s="1098"/>
      <c r="G111" s="1098"/>
      <c r="H111" s="1098"/>
      <c r="I111" s="1101"/>
      <c r="J111" s="1101"/>
      <c r="K111" s="1101"/>
      <c r="L111" s="1101"/>
      <c r="M111" s="1101"/>
      <c r="N111" s="1112"/>
    </row>
    <row r="112" spans="1:14" ht="18" customHeight="1" x14ac:dyDescent="0.45">
      <c r="A112" s="1109"/>
      <c r="B112" s="1101"/>
      <c r="C112" s="1098"/>
      <c r="E112" s="1098"/>
      <c r="F112" s="1098"/>
      <c r="G112" s="1098"/>
      <c r="H112" s="1098"/>
      <c r="I112" s="1101"/>
      <c r="J112" s="1101"/>
      <c r="K112" s="1101"/>
      <c r="L112" s="1101"/>
      <c r="M112" s="1101"/>
      <c r="N112" s="1112"/>
    </row>
    <row r="113" spans="1:14" ht="18" customHeight="1" x14ac:dyDescent="0.45">
      <c r="A113" s="1109"/>
      <c r="B113" s="1101"/>
      <c r="C113" s="1081" t="s">
        <v>1847</v>
      </c>
      <c r="D113" s="1101"/>
      <c r="E113" s="1098"/>
      <c r="F113" s="1081"/>
      <c r="G113" s="1081" t="s">
        <v>2159</v>
      </c>
      <c r="H113" s="1098"/>
      <c r="I113" s="1101"/>
      <c r="J113" s="1081" t="s">
        <v>180</v>
      </c>
      <c r="K113" s="1098"/>
      <c r="L113" s="1101"/>
      <c r="M113" s="1101"/>
      <c r="N113" s="1112"/>
    </row>
    <row r="114" spans="1:14" ht="18" customHeight="1" x14ac:dyDescent="0.45">
      <c r="A114" s="1109"/>
      <c r="B114" s="1101"/>
      <c r="C114" s="1160" t="s">
        <v>1658</v>
      </c>
      <c r="D114" s="1174">
        <v>200</v>
      </c>
      <c r="E114" s="1089" t="s">
        <v>1659</v>
      </c>
      <c r="F114" s="1160"/>
      <c r="G114" s="1160" t="s">
        <v>2160</v>
      </c>
      <c r="H114" s="1174">
        <v>0</v>
      </c>
      <c r="I114" s="1089" t="s">
        <v>254</v>
      </c>
      <c r="J114" s="1160" t="s">
        <v>2161</v>
      </c>
      <c r="K114" s="1174">
        <v>0</v>
      </c>
      <c r="L114" s="1089" t="s">
        <v>254</v>
      </c>
      <c r="M114" s="1101"/>
      <c r="N114" s="1112"/>
    </row>
    <row r="115" spans="1:14" ht="18" customHeight="1" x14ac:dyDescent="0.45">
      <c r="A115" s="1109"/>
      <c r="B115" s="1101"/>
      <c r="C115" s="1160" t="s">
        <v>1513</v>
      </c>
      <c r="D115" s="1174">
        <v>500</v>
      </c>
      <c r="E115" s="1089" t="s">
        <v>1659</v>
      </c>
      <c r="F115" s="1098"/>
      <c r="G115" s="1098"/>
      <c r="H115" s="1098"/>
      <c r="I115" s="1098"/>
      <c r="J115" s="1098"/>
      <c r="K115" s="1101"/>
      <c r="L115" s="1101"/>
      <c r="M115" s="1101"/>
      <c r="N115" s="1112"/>
    </row>
    <row r="116" spans="1:14" ht="18" customHeight="1" x14ac:dyDescent="0.45">
      <c r="A116" s="1109"/>
      <c r="B116" s="1101"/>
      <c r="C116" s="1160" t="s">
        <v>1516</v>
      </c>
      <c r="D116" s="1174">
        <v>250</v>
      </c>
      <c r="E116" s="1089" t="s">
        <v>1659</v>
      </c>
      <c r="F116" s="1098"/>
      <c r="G116" s="1098"/>
      <c r="H116" s="1098"/>
      <c r="I116" s="1098"/>
      <c r="J116" s="1098"/>
      <c r="K116" s="1101"/>
      <c r="L116" s="1101"/>
      <c r="M116" s="1101"/>
      <c r="N116" s="1112"/>
    </row>
    <row r="117" spans="1:14" ht="18" customHeight="1" x14ac:dyDescent="0.45">
      <c r="A117" s="1109"/>
      <c r="B117" s="1101"/>
      <c r="C117" s="1098"/>
      <c r="D117" s="1098"/>
      <c r="E117" s="1098"/>
      <c r="F117" s="1098"/>
      <c r="G117" s="1098"/>
      <c r="H117" s="1098"/>
      <c r="I117" s="1101"/>
      <c r="J117" s="1101"/>
      <c r="K117" s="1101"/>
      <c r="L117" s="1101"/>
      <c r="M117" s="1101"/>
      <c r="N117" s="1112"/>
    </row>
    <row r="118" spans="1:14" ht="18" customHeight="1" thickBot="1" x14ac:dyDescent="0.5">
      <c r="A118" s="1116"/>
      <c r="B118" s="1117"/>
      <c r="C118" s="1117"/>
      <c r="D118" s="1117"/>
      <c r="E118" s="1117"/>
      <c r="F118" s="1117"/>
      <c r="G118" s="1117"/>
      <c r="H118" s="1117"/>
      <c r="I118" s="1117"/>
      <c r="J118" s="1117"/>
      <c r="K118" s="1117"/>
      <c r="L118" s="1117"/>
      <c r="M118" s="1117"/>
      <c r="N118" s="1118"/>
    </row>
  </sheetData>
  <sheetProtection algorithmName="SHA-512" hashValue="ObPjKxSK6QK52KRO+D4K6/7s18fVv4m92DGywbn76yWQueOUJHST2NaYURXmgH0mw5gfcnKIIB0hOVoOZYh6iA==" saltValue="9kkmI4Nopysk4O9VelRVCw==" spinCount="100000" sheet="1" objects="1" scenarios="1"/>
  <pageMargins left="0.7" right="0.7" top="0.75" bottom="0.75" header="0.3" footer="0.3"/>
  <pageSetup scale="40" orientation="portrait" r:id="rId1"/>
  <rowBreaks count="4" manualBreakCount="4">
    <brk id="24" max="16383" man="1"/>
    <brk id="44" max="16383" man="1"/>
    <brk id="66" max="16383" man="1"/>
    <brk id="97"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3"/>
  <sheetViews>
    <sheetView zoomScale="90" zoomScaleNormal="90" workbookViewId="0">
      <selection activeCell="B4" sqref="B4"/>
    </sheetView>
  </sheetViews>
  <sheetFormatPr defaultColWidth="8.90625" defaultRowHeight="20.5" x14ac:dyDescent="0.45"/>
  <cols>
    <col min="1" max="1" width="5.6328125" style="1126" customWidth="1"/>
    <col min="2" max="2" width="18.81640625" style="1126" customWidth="1"/>
    <col min="3" max="3" width="36.81640625" style="1126" customWidth="1"/>
    <col min="4" max="4" width="14.81640625" style="1126" customWidth="1"/>
    <col min="5" max="5" width="16.81640625" style="1126" customWidth="1"/>
    <col min="6" max="6" width="15.81640625" style="1197" customWidth="1"/>
    <col min="7" max="8" width="15.81640625" style="1126" customWidth="1"/>
    <col min="9" max="9" width="17.81640625" style="1126" customWidth="1"/>
    <col min="10" max="10" width="18.6328125" style="1126" customWidth="1"/>
    <col min="11" max="11" width="13.81640625" style="1126" customWidth="1"/>
    <col min="12" max="12" width="15.81640625" style="1126" customWidth="1"/>
    <col min="13" max="13" width="17.81640625" style="1126" customWidth="1"/>
    <col min="14" max="14" width="5.81640625" style="1126" customWidth="1"/>
    <col min="15" max="16" width="8.90625" style="1126"/>
    <col min="17" max="17" width="13.08984375" style="1126" customWidth="1"/>
    <col min="18" max="16384" width="8.90625" style="1126"/>
  </cols>
  <sheetData>
    <row r="1" spans="1:15" ht="18" customHeight="1" thickBot="1" x14ac:dyDescent="0.5">
      <c r="A1" s="1122"/>
      <c r="B1" s="1123"/>
      <c r="C1" s="1123"/>
      <c r="D1" s="1123"/>
      <c r="E1" s="1123"/>
      <c r="F1" s="1123"/>
      <c r="G1" s="1123"/>
      <c r="H1" s="1123"/>
      <c r="I1" s="1124" t="s">
        <v>1839</v>
      </c>
      <c r="J1" s="1100"/>
      <c r="K1" s="1119"/>
      <c r="L1" s="1100"/>
      <c r="M1" s="1123"/>
      <c r="N1" s="1125"/>
    </row>
    <row r="2" spans="1:15" ht="18" customHeight="1" thickBot="1" x14ac:dyDescent="0.5">
      <c r="A2" s="1127"/>
      <c r="B2" s="1128" t="s">
        <v>2204</v>
      </c>
      <c r="C2" s="1129"/>
      <c r="D2" s="1129"/>
      <c r="E2" s="1129"/>
      <c r="F2" s="1129"/>
      <c r="G2" s="1129"/>
      <c r="H2" s="1129"/>
      <c r="I2" s="1131" t="str">
        <f>FARM!$K$2</f>
        <v>ME Grain &amp; Pulse</v>
      </c>
      <c r="J2" s="1101"/>
      <c r="K2" s="1120"/>
      <c r="L2" s="1110"/>
      <c r="M2" s="1130"/>
      <c r="N2" s="1133"/>
    </row>
    <row r="3" spans="1:15" ht="18" customHeight="1" thickBot="1" x14ac:dyDescent="0.5">
      <c r="A3" s="1134"/>
      <c r="B3" s="1132"/>
      <c r="C3" s="1132"/>
      <c r="D3" s="1135"/>
      <c r="E3" s="1136"/>
      <c r="F3" s="1136"/>
      <c r="G3" s="1136"/>
      <c r="H3" s="1136"/>
      <c r="I3" s="1132"/>
      <c r="J3" s="1101"/>
      <c r="K3" s="1132"/>
      <c r="L3" s="1101"/>
      <c r="M3" s="1132"/>
      <c r="N3" s="1133"/>
    </row>
    <row r="4" spans="1:15" ht="18" customHeight="1" x14ac:dyDescent="0.45">
      <c r="A4" s="1193"/>
      <c r="B4" s="1091" t="s">
        <v>2199</v>
      </c>
      <c r="C4" s="1095"/>
      <c r="D4" s="1184">
        <v>0.01</v>
      </c>
      <c r="E4" s="1089" t="s">
        <v>1823</v>
      </c>
      <c r="F4" s="1089"/>
      <c r="G4" s="1091" t="s">
        <v>2274</v>
      </c>
      <c r="H4" s="1136"/>
      <c r="I4" s="1132"/>
      <c r="J4" s="1101"/>
      <c r="K4" s="1132"/>
      <c r="L4" s="1101"/>
      <c r="M4" s="1132"/>
      <c r="N4" s="1133"/>
    </row>
    <row r="5" spans="1:15" ht="18" customHeight="1" x14ac:dyDescent="0.45">
      <c r="A5" s="1193"/>
      <c r="B5" s="1101"/>
      <c r="C5" s="1101"/>
      <c r="D5" s="1101"/>
      <c r="E5" s="1101"/>
      <c r="F5" s="1101"/>
      <c r="G5" s="1101"/>
      <c r="H5" s="1184">
        <v>1</v>
      </c>
      <c r="I5" s="1089" t="s">
        <v>2275</v>
      </c>
      <c r="J5" s="1101"/>
      <c r="K5" s="1132"/>
      <c r="L5" s="1101"/>
      <c r="M5" s="1132"/>
      <c r="N5" s="1133"/>
    </row>
    <row r="6" spans="1:15" ht="18" customHeight="1" thickBot="1" x14ac:dyDescent="0.5">
      <c r="A6" s="1193"/>
      <c r="B6" s="1101"/>
      <c r="C6" s="1101"/>
      <c r="D6" s="1101"/>
      <c r="E6" s="1101"/>
      <c r="F6" s="1101"/>
      <c r="G6" s="1101"/>
      <c r="H6" s="1101"/>
      <c r="I6" s="1101"/>
      <c r="J6" s="1101"/>
      <c r="K6" s="1132"/>
      <c r="L6" s="1101"/>
      <c r="M6" s="1132"/>
      <c r="N6" s="1133"/>
    </row>
    <row r="7" spans="1:15" ht="18" customHeight="1" thickBot="1" x14ac:dyDescent="0.5">
      <c r="A7" s="1127"/>
      <c r="B7" s="1137" t="s">
        <v>2273</v>
      </c>
      <c r="C7" s="1132"/>
      <c r="D7" s="1132"/>
      <c r="E7" s="1132"/>
      <c r="F7" s="1101"/>
      <c r="G7" s="1150"/>
      <c r="H7" s="1213"/>
      <c r="I7" s="1150"/>
      <c r="J7" s="1108"/>
      <c r="K7" s="1150"/>
      <c r="L7" s="1101"/>
      <c r="M7" s="1132"/>
      <c r="N7" s="1133"/>
      <c r="O7" s="1138"/>
    </row>
    <row r="8" spans="1:15" ht="18" customHeight="1" x14ac:dyDescent="0.45">
      <c r="A8" s="1127"/>
      <c r="B8" s="1149" t="s">
        <v>1660</v>
      </c>
      <c r="C8" s="1132"/>
      <c r="D8" s="1132"/>
      <c r="E8" s="1150" t="s">
        <v>1898</v>
      </c>
      <c r="F8" s="1213" t="s">
        <v>1899</v>
      </c>
      <c r="G8" s="1150" t="s">
        <v>1662</v>
      </c>
      <c r="H8" s="1213" t="s">
        <v>1915</v>
      </c>
      <c r="I8" s="1150" t="s">
        <v>1917</v>
      </c>
      <c r="J8" s="1213" t="s">
        <v>1918</v>
      </c>
      <c r="K8" s="1150" t="s">
        <v>1664</v>
      </c>
      <c r="L8" s="1213" t="s">
        <v>1920</v>
      </c>
      <c r="M8" s="1132"/>
      <c r="N8" s="1133"/>
    </row>
    <row r="9" spans="1:15" ht="18" customHeight="1" x14ac:dyDescent="0.45">
      <c r="A9" s="1127"/>
      <c r="B9" s="1149" t="s">
        <v>3</v>
      </c>
      <c r="C9" s="1143" t="s">
        <v>1665</v>
      </c>
      <c r="D9" s="1143" t="s">
        <v>1355</v>
      </c>
      <c r="E9" s="1143" t="s">
        <v>1661</v>
      </c>
      <c r="F9" s="1098" t="s">
        <v>1661</v>
      </c>
      <c r="G9" s="1143" t="s">
        <v>1663</v>
      </c>
      <c r="H9" s="1098" t="s">
        <v>1913</v>
      </c>
      <c r="I9" s="1143" t="s">
        <v>1869</v>
      </c>
      <c r="J9" s="1098" t="s">
        <v>1869</v>
      </c>
      <c r="K9" s="1143" t="s">
        <v>1661</v>
      </c>
      <c r="L9" s="1098" t="s">
        <v>1661</v>
      </c>
      <c r="M9" s="1132"/>
      <c r="N9" s="1133"/>
    </row>
    <row r="10" spans="1:15" ht="18" customHeight="1" x14ac:dyDescent="0.45">
      <c r="A10" s="1127"/>
      <c r="B10" s="1170" t="s">
        <v>1546</v>
      </c>
      <c r="C10" s="1157" t="s">
        <v>1667</v>
      </c>
      <c r="D10" s="1158">
        <v>0</v>
      </c>
      <c r="E10" s="1159">
        <v>65000</v>
      </c>
      <c r="F10" s="1214">
        <f>(FARM!$F$5*Data!E276)+(FARM!$F$6*Data!E282)+(FARM!$F$7*Data!E288)</f>
        <v>65000</v>
      </c>
      <c r="G10" s="1158">
        <v>50</v>
      </c>
      <c r="H10" s="1215">
        <f>(FARM!$F$5*Data!G276)+(FARM!$F$6*Data!G282)+(FARM!$F$7*Data!G288)</f>
        <v>40</v>
      </c>
      <c r="I10" s="1159">
        <v>0</v>
      </c>
      <c r="J10" s="1214">
        <f>(FARM!$F$5*Data!H276*F10)+(FARM!$F$6*Data!H282*F10)+(FARM!$F$7*Data!H288*F10)</f>
        <v>919.99999999999989</v>
      </c>
      <c r="K10" s="1159">
        <v>0</v>
      </c>
      <c r="L10" s="1214">
        <f>(FARM!$F$5*Data!I276*F10)+(FARM!$F$6*Data!I282*F10)+(FARM!$F$7*Data!I288*F10)</f>
        <v>27950</v>
      </c>
      <c r="M10" s="1132"/>
      <c r="N10" s="1133"/>
    </row>
    <row r="11" spans="1:15" ht="18" customHeight="1" x14ac:dyDescent="0.45">
      <c r="A11" s="1127"/>
      <c r="B11" s="1170" t="s">
        <v>1547</v>
      </c>
      <c r="C11" s="1157" t="s">
        <v>1669</v>
      </c>
      <c r="D11" s="1158">
        <v>1</v>
      </c>
      <c r="E11" s="1159">
        <v>119000</v>
      </c>
      <c r="F11" s="1214">
        <f>(FARM!$F$5*Data!E277)+(FARM!$F$6*Data!E283)+(FARM!$F$7*Data!E289)</f>
        <v>119000</v>
      </c>
      <c r="G11" s="1158">
        <v>40</v>
      </c>
      <c r="H11" s="1215">
        <f>(FARM!$F$5*Data!G277)+(FARM!$F$6*Data!G283)+(FARM!$F$7*Data!G289)</f>
        <v>40</v>
      </c>
      <c r="I11" s="1159">
        <v>0</v>
      </c>
      <c r="J11" s="1214">
        <f>(FARM!$F$5*Data!H277*F11)+(FARM!$F$6*Data!H283*F11)+(FARM!$F$7*Data!H289*F11)</f>
        <v>1606.5</v>
      </c>
      <c r="K11" s="1159">
        <v>0</v>
      </c>
      <c r="L11" s="1214">
        <f>(FARM!$F$5*Data!I277*F11)+(FARM!$F$6*Data!I283*F11)+(FARM!$F$7*Data!I289*F11)</f>
        <v>51170</v>
      </c>
      <c r="M11" s="1132"/>
      <c r="N11" s="1133"/>
    </row>
    <row r="12" spans="1:15" ht="18" customHeight="1" x14ac:dyDescent="0.45">
      <c r="A12" s="1127"/>
      <c r="B12" s="1170" t="s">
        <v>1681</v>
      </c>
      <c r="C12" s="1157" t="s">
        <v>1668</v>
      </c>
      <c r="D12" s="1158">
        <v>0</v>
      </c>
      <c r="E12" s="1159">
        <v>141000</v>
      </c>
      <c r="F12" s="1214">
        <f>(FARM!$F$5*Data!E278)+(FARM!$F$6*Data!E284)+(FARM!$F$7*Data!E290)</f>
        <v>141000</v>
      </c>
      <c r="G12" s="1158">
        <v>50</v>
      </c>
      <c r="H12" s="1215">
        <f>(FARM!$F$5*Data!G278)+(FARM!$F$6*Data!G284)+(FARM!$F$7*Data!G290)</f>
        <v>40</v>
      </c>
      <c r="I12" s="1159">
        <v>0</v>
      </c>
      <c r="J12" s="1214">
        <f>(FARM!$F$5*Data!H278*F12)+(FARM!$F$6*Data!H284*F12)+(FARM!$F$7*Data!H290*F12)</f>
        <v>1903.5000000000002</v>
      </c>
      <c r="K12" s="1159">
        <v>0</v>
      </c>
      <c r="L12" s="1214">
        <f>(FARM!$F$5*Data!I278*F12)+(FARM!$F$6*Data!I284*F12)+(FARM!$F$7*Data!I290*F12)</f>
        <v>60630</v>
      </c>
      <c r="M12" s="1132"/>
      <c r="N12" s="1133"/>
    </row>
    <row r="13" spans="1:15" ht="18" customHeight="1" x14ac:dyDescent="0.45">
      <c r="A13" s="1127"/>
      <c r="B13" s="1170" t="s">
        <v>1548</v>
      </c>
      <c r="C13" s="1157" t="s">
        <v>1670</v>
      </c>
      <c r="D13" s="1158">
        <v>1</v>
      </c>
      <c r="E13" s="1159">
        <v>189000</v>
      </c>
      <c r="F13" s="1214">
        <f>(FARM!$F$5*Data!E279)+(FARM!$F$6*Data!E285)+(FARM!$F$7*Data!E291)</f>
        <v>189000</v>
      </c>
      <c r="G13" s="1158">
        <v>30</v>
      </c>
      <c r="H13" s="1215">
        <f>(FARM!$F$5*Data!G279)+(FARM!$F$6*Data!G285)+(FARM!$F$7*Data!G291)</f>
        <v>40</v>
      </c>
      <c r="I13" s="1159">
        <v>0</v>
      </c>
      <c r="J13" s="1214">
        <f>(FARM!$F$5*Data!H279*F13)+(FARM!$F$6*Data!H285*F13)+(FARM!$F$7*Data!H291*F13)</f>
        <v>3150</v>
      </c>
      <c r="K13" s="1159">
        <v>0</v>
      </c>
      <c r="L13" s="1214">
        <f>(FARM!$F$5*Data!I279*F13)+(FARM!$F$6*Data!I285*F13)+(FARM!$F$7*Data!I291*F13)</f>
        <v>71820</v>
      </c>
      <c r="M13" s="1132"/>
      <c r="N13" s="1133"/>
    </row>
    <row r="14" spans="1:15" ht="18" customHeight="1" x14ac:dyDescent="0.45">
      <c r="A14" s="1127"/>
      <c r="B14" s="1170" t="s">
        <v>1548</v>
      </c>
      <c r="C14" s="1157" t="s">
        <v>1671</v>
      </c>
      <c r="D14" s="1158">
        <v>0</v>
      </c>
      <c r="E14" s="1159">
        <v>235000</v>
      </c>
      <c r="F14" s="1214">
        <f>(FARM!$F$5*Data!E280)+(FARM!$F$6*Data!E286)+(FARM!$F$7*Data!E292)</f>
        <v>235000</v>
      </c>
      <c r="G14" s="1158">
        <v>20</v>
      </c>
      <c r="H14" s="1215">
        <f>(FARM!$F$5*Data!G280)+(FARM!$F$6*Data!G286)+(FARM!$F$7*Data!G292)</f>
        <v>40</v>
      </c>
      <c r="I14" s="1159">
        <v>0</v>
      </c>
      <c r="J14" s="1214">
        <f>(FARM!$F$5*Data!H280*F14)+(FARM!$F$6*Data!H286*F14)+(FARM!$F$7*Data!H292*F14)</f>
        <v>3914.9999999999995</v>
      </c>
      <c r="K14" s="1159">
        <v>0</v>
      </c>
      <c r="L14" s="1214">
        <f>(FARM!$F$5*Data!I280*F14)+(FARM!$F$6*Data!I286*F14)+(FARM!$F$7*Data!I292*F14)</f>
        <v>89300</v>
      </c>
      <c r="M14" s="1132"/>
      <c r="N14" s="1133"/>
    </row>
    <row r="15" spans="1:15" ht="18" customHeight="1" x14ac:dyDescent="0.45">
      <c r="A15" s="1127"/>
      <c r="B15" s="1149" t="s">
        <v>2013</v>
      </c>
      <c r="C15" s="1143" t="s">
        <v>1665</v>
      </c>
      <c r="D15" s="1143" t="s">
        <v>1355</v>
      </c>
      <c r="E15" s="1143" t="s">
        <v>1661</v>
      </c>
      <c r="F15" s="1098" t="s">
        <v>1912</v>
      </c>
      <c r="G15" s="1143" t="s">
        <v>1691</v>
      </c>
      <c r="H15" s="1098" t="s">
        <v>1916</v>
      </c>
      <c r="I15" s="1143" t="s">
        <v>1820</v>
      </c>
      <c r="J15" s="1098" t="s">
        <v>1919</v>
      </c>
      <c r="K15" s="1143" t="s">
        <v>1821</v>
      </c>
      <c r="L15" s="1101" t="s">
        <v>1921</v>
      </c>
      <c r="M15" s="1132"/>
      <c r="N15" s="1133"/>
    </row>
    <row r="16" spans="1:15" ht="18" customHeight="1" x14ac:dyDescent="0.45">
      <c r="A16" s="1127"/>
      <c r="B16" s="1171" t="s">
        <v>1666</v>
      </c>
      <c r="C16" s="1078" t="s">
        <v>2014</v>
      </c>
      <c r="D16" s="1172">
        <v>3</v>
      </c>
      <c r="E16" s="1174">
        <v>35101.790532254097</v>
      </c>
      <c r="F16" s="1214">
        <f>(FARM!$F$5*Data!E297)+(FARM!$F$6*Data!E298)+(FARM!$F$7*Data!E299)</f>
        <v>35101.790532254097</v>
      </c>
      <c r="G16" s="1172">
        <v>40</v>
      </c>
      <c r="H16" s="1215">
        <f>(FARM!$F$5*Data!G297)+(FARM!$F$6*Data!G298)+(FARM!$F$7*Data!G299)</f>
        <v>40</v>
      </c>
      <c r="I16" s="1174">
        <v>0</v>
      </c>
      <c r="J16" s="1214">
        <f>(FARM!$F$5*Data!H297*F16)+(FARM!$F$6*Data!H298*F16)+(FARM!$F$7*Data!H299*F16)</f>
        <v>702.03581064508194</v>
      </c>
      <c r="K16" s="1174">
        <v>0</v>
      </c>
      <c r="L16" s="1214">
        <f>(FARM!$F$5*Data!I297*F16)+(FARM!$F$6*Data!I298*F16)+(FARM!$F$7*Data!I299*F16)</f>
        <v>9126.4655383860663</v>
      </c>
      <c r="M16" s="1101"/>
      <c r="N16" s="1112"/>
    </row>
    <row r="17" spans="1:14" ht="18" customHeight="1" x14ac:dyDescent="0.45">
      <c r="A17" s="1127"/>
      <c r="B17" s="1171" t="s">
        <v>1666</v>
      </c>
      <c r="C17" s="1078" t="s">
        <v>2016</v>
      </c>
      <c r="D17" s="1172">
        <v>0</v>
      </c>
      <c r="E17" s="1174">
        <v>35101.790532254097</v>
      </c>
      <c r="F17" s="1214">
        <f>(FARM!$F$5*Data!E298)+(FARM!$F$6*Data!E299)+(FARM!$F$7*Data!E304)</f>
        <v>35101.790532254097</v>
      </c>
      <c r="G17" s="1172">
        <v>40</v>
      </c>
      <c r="H17" s="1215">
        <f>(FARM!$F$5*Data!G298)+(FARM!$F$6*Data!G299)+(FARM!$F$7*Data!G304)</f>
        <v>20</v>
      </c>
      <c r="I17" s="1174">
        <v>0</v>
      </c>
      <c r="J17" s="1214">
        <f>(FARM!$F$5*Data!H298*F17)+(FARM!$F$6*Data!H299*F17)+(FARM!$F$7*Data!H304*F17)</f>
        <v>702.03581064508194</v>
      </c>
      <c r="K17" s="1174">
        <v>0</v>
      </c>
      <c r="L17" s="1214">
        <f>(FARM!$F$5*Data!I298*F17)+(FARM!$F$6*Data!I299*F17)+(FARM!$F$7*Data!I304*F17)</f>
        <v>9126.4655383860663</v>
      </c>
      <c r="M17" s="1101"/>
      <c r="N17" s="1112"/>
    </row>
    <row r="18" spans="1:14" ht="18" customHeight="1" x14ac:dyDescent="0.45">
      <c r="A18" s="1127"/>
      <c r="B18" s="1171" t="s">
        <v>1666</v>
      </c>
      <c r="C18" s="1078" t="s">
        <v>2015</v>
      </c>
      <c r="D18" s="1172">
        <v>0</v>
      </c>
      <c r="E18" s="1174">
        <v>85000</v>
      </c>
      <c r="F18" s="1214">
        <f>(FARM!$F$5*Data!E299)+(FARM!$F$6*Data!E304)+(FARM!$F$7*Data!E305)</f>
        <v>28000</v>
      </c>
      <c r="G18" s="1172">
        <v>20</v>
      </c>
      <c r="H18" s="1215">
        <f>(FARM!$F$5*Data!G299)+(FARM!$F$6*Data!G304)+(FARM!$F$7*Data!G305)</f>
        <v>10</v>
      </c>
      <c r="I18" s="1174">
        <v>0</v>
      </c>
      <c r="J18" s="1214">
        <f>(FARM!$F$5*Data!H299*F18)+(FARM!$F$6*Data!H304*F18)+(FARM!$F$7*Data!H305*F18)</f>
        <v>1260</v>
      </c>
      <c r="K18" s="1174">
        <v>0</v>
      </c>
      <c r="L18" s="1214">
        <f>(FARM!$F$5*Data!I299*F18)+(FARM!$F$6*Data!I304*F18)+(FARM!$F$7*Data!I305*F18)</f>
        <v>7280</v>
      </c>
      <c r="M18" s="1101"/>
      <c r="N18" s="1112"/>
    </row>
    <row r="19" spans="1:14" ht="18" customHeight="1" x14ac:dyDescent="0.45">
      <c r="A19" s="1127"/>
      <c r="B19" s="1149" t="s">
        <v>6</v>
      </c>
      <c r="C19" s="1143" t="s">
        <v>1665</v>
      </c>
      <c r="D19" s="1143" t="s">
        <v>1355</v>
      </c>
      <c r="E19" s="1143" t="s">
        <v>1661</v>
      </c>
      <c r="F19" s="1098" t="s">
        <v>1912</v>
      </c>
      <c r="G19" s="1143" t="s">
        <v>1691</v>
      </c>
      <c r="H19" s="1098" t="s">
        <v>1916</v>
      </c>
      <c r="I19" s="1143" t="s">
        <v>1820</v>
      </c>
      <c r="J19" s="1098" t="s">
        <v>1919</v>
      </c>
      <c r="K19" s="1143" t="s">
        <v>1821</v>
      </c>
      <c r="L19" s="1101" t="s">
        <v>1921</v>
      </c>
      <c r="M19" s="1101"/>
      <c r="N19" s="1112"/>
    </row>
    <row r="20" spans="1:14" ht="18" customHeight="1" x14ac:dyDescent="0.45">
      <c r="A20" s="1127"/>
      <c r="B20" s="1171" t="s">
        <v>1896</v>
      </c>
      <c r="C20" s="1078" t="s">
        <v>1908</v>
      </c>
      <c r="D20" s="1172">
        <v>1</v>
      </c>
      <c r="E20" s="1174">
        <v>28000</v>
      </c>
      <c r="F20" s="1214">
        <f>(FARM!$F$5*Data!E310)+(FARM!$F$6*Data!E311)+(FARM!$F$7*Data!E311)</f>
        <v>28000</v>
      </c>
      <c r="G20" s="1172">
        <v>40</v>
      </c>
      <c r="H20" s="1215">
        <f>(FARM!$F$5*Data!G310)+(FARM!$F$6*Data!G311)+(FARM!$F$7*Data!G311)</f>
        <v>40</v>
      </c>
      <c r="I20" s="1174">
        <v>0</v>
      </c>
      <c r="J20" s="1214">
        <f>(FARM!$F$5*Data!H310*F20)+(FARM!$F$6*Data!H311*F20)+(FARM!$F$7*Data!H311*F20)</f>
        <v>1447.89</v>
      </c>
      <c r="K20" s="1174">
        <v>0</v>
      </c>
      <c r="L20" s="1214">
        <f>(FARM!$F$5*Data!I310*F20)+(FARM!$F$6*Data!I311*F20)+(FARM!$F$7*Data!I311*F20)</f>
        <v>9240</v>
      </c>
      <c r="M20" s="1101"/>
      <c r="N20" s="1112"/>
    </row>
    <row r="21" spans="1:14" ht="18" customHeight="1" x14ac:dyDescent="0.45">
      <c r="A21" s="1127"/>
      <c r="B21" s="1171" t="s">
        <v>1896</v>
      </c>
      <c r="C21" s="1078" t="s">
        <v>1909</v>
      </c>
      <c r="D21" s="1172">
        <v>0</v>
      </c>
      <c r="E21" s="1174">
        <v>42000</v>
      </c>
      <c r="F21" s="1214">
        <f>(FARM!$F$5*Data!E312)+(FARM!$F$6*Data!E312)+(FARM!$F$7*Data!E312)</f>
        <v>42000</v>
      </c>
      <c r="G21" s="1172">
        <v>20</v>
      </c>
      <c r="H21" s="1215">
        <f>(FARM!$F$5*Data!G312)+(FARM!$F$6*Data!G312)+(FARM!$F$7*Data!G312)</f>
        <v>20</v>
      </c>
      <c r="I21" s="1174">
        <v>0</v>
      </c>
      <c r="J21" s="1214">
        <f>(FARM!$F$5*Data!H312*F21)+(FARM!$F$6*Data!H312*F21)+(FARM!$F$7*Data!H312*F21)</f>
        <v>2177.6799999999998</v>
      </c>
      <c r="K21" s="1174">
        <v>0</v>
      </c>
      <c r="L21" s="1214">
        <f>(FARM!$F$5*Data!I312*F21)+(FARM!$F$6*Data!I312*F21)+(FARM!$F$7*Data!I312*F21)</f>
        <v>13860</v>
      </c>
      <c r="M21" s="1101"/>
      <c r="N21" s="1112"/>
    </row>
    <row r="22" spans="1:14" ht="18" customHeight="1" x14ac:dyDescent="0.45">
      <c r="A22" s="1127"/>
      <c r="B22" s="1171" t="s">
        <v>1429</v>
      </c>
      <c r="C22" s="1078" t="s">
        <v>1682</v>
      </c>
      <c r="D22" s="1172">
        <v>1</v>
      </c>
      <c r="E22" s="1174">
        <v>19000</v>
      </c>
      <c r="F22" s="1214">
        <f>(FARM!$F$5*Data!E313)+(FARM!$F$6*Data!E314)+(FARM!$F$7*Data!E314)</f>
        <v>19000</v>
      </c>
      <c r="G22" s="1172">
        <v>40</v>
      </c>
      <c r="H22" s="1215">
        <f>(FARM!$F$5*Data!G313)+(FARM!$F$6*Data!G314)+(FARM!$F$7*Data!G314)</f>
        <v>40</v>
      </c>
      <c r="I22" s="1174">
        <v>0</v>
      </c>
      <c r="J22" s="1214">
        <f>(FARM!$F$5*Data!H313*F22)+(FARM!$F$6*Data!H314*F22)+(FARM!$F$7*Data!H314*F22)</f>
        <v>462.40000000000003</v>
      </c>
      <c r="K22" s="1174">
        <v>0</v>
      </c>
      <c r="L22" s="1214">
        <f>(FARM!$F$5*Data!I313*F22)+(FARM!$F$6*Data!I314*F22)+(FARM!$F$7*Data!I314*F22)</f>
        <v>6270</v>
      </c>
      <c r="M22" s="1115"/>
      <c r="N22" s="1112"/>
    </row>
    <row r="23" spans="1:14" ht="18" customHeight="1" x14ac:dyDescent="0.45">
      <c r="A23" s="1127"/>
      <c r="B23" s="1171" t="s">
        <v>1429</v>
      </c>
      <c r="C23" s="1078" t="s">
        <v>1683</v>
      </c>
      <c r="D23" s="1172">
        <v>1</v>
      </c>
      <c r="E23" s="1174">
        <v>35000</v>
      </c>
      <c r="F23" s="1214">
        <f>(FARM!$F$5*Data!E315)+(FARM!$F$6*Data!E315)+(FARM!$F$7*Data!E315)</f>
        <v>35000</v>
      </c>
      <c r="G23" s="1172">
        <v>20</v>
      </c>
      <c r="H23" s="1215">
        <f>(FARM!$F$5*Data!G315)+(FARM!$F$6*Data!G315)+(FARM!$F$7*Data!G315)</f>
        <v>20</v>
      </c>
      <c r="I23" s="1174">
        <v>0</v>
      </c>
      <c r="J23" s="1214">
        <f>(FARM!$F$5*Data!H315*F23)+(FARM!$F$6*Data!H315*F23)+(FARM!$F$7*Data!H315*F23)</f>
        <v>855.26</v>
      </c>
      <c r="K23" s="1174">
        <v>0</v>
      </c>
      <c r="L23" s="1214">
        <f>(FARM!$F$5*Data!I315*F23)+(FARM!$F$6*Data!I315*F23)+(FARM!$F$7*Data!I315*F23)</f>
        <v>11550</v>
      </c>
      <c r="M23" s="1115"/>
      <c r="N23" s="1112"/>
    </row>
    <row r="24" spans="1:14" ht="18" customHeight="1" x14ac:dyDescent="0.45">
      <c r="A24" s="1127"/>
      <c r="B24" s="1171" t="s">
        <v>482</v>
      </c>
      <c r="C24" s="1078" t="s">
        <v>1684</v>
      </c>
      <c r="D24" s="1172">
        <v>1</v>
      </c>
      <c r="E24" s="1174">
        <v>19000</v>
      </c>
      <c r="F24" s="1214">
        <f>(FARM!$F$5*Data!E316)+(FARM!$F$6*Data!E316)+(FARM!$F$7*Data!E316)</f>
        <v>19000</v>
      </c>
      <c r="G24" s="1172">
        <v>50</v>
      </c>
      <c r="H24" s="1215">
        <f>(FARM!$F$5*Data!G316)+(FARM!$F$6*Data!G316)+(FARM!$F$7*Data!G316)</f>
        <v>50</v>
      </c>
      <c r="I24" s="1174">
        <v>0</v>
      </c>
      <c r="J24" s="1214">
        <f>(FARM!$F$5*Data!H316*F24)+(FARM!$F$6*Data!H316*F24)+(FARM!$F$7*Data!H316*F24)</f>
        <v>433.68</v>
      </c>
      <c r="K24" s="1174">
        <v>0</v>
      </c>
      <c r="L24" s="1214">
        <f>(FARM!$F$5*Data!I316*F24)+(FARM!$F$6*Data!I316*F24)+(FARM!$F$7*Data!I316*F24)</f>
        <v>5700</v>
      </c>
      <c r="M24" s="1132"/>
      <c r="N24" s="1133"/>
    </row>
    <row r="25" spans="1:14" ht="18" customHeight="1" x14ac:dyDescent="0.45">
      <c r="A25" s="1127"/>
      <c r="B25" s="1171" t="s">
        <v>482</v>
      </c>
      <c r="C25" s="1078" t="s">
        <v>1685</v>
      </c>
      <c r="D25" s="1172">
        <v>1</v>
      </c>
      <c r="E25" s="1174">
        <v>40000</v>
      </c>
      <c r="F25" s="1214">
        <f>(FARM!$F$5*Data!E317)+(FARM!$F$6*Data!E317)+(FARM!$F$7*Data!E317)</f>
        <v>40000</v>
      </c>
      <c r="G25" s="1172">
        <v>40</v>
      </c>
      <c r="H25" s="1215">
        <f>(FARM!$F$5*Data!G317)+(FARM!$F$6*Data!G317)+(FARM!$F$7*Data!G317)</f>
        <v>40</v>
      </c>
      <c r="I25" s="1174">
        <v>0</v>
      </c>
      <c r="J25" s="1214">
        <f>(FARM!$F$5*Data!H317*F25)+(FARM!$F$6*Data!H317*F25)+(FARM!$F$7*Data!H317*F25)</f>
        <v>1344.2</v>
      </c>
      <c r="K25" s="1174">
        <v>0</v>
      </c>
      <c r="L25" s="1214">
        <f>(FARM!$F$5*Data!I317*F25)+(FARM!$F$6*Data!I317*F25)+(FARM!$F$7*Data!I317*F25)</f>
        <v>12000</v>
      </c>
      <c r="M25" s="1115"/>
      <c r="N25" s="1133"/>
    </row>
    <row r="26" spans="1:14" ht="18" customHeight="1" x14ac:dyDescent="0.45">
      <c r="A26" s="1127"/>
      <c r="B26" s="1171" t="s">
        <v>482</v>
      </c>
      <c r="C26" s="1078" t="s">
        <v>1686</v>
      </c>
      <c r="D26" s="1172">
        <v>1</v>
      </c>
      <c r="E26" s="1174">
        <v>55000</v>
      </c>
      <c r="F26" s="1214">
        <f>(FARM!$F$5*Data!E318)+(FARM!$F$6*Data!E318)+(FARM!$F$7*Data!E318)</f>
        <v>55000</v>
      </c>
      <c r="G26" s="1172">
        <v>20</v>
      </c>
      <c r="H26" s="1215">
        <f>(FARM!$F$5*Data!G318)+(FARM!$F$6*Data!G318)+(FARM!$F$7*Data!G318)</f>
        <v>20</v>
      </c>
      <c r="I26" s="1174">
        <v>0</v>
      </c>
      <c r="J26" s="1214">
        <f>(FARM!$F$5*Data!H318*F26)+(FARM!$F$6*Data!H318*F26)+(FARM!$F$7*Data!H318*F26)</f>
        <v>1832.25</v>
      </c>
      <c r="K26" s="1174">
        <v>0</v>
      </c>
      <c r="L26" s="1214">
        <f>(FARM!$F$5*Data!I318*F26)+(FARM!$F$6*Data!I318*F26)+(FARM!$F$7*Data!I318*F26)</f>
        <v>16500</v>
      </c>
      <c r="M26" s="1115"/>
      <c r="N26" s="1133"/>
    </row>
    <row r="27" spans="1:14" ht="18" customHeight="1" x14ac:dyDescent="0.45">
      <c r="A27" s="1127"/>
      <c r="B27" s="1171" t="s">
        <v>1687</v>
      </c>
      <c r="C27" s="1078" t="s">
        <v>1922</v>
      </c>
      <c r="D27" s="1172">
        <v>1</v>
      </c>
      <c r="E27" s="1174">
        <v>26000</v>
      </c>
      <c r="F27" s="1214">
        <f>(FARM!$F$5*Data!E319)+(FARM!$F$6*Data!E320)+(FARM!$F$7*Data!E321)</f>
        <v>26000</v>
      </c>
      <c r="G27" s="1172">
        <v>40</v>
      </c>
      <c r="H27" s="1215">
        <f>(FARM!$F$5*Data!G319)+(FARM!$F$6*Data!G320)+(FARM!$F$7*Data!G321)</f>
        <v>40</v>
      </c>
      <c r="I27" s="1174">
        <v>0</v>
      </c>
      <c r="J27" s="1214">
        <f>(FARM!$F$5*Data!H319*F27)+(FARM!$F$6*Data!H320*F27)+(FARM!$F$7*Data!H321*F27)</f>
        <v>843.7</v>
      </c>
      <c r="K27" s="1174">
        <v>0</v>
      </c>
      <c r="L27" s="1214">
        <f>(FARM!$F$5*Data!I319*F27)+(FARM!$F$6*Data!I320*F27)+(FARM!$F$7*Data!I321*F27)</f>
        <v>7800</v>
      </c>
      <c r="M27" s="1132"/>
      <c r="N27" s="1133"/>
    </row>
    <row r="28" spans="1:14" ht="18" customHeight="1" x14ac:dyDescent="0.45">
      <c r="A28" s="1127"/>
      <c r="B28" s="1171" t="s">
        <v>1688</v>
      </c>
      <c r="C28" s="1078" t="s">
        <v>1689</v>
      </c>
      <c r="D28" s="1172">
        <v>1</v>
      </c>
      <c r="E28" s="1174">
        <v>15000</v>
      </c>
      <c r="F28" s="1214">
        <f>(FARM!$F$5*Data!E322)+(FARM!$F$6*Data!E322)+(FARM!$F$7*Data!E322)</f>
        <v>15000</v>
      </c>
      <c r="G28" s="1172">
        <v>50</v>
      </c>
      <c r="H28" s="1215">
        <f>(FARM!$F$5*Data!G322)+(FARM!$F$6*Data!G322)+(FARM!$F$7*Data!G322)</f>
        <v>50</v>
      </c>
      <c r="I28" s="1174">
        <v>0</v>
      </c>
      <c r="J28" s="1214">
        <f>(FARM!$F$5*Data!H322*F28)+(FARM!$F$6*Data!H322*F28)+(FARM!$F$7*Data!H322*F28)</f>
        <v>350.93571428571431</v>
      </c>
      <c r="K28" s="1174">
        <v>0</v>
      </c>
      <c r="L28" s="1214">
        <f>(FARM!$F$5*Data!I322*F28)+(FARM!$F$6*Data!I322*F28)+(FARM!$F$7*Data!I322*F28)</f>
        <v>5000</v>
      </c>
      <c r="M28" s="1132"/>
      <c r="N28" s="1133"/>
    </row>
    <row r="29" spans="1:14" ht="18" customHeight="1" x14ac:dyDescent="0.45">
      <c r="A29" s="1127"/>
      <c r="B29" s="1171" t="s">
        <v>1688</v>
      </c>
      <c r="C29" s="1078" t="s">
        <v>1690</v>
      </c>
      <c r="D29" s="1172">
        <v>1</v>
      </c>
      <c r="E29" s="1174">
        <v>35000</v>
      </c>
      <c r="F29" s="1214">
        <f>(FARM!$F$5*Data!E323)+(FARM!$F$6*Data!E323)+(FARM!$F$7*Data!E324)</f>
        <v>35000</v>
      </c>
      <c r="G29" s="1172">
        <v>40</v>
      </c>
      <c r="H29" s="1215">
        <f>(FARM!$F$5*Data!G323)+(FARM!$F$6*Data!G323)+(FARM!$F$7*Data!G324)</f>
        <v>40</v>
      </c>
      <c r="I29" s="1174">
        <v>0</v>
      </c>
      <c r="J29" s="1214">
        <f>(FARM!$F$5*Data!H323*F29)+(FARM!$F$6*Data!H323*F29)+(FARM!$F$7*Data!H324*F29)</f>
        <v>818.85</v>
      </c>
      <c r="K29" s="1174">
        <v>0</v>
      </c>
      <c r="L29" s="1214">
        <f>(FARM!$F$5*Data!I323*F29)+(FARM!$F$6*Data!I323*F29)+(FARM!$F$7*Data!I324*F29)</f>
        <v>11666.666666666666</v>
      </c>
      <c r="M29" s="1115"/>
      <c r="N29" s="1133"/>
    </row>
    <row r="30" spans="1:14" ht="18" customHeight="1" x14ac:dyDescent="0.45">
      <c r="A30" s="1127"/>
      <c r="B30" s="1171" t="s">
        <v>2166</v>
      </c>
      <c r="C30" s="1078" t="s">
        <v>1923</v>
      </c>
      <c r="D30" s="1172">
        <v>1</v>
      </c>
      <c r="E30" s="1174">
        <v>5000</v>
      </c>
      <c r="F30" s="1214">
        <f>(FARM!$F$5*Data!E325)+(FARM!$F$6*Data!E326)+(FARM!$F$7*Data!E327)</f>
        <v>5000</v>
      </c>
      <c r="G30" s="1172">
        <v>40</v>
      </c>
      <c r="H30" s="1215">
        <f>(FARM!$F$5*Data!G325)+(FARM!$F$6*Data!G326)+(FARM!$F$7*Data!G327)</f>
        <v>40</v>
      </c>
      <c r="I30" s="1174">
        <v>0</v>
      </c>
      <c r="J30" s="1214">
        <f>(FARM!$F$5*Data!H325*F30)+(FARM!$F$6*Data!H326*F30)+(FARM!$F$7*Data!H327*F30)</f>
        <v>100</v>
      </c>
      <c r="K30" s="1174">
        <v>0</v>
      </c>
      <c r="L30" s="1214">
        <f>(FARM!$F$5*Data!I325*F30)+(FARM!$F$6*Data!I326*F30)+(FARM!$F$7*Data!I327*F30)</f>
        <v>1000</v>
      </c>
      <c r="M30" s="1132"/>
      <c r="N30" s="1133"/>
    </row>
    <row r="31" spans="1:14" ht="18" customHeight="1" x14ac:dyDescent="0.45">
      <c r="A31" s="1127"/>
      <c r="B31" s="1149" t="s">
        <v>1692</v>
      </c>
      <c r="C31" s="1143" t="s">
        <v>1665</v>
      </c>
      <c r="D31" s="1143" t="s">
        <v>1355</v>
      </c>
      <c r="E31" s="1143" t="s">
        <v>1661</v>
      </c>
      <c r="F31" s="1098" t="s">
        <v>1912</v>
      </c>
      <c r="G31" s="1143" t="s">
        <v>1691</v>
      </c>
      <c r="H31" s="1098" t="s">
        <v>1916</v>
      </c>
      <c r="I31" s="1143" t="s">
        <v>1820</v>
      </c>
      <c r="J31" s="1098" t="s">
        <v>1919</v>
      </c>
      <c r="K31" s="1143" t="s">
        <v>1821</v>
      </c>
      <c r="L31" s="1101" t="s">
        <v>1921</v>
      </c>
      <c r="M31" s="1115"/>
      <c r="N31" s="1133"/>
    </row>
    <row r="32" spans="1:14" ht="18" customHeight="1" x14ac:dyDescent="0.45">
      <c r="A32" s="1127"/>
      <c r="B32" s="1171" t="s">
        <v>1694</v>
      </c>
      <c r="C32" s="1078" t="s">
        <v>1924</v>
      </c>
      <c r="D32" s="1172">
        <v>1</v>
      </c>
      <c r="E32" s="1174">
        <v>5000</v>
      </c>
      <c r="F32" s="1214">
        <f>(FARM!$F$5*Data!E335)+(FARM!$F$6*Data!E336)+(FARM!$F$7*Data!E337)</f>
        <v>5000</v>
      </c>
      <c r="G32" s="1172">
        <v>40</v>
      </c>
      <c r="H32" s="1215">
        <f>(FARM!$F$5*Data!G335)+(FARM!$F$6*Data!G336)+(FARM!$F$7*Data!G337)</f>
        <v>40</v>
      </c>
      <c r="I32" s="1174">
        <v>0</v>
      </c>
      <c r="J32" s="1214">
        <f>(FARM!$F$5*Data!H335*F32)+(FARM!$F$6*Data!H336*F32)+(FARM!$F$7*Data!H337*F32)</f>
        <v>100</v>
      </c>
      <c r="K32" s="1174">
        <v>0</v>
      </c>
      <c r="L32" s="1214">
        <f>(FARM!$F$5*Data!I335*F32)+(FARM!$F$6*Data!I336*F32)+(FARM!$F$7*Data!I337*F32)</f>
        <v>1000</v>
      </c>
      <c r="M32" s="1132"/>
      <c r="N32" s="1133"/>
    </row>
    <row r="33" spans="1:14" ht="18" customHeight="1" x14ac:dyDescent="0.45">
      <c r="A33" s="1127"/>
      <c r="B33" s="1171" t="s">
        <v>1693</v>
      </c>
      <c r="C33" s="1078" t="s">
        <v>1693</v>
      </c>
      <c r="D33" s="1172">
        <v>1</v>
      </c>
      <c r="E33" s="1174">
        <v>7738.78761047635</v>
      </c>
      <c r="F33" s="1214">
        <f>(FARM!$F$5*Data!E338)+(FARM!$F$6*Data!E339)+(FARM!$F$7*Data!E340)</f>
        <v>7738.78761047635</v>
      </c>
      <c r="G33" s="1172">
        <v>40</v>
      </c>
      <c r="H33" s="1215">
        <f>(FARM!$F$5*Data!G338)+(FARM!$F$6*Data!G339)+(FARM!$F$7*Data!G340)</f>
        <v>40</v>
      </c>
      <c r="I33" s="1174">
        <v>0</v>
      </c>
      <c r="J33" s="1214">
        <f>(FARM!$F$5*Data!H338*F33)+(FARM!$F$6*Data!H339*F33)+(FARM!$F$7*Data!H340*F33)</f>
        <v>176.63986373217779</v>
      </c>
      <c r="K33" s="1174">
        <v>0</v>
      </c>
      <c r="L33" s="1214">
        <f>(FARM!$F$5*Data!I338*F33)+(FARM!$F$6*Data!I339*F33)+(FARM!$F$7*Data!I340*F33)</f>
        <v>1934.6969026190875</v>
      </c>
      <c r="M33" s="1132"/>
      <c r="N33" s="1133"/>
    </row>
    <row r="34" spans="1:14" ht="18" customHeight="1" x14ac:dyDescent="0.45">
      <c r="A34" s="1127"/>
      <c r="B34" s="1171" t="s">
        <v>122</v>
      </c>
      <c r="C34" s="1078" t="s">
        <v>1695</v>
      </c>
      <c r="D34" s="1172">
        <v>1</v>
      </c>
      <c r="E34" s="1174">
        <v>22000</v>
      </c>
      <c r="F34" s="1214">
        <f>(FARM!$F$5*Data!E343)+(FARM!$F$6*Data!E343)+(FARM!$F$7*Data!E343)</f>
        <v>22000</v>
      </c>
      <c r="G34" s="1172">
        <v>50</v>
      </c>
      <c r="H34" s="1215">
        <f>(FARM!$F$5*Data!G343)+(FARM!$F$6*Data!G343)+(FARM!$F$7*Data!G343)</f>
        <v>50</v>
      </c>
      <c r="I34" s="1174">
        <v>0</v>
      </c>
      <c r="J34" s="1214">
        <f>(FARM!$F$5*Data!H343*F34)+(FARM!$F$6*Data!H343*F34)+(FARM!$F$7*Data!H343*F34)</f>
        <v>524.27</v>
      </c>
      <c r="K34" s="1174">
        <v>0</v>
      </c>
      <c r="L34" s="1214">
        <f>(FARM!$F$5*Data!I343*F34)+(FARM!$F$6*Data!I343*F34)+(FARM!$F$7*Data!I343*F34)</f>
        <v>8800</v>
      </c>
      <c r="M34" s="1132"/>
      <c r="N34" s="1133"/>
    </row>
    <row r="35" spans="1:14" ht="18" customHeight="1" x14ac:dyDescent="0.45">
      <c r="A35" s="1127"/>
      <c r="B35" s="1171" t="s">
        <v>122</v>
      </c>
      <c r="C35" s="1078" t="s">
        <v>1696</v>
      </c>
      <c r="D35" s="1172">
        <v>1</v>
      </c>
      <c r="E35" s="1174">
        <v>45000</v>
      </c>
      <c r="F35" s="1214">
        <f>(FARM!$F$5*Data!E344)+(FARM!$F$6*Data!E344)+(FARM!$F$7*Data!E344)</f>
        <v>45000</v>
      </c>
      <c r="G35" s="1172">
        <v>40</v>
      </c>
      <c r="H35" s="1215">
        <f>(FARM!$F$5*Data!G344)+(FARM!$F$6*Data!G344)+(FARM!$F$7*Data!G344)</f>
        <v>40</v>
      </c>
      <c r="I35" s="1174">
        <v>0</v>
      </c>
      <c r="J35" s="1214">
        <f>(FARM!$F$5*Data!H344*F35)+(FARM!$F$6*Data!H344*F35)+(FARM!$F$7*Data!H344*F35)</f>
        <v>1065.3</v>
      </c>
      <c r="K35" s="1174">
        <v>0</v>
      </c>
      <c r="L35" s="1214">
        <f>(FARM!$F$5*Data!I344*F35)+(FARM!$F$6*Data!I344*F35)+(FARM!$F$7*Data!I344*F35)</f>
        <v>18000</v>
      </c>
      <c r="M35" s="1132"/>
      <c r="N35" s="1133"/>
    </row>
    <row r="36" spans="1:14" ht="18" customHeight="1" x14ac:dyDescent="0.45">
      <c r="A36" s="1127"/>
      <c r="B36" s="1171" t="s">
        <v>122</v>
      </c>
      <c r="C36" s="1078" t="s">
        <v>1697</v>
      </c>
      <c r="D36" s="1172">
        <v>1</v>
      </c>
      <c r="E36" s="1174">
        <v>57000</v>
      </c>
      <c r="F36" s="1214">
        <f>(FARM!$F$5*Data!E345)+(FARM!$F$6*Data!E345)+(FARM!$F$7*Data!E345)</f>
        <v>57000</v>
      </c>
      <c r="G36" s="1172">
        <v>20</v>
      </c>
      <c r="H36" s="1215">
        <f>(FARM!$F$5*Data!G345)+(FARM!$F$6*Data!G345)+(FARM!$F$7*Data!G345)</f>
        <v>20</v>
      </c>
      <c r="I36" s="1174">
        <v>0</v>
      </c>
      <c r="J36" s="1214">
        <f>(FARM!$F$5*Data!H345*F36)+(FARM!$F$6*Data!H345*F36)+(FARM!$F$7*Data!H345*F36)</f>
        <v>1547.3600000000001</v>
      </c>
      <c r="K36" s="1174">
        <v>0</v>
      </c>
      <c r="L36" s="1214">
        <f>(FARM!$F$5*Data!I345*F36)+(FARM!$F$6*Data!I345*F36)+(FARM!$F$7*Data!I345*F36)</f>
        <v>22800</v>
      </c>
      <c r="M36" s="1132"/>
      <c r="N36" s="1133"/>
    </row>
    <row r="37" spans="1:14" ht="18" customHeight="1" x14ac:dyDescent="0.45">
      <c r="A37" s="1127"/>
      <c r="B37" s="1149" t="s">
        <v>1698</v>
      </c>
      <c r="C37" s="1143" t="s">
        <v>1665</v>
      </c>
      <c r="D37" s="1143" t="s">
        <v>1355</v>
      </c>
      <c r="E37" s="1143" t="s">
        <v>1661</v>
      </c>
      <c r="F37" s="1098" t="s">
        <v>1912</v>
      </c>
      <c r="G37" s="1143" t="s">
        <v>1691</v>
      </c>
      <c r="H37" s="1098" t="s">
        <v>1916</v>
      </c>
      <c r="I37" s="1143" t="s">
        <v>1820</v>
      </c>
      <c r="J37" s="1098" t="s">
        <v>1919</v>
      </c>
      <c r="K37" s="1143" t="s">
        <v>1821</v>
      </c>
      <c r="L37" s="1101" t="s">
        <v>1921</v>
      </c>
      <c r="M37" s="1132"/>
      <c r="N37" s="1133"/>
    </row>
    <row r="38" spans="1:14" ht="18" customHeight="1" x14ac:dyDescent="0.45">
      <c r="A38" s="1127"/>
      <c r="B38" s="1171" t="s">
        <v>1702</v>
      </c>
      <c r="C38" s="1078" t="s">
        <v>1699</v>
      </c>
      <c r="D38" s="1172">
        <v>0</v>
      </c>
      <c r="E38" s="1174">
        <v>21000</v>
      </c>
      <c r="F38" s="1214">
        <f>(FARM!$F$5*Data!E353)+(FARM!$F$6*Data!E353)+(FARM!$F$7*Data!E353)</f>
        <v>21000</v>
      </c>
      <c r="G38" s="1172">
        <v>40</v>
      </c>
      <c r="H38" s="1215">
        <f>(FARM!$F$5*Data!G353)+(FARM!$F$6*Data!G353)+(FARM!$F$7*Data!G353)</f>
        <v>50</v>
      </c>
      <c r="I38" s="1174">
        <v>0</v>
      </c>
      <c r="J38" s="1214">
        <f>(FARM!$F$5*Data!H353*F38)+(FARM!$F$6*Data!H353*F38)+(FARM!$F$7*Data!H353*F38)</f>
        <v>945</v>
      </c>
      <c r="K38" s="1174">
        <v>0</v>
      </c>
      <c r="L38" s="1214">
        <f>(FARM!$F$5*Data!I353*F38)+(FARM!$F$6*Data!I353*F38)+(FARM!$F$7*Data!I353*F38)</f>
        <v>10500</v>
      </c>
      <c r="M38" s="1132"/>
      <c r="N38" s="1133"/>
    </row>
    <row r="39" spans="1:14" ht="18" customHeight="1" x14ac:dyDescent="0.45">
      <c r="A39" s="1127"/>
      <c r="B39" s="1171" t="s">
        <v>1702</v>
      </c>
      <c r="C39" s="1078" t="s">
        <v>1700</v>
      </c>
      <c r="D39" s="1172">
        <v>0</v>
      </c>
      <c r="E39" s="1174">
        <v>45000</v>
      </c>
      <c r="F39" s="1214">
        <f>(FARM!$F$5*Data!E354)+(FARM!$F$6*Data!E354)+(FARM!$F$7*Data!E354)</f>
        <v>45000</v>
      </c>
      <c r="G39" s="1172">
        <v>40</v>
      </c>
      <c r="H39" s="1215">
        <f>(FARM!$F$5*Data!G354)+(FARM!$F$6*Data!G354)+(FARM!$F$7*Data!G354)</f>
        <v>40</v>
      </c>
      <c r="I39" s="1174">
        <v>0</v>
      </c>
      <c r="J39" s="1214">
        <f>(FARM!$F$5*Data!H354*F39)+(FARM!$F$6*Data!H354*F39)+(FARM!$F$7*Data!H354*F39)</f>
        <v>2025</v>
      </c>
      <c r="K39" s="1174">
        <v>0</v>
      </c>
      <c r="L39" s="1214">
        <f>(FARM!$F$5*Data!I354*F39)+(FARM!$F$6*Data!I354*F39)+(FARM!$F$7*Data!I354*F39)</f>
        <v>22500</v>
      </c>
      <c r="M39" s="1132"/>
      <c r="N39" s="1133"/>
    </row>
    <row r="40" spans="1:14" ht="18" customHeight="1" x14ac:dyDescent="0.45">
      <c r="A40" s="1127"/>
      <c r="B40" s="1171" t="s">
        <v>1702</v>
      </c>
      <c r="C40" s="1078" t="s">
        <v>1701</v>
      </c>
      <c r="D40" s="1172">
        <v>0</v>
      </c>
      <c r="E40" s="1174">
        <v>234000</v>
      </c>
      <c r="F40" s="1214">
        <f>(FARM!$F$5*Data!E355)+(FARM!$F$6*Data!E355)+(FARM!$F$7*Data!E355)</f>
        <v>234000</v>
      </c>
      <c r="G40" s="1172">
        <v>40</v>
      </c>
      <c r="H40" s="1215">
        <f>(FARM!$F$5*Data!G355)+(FARM!$F$6*Data!G355)+(FARM!$F$7*Data!G355)</f>
        <v>20</v>
      </c>
      <c r="I40" s="1174">
        <v>0</v>
      </c>
      <c r="J40" s="1214">
        <f>(FARM!$F$5*Data!H355*F40)+(FARM!$F$6*Data!H355*F40)+(FARM!$F$7*Data!H355*F40)</f>
        <v>10530</v>
      </c>
      <c r="K40" s="1174">
        <v>0</v>
      </c>
      <c r="L40" s="1214">
        <f>(FARM!$F$5*Data!I355*F40)+(FARM!$F$6*Data!I355*F40)+(FARM!$F$7*Data!I355*F40)</f>
        <v>117000</v>
      </c>
      <c r="M40" s="1132"/>
      <c r="N40" s="1133"/>
    </row>
    <row r="41" spans="1:14" ht="18" customHeight="1" x14ac:dyDescent="0.45">
      <c r="A41" s="1127"/>
      <c r="B41" s="1149" t="s">
        <v>1703</v>
      </c>
      <c r="C41" s="1143" t="s">
        <v>1665</v>
      </c>
      <c r="D41" s="1143" t="s">
        <v>1355</v>
      </c>
      <c r="E41" s="1143" t="s">
        <v>1661</v>
      </c>
      <c r="F41" s="1098" t="s">
        <v>1912</v>
      </c>
      <c r="G41" s="1143" t="s">
        <v>1691</v>
      </c>
      <c r="H41" s="1098" t="s">
        <v>1916</v>
      </c>
      <c r="I41" s="1143" t="s">
        <v>1820</v>
      </c>
      <c r="J41" s="1098" t="s">
        <v>1919</v>
      </c>
      <c r="K41" s="1143" t="s">
        <v>1821</v>
      </c>
      <c r="L41" s="1101" t="s">
        <v>1921</v>
      </c>
      <c r="M41" s="1132"/>
      <c r="N41" s="1133"/>
    </row>
    <row r="42" spans="1:14" ht="18" customHeight="1" x14ac:dyDescent="0.45">
      <c r="A42" s="1127"/>
      <c r="B42" s="1171" t="s">
        <v>2114</v>
      </c>
      <c r="C42" s="1078" t="s">
        <v>2115</v>
      </c>
      <c r="D42" s="1172">
        <v>1</v>
      </c>
      <c r="E42" s="1174">
        <v>22000</v>
      </c>
      <c r="F42" s="1214" t="s">
        <v>45</v>
      </c>
      <c r="G42" s="1172">
        <v>50</v>
      </c>
      <c r="H42" s="1215">
        <f>(FARM!$F$5*Data!G375)+(FARM!$F$6*Data!G375)+(FARM!$F$7*Data!G375)</f>
        <v>50</v>
      </c>
      <c r="I42" s="1174">
        <v>0</v>
      </c>
      <c r="J42" s="1214">
        <f>(FARM!$F$5*Data!H375*E42)+(FARM!$F$6*Data!H375*E42)+(FARM!$F$7*Data!H375*E42)</f>
        <v>620.81978798586579</v>
      </c>
      <c r="K42" s="1174">
        <v>0</v>
      </c>
      <c r="L42" s="1214">
        <f>(FARM!$F$5*Data!I375*E42)+(FARM!$F$6*Data!I375*E42)+(FARM!$F$7*Data!I375*E42)</f>
        <v>4180</v>
      </c>
      <c r="M42" s="1132"/>
      <c r="N42" s="1133"/>
    </row>
    <row r="43" spans="1:14" ht="18" customHeight="1" x14ac:dyDescent="0.45">
      <c r="A43" s="1127"/>
      <c r="B43" s="1171" t="s">
        <v>2114</v>
      </c>
      <c r="C43" s="1078" t="s">
        <v>2116</v>
      </c>
      <c r="D43" s="1172">
        <v>1</v>
      </c>
      <c r="E43" s="1174">
        <v>22000</v>
      </c>
      <c r="F43" s="1214" t="s">
        <v>45</v>
      </c>
      <c r="G43" s="1172">
        <v>40</v>
      </c>
      <c r="H43" s="1215">
        <f>(FARM!$F$5*Data!G376)+(FARM!$F$6*Data!G376)+(FARM!$F$7*Data!G376)</f>
        <v>40</v>
      </c>
      <c r="I43" s="1174">
        <v>0</v>
      </c>
      <c r="J43" s="1214">
        <f>(FARM!$F$5*Data!H378*E43)+(FARM!$F$6*Data!H378*E43)+(FARM!$F$7*Data!H378*E43)</f>
        <v>990</v>
      </c>
      <c r="K43" s="1174">
        <v>0</v>
      </c>
      <c r="L43" s="1214">
        <f>(FARM!$F$5*Data!I378*E43)+(FARM!$F$6*Data!I378*E43)+(FARM!$F$7*Data!I378*E43)</f>
        <v>5500</v>
      </c>
      <c r="M43" s="1132"/>
      <c r="N43" s="1133"/>
    </row>
    <row r="44" spans="1:14" ht="18" customHeight="1" x14ac:dyDescent="0.45">
      <c r="A44" s="1127"/>
      <c r="B44" s="1171" t="s">
        <v>2114</v>
      </c>
      <c r="C44" s="1078" t="s">
        <v>2117</v>
      </c>
      <c r="D44" s="1172">
        <v>1</v>
      </c>
      <c r="E44" s="1174">
        <v>180000</v>
      </c>
      <c r="F44" s="1214" t="s">
        <v>45</v>
      </c>
      <c r="G44" s="1172">
        <v>20</v>
      </c>
      <c r="H44" s="1215">
        <f>(FARM!$F$5*Data!G377)+(FARM!$F$6*Data!G377)+(FARM!$F$7*Data!G377)</f>
        <v>20</v>
      </c>
      <c r="I44" s="1174">
        <v>0</v>
      </c>
      <c r="J44" s="1214">
        <f>(FARM!$F$5*Data!H379*E44)+(FARM!$F$6*Data!H379*E44)+(FARM!$F$7*Data!H379*E44)</f>
        <v>8100</v>
      </c>
      <c r="K44" s="1174">
        <v>0</v>
      </c>
      <c r="L44" s="1214">
        <f>(FARM!$F$5*Data!I379*E44)+(FARM!$F$6*Data!I379*E44)+(FARM!$F$7*Data!I379*E44)</f>
        <v>57600</v>
      </c>
      <c r="M44" s="1132"/>
      <c r="N44" s="1133"/>
    </row>
    <row r="45" spans="1:14" ht="18" customHeight="1" x14ac:dyDescent="0.45">
      <c r="A45" s="1127"/>
      <c r="B45" s="1171" t="s">
        <v>2121</v>
      </c>
      <c r="C45" s="1078" t="s">
        <v>2124</v>
      </c>
      <c r="D45" s="1172">
        <v>1</v>
      </c>
      <c r="E45" s="1174">
        <v>7000</v>
      </c>
      <c r="F45" s="1214" t="s">
        <v>45</v>
      </c>
      <c r="G45" s="1172">
        <v>50</v>
      </c>
      <c r="H45" s="1215">
        <f>(FARM!$F$5*Data!G378)+(FARM!$F$6*Data!G378)+(FARM!$F$7*Data!G378)</f>
        <v>50</v>
      </c>
      <c r="I45" s="1174">
        <v>0</v>
      </c>
      <c r="J45" s="1214">
        <f>(FARM!$F$5*Data!H378*E45)+(FARM!$F$6*Data!H378*E45)+(FARM!$F$7*Data!H378*E45)</f>
        <v>315</v>
      </c>
      <c r="K45" s="1174">
        <v>0</v>
      </c>
      <c r="L45" s="1214">
        <f>(FARM!$F$5*Data!I378*E45)+(FARM!$F$6*Data!I378*E45)+(FARM!$F$7*Data!I378*E45)</f>
        <v>1750</v>
      </c>
      <c r="M45" s="1132"/>
      <c r="N45" s="1133"/>
    </row>
    <row r="46" spans="1:14" ht="18" customHeight="1" x14ac:dyDescent="0.45">
      <c r="A46" s="1127"/>
      <c r="B46" s="1171" t="s">
        <v>2122</v>
      </c>
      <c r="C46" s="1078" t="s">
        <v>2125</v>
      </c>
      <c r="D46" s="1172">
        <v>1</v>
      </c>
      <c r="E46" s="1174">
        <v>15750</v>
      </c>
      <c r="F46" s="1214" t="s">
        <v>45</v>
      </c>
      <c r="G46" s="1172">
        <v>40</v>
      </c>
      <c r="H46" s="1215">
        <f>(FARM!$F$5*Data!G379)+(FARM!$F$6*Data!G379)+(FARM!$F$7*Data!G379)</f>
        <v>40</v>
      </c>
      <c r="I46" s="1174">
        <v>0</v>
      </c>
      <c r="J46" s="1214">
        <f>(FARM!$F$5*Data!H381*E46)+(FARM!$F$6*Data!H381*E46)+(FARM!$F$7*Data!H381*E46)</f>
        <v>444.4505300353357</v>
      </c>
      <c r="K46" s="1174">
        <v>0</v>
      </c>
      <c r="L46" s="1214">
        <f>(FARM!$F$5*Data!I381*E46)+(FARM!$F$6*Data!I381*E46)+(FARM!$F$7*Data!I381*E46)</f>
        <v>2992.5</v>
      </c>
      <c r="M46" s="1132"/>
      <c r="N46" s="1133"/>
    </row>
    <row r="47" spans="1:14" ht="18" customHeight="1" x14ac:dyDescent="0.45">
      <c r="A47" s="1127"/>
      <c r="B47" s="1171" t="s">
        <v>2123</v>
      </c>
      <c r="C47" s="1078" t="s">
        <v>2126</v>
      </c>
      <c r="D47" s="1172">
        <v>1</v>
      </c>
      <c r="E47" s="1174">
        <v>16500</v>
      </c>
      <c r="F47" s="1214" t="s">
        <v>45</v>
      </c>
      <c r="G47" s="1172">
        <v>20</v>
      </c>
      <c r="H47" s="1215">
        <f>(FARM!$F$5*Data!G380)+(FARM!$F$6*Data!G380)+(FARM!$F$7*Data!G380)</f>
        <v>20</v>
      </c>
      <c r="I47" s="1174">
        <v>0</v>
      </c>
      <c r="J47" s="1214">
        <f>(FARM!$F$5*Data!H382*E47)+(FARM!$F$6*Data!H382*E47)+(FARM!$F$7*Data!H382*E47)</f>
        <v>465.61484098939928</v>
      </c>
      <c r="K47" s="1174">
        <v>0</v>
      </c>
      <c r="L47" s="1214">
        <f>(FARM!$F$5*Data!I382*E47)+(FARM!$F$6*Data!I382*E47)+(FARM!$F$7*Data!I382*E47)</f>
        <v>3135</v>
      </c>
      <c r="M47" s="1132"/>
      <c r="N47" s="1133"/>
    </row>
    <row r="48" spans="1:14" ht="18" customHeight="1" x14ac:dyDescent="0.45">
      <c r="A48" s="1127"/>
      <c r="B48" s="1171" t="s">
        <v>132</v>
      </c>
      <c r="C48" s="1078" t="s">
        <v>1391</v>
      </c>
      <c r="D48" s="1172">
        <v>1</v>
      </c>
      <c r="E48" s="1174">
        <v>141500</v>
      </c>
      <c r="F48" s="1214">
        <f>(FARM!$F$5*Data!E381)+(FARM!$F$6*Data!E381)+(FARM!$F$7*Data!E381)</f>
        <v>141500</v>
      </c>
      <c r="G48" s="1172">
        <v>50</v>
      </c>
      <c r="H48" s="1215">
        <f>(FARM!$F$5*Data!G381)+(FARM!$F$6*Data!G381)+(FARM!$F$7*Data!G381)</f>
        <v>50</v>
      </c>
      <c r="I48" s="1174">
        <v>0</v>
      </c>
      <c r="J48" s="1214">
        <f>(FARM!$F$5*Data!H381*F48)+(FARM!$F$6*Data!H381*F48)+(FARM!$F$7*Data!H381*F48)</f>
        <v>3993</v>
      </c>
      <c r="K48" s="1174">
        <v>0</v>
      </c>
      <c r="L48" s="1214">
        <f>(FARM!$F$5*Data!I381*F48)+(FARM!$F$6*Data!I381*F48)+(FARM!$F$7*Data!I381*F48)</f>
        <v>26885</v>
      </c>
      <c r="M48" s="1132"/>
      <c r="N48" s="1133"/>
    </row>
    <row r="49" spans="1:14" ht="18" customHeight="1" x14ac:dyDescent="0.45">
      <c r="A49" s="1127"/>
      <c r="B49" s="1171" t="s">
        <v>132</v>
      </c>
      <c r="C49" s="1078" t="s">
        <v>1392</v>
      </c>
      <c r="D49" s="1172">
        <v>1</v>
      </c>
      <c r="E49" s="1174">
        <v>212250</v>
      </c>
      <c r="F49" s="1214">
        <f>(FARM!$F$5*Data!E382)+(FARM!$F$6*Data!E382)+(FARM!$F$7*Data!E382)</f>
        <v>212250</v>
      </c>
      <c r="G49" s="1172">
        <v>40</v>
      </c>
      <c r="H49" s="1215">
        <f>(FARM!$F$5*Data!G382)+(FARM!$F$6*Data!G382)+(FARM!$F$7*Data!G382)</f>
        <v>40</v>
      </c>
      <c r="I49" s="1174">
        <v>0</v>
      </c>
      <c r="J49" s="1214">
        <f>(FARM!$F$5*Data!H382*F49)+(FARM!$F$6*Data!H382*F49)+(FARM!$F$7*Data!H382*F49)</f>
        <v>5989.5</v>
      </c>
      <c r="K49" s="1174">
        <v>0</v>
      </c>
      <c r="L49" s="1214">
        <f>(FARM!$F$5*Data!I382*F49)+(FARM!$F$6*Data!I382*F49)+(FARM!$F$7*Data!I382*F49)</f>
        <v>40327.5</v>
      </c>
      <c r="M49" s="1132"/>
      <c r="N49" s="1133"/>
    </row>
    <row r="50" spans="1:14" ht="18" customHeight="1" x14ac:dyDescent="0.45">
      <c r="A50" s="1127"/>
      <c r="B50" s="1171" t="s">
        <v>132</v>
      </c>
      <c r="C50" s="1078" t="s">
        <v>1393</v>
      </c>
      <c r="D50" s="1172">
        <v>1</v>
      </c>
      <c r="E50" s="1174">
        <v>283000</v>
      </c>
      <c r="F50" s="1214">
        <f>(FARM!$F$5*Data!E383)+(FARM!$F$6*Data!E383)+(FARM!$F$7*Data!E383)</f>
        <v>283000</v>
      </c>
      <c r="G50" s="1172">
        <v>20</v>
      </c>
      <c r="H50" s="1215">
        <f>(FARM!$F$5*Data!G383)+(FARM!$F$6*Data!G383)+(FARM!$F$7*Data!G383)</f>
        <v>20</v>
      </c>
      <c r="I50" s="1174">
        <v>0</v>
      </c>
      <c r="J50" s="1214">
        <f>(FARM!$F$5*Data!H383*F50)+(FARM!$F$6*Data!H383*F50)+(FARM!$F$7*Data!H383*F50)</f>
        <v>7986</v>
      </c>
      <c r="K50" s="1174">
        <v>0</v>
      </c>
      <c r="L50" s="1214">
        <f>(FARM!$F$5*Data!I383*F50)+(FARM!$F$6*Data!I383*F50)+(FARM!$F$7*Data!I383*F50)</f>
        <v>53770</v>
      </c>
      <c r="M50" s="1132"/>
      <c r="N50" s="1133"/>
    </row>
    <row r="51" spans="1:14" ht="18" customHeight="1" x14ac:dyDescent="0.45">
      <c r="A51" s="1127"/>
      <c r="B51" s="1171" t="s">
        <v>1711</v>
      </c>
      <c r="C51" s="1078" t="s">
        <v>1704</v>
      </c>
      <c r="D51" s="1172">
        <v>1</v>
      </c>
      <c r="E51" s="1174">
        <v>32250</v>
      </c>
      <c r="F51" s="1214">
        <f>(FARM!$F$5*Data!E385)+(FARM!$F$6*Data!E385)+(FARM!$F$7*Data!E385)</f>
        <v>32250</v>
      </c>
      <c r="G51" s="1172">
        <v>50</v>
      </c>
      <c r="H51" s="1215">
        <f>(FARM!$F$5*Data!G385)+(FARM!$F$6*Data!G385)+(FARM!$F$7*Data!G385)</f>
        <v>50</v>
      </c>
      <c r="I51" s="1174">
        <v>0</v>
      </c>
      <c r="J51" s="1214">
        <f>(FARM!$F$5*Data!H385*F51)+(FARM!$F$6*Data!H385*F51)+(FARM!$F$7*Data!H385*F51)</f>
        <v>847.48500000000001</v>
      </c>
      <c r="K51" s="1174">
        <v>0</v>
      </c>
      <c r="L51" s="1214">
        <f>(FARM!$F$5*Data!I385*F51)+(FARM!$F$6*Data!I385*F51)+(FARM!$F$7*Data!I385*F51)</f>
        <v>6127.5</v>
      </c>
      <c r="M51" s="1132"/>
      <c r="N51" s="1133"/>
    </row>
    <row r="52" spans="1:14" ht="18" customHeight="1" x14ac:dyDescent="0.45">
      <c r="A52" s="1127"/>
      <c r="B52" s="1171" t="s">
        <v>1711</v>
      </c>
      <c r="C52" s="1078" t="s">
        <v>1705</v>
      </c>
      <c r="D52" s="1172">
        <v>1</v>
      </c>
      <c r="E52" s="1174">
        <v>43000</v>
      </c>
      <c r="F52" s="1214">
        <f>(FARM!$F$5*Data!E386)+(FARM!$F$6*Data!E386)+(FARM!$F$7*Data!E386)</f>
        <v>43000</v>
      </c>
      <c r="G52" s="1172">
        <v>40</v>
      </c>
      <c r="H52" s="1215">
        <f>(FARM!$F$5*Data!G386)+(FARM!$F$6*Data!G386)+(FARM!$F$7*Data!G386)</f>
        <v>40</v>
      </c>
      <c r="I52" s="1174">
        <v>0</v>
      </c>
      <c r="J52" s="1214">
        <f>(FARM!$F$5*Data!H386*F52)+(FARM!$F$6*Data!H386*F52)+(FARM!$F$7*Data!H386*F52)</f>
        <v>1129.98</v>
      </c>
      <c r="K52" s="1174">
        <v>0</v>
      </c>
      <c r="L52" s="1214">
        <f>(FARM!$F$5*Data!I386*F52)+(FARM!$F$6*Data!I386*F52)+(FARM!$F$7*Data!I386*F52)</f>
        <v>8170</v>
      </c>
      <c r="M52" s="1132"/>
      <c r="N52" s="1133"/>
    </row>
    <row r="53" spans="1:14" ht="18" customHeight="1" x14ac:dyDescent="0.45">
      <c r="A53" s="1127"/>
      <c r="B53" s="1171" t="s">
        <v>1711</v>
      </c>
      <c r="C53" s="1078" t="s">
        <v>1706</v>
      </c>
      <c r="D53" s="1172">
        <v>1</v>
      </c>
      <c r="E53" s="1174">
        <v>56000</v>
      </c>
      <c r="F53" s="1214">
        <f>(FARM!$F$5*Data!E387)+(FARM!$F$6*Data!E387)+(FARM!$F$7*Data!E387)</f>
        <v>56000</v>
      </c>
      <c r="G53" s="1172">
        <v>20</v>
      </c>
      <c r="H53" s="1215">
        <f>(FARM!$F$5*Data!G387)+(FARM!$F$6*Data!G387)+(FARM!$F$7*Data!G387)</f>
        <v>20</v>
      </c>
      <c r="I53" s="1174">
        <v>0</v>
      </c>
      <c r="J53" s="1214">
        <f>(FARM!$F$5*Data!H387*F53)+(FARM!$F$6*Data!H387*F53)+(FARM!$F$7*Data!H387*F53)</f>
        <v>1471.6018604651163</v>
      </c>
      <c r="K53" s="1174">
        <v>0</v>
      </c>
      <c r="L53" s="1214">
        <f>(FARM!$F$5*Data!I387*F53)+(FARM!$F$6*Data!I387*F53)+(FARM!$F$7*Data!I387*F53)</f>
        <v>10640</v>
      </c>
      <c r="M53" s="1132"/>
      <c r="N53" s="1133"/>
    </row>
    <row r="54" spans="1:14" ht="18" customHeight="1" x14ac:dyDescent="0.45">
      <c r="A54" s="1127"/>
      <c r="B54" s="1171" t="s">
        <v>1712</v>
      </c>
      <c r="C54" s="1078" t="s">
        <v>1707</v>
      </c>
      <c r="D54" s="1172">
        <v>1</v>
      </c>
      <c r="E54" s="1174">
        <v>32250</v>
      </c>
      <c r="F54" s="1214">
        <f>(FARM!$F$5*Data!E388)+(FARM!$F$6*Data!E388)+(FARM!$F$7*Data!E388)</f>
        <v>32250</v>
      </c>
      <c r="G54" s="1172">
        <v>50</v>
      </c>
      <c r="H54" s="1215">
        <f>(FARM!$F$5*Data!G388)+(FARM!$F$6*Data!G388)+(FARM!$F$7*Data!G388)</f>
        <v>50</v>
      </c>
      <c r="I54" s="1174">
        <v>0</v>
      </c>
      <c r="J54" s="1214">
        <f>(FARM!$F$5*Data!H388*F54)+(FARM!$F$6*Data!H388*F54)+(FARM!$F$7*Data!H388*F54)</f>
        <v>847.48500000000001</v>
      </c>
      <c r="K54" s="1174">
        <v>0</v>
      </c>
      <c r="L54" s="1214">
        <f>(FARM!$F$5*Data!I388*F54)+(FARM!$F$6*Data!I388*F54)+(FARM!$F$7*Data!I388*F54)</f>
        <v>6127.5</v>
      </c>
      <c r="M54" s="1132"/>
      <c r="N54" s="1133"/>
    </row>
    <row r="55" spans="1:14" ht="18" customHeight="1" x14ac:dyDescent="0.45">
      <c r="A55" s="1127"/>
      <c r="B55" s="1171" t="s">
        <v>1712</v>
      </c>
      <c r="C55" s="1078" t="s">
        <v>1708</v>
      </c>
      <c r="D55" s="1172">
        <v>1</v>
      </c>
      <c r="E55" s="1174">
        <v>43000</v>
      </c>
      <c r="F55" s="1214">
        <f>(FARM!$F$5*Data!E389)+(FARM!$F$6*Data!E389)+(FARM!$F$7*Data!E389)</f>
        <v>43000</v>
      </c>
      <c r="G55" s="1172">
        <v>40</v>
      </c>
      <c r="H55" s="1215">
        <f>(FARM!$F$5*Data!G389)+(FARM!$F$6*Data!G389)+(FARM!$F$7*Data!G389)</f>
        <v>40</v>
      </c>
      <c r="I55" s="1174">
        <v>0</v>
      </c>
      <c r="J55" s="1214">
        <f>(FARM!$F$5*Data!H389*F55)+(FARM!$F$6*Data!H389*F55)+(FARM!$F$7*Data!H389*F55)</f>
        <v>1129.98</v>
      </c>
      <c r="K55" s="1174">
        <v>0</v>
      </c>
      <c r="L55" s="1214">
        <f>(FARM!$F$5*Data!I389*F55)+(FARM!$F$6*Data!I389*F55)+(FARM!$F$7*Data!I389*F55)</f>
        <v>8170</v>
      </c>
      <c r="M55" s="1132"/>
      <c r="N55" s="1133"/>
    </row>
    <row r="56" spans="1:14" ht="18" customHeight="1" x14ac:dyDescent="0.45">
      <c r="A56" s="1127"/>
      <c r="B56" s="1171" t="s">
        <v>1712</v>
      </c>
      <c r="C56" s="1078" t="s">
        <v>1709</v>
      </c>
      <c r="D56" s="1172">
        <v>1</v>
      </c>
      <c r="E56" s="1174">
        <v>56000</v>
      </c>
      <c r="F56" s="1214">
        <f>(FARM!$F$5*Data!E390)+(FARM!$F$6*Data!E390)+(FARM!$F$7*Data!E390)</f>
        <v>56000</v>
      </c>
      <c r="G56" s="1172">
        <v>20</v>
      </c>
      <c r="H56" s="1215">
        <f>(FARM!$F$5*Data!G390)+(FARM!$F$6*Data!G390)+(FARM!$F$7*Data!G390)</f>
        <v>20</v>
      </c>
      <c r="I56" s="1174">
        <v>0</v>
      </c>
      <c r="J56" s="1214">
        <f>(FARM!$F$5*Data!H390*F56)+(FARM!$F$6*Data!H390*F56)+(FARM!$F$7*Data!H390*F56)</f>
        <v>1471.6018604651163</v>
      </c>
      <c r="K56" s="1174">
        <v>0</v>
      </c>
      <c r="L56" s="1214">
        <f>(FARM!$F$5*Data!I390*F56)+(FARM!$F$6*Data!I390*F56)+(FARM!$F$7*Data!I390*F56)</f>
        <v>10640</v>
      </c>
      <c r="M56" s="1132"/>
      <c r="N56" s="1133"/>
    </row>
    <row r="57" spans="1:14" ht="18" customHeight="1" x14ac:dyDescent="0.45">
      <c r="A57" s="1127"/>
      <c r="B57" s="1149" t="s">
        <v>1710</v>
      </c>
      <c r="C57" s="1143" t="s">
        <v>1665</v>
      </c>
      <c r="D57" s="1143" t="s">
        <v>1355</v>
      </c>
      <c r="E57" s="1143" t="s">
        <v>1661</v>
      </c>
      <c r="F57" s="1098" t="s">
        <v>1912</v>
      </c>
      <c r="G57" s="1143" t="s">
        <v>1691</v>
      </c>
      <c r="H57" s="1098" t="s">
        <v>1916</v>
      </c>
      <c r="I57" s="1143" t="s">
        <v>1820</v>
      </c>
      <c r="J57" s="1098" t="s">
        <v>1919</v>
      </c>
      <c r="K57" s="1143" t="s">
        <v>1821</v>
      </c>
      <c r="L57" s="1101" t="s">
        <v>1921</v>
      </c>
      <c r="M57" s="1132"/>
      <c r="N57" s="1133"/>
    </row>
    <row r="58" spans="1:14" ht="18" customHeight="1" x14ac:dyDescent="0.45">
      <c r="A58" s="1127"/>
      <c r="B58" s="1171" t="s">
        <v>1713</v>
      </c>
      <c r="C58" s="1078" t="s">
        <v>1375</v>
      </c>
      <c r="D58" s="1172">
        <v>1</v>
      </c>
      <c r="E58" s="1174">
        <v>125.36353761519322</v>
      </c>
      <c r="F58" s="1214">
        <f>(FARM!$F$5*Data!E395)+(FARM!$F$6*Data!E395)+(FARM!$F$7*Data!E395)</f>
        <v>125.363537615193</v>
      </c>
      <c r="G58" s="1172">
        <v>50</v>
      </c>
      <c r="H58" s="1215">
        <f>(FARM!$F$5*Data!G395)+(FARM!$F$6*Data!G395)+(FARM!$F$7*Data!G395)</f>
        <v>50</v>
      </c>
      <c r="I58" s="1174">
        <v>0</v>
      </c>
      <c r="J58" s="1214">
        <f>(FARM!$F$5*Data!H395*F58)+(FARM!$F$6*Data!H395*F58)+(FARM!$F$7*Data!H395*F58)</f>
        <v>2.5072707523038598</v>
      </c>
      <c r="K58" s="1174">
        <v>0</v>
      </c>
      <c r="L58" s="1214">
        <f>(FARM!$F$5*Data!I395*F58)+(FARM!$F$6*Data!I395*F58)+(FARM!$F$7*Data!I395*F58)</f>
        <v>43.877238165317543</v>
      </c>
      <c r="M58" s="1132"/>
      <c r="N58" s="1133"/>
    </row>
    <row r="59" spans="1:14" ht="18" customHeight="1" x14ac:dyDescent="0.45">
      <c r="A59" s="1127"/>
      <c r="B59" s="1171" t="s">
        <v>1713</v>
      </c>
      <c r="C59" s="1078" t="s">
        <v>1377</v>
      </c>
      <c r="D59" s="1172">
        <v>1</v>
      </c>
      <c r="E59" s="1174">
        <v>626.81768807596609</v>
      </c>
      <c r="F59" s="1214">
        <f>(FARM!$F$5*Data!E397)+(FARM!$F$6*Data!E397)+(FARM!$F$7*Data!E397)</f>
        <v>626.81768807596598</v>
      </c>
      <c r="G59" s="1172">
        <v>40</v>
      </c>
      <c r="H59" s="1215">
        <f>(FARM!$F$5*Data!G397)+(FARM!$F$6*Data!G397)+(FARM!$F$7*Data!G397)</f>
        <v>40</v>
      </c>
      <c r="I59" s="1174">
        <v>0</v>
      </c>
      <c r="J59" s="1214">
        <f>(FARM!$F$5*Data!H397*F59)+(FARM!$F$6*Data!H397*F59)+(FARM!$F$7*Data!H397*F59)</f>
        <v>12.536353761519321</v>
      </c>
      <c r="K59" s="1174">
        <v>0</v>
      </c>
      <c r="L59" s="1214">
        <f>(FARM!$F$5*Data!I397*F59)+(FARM!$F$6*Data!I397*F59)+(FARM!$F$7*Data!I397*F59)</f>
        <v>219.38619082658809</v>
      </c>
      <c r="M59" s="1132"/>
      <c r="N59" s="1133"/>
    </row>
    <row r="60" spans="1:14" ht="18" customHeight="1" x14ac:dyDescent="0.45">
      <c r="A60" s="1127"/>
      <c r="B60" s="1171" t="s">
        <v>1713</v>
      </c>
      <c r="C60" s="1078" t="s">
        <v>1379</v>
      </c>
      <c r="D60" s="1172">
        <v>1</v>
      </c>
      <c r="E60" s="1174">
        <v>1253.6353761519322</v>
      </c>
      <c r="F60" s="1214">
        <f>(FARM!$F$5*Data!E399)+(FARM!$F$6*Data!E399)+(FARM!$F$7*Data!E399)</f>
        <v>1253.6353761519299</v>
      </c>
      <c r="G60" s="1172">
        <v>20</v>
      </c>
      <c r="H60" s="1215">
        <f>(FARM!$F$5*Data!G399)+(FARM!$F$6*Data!G399)+(FARM!$F$7*Data!G399)</f>
        <v>20</v>
      </c>
      <c r="I60" s="1174">
        <v>0</v>
      </c>
      <c r="J60" s="1214">
        <f>(FARM!$F$5*Data!H399*F60)+(FARM!$F$6*Data!H399*F60)+(FARM!$F$7*Data!H399*F60)</f>
        <v>25.072707523038599</v>
      </c>
      <c r="K60" s="1174">
        <v>0</v>
      </c>
      <c r="L60" s="1214">
        <f>(FARM!$F$5*Data!I399*F60)+(FARM!$F$6*Data!I399*F60)+(FARM!$F$7*Data!I399*F60)</f>
        <v>438.77238165317544</v>
      </c>
      <c r="M60" s="1132"/>
      <c r="N60" s="1133"/>
    </row>
    <row r="61" spans="1:14" ht="18" customHeight="1" x14ac:dyDescent="0.45">
      <c r="A61" s="1127"/>
      <c r="B61" s="1171" t="s">
        <v>1714</v>
      </c>
      <c r="C61" s="1078" t="s">
        <v>1376</v>
      </c>
      <c r="D61" s="1172">
        <v>1</v>
      </c>
      <c r="E61" s="1174">
        <v>1253.6353761519322</v>
      </c>
      <c r="F61" s="1214">
        <f>(FARM!$F$5*Data!E396)+(FARM!$F$6*Data!E396)+(FARM!$F$7*Data!E396)</f>
        <v>1253.6353761519299</v>
      </c>
      <c r="G61" s="1172">
        <v>50</v>
      </c>
      <c r="H61" s="1215">
        <f>(FARM!$F$5*Data!G396)+(FARM!$F$6*Data!G396)+(FARM!$F$7*Data!G396)</f>
        <v>50</v>
      </c>
      <c r="I61" s="1174">
        <v>0</v>
      </c>
      <c r="J61" s="1214">
        <f>(FARM!$F$5*Data!H396*F61)+(FARM!$F$6*Data!H396*F61)+(FARM!$F$7*Data!H396*F61)</f>
        <v>25.072707523038599</v>
      </c>
      <c r="K61" s="1174">
        <v>0</v>
      </c>
      <c r="L61" s="1214">
        <f>(FARM!$F$5*Data!I396*F61)+(FARM!$F$6*Data!I396*F61)+(FARM!$F$7*Data!I396*F61)</f>
        <v>438.77238165317544</v>
      </c>
      <c r="M61" s="1132"/>
      <c r="N61" s="1133"/>
    </row>
    <row r="62" spans="1:14" ht="18" customHeight="1" x14ac:dyDescent="0.45">
      <c r="A62" s="1127"/>
      <c r="B62" s="1171" t="s">
        <v>1714</v>
      </c>
      <c r="C62" s="1078" t="s">
        <v>1378</v>
      </c>
      <c r="D62" s="1172">
        <v>1</v>
      </c>
      <c r="E62" s="1174">
        <v>6268.1768807596609</v>
      </c>
      <c r="F62" s="1214">
        <f>(FARM!$F$5*Data!E398)+(FARM!$F$6*Data!E398)+(FARM!$F$7*Data!E398)</f>
        <v>6268.17688075966</v>
      </c>
      <c r="G62" s="1172">
        <v>40</v>
      </c>
      <c r="H62" s="1215">
        <f>(FARM!$F$5*Data!G398)+(FARM!$F$6*Data!G398)+(FARM!$F$7*Data!G398)</f>
        <v>40</v>
      </c>
      <c r="I62" s="1174">
        <v>0</v>
      </c>
      <c r="J62" s="1214">
        <f>(FARM!$F$5*Data!H398*F62)+(FARM!$F$6*Data!H398*F62)+(FARM!$F$7*Data!H398*F62)</f>
        <v>125.36353761519321</v>
      </c>
      <c r="K62" s="1174">
        <v>0</v>
      </c>
      <c r="L62" s="1214">
        <f>(FARM!$F$5*Data!I398*F62)+(FARM!$F$6*Data!I398*F62)+(FARM!$F$7*Data!I398*F62)</f>
        <v>2193.8619082658806</v>
      </c>
      <c r="M62" s="1132"/>
      <c r="N62" s="1133"/>
    </row>
    <row r="63" spans="1:14" ht="18" customHeight="1" x14ac:dyDescent="0.45">
      <c r="A63" s="1127"/>
      <c r="B63" s="1171" t="s">
        <v>1714</v>
      </c>
      <c r="C63" s="1078" t="s">
        <v>1380</v>
      </c>
      <c r="D63" s="1172">
        <v>1</v>
      </c>
      <c r="E63" s="1174">
        <v>12536.353761519322</v>
      </c>
      <c r="F63" s="1214">
        <f>(FARM!$F$5*Data!E400)+(FARM!$F$6*Data!E400)+(FARM!$F$7*Data!E400)</f>
        <v>12536.3537615193</v>
      </c>
      <c r="G63" s="1172">
        <v>20</v>
      </c>
      <c r="H63" s="1215">
        <f>(FARM!$F$5*Data!G400)+(FARM!$F$6*Data!G400)+(FARM!$F$7*Data!G400)</f>
        <v>20</v>
      </c>
      <c r="I63" s="1174">
        <v>0</v>
      </c>
      <c r="J63" s="1214">
        <f>(FARM!$F$5*Data!H400*F63)+(FARM!$F$6*Data!H400*F63)+(FARM!$F$7*Data!H400*F63)</f>
        <v>250.72707523038599</v>
      </c>
      <c r="K63" s="1174">
        <v>0</v>
      </c>
      <c r="L63" s="1214">
        <f>(FARM!$F$5*Data!I400*F63)+(FARM!$F$6*Data!I400*F63)+(FARM!$F$7*Data!I400*F63)</f>
        <v>4387.7238165317549</v>
      </c>
      <c r="M63" s="1132"/>
      <c r="N63" s="1133"/>
    </row>
    <row r="64" spans="1:14" ht="18" customHeight="1" x14ac:dyDescent="0.45">
      <c r="A64" s="1127"/>
      <c r="B64" s="1149" t="s">
        <v>1389</v>
      </c>
      <c r="C64" s="1143" t="s">
        <v>1665</v>
      </c>
      <c r="D64" s="1143" t="s">
        <v>1355</v>
      </c>
      <c r="E64" s="1143" t="s">
        <v>1661</v>
      </c>
      <c r="F64" s="1098" t="s">
        <v>1912</v>
      </c>
      <c r="G64" s="1143" t="s">
        <v>1691</v>
      </c>
      <c r="H64" s="1098" t="s">
        <v>1916</v>
      </c>
      <c r="I64" s="1143" t="s">
        <v>1820</v>
      </c>
      <c r="J64" s="1098" t="s">
        <v>1919</v>
      </c>
      <c r="K64" s="1143" t="s">
        <v>1821</v>
      </c>
      <c r="L64" s="1101" t="s">
        <v>1921</v>
      </c>
      <c r="M64" s="1132"/>
      <c r="N64" s="1133"/>
    </row>
    <row r="65" spans="1:14" ht="18" customHeight="1" x14ac:dyDescent="0.45">
      <c r="A65" s="1127"/>
      <c r="B65" s="1171" t="s">
        <v>1715</v>
      </c>
      <c r="C65" s="1157" t="s">
        <v>1390</v>
      </c>
      <c r="D65" s="1172">
        <v>1</v>
      </c>
      <c r="E65" s="1174">
        <v>25000</v>
      </c>
      <c r="F65" s="1214">
        <f>(FARM!$F$5*Data!E417)+(FARM!$F$6*Data!E417)+(FARM!$F$7*Data!E417)</f>
        <v>25000</v>
      </c>
      <c r="G65" s="1172">
        <v>50</v>
      </c>
      <c r="H65" s="1215">
        <f>(FARM!$F$5*Data!G417)+(FARM!$F$6*Data!G417)+(FARM!$F$7*Data!G417)</f>
        <v>50</v>
      </c>
      <c r="I65" s="1174">
        <v>0</v>
      </c>
      <c r="J65" s="1214">
        <f>(FARM!$F$5*Data!H417*F65)+(FARM!$F$6*Data!H417*F65)+(FARM!$F$7*Data!H417*F65)</f>
        <v>500</v>
      </c>
      <c r="K65" s="1174">
        <v>0</v>
      </c>
      <c r="L65" s="1214">
        <f>(FARM!$F$5*Data!I417*F65)+(FARM!$F$6*Data!I417*F65)+(FARM!$F$7*Data!I417*F65)</f>
        <v>4750</v>
      </c>
      <c r="M65" s="1132"/>
      <c r="N65" s="1133"/>
    </row>
    <row r="66" spans="1:14" ht="18" customHeight="1" x14ac:dyDescent="0.45">
      <c r="A66" s="1127"/>
      <c r="B66" s="1171" t="s">
        <v>1715</v>
      </c>
      <c r="C66" s="1157" t="s">
        <v>1394</v>
      </c>
      <c r="D66" s="1172">
        <v>1</v>
      </c>
      <c r="E66" s="1174">
        <v>50000</v>
      </c>
      <c r="F66" s="1214">
        <f>(FARM!$F$5*Data!E418)+(FARM!$F$6*Data!E418)+(FARM!$F$7*Data!E418)</f>
        <v>50000</v>
      </c>
      <c r="G66" s="1172">
        <v>40</v>
      </c>
      <c r="H66" s="1215">
        <f>(FARM!$F$5*Data!G418)+(FARM!$F$6*Data!G418)+(FARM!$F$7*Data!G418)</f>
        <v>40</v>
      </c>
      <c r="I66" s="1174">
        <v>0</v>
      </c>
      <c r="J66" s="1214">
        <f>(FARM!$F$5*Data!H418*F66)+(FARM!$F$6*Data!H418*F66)+(FARM!$F$7*Data!H418*F66)</f>
        <v>1000</v>
      </c>
      <c r="K66" s="1174">
        <v>0</v>
      </c>
      <c r="L66" s="1214">
        <f>(FARM!$F$5*Data!I418*F66)+(FARM!$F$6*Data!I418*F66)+(FARM!$F$7*Data!I418*F66)</f>
        <v>9500</v>
      </c>
      <c r="M66" s="1132"/>
      <c r="N66" s="1133"/>
    </row>
    <row r="67" spans="1:14" ht="18" customHeight="1" x14ac:dyDescent="0.45">
      <c r="A67" s="1127"/>
      <c r="B67" s="1171" t="s">
        <v>1715</v>
      </c>
      <c r="C67" s="1157" t="s">
        <v>1395</v>
      </c>
      <c r="D67" s="1172">
        <v>1</v>
      </c>
      <c r="E67" s="1174">
        <v>97500</v>
      </c>
      <c r="F67" s="1214">
        <f>(FARM!$F$5*Data!E419)+(FARM!$F$6*Data!E419)+(FARM!$F$7*Data!E419)</f>
        <v>97500</v>
      </c>
      <c r="G67" s="1172">
        <v>20</v>
      </c>
      <c r="H67" s="1215">
        <f>(FARM!$F$5*Data!G419)+(FARM!$F$6*Data!G419)+(FARM!$F$7*Data!G419)</f>
        <v>20</v>
      </c>
      <c r="I67" s="1174">
        <v>0</v>
      </c>
      <c r="J67" s="1214">
        <f>(FARM!$F$5*Data!H419*F67)+(FARM!$F$6*Data!H419*F67)+(FARM!$F$7*Data!H419*F67)</f>
        <v>1950</v>
      </c>
      <c r="K67" s="1174">
        <v>0</v>
      </c>
      <c r="L67" s="1214">
        <f>(FARM!$F$5*Data!I419*F67)+(FARM!$F$6*Data!I419*F67)+(FARM!$F$7*Data!I419*F67)</f>
        <v>18525</v>
      </c>
      <c r="M67" s="1132"/>
      <c r="N67" s="1133"/>
    </row>
    <row r="68" spans="1:14" ht="18" customHeight="1" x14ac:dyDescent="0.45">
      <c r="A68" s="1127"/>
      <c r="B68" s="1149" t="s">
        <v>445</v>
      </c>
      <c r="C68" s="1143" t="s">
        <v>1665</v>
      </c>
      <c r="D68" s="1143" t="s">
        <v>1355</v>
      </c>
      <c r="E68" s="1143" t="s">
        <v>1661</v>
      </c>
      <c r="F68" s="1098" t="s">
        <v>1912</v>
      </c>
      <c r="G68" s="1143" t="s">
        <v>1691</v>
      </c>
      <c r="H68" s="1098" t="s">
        <v>1916</v>
      </c>
      <c r="I68" s="1143" t="s">
        <v>1820</v>
      </c>
      <c r="J68" s="1098" t="s">
        <v>1919</v>
      </c>
      <c r="K68" s="1143" t="s">
        <v>1821</v>
      </c>
      <c r="L68" s="1101" t="s">
        <v>1921</v>
      </c>
      <c r="M68" s="1132"/>
      <c r="N68" s="1133"/>
    </row>
    <row r="69" spans="1:14" ht="18" customHeight="1" x14ac:dyDescent="0.45">
      <c r="A69" s="1127"/>
      <c r="B69" s="1171" t="s">
        <v>1716</v>
      </c>
      <c r="C69" s="1157" t="s">
        <v>1725</v>
      </c>
      <c r="D69" s="1172">
        <v>1</v>
      </c>
      <c r="E69" s="1174">
        <v>5000</v>
      </c>
      <c r="F69" s="1214">
        <f>(FARM!$F$5*Data!E423)+(FARM!$F$6*Data!E423)+(FARM!$F$7*Data!E423)</f>
        <v>5000</v>
      </c>
      <c r="G69" s="1172">
        <v>50</v>
      </c>
      <c r="H69" s="1215">
        <f>(FARM!$F$5*Data!G423)+(FARM!$F$6*Data!G423)+(FARM!$F$7*Data!G423)</f>
        <v>50</v>
      </c>
      <c r="I69" s="1174">
        <v>0</v>
      </c>
      <c r="J69" s="1214">
        <f>(FARM!$F$5*Data!H423*F69)+(FARM!$F$6*Data!H423*F69)+(FARM!$F$7*Data!H423*F69)</f>
        <v>100</v>
      </c>
      <c r="K69" s="1174">
        <v>0</v>
      </c>
      <c r="L69" s="1214">
        <f>(FARM!$F$5*Data!I423*F69)+(FARM!$F$6*Data!I423*F69)+(FARM!$F$7*Data!I423*F69)</f>
        <v>950</v>
      </c>
      <c r="M69" s="1132"/>
      <c r="N69" s="1133"/>
    </row>
    <row r="70" spans="1:14" ht="18" customHeight="1" x14ac:dyDescent="0.45">
      <c r="A70" s="1127"/>
      <c r="B70" s="1171" t="s">
        <v>1716</v>
      </c>
      <c r="C70" s="1157" t="s">
        <v>1726</v>
      </c>
      <c r="D70" s="1172">
        <v>2</v>
      </c>
      <c r="E70" s="1174">
        <v>5000</v>
      </c>
      <c r="F70" s="1214">
        <f>(FARM!$F$5*Data!E424)+(FARM!$F$6*Data!E424)+(FARM!$F$7*Data!E424)</f>
        <v>5000</v>
      </c>
      <c r="G70" s="1172">
        <v>40</v>
      </c>
      <c r="H70" s="1215">
        <f>(FARM!$F$5*Data!G424)+(FARM!$F$6*Data!G424)+(FARM!$F$7*Data!G424)</f>
        <v>40</v>
      </c>
      <c r="I70" s="1174">
        <v>0</v>
      </c>
      <c r="J70" s="1214">
        <f>(FARM!$F$5*Data!H424*F70)+(FARM!$F$6*Data!H424*F70)+(FARM!$F$7*Data!H424*F70)</f>
        <v>100</v>
      </c>
      <c r="K70" s="1174">
        <v>0</v>
      </c>
      <c r="L70" s="1214">
        <f>(FARM!$F$5*Data!I424*F70)+(FARM!$F$6*Data!I424*F70)+(FARM!$F$7*Data!I424*F70)</f>
        <v>950</v>
      </c>
      <c r="M70" s="1132"/>
      <c r="N70" s="1133"/>
    </row>
    <row r="71" spans="1:14" ht="18" customHeight="1" x14ac:dyDescent="0.45">
      <c r="A71" s="1127"/>
      <c r="B71" s="1171" t="s">
        <v>1716</v>
      </c>
      <c r="C71" s="1157" t="s">
        <v>1727</v>
      </c>
      <c r="D71" s="1172">
        <v>3</v>
      </c>
      <c r="E71" s="1174">
        <v>5000</v>
      </c>
      <c r="F71" s="1214">
        <f>(FARM!$F$5*Data!E425)+(FARM!$F$6*Data!E425)+(FARM!$F$7*Data!E425)</f>
        <v>5000</v>
      </c>
      <c r="G71" s="1172">
        <v>20</v>
      </c>
      <c r="H71" s="1215">
        <f>(FARM!$F$5*Data!G425)+(FARM!$F$6*Data!G425)+(FARM!$F$7*Data!G425)</f>
        <v>20</v>
      </c>
      <c r="I71" s="1174">
        <v>0</v>
      </c>
      <c r="J71" s="1214">
        <f>(FARM!$F$5*Data!H425*F71)+(FARM!$F$6*Data!H425*F71)+(FARM!$F$7*Data!H425*F71)</f>
        <v>100</v>
      </c>
      <c r="K71" s="1174">
        <v>0</v>
      </c>
      <c r="L71" s="1214">
        <f>(FARM!$F$5*Data!I425*F71)+(FARM!$F$6*Data!I425*F71)+(FARM!$F$7*Data!I425*F71)</f>
        <v>950</v>
      </c>
      <c r="M71" s="1132"/>
      <c r="N71" s="1133"/>
    </row>
    <row r="72" spans="1:14" ht="18" customHeight="1" x14ac:dyDescent="0.45">
      <c r="A72" s="1127"/>
      <c r="B72" s="1171" t="s">
        <v>1717</v>
      </c>
      <c r="C72" s="1157" t="s">
        <v>1893</v>
      </c>
      <c r="D72" s="1172">
        <v>1</v>
      </c>
      <c r="E72" s="1174">
        <v>7521.8122569115903</v>
      </c>
      <c r="F72" s="1214">
        <f>(FARM!$F$5*Data!$K$428)+(FARM!$F$6*Data!$K$428)+(FARM!$F$7*Data!$K$428)</f>
        <v>7521.8122569115903</v>
      </c>
      <c r="G72" s="1172">
        <v>10</v>
      </c>
      <c r="H72" s="1215">
        <f>(FARM!$F$5*Data!$K$429)+(FARM!$F$6*Data!$K$429)+(FARM!$F$7*Data!$K$429)</f>
        <v>10</v>
      </c>
      <c r="I72" s="1174">
        <v>0</v>
      </c>
      <c r="J72" s="1214">
        <f>(FARM!$F$5*Data!$K$430*F72)+(FARM!$F$6*Data!$K$430*F72)+(FARM!$F$7*Data!$K$430*F72)</f>
        <v>150.43624513823181</v>
      </c>
      <c r="K72" s="1174">
        <v>0</v>
      </c>
      <c r="L72" s="1214">
        <f>(FARM!$F$5*Data!$K$431*F72)+(FARM!$F$6*Data!$K$431*F72)+(FARM!$F$7*Data!$K$431*F72)</f>
        <v>1429.1443288132023</v>
      </c>
      <c r="M72" s="1132"/>
      <c r="N72" s="1133"/>
    </row>
    <row r="73" spans="1:14" ht="18" customHeight="1" x14ac:dyDescent="0.45">
      <c r="A73" s="1127"/>
      <c r="B73" s="1171" t="s">
        <v>1717</v>
      </c>
      <c r="C73" s="1157" t="s">
        <v>1894</v>
      </c>
      <c r="D73" s="1172">
        <v>1</v>
      </c>
      <c r="E73" s="1174">
        <v>7521.8122569115903</v>
      </c>
      <c r="F73" s="1214">
        <f>(FARM!$F$5*Data!$K$428)+(FARM!$F$6*Data!$K$428)+(FARM!$F$7*Data!$K$428)</f>
        <v>7521.8122569115903</v>
      </c>
      <c r="G73" s="1172">
        <v>10</v>
      </c>
      <c r="H73" s="1215">
        <f>(FARM!$F$5*Data!$K$429)+(FARM!$F$6*Data!$K$429)+(FARM!$F$7*Data!$K$429)</f>
        <v>10</v>
      </c>
      <c r="I73" s="1174">
        <v>0</v>
      </c>
      <c r="J73" s="1214">
        <f>(FARM!$F$5*Data!$K$430*F73)+(FARM!$F$6*Data!$K$430*F73)+(FARM!$F$7*Data!$K$430*F73)</f>
        <v>150.43624513823181</v>
      </c>
      <c r="K73" s="1174">
        <v>0</v>
      </c>
      <c r="L73" s="1214">
        <f>(FARM!$F$5*Data!$K$431*F73)+(FARM!$F$6*Data!$K$431*F73)+(FARM!$F$7*Data!$K$431*F73)</f>
        <v>1429.1443288132023</v>
      </c>
      <c r="M73" s="1132"/>
      <c r="N73" s="1133"/>
    </row>
    <row r="74" spans="1:14" ht="18" customHeight="1" x14ac:dyDescent="0.45">
      <c r="A74" s="1127"/>
      <c r="B74" s="1171" t="s">
        <v>1717</v>
      </c>
      <c r="C74" s="1157" t="s">
        <v>1895</v>
      </c>
      <c r="D74" s="1172">
        <v>1</v>
      </c>
      <c r="E74" s="1174">
        <v>7521.8122569115903</v>
      </c>
      <c r="F74" s="1214">
        <f>(FARM!$F$5*Data!$K$428)+(FARM!$F$6*Data!$K$428)+(FARM!$F$7*Data!$K$428)</f>
        <v>7521.8122569115903</v>
      </c>
      <c r="G74" s="1172">
        <v>10</v>
      </c>
      <c r="H74" s="1215">
        <f>(FARM!$F$5*Data!$K$429)+(FARM!$F$6*Data!$K$429)+(FARM!$F$7*Data!$K$429)</f>
        <v>10</v>
      </c>
      <c r="I74" s="1174">
        <v>0</v>
      </c>
      <c r="J74" s="1214">
        <f>(FARM!$F$5*Data!$K$430*F74)+(FARM!$F$6*Data!$K$430*F74)+(FARM!$F$7*Data!$K$430*F74)</f>
        <v>150.43624513823181</v>
      </c>
      <c r="K74" s="1174">
        <v>0</v>
      </c>
      <c r="L74" s="1214">
        <f>(FARM!$F$5*Data!$K$431*F74)+(FARM!$F$6*Data!$K$431*F74)+(FARM!$F$7*Data!$K$431*F74)</f>
        <v>1429.1443288132023</v>
      </c>
      <c r="M74" s="1135" t="s">
        <v>1722</v>
      </c>
      <c r="N74" s="1133"/>
    </row>
    <row r="75" spans="1:14" ht="18" customHeight="1" x14ac:dyDescent="0.45">
      <c r="A75" s="1127"/>
      <c r="B75" s="1171" t="s">
        <v>1718</v>
      </c>
      <c r="C75" s="1157" t="s">
        <v>1718</v>
      </c>
      <c r="D75" s="1188" t="s">
        <v>1720</v>
      </c>
      <c r="E75" s="1174">
        <v>10</v>
      </c>
      <c r="F75" s="1214">
        <f>(FARM!$F$5*Data!$K$435)+(FARM!$F$6*Data!$K$435)+(FARM!$F$7*Data!$K$435)</f>
        <v>10</v>
      </c>
      <c r="G75" s="1172">
        <v>5</v>
      </c>
      <c r="H75" s="1215">
        <f>(FARM!$F$5*Data!$K$436)+(FARM!$F$6*Data!$K$436)+(FARM!$F$7*Data!$K$436)</f>
        <v>5</v>
      </c>
      <c r="I75" s="1174">
        <v>0</v>
      </c>
      <c r="J75" s="1214">
        <f>(FARM!$F$5*Data!$K$437*F75)+(FARM!$F$6*Data!$K$437*F75)+(FARM!$F$7*Data!$K$437*F75)</f>
        <v>0</v>
      </c>
      <c r="K75" s="1174">
        <v>0</v>
      </c>
      <c r="L75" s="1214">
        <f>(FARM!$F$5*Data!$K$438*F75)+(FARM!$F$6*Data!$K$438*F75)+(FARM!$F$7*Data!$K$438*F75)</f>
        <v>0</v>
      </c>
      <c r="M75" s="1172">
        <v>1500</v>
      </c>
      <c r="N75" s="1133"/>
    </row>
    <row r="76" spans="1:14" ht="18" customHeight="1" x14ac:dyDescent="0.45">
      <c r="A76" s="1127"/>
      <c r="B76" s="1171" t="s">
        <v>1719</v>
      </c>
      <c r="C76" s="1157" t="s">
        <v>1728</v>
      </c>
      <c r="D76" s="1172">
        <v>1</v>
      </c>
      <c r="E76" s="1174">
        <v>21106.2051928939</v>
      </c>
      <c r="F76" s="1214">
        <f>(FARM!$F$5*Data!$K$441)+(FARM!$F$6*Data!$K$441)+(FARM!$F$7*Data!$K$441)</f>
        <v>21106.2051928939</v>
      </c>
      <c r="G76" s="1172">
        <v>33</v>
      </c>
      <c r="H76" s="1215">
        <f>(FARM!$F$5*Data!$K$442)+(FARM!$F$6*Data!$K$442)+(FARM!$F$7*Data!$K$442)</f>
        <v>33</v>
      </c>
      <c r="I76" s="1174">
        <v>0</v>
      </c>
      <c r="J76" s="1214">
        <f>(FARM!$F$5*Data!$K$443*F76)+(FARM!$F$6*Data!$K$443*F76)+(FARM!$F$7*Data!$K$443*F76)</f>
        <v>211.06205192893901</v>
      </c>
      <c r="K76" s="1174">
        <v>0</v>
      </c>
      <c r="L76" s="1214">
        <f>(FARM!$F$5*Data!$K$444*F76)+(FARM!$F$6*Data!$K$444*F76)+(FARM!$F$7*Data!$K$444*F76)</f>
        <v>7387.1718175128644</v>
      </c>
      <c r="M76" s="1143" t="s">
        <v>1721</v>
      </c>
      <c r="N76" s="1133"/>
    </row>
    <row r="77" spans="1:14" ht="18" customHeight="1" x14ac:dyDescent="0.45">
      <c r="A77" s="1127"/>
      <c r="B77" s="1171" t="s">
        <v>1719</v>
      </c>
      <c r="C77" s="1157" t="s">
        <v>1729</v>
      </c>
      <c r="D77" s="1172">
        <v>1</v>
      </c>
      <c r="E77" s="1174">
        <v>36937.112722940503</v>
      </c>
      <c r="F77" s="1214">
        <f>(FARM!$F$5*Data!$K$447)+(FARM!$F$6*Data!$K$447)+(FARM!$F$7*Data!$K$447)</f>
        <v>36937.112722940503</v>
      </c>
      <c r="G77" s="1172">
        <v>33</v>
      </c>
      <c r="H77" s="1215">
        <f>(FARM!$F$5*Data!$K$448)+(FARM!$F$6*Data!$K$448)+(FARM!$F$7*Data!$K$448)</f>
        <v>33</v>
      </c>
      <c r="I77" s="1174">
        <v>0</v>
      </c>
      <c r="J77" s="1214">
        <f>(FARM!$F$5*Data!$K$449*F77)+(FARM!$F$6*Data!$K$449*F77)+(FARM!$F$7*Data!$K$449*F77)</f>
        <v>369.37112722940503</v>
      </c>
      <c r="K77" s="1174">
        <v>0</v>
      </c>
      <c r="L77" s="1214">
        <f>(FARM!$F$5*Data!$K$450*F77)+(FARM!$F$6*Data!$K$450*F77)+(FARM!$F$7*Data!$K$450*F77)</f>
        <v>12927.989453029175</v>
      </c>
      <c r="M77" s="1132"/>
      <c r="N77" s="1133"/>
    </row>
    <row r="78" spans="1:14" ht="18" customHeight="1" x14ac:dyDescent="0.45">
      <c r="A78" s="1127"/>
      <c r="B78" s="1149" t="s">
        <v>1229</v>
      </c>
      <c r="C78" s="1143" t="s">
        <v>1665</v>
      </c>
      <c r="D78" s="1143" t="s">
        <v>1355</v>
      </c>
      <c r="E78" s="1143" t="s">
        <v>1661</v>
      </c>
      <c r="F78" s="1098" t="s">
        <v>1912</v>
      </c>
      <c r="G78" s="1143" t="s">
        <v>1691</v>
      </c>
      <c r="H78" s="1098" t="s">
        <v>1916</v>
      </c>
      <c r="I78" s="1143" t="s">
        <v>1820</v>
      </c>
      <c r="J78" s="1098" t="s">
        <v>1919</v>
      </c>
      <c r="K78" s="1143" t="s">
        <v>1821</v>
      </c>
      <c r="L78" s="1101" t="s">
        <v>1921</v>
      </c>
      <c r="M78" s="1132"/>
      <c r="N78" s="1133"/>
    </row>
    <row r="79" spans="1:14" ht="18" customHeight="1" x14ac:dyDescent="0.45">
      <c r="A79" s="1127"/>
      <c r="B79" s="1171" t="s">
        <v>1723</v>
      </c>
      <c r="C79" s="1157" t="s">
        <v>1386</v>
      </c>
      <c r="D79" s="1172">
        <v>1</v>
      </c>
      <c r="E79" s="1174">
        <v>50000</v>
      </c>
      <c r="F79" s="1214">
        <f>(FARM!$F$5*Data!E495)+(FARM!$F$6*Data!E495)+(FARM!$F$7*Data!E495)</f>
        <v>50000</v>
      </c>
      <c r="G79" s="1172">
        <v>33</v>
      </c>
      <c r="H79" s="1215">
        <f>(FARM!$F$5*Data!G495)+(FARM!$F$6*Data!G495)+(FARM!$F$7*Data!G495)</f>
        <v>33</v>
      </c>
      <c r="I79" s="1174">
        <v>0</v>
      </c>
      <c r="J79" s="1214">
        <f>(FARM!$F$5*Data!H495*F79)+(FARM!$F$6*Data!H495*F79)+(FARM!$F$7*Data!H495*F79)</f>
        <v>500</v>
      </c>
      <c r="K79" s="1174">
        <v>0</v>
      </c>
      <c r="L79" s="1214">
        <f>(FARM!$F$5*Data!I495*F79)+(FARM!$F$6*Data!I495*F79)+(FARM!$F$7*Data!I495*F79)</f>
        <v>37500</v>
      </c>
      <c r="M79" s="1132"/>
      <c r="N79" s="1133"/>
    </row>
    <row r="80" spans="1:14" ht="18" customHeight="1" x14ac:dyDescent="0.45">
      <c r="A80" s="1127"/>
      <c r="B80" s="1171" t="s">
        <v>1723</v>
      </c>
      <c r="C80" s="1157" t="s">
        <v>1387</v>
      </c>
      <c r="D80" s="1172">
        <v>1</v>
      </c>
      <c r="E80" s="1174">
        <v>100000</v>
      </c>
      <c r="F80" s="1214">
        <f>(FARM!$F$5*Data!E496)+(FARM!$F$6*Data!E496)+(FARM!$F$7*Data!E496)</f>
        <v>100000</v>
      </c>
      <c r="G80" s="1172">
        <v>33</v>
      </c>
      <c r="H80" s="1215">
        <f>(FARM!$F$5*Data!G496)+(FARM!$F$6*Data!G496)+(FARM!$F$7*Data!G496)</f>
        <v>33</v>
      </c>
      <c r="I80" s="1174">
        <v>0</v>
      </c>
      <c r="J80" s="1214">
        <f>(FARM!$F$5*Data!H496*F80)+(FARM!$F$6*Data!H496*F80)+(FARM!$F$7*Data!H496*F80)</f>
        <v>1000</v>
      </c>
      <c r="K80" s="1174">
        <v>0</v>
      </c>
      <c r="L80" s="1214">
        <f>(FARM!$F$5*Data!I496*F80)+(FARM!$F$6*Data!I496*F80)+(FARM!$F$7*Data!I496*F80)</f>
        <v>75000</v>
      </c>
      <c r="M80" s="1132"/>
      <c r="N80" s="1133"/>
    </row>
    <row r="81" spans="1:14" ht="18" customHeight="1" x14ac:dyDescent="0.45">
      <c r="A81" s="1127"/>
      <c r="B81" s="1171" t="s">
        <v>1723</v>
      </c>
      <c r="C81" s="1157" t="s">
        <v>1388</v>
      </c>
      <c r="D81" s="1172">
        <v>1</v>
      </c>
      <c r="E81" s="1174">
        <v>200000</v>
      </c>
      <c r="F81" s="1214">
        <f>(FARM!$F$5*Data!E497)+(FARM!$F$6*Data!E497)+(FARM!$F$7*Data!E497)</f>
        <v>200000</v>
      </c>
      <c r="G81" s="1172">
        <v>33</v>
      </c>
      <c r="H81" s="1215">
        <f>(FARM!$F$5*Data!G497)+(FARM!$F$6*Data!G497)+(FARM!$F$7*Data!G497)</f>
        <v>33</v>
      </c>
      <c r="I81" s="1174">
        <v>0</v>
      </c>
      <c r="J81" s="1214">
        <f>(FARM!$F$5*Data!H497*F81)+(FARM!$F$6*Data!H497*F81)+(FARM!$F$7*Data!H497*F81)</f>
        <v>2000</v>
      </c>
      <c r="K81" s="1174">
        <v>0</v>
      </c>
      <c r="L81" s="1214">
        <f>(FARM!$F$5*Data!I497*F81)+(FARM!$F$6*Data!I497*F81)+(FARM!$F$7*Data!I497*F81)</f>
        <v>150000</v>
      </c>
      <c r="M81" s="1132"/>
      <c r="N81" s="1133"/>
    </row>
    <row r="82" spans="1:14" ht="18" customHeight="1" x14ac:dyDescent="0.45">
      <c r="A82" s="1127"/>
      <c r="B82" s="1131"/>
      <c r="C82" s="1132"/>
      <c r="D82" s="1132"/>
      <c r="E82" s="1132"/>
      <c r="F82" s="1101"/>
      <c r="G82" s="1135"/>
      <c r="H82" s="1089"/>
      <c r="I82" s="1132"/>
      <c r="J82" s="1101"/>
      <c r="K82" s="1132"/>
      <c r="L82" s="1101"/>
      <c r="M82" s="1132"/>
      <c r="N82" s="1133"/>
    </row>
    <row r="83" spans="1:14" ht="18" customHeight="1" thickBot="1" x14ac:dyDescent="0.5">
      <c r="A83" s="1146"/>
      <c r="B83" s="1147"/>
      <c r="C83" s="1147"/>
      <c r="D83" s="1147"/>
      <c r="E83" s="1147"/>
      <c r="F83" s="1117"/>
      <c r="G83" s="1147"/>
      <c r="H83" s="1117"/>
      <c r="I83" s="1147"/>
      <c r="J83" s="1117"/>
      <c r="K83" s="1147"/>
      <c r="L83" s="1117"/>
      <c r="M83" s="1147"/>
      <c r="N83" s="1148"/>
    </row>
  </sheetData>
  <sheetProtection algorithmName="SHA-512" hashValue="ExvF29V8+38gH4ree7TC4RL7YrnQlomrVmx5nEmZEsNS+cesUIIMFPuXDcLWy6kULlZFcMaYrOpPhkemJv3HmA==" saltValue="KhTMi9CbOiHkkzK+Yf2nSA==" spinCount="100000" sheet="1" objects="1" scenarios="1"/>
  <pageMargins left="0.7" right="0.7" top="0.75" bottom="0.75" header="0.3" footer="0.3"/>
  <pageSetup scale="40" orientation="portrait" r:id="rId1"/>
  <rowBreaks count="2" manualBreakCount="2">
    <brk id="30" max="16383" man="1"/>
    <brk id="56" max="16383" man="1"/>
  </rowBreaks>
  <colBreaks count="1" manualBreakCount="1">
    <brk id="14"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718"/>
  <sheetViews>
    <sheetView topLeftCell="A613" workbookViewId="0">
      <selection activeCell="H189" sqref="H189"/>
    </sheetView>
  </sheetViews>
  <sheetFormatPr defaultColWidth="9.08984375" defaultRowHeight="13" x14ac:dyDescent="0.3"/>
  <cols>
    <col min="1" max="1" width="50.81640625" style="22" customWidth="1"/>
    <col min="2" max="2" width="13" style="17" customWidth="1"/>
    <col min="3" max="3" width="13.81640625" style="17" customWidth="1"/>
    <col min="4" max="4" width="18.81640625" style="17" customWidth="1"/>
    <col min="5" max="5" width="11.81640625" style="17" customWidth="1"/>
    <col min="6" max="6" width="17.81640625" style="17" customWidth="1"/>
    <col min="7" max="7" width="14.81640625" style="17" customWidth="1"/>
    <col min="8" max="8" width="11.90625" style="17" customWidth="1"/>
    <col min="9" max="9" width="25.54296875" style="17" customWidth="1"/>
    <col min="10" max="11" width="20.81640625" style="17" customWidth="1"/>
    <col min="12" max="12" width="13.81640625" style="17" customWidth="1"/>
    <col min="13" max="13" width="12.453125" style="17" customWidth="1"/>
    <col min="14" max="14" width="28.453125" style="17" customWidth="1"/>
    <col min="15" max="15" width="14.36328125" style="17" customWidth="1"/>
    <col min="16" max="17" width="14.453125" style="17" customWidth="1"/>
    <col min="18" max="18" width="15.6328125" style="17" customWidth="1"/>
    <col min="19" max="19" width="14.453125" style="17" customWidth="1"/>
    <col min="20" max="20" width="14" style="17" customWidth="1"/>
    <col min="21" max="21" width="9.08984375" style="17" customWidth="1"/>
    <col min="22" max="22" width="13" style="17" customWidth="1"/>
    <col min="23" max="23" width="13.90625" style="17" customWidth="1"/>
    <col min="24" max="32" width="9.08984375" style="17"/>
    <col min="33" max="33" width="14" style="17" bestFit="1" customWidth="1"/>
    <col min="34" max="38" width="9.08984375" style="17"/>
    <col min="39" max="39" width="10.453125" style="17" customWidth="1"/>
    <col min="40" max="16384" width="9.08984375" style="17"/>
  </cols>
  <sheetData>
    <row r="1" spans="1:50" x14ac:dyDescent="0.3">
      <c r="A1" s="61" t="s">
        <v>146</v>
      </c>
      <c r="B1" s="22" t="str">
        <f>FARM!$K$2</f>
        <v>ME Grain &amp; Pulse</v>
      </c>
    </row>
    <row r="2" spans="1:50" x14ac:dyDescent="0.3">
      <c r="A2" s="236"/>
      <c r="B2" s="236"/>
      <c r="C2" s="236"/>
      <c r="D2" s="236"/>
      <c r="E2" s="236"/>
      <c r="F2" s="236"/>
      <c r="G2" s="236" t="s">
        <v>277</v>
      </c>
      <c r="H2" s="236"/>
      <c r="I2" s="237" t="s">
        <v>35</v>
      </c>
      <c r="J2" s="238"/>
      <c r="K2" s="239" t="s">
        <v>294</v>
      </c>
      <c r="L2" s="238"/>
      <c r="M2" s="239" t="s">
        <v>278</v>
      </c>
      <c r="N2" s="238"/>
      <c r="O2" s="239" t="s">
        <v>279</v>
      </c>
      <c r="P2" s="238"/>
      <c r="Q2" s="239" t="s">
        <v>2166</v>
      </c>
      <c r="R2" s="238"/>
      <c r="S2" s="239" t="s">
        <v>1231</v>
      </c>
      <c r="T2" s="238"/>
      <c r="U2" s="239" t="s">
        <v>208</v>
      </c>
      <c r="V2" s="238"/>
      <c r="W2" s="237" t="s">
        <v>537</v>
      </c>
      <c r="X2" s="238"/>
      <c r="Y2" s="237" t="s">
        <v>917</v>
      </c>
      <c r="Z2" s="238"/>
      <c r="AA2" s="237" t="s">
        <v>259</v>
      </c>
      <c r="AB2" s="238"/>
      <c r="AC2" s="237" t="s">
        <v>497</v>
      </c>
      <c r="AD2" s="238"/>
      <c r="AE2" s="237" t="s">
        <v>724</v>
      </c>
      <c r="AF2" s="238"/>
      <c r="AG2" s="239" t="s">
        <v>1232</v>
      </c>
      <c r="AH2" s="238"/>
      <c r="AI2" s="237" t="s">
        <v>1233</v>
      </c>
      <c r="AJ2" s="238"/>
      <c r="AK2" s="237" t="s">
        <v>1230</v>
      </c>
      <c r="AL2" s="238"/>
      <c r="AM2" s="237" t="s">
        <v>240</v>
      </c>
      <c r="AN2" s="238"/>
      <c r="AO2" s="239" t="s">
        <v>1352</v>
      </c>
      <c r="AP2" s="238"/>
      <c r="AQ2" s="239" t="s">
        <v>122</v>
      </c>
      <c r="AR2" s="238"/>
      <c r="AS2" s="239" t="s">
        <v>391</v>
      </c>
      <c r="AT2" s="238"/>
      <c r="AU2" s="239" t="s">
        <v>404</v>
      </c>
      <c r="AV2" s="238"/>
      <c r="AW2" s="237" t="s">
        <v>901</v>
      </c>
      <c r="AX2" s="238"/>
    </row>
    <row r="3" spans="1:50" x14ac:dyDescent="0.3">
      <c r="A3" s="388" t="s">
        <v>157</v>
      </c>
      <c r="B3" s="381" t="s">
        <v>107</v>
      </c>
      <c r="C3" s="381" t="s">
        <v>108</v>
      </c>
      <c r="D3" s="381" t="s">
        <v>290</v>
      </c>
      <c r="E3" s="381" t="s">
        <v>164</v>
      </c>
      <c r="F3" s="381" t="s">
        <v>293</v>
      </c>
      <c r="G3" s="381" t="s">
        <v>293</v>
      </c>
      <c r="H3" s="381" t="s">
        <v>108</v>
      </c>
      <c r="I3" s="389" t="s">
        <v>293</v>
      </c>
      <c r="J3" s="390" t="s">
        <v>108</v>
      </c>
      <c r="K3" s="389" t="s">
        <v>293</v>
      </c>
      <c r="L3" s="390" t="s">
        <v>108</v>
      </c>
      <c r="M3" s="389" t="s">
        <v>293</v>
      </c>
      <c r="N3" s="390" t="s">
        <v>108</v>
      </c>
      <c r="O3" s="389" t="s">
        <v>293</v>
      </c>
      <c r="P3" s="390" t="s">
        <v>108</v>
      </c>
      <c r="Q3" s="389" t="s">
        <v>293</v>
      </c>
      <c r="R3" s="390" t="s">
        <v>108</v>
      </c>
      <c r="S3" s="389" t="s">
        <v>293</v>
      </c>
      <c r="T3" s="390" t="s">
        <v>108</v>
      </c>
      <c r="U3" s="389" t="s">
        <v>293</v>
      </c>
      <c r="V3" s="390" t="s">
        <v>108</v>
      </c>
      <c r="W3" s="389" t="s">
        <v>293</v>
      </c>
      <c r="X3" s="390" t="s">
        <v>108</v>
      </c>
      <c r="Y3" s="389" t="s">
        <v>293</v>
      </c>
      <c r="Z3" s="390" t="s">
        <v>108</v>
      </c>
      <c r="AA3" s="389" t="s">
        <v>293</v>
      </c>
      <c r="AB3" s="390" t="s">
        <v>108</v>
      </c>
      <c r="AC3" s="389" t="s">
        <v>293</v>
      </c>
      <c r="AD3" s="390" t="s">
        <v>108</v>
      </c>
      <c r="AE3" s="389" t="s">
        <v>293</v>
      </c>
      <c r="AF3" s="390" t="s">
        <v>108</v>
      </c>
      <c r="AG3" s="389" t="s">
        <v>293</v>
      </c>
      <c r="AH3" s="390" t="s">
        <v>108</v>
      </c>
      <c r="AI3" s="389" t="s">
        <v>293</v>
      </c>
      <c r="AJ3" s="390" t="s">
        <v>108</v>
      </c>
      <c r="AK3" s="389" t="s">
        <v>293</v>
      </c>
      <c r="AL3" s="390" t="s">
        <v>108</v>
      </c>
      <c r="AM3" s="389" t="s">
        <v>293</v>
      </c>
      <c r="AN3" s="390" t="s">
        <v>108</v>
      </c>
      <c r="AO3" s="389" t="s">
        <v>293</v>
      </c>
      <c r="AP3" s="390" t="s">
        <v>108</v>
      </c>
      <c r="AQ3" s="389" t="s">
        <v>293</v>
      </c>
      <c r="AR3" s="389" t="s">
        <v>108</v>
      </c>
      <c r="AS3" s="389" t="s">
        <v>293</v>
      </c>
      <c r="AT3" s="390" t="s">
        <v>108</v>
      </c>
      <c r="AU3" s="389" t="s">
        <v>293</v>
      </c>
      <c r="AV3" s="390" t="s">
        <v>108</v>
      </c>
      <c r="AW3" s="389" t="s">
        <v>293</v>
      </c>
      <c r="AX3" s="390" t="s">
        <v>108</v>
      </c>
    </row>
    <row r="4" spans="1:50" x14ac:dyDescent="0.3">
      <c r="A4" s="385" t="s">
        <v>104</v>
      </c>
      <c r="B4" s="689">
        <v>0</v>
      </c>
      <c r="C4" s="376">
        <f>IF(D4=1, potato/crops, 0)</f>
        <v>0</v>
      </c>
      <c r="D4" s="377">
        <f>IF(potato=0, 0, 1)</f>
        <v>0</v>
      </c>
      <c r="E4" s="386">
        <f>SUMPRODUCT(PotOprC!B38:B62,PotOprC!C38:C62)</f>
        <v>16.377740201810102</v>
      </c>
      <c r="F4" s="680">
        <f>E4*potato</f>
        <v>0</v>
      </c>
      <c r="G4" s="684">
        <f>IF(potato=0, 0, F4)</f>
        <v>0</v>
      </c>
      <c r="H4" s="376">
        <f t="shared" ref="H4:H19" si="0">IF(D4=1, G4/$G$25, 0)</f>
        <v>0</v>
      </c>
      <c r="I4" s="681">
        <f>IF(potato=0, 0, F4)</f>
        <v>0</v>
      </c>
      <c r="J4" s="379">
        <f t="shared" ref="J4:J9" si="1">IF(D4=1, I4/$I$25, 0)</f>
        <v>0</v>
      </c>
      <c r="K4" s="681">
        <f>IF(potato=0, 0, F4)</f>
        <v>0</v>
      </c>
      <c r="L4" s="379">
        <f>IF(D4=1, K4/$K$25, 0)</f>
        <v>0</v>
      </c>
      <c r="M4" s="681">
        <f>IF(potato=0, 0, F4)</f>
        <v>0</v>
      </c>
      <c r="N4" s="379">
        <f>IF(D4=1, M4/$M$25, 0)</f>
        <v>0</v>
      </c>
      <c r="O4" s="681">
        <f>IF(potato=0, 0, F4)</f>
        <v>0</v>
      </c>
      <c r="P4" s="379">
        <f>IF(D4=1, O4/$O$25, 0)</f>
        <v>0</v>
      </c>
      <c r="Q4" s="681">
        <f>IF(potato=0, 0, F4)</f>
        <v>0</v>
      </c>
      <c r="R4" s="379">
        <f t="shared" ref="R4:R19" si="2">IF(D4=1, Q4/$Q$25, 0)</f>
        <v>0</v>
      </c>
      <c r="S4" s="681">
        <f>IF(potato=0, 0, H4)</f>
        <v>0</v>
      </c>
      <c r="T4" s="379">
        <f>IF(F4=1, S4/$S$25, 0)</f>
        <v>0</v>
      </c>
      <c r="U4" s="681">
        <f>0</f>
        <v>0</v>
      </c>
      <c r="V4" s="387">
        <f>0</f>
        <v>0</v>
      </c>
      <c r="W4" s="681">
        <f>0</f>
        <v>0</v>
      </c>
      <c r="X4" s="387">
        <f>0</f>
        <v>0</v>
      </c>
      <c r="Y4" s="681">
        <f>0</f>
        <v>0</v>
      </c>
      <c r="Z4" s="387">
        <f>0</f>
        <v>0</v>
      </c>
      <c r="AA4" s="681">
        <f>0</f>
        <v>0</v>
      </c>
      <c r="AB4" s="387">
        <f>0</f>
        <v>0</v>
      </c>
      <c r="AC4" s="681">
        <f>0</f>
        <v>0</v>
      </c>
      <c r="AD4" s="387">
        <f>0</f>
        <v>0</v>
      </c>
      <c r="AE4" s="681">
        <f>0</f>
        <v>0</v>
      </c>
      <c r="AF4" s="387">
        <f>0</f>
        <v>0</v>
      </c>
      <c r="AG4" s="681">
        <f>0</f>
        <v>0</v>
      </c>
      <c r="AH4" s="387">
        <f>0</f>
        <v>0</v>
      </c>
      <c r="AI4" s="681">
        <f>0</f>
        <v>0</v>
      </c>
      <c r="AJ4" s="387">
        <f>0</f>
        <v>0</v>
      </c>
      <c r="AK4" s="681">
        <f>0</f>
        <v>0</v>
      </c>
      <c r="AL4" s="387">
        <f>0</f>
        <v>0</v>
      </c>
      <c r="AM4" s="681">
        <f>0</f>
        <v>0</v>
      </c>
      <c r="AN4" s="387">
        <f>0</f>
        <v>0</v>
      </c>
      <c r="AO4" s="681">
        <f>IF(potato=0, 0, F4)</f>
        <v>0</v>
      </c>
      <c r="AP4" s="379">
        <f>IF(D4=1, AO4/$AO$25, 0)</f>
        <v>0</v>
      </c>
      <c r="AQ4" s="681">
        <f>0</f>
        <v>0</v>
      </c>
      <c r="AR4" s="387">
        <f>0</f>
        <v>0</v>
      </c>
      <c r="AS4" s="681">
        <f>0</f>
        <v>0</v>
      </c>
      <c r="AT4" s="387">
        <f>0</f>
        <v>0</v>
      </c>
      <c r="AU4" s="681">
        <f>0</f>
        <v>0</v>
      </c>
      <c r="AV4" s="387">
        <f>0</f>
        <v>0</v>
      </c>
      <c r="AW4" s="681">
        <f>IF(potato=0, 0, F4)</f>
        <v>0</v>
      </c>
      <c r="AX4" s="379">
        <f>IF(D4=1, AW4/$AW$25, 0)</f>
        <v>0</v>
      </c>
    </row>
    <row r="5" spans="1:50" x14ac:dyDescent="0.3">
      <c r="A5" s="240" t="s">
        <v>403</v>
      </c>
      <c r="B5" s="407">
        <v>0</v>
      </c>
      <c r="C5" s="243">
        <f>IF(D5=1, alfalfa/crops, 0)</f>
        <v>0</v>
      </c>
      <c r="D5" s="241">
        <f>IF(alfalfa=0, 0, 1)</f>
        <v>0</v>
      </c>
      <c r="E5" s="244">
        <f>(SUMPRODUCT(AlfOprC!B16:B23,AlfOprC!C16:C23)/AlfOprC!$F$5)+(SUMPRODUCT(AlfOprC!B24:B29,AlfOprC!C24:C29))+(IF(AlfOprC!F5=1,0,SUMPRODUCT(AlfOprC!B30:B34,AlfOprC!C30:C34)*(AlfOprC!F5-AlfOprC!F2)/AlfOprC!F5))+(SUMPRODUCT(AlfOprC!B35:B37,AlfOprC!C35:C37))</f>
        <v>4.0656900066730426</v>
      </c>
      <c r="F5" s="685">
        <f>E5*alfalfa</f>
        <v>0</v>
      </c>
      <c r="G5" s="686">
        <f>IF(alfalfa=0, 0, F5)</f>
        <v>0</v>
      </c>
      <c r="H5" s="243">
        <f t="shared" si="0"/>
        <v>0</v>
      </c>
      <c r="I5" s="682">
        <f>IF(alfalfa=0, 0, F5)</f>
        <v>0</v>
      </c>
      <c r="J5" s="245">
        <f t="shared" si="1"/>
        <v>0</v>
      </c>
      <c r="K5" s="682">
        <f>0</f>
        <v>0</v>
      </c>
      <c r="L5" s="246">
        <f>0</f>
        <v>0</v>
      </c>
      <c r="M5" s="682">
        <f>IF(alfalfa=0, 0, F5)</f>
        <v>0</v>
      </c>
      <c r="N5" s="245">
        <f>IF(D5=1, M5/$M$25, 0)</f>
        <v>0</v>
      </c>
      <c r="O5" s="682">
        <f>IF(alfalfa=0, 0, F5)</f>
        <v>0</v>
      </c>
      <c r="P5" s="245">
        <f>IF(D5=1, O5/$O$25, 0)</f>
        <v>0</v>
      </c>
      <c r="Q5" s="682">
        <f>IF(alfalfa=0, 0, F5)</f>
        <v>0</v>
      </c>
      <c r="R5" s="379">
        <f t="shared" si="2"/>
        <v>0</v>
      </c>
      <c r="S5" s="682">
        <f>0</f>
        <v>0</v>
      </c>
      <c r="T5" s="246">
        <v>0</v>
      </c>
      <c r="U5" s="682">
        <f>IF(alfalfa=0, 0, F5)</f>
        <v>0</v>
      </c>
      <c r="V5" s="245">
        <f>IF(D5=1, U5/$U$25, 0)</f>
        <v>0</v>
      </c>
      <c r="W5" s="682">
        <f>IF(alfalfa=0, 0, F5)</f>
        <v>0</v>
      </c>
      <c r="X5" s="245">
        <f>IF(D5=1, W5/$W$25, 0)</f>
        <v>0</v>
      </c>
      <c r="Y5" s="682">
        <f>IF(alfalfa=0, 0, F5)</f>
        <v>0</v>
      </c>
      <c r="Z5" s="245">
        <f>IF(D5=1, Y5/$Y$25, 0)</f>
        <v>0</v>
      </c>
      <c r="AA5" s="682">
        <f>IF(alfalfa=0, 0, F5)</f>
        <v>0</v>
      </c>
      <c r="AB5" s="245">
        <f>IF(D5=1, AA5/$AA$25, 0)</f>
        <v>0</v>
      </c>
      <c r="AC5" s="682">
        <f>0</f>
        <v>0</v>
      </c>
      <c r="AD5" s="246">
        <v>0</v>
      </c>
      <c r="AE5" s="682">
        <f>0</f>
        <v>0</v>
      </c>
      <c r="AF5" s="246">
        <v>0</v>
      </c>
      <c r="AG5" s="682">
        <f>0</f>
        <v>0</v>
      </c>
      <c r="AH5" s="246">
        <f>0</f>
        <v>0</v>
      </c>
      <c r="AI5" s="682">
        <f>0</f>
        <v>0</v>
      </c>
      <c r="AJ5" s="246">
        <f>0</f>
        <v>0</v>
      </c>
      <c r="AK5" s="682">
        <f>0</f>
        <v>0</v>
      </c>
      <c r="AL5" s="246">
        <f>0</f>
        <v>0</v>
      </c>
      <c r="AM5" s="682">
        <f>0</f>
        <v>0</v>
      </c>
      <c r="AN5" s="246">
        <f>0</f>
        <v>0</v>
      </c>
      <c r="AO5" s="682">
        <f>0</f>
        <v>0</v>
      </c>
      <c r="AP5" s="246">
        <f>0</f>
        <v>0</v>
      </c>
      <c r="AQ5" s="682">
        <f>0</f>
        <v>0</v>
      </c>
      <c r="AR5" s="246">
        <f>0</f>
        <v>0</v>
      </c>
      <c r="AS5" s="682">
        <f>0</f>
        <v>0</v>
      </c>
      <c r="AT5" s="246">
        <f>0</f>
        <v>0</v>
      </c>
      <c r="AU5" s="682">
        <f>IF(alfalfa=0, 0, F5)</f>
        <v>0</v>
      </c>
      <c r="AV5" s="245">
        <f>IF(D5=1, AU5/$AU$25, 0)</f>
        <v>0</v>
      </c>
      <c r="AW5" s="682">
        <f>0</f>
        <v>0</v>
      </c>
      <c r="AX5" s="246">
        <f>0</f>
        <v>0</v>
      </c>
    </row>
    <row r="6" spans="1:50" x14ac:dyDescent="0.3">
      <c r="A6" s="240" t="s">
        <v>789</v>
      </c>
      <c r="B6" s="407">
        <v>0</v>
      </c>
      <c r="C6" s="243">
        <f>IF(D6=1, scorn/crops,0)</f>
        <v>0</v>
      </c>
      <c r="D6" s="241">
        <f>IF(scorn=0, 0, 1)</f>
        <v>0</v>
      </c>
      <c r="E6" s="244">
        <f>SUMPRODUCT(CnSOprC!B18:B35,CnSOprC!C18:C35)</f>
        <v>4.9520390419389155</v>
      </c>
      <c r="F6" s="685">
        <f>E6*scorn</f>
        <v>0</v>
      </c>
      <c r="G6" s="686">
        <f>IF(scorn=0, 0, F6)</f>
        <v>0</v>
      </c>
      <c r="H6" s="243">
        <f t="shared" si="0"/>
        <v>0</v>
      </c>
      <c r="I6" s="682">
        <f>IF(scorn=0, 0, F6)</f>
        <v>0</v>
      </c>
      <c r="J6" s="245">
        <f t="shared" si="1"/>
        <v>0</v>
      </c>
      <c r="K6" s="682">
        <f>IF(scorn=0, 0, F6)</f>
        <v>0</v>
      </c>
      <c r="L6" s="245">
        <f>IF(D6=1, K6/$K$25, 0)</f>
        <v>0</v>
      </c>
      <c r="M6" s="682">
        <f>IF(scorn=0, 0, F6)</f>
        <v>0</v>
      </c>
      <c r="N6" s="245">
        <f>IF(D6=1, M6/$M$25, 0)</f>
        <v>0</v>
      </c>
      <c r="O6" s="682">
        <f>IF(scorn=0, 0, F6)</f>
        <v>0</v>
      </c>
      <c r="P6" s="245">
        <f>IF(D6=1, O6/$O$25, 0)</f>
        <v>0</v>
      </c>
      <c r="Q6" s="682">
        <f>IF(scorn=0, 0, F6)</f>
        <v>0</v>
      </c>
      <c r="R6" s="379">
        <f t="shared" si="2"/>
        <v>0</v>
      </c>
      <c r="S6" s="682">
        <f>IF(scorn=0, 0, H6)</f>
        <v>0</v>
      </c>
      <c r="T6" s="379">
        <f>IF(F6=1, S6/$S$25, 0)</f>
        <v>0</v>
      </c>
      <c r="U6" s="682">
        <f>IF(scorn=0, 0, F6)</f>
        <v>0</v>
      </c>
      <c r="V6" s="245">
        <f>IF(D6=1, U6/$U$25, 0)</f>
        <v>0</v>
      </c>
      <c r="W6" s="682">
        <f>IF(scorn=0, 0, F6)</f>
        <v>0</v>
      </c>
      <c r="X6" s="245">
        <f>IF(D6=1, W6/$W$25, 0)</f>
        <v>0</v>
      </c>
      <c r="Y6" s="682">
        <f>0</f>
        <v>0</v>
      </c>
      <c r="Z6" s="246">
        <v>0</v>
      </c>
      <c r="AA6" s="682">
        <f>0</f>
        <v>0</v>
      </c>
      <c r="AB6" s="246">
        <f>0</f>
        <v>0</v>
      </c>
      <c r="AC6" s="682">
        <f>0</f>
        <v>0</v>
      </c>
      <c r="AD6" s="246">
        <v>0</v>
      </c>
      <c r="AE6" s="682">
        <f>0</f>
        <v>0</v>
      </c>
      <c r="AF6" s="246">
        <v>0</v>
      </c>
      <c r="AG6" s="682">
        <f>0</f>
        <v>0</v>
      </c>
      <c r="AH6" s="246">
        <f>0</f>
        <v>0</v>
      </c>
      <c r="AI6" s="682">
        <f>0</f>
        <v>0</v>
      </c>
      <c r="AJ6" s="246">
        <f>0</f>
        <v>0</v>
      </c>
      <c r="AK6" s="682">
        <f>0</f>
        <v>0</v>
      </c>
      <c r="AL6" s="246">
        <f>0</f>
        <v>0</v>
      </c>
      <c r="AM6" s="682">
        <f>0</f>
        <v>0</v>
      </c>
      <c r="AN6" s="246">
        <f>0</f>
        <v>0</v>
      </c>
      <c r="AO6" s="682">
        <f>0</f>
        <v>0</v>
      </c>
      <c r="AP6" s="246">
        <f>0</f>
        <v>0</v>
      </c>
      <c r="AQ6" s="682">
        <f>0</f>
        <v>0</v>
      </c>
      <c r="AR6" s="246">
        <f>0</f>
        <v>0</v>
      </c>
      <c r="AS6" s="682">
        <f>IF(scorn=0, 0, F6)</f>
        <v>0</v>
      </c>
      <c r="AT6" s="245">
        <f>IF(D6=1, AS6/$AS$25, 0)</f>
        <v>0</v>
      </c>
      <c r="AU6" s="682">
        <f>0</f>
        <v>0</v>
      </c>
      <c r="AV6" s="246">
        <f>0</f>
        <v>0</v>
      </c>
      <c r="AW6" s="682">
        <f>0</f>
        <v>0</v>
      </c>
      <c r="AX6" s="246">
        <f>0</f>
        <v>0</v>
      </c>
    </row>
    <row r="7" spans="1:50" x14ac:dyDescent="0.3">
      <c r="A7" s="240" t="s">
        <v>258</v>
      </c>
      <c r="B7" s="407">
        <v>0</v>
      </c>
      <c r="C7" s="243">
        <f>IF(D7=1, hay/crops, 0)</f>
        <v>0</v>
      </c>
      <c r="D7" s="241">
        <f>IF(hay=0, 0, 1)</f>
        <v>0</v>
      </c>
      <c r="E7" s="244">
        <f>(SUMPRODUCT(HlgOprC!B19:B26,HlgOprC!C19:C26)/HlgOprC!F5)+(SUMPRODUCT(HlgOprC!B27:B34,HlgOprC!C27:C34))+(SUMPRODUCT(HlgOprC!B35:B53,HlgOprC!C35:C53)*(HlgOprC!F5-HlgOprC!F2)/HlgOprC!F5)+(SUMPRODUCT(HlgOprC!B54:B56,HlgOprC!C54:C56))</f>
        <v>4.217878558861595</v>
      </c>
      <c r="F7" s="685">
        <f>E7*hay</f>
        <v>0</v>
      </c>
      <c r="G7" s="686">
        <f>IF(hay=0, 0, F7)</f>
        <v>0</v>
      </c>
      <c r="H7" s="243">
        <f t="shared" si="0"/>
        <v>0</v>
      </c>
      <c r="I7" s="682">
        <f>IF(hay=0, 0, F7)</f>
        <v>0</v>
      </c>
      <c r="J7" s="245">
        <f t="shared" si="1"/>
        <v>0</v>
      </c>
      <c r="K7" s="682">
        <f>0</f>
        <v>0</v>
      </c>
      <c r="L7" s="246">
        <f>0</f>
        <v>0</v>
      </c>
      <c r="M7" s="682">
        <f>IF(hay=0, 0, F7)</f>
        <v>0</v>
      </c>
      <c r="N7" s="245">
        <f>IF(D7=1, M7/$M$25, 0)</f>
        <v>0</v>
      </c>
      <c r="O7" s="682">
        <f>IF(hay=0, 0, F7)</f>
        <v>0</v>
      </c>
      <c r="P7" s="245">
        <f>IF(D7=1, O7/$O$25, 0)</f>
        <v>0</v>
      </c>
      <c r="Q7" s="682">
        <f>IF(hay=0, 0, F7)</f>
        <v>0</v>
      </c>
      <c r="R7" s="379">
        <f t="shared" si="2"/>
        <v>0</v>
      </c>
      <c r="S7" s="682">
        <f>0</f>
        <v>0</v>
      </c>
      <c r="T7" s="246">
        <v>0</v>
      </c>
      <c r="U7" s="682">
        <f>IF(hay=0, 0, F7)</f>
        <v>0</v>
      </c>
      <c r="V7" s="245">
        <f>IF(D7=1, U7/$U$25, 0)</f>
        <v>0</v>
      </c>
      <c r="W7" s="682">
        <f>IF(hay=0, 0, F7)</f>
        <v>0</v>
      </c>
      <c r="X7" s="245">
        <f>IF(D7=1, W7/$W$25, 0)</f>
        <v>0</v>
      </c>
      <c r="Y7" s="682">
        <f>IF(hay=0, 0, F7)</f>
        <v>0</v>
      </c>
      <c r="Z7" s="245">
        <f>IF(D7=1, Y7/$Y$25, 0)</f>
        <v>0</v>
      </c>
      <c r="AA7" s="682">
        <f>IF(hay=0, 0, F7)</f>
        <v>0</v>
      </c>
      <c r="AB7" s="245">
        <f>IF(D7=1, AA7/$AA$25, 0)</f>
        <v>0</v>
      </c>
      <c r="AC7" s="682">
        <f>IF(hay=0, 0, F7)</f>
        <v>0</v>
      </c>
      <c r="AD7" s="245">
        <f>IF(D7=1, AC7/$AC$25, 0)</f>
        <v>0</v>
      </c>
      <c r="AE7" s="682">
        <f>IF(hay=0, 0, F7)</f>
        <v>0</v>
      </c>
      <c r="AF7" s="245">
        <f>IF(D7=1, AE7/$AE$25, 0)</f>
        <v>0</v>
      </c>
      <c r="AG7" s="682">
        <f>0</f>
        <v>0</v>
      </c>
      <c r="AH7" s="246">
        <f>0</f>
        <v>0</v>
      </c>
      <c r="AI7" s="682">
        <f>0</f>
        <v>0</v>
      </c>
      <c r="AJ7" s="246">
        <f>0</f>
        <v>0</v>
      </c>
      <c r="AK7" s="682">
        <f>0</f>
        <v>0</v>
      </c>
      <c r="AL7" s="246">
        <f>0</f>
        <v>0</v>
      </c>
      <c r="AM7" s="682">
        <f>0</f>
        <v>0</v>
      </c>
      <c r="AN7" s="246">
        <f>0</f>
        <v>0</v>
      </c>
      <c r="AO7" s="682">
        <f>IF(hay=0, 0, F7)</f>
        <v>0</v>
      </c>
      <c r="AP7" s="245">
        <f>IF(D7=1, AO7/$AO$25, 0)</f>
        <v>0</v>
      </c>
      <c r="AQ7" s="682">
        <f>0</f>
        <v>0</v>
      </c>
      <c r="AR7" s="246">
        <f>0</f>
        <v>0</v>
      </c>
      <c r="AS7" s="682">
        <f>0</f>
        <v>0</v>
      </c>
      <c r="AT7" s="246">
        <f>0</f>
        <v>0</v>
      </c>
      <c r="AU7" s="682">
        <f>IF(hay=0, 0, F7)</f>
        <v>0</v>
      </c>
      <c r="AV7" s="245">
        <f>IF(D7=1, AU7/$AU$25, 0)</f>
        <v>0</v>
      </c>
      <c r="AW7" s="682">
        <f>0</f>
        <v>0</v>
      </c>
      <c r="AX7" s="246">
        <f>0</f>
        <v>0</v>
      </c>
    </row>
    <row r="8" spans="1:50" x14ac:dyDescent="0.3">
      <c r="A8" s="240" t="s">
        <v>697</v>
      </c>
      <c r="B8" s="407">
        <v>0</v>
      </c>
      <c r="C8" s="243">
        <f>IF(D8=1, balehay/crops, 0)</f>
        <v>0</v>
      </c>
      <c r="D8" s="241">
        <f>IF(balehay=0, 0, 1)</f>
        <v>0</v>
      </c>
      <c r="E8" s="244">
        <f>(SUMPRODUCT(HayOprC!B19:B26,HayOprC!C19:C26)/HayOprC!F5)+(SUMPRODUCT(HayOprC!B27:B44,HayOprC!C27:C44))+(IF(HayOprC!F5=1,0,SUMPRODUCT(HayOprC!B45:B59,HayOprC!C45:C59)*((HayOprC!F5-HayOprC!F2)/HayOprC!F5))+(SUMPRODUCT(HayOprC!B60:B62,HayOprC!C60:C62)))</f>
        <v>4.5465266163385314</v>
      </c>
      <c r="F8" s="685">
        <f>E8*balehay</f>
        <v>0</v>
      </c>
      <c r="G8" s="686">
        <f>IF(balehay=0, 0, F8)</f>
        <v>0</v>
      </c>
      <c r="H8" s="243">
        <f t="shared" si="0"/>
        <v>0</v>
      </c>
      <c r="I8" s="682">
        <f>IF(balehay=0, 0, F8)</f>
        <v>0</v>
      </c>
      <c r="J8" s="245">
        <f t="shared" si="1"/>
        <v>0</v>
      </c>
      <c r="K8" s="682">
        <f>0</f>
        <v>0</v>
      </c>
      <c r="L8" s="246">
        <f>0</f>
        <v>0</v>
      </c>
      <c r="M8" s="682">
        <f>IF(balehay=0, 0, F8)</f>
        <v>0</v>
      </c>
      <c r="N8" s="245">
        <f>IF(D8=1, M8/$M$25, 0)</f>
        <v>0</v>
      </c>
      <c r="O8" s="682">
        <f>IF(balehay=0, 0, F8)</f>
        <v>0</v>
      </c>
      <c r="P8" s="245">
        <f>IF(D8=1, O8/$O$25, 0)</f>
        <v>0</v>
      </c>
      <c r="Q8" s="682">
        <f>IF(balehay=0, 0, F8)</f>
        <v>0</v>
      </c>
      <c r="R8" s="379">
        <f t="shared" si="2"/>
        <v>0</v>
      </c>
      <c r="S8" s="682">
        <f>0</f>
        <v>0</v>
      </c>
      <c r="T8" s="246">
        <v>0</v>
      </c>
      <c r="U8" s="682">
        <f>0</f>
        <v>0</v>
      </c>
      <c r="V8" s="246">
        <v>0</v>
      </c>
      <c r="W8" s="682">
        <f>0</f>
        <v>0</v>
      </c>
      <c r="X8" s="246">
        <v>0</v>
      </c>
      <c r="Y8" s="682">
        <f>0</f>
        <v>0</v>
      </c>
      <c r="Z8" s="246">
        <v>0</v>
      </c>
      <c r="AA8" s="682">
        <f>IF(balehay=0, 0, F8)</f>
        <v>0</v>
      </c>
      <c r="AB8" s="245">
        <f>IF(D8=1, AA8/$AA$25, 0)</f>
        <v>0</v>
      </c>
      <c r="AC8" s="682">
        <f>IF(balehay=0, 0, F8)</f>
        <v>0</v>
      </c>
      <c r="AD8" s="245">
        <f>IF(D8=1, AC8/$AC$25, 0)</f>
        <v>0</v>
      </c>
      <c r="AE8" s="682">
        <f>IF(balehay=0, 0, F8)</f>
        <v>0</v>
      </c>
      <c r="AF8" s="245">
        <f>IF(D8=1, AE8/$AE$25, 0)</f>
        <v>0</v>
      </c>
      <c r="AG8" s="682">
        <f>0</f>
        <v>0</v>
      </c>
      <c r="AH8" s="246">
        <f>0</f>
        <v>0</v>
      </c>
      <c r="AI8" s="682">
        <f>0</f>
        <v>0</v>
      </c>
      <c r="AJ8" s="246">
        <f>0</f>
        <v>0</v>
      </c>
      <c r="AK8" s="682">
        <f>0</f>
        <v>0</v>
      </c>
      <c r="AL8" s="246">
        <f>0</f>
        <v>0</v>
      </c>
      <c r="AM8" s="682">
        <f>0</f>
        <v>0</v>
      </c>
      <c r="AN8" s="246">
        <f>0</f>
        <v>0</v>
      </c>
      <c r="AO8" s="682">
        <f>IF(balehay=0, 0, F8)</f>
        <v>0</v>
      </c>
      <c r="AP8" s="245">
        <f>IF(D8=1, AO8/$AO$25, 0)</f>
        <v>0</v>
      </c>
      <c r="AQ8" s="682">
        <f>0</f>
        <v>0</v>
      </c>
      <c r="AR8" s="246">
        <f>0</f>
        <v>0</v>
      </c>
      <c r="AS8" s="682">
        <f>0</f>
        <v>0</v>
      </c>
      <c r="AT8" s="246">
        <f>0</f>
        <v>0</v>
      </c>
      <c r="AU8" s="682">
        <f>IF(balehay=0, 0, F8)</f>
        <v>0</v>
      </c>
      <c r="AV8" s="245">
        <f>IF(D8=1, AU8/$AU$25, 0)</f>
        <v>0</v>
      </c>
      <c r="AW8" s="682">
        <f>0</f>
        <v>0</v>
      </c>
      <c r="AX8" s="246">
        <f>0</f>
        <v>0</v>
      </c>
    </row>
    <row r="9" spans="1:50" x14ac:dyDescent="0.3">
      <c r="A9" s="240" t="s">
        <v>125</v>
      </c>
      <c r="B9" s="407">
        <v>0</v>
      </c>
      <c r="C9" s="243">
        <f>IF(D9=1, clover/crops, 0)</f>
        <v>0</v>
      </c>
      <c r="D9" s="241">
        <f>IF(clover=0, 0, 1)</f>
        <v>0</v>
      </c>
      <c r="E9" s="244">
        <f>(SUMPRODUCT(CvrOprC!B17:B24,CvrOprC!C17:C24)/CvrOprC!F5)+(SUMPRODUCT(CvrOprC!B25:B30,CvrOprC!C25:C30))+(IF(CvrOprC!F5=1,0,SUMPRODUCT(CvrOprC!B31:B49,CvrOprC!C31:C49)*(CvrOprC!F5-CvrOprC!F2)/CvrOprC!F5))+(SUMPRODUCT(CvrOprC!B50:B52,CvrOprC!C50:C52))</f>
        <v>3.9169266665650593</v>
      </c>
      <c r="F9" s="685">
        <f>E9*clover</f>
        <v>0</v>
      </c>
      <c r="G9" s="686">
        <f>IF(clover=0, 0, F9)</f>
        <v>0</v>
      </c>
      <c r="H9" s="243">
        <f t="shared" si="0"/>
        <v>0</v>
      </c>
      <c r="I9" s="682">
        <f>IF(clover=0, 0, F9)</f>
        <v>0</v>
      </c>
      <c r="J9" s="245">
        <f t="shared" si="1"/>
        <v>0</v>
      </c>
      <c r="K9" s="682">
        <f>0</f>
        <v>0</v>
      </c>
      <c r="L9" s="246">
        <f>0</f>
        <v>0</v>
      </c>
      <c r="M9" s="682">
        <f>0</f>
        <v>0</v>
      </c>
      <c r="N9" s="246">
        <f>0</f>
        <v>0</v>
      </c>
      <c r="O9" s="682">
        <f>0</f>
        <v>0</v>
      </c>
      <c r="P9" s="246">
        <f>0</f>
        <v>0</v>
      </c>
      <c r="Q9" s="682">
        <f>IF(clover=0, 0, F9)</f>
        <v>0</v>
      </c>
      <c r="R9" s="379">
        <f t="shared" si="2"/>
        <v>0</v>
      </c>
      <c r="S9" s="682">
        <f>0</f>
        <v>0</v>
      </c>
      <c r="T9" s="246">
        <v>0</v>
      </c>
      <c r="U9" s="682">
        <f>IF(clover=0, 0, F9)</f>
        <v>0</v>
      </c>
      <c r="V9" s="245">
        <f>IF(D9=1, U9/$U$25, 0)</f>
        <v>0</v>
      </c>
      <c r="W9" s="682">
        <f>IF(clover=0, 0, F9)</f>
        <v>0</v>
      </c>
      <c r="X9" s="245">
        <f>IF(D9=1, W9/$W$25, 0)</f>
        <v>0</v>
      </c>
      <c r="Y9" s="682">
        <f>0</f>
        <v>0</v>
      </c>
      <c r="Z9" s="246">
        <v>0</v>
      </c>
      <c r="AA9" s="682">
        <f>IF(clover=0, 0, F9)</f>
        <v>0</v>
      </c>
      <c r="AB9" s="245">
        <f>IF(D9=1, AA9/$AA$25, 0)</f>
        <v>0</v>
      </c>
      <c r="AC9" s="682">
        <f>IF(clover=0, 0, F9)</f>
        <v>0</v>
      </c>
      <c r="AD9" s="245">
        <f>IF(D9=1, AC9/$AC$25, 0)</f>
        <v>0</v>
      </c>
      <c r="AE9" s="682">
        <f>IF(clover=0, 0, F9)</f>
        <v>0</v>
      </c>
      <c r="AF9" s="245">
        <f>IF(D9=1, AE9/$AE$25, 0)</f>
        <v>0</v>
      </c>
      <c r="AG9" s="682">
        <f>0</f>
        <v>0</v>
      </c>
      <c r="AH9" s="246">
        <f>0</f>
        <v>0</v>
      </c>
      <c r="AI9" s="682">
        <f>0</f>
        <v>0</v>
      </c>
      <c r="AJ9" s="246">
        <f>0</f>
        <v>0</v>
      </c>
      <c r="AK9" s="682">
        <f>0</f>
        <v>0</v>
      </c>
      <c r="AL9" s="246">
        <f>0</f>
        <v>0</v>
      </c>
      <c r="AM9" s="682">
        <f>0</f>
        <v>0</v>
      </c>
      <c r="AN9" s="246">
        <f>0</f>
        <v>0</v>
      </c>
      <c r="AO9" s="682">
        <f>IF(clover=0, 0, F9)</f>
        <v>0</v>
      </c>
      <c r="AP9" s="245">
        <f>IF(D9=1, AO9/$AO$25, 0)</f>
        <v>0</v>
      </c>
      <c r="AQ9" s="682">
        <f>0</f>
        <v>0</v>
      </c>
      <c r="AR9" s="246">
        <f>0</f>
        <v>0</v>
      </c>
      <c r="AS9" s="682">
        <f>0</f>
        <v>0</v>
      </c>
      <c r="AT9" s="246">
        <f>0</f>
        <v>0</v>
      </c>
      <c r="AU9" s="682">
        <f>0</f>
        <v>0</v>
      </c>
      <c r="AV9" s="246">
        <f>0</f>
        <v>0</v>
      </c>
      <c r="AW9" s="682">
        <f>0</f>
        <v>0</v>
      </c>
      <c r="AX9" s="246">
        <f>0</f>
        <v>0</v>
      </c>
    </row>
    <row r="10" spans="1:50" x14ac:dyDescent="0.3">
      <c r="A10" s="240" t="s">
        <v>521</v>
      </c>
      <c r="B10" s="407">
        <v>0</v>
      </c>
      <c r="C10" s="243">
        <f>IF(D10=1, graze/crops, 0)</f>
        <v>0</v>
      </c>
      <c r="D10" s="241">
        <f>IF(graze=0, 0, 1)</f>
        <v>0</v>
      </c>
      <c r="E10" s="244">
        <f>SUMPRODUCT(GrzOprC!B19:B52,GrzOprC!C19:C52)</f>
        <v>2.4637092926244728</v>
      </c>
      <c r="F10" s="685">
        <f>E10*graze</f>
        <v>0</v>
      </c>
      <c r="G10" s="686">
        <f>IF(graze=0, 0, F10)</f>
        <v>0</v>
      </c>
      <c r="H10" s="243">
        <f t="shared" si="0"/>
        <v>0</v>
      </c>
      <c r="I10" s="682">
        <f>0</f>
        <v>0</v>
      </c>
      <c r="J10" s="246">
        <f>0</f>
        <v>0</v>
      </c>
      <c r="K10" s="682">
        <f>0</f>
        <v>0</v>
      </c>
      <c r="L10" s="246">
        <f>0</f>
        <v>0</v>
      </c>
      <c r="M10" s="682">
        <f>IF(graze=0, 0, F10)</f>
        <v>0</v>
      </c>
      <c r="N10" s="245">
        <f t="shared" ref="N10:N19" si="3">IF(D10=1, M10/$M$25, 0)</f>
        <v>0</v>
      </c>
      <c r="O10" s="682">
        <f>0</f>
        <v>0</v>
      </c>
      <c r="P10" s="246">
        <f>0</f>
        <v>0</v>
      </c>
      <c r="Q10" s="682">
        <f>IF(graze=0, 0, F10)</f>
        <v>0</v>
      </c>
      <c r="R10" s="379">
        <f t="shared" si="2"/>
        <v>0</v>
      </c>
      <c r="S10" s="682">
        <f>0</f>
        <v>0</v>
      </c>
      <c r="T10" s="246">
        <v>0</v>
      </c>
      <c r="U10" s="682">
        <f>IF(graze=0, 0, F10)</f>
        <v>0</v>
      </c>
      <c r="V10" s="245">
        <f>IF(D10=1, U10/$U$25, 0)</f>
        <v>0</v>
      </c>
      <c r="W10" s="682">
        <f>0</f>
        <v>0</v>
      </c>
      <c r="X10" s="246">
        <v>0</v>
      </c>
      <c r="Y10" s="682">
        <f>0</f>
        <v>0</v>
      </c>
      <c r="Z10" s="246">
        <v>0</v>
      </c>
      <c r="AA10" s="682">
        <f>0</f>
        <v>0</v>
      </c>
      <c r="AB10" s="246">
        <f>0</f>
        <v>0</v>
      </c>
      <c r="AC10" s="682">
        <f>IF(graze=0, 0, F10)</f>
        <v>0</v>
      </c>
      <c r="AD10" s="245">
        <f>IF(D10=1, AC10/$AC$25, 0)</f>
        <v>0</v>
      </c>
      <c r="AE10" s="682">
        <f>IF(graze=0, 0, F10)</f>
        <v>0</v>
      </c>
      <c r="AF10" s="245">
        <f>IF(D10=1, AE10/$AE$25, 0)</f>
        <v>0</v>
      </c>
      <c r="AG10" s="682">
        <f>0</f>
        <v>0</v>
      </c>
      <c r="AH10" s="246">
        <f>0</f>
        <v>0</v>
      </c>
      <c r="AI10" s="682">
        <f>0</f>
        <v>0</v>
      </c>
      <c r="AJ10" s="246">
        <f>0</f>
        <v>0</v>
      </c>
      <c r="AK10" s="682">
        <f>0</f>
        <v>0</v>
      </c>
      <c r="AL10" s="246">
        <f>0</f>
        <v>0</v>
      </c>
      <c r="AM10" s="682">
        <f>0</f>
        <v>0</v>
      </c>
      <c r="AN10" s="246">
        <f>0</f>
        <v>0</v>
      </c>
      <c r="AO10" s="682">
        <f>0</f>
        <v>0</v>
      </c>
      <c r="AP10" s="246">
        <f>0</f>
        <v>0</v>
      </c>
      <c r="AQ10" s="682">
        <f>0</f>
        <v>0</v>
      </c>
      <c r="AR10" s="246">
        <f>0</f>
        <v>0</v>
      </c>
      <c r="AS10" s="682">
        <f>0</f>
        <v>0</v>
      </c>
      <c r="AT10" s="246">
        <f>0</f>
        <v>0</v>
      </c>
      <c r="AU10" s="682">
        <f>0</f>
        <v>0</v>
      </c>
      <c r="AV10" s="246">
        <f>0</f>
        <v>0</v>
      </c>
      <c r="AW10" s="682">
        <f>0</f>
        <v>0</v>
      </c>
      <c r="AX10" s="246">
        <f>0</f>
        <v>0</v>
      </c>
    </row>
    <row r="11" spans="1:50" ht="13.5" thickBot="1" x14ac:dyDescent="0.35">
      <c r="A11" s="240" t="s">
        <v>958</v>
      </c>
      <c r="B11" s="407">
        <v>0</v>
      </c>
      <c r="C11" s="243">
        <f>IF(D11=1, gcorn/crops, 0)</f>
        <v>0</v>
      </c>
      <c r="D11" s="241">
        <f>IF(gcorn=0, 0, 1)</f>
        <v>0</v>
      </c>
      <c r="E11" s="244">
        <f>SUMPRODUCT(CnGOprC!B17:B32,CnGOprC!C17:C32)</f>
        <v>3.0938954592190613</v>
      </c>
      <c r="F11" s="685">
        <f>E11*gcorn</f>
        <v>0</v>
      </c>
      <c r="G11" s="686">
        <f>IF(gcorn=0, 0, F11)</f>
        <v>0</v>
      </c>
      <c r="H11" s="243">
        <f t="shared" si="0"/>
        <v>0</v>
      </c>
      <c r="I11" s="682">
        <f>IF(gcorn=0, 0, F11)</f>
        <v>0</v>
      </c>
      <c r="J11" s="245">
        <f t="shared" ref="J11:J19" si="4">IF(D11=1, I11/$I$25, 0)</f>
        <v>0</v>
      </c>
      <c r="K11" s="682">
        <f>0</f>
        <v>0</v>
      </c>
      <c r="L11" s="246">
        <f>0</f>
        <v>0</v>
      </c>
      <c r="M11" s="682">
        <f>IF(gcorn=0, 0, F11)</f>
        <v>0</v>
      </c>
      <c r="N11" s="245">
        <f t="shared" si="3"/>
        <v>0</v>
      </c>
      <c r="O11" s="682">
        <f>IF(gcorn=0, 0, F11)</f>
        <v>0</v>
      </c>
      <c r="P11" s="245">
        <f t="shared" ref="P11:P19" si="5">IF(D11=1, O11/$O$25, 0)</f>
        <v>0</v>
      </c>
      <c r="Q11" s="682">
        <f>IF(gcorn=0, 0, F11)</f>
        <v>0</v>
      </c>
      <c r="R11" s="379">
        <f t="shared" si="2"/>
        <v>0</v>
      </c>
      <c r="S11" s="682">
        <f>IF(gcorn=0, 0, H11)</f>
        <v>0</v>
      </c>
      <c r="T11" s="379">
        <f>IF(F11=1, S11/$S$25, 0)</f>
        <v>0</v>
      </c>
      <c r="U11" s="682">
        <f>0</f>
        <v>0</v>
      </c>
      <c r="V11" s="246">
        <v>0</v>
      </c>
      <c r="W11" s="682">
        <f>0</f>
        <v>0</v>
      </c>
      <c r="X11" s="246">
        <v>0</v>
      </c>
      <c r="Y11" s="682">
        <f>0</f>
        <v>0</v>
      </c>
      <c r="Z11" s="246">
        <v>0</v>
      </c>
      <c r="AA11" s="682">
        <f>0</f>
        <v>0</v>
      </c>
      <c r="AB11" s="246">
        <f>0</f>
        <v>0</v>
      </c>
      <c r="AC11" s="682">
        <f>0</f>
        <v>0</v>
      </c>
      <c r="AD11" s="246">
        <v>0</v>
      </c>
      <c r="AE11" s="682">
        <f>0</f>
        <v>0</v>
      </c>
      <c r="AF11" s="246">
        <v>0</v>
      </c>
      <c r="AG11" s="682">
        <f>IF(gcorn=0, 0, F11)</f>
        <v>0</v>
      </c>
      <c r="AH11" s="245">
        <f t="shared" ref="AH11:AH19" si="6">IF(D11=1, AG11/$AG$25, 0)</f>
        <v>0</v>
      </c>
      <c r="AI11" s="682">
        <f>0</f>
        <v>0</v>
      </c>
      <c r="AJ11" s="246">
        <f>0</f>
        <v>0</v>
      </c>
      <c r="AK11" s="682">
        <f>0</f>
        <v>0</v>
      </c>
      <c r="AL11" s="246">
        <f>0</f>
        <v>0</v>
      </c>
      <c r="AM11" s="682">
        <f>0</f>
        <v>0</v>
      </c>
      <c r="AN11" s="246">
        <f>0</f>
        <v>0</v>
      </c>
      <c r="AO11" s="682">
        <f>0</f>
        <v>0</v>
      </c>
      <c r="AP11" s="246">
        <f>0</f>
        <v>0</v>
      </c>
      <c r="AQ11" s="682">
        <f>0</f>
        <v>0</v>
      </c>
      <c r="AR11" s="246">
        <f>0</f>
        <v>0</v>
      </c>
      <c r="AS11" s="682">
        <f>IF(gcorn=0, 0, F11)</f>
        <v>0</v>
      </c>
      <c r="AT11" s="245">
        <f>IF(D11=1, AS11/$AS$25, 0)</f>
        <v>0</v>
      </c>
      <c r="AU11" s="682">
        <f>0</f>
        <v>0</v>
      </c>
      <c r="AV11" s="246">
        <f>0</f>
        <v>0</v>
      </c>
      <c r="AW11" s="682">
        <f>0</f>
        <v>0</v>
      </c>
      <c r="AX11" s="246">
        <f>0</f>
        <v>0</v>
      </c>
    </row>
    <row r="12" spans="1:50" ht="13.5" thickBot="1" x14ac:dyDescent="0.35">
      <c r="A12" s="871" t="s">
        <v>105</v>
      </c>
      <c r="B12" s="884">
        <f>FARM!$C$15</f>
        <v>100</v>
      </c>
      <c r="C12" s="243">
        <f>IF(D12=1, barley/crops, 0)</f>
        <v>0.25</v>
      </c>
      <c r="D12" s="241">
        <f>IF(barley=0, 0, 1)</f>
        <v>1</v>
      </c>
      <c r="E12" s="244">
        <f>SUMPRODUCT(Bv!B25:B76,Bv!C25:C76)</f>
        <v>2.7823569048340011</v>
      </c>
      <c r="F12" s="685">
        <f>E12*barley</f>
        <v>278.23569048340011</v>
      </c>
      <c r="G12" s="686">
        <f>IF(barley=0, 0, F12)</f>
        <v>278.23569048340011</v>
      </c>
      <c r="H12" s="243">
        <f t="shared" si="0"/>
        <v>0.30363725215460052</v>
      </c>
      <c r="I12" s="682">
        <f>IF(barley=0, 0, F12)</f>
        <v>278.23569048340011</v>
      </c>
      <c r="J12" s="245">
        <f t="shared" si="4"/>
        <v>0.30363725215460052</v>
      </c>
      <c r="K12" s="682">
        <f>0</f>
        <v>0</v>
      </c>
      <c r="L12" s="246">
        <f>0</f>
        <v>0</v>
      </c>
      <c r="M12" s="682">
        <f>IF(barley=0, 0, F12)</f>
        <v>278.23569048340011</v>
      </c>
      <c r="N12" s="245">
        <f t="shared" si="3"/>
        <v>0.39037187262497169</v>
      </c>
      <c r="O12" s="682">
        <f>IF(barley=0, 0, F12)</f>
        <v>278.23569048340011</v>
      </c>
      <c r="P12" s="245">
        <f t="shared" si="5"/>
        <v>0.30363725215460052</v>
      </c>
      <c r="Q12" s="682">
        <f>IF(barley=0, 0, F12)</f>
        <v>278.23569048340011</v>
      </c>
      <c r="R12" s="379">
        <f t="shared" si="2"/>
        <v>0.30363725215460052</v>
      </c>
      <c r="S12" s="682">
        <f>0</f>
        <v>0</v>
      </c>
      <c r="T12" s="246">
        <v>0</v>
      </c>
      <c r="U12" s="682">
        <f>0</f>
        <v>0</v>
      </c>
      <c r="V12" s="246">
        <f>0</f>
        <v>0</v>
      </c>
      <c r="W12" s="682">
        <f>0</f>
        <v>0</v>
      </c>
      <c r="X12" s="246">
        <f>0</f>
        <v>0</v>
      </c>
      <c r="Y12" s="682">
        <f>0</f>
        <v>0</v>
      </c>
      <c r="Z12" s="246">
        <f>0</f>
        <v>0</v>
      </c>
      <c r="AA12" s="682">
        <f>0</f>
        <v>0</v>
      </c>
      <c r="AB12" s="246">
        <f>0</f>
        <v>0</v>
      </c>
      <c r="AC12" s="682">
        <f>0</f>
        <v>0</v>
      </c>
      <c r="AD12" s="246">
        <f>0</f>
        <v>0</v>
      </c>
      <c r="AE12" s="682">
        <f>IF(barley=0, 0, F12)</f>
        <v>278.23569048340011</v>
      </c>
      <c r="AF12" s="245">
        <f t="shared" ref="AF12:AF18" si="7">IF(D12=1, AE12/$AE$25, 0)</f>
        <v>0.51746104385600467</v>
      </c>
      <c r="AG12" s="682">
        <f>IF(barley=0, 0, F12)</f>
        <v>278.23569048340011</v>
      </c>
      <c r="AH12" s="245">
        <f t="shared" si="6"/>
        <v>0.30363725215460052</v>
      </c>
      <c r="AI12" s="682">
        <f>IF(barley=0, 0, F12)</f>
        <v>278.23569048340011</v>
      </c>
      <c r="AJ12" s="245">
        <f t="shared" ref="AJ12:AJ19" si="8">IF(D12=1, AI12/$AI$25, 0)</f>
        <v>0.39037187262497169</v>
      </c>
      <c r="AK12" s="682">
        <f>0</f>
        <v>0</v>
      </c>
      <c r="AL12" s="246">
        <f>0</f>
        <v>0</v>
      </c>
      <c r="AM12" s="682">
        <f>IF(barley=0, 0, F12)</f>
        <v>278.23569048340011</v>
      </c>
      <c r="AN12" s="245">
        <f t="shared" ref="AN12:AN19" si="9">IF(D12=1, AM12/$AM$25, 0)</f>
        <v>0.39037187262497169</v>
      </c>
      <c r="AO12" s="682">
        <f>0</f>
        <v>0</v>
      </c>
      <c r="AP12" s="246">
        <f>0</f>
        <v>0</v>
      </c>
      <c r="AQ12" s="682">
        <f>IF(barley=0, 0, F12)</f>
        <v>278.23569048340011</v>
      </c>
      <c r="AR12" s="245">
        <f t="shared" ref="AR12:AR19" si="10">IF(D12=1, AQ12/$AQ$25, 0)</f>
        <v>0.30363725215460052</v>
      </c>
      <c r="AS12" s="682">
        <f>0</f>
        <v>0</v>
      </c>
      <c r="AT12" s="246">
        <f>0</f>
        <v>0</v>
      </c>
      <c r="AU12" s="682">
        <f>0</f>
        <v>0</v>
      </c>
      <c r="AV12" s="246">
        <f>0</f>
        <v>0</v>
      </c>
      <c r="AW12" s="682">
        <f>0</f>
        <v>0</v>
      </c>
      <c r="AX12" s="246">
        <f>0</f>
        <v>0</v>
      </c>
    </row>
    <row r="13" spans="1:50" ht="13.5" thickBot="1" x14ac:dyDescent="0.35">
      <c r="A13" s="871" t="s">
        <v>426</v>
      </c>
      <c r="B13" s="884">
        <f>FARM!$C$16</f>
        <v>0</v>
      </c>
      <c r="C13" s="243">
        <f>IF(D13=1, oats/crops, 0)</f>
        <v>0</v>
      </c>
      <c r="D13" s="241">
        <f>IF(oats=0, 0, 1)</f>
        <v>0</v>
      </c>
      <c r="E13" s="244">
        <f>SUMPRODUCT(Ov!B25:B76,Ov!C25:C76)</f>
        <v>2.8695189142630868</v>
      </c>
      <c r="F13" s="685">
        <f>E13*oats</f>
        <v>0</v>
      </c>
      <c r="G13" s="686">
        <f>IF(oats=0, 0, F13)</f>
        <v>0</v>
      </c>
      <c r="H13" s="243">
        <f t="shared" si="0"/>
        <v>0</v>
      </c>
      <c r="I13" s="682">
        <f>IF(oats=0, 0, F13)</f>
        <v>0</v>
      </c>
      <c r="J13" s="245">
        <f t="shared" si="4"/>
        <v>0</v>
      </c>
      <c r="K13" s="682">
        <f>0</f>
        <v>0</v>
      </c>
      <c r="L13" s="246">
        <f>0</f>
        <v>0</v>
      </c>
      <c r="M13" s="682">
        <f>IF(oats=0, 0, F13)</f>
        <v>0</v>
      </c>
      <c r="N13" s="245">
        <f t="shared" si="3"/>
        <v>0</v>
      </c>
      <c r="O13" s="682">
        <f>IF(oats=0, 0, F13)</f>
        <v>0</v>
      </c>
      <c r="P13" s="245">
        <f t="shared" si="5"/>
        <v>0</v>
      </c>
      <c r="Q13" s="682">
        <f>IF(oats=0, 0, F13)</f>
        <v>0</v>
      </c>
      <c r="R13" s="379">
        <f t="shared" si="2"/>
        <v>0</v>
      </c>
      <c r="S13" s="682">
        <f>0</f>
        <v>0</v>
      </c>
      <c r="T13" s="246">
        <v>0</v>
      </c>
      <c r="U13" s="682">
        <f>0</f>
        <v>0</v>
      </c>
      <c r="V13" s="246">
        <v>0</v>
      </c>
      <c r="W13" s="682">
        <f>0</f>
        <v>0</v>
      </c>
      <c r="X13" s="246">
        <v>0</v>
      </c>
      <c r="Y13" s="682">
        <f>0</f>
        <v>0</v>
      </c>
      <c r="Z13" s="246">
        <v>0</v>
      </c>
      <c r="AA13" s="682">
        <f>0</f>
        <v>0</v>
      </c>
      <c r="AB13" s="246">
        <f>0</f>
        <v>0</v>
      </c>
      <c r="AC13" s="682">
        <f>0</f>
        <v>0</v>
      </c>
      <c r="AD13" s="246">
        <v>0</v>
      </c>
      <c r="AE13" s="682">
        <f>IF(oats=0, 0, F13)</f>
        <v>0</v>
      </c>
      <c r="AF13" s="245">
        <f t="shared" si="7"/>
        <v>0</v>
      </c>
      <c r="AG13" s="682">
        <f>IF(oats=0, 0, F13)</f>
        <v>0</v>
      </c>
      <c r="AH13" s="245">
        <f t="shared" si="6"/>
        <v>0</v>
      </c>
      <c r="AI13" s="682">
        <f>IF(oats=0, 0, F13)</f>
        <v>0</v>
      </c>
      <c r="AJ13" s="245">
        <f t="shared" si="8"/>
        <v>0</v>
      </c>
      <c r="AK13" s="682">
        <f>0</f>
        <v>0</v>
      </c>
      <c r="AL13" s="246">
        <f>0</f>
        <v>0</v>
      </c>
      <c r="AM13" s="682">
        <f>IF(oats=0, 0, F13)</f>
        <v>0</v>
      </c>
      <c r="AN13" s="245">
        <f t="shared" si="9"/>
        <v>0</v>
      </c>
      <c r="AO13" s="682">
        <f>0</f>
        <v>0</v>
      </c>
      <c r="AP13" s="246">
        <f>0</f>
        <v>0</v>
      </c>
      <c r="AQ13" s="682">
        <f>IF(oats=0, 0, F13)</f>
        <v>0</v>
      </c>
      <c r="AR13" s="245">
        <f t="shared" si="10"/>
        <v>0</v>
      </c>
      <c r="AS13" s="682">
        <f>0</f>
        <v>0</v>
      </c>
      <c r="AT13" s="246">
        <f>0</f>
        <v>0</v>
      </c>
      <c r="AU13" s="682">
        <f>0</f>
        <v>0</v>
      </c>
      <c r="AV13" s="246">
        <f>0</f>
        <v>0</v>
      </c>
      <c r="AW13" s="682">
        <f>0</f>
        <v>0</v>
      </c>
      <c r="AX13" s="246">
        <f>0</f>
        <v>0</v>
      </c>
    </row>
    <row r="14" spans="1:50" ht="13.5" thickBot="1" x14ac:dyDescent="0.35">
      <c r="A14" s="871" t="s">
        <v>522</v>
      </c>
      <c r="B14" s="884">
        <f>FARM!$C$17</f>
        <v>0</v>
      </c>
      <c r="C14" s="243">
        <f>IF(D14=1, rye/crops, 0)</f>
        <v>0</v>
      </c>
      <c r="D14" s="241">
        <f>IF(rye=0, 0, 1)</f>
        <v>0</v>
      </c>
      <c r="E14" s="244">
        <f>SUMPRODUCT(Rv!B25:B76,Rv!C25:C76)</f>
        <v>2.0521441041459303</v>
      </c>
      <c r="F14" s="685">
        <f>E14*rye</f>
        <v>0</v>
      </c>
      <c r="G14" s="686">
        <f>IF(rye=0, 0, F14)</f>
        <v>0</v>
      </c>
      <c r="H14" s="243">
        <f t="shared" si="0"/>
        <v>0</v>
      </c>
      <c r="I14" s="682">
        <f>IF(rye=0, 0, F14)</f>
        <v>0</v>
      </c>
      <c r="J14" s="245">
        <f t="shared" si="4"/>
        <v>0</v>
      </c>
      <c r="K14" s="682">
        <f>0</f>
        <v>0</v>
      </c>
      <c r="L14" s="246">
        <f>0</f>
        <v>0</v>
      </c>
      <c r="M14" s="682">
        <f>IF(rye=0, 0, F14)</f>
        <v>0</v>
      </c>
      <c r="N14" s="245">
        <f t="shared" si="3"/>
        <v>0</v>
      </c>
      <c r="O14" s="682">
        <f>IF(rye=0, 0, F14)</f>
        <v>0</v>
      </c>
      <c r="P14" s="245">
        <f t="shared" si="5"/>
        <v>0</v>
      </c>
      <c r="Q14" s="682">
        <f>IF(rye=0, 0, F14)</f>
        <v>0</v>
      </c>
      <c r="R14" s="379">
        <f t="shared" si="2"/>
        <v>0</v>
      </c>
      <c r="S14" s="682">
        <f>0</f>
        <v>0</v>
      </c>
      <c r="T14" s="246">
        <v>0</v>
      </c>
      <c r="U14" s="682">
        <f>0</f>
        <v>0</v>
      </c>
      <c r="V14" s="246">
        <v>0</v>
      </c>
      <c r="W14" s="682">
        <f>0</f>
        <v>0</v>
      </c>
      <c r="X14" s="246">
        <v>0</v>
      </c>
      <c r="Y14" s="682">
        <f>0</f>
        <v>0</v>
      </c>
      <c r="Z14" s="246">
        <v>0</v>
      </c>
      <c r="AA14" s="682">
        <f>0</f>
        <v>0</v>
      </c>
      <c r="AB14" s="246">
        <f>0</f>
        <v>0</v>
      </c>
      <c r="AC14" s="682">
        <f>0</f>
        <v>0</v>
      </c>
      <c r="AD14" s="246">
        <v>0</v>
      </c>
      <c r="AE14" s="682">
        <f>IF(rye=0, 0, F14)</f>
        <v>0</v>
      </c>
      <c r="AF14" s="245">
        <f t="shared" si="7"/>
        <v>0</v>
      </c>
      <c r="AG14" s="682">
        <f>IF(rye=0, 0, F14)</f>
        <v>0</v>
      </c>
      <c r="AH14" s="245">
        <f t="shared" si="6"/>
        <v>0</v>
      </c>
      <c r="AI14" s="682">
        <f>IF(rye=0, 0, F14)</f>
        <v>0</v>
      </c>
      <c r="AJ14" s="245">
        <f t="shared" si="8"/>
        <v>0</v>
      </c>
      <c r="AK14" s="682">
        <f>0</f>
        <v>0</v>
      </c>
      <c r="AL14" s="246">
        <f>0</f>
        <v>0</v>
      </c>
      <c r="AM14" s="682">
        <f>IF(rye=0, 0, F14)</f>
        <v>0</v>
      </c>
      <c r="AN14" s="245">
        <f t="shared" si="9"/>
        <v>0</v>
      </c>
      <c r="AO14" s="682">
        <f>0</f>
        <v>0</v>
      </c>
      <c r="AP14" s="246">
        <f>0</f>
        <v>0</v>
      </c>
      <c r="AQ14" s="682">
        <f>IF(rye=0, 0, F14)</f>
        <v>0</v>
      </c>
      <c r="AR14" s="245">
        <f t="shared" si="10"/>
        <v>0</v>
      </c>
      <c r="AS14" s="682">
        <f>0</f>
        <v>0</v>
      </c>
      <c r="AT14" s="246">
        <f>0</f>
        <v>0</v>
      </c>
      <c r="AU14" s="682">
        <f>0</f>
        <v>0</v>
      </c>
      <c r="AV14" s="246">
        <f>0</f>
        <v>0</v>
      </c>
      <c r="AW14" s="682">
        <f>0</f>
        <v>0</v>
      </c>
      <c r="AX14" s="246">
        <f>0</f>
        <v>0</v>
      </c>
    </row>
    <row r="15" spans="1:50" ht="13.5" thickBot="1" x14ac:dyDescent="0.35">
      <c r="A15" s="871" t="s">
        <v>1934</v>
      </c>
      <c r="B15" s="884">
        <f>FARM!$C$18</f>
        <v>0</v>
      </c>
      <c r="C15" s="243">
        <f>IF(D15=1, wheat/crops, 0)</f>
        <v>0</v>
      </c>
      <c r="D15" s="241">
        <f>IF(wheat=0, 0, 1)</f>
        <v>0</v>
      </c>
      <c r="E15" s="244">
        <f>SUMPRODUCT(Wv!B25:B76,Wv!C25:C76)</f>
        <v>2.6226661448828432</v>
      </c>
      <c r="F15" s="685">
        <f>E15*wheat</f>
        <v>0</v>
      </c>
      <c r="G15" s="686">
        <f>IF(wheat=0, 0, F15)</f>
        <v>0</v>
      </c>
      <c r="H15" s="243">
        <f t="shared" si="0"/>
        <v>0</v>
      </c>
      <c r="I15" s="682">
        <f>IF(wheat=0, 0, F15)</f>
        <v>0</v>
      </c>
      <c r="J15" s="245">
        <f t="shared" si="4"/>
        <v>0</v>
      </c>
      <c r="K15" s="682">
        <f>0</f>
        <v>0</v>
      </c>
      <c r="L15" s="246">
        <f>0</f>
        <v>0</v>
      </c>
      <c r="M15" s="682">
        <f>IF(wheat=0, 0, F15)</f>
        <v>0</v>
      </c>
      <c r="N15" s="245">
        <f t="shared" si="3"/>
        <v>0</v>
      </c>
      <c r="O15" s="682">
        <f>IF(wheat=0, 0, F15)</f>
        <v>0</v>
      </c>
      <c r="P15" s="245">
        <f t="shared" si="5"/>
        <v>0</v>
      </c>
      <c r="Q15" s="682">
        <f>IF(wheat=0, 0, F15)</f>
        <v>0</v>
      </c>
      <c r="R15" s="379">
        <f t="shared" si="2"/>
        <v>0</v>
      </c>
      <c r="S15" s="682">
        <f>0</f>
        <v>0</v>
      </c>
      <c r="T15" s="246">
        <v>0</v>
      </c>
      <c r="U15" s="682">
        <f>0</f>
        <v>0</v>
      </c>
      <c r="V15" s="246">
        <v>0</v>
      </c>
      <c r="W15" s="682">
        <f>0</f>
        <v>0</v>
      </c>
      <c r="X15" s="246">
        <v>0</v>
      </c>
      <c r="Y15" s="682">
        <f>0</f>
        <v>0</v>
      </c>
      <c r="Z15" s="246">
        <v>0</v>
      </c>
      <c r="AA15" s="682">
        <f>0</f>
        <v>0</v>
      </c>
      <c r="AB15" s="246">
        <f>0</f>
        <v>0</v>
      </c>
      <c r="AC15" s="682">
        <f>0</f>
        <v>0</v>
      </c>
      <c r="AD15" s="246">
        <v>0</v>
      </c>
      <c r="AE15" s="682">
        <f>IF(wheat=0, 0, F15)</f>
        <v>0</v>
      </c>
      <c r="AF15" s="245">
        <f t="shared" si="7"/>
        <v>0</v>
      </c>
      <c r="AG15" s="682">
        <f>IF(wheat=0, 0, F15)</f>
        <v>0</v>
      </c>
      <c r="AH15" s="245">
        <f t="shared" si="6"/>
        <v>0</v>
      </c>
      <c r="AI15" s="682">
        <f>IF(wheat=0, 0, F15)</f>
        <v>0</v>
      </c>
      <c r="AJ15" s="245">
        <f t="shared" si="8"/>
        <v>0</v>
      </c>
      <c r="AK15" s="682">
        <f>0</f>
        <v>0</v>
      </c>
      <c r="AL15" s="246">
        <f>0</f>
        <v>0</v>
      </c>
      <c r="AM15" s="682">
        <f>IF(wheat=0, 0, F15)</f>
        <v>0</v>
      </c>
      <c r="AN15" s="245">
        <f t="shared" si="9"/>
        <v>0</v>
      </c>
      <c r="AO15" s="682">
        <f>0</f>
        <v>0</v>
      </c>
      <c r="AP15" s="246">
        <f>0</f>
        <v>0</v>
      </c>
      <c r="AQ15" s="682">
        <f>IF(wheat=0, 0, F15)</f>
        <v>0</v>
      </c>
      <c r="AR15" s="245">
        <f t="shared" si="10"/>
        <v>0</v>
      </c>
      <c r="AS15" s="682">
        <f>0</f>
        <v>0</v>
      </c>
      <c r="AT15" s="246">
        <f>0</f>
        <v>0</v>
      </c>
      <c r="AU15" s="682">
        <f>0</f>
        <v>0</v>
      </c>
      <c r="AV15" s="246">
        <f>0</f>
        <v>0</v>
      </c>
      <c r="AW15" s="682">
        <f>0</f>
        <v>0</v>
      </c>
      <c r="AX15" s="246">
        <f>0</f>
        <v>0</v>
      </c>
    </row>
    <row r="16" spans="1:50" ht="13.5" thickBot="1" x14ac:dyDescent="0.35">
      <c r="A16" s="871" t="s">
        <v>1935</v>
      </c>
      <c r="B16" s="884">
        <f>FARM!$C$19</f>
        <v>0</v>
      </c>
      <c r="C16" s="243">
        <f>IF(D16=1, wwheat/crops, 0)</f>
        <v>0</v>
      </c>
      <c r="D16" s="241">
        <f>IF(wwheat=0, 0, 1)</f>
        <v>0</v>
      </c>
      <c r="E16" s="244">
        <f>SUMPRODUCT(wWv!B26:B77,wWv!C26:C77)</f>
        <v>2.5615122328814737</v>
      </c>
      <c r="F16" s="685">
        <f>E16*wwheat</f>
        <v>0</v>
      </c>
      <c r="G16" s="686">
        <f>IF(wwheat=0, 0, F16)</f>
        <v>0</v>
      </c>
      <c r="H16" s="243">
        <f t="shared" si="0"/>
        <v>0</v>
      </c>
      <c r="I16" s="682">
        <f>IF(wwheat=0, 0, F16)</f>
        <v>0</v>
      </c>
      <c r="J16" s="245">
        <f t="shared" si="4"/>
        <v>0</v>
      </c>
      <c r="K16" s="682">
        <f>0</f>
        <v>0</v>
      </c>
      <c r="L16" s="246">
        <f>0</f>
        <v>0</v>
      </c>
      <c r="M16" s="682">
        <f>IF(wwheat=0, 0, F16)</f>
        <v>0</v>
      </c>
      <c r="N16" s="245">
        <f t="shared" si="3"/>
        <v>0</v>
      </c>
      <c r="O16" s="682">
        <f>IF(wwheat=0, 0, F16)</f>
        <v>0</v>
      </c>
      <c r="P16" s="245">
        <f t="shared" si="5"/>
        <v>0</v>
      </c>
      <c r="Q16" s="682">
        <f>IF(wwheat=0, 0, F16)</f>
        <v>0</v>
      </c>
      <c r="R16" s="379">
        <f t="shared" si="2"/>
        <v>0</v>
      </c>
      <c r="S16" s="682">
        <f>0</f>
        <v>0</v>
      </c>
      <c r="T16" s="246">
        <v>0</v>
      </c>
      <c r="U16" s="682">
        <f>0</f>
        <v>0</v>
      </c>
      <c r="V16" s="246">
        <v>0</v>
      </c>
      <c r="W16" s="682">
        <f>0</f>
        <v>0</v>
      </c>
      <c r="X16" s="246">
        <v>0</v>
      </c>
      <c r="Y16" s="682">
        <f>0</f>
        <v>0</v>
      </c>
      <c r="Z16" s="246">
        <v>0</v>
      </c>
      <c r="AA16" s="682">
        <f>0</f>
        <v>0</v>
      </c>
      <c r="AB16" s="246">
        <f>0</f>
        <v>0</v>
      </c>
      <c r="AC16" s="682">
        <f>0</f>
        <v>0</v>
      </c>
      <c r="AD16" s="246">
        <v>0</v>
      </c>
      <c r="AE16" s="682">
        <f>IF(wwheat=0, 0, F16)</f>
        <v>0</v>
      </c>
      <c r="AF16" s="245">
        <f t="shared" si="7"/>
        <v>0</v>
      </c>
      <c r="AG16" s="682">
        <f>IF(wwheat=0, 0, F16)</f>
        <v>0</v>
      </c>
      <c r="AH16" s="245">
        <f t="shared" si="6"/>
        <v>0</v>
      </c>
      <c r="AI16" s="682">
        <f>IF(wwheat=0, 0, F16)</f>
        <v>0</v>
      </c>
      <c r="AJ16" s="245">
        <f t="shared" si="8"/>
        <v>0</v>
      </c>
      <c r="AK16" s="682">
        <f>0</f>
        <v>0</v>
      </c>
      <c r="AL16" s="246">
        <f>0</f>
        <v>0</v>
      </c>
      <c r="AM16" s="682">
        <f>IF(wwheat=0, 0, F16)</f>
        <v>0</v>
      </c>
      <c r="AN16" s="245">
        <f t="shared" si="9"/>
        <v>0</v>
      </c>
      <c r="AO16" s="682">
        <f>0</f>
        <v>0</v>
      </c>
      <c r="AP16" s="246">
        <f>0</f>
        <v>0</v>
      </c>
      <c r="AQ16" s="682">
        <f>IF(wwheat=0, 0, F16)</f>
        <v>0</v>
      </c>
      <c r="AR16" s="245">
        <f t="shared" si="10"/>
        <v>0</v>
      </c>
      <c r="AS16" s="682">
        <f>0</f>
        <v>0</v>
      </c>
      <c r="AT16" s="246">
        <f>0</f>
        <v>0</v>
      </c>
      <c r="AU16" s="682">
        <f>0</f>
        <v>0</v>
      </c>
      <c r="AV16" s="246">
        <f>0</f>
        <v>0</v>
      </c>
      <c r="AW16" s="682">
        <f>0</f>
        <v>0</v>
      </c>
      <c r="AX16" s="246">
        <f>0</f>
        <v>0</v>
      </c>
    </row>
    <row r="17" spans="1:50" ht="13.5" thickBot="1" x14ac:dyDescent="0.35">
      <c r="A17" s="871" t="s">
        <v>571</v>
      </c>
      <c r="B17" s="884">
        <f>FARM!$C$20</f>
        <v>0</v>
      </c>
      <c r="C17" s="243">
        <f>IF(D17=1, triticale/crops, 0)</f>
        <v>0</v>
      </c>
      <c r="D17" s="241">
        <f>IF(triticale=0, 0, 1)</f>
        <v>0</v>
      </c>
      <c r="E17" s="244">
        <f>SUMPRODUCT(Tv!B25:B76,Tv!C25:C76)</f>
        <v>2.4866312307854774</v>
      </c>
      <c r="F17" s="685">
        <f>E17*triticale</f>
        <v>0</v>
      </c>
      <c r="G17" s="686">
        <f>IF(triticale=0, 0, F17)</f>
        <v>0</v>
      </c>
      <c r="H17" s="243">
        <f t="shared" si="0"/>
        <v>0</v>
      </c>
      <c r="I17" s="682">
        <f>IF(triticale=0, 0, F17)</f>
        <v>0</v>
      </c>
      <c r="J17" s="245">
        <f t="shared" si="4"/>
        <v>0</v>
      </c>
      <c r="K17" s="682">
        <f>0</f>
        <v>0</v>
      </c>
      <c r="L17" s="246">
        <f>0</f>
        <v>0</v>
      </c>
      <c r="M17" s="682">
        <f>IF(triticale=0, 0, F17)</f>
        <v>0</v>
      </c>
      <c r="N17" s="245">
        <f t="shared" si="3"/>
        <v>0</v>
      </c>
      <c r="O17" s="682">
        <f>IF(triticale=0, 0, F17)</f>
        <v>0</v>
      </c>
      <c r="P17" s="245">
        <f t="shared" si="5"/>
        <v>0</v>
      </c>
      <c r="Q17" s="682">
        <f>IF(triticale=0, 0, F17)</f>
        <v>0</v>
      </c>
      <c r="R17" s="379">
        <f t="shared" si="2"/>
        <v>0</v>
      </c>
      <c r="S17" s="682">
        <f>0</f>
        <v>0</v>
      </c>
      <c r="T17" s="246">
        <v>0</v>
      </c>
      <c r="U17" s="682">
        <f>0</f>
        <v>0</v>
      </c>
      <c r="V17" s="246">
        <f>0</f>
        <v>0</v>
      </c>
      <c r="W17" s="682">
        <f>0</f>
        <v>0</v>
      </c>
      <c r="X17" s="246">
        <f>0</f>
        <v>0</v>
      </c>
      <c r="Y17" s="682">
        <f>0</f>
        <v>0</v>
      </c>
      <c r="Z17" s="246">
        <f>0</f>
        <v>0</v>
      </c>
      <c r="AA17" s="682">
        <f>0</f>
        <v>0</v>
      </c>
      <c r="AB17" s="246">
        <f>0</f>
        <v>0</v>
      </c>
      <c r="AC17" s="682">
        <f>0</f>
        <v>0</v>
      </c>
      <c r="AD17" s="246">
        <f>0</f>
        <v>0</v>
      </c>
      <c r="AE17" s="682">
        <f>IF(triticale=0, 0, F17)</f>
        <v>0</v>
      </c>
      <c r="AF17" s="245">
        <f t="shared" si="7"/>
        <v>0</v>
      </c>
      <c r="AG17" s="682">
        <f>IF(triticale=0, 0, F17)</f>
        <v>0</v>
      </c>
      <c r="AH17" s="245">
        <f t="shared" si="6"/>
        <v>0</v>
      </c>
      <c r="AI17" s="682">
        <f>IF(triticale=0, 0, F17)</f>
        <v>0</v>
      </c>
      <c r="AJ17" s="245">
        <f t="shared" si="8"/>
        <v>0</v>
      </c>
      <c r="AK17" s="682">
        <f>0</f>
        <v>0</v>
      </c>
      <c r="AL17" s="246">
        <f>0</f>
        <v>0</v>
      </c>
      <c r="AM17" s="682">
        <f>IF(triticale=0, 0, F17)</f>
        <v>0</v>
      </c>
      <c r="AN17" s="245">
        <f t="shared" si="9"/>
        <v>0</v>
      </c>
      <c r="AO17" s="682">
        <f>0</f>
        <v>0</v>
      </c>
      <c r="AP17" s="246">
        <f>0</f>
        <v>0</v>
      </c>
      <c r="AQ17" s="682">
        <f>IF(triticale=0, 0, F17)</f>
        <v>0</v>
      </c>
      <c r="AR17" s="245">
        <f t="shared" si="10"/>
        <v>0</v>
      </c>
      <c r="AS17" s="682">
        <f>0</f>
        <v>0</v>
      </c>
      <c r="AT17" s="246">
        <f>0</f>
        <v>0</v>
      </c>
      <c r="AU17" s="682">
        <f>0</f>
        <v>0</v>
      </c>
      <c r="AV17" s="246">
        <f>0</f>
        <v>0</v>
      </c>
      <c r="AW17" s="682">
        <f>0</f>
        <v>0</v>
      </c>
      <c r="AX17" s="246">
        <f>0</f>
        <v>0</v>
      </c>
    </row>
    <row r="18" spans="1:50" ht="13.5" thickBot="1" x14ac:dyDescent="0.35">
      <c r="A18" s="871" t="s">
        <v>572</v>
      </c>
      <c r="B18" s="884">
        <f>FARM!$C$21</f>
        <v>100</v>
      </c>
      <c r="C18" s="243">
        <f>IF(D18=1, spelt/crops, 0)</f>
        <v>0.25</v>
      </c>
      <c r="D18" s="241">
        <f>IF(spelt=0, 0, 1)</f>
        <v>1</v>
      </c>
      <c r="E18" s="244">
        <f>SUMPRODUCT(Sv!B25:B76,Sv!C25:C76)</f>
        <v>2.5945829399521805</v>
      </c>
      <c r="F18" s="685">
        <f>E18*spelt</f>
        <v>259.45829399521807</v>
      </c>
      <c r="G18" s="686">
        <f>IF(spelt=0, 0, F18)</f>
        <v>259.45829399521807</v>
      </c>
      <c r="H18" s="243">
        <f t="shared" si="0"/>
        <v>0.28314557093863807</v>
      </c>
      <c r="I18" s="682">
        <f>IF(spelt=0, 0, F18)</f>
        <v>259.45829399521807</v>
      </c>
      <c r="J18" s="245">
        <f t="shared" si="4"/>
        <v>0.28314557093863807</v>
      </c>
      <c r="K18" s="682">
        <f>0</f>
        <v>0</v>
      </c>
      <c r="L18" s="246">
        <f>0</f>
        <v>0</v>
      </c>
      <c r="M18" s="682">
        <f>IF(spelt=0, 0, F18)</f>
        <v>259.45829399521807</v>
      </c>
      <c r="N18" s="245">
        <f t="shared" si="3"/>
        <v>0.36402669951875399</v>
      </c>
      <c r="O18" s="682">
        <f>IF(spelt=0, 0, F18)</f>
        <v>259.45829399521807</v>
      </c>
      <c r="P18" s="245">
        <f t="shared" si="5"/>
        <v>0.28314557093863807</v>
      </c>
      <c r="Q18" s="682">
        <f>IF(spelt=0, 0, F18)</f>
        <v>259.45829399521807</v>
      </c>
      <c r="R18" s="379">
        <f t="shared" si="2"/>
        <v>0.28314557093863807</v>
      </c>
      <c r="S18" s="682">
        <f>0</f>
        <v>0</v>
      </c>
      <c r="T18" s="246">
        <v>0</v>
      </c>
      <c r="U18" s="682">
        <f>0</f>
        <v>0</v>
      </c>
      <c r="V18" s="246">
        <f>0</f>
        <v>0</v>
      </c>
      <c r="W18" s="682">
        <f>0</f>
        <v>0</v>
      </c>
      <c r="X18" s="246">
        <f>0</f>
        <v>0</v>
      </c>
      <c r="Y18" s="682">
        <f>0</f>
        <v>0</v>
      </c>
      <c r="Z18" s="246">
        <f>0</f>
        <v>0</v>
      </c>
      <c r="AA18" s="682">
        <f>0</f>
        <v>0</v>
      </c>
      <c r="AB18" s="246">
        <f>0</f>
        <v>0</v>
      </c>
      <c r="AC18" s="682">
        <f>0</f>
        <v>0</v>
      </c>
      <c r="AD18" s="246">
        <f>0</f>
        <v>0</v>
      </c>
      <c r="AE18" s="682">
        <f>IF(spelt=0, 0, F18)</f>
        <v>259.45829399521807</v>
      </c>
      <c r="AF18" s="245">
        <f t="shared" si="7"/>
        <v>0.48253895614399539</v>
      </c>
      <c r="AG18" s="682">
        <f>IF(spelt=0, 0, F18)</f>
        <v>259.45829399521807</v>
      </c>
      <c r="AH18" s="245">
        <f t="shared" si="6"/>
        <v>0.28314557093863807</v>
      </c>
      <c r="AI18" s="682">
        <f>IF(spelt=0, 0, F18)</f>
        <v>259.45829399521807</v>
      </c>
      <c r="AJ18" s="245">
        <f t="shared" si="8"/>
        <v>0.36402669951875399</v>
      </c>
      <c r="AK18" s="682">
        <f>0</f>
        <v>0</v>
      </c>
      <c r="AL18" s="246">
        <f>0</f>
        <v>0</v>
      </c>
      <c r="AM18" s="682">
        <f>IF(spelt=0, 0, F18)</f>
        <v>259.45829399521807</v>
      </c>
      <c r="AN18" s="245">
        <f t="shared" si="9"/>
        <v>0.36402669951875399</v>
      </c>
      <c r="AO18" s="682">
        <f>0</f>
        <v>0</v>
      </c>
      <c r="AP18" s="246">
        <f>0</f>
        <v>0</v>
      </c>
      <c r="AQ18" s="682">
        <f>IF(spelt=0, 0, F18)</f>
        <v>259.45829399521807</v>
      </c>
      <c r="AR18" s="245">
        <f t="shared" si="10"/>
        <v>0.28314557093863807</v>
      </c>
      <c r="AS18" s="682">
        <f>0</f>
        <v>0</v>
      </c>
      <c r="AT18" s="246">
        <f>0</f>
        <v>0</v>
      </c>
      <c r="AU18" s="682">
        <f>0</f>
        <v>0</v>
      </c>
      <c r="AV18" s="246">
        <f>0</f>
        <v>0</v>
      </c>
      <c r="AW18" s="682">
        <f>0</f>
        <v>0</v>
      </c>
      <c r="AX18" s="246">
        <f>0</f>
        <v>0</v>
      </c>
    </row>
    <row r="19" spans="1:50" ht="13.5" thickBot="1" x14ac:dyDescent="0.35">
      <c r="A19" s="871" t="s">
        <v>2107</v>
      </c>
      <c r="B19" s="884">
        <f>FARM!$C$22</f>
        <v>100</v>
      </c>
      <c r="C19" s="243">
        <f>IF(D19=1, buckwheat/crops, 0)</f>
        <v>0.25</v>
      </c>
      <c r="D19" s="241">
        <f>IF(buckwheat=0, 0, 1)</f>
        <v>1</v>
      </c>
      <c r="E19" s="244">
        <f>SUMPRODUCT(BWv!B20:B52,BWv!C20:C52)</f>
        <v>1.7505124640203935</v>
      </c>
      <c r="F19" s="685">
        <f>E19*buckwheat</f>
        <v>175.05124640203934</v>
      </c>
      <c r="G19" s="686">
        <f>IF(buckwheat=0, 0, F19)</f>
        <v>175.05124640203934</v>
      </c>
      <c r="H19" s="243">
        <f t="shared" si="0"/>
        <v>0.19103257152742686</v>
      </c>
      <c r="I19" s="682">
        <f>IF(buckwheat=0, 0, F19)</f>
        <v>175.05124640203934</v>
      </c>
      <c r="J19" s="245">
        <f t="shared" si="4"/>
        <v>0.19103257152742686</v>
      </c>
      <c r="K19" s="682">
        <f>0</f>
        <v>0</v>
      </c>
      <c r="L19" s="246">
        <f>0</f>
        <v>0</v>
      </c>
      <c r="M19" s="682">
        <f>IF(buckwheat=0, 0, F19)</f>
        <v>175.05124640203934</v>
      </c>
      <c r="N19" s="245">
        <f t="shared" si="3"/>
        <v>0.24560142785627423</v>
      </c>
      <c r="O19" s="682">
        <f>IF(buckwheat=0, 0, F19)</f>
        <v>175.05124640203934</v>
      </c>
      <c r="P19" s="245">
        <f t="shared" si="5"/>
        <v>0.19103257152742686</v>
      </c>
      <c r="Q19" s="682">
        <f>IF(buckwheat=0, 0, F19)</f>
        <v>175.05124640203934</v>
      </c>
      <c r="R19" s="379">
        <f t="shared" si="2"/>
        <v>0.19103257152742686</v>
      </c>
      <c r="S19" s="682">
        <f>0</f>
        <v>0</v>
      </c>
      <c r="T19" s="246">
        <v>0</v>
      </c>
      <c r="U19" s="682">
        <f>0</f>
        <v>0</v>
      </c>
      <c r="V19" s="246">
        <f>0</f>
        <v>0</v>
      </c>
      <c r="W19" s="682">
        <f>0</f>
        <v>0</v>
      </c>
      <c r="X19" s="246">
        <f>0</f>
        <v>0</v>
      </c>
      <c r="Y19" s="682">
        <f>0</f>
        <v>0</v>
      </c>
      <c r="Z19" s="246">
        <f>0</f>
        <v>0</v>
      </c>
      <c r="AA19" s="682">
        <f>0</f>
        <v>0</v>
      </c>
      <c r="AB19" s="246">
        <f>0</f>
        <v>0</v>
      </c>
      <c r="AC19" s="682">
        <f>0</f>
        <v>0</v>
      </c>
      <c r="AD19" s="246">
        <f>0</f>
        <v>0</v>
      </c>
      <c r="AE19" s="682">
        <f>0</f>
        <v>0</v>
      </c>
      <c r="AF19" s="246">
        <f>0</f>
        <v>0</v>
      </c>
      <c r="AG19" s="682">
        <f>IF(buckwheat=0, 0, F19)</f>
        <v>175.05124640203934</v>
      </c>
      <c r="AH19" s="245">
        <f t="shared" si="6"/>
        <v>0.19103257152742686</v>
      </c>
      <c r="AI19" s="682">
        <f>IF(buckwheat=0, 0, F19)</f>
        <v>175.05124640203934</v>
      </c>
      <c r="AJ19" s="245">
        <f t="shared" si="8"/>
        <v>0.24560142785627423</v>
      </c>
      <c r="AK19" s="682">
        <f>0</f>
        <v>0</v>
      </c>
      <c r="AL19" s="246">
        <f>0</f>
        <v>0</v>
      </c>
      <c r="AM19" s="682">
        <f>IF(buckwheat=0, 0, F19)</f>
        <v>175.05124640203934</v>
      </c>
      <c r="AN19" s="245">
        <f t="shared" si="9"/>
        <v>0.24560142785627423</v>
      </c>
      <c r="AO19" s="682">
        <f>0</f>
        <v>0</v>
      </c>
      <c r="AP19" s="246">
        <f>0</f>
        <v>0</v>
      </c>
      <c r="AQ19" s="682">
        <f>IF(buckwheat=0, 0, F19)</f>
        <v>175.05124640203934</v>
      </c>
      <c r="AR19" s="245">
        <f t="shared" si="10"/>
        <v>0.19103257152742686</v>
      </c>
      <c r="AS19" s="682">
        <f>0</f>
        <v>0</v>
      </c>
      <c r="AT19" s="246">
        <f>0</f>
        <v>0</v>
      </c>
      <c r="AU19" s="682">
        <f>0</f>
        <v>0</v>
      </c>
      <c r="AV19" s="246">
        <f>0</f>
        <v>0</v>
      </c>
      <c r="AW19" s="682">
        <f>0</f>
        <v>0</v>
      </c>
      <c r="AX19" s="246">
        <f>0</f>
        <v>0</v>
      </c>
    </row>
    <row r="20" spans="1:50" ht="13.5" thickBot="1" x14ac:dyDescent="0.35">
      <c r="A20" s="871" t="s">
        <v>1142</v>
      </c>
      <c r="B20" s="884">
        <f>FARM!$C$23</f>
        <v>0</v>
      </c>
      <c r="C20" s="243">
        <f>IF(D20=1, peas/crops, 0)</f>
        <v>0</v>
      </c>
      <c r="D20" s="241">
        <f>IF(peas=0, 0, 1)</f>
        <v>0</v>
      </c>
      <c r="E20" s="244">
        <f>SUMPRODUCT(Pv!B20:B52,Pv!C20:C52)</f>
        <v>2.3383651401124101</v>
      </c>
      <c r="F20" s="685">
        <f>E20*peas</f>
        <v>0</v>
      </c>
      <c r="G20" s="686">
        <f>IF(peas=0, 0, F20)</f>
        <v>0</v>
      </c>
      <c r="H20" s="243">
        <f>IF(D20=1, G20/$G$25, 0)</f>
        <v>0</v>
      </c>
      <c r="I20" s="682">
        <f>IF(peas=0, 0, F20)</f>
        <v>0</v>
      </c>
      <c r="J20" s="245">
        <f>IF(D20=1, I20/$I$25, 0)</f>
        <v>0</v>
      </c>
      <c r="K20" s="682">
        <f>0</f>
        <v>0</v>
      </c>
      <c r="L20" s="246">
        <f>0</f>
        <v>0</v>
      </c>
      <c r="M20" s="682">
        <f>0</f>
        <v>0</v>
      </c>
      <c r="N20" s="246">
        <f>0</f>
        <v>0</v>
      </c>
      <c r="O20" s="682">
        <f>IF(peas=0, 0, F20)</f>
        <v>0</v>
      </c>
      <c r="P20" s="245">
        <f>IF(D20=1, O20/$O$25, 0)</f>
        <v>0</v>
      </c>
      <c r="Q20" s="682">
        <f>IF(peas=0, 0, F20)</f>
        <v>0</v>
      </c>
      <c r="R20" s="379">
        <f>IF(D20=1, Q20/$Q$25, 0)</f>
        <v>0</v>
      </c>
      <c r="S20" s="682">
        <f>IF(peas=0, 0, H20)</f>
        <v>0</v>
      </c>
      <c r="T20" s="379">
        <f>IF(F20=1, S20/$S$25, 0)</f>
        <v>0</v>
      </c>
      <c r="U20" s="682">
        <f>0</f>
        <v>0</v>
      </c>
      <c r="V20" s="246">
        <f>0</f>
        <v>0</v>
      </c>
      <c r="W20" s="682">
        <f>0</f>
        <v>0</v>
      </c>
      <c r="X20" s="246">
        <f>0</f>
        <v>0</v>
      </c>
      <c r="Y20" s="682">
        <f>0</f>
        <v>0</v>
      </c>
      <c r="Z20" s="246">
        <f>0</f>
        <v>0</v>
      </c>
      <c r="AA20" s="682">
        <f>0</f>
        <v>0</v>
      </c>
      <c r="AB20" s="246">
        <f>0</f>
        <v>0</v>
      </c>
      <c r="AC20" s="682">
        <f>0</f>
        <v>0</v>
      </c>
      <c r="AD20" s="246">
        <f>0</f>
        <v>0</v>
      </c>
      <c r="AE20" s="682">
        <f>0</f>
        <v>0</v>
      </c>
      <c r="AF20" s="246">
        <f>0</f>
        <v>0</v>
      </c>
      <c r="AG20" s="682">
        <f>IF(peas=0, 0, F20)</f>
        <v>0</v>
      </c>
      <c r="AH20" s="245">
        <f>IF(D20=1, AG20/$AG$25, 0)</f>
        <v>0</v>
      </c>
      <c r="AI20" s="682">
        <f>0</f>
        <v>0</v>
      </c>
      <c r="AJ20" s="246">
        <f>0</f>
        <v>0</v>
      </c>
      <c r="AK20" s="682">
        <f>IF(peas=0, 0, F20)</f>
        <v>0</v>
      </c>
      <c r="AL20" s="245">
        <f>IF(D20=1, AK20/$AK$25, 0)</f>
        <v>0</v>
      </c>
      <c r="AM20" s="682">
        <f>0</f>
        <v>0</v>
      </c>
      <c r="AN20" s="246">
        <f>0</f>
        <v>0</v>
      </c>
      <c r="AO20" s="682">
        <f>0</f>
        <v>0</v>
      </c>
      <c r="AP20" s="246">
        <f>0</f>
        <v>0</v>
      </c>
      <c r="AQ20" s="682">
        <f>IF(peas=0, 0, F20)</f>
        <v>0</v>
      </c>
      <c r="AR20" s="245">
        <f>IF(D20=1, AQ20/$AQ$25, 0)</f>
        <v>0</v>
      </c>
      <c r="AS20" s="682">
        <f>0</f>
        <v>0</v>
      </c>
      <c r="AT20" s="246">
        <f>0</f>
        <v>0</v>
      </c>
      <c r="AU20" s="682">
        <f>0</f>
        <v>0</v>
      </c>
      <c r="AV20" s="246">
        <f>0</f>
        <v>0</v>
      </c>
      <c r="AW20" s="682">
        <f>0</f>
        <v>0</v>
      </c>
      <c r="AX20" s="246">
        <f>0</f>
        <v>0</v>
      </c>
    </row>
    <row r="21" spans="1:50" ht="13.5" thickBot="1" x14ac:dyDescent="0.35">
      <c r="A21" s="871" t="s">
        <v>201</v>
      </c>
      <c r="B21" s="884">
        <f>FARM!$C$24</f>
        <v>100</v>
      </c>
      <c r="C21" s="243">
        <f>IF(D21=1, soy/crops, 0)</f>
        <v>0.25</v>
      </c>
      <c r="D21" s="241">
        <f>IF(soy=0, 0, 1)</f>
        <v>1</v>
      </c>
      <c r="E21" s="244">
        <f>SUMPRODUCT(Syv!B20:B52,Syv!C20:C52)</f>
        <v>2.0359717608373247</v>
      </c>
      <c r="F21" s="685">
        <f>E21*soy</f>
        <v>203.59717608373248</v>
      </c>
      <c r="G21" s="686">
        <f>IF(soy=0, 0, F21)</f>
        <v>203.59717608373248</v>
      </c>
      <c r="H21" s="243">
        <f>IF(D21=1, G21/$G$25, 0)</f>
        <v>0.22218460537933443</v>
      </c>
      <c r="I21" s="682">
        <f>IF(soy=0, 0, F21)</f>
        <v>203.59717608373248</v>
      </c>
      <c r="J21" s="245">
        <f>IF(D21=1, I21/$I$25, 0)</f>
        <v>0.22218460537933443</v>
      </c>
      <c r="K21" s="682">
        <f>0</f>
        <v>0</v>
      </c>
      <c r="L21" s="246">
        <f>0</f>
        <v>0</v>
      </c>
      <c r="M21" s="682">
        <f>0</f>
        <v>0</v>
      </c>
      <c r="N21" s="246">
        <f>0</f>
        <v>0</v>
      </c>
      <c r="O21" s="682">
        <f>IF(soy=0, 0, F21)</f>
        <v>203.59717608373248</v>
      </c>
      <c r="P21" s="245">
        <f>IF(D21=1, O21/$O$25, 0)</f>
        <v>0.22218460537933443</v>
      </c>
      <c r="Q21" s="682">
        <f>IF(soy=0, 0, F21)</f>
        <v>203.59717608373248</v>
      </c>
      <c r="R21" s="379">
        <f>IF(D21=1, Q21/$Q$25, 0)</f>
        <v>0.22218460537933443</v>
      </c>
      <c r="S21" s="682">
        <f>IF(soy=0, 0, H21)</f>
        <v>0.22218460537933443</v>
      </c>
      <c r="T21" s="379">
        <f>IF(F21=1, S21/$S$25, 0)</f>
        <v>0</v>
      </c>
      <c r="U21" s="682">
        <f>0</f>
        <v>0</v>
      </c>
      <c r="V21" s="246">
        <f>0</f>
        <v>0</v>
      </c>
      <c r="W21" s="682">
        <f>0</f>
        <v>0</v>
      </c>
      <c r="X21" s="246">
        <f>0</f>
        <v>0</v>
      </c>
      <c r="Y21" s="682">
        <f>0</f>
        <v>0</v>
      </c>
      <c r="Z21" s="246">
        <f>0</f>
        <v>0</v>
      </c>
      <c r="AA21" s="682">
        <f>0</f>
        <v>0</v>
      </c>
      <c r="AB21" s="246">
        <f>0</f>
        <v>0</v>
      </c>
      <c r="AC21" s="682">
        <f>0</f>
        <v>0</v>
      </c>
      <c r="AD21" s="246">
        <f>0</f>
        <v>0</v>
      </c>
      <c r="AE21" s="682">
        <f>0</f>
        <v>0</v>
      </c>
      <c r="AF21" s="246">
        <f>0</f>
        <v>0</v>
      </c>
      <c r="AG21" s="682">
        <f>IF(soy=0, 0, F21)</f>
        <v>203.59717608373248</v>
      </c>
      <c r="AH21" s="245">
        <f>IF(D21=1, AG21/$AG$25, 0)</f>
        <v>0.22218460537933443</v>
      </c>
      <c r="AI21" s="682">
        <f>0</f>
        <v>0</v>
      </c>
      <c r="AJ21" s="246">
        <f>0</f>
        <v>0</v>
      </c>
      <c r="AK21" s="682">
        <f>IF(soy=0, 0, F21)</f>
        <v>203.59717608373248</v>
      </c>
      <c r="AL21" s="245">
        <f>IF(D21=1, AK21/$AK$25, 0)</f>
        <v>1</v>
      </c>
      <c r="AM21" s="682">
        <f>0</f>
        <v>0</v>
      </c>
      <c r="AN21" s="246">
        <f>0</f>
        <v>0</v>
      </c>
      <c r="AO21" s="682">
        <f>0</f>
        <v>0</v>
      </c>
      <c r="AP21" s="246">
        <f>0</f>
        <v>0</v>
      </c>
      <c r="AQ21" s="682">
        <f>IF(soy=0, 0, F21)</f>
        <v>203.59717608373248</v>
      </c>
      <c r="AR21" s="245">
        <f>IF(D21=1, AQ21/$AQ$25, 0)</f>
        <v>0.22218460537933443</v>
      </c>
      <c r="AS21" s="682">
        <f>0</f>
        <v>0</v>
      </c>
      <c r="AT21" s="246">
        <f>0</f>
        <v>0</v>
      </c>
      <c r="AU21" s="682">
        <f>0</f>
        <v>0</v>
      </c>
      <c r="AV21" s="246">
        <f>0</f>
        <v>0</v>
      </c>
      <c r="AW21" s="682">
        <f>0</f>
        <v>0</v>
      </c>
      <c r="AX21" s="246">
        <f>0</f>
        <v>0</v>
      </c>
    </row>
    <row r="22" spans="1:50" x14ac:dyDescent="0.3">
      <c r="A22" s="240" t="s">
        <v>467</v>
      </c>
      <c r="B22" s="407">
        <v>0</v>
      </c>
      <c r="C22" s="243">
        <f>IF(D22=1, sudan/crops, 0)</f>
        <v>0</v>
      </c>
      <c r="D22" s="241">
        <f>IF(sudan=0, 0, 1)</f>
        <v>0</v>
      </c>
      <c r="E22" s="244">
        <f>SUMPRODUCT(SudOprC!B16:B28,SudOprC!C16:C28)</f>
        <v>1.3836262071827152</v>
      </c>
      <c r="F22" s="685">
        <f>E22*sudan</f>
        <v>0</v>
      </c>
      <c r="G22" s="686">
        <f>IF(sudan=0, 0, F22)</f>
        <v>0</v>
      </c>
      <c r="H22" s="243">
        <f>IF(D22=1, G22/$G$25, 0)</f>
        <v>0</v>
      </c>
      <c r="I22" s="682">
        <f>0</f>
        <v>0</v>
      </c>
      <c r="J22" s="246">
        <f>0</f>
        <v>0</v>
      </c>
      <c r="K22" s="682">
        <f>0</f>
        <v>0</v>
      </c>
      <c r="L22" s="246">
        <f>0</f>
        <v>0</v>
      </c>
      <c r="M22" s="682">
        <f>IF(sudan=0, 0, F22)</f>
        <v>0</v>
      </c>
      <c r="N22" s="245">
        <f>IF(D22=1, M22/$M$25, 0)</f>
        <v>0</v>
      </c>
      <c r="O22" s="682">
        <f>IF(sudan=0, 0, F22)</f>
        <v>0</v>
      </c>
      <c r="P22" s="245">
        <f>IF(D22=1, O22/$O$25, 0)</f>
        <v>0</v>
      </c>
      <c r="Q22" s="682">
        <f>IF(sudan=0, 0, F22)</f>
        <v>0</v>
      </c>
      <c r="R22" s="379">
        <f>IF(D22=1, Q22/$Q$25, 0)</f>
        <v>0</v>
      </c>
      <c r="S22" s="682">
        <f>0</f>
        <v>0</v>
      </c>
      <c r="T22" s="246">
        <v>0</v>
      </c>
      <c r="U22" s="682">
        <f>0</f>
        <v>0</v>
      </c>
      <c r="V22" s="246">
        <f>0</f>
        <v>0</v>
      </c>
      <c r="W22" s="682">
        <f>0</f>
        <v>0</v>
      </c>
      <c r="X22" s="246">
        <f>0</f>
        <v>0</v>
      </c>
      <c r="Y22" s="682">
        <f>0</f>
        <v>0</v>
      </c>
      <c r="Z22" s="246">
        <f>0</f>
        <v>0</v>
      </c>
      <c r="AA22" s="682">
        <f>0</f>
        <v>0</v>
      </c>
      <c r="AB22" s="246">
        <f>0</f>
        <v>0</v>
      </c>
      <c r="AC22" s="682">
        <f>0</f>
        <v>0</v>
      </c>
      <c r="AD22" s="246">
        <f>0</f>
        <v>0</v>
      </c>
      <c r="AE22" s="682">
        <f>0</f>
        <v>0</v>
      </c>
      <c r="AF22" s="246">
        <f>0</f>
        <v>0</v>
      </c>
      <c r="AG22" s="682">
        <f>0</f>
        <v>0</v>
      </c>
      <c r="AH22" s="246">
        <f>0</f>
        <v>0</v>
      </c>
      <c r="AI22" s="682">
        <f>0</f>
        <v>0</v>
      </c>
      <c r="AJ22" s="246">
        <f>0</f>
        <v>0</v>
      </c>
      <c r="AK22" s="682">
        <f>0</f>
        <v>0</v>
      </c>
      <c r="AL22" s="246">
        <f>0</f>
        <v>0</v>
      </c>
      <c r="AM22" s="682">
        <f>0</f>
        <v>0</v>
      </c>
      <c r="AN22" s="246">
        <f>0</f>
        <v>0</v>
      </c>
      <c r="AO22" s="682">
        <f>0</f>
        <v>0</v>
      </c>
      <c r="AP22" s="246">
        <f>0</f>
        <v>0</v>
      </c>
      <c r="AQ22" s="682">
        <f>IF(sudan=0, 0, F22)</f>
        <v>0</v>
      </c>
      <c r="AR22" s="245">
        <f>IF(D22=1, AQ22/$AQ$25, 0)</f>
        <v>0</v>
      </c>
      <c r="AS22" s="682">
        <f>0</f>
        <v>0</v>
      </c>
      <c r="AT22" s="246">
        <f>0</f>
        <v>0</v>
      </c>
      <c r="AU22" s="682">
        <f>0</f>
        <v>0</v>
      </c>
      <c r="AV22" s="246">
        <f>0</f>
        <v>0</v>
      </c>
      <c r="AW22" s="682">
        <f>0</f>
        <v>0</v>
      </c>
      <c r="AX22" s="246">
        <f>0</f>
        <v>0</v>
      </c>
    </row>
    <row r="23" spans="1:50" x14ac:dyDescent="0.3">
      <c r="A23" s="240" t="s">
        <v>523</v>
      </c>
      <c r="B23" s="407">
        <v>0</v>
      </c>
      <c r="C23" s="243">
        <f>IF(D23=1, canola/crops, 0)</f>
        <v>0</v>
      </c>
      <c r="D23" s="241">
        <f>IF(canola=0, 0, 1)</f>
        <v>0</v>
      </c>
      <c r="E23" s="244">
        <f>SUMPRODUCT(CanOprC!B18:B33,CanOprC!C18:C33)</f>
        <v>1.5536846915208704</v>
      </c>
      <c r="F23" s="685">
        <f>E23*canola</f>
        <v>0</v>
      </c>
      <c r="G23" s="686">
        <f>IF(canola=0, 0, F23)</f>
        <v>0</v>
      </c>
      <c r="H23" s="243">
        <f>IF(D23=1, G23/$G$25, 0)</f>
        <v>0</v>
      </c>
      <c r="I23" s="682">
        <f>IF(canola=0, 0, F23)</f>
        <v>0</v>
      </c>
      <c r="J23" s="245">
        <f>IF(D23=1, I23/$I$25, 0)</f>
        <v>0</v>
      </c>
      <c r="K23" s="682">
        <f>0</f>
        <v>0</v>
      </c>
      <c r="L23" s="246">
        <f>0</f>
        <v>0</v>
      </c>
      <c r="M23" s="682">
        <f>IF(canola=0, 0, F23)</f>
        <v>0</v>
      </c>
      <c r="N23" s="245">
        <f>IF(D23=1, M23/$M$25, 0)</f>
        <v>0</v>
      </c>
      <c r="O23" s="682">
        <f>IF(canola=0, 0, F23)</f>
        <v>0</v>
      </c>
      <c r="P23" s="245">
        <f>IF(D23=1, O23/$O$25, 0)</f>
        <v>0</v>
      </c>
      <c r="Q23" s="682">
        <f>IF(canola=0, 0, F23)</f>
        <v>0</v>
      </c>
      <c r="R23" s="379">
        <f>IF(D23=1, Q23/$Q$25, 0)</f>
        <v>0</v>
      </c>
      <c r="S23" s="682">
        <f>0</f>
        <v>0</v>
      </c>
      <c r="T23" s="246">
        <v>0</v>
      </c>
      <c r="U23" s="682">
        <f>0</f>
        <v>0</v>
      </c>
      <c r="V23" s="246">
        <v>0</v>
      </c>
      <c r="W23" s="682">
        <f>0</f>
        <v>0</v>
      </c>
      <c r="X23" s="246">
        <v>0</v>
      </c>
      <c r="Y23" s="682">
        <f>0</f>
        <v>0</v>
      </c>
      <c r="Z23" s="246">
        <v>0</v>
      </c>
      <c r="AA23" s="682">
        <f>0</f>
        <v>0</v>
      </c>
      <c r="AB23" s="246">
        <f>0</f>
        <v>0</v>
      </c>
      <c r="AC23" s="682">
        <f>0</f>
        <v>0</v>
      </c>
      <c r="AD23" s="246">
        <v>0</v>
      </c>
      <c r="AE23" s="682">
        <f>0</f>
        <v>0</v>
      </c>
      <c r="AF23" s="246">
        <v>0</v>
      </c>
      <c r="AG23" s="682">
        <f>IF(canola=0, 0, F23)</f>
        <v>0</v>
      </c>
      <c r="AH23" s="245">
        <f>IF(D23=1, AG23/$AG$25, 0)</f>
        <v>0</v>
      </c>
      <c r="AI23" s="682">
        <f>IF(canola=0, 0, F23)</f>
        <v>0</v>
      </c>
      <c r="AJ23" s="245">
        <f>IF(D23=1, AI23/$AI$25, 0)</f>
        <v>0</v>
      </c>
      <c r="AK23" s="682">
        <f>0</f>
        <v>0</v>
      </c>
      <c r="AL23" s="246">
        <f>0</f>
        <v>0</v>
      </c>
      <c r="AM23" s="682">
        <f>0</f>
        <v>0</v>
      </c>
      <c r="AN23" s="246">
        <f>0</f>
        <v>0</v>
      </c>
      <c r="AO23" s="682">
        <f>0</f>
        <v>0</v>
      </c>
      <c r="AP23" s="246">
        <f>0</f>
        <v>0</v>
      </c>
      <c r="AQ23" s="682">
        <f>0</f>
        <v>0</v>
      </c>
      <c r="AR23" s="246">
        <f>0</f>
        <v>0</v>
      </c>
      <c r="AS23" s="682">
        <f>0</f>
        <v>0</v>
      </c>
      <c r="AT23" s="246">
        <f>0</f>
        <v>0</v>
      </c>
      <c r="AU23" s="682">
        <f>IF(canola=0, 0, F23)</f>
        <v>0</v>
      </c>
      <c r="AV23" s="245">
        <f>IF(D23=1, AU23/$AU$25, 0)</f>
        <v>0</v>
      </c>
      <c r="AW23" s="682">
        <f>0</f>
        <v>0</v>
      </c>
      <c r="AX23" s="246">
        <f>0</f>
        <v>0</v>
      </c>
    </row>
    <row r="24" spans="1:50" x14ac:dyDescent="0.3">
      <c r="A24" s="240" t="s">
        <v>524</v>
      </c>
      <c r="B24" s="690">
        <v>0</v>
      </c>
      <c r="C24" s="380">
        <f>IF(D24=1, broccoli/crops, 0)</f>
        <v>0</v>
      </c>
      <c r="D24" s="381">
        <f>IF(broccoli=0, 0, 1)</f>
        <v>0</v>
      </c>
      <c r="E24" s="382">
        <f>SUMPRODUCT(BrcOprC!B20:B29,BrcOprC!C20:C29)+SUMPRODUCT(BrcOprC!B32:B40,BrcOprC!C32:C40)</f>
        <v>4.7409199870498373</v>
      </c>
      <c r="F24" s="687">
        <f>E24*broccoli</f>
        <v>0</v>
      </c>
      <c r="G24" s="688">
        <f>IF(broccoli=0, 0, F24)</f>
        <v>0</v>
      </c>
      <c r="H24" s="380">
        <f>IF(D24=1, G24/$G$25, 0)</f>
        <v>0</v>
      </c>
      <c r="I24" s="683">
        <f>IF(broccoli=0, 0, F24)</f>
        <v>0</v>
      </c>
      <c r="J24" s="383">
        <f>IF(D24=1, I24/$I$25, 0)</f>
        <v>0</v>
      </c>
      <c r="K24" s="683">
        <f>0</f>
        <v>0</v>
      </c>
      <c r="L24" s="384">
        <f>0</f>
        <v>0</v>
      </c>
      <c r="M24" s="683">
        <f>IF(broccoli=0, 0, F24)</f>
        <v>0</v>
      </c>
      <c r="N24" s="383">
        <f>IF(D24=1, M24/$M$25, 0)</f>
        <v>0</v>
      </c>
      <c r="O24" s="683">
        <f>IF(broccoli=0, 0, F24)</f>
        <v>0</v>
      </c>
      <c r="P24" s="383">
        <f>IF(D24=1, O24/$O$25, 0)</f>
        <v>0</v>
      </c>
      <c r="Q24" s="683">
        <f>IF(broccoli=0, 0, F24)</f>
        <v>0</v>
      </c>
      <c r="R24" s="383">
        <f>IF(D24=1, Q24/$Q$25, 0)</f>
        <v>0</v>
      </c>
      <c r="S24" s="683">
        <f>IF(broccoli=0, 0, H24)</f>
        <v>0</v>
      </c>
      <c r="T24" s="383">
        <f>IF(F24=1, S24/$S$25, 0)</f>
        <v>0</v>
      </c>
      <c r="U24" s="683">
        <f>0</f>
        <v>0</v>
      </c>
      <c r="V24" s="384">
        <v>0</v>
      </c>
      <c r="W24" s="683">
        <f>0</f>
        <v>0</v>
      </c>
      <c r="X24" s="384">
        <v>0</v>
      </c>
      <c r="Y24" s="683">
        <f>0</f>
        <v>0</v>
      </c>
      <c r="Z24" s="384">
        <v>0</v>
      </c>
      <c r="AA24" s="683">
        <f>0</f>
        <v>0</v>
      </c>
      <c r="AB24" s="384">
        <f>0</f>
        <v>0</v>
      </c>
      <c r="AC24" s="683">
        <f>0</f>
        <v>0</v>
      </c>
      <c r="AD24" s="384">
        <v>0</v>
      </c>
      <c r="AE24" s="683">
        <f>0</f>
        <v>0</v>
      </c>
      <c r="AF24" s="384">
        <v>0</v>
      </c>
      <c r="AG24" s="683">
        <f>0</f>
        <v>0</v>
      </c>
      <c r="AH24" s="384">
        <f>0</f>
        <v>0</v>
      </c>
      <c r="AI24" s="683">
        <f>0</f>
        <v>0</v>
      </c>
      <c r="AJ24" s="384">
        <f>0</f>
        <v>0</v>
      </c>
      <c r="AK24" s="683">
        <f>0</f>
        <v>0</v>
      </c>
      <c r="AL24" s="384">
        <f>0</f>
        <v>0</v>
      </c>
      <c r="AM24" s="683">
        <f>0</f>
        <v>0</v>
      </c>
      <c r="AN24" s="384">
        <f>0</f>
        <v>0</v>
      </c>
      <c r="AO24" s="683">
        <f>0</f>
        <v>0</v>
      </c>
      <c r="AP24" s="384">
        <f>0</f>
        <v>0</v>
      </c>
      <c r="AQ24" s="683">
        <f>0</f>
        <v>0</v>
      </c>
      <c r="AR24" s="384">
        <f>0</f>
        <v>0</v>
      </c>
      <c r="AS24" s="683">
        <f>0</f>
        <v>0</v>
      </c>
      <c r="AT24" s="384">
        <f>0</f>
        <v>0</v>
      </c>
      <c r="AU24" s="683">
        <f>0</f>
        <v>0</v>
      </c>
      <c r="AV24" s="384">
        <f>0</f>
        <v>0</v>
      </c>
      <c r="AW24" s="683">
        <f>IF(broccoli=0, 0, F24)</f>
        <v>0</v>
      </c>
      <c r="AX24" s="383">
        <f>IF(D24=1, AW24/$AW$25, 0)</f>
        <v>0</v>
      </c>
    </row>
    <row r="25" spans="1:50" x14ac:dyDescent="0.3">
      <c r="A25" s="236"/>
      <c r="B25" s="691">
        <f t="shared" ref="B25:P25" si="11">SUM(B4:B24)</f>
        <v>400</v>
      </c>
      <c r="C25" s="376">
        <f t="shared" si="11"/>
        <v>1</v>
      </c>
      <c r="D25" s="377">
        <f t="shared" si="11"/>
        <v>4</v>
      </c>
      <c r="E25" s="378">
        <f t="shared" si="11"/>
        <v>75.406898566499336</v>
      </c>
      <c r="F25" s="680">
        <f t="shared" si="11"/>
        <v>916.34240696439008</v>
      </c>
      <c r="G25" s="680">
        <f t="shared" si="11"/>
        <v>916.34240696439008</v>
      </c>
      <c r="H25" s="376">
        <f t="shared" si="11"/>
        <v>0.99999999999999978</v>
      </c>
      <c r="I25" s="681">
        <f t="shared" si="11"/>
        <v>916.34240696439008</v>
      </c>
      <c r="J25" s="379">
        <f t="shared" si="11"/>
        <v>0.99999999999999978</v>
      </c>
      <c r="K25" s="681">
        <f t="shared" si="11"/>
        <v>0</v>
      </c>
      <c r="L25" s="379">
        <f t="shared" si="11"/>
        <v>0</v>
      </c>
      <c r="M25" s="681">
        <f t="shared" si="11"/>
        <v>712.74523088065757</v>
      </c>
      <c r="N25" s="379">
        <f t="shared" si="11"/>
        <v>0.99999999999999989</v>
      </c>
      <c r="O25" s="681">
        <f>SUM(O4:O24)</f>
        <v>916.34240696439008</v>
      </c>
      <c r="P25" s="379">
        <f t="shared" si="11"/>
        <v>0.99999999999999978</v>
      </c>
      <c r="Q25" s="681">
        <f t="shared" ref="Q25:R25" si="12">SUM(Q4:Q24)</f>
        <v>916.34240696439008</v>
      </c>
      <c r="R25" s="379">
        <f t="shared" si="12"/>
        <v>0.99999999999999978</v>
      </c>
      <c r="S25" s="681">
        <f t="shared" ref="S25:T25" si="13">SUM(S4:S24)</f>
        <v>0.22218460537933443</v>
      </c>
      <c r="T25" s="379">
        <f t="shared" si="13"/>
        <v>0</v>
      </c>
      <c r="U25" s="681">
        <f t="shared" ref="U25:AX25" si="14">SUM(U4:U24)</f>
        <v>0</v>
      </c>
      <c r="V25" s="379">
        <f t="shared" si="14"/>
        <v>0</v>
      </c>
      <c r="W25" s="681">
        <f t="shared" si="14"/>
        <v>0</v>
      </c>
      <c r="X25" s="379">
        <f t="shared" si="14"/>
        <v>0</v>
      </c>
      <c r="Y25" s="681">
        <f t="shared" si="14"/>
        <v>0</v>
      </c>
      <c r="Z25" s="379">
        <f t="shared" si="14"/>
        <v>0</v>
      </c>
      <c r="AA25" s="681">
        <f t="shared" si="14"/>
        <v>0</v>
      </c>
      <c r="AB25" s="379">
        <f t="shared" si="14"/>
        <v>0</v>
      </c>
      <c r="AC25" s="681">
        <f t="shared" si="14"/>
        <v>0</v>
      </c>
      <c r="AD25" s="379">
        <f t="shared" si="14"/>
        <v>0</v>
      </c>
      <c r="AE25" s="681">
        <f t="shared" si="14"/>
        <v>537.69398447861818</v>
      </c>
      <c r="AF25" s="379">
        <f t="shared" si="14"/>
        <v>1</v>
      </c>
      <c r="AG25" s="681">
        <f t="shared" si="14"/>
        <v>916.34240696439008</v>
      </c>
      <c r="AH25" s="379">
        <f t="shared" si="14"/>
        <v>0.99999999999999978</v>
      </c>
      <c r="AI25" s="681">
        <f t="shared" si="14"/>
        <v>712.74523088065757</v>
      </c>
      <c r="AJ25" s="379">
        <f t="shared" si="14"/>
        <v>0.99999999999999989</v>
      </c>
      <c r="AK25" s="681">
        <f t="shared" si="14"/>
        <v>203.59717608373248</v>
      </c>
      <c r="AL25" s="379">
        <f t="shared" si="14"/>
        <v>1</v>
      </c>
      <c r="AM25" s="681">
        <f t="shared" si="14"/>
        <v>712.74523088065757</v>
      </c>
      <c r="AN25" s="379">
        <f t="shared" si="14"/>
        <v>0.99999999999999989</v>
      </c>
      <c r="AO25" s="681">
        <f t="shared" si="14"/>
        <v>0</v>
      </c>
      <c r="AP25" s="379">
        <f t="shared" si="14"/>
        <v>0</v>
      </c>
      <c r="AQ25" s="681">
        <f t="shared" si="14"/>
        <v>916.34240696439008</v>
      </c>
      <c r="AR25" s="379">
        <f t="shared" si="14"/>
        <v>0.99999999999999978</v>
      </c>
      <c r="AS25" s="681">
        <f t="shared" si="14"/>
        <v>0</v>
      </c>
      <c r="AT25" s="379">
        <f t="shared" si="14"/>
        <v>0</v>
      </c>
      <c r="AU25" s="681">
        <f t="shared" si="14"/>
        <v>0</v>
      </c>
      <c r="AV25" s="379">
        <f t="shared" si="14"/>
        <v>0</v>
      </c>
      <c r="AW25" s="681">
        <f t="shared" si="14"/>
        <v>0</v>
      </c>
      <c r="AX25" s="379">
        <f t="shared" si="14"/>
        <v>0</v>
      </c>
    </row>
    <row r="26" spans="1:50" x14ac:dyDescent="0.3">
      <c r="A26" s="17"/>
    </row>
    <row r="27" spans="1:50" ht="13.5" thickBot="1" x14ac:dyDescent="0.35">
      <c r="A27" s="17"/>
      <c r="Q27" s="7"/>
      <c r="U27" s="7"/>
    </row>
    <row r="28" spans="1:50" ht="13.5" thickBot="1" x14ac:dyDescent="0.35">
      <c r="A28" s="240" t="s">
        <v>725</v>
      </c>
      <c r="B28" s="1245" t="s">
        <v>726</v>
      </c>
      <c r="C28" s="241" t="s">
        <v>760</v>
      </c>
      <c r="D28" s="241" t="s">
        <v>761</v>
      </c>
      <c r="F28" s="1245" t="s">
        <v>748</v>
      </c>
      <c r="G28" s="1245" t="s">
        <v>749</v>
      </c>
      <c r="H28" s="214" t="s">
        <v>76</v>
      </c>
      <c r="J28" s="623" t="s">
        <v>2004</v>
      </c>
      <c r="K28" s="895" t="s">
        <v>1186</v>
      </c>
      <c r="L28" s="896" t="s">
        <v>1187</v>
      </c>
      <c r="Q28" s="7"/>
      <c r="U28" s="7"/>
    </row>
    <row r="29" spans="1:50" ht="13.5" thickBot="1" x14ac:dyDescent="0.35">
      <c r="A29" s="1249" t="s">
        <v>105</v>
      </c>
      <c r="B29" s="1250">
        <f>IF(Straw!C9="None",0,1)</f>
        <v>0</v>
      </c>
      <c r="C29" s="1250">
        <f>IF(F29&gt;0,1,0)</f>
        <v>0</v>
      </c>
      <c r="D29" s="1250">
        <f>IF(G29&gt;0,1,0)</f>
        <v>0</v>
      </c>
      <c r="F29" s="1246">
        <f>IF(Straw!C9="Both round &amp; square",Straw!I9,Straw!Q9)</f>
        <v>0</v>
      </c>
      <c r="G29" s="1247">
        <f>IF(Straw!C9="Both round &amp; square",Straw!J9,Straw!S9)</f>
        <v>0</v>
      </c>
      <c r="H29" s="215">
        <f t="shared" ref="H29:H35" si="15">SUM(F29:G29)</f>
        <v>0</v>
      </c>
      <c r="J29" s="894" t="s">
        <v>1127</v>
      </c>
      <c r="K29" s="1238">
        <v>0</v>
      </c>
      <c r="L29" s="1239">
        <v>0</v>
      </c>
      <c r="Q29" s="7"/>
      <c r="U29" s="7"/>
    </row>
    <row r="30" spans="1:50" ht="13.5" thickBot="1" x14ac:dyDescent="0.35">
      <c r="A30" s="1249" t="s">
        <v>426</v>
      </c>
      <c r="B30" s="1250">
        <f>IF(Straw!C10="None",0,1)</f>
        <v>0</v>
      </c>
      <c r="C30" s="1250">
        <f t="shared" ref="C30:C35" si="16">IF(F30&gt;0,1,0)</f>
        <v>0</v>
      </c>
      <c r="D30" s="1250">
        <f t="shared" ref="D30:D35" si="17">IF(G30&gt;0,1,0)</f>
        <v>0</v>
      </c>
      <c r="F30" s="1246">
        <f>IF(Straw!C10="Both round &amp; square",Straw!I10,Straw!Q10)</f>
        <v>0</v>
      </c>
      <c r="G30" s="1247">
        <f>IF(Straw!C10="Both round &amp; square",Straw!J10,Straw!S10)</f>
        <v>0</v>
      </c>
      <c r="H30" s="215">
        <f t="shared" si="15"/>
        <v>0</v>
      </c>
      <c r="J30" s="624" t="s">
        <v>1128</v>
      </c>
      <c r="K30" s="897">
        <f t="shared" ref="K30:L30" si="18">IF(K29=1,0,1)</f>
        <v>1</v>
      </c>
      <c r="L30" s="898">
        <f t="shared" si="18"/>
        <v>1</v>
      </c>
      <c r="Q30" s="7"/>
      <c r="U30" s="7"/>
    </row>
    <row r="31" spans="1:50" ht="13.5" thickBot="1" x14ac:dyDescent="0.35">
      <c r="A31" s="1249" t="s">
        <v>522</v>
      </c>
      <c r="B31" s="1250">
        <f>IF(Straw!C11="None",0,1)</f>
        <v>0</v>
      </c>
      <c r="C31" s="1250">
        <f t="shared" si="16"/>
        <v>0</v>
      </c>
      <c r="D31" s="1250">
        <f t="shared" si="17"/>
        <v>0</v>
      </c>
      <c r="F31" s="1246">
        <f>IF(Straw!C11="Both round &amp; square",Straw!I11,Straw!Q11)</f>
        <v>0</v>
      </c>
      <c r="G31" s="1247">
        <f>IF(Straw!C11="Both round &amp; square",Straw!J11,Straw!S11)</f>
        <v>0</v>
      </c>
      <c r="H31" s="215">
        <f t="shared" si="15"/>
        <v>0</v>
      </c>
      <c r="Q31" s="7"/>
      <c r="U31" s="7"/>
    </row>
    <row r="32" spans="1:50" ht="13.5" thickBot="1" x14ac:dyDescent="0.35">
      <c r="A32" s="1249" t="s">
        <v>1934</v>
      </c>
      <c r="B32" s="1250">
        <f>IF(Straw!C12="None",0,1)</f>
        <v>0</v>
      </c>
      <c r="C32" s="1250">
        <f t="shared" si="16"/>
        <v>0</v>
      </c>
      <c r="D32" s="1250">
        <f t="shared" si="17"/>
        <v>0</v>
      </c>
      <c r="F32" s="1246">
        <f>IF(Straw!C12="Both round &amp; square",Straw!I12,Straw!Q12)</f>
        <v>0</v>
      </c>
      <c r="G32" s="1247">
        <f>IF(Straw!C12="Both round &amp; square",Straw!J12,Straw!S12)</f>
        <v>0</v>
      </c>
      <c r="H32" s="215">
        <f t="shared" si="15"/>
        <v>0</v>
      </c>
      <c r="Q32" s="7"/>
      <c r="U32" s="7"/>
    </row>
    <row r="33" spans="1:21" ht="13.5" thickBot="1" x14ac:dyDescent="0.35">
      <c r="A33" s="1249" t="s">
        <v>1935</v>
      </c>
      <c r="B33" s="1250">
        <f>IF(Straw!C13="None",0,1)</f>
        <v>0</v>
      </c>
      <c r="C33" s="1250">
        <f t="shared" si="16"/>
        <v>0</v>
      </c>
      <c r="D33" s="1250">
        <f t="shared" si="17"/>
        <v>0</v>
      </c>
      <c r="F33" s="1246">
        <f>IF(Straw!C13="Both round &amp; square",Straw!I13,Straw!Q13)</f>
        <v>0</v>
      </c>
      <c r="G33" s="1247">
        <f>IF(Straw!C13="Both round &amp; square",Straw!J13,Straw!S13)</f>
        <v>0</v>
      </c>
      <c r="H33" s="215">
        <f t="shared" ref="H33" si="19">SUM(F33:G33)</f>
        <v>0</v>
      </c>
      <c r="Q33" s="7"/>
      <c r="U33" s="7"/>
    </row>
    <row r="34" spans="1:21" ht="13.5" thickBot="1" x14ac:dyDescent="0.35">
      <c r="A34" s="1249" t="s">
        <v>571</v>
      </c>
      <c r="B34" s="1250">
        <f>IF(Straw!C14="None",0,1)</f>
        <v>0</v>
      </c>
      <c r="C34" s="1250">
        <f t="shared" si="16"/>
        <v>0</v>
      </c>
      <c r="D34" s="1250">
        <f t="shared" si="17"/>
        <v>0</v>
      </c>
      <c r="F34" s="1246">
        <f>IF(Straw!C14="Both round &amp; square",Straw!I14,Straw!Q14)</f>
        <v>0</v>
      </c>
      <c r="G34" s="1247">
        <f>IF(Straw!C14="Both round &amp; square",Straw!J14,Straw!S14)</f>
        <v>0</v>
      </c>
      <c r="H34" s="215">
        <f t="shared" si="15"/>
        <v>0</v>
      </c>
      <c r="Q34" s="7"/>
      <c r="U34" s="7"/>
    </row>
    <row r="35" spans="1:21" ht="13.5" thickBot="1" x14ac:dyDescent="0.35">
      <c r="A35" s="1249" t="s">
        <v>572</v>
      </c>
      <c r="B35" s="1251">
        <f>IF(Straw!C15="None",0,1)</f>
        <v>0</v>
      </c>
      <c r="C35" s="1251">
        <f t="shared" si="16"/>
        <v>0</v>
      </c>
      <c r="D35" s="1251">
        <f t="shared" si="17"/>
        <v>0</v>
      </c>
      <c r="F35" s="1364">
        <f>IF(Straw!C15="Both round &amp; square",Straw!I15,Straw!Q15)</f>
        <v>0</v>
      </c>
      <c r="G35" s="1248">
        <f>IF(Straw!C15="Both round &amp; square",Straw!J15,Straw!S15)</f>
        <v>0</v>
      </c>
      <c r="H35" s="215">
        <f t="shared" si="15"/>
        <v>0</v>
      </c>
      <c r="Q35" s="7"/>
      <c r="U35" s="7"/>
    </row>
    <row r="36" spans="1:21" x14ac:dyDescent="0.3">
      <c r="A36" s="17"/>
      <c r="Q36" s="7"/>
      <c r="U36" s="7"/>
    </row>
    <row r="37" spans="1:21" ht="13.5" thickBot="1" x14ac:dyDescent="0.35">
      <c r="A37" s="3"/>
      <c r="E37" s="8" t="s">
        <v>136</v>
      </c>
      <c r="F37" s="8" t="s">
        <v>593</v>
      </c>
    </row>
    <row r="38" spans="1:21" ht="14" thickBot="1" x14ac:dyDescent="0.4">
      <c r="A38" s="1" t="s">
        <v>58</v>
      </c>
      <c r="B38" s="875" t="s">
        <v>1549</v>
      </c>
      <c r="C38" s="876" t="s">
        <v>1550</v>
      </c>
      <c r="E38" s="55" t="s">
        <v>144</v>
      </c>
      <c r="F38" s="99">
        <f>((potato*B132*B126)+(alfalfa*B139*B136)+(scorn*B146*B143)+(hay*B151*HlgBud!I26)+(clover*B158*B155)+(gcorn*B172*B169)+(barley*B180*B176)+(oats*B188*B184)+(rye*B196*B192)+(wheat*B212*B200)+(triticale*B220*B216)+(spelt*B228*B224)+(peas*B244*B240)+(soy*B252*B248)+(sudan*SudBud!C4*SudBud!C5)+(canola*B263*B260)+(broccoli*B268*B265))*F44</f>
        <v>171517.5</v>
      </c>
      <c r="J38" s="1" t="s">
        <v>640</v>
      </c>
    </row>
    <row r="39" spans="1:21" ht="13.5" thickBot="1" x14ac:dyDescent="0.35">
      <c r="A39" s="678" t="s">
        <v>1225</v>
      </c>
      <c r="B39" s="877" t="s">
        <v>1546</v>
      </c>
      <c r="C39" s="874">
        <f>FARM!$F$5</f>
        <v>0</v>
      </c>
      <c r="E39" s="55" t="s">
        <v>142</v>
      </c>
      <c r="F39" s="108">
        <f>PotOwnC!E80+AlfOwnC!E54+CnSOwnC!E51+HlgOwnC!E57+CvrOwnC!E47+GrzOwnC!E49+CnGOwnC!E55+Bf!E125+Of!E125+Rf!E125+Wf!E125+Tf!E125+Sf!E125+Pf!E118+Syf!E118+SudOwnC!E46+CanOwnC!E54+BrcOwnC!E58</f>
        <v>882661.36412748857</v>
      </c>
      <c r="J39" s="195">
        <v>0.40468564200000001</v>
      </c>
      <c r="K39" s="196" t="s">
        <v>636</v>
      </c>
      <c r="L39" s="195">
        <v>0.45359237000000002</v>
      </c>
      <c r="M39" s="196" t="s">
        <v>637</v>
      </c>
    </row>
    <row r="40" spans="1:21" ht="13.5" thickBot="1" x14ac:dyDescent="0.35">
      <c r="A40" s="2" t="s">
        <v>519</v>
      </c>
      <c r="B40" s="878" t="s">
        <v>1547</v>
      </c>
      <c r="C40" s="874">
        <f>FARM!$F$6</f>
        <v>1</v>
      </c>
      <c r="E40" s="55" t="s">
        <v>12</v>
      </c>
      <c r="F40" s="108">
        <f>PotOwnC!E81+AlfOwnC!E55+CnSOwnC!E52+HlgOwnC!E58+CvrOwnC!E48+GrzOwnC!E50+CnGOwnC!E56+Bf!E126+Of!E126+Rf!E126+Wf!E126+Tf!E126+Sf!E126+Pf!E119+Syf!E119+SudOwnC!E47+CanOwnC!E55+BrcOwnC!E59</f>
        <v>225000</v>
      </c>
      <c r="J40"/>
      <c r="K40"/>
      <c r="L40"/>
      <c r="M40"/>
    </row>
    <row r="41" spans="1:21" ht="13.5" thickBot="1" x14ac:dyDescent="0.35">
      <c r="B41" s="879" t="s">
        <v>1548</v>
      </c>
      <c r="C41" s="874">
        <f>FARM!$F$7</f>
        <v>0</v>
      </c>
      <c r="E41" s="62" t="s">
        <v>143</v>
      </c>
      <c r="F41" s="115">
        <f>PotOwnC!E82+AlfOwnC!E56+CnSOwnC!E53+HlgOwnC!E59+CvrOwnC!E49+GrzOwnC!E51+CnGOwnC!E57+Bf!E127+Of!E127+Rf!E127+Wf!E127+Tf!E127+Sf!E127+Pf!E120+Syf!E120+SudOwnC!E48+CanOwnC!E56+BrcOwnC!E60</f>
        <v>80896.742847257308</v>
      </c>
      <c r="J41"/>
      <c r="K41"/>
      <c r="L41"/>
      <c r="M41"/>
    </row>
    <row r="42" spans="1:21" x14ac:dyDescent="0.3">
      <c r="A42" s="3" t="s">
        <v>53</v>
      </c>
      <c r="B42" s="18"/>
      <c r="E42" s="61" t="s">
        <v>137</v>
      </c>
      <c r="F42" s="108">
        <f>SUM(F38:F41)</f>
        <v>1360075.6069747459</v>
      </c>
      <c r="J42" s="197">
        <f>1016.05/1000</f>
        <v>1.0160499999999999</v>
      </c>
      <c r="K42" s="198" t="s">
        <v>638</v>
      </c>
      <c r="L42" s="199"/>
      <c r="M42"/>
    </row>
    <row r="43" spans="1:21" ht="13.5" thickBot="1" x14ac:dyDescent="0.35">
      <c r="A43" s="19" t="s">
        <v>54</v>
      </c>
      <c r="B43" s="1194">
        <v>6.7999999999999996E-3</v>
      </c>
      <c r="C43" s="17" t="s">
        <v>1992</v>
      </c>
      <c r="J43" s="197">
        <f>1/0.404685642</f>
        <v>2.4710538161371192</v>
      </c>
      <c r="K43" s="200" t="s">
        <v>639</v>
      </c>
      <c r="L43" s="201"/>
      <c r="M43"/>
    </row>
    <row r="44" spans="1:21" ht="13.5" thickBot="1" x14ac:dyDescent="0.35">
      <c r="A44" s="856" t="s">
        <v>1989</v>
      </c>
      <c r="B44" s="1195">
        <f>INPUT!E11</f>
        <v>1E-13</v>
      </c>
      <c r="C44" s="17" t="s">
        <v>1992</v>
      </c>
      <c r="E44" s="20"/>
      <c r="F44" s="248">
        <v>0.75</v>
      </c>
      <c r="G44" s="17" t="s">
        <v>622</v>
      </c>
      <c r="J44"/>
      <c r="K44"/>
      <c r="L44"/>
      <c r="M44"/>
    </row>
    <row r="45" spans="1:21" ht="13.5" thickBot="1" x14ac:dyDescent="0.35">
      <c r="A45" s="856" t="s">
        <v>1990</v>
      </c>
      <c r="B45" s="1309">
        <f>INPUT!G11</f>
        <v>1.7999999999999999E-2</v>
      </c>
      <c r="C45" s="17" t="s">
        <v>1992</v>
      </c>
      <c r="E45" s="20"/>
      <c r="F45" s="20"/>
      <c r="J45"/>
      <c r="K45"/>
      <c r="L45"/>
      <c r="M45"/>
    </row>
    <row r="46" spans="1:21" ht="13.5" thickBot="1" x14ac:dyDescent="0.35">
      <c r="A46" s="856" t="s">
        <v>1991</v>
      </c>
      <c r="B46" s="1309">
        <f>INPUT!I11</f>
        <v>1.7999999999999999E-2</v>
      </c>
      <c r="C46" s="17" t="s">
        <v>1992</v>
      </c>
      <c r="E46" s="20"/>
      <c r="F46" s="20"/>
      <c r="J46" s="3" t="s">
        <v>563</v>
      </c>
      <c r="M46"/>
    </row>
    <row r="47" spans="1:21" ht="13.5" thickBot="1" x14ac:dyDescent="0.35">
      <c r="A47" s="856" t="s">
        <v>2165</v>
      </c>
      <c r="B47" s="1309">
        <f>INPUT!$I$5</f>
        <v>4.7341710603787002E-2</v>
      </c>
      <c r="C47" s="17" t="s">
        <v>1992</v>
      </c>
      <c r="D47" s="24">
        <f>800/3</f>
        <v>266.66666666666669</v>
      </c>
      <c r="E47" s="20"/>
      <c r="J47" s="177" t="s">
        <v>106</v>
      </c>
      <c r="K47" s="177" t="s">
        <v>564</v>
      </c>
      <c r="L47" s="178" t="s">
        <v>565</v>
      </c>
      <c r="M47"/>
    </row>
    <row r="48" spans="1:21" x14ac:dyDescent="0.3">
      <c r="A48" s="19" t="s">
        <v>1189</v>
      </c>
      <c r="B48" s="350">
        <v>7</v>
      </c>
      <c r="C48" s="17" t="s">
        <v>1993</v>
      </c>
      <c r="D48" s="20"/>
      <c r="J48" s="179" t="s">
        <v>200</v>
      </c>
      <c r="K48" s="658">
        <v>2000</v>
      </c>
      <c r="L48" s="180">
        <v>0.3</v>
      </c>
    </row>
    <row r="49" spans="1:12" x14ac:dyDescent="0.3">
      <c r="A49" s="19"/>
      <c r="B49" s="20"/>
      <c r="J49" s="181" t="s">
        <v>403</v>
      </c>
      <c r="K49" s="659">
        <v>2000</v>
      </c>
      <c r="L49" s="183">
        <v>0.5</v>
      </c>
    </row>
    <row r="50" spans="1:12" x14ac:dyDescent="0.3">
      <c r="A50" s="3" t="s">
        <v>55</v>
      </c>
      <c r="B50" s="20"/>
      <c r="D50" s="55" t="s">
        <v>106</v>
      </c>
      <c r="E50" s="55" t="s">
        <v>107</v>
      </c>
      <c r="F50" s="55" t="s">
        <v>108</v>
      </c>
      <c r="H50" s="849" t="s">
        <v>1486</v>
      </c>
      <c r="J50" s="181" t="s">
        <v>258</v>
      </c>
      <c r="K50" s="659">
        <v>2000</v>
      </c>
      <c r="L50" s="183">
        <v>0.39072000000000001</v>
      </c>
    </row>
    <row r="51" spans="1:12" x14ac:dyDescent="0.3">
      <c r="A51" s="19" t="s">
        <v>59</v>
      </c>
      <c r="B51" s="17">
        <f>B54</f>
        <v>513</v>
      </c>
      <c r="D51" s="55" t="s">
        <v>104</v>
      </c>
      <c r="E51" s="17">
        <f>potato</f>
        <v>0</v>
      </c>
      <c r="F51" s="24">
        <f>E51/E53</f>
        <v>0</v>
      </c>
      <c r="H51" s="850" t="s">
        <v>1487</v>
      </c>
      <c r="J51" s="181" t="s">
        <v>566</v>
      </c>
      <c r="K51" s="659">
        <v>2000</v>
      </c>
      <c r="L51" s="183">
        <v>0.91998999999999997</v>
      </c>
    </row>
    <row r="52" spans="1:12" x14ac:dyDescent="0.3">
      <c r="A52" s="21" t="s">
        <v>60</v>
      </c>
      <c r="B52" s="26">
        <f>B51*E56</f>
        <v>384.75</v>
      </c>
      <c r="D52" s="56" t="s">
        <v>157</v>
      </c>
      <c r="E52" s="41">
        <f>320</f>
        <v>320</v>
      </c>
      <c r="F52" s="57">
        <f>E52/E53</f>
        <v>1</v>
      </c>
      <c r="J52" s="184" t="s">
        <v>567</v>
      </c>
      <c r="K52" s="659">
        <v>2000</v>
      </c>
      <c r="L52" s="183">
        <v>0.3</v>
      </c>
    </row>
    <row r="53" spans="1:12" x14ac:dyDescent="0.3">
      <c r="A53" s="21" t="s">
        <v>545</v>
      </c>
      <c r="B53" s="26">
        <f>B51*E57</f>
        <v>128.25</v>
      </c>
      <c r="D53" s="55" t="s">
        <v>76</v>
      </c>
      <c r="E53" s="17">
        <f>SUM(E51:E52)</f>
        <v>320</v>
      </c>
      <c r="F53" s="24">
        <f>SUM(F51:F52)</f>
        <v>1</v>
      </c>
      <c r="J53" s="184" t="s">
        <v>467</v>
      </c>
      <c r="K53" s="659">
        <v>2000</v>
      </c>
      <c r="L53" s="185">
        <v>0.26</v>
      </c>
    </row>
    <row r="54" spans="1:12" x14ac:dyDescent="0.3">
      <c r="A54" s="19" t="s">
        <v>59</v>
      </c>
      <c r="B54" s="17">
        <f>potato+alfalfa+scorn+hay+balehay+clover+graze+gcorn+barley+oats+rye+wheat+triticale+spelt+peas+soy+sudan+canola+broccoli+SUM(B118:B119)</f>
        <v>513</v>
      </c>
      <c r="J54" s="181" t="s">
        <v>568</v>
      </c>
      <c r="K54" s="659">
        <v>2000</v>
      </c>
      <c r="L54" s="186">
        <v>0.77500000000000002</v>
      </c>
    </row>
    <row r="55" spans="1:12" ht="13.5" thickBot="1" x14ac:dyDescent="0.35">
      <c r="A55" s="21" t="s">
        <v>61</v>
      </c>
      <c r="B55" s="17">
        <f>potato</f>
        <v>0</v>
      </c>
      <c r="D55" s="56" t="s">
        <v>12</v>
      </c>
      <c r="E55" s="62" t="s">
        <v>155</v>
      </c>
      <c r="J55" s="177" t="s">
        <v>106</v>
      </c>
      <c r="K55" s="177" t="s">
        <v>569</v>
      </c>
      <c r="L55" s="178" t="s">
        <v>565</v>
      </c>
    </row>
    <row r="56" spans="1:12" ht="13.5" thickBot="1" x14ac:dyDescent="0.35">
      <c r="A56" s="58" t="s">
        <v>109</v>
      </c>
      <c r="B56" s="141">
        <f>B4*E56</f>
        <v>0</v>
      </c>
      <c r="D56" s="55" t="s">
        <v>154</v>
      </c>
      <c r="E56" s="881">
        <f>FARM!$L$7</f>
        <v>0.75</v>
      </c>
      <c r="J56" s="184" t="s">
        <v>570</v>
      </c>
      <c r="K56" s="182">
        <f>64.3</f>
        <v>64.3</v>
      </c>
      <c r="L56" s="183">
        <f>0.3</f>
        <v>0.3</v>
      </c>
    </row>
    <row r="57" spans="1:12" ht="13.5" thickBot="1" x14ac:dyDescent="0.35">
      <c r="A57" s="58" t="s">
        <v>544</v>
      </c>
      <c r="B57" s="141">
        <f>B4*E57</f>
        <v>0</v>
      </c>
      <c r="D57" s="55" t="s">
        <v>129</v>
      </c>
      <c r="E57" s="882">
        <f>FARM!$L$8</f>
        <v>0.25</v>
      </c>
      <c r="J57" s="184" t="s">
        <v>425</v>
      </c>
      <c r="K57" s="182">
        <v>56</v>
      </c>
      <c r="L57" s="183">
        <v>0.84499999999999997</v>
      </c>
    </row>
    <row r="58" spans="1:12" x14ac:dyDescent="0.3">
      <c r="A58" s="21" t="s">
        <v>400</v>
      </c>
      <c r="B58" s="17">
        <f>alfalfa</f>
        <v>0</v>
      </c>
      <c r="D58" s="55"/>
      <c r="E58" s="64"/>
      <c r="J58" s="184" t="s">
        <v>105</v>
      </c>
      <c r="K58" s="1317">
        <f>FARM!$L$15</f>
        <v>48</v>
      </c>
      <c r="L58" s="183">
        <v>0.85499999999999998</v>
      </c>
    </row>
    <row r="59" spans="1:12" x14ac:dyDescent="0.3">
      <c r="A59" s="58" t="s">
        <v>109</v>
      </c>
      <c r="B59" s="141">
        <f>B58*E56</f>
        <v>0</v>
      </c>
      <c r="D59" s="55"/>
      <c r="E59" s="64"/>
      <c r="J59" s="184" t="s">
        <v>426</v>
      </c>
      <c r="K59" s="1317">
        <f>FARM!$L$16</f>
        <v>32</v>
      </c>
      <c r="L59" s="183">
        <v>0.86</v>
      </c>
    </row>
    <row r="60" spans="1:12" ht="13.5" thickBot="1" x14ac:dyDescent="0.35">
      <c r="A60" s="58" t="s">
        <v>544</v>
      </c>
      <c r="B60" s="141">
        <f>B58*E57</f>
        <v>0</v>
      </c>
      <c r="D60" s="856" t="s">
        <v>253</v>
      </c>
      <c r="F60" s="856" t="s">
        <v>295</v>
      </c>
      <c r="H60" s="856" t="s">
        <v>518</v>
      </c>
      <c r="I60" s="640"/>
      <c r="J60" s="184" t="s">
        <v>522</v>
      </c>
      <c r="K60" s="1317">
        <f>FARM!$L$17</f>
        <v>56</v>
      </c>
      <c r="L60" s="183">
        <v>0.86</v>
      </c>
    </row>
    <row r="61" spans="1:12" ht="13.5" thickBot="1" x14ac:dyDescent="0.35">
      <c r="A61" s="21" t="s">
        <v>791</v>
      </c>
      <c r="B61" s="17">
        <f>scorn</f>
        <v>0</v>
      </c>
      <c r="D61" s="883">
        <f>INPUT!$I$8</f>
        <v>50</v>
      </c>
      <c r="E61" s="117" t="s">
        <v>254</v>
      </c>
      <c r="F61" s="883">
        <f>INPUT!$D$8</f>
        <v>1000</v>
      </c>
      <c r="G61" s="17" t="s">
        <v>254</v>
      </c>
      <c r="H61" s="1077">
        <f>CP!$D$4</f>
        <v>0.01</v>
      </c>
      <c r="I61" s="17" t="s">
        <v>1822</v>
      </c>
      <c r="J61" s="184" t="s">
        <v>1934</v>
      </c>
      <c r="K61" s="1317">
        <f>FARM!$L$18</f>
        <v>60</v>
      </c>
      <c r="L61" s="183">
        <v>0.86499999999999999</v>
      </c>
    </row>
    <row r="62" spans="1:12" x14ac:dyDescent="0.3">
      <c r="A62" s="58" t="s">
        <v>109</v>
      </c>
      <c r="B62" s="141">
        <f>B61*E56</f>
        <v>0</v>
      </c>
      <c r="D62" s="55"/>
      <c r="E62" s="64"/>
      <c r="J62" s="184" t="s">
        <v>1935</v>
      </c>
      <c r="K62" s="1317">
        <f>FARM!$L$19</f>
        <v>60</v>
      </c>
      <c r="L62" s="183">
        <v>0.86499999999999999</v>
      </c>
    </row>
    <row r="63" spans="1:12" x14ac:dyDescent="0.3">
      <c r="A63" s="58" t="s">
        <v>544</v>
      </c>
      <c r="B63" s="141">
        <f>B61*E57</f>
        <v>0</v>
      </c>
      <c r="J63" s="184" t="s">
        <v>571</v>
      </c>
      <c r="K63" s="1317">
        <f>FARM!$L$20</f>
        <v>56</v>
      </c>
      <c r="L63" s="183">
        <v>0.86499999999999999</v>
      </c>
    </row>
    <row r="64" spans="1:12" ht="13.5" thickBot="1" x14ac:dyDescent="0.35">
      <c r="A64" s="21" t="s">
        <v>555</v>
      </c>
      <c r="B64" s="17">
        <f>hay</f>
        <v>0</v>
      </c>
      <c r="D64" s="7" t="s">
        <v>909</v>
      </c>
      <c r="F64" s="7" t="s">
        <v>2159</v>
      </c>
      <c r="J64" s="184" t="s">
        <v>572</v>
      </c>
      <c r="K64" s="1317">
        <f>FARM!$L$21</f>
        <v>60</v>
      </c>
      <c r="L64" s="183">
        <f>L61</f>
        <v>0.86499999999999999</v>
      </c>
    </row>
    <row r="65" spans="1:12" ht="13.5" thickBot="1" x14ac:dyDescent="0.35">
      <c r="A65" s="58" t="s">
        <v>109</v>
      </c>
      <c r="B65" s="141">
        <f>B64*E56</f>
        <v>0</v>
      </c>
      <c r="D65" s="917">
        <f>OSI!$B$46</f>
        <v>0.125</v>
      </c>
      <c r="E65" s="117"/>
      <c r="F65" s="920">
        <f>OSI!$H$114</f>
        <v>0</v>
      </c>
      <c r="G65" s="117" t="s">
        <v>254</v>
      </c>
      <c r="J65" s="184" t="s">
        <v>2107</v>
      </c>
      <c r="K65" s="1317">
        <f>FARM!$L$22</f>
        <v>48</v>
      </c>
      <c r="L65" s="631">
        <f>L63</f>
        <v>0.86499999999999999</v>
      </c>
    </row>
    <row r="66" spans="1:12" x14ac:dyDescent="0.3">
      <c r="A66" s="58" t="s">
        <v>544</v>
      </c>
      <c r="B66" s="141">
        <f>B64*E57</f>
        <v>0</v>
      </c>
      <c r="D66" s="1296"/>
      <c r="E66" s="117"/>
      <c r="J66" s="184" t="s">
        <v>1142</v>
      </c>
      <c r="K66" s="1317">
        <f>FARM!$L$23</f>
        <v>60</v>
      </c>
      <c r="L66" s="631">
        <v>0.88</v>
      </c>
    </row>
    <row r="67" spans="1:12" x14ac:dyDescent="0.3">
      <c r="A67" s="21" t="s">
        <v>685</v>
      </c>
      <c r="B67" s="141">
        <f>balehay</f>
        <v>0</v>
      </c>
      <c r="D67" s="55"/>
      <c r="E67" s="64"/>
      <c r="J67" s="184" t="s">
        <v>201</v>
      </c>
      <c r="K67" s="1317">
        <f>FARM!$L$24</f>
        <v>60</v>
      </c>
      <c r="L67" s="631">
        <v>0.88</v>
      </c>
    </row>
    <row r="68" spans="1:12" ht="13.5" thickBot="1" x14ac:dyDescent="0.35">
      <c r="A68" s="58" t="s">
        <v>109</v>
      </c>
      <c r="B68" s="141">
        <f>B67*E56</f>
        <v>0</v>
      </c>
      <c r="D68" s="7" t="s">
        <v>170</v>
      </c>
      <c r="F68" s="7" t="s">
        <v>1221</v>
      </c>
      <c r="J68" s="187" t="s">
        <v>523</v>
      </c>
      <c r="K68" s="188">
        <v>50</v>
      </c>
      <c r="L68" s="592" t="s">
        <v>1078</v>
      </c>
    </row>
    <row r="69" spans="1:12" ht="13.5" thickBot="1" x14ac:dyDescent="0.35">
      <c r="A69" s="58" t="s">
        <v>544</v>
      </c>
      <c r="B69" s="141">
        <f>B67*E57</f>
        <v>0</v>
      </c>
      <c r="D69" s="618">
        <v>0</v>
      </c>
      <c r="E69" s="117" t="s">
        <v>254</v>
      </c>
      <c r="F69" s="918">
        <f>OSI!$B$57</f>
        <v>12</v>
      </c>
      <c r="G69" s="117" t="s">
        <v>1222</v>
      </c>
    </row>
    <row r="70" spans="1:12" x14ac:dyDescent="0.3">
      <c r="A70" s="21" t="s">
        <v>541</v>
      </c>
      <c r="B70" s="17">
        <f>clover</f>
        <v>0</v>
      </c>
      <c r="D70" s="55"/>
      <c r="E70" s="64"/>
      <c r="J70" s="22"/>
    </row>
    <row r="71" spans="1:12" ht="13.5" thickBot="1" x14ac:dyDescent="0.35">
      <c r="A71" s="58" t="s">
        <v>109</v>
      </c>
      <c r="B71" s="141">
        <f>B70*E56</f>
        <v>0</v>
      </c>
      <c r="D71" s="17" t="s">
        <v>1848</v>
      </c>
      <c r="F71" s="7" t="s">
        <v>1223</v>
      </c>
      <c r="I71" s="61" t="s">
        <v>1271</v>
      </c>
      <c r="K71" s="61" t="s">
        <v>1262</v>
      </c>
    </row>
    <row r="72" spans="1:12" ht="13.5" thickBot="1" x14ac:dyDescent="0.35">
      <c r="A72" s="58" t="s">
        <v>544</v>
      </c>
      <c r="B72" s="141">
        <f>B70*E57</f>
        <v>0</v>
      </c>
      <c r="D72" s="1189">
        <v>3</v>
      </c>
      <c r="E72" s="117" t="s">
        <v>254</v>
      </c>
      <c r="F72" s="919">
        <f>OSI!$F$57</f>
        <v>50</v>
      </c>
      <c r="G72" s="117" t="s">
        <v>1224</v>
      </c>
      <c r="I72" s="766">
        <f>K72</f>
        <v>0.53521535987367308</v>
      </c>
      <c r="J72" s="117" t="s">
        <v>287</v>
      </c>
      <c r="K72" s="923">
        <f>OSI!$C$99</f>
        <v>0.53521535987367308</v>
      </c>
      <c r="L72" s="117" t="s">
        <v>287</v>
      </c>
    </row>
    <row r="73" spans="1:12" x14ac:dyDescent="0.3">
      <c r="A73" s="21" t="s">
        <v>525</v>
      </c>
      <c r="B73" s="26">
        <f>graze</f>
        <v>0</v>
      </c>
      <c r="D73" s="55"/>
      <c r="E73" s="64"/>
      <c r="K73" s="61" t="s">
        <v>1275</v>
      </c>
    </row>
    <row r="74" spans="1:12" x14ac:dyDescent="0.3">
      <c r="A74" s="58" t="s">
        <v>109</v>
      </c>
      <c r="B74" s="141">
        <f>B73*E56</f>
        <v>0</v>
      </c>
      <c r="D74" s="7" t="s">
        <v>180</v>
      </c>
      <c r="F74" s="7" t="s">
        <v>175</v>
      </c>
      <c r="I74" s="61" t="s">
        <v>1279</v>
      </c>
      <c r="K74" s="765">
        <v>0.128</v>
      </c>
      <c r="L74" s="117" t="s">
        <v>287</v>
      </c>
    </row>
    <row r="75" spans="1:12" x14ac:dyDescent="0.3">
      <c r="A75" s="58" t="s">
        <v>544</v>
      </c>
      <c r="B75" s="141">
        <f>B73*E57</f>
        <v>0</v>
      </c>
      <c r="D75" s="920">
        <f>OSI!$K$114</f>
        <v>0</v>
      </c>
      <c r="E75" s="117" t="s">
        <v>254</v>
      </c>
      <c r="F75" s="920">
        <f>(F72*F69)/crops</f>
        <v>1.5</v>
      </c>
      <c r="G75" s="117" t="s">
        <v>254</v>
      </c>
      <c r="I75" s="617">
        <v>1.15318733853302</v>
      </c>
      <c r="J75" s="117" t="s">
        <v>287</v>
      </c>
    </row>
    <row r="76" spans="1:12" x14ac:dyDescent="0.3">
      <c r="A76" s="21" t="s">
        <v>464</v>
      </c>
      <c r="B76" s="17">
        <f>gcorn</f>
        <v>0</v>
      </c>
      <c r="D76" s="55"/>
    </row>
    <row r="77" spans="1:12" x14ac:dyDescent="0.3">
      <c r="A77" s="58" t="s">
        <v>109</v>
      </c>
      <c r="B77" s="141">
        <f>B76*E56</f>
        <v>0</v>
      </c>
    </row>
    <row r="78" spans="1:12" x14ac:dyDescent="0.3">
      <c r="A78" s="58" t="s">
        <v>544</v>
      </c>
      <c r="B78" s="141">
        <f>B76*E57</f>
        <v>0</v>
      </c>
      <c r="E78" s="61" t="s">
        <v>623</v>
      </c>
      <c r="I78" s="55">
        <v>10</v>
      </c>
      <c r="J78" s="17" t="s">
        <v>1277</v>
      </c>
    </row>
    <row r="79" spans="1:12" x14ac:dyDescent="0.3">
      <c r="A79" s="21" t="s">
        <v>288</v>
      </c>
      <c r="B79" s="17">
        <f>barley</f>
        <v>100</v>
      </c>
      <c r="E79" s="17">
        <v>2002</v>
      </c>
      <c r="F79" s="109">
        <v>230</v>
      </c>
      <c r="I79" s="17">
        <f>4200/10</f>
        <v>420</v>
      </c>
      <c r="J79" s="17" t="s">
        <v>1263</v>
      </c>
    </row>
    <row r="80" spans="1:12" x14ac:dyDescent="0.3">
      <c r="A80" s="58" t="s">
        <v>109</v>
      </c>
      <c r="B80" s="141">
        <f>B79*E56</f>
        <v>75</v>
      </c>
      <c r="E80" s="17">
        <v>2010</v>
      </c>
      <c r="F80" s="252">
        <v>440</v>
      </c>
      <c r="I80" s="55">
        <f>I79/100</f>
        <v>4.2</v>
      </c>
      <c r="J80" s="17" t="s">
        <v>1264</v>
      </c>
    </row>
    <row r="81" spans="1:10" x14ac:dyDescent="0.3">
      <c r="A81" s="58" t="s">
        <v>544</v>
      </c>
      <c r="B81" s="141">
        <f>B79*E57</f>
        <v>25</v>
      </c>
      <c r="E81" s="55" t="s">
        <v>624</v>
      </c>
      <c r="F81" s="253">
        <f>(F80-F79)/F79</f>
        <v>0.91304347826086951</v>
      </c>
      <c r="J81" s="22" t="s">
        <v>1278</v>
      </c>
    </row>
    <row r="82" spans="1:10" x14ac:dyDescent="0.3">
      <c r="A82" s="21" t="s">
        <v>465</v>
      </c>
      <c r="B82" s="17">
        <f>oats</f>
        <v>0</v>
      </c>
      <c r="D82" s="55"/>
      <c r="E82" s="190" t="s">
        <v>626</v>
      </c>
      <c r="I82" s="55"/>
    </row>
    <row r="83" spans="1:10" x14ac:dyDescent="0.3">
      <c r="A83" s="58" t="s">
        <v>109</v>
      </c>
      <c r="B83" s="141">
        <f>B82*E56</f>
        <v>0</v>
      </c>
      <c r="D83" s="55"/>
      <c r="I83" s="55">
        <v>240</v>
      </c>
      <c r="J83" s="17" t="s">
        <v>1265</v>
      </c>
    </row>
    <row r="84" spans="1:10" x14ac:dyDescent="0.3">
      <c r="A84" s="58" t="s">
        <v>544</v>
      </c>
      <c r="B84" s="141">
        <f>B82*E57</f>
        <v>0</v>
      </c>
      <c r="D84" s="55"/>
      <c r="E84" s="7" t="s">
        <v>627</v>
      </c>
      <c r="I84" s="594">
        <v>9900</v>
      </c>
      <c r="J84" s="17" t="s">
        <v>1267</v>
      </c>
    </row>
    <row r="85" spans="1:10" x14ac:dyDescent="0.3">
      <c r="A85" s="21" t="s">
        <v>526</v>
      </c>
      <c r="B85" s="26">
        <f>rye</f>
        <v>0</v>
      </c>
      <c r="D85" s="55"/>
      <c r="E85" s="249">
        <f>20+(20*F81)</f>
        <v>38.260869565217391</v>
      </c>
      <c r="F85" s="117" t="s">
        <v>286</v>
      </c>
      <c r="I85" s="55">
        <f>9900/I83</f>
        <v>41.25</v>
      </c>
      <c r="J85" s="17" t="s">
        <v>1266</v>
      </c>
    </row>
    <row r="86" spans="1:10" x14ac:dyDescent="0.3">
      <c r="A86" s="58" t="s">
        <v>109</v>
      </c>
      <c r="B86" s="141">
        <f>B85*E56</f>
        <v>0</v>
      </c>
      <c r="D86" s="55"/>
      <c r="E86" s="64"/>
      <c r="I86" s="17">
        <f>15/60</f>
        <v>0.25</v>
      </c>
      <c r="J86" s="17" t="s">
        <v>1268</v>
      </c>
    </row>
    <row r="87" spans="1:10" x14ac:dyDescent="0.3">
      <c r="A87" s="58" t="s">
        <v>544</v>
      </c>
      <c r="B87" s="141">
        <f>B85*E57</f>
        <v>0</v>
      </c>
      <c r="E87" s="7" t="s">
        <v>1220</v>
      </c>
      <c r="I87" s="17">
        <f>I85*I86</f>
        <v>10.3125</v>
      </c>
      <c r="J87" s="17" t="s">
        <v>1269</v>
      </c>
    </row>
    <row r="88" spans="1:10" x14ac:dyDescent="0.3">
      <c r="A88" s="21" t="s">
        <v>1972</v>
      </c>
      <c r="B88" s="26">
        <f>wheat</f>
        <v>0</v>
      </c>
      <c r="E88" s="619">
        <v>1</v>
      </c>
      <c r="F88" s="117" t="s">
        <v>254</v>
      </c>
      <c r="I88" s="17">
        <v>300</v>
      </c>
      <c r="J88" s="17" t="s">
        <v>1270</v>
      </c>
    </row>
    <row r="89" spans="1:10" x14ac:dyDescent="0.3">
      <c r="A89" s="58" t="s">
        <v>109</v>
      </c>
      <c r="B89" s="141">
        <f>B88*E56</f>
        <v>0</v>
      </c>
      <c r="I89" s="17">
        <f>I87/I88</f>
        <v>3.4375000000000003E-2</v>
      </c>
      <c r="J89" s="17" t="s">
        <v>1264</v>
      </c>
    </row>
    <row r="90" spans="1:10" ht="13.5" thickBot="1" x14ac:dyDescent="0.35">
      <c r="A90" s="58" t="s">
        <v>544</v>
      </c>
      <c r="B90" s="141">
        <f>B88*E57</f>
        <v>0</v>
      </c>
      <c r="E90" s="7" t="s">
        <v>1216</v>
      </c>
      <c r="I90" s="98">
        <f>_wage_</f>
        <v>12.29</v>
      </c>
      <c r="J90" s="17" t="s">
        <v>1272</v>
      </c>
    </row>
    <row r="91" spans="1:10" ht="13.5" thickBot="1" x14ac:dyDescent="0.35">
      <c r="A91" s="21" t="s">
        <v>1973</v>
      </c>
      <c r="B91" s="26">
        <f>wwheat</f>
        <v>0</v>
      </c>
      <c r="E91" s="921">
        <f>E88/E94</f>
        <v>0.2</v>
      </c>
      <c r="F91" s="117" t="s">
        <v>1648</v>
      </c>
      <c r="I91" s="98">
        <f>I89*I90</f>
        <v>0.42246875</v>
      </c>
      <c r="J91" s="17" t="s">
        <v>254</v>
      </c>
    </row>
    <row r="92" spans="1:10" x14ac:dyDescent="0.3">
      <c r="A92" s="58" t="s">
        <v>109</v>
      </c>
      <c r="B92" s="141">
        <f>B91*E56</f>
        <v>0</v>
      </c>
      <c r="E92" s="679"/>
      <c r="F92" s="117"/>
      <c r="I92" s="212">
        <f>AVERAGE(B180,B188,B196,B212,B220,B228,B244,B252)</f>
        <v>13.625</v>
      </c>
      <c r="J92" s="17" t="s">
        <v>1273</v>
      </c>
    </row>
    <row r="93" spans="1:10" x14ac:dyDescent="0.3">
      <c r="A93" s="58" t="s">
        <v>544</v>
      </c>
      <c r="B93" s="141">
        <f>B91*E57</f>
        <v>0</v>
      </c>
      <c r="E93" s="7" t="s">
        <v>1218</v>
      </c>
      <c r="I93" s="767">
        <f>I91/I92</f>
        <v>3.1006880733944954E-2</v>
      </c>
      <c r="J93" s="7" t="s">
        <v>1274</v>
      </c>
    </row>
    <row r="94" spans="1:10" x14ac:dyDescent="0.3">
      <c r="A94" s="21" t="s">
        <v>1226</v>
      </c>
      <c r="B94" s="26">
        <f>triticale</f>
        <v>0</v>
      </c>
      <c r="E94" s="619">
        <v>5</v>
      </c>
      <c r="F94" s="117" t="s">
        <v>1219</v>
      </c>
      <c r="I94" s="98"/>
    </row>
    <row r="95" spans="1:10" x14ac:dyDescent="0.3">
      <c r="A95" s="58" t="s">
        <v>109</v>
      </c>
      <c r="B95" s="141">
        <f>B94*E56</f>
        <v>0</v>
      </c>
    </row>
    <row r="96" spans="1:10" ht="13.5" thickBot="1" x14ac:dyDescent="0.35">
      <c r="A96" s="58" t="s">
        <v>544</v>
      </c>
      <c r="B96" s="141">
        <f>B94*E57</f>
        <v>0</v>
      </c>
      <c r="E96" s="7" t="s">
        <v>1215</v>
      </c>
    </row>
    <row r="97" spans="1:17" ht="13.5" thickBot="1" x14ac:dyDescent="0.35">
      <c r="A97" s="21" t="s">
        <v>1227</v>
      </c>
      <c r="B97" s="26">
        <f>spelt</f>
        <v>100</v>
      </c>
      <c r="E97" s="883">
        <f>OSI!K61</f>
        <v>75</v>
      </c>
      <c r="F97" s="117" t="s">
        <v>254</v>
      </c>
      <c r="G97" s="669" t="s">
        <v>1217</v>
      </c>
      <c r="H97" s="640"/>
      <c r="I97" s="640"/>
      <c r="J97" s="640"/>
    </row>
    <row r="98" spans="1:17" x14ac:dyDescent="0.3">
      <c r="A98" s="58" t="s">
        <v>109</v>
      </c>
      <c r="B98" s="141">
        <f>B97*E56</f>
        <v>75</v>
      </c>
    </row>
    <row r="99" spans="1:17" x14ac:dyDescent="0.3">
      <c r="A99" s="58" t="s">
        <v>544</v>
      </c>
      <c r="B99" s="141">
        <f>B97*E57</f>
        <v>25</v>
      </c>
    </row>
    <row r="100" spans="1:17" x14ac:dyDescent="0.3">
      <c r="A100" s="21" t="s">
        <v>2109</v>
      </c>
      <c r="B100" s="26">
        <f>buckwheat</f>
        <v>100</v>
      </c>
    </row>
    <row r="101" spans="1:17" x14ac:dyDescent="0.3">
      <c r="A101" s="58" t="s">
        <v>109</v>
      </c>
      <c r="B101" s="141">
        <f>B100*E56</f>
        <v>75</v>
      </c>
    </row>
    <row r="102" spans="1:17" x14ac:dyDescent="0.3">
      <c r="A102" s="58" t="s">
        <v>544</v>
      </c>
      <c r="B102" s="141">
        <f>B100*E57</f>
        <v>25</v>
      </c>
    </row>
    <row r="103" spans="1:17" x14ac:dyDescent="0.3">
      <c r="A103" s="21" t="s">
        <v>1228</v>
      </c>
      <c r="B103" s="26">
        <f>peas</f>
        <v>0</v>
      </c>
    </row>
    <row r="104" spans="1:17" x14ac:dyDescent="0.3">
      <c r="A104" s="58" t="s">
        <v>109</v>
      </c>
      <c r="B104" s="141">
        <f>B103*E56</f>
        <v>0</v>
      </c>
      <c r="E104" s="7" t="s">
        <v>1276</v>
      </c>
    </row>
    <row r="105" spans="1:17" x14ac:dyDescent="0.3">
      <c r="A105" s="58" t="s">
        <v>544</v>
      </c>
      <c r="B105" s="141">
        <f>B103*E57</f>
        <v>0</v>
      </c>
    </row>
    <row r="106" spans="1:17" x14ac:dyDescent="0.3">
      <c r="A106" s="21" t="s">
        <v>289</v>
      </c>
      <c r="B106" s="17">
        <f>soy</f>
        <v>100</v>
      </c>
      <c r="D106" s="55"/>
      <c r="E106" s="69" t="s">
        <v>1495</v>
      </c>
      <c r="G106" s="858" t="s">
        <v>1497</v>
      </c>
      <c r="H106" s="858" t="s">
        <v>22</v>
      </c>
      <c r="I106" s="858" t="s">
        <v>1498</v>
      </c>
      <c r="K106" s="69" t="s">
        <v>1524</v>
      </c>
    </row>
    <row r="107" spans="1:17" ht="13.5" thickBot="1" x14ac:dyDescent="0.35">
      <c r="A107" s="58" t="s">
        <v>109</v>
      </c>
      <c r="B107" s="141">
        <f>B106*E56</f>
        <v>75</v>
      </c>
      <c r="F107" s="856" t="s">
        <v>1510</v>
      </c>
      <c r="K107" s="856" t="s">
        <v>1523</v>
      </c>
      <c r="L107" s="216" t="s">
        <v>1525</v>
      </c>
      <c r="M107" s="216" t="s">
        <v>1526</v>
      </c>
      <c r="N107" s="216" t="s">
        <v>1527</v>
      </c>
      <c r="O107" s="216" t="s">
        <v>1095</v>
      </c>
      <c r="P107" s="67" t="s">
        <v>1491</v>
      </c>
      <c r="Q107" s="67" t="s">
        <v>164</v>
      </c>
    </row>
    <row r="108" spans="1:17" ht="13.5" thickBot="1" x14ac:dyDescent="0.35">
      <c r="A108" s="58" t="s">
        <v>544</v>
      </c>
      <c r="B108" s="141">
        <f>B106*E57</f>
        <v>25</v>
      </c>
      <c r="F108" s="638" t="s">
        <v>1507</v>
      </c>
      <c r="G108" s="857">
        <v>4</v>
      </c>
      <c r="H108" s="638" t="s">
        <v>1496</v>
      </c>
      <c r="I108" s="859">
        <v>250</v>
      </c>
      <c r="K108" s="638" t="s">
        <v>1519</v>
      </c>
      <c r="L108" s="935">
        <f>OSI!D104</f>
        <v>8</v>
      </c>
      <c r="M108" s="936">
        <f>OSI!E104</f>
        <v>5</v>
      </c>
      <c r="N108" s="936">
        <f>OSI!F104</f>
        <v>1</v>
      </c>
      <c r="O108" s="936">
        <f>OSI!G104</f>
        <v>1</v>
      </c>
      <c r="P108" s="17">
        <f>L108*M108*N108*O108</f>
        <v>40</v>
      </c>
      <c r="Q108" s="420">
        <f>P108/crops</f>
        <v>0.1</v>
      </c>
    </row>
    <row r="109" spans="1:17" ht="13.5" thickBot="1" x14ac:dyDescent="0.35">
      <c r="A109" s="21" t="s">
        <v>480</v>
      </c>
      <c r="B109" s="141">
        <f>sudan</f>
        <v>0</v>
      </c>
      <c r="F109" s="638" t="s">
        <v>1509</v>
      </c>
      <c r="G109" s="860">
        <v>1000</v>
      </c>
      <c r="H109" s="638" t="s">
        <v>1508</v>
      </c>
      <c r="I109" s="861">
        <v>2.5</v>
      </c>
      <c r="K109" s="638" t="s">
        <v>1520</v>
      </c>
      <c r="L109" s="937">
        <f>OSI!D105</f>
        <v>8</v>
      </c>
      <c r="M109" s="931">
        <f>OSI!E105</f>
        <v>1</v>
      </c>
      <c r="N109" s="931">
        <f>OSI!F105</f>
        <v>1</v>
      </c>
      <c r="O109" s="931">
        <f>OSI!G105</f>
        <v>1</v>
      </c>
      <c r="P109" s="17">
        <f>L109*M109*N109*O109</f>
        <v>8</v>
      </c>
      <c r="Q109" s="420">
        <f>P109/crops</f>
        <v>0.02</v>
      </c>
    </row>
    <row r="110" spans="1:17" ht="13.5" thickBot="1" x14ac:dyDescent="0.35">
      <c r="A110" s="58" t="s">
        <v>109</v>
      </c>
      <c r="B110" s="141">
        <f>B109*E56</f>
        <v>0</v>
      </c>
      <c r="F110" s="856" t="s">
        <v>1499</v>
      </c>
      <c r="K110" s="638" t="s">
        <v>1521</v>
      </c>
      <c r="L110" s="938">
        <f>OSI!D106</f>
        <v>1</v>
      </c>
      <c r="M110" s="939">
        <f>OSI!E106</f>
        <v>7</v>
      </c>
      <c r="N110" s="939">
        <f>OSI!F106</f>
        <v>26</v>
      </c>
      <c r="O110" s="939">
        <f>OSI!G106</f>
        <v>1</v>
      </c>
      <c r="P110" s="17">
        <f t="shared" ref="P110:P111" si="20">L110*M110*N110*O110</f>
        <v>182</v>
      </c>
      <c r="Q110" s="420">
        <f>P110/crops</f>
        <v>0.45500000000000002</v>
      </c>
    </row>
    <row r="111" spans="1:17" ht="13.5" thickBot="1" x14ac:dyDescent="0.35">
      <c r="A111" s="58" t="s">
        <v>544</v>
      </c>
      <c r="B111" s="141">
        <f>B109*E57</f>
        <v>0</v>
      </c>
      <c r="F111" s="638" t="s">
        <v>1501</v>
      </c>
      <c r="G111" s="644">
        <v>12</v>
      </c>
      <c r="H111" s="638" t="s">
        <v>1502</v>
      </c>
      <c r="I111" s="859">
        <v>75</v>
      </c>
      <c r="K111" s="638" t="s">
        <v>1522</v>
      </c>
      <c r="L111" s="938">
        <f>OSI!D107</f>
        <v>1</v>
      </c>
      <c r="M111" s="939">
        <f>OSI!E107</f>
        <v>5</v>
      </c>
      <c r="N111" s="939">
        <f>OSI!F107</f>
        <v>26</v>
      </c>
      <c r="O111" s="939">
        <f>OSI!G107</f>
        <v>1</v>
      </c>
      <c r="P111" s="17">
        <f t="shared" si="20"/>
        <v>130</v>
      </c>
      <c r="Q111" s="420">
        <f>P111/crops</f>
        <v>0.32500000000000001</v>
      </c>
    </row>
    <row r="112" spans="1:17" ht="13.5" thickBot="1" x14ac:dyDescent="0.35">
      <c r="A112" s="21" t="s">
        <v>527</v>
      </c>
      <c r="B112" s="26">
        <f>canola</f>
        <v>0</v>
      </c>
      <c r="F112" s="638" t="s">
        <v>1500</v>
      </c>
      <c r="G112" s="929">
        <v>12</v>
      </c>
      <c r="H112" s="638" t="s">
        <v>1502</v>
      </c>
      <c r="I112" s="930">
        <v>75</v>
      </c>
      <c r="K112" s="856" t="s">
        <v>1529</v>
      </c>
      <c r="L112" s="216" t="s">
        <v>1525</v>
      </c>
      <c r="M112" s="216" t="s">
        <v>1526</v>
      </c>
      <c r="N112" s="216" t="s">
        <v>1527</v>
      </c>
      <c r="O112" s="216" t="s">
        <v>1095</v>
      </c>
      <c r="P112" s="67" t="s">
        <v>1491</v>
      </c>
      <c r="Q112" s="67" t="s">
        <v>164</v>
      </c>
    </row>
    <row r="113" spans="1:23" ht="13.5" thickBot="1" x14ac:dyDescent="0.35">
      <c r="A113" s="58" t="s">
        <v>109</v>
      </c>
      <c r="B113" s="141">
        <f>B112*E56</f>
        <v>0</v>
      </c>
      <c r="F113" s="856" t="s">
        <v>1515</v>
      </c>
      <c r="G113" s="931">
        <f>IF(OSI!$D$114&gt;0,1,0)</f>
        <v>1</v>
      </c>
      <c r="H113" s="638" t="s">
        <v>1517</v>
      </c>
      <c r="I113" s="932">
        <f>OSI!$D$114</f>
        <v>200</v>
      </c>
      <c r="K113" s="638" t="s">
        <v>1531</v>
      </c>
      <c r="L113" s="931">
        <f>OSI!D109</f>
        <v>8</v>
      </c>
      <c r="M113" s="931">
        <f>OSI!E109</f>
        <v>0</v>
      </c>
      <c r="N113" s="931">
        <f>OSI!F109</f>
        <v>1</v>
      </c>
      <c r="O113" s="931">
        <f>OSI!G109</f>
        <v>1</v>
      </c>
      <c r="P113" s="928">
        <f>L113*M113*N113*O113</f>
        <v>0</v>
      </c>
      <c r="Q113" s="26">
        <f>P113/crops</f>
        <v>0</v>
      </c>
    </row>
    <row r="114" spans="1:23" ht="13.5" thickBot="1" x14ac:dyDescent="0.35">
      <c r="A114" s="58" t="s">
        <v>544</v>
      </c>
      <c r="B114" s="141">
        <f>B112*E57</f>
        <v>0</v>
      </c>
      <c r="F114" s="856" t="s">
        <v>1513</v>
      </c>
      <c r="G114" s="931">
        <f>IF(OSI!$D$115&gt;0,1,0)</f>
        <v>1</v>
      </c>
      <c r="H114" s="638" t="s">
        <v>1517</v>
      </c>
      <c r="I114" s="933">
        <f>OSI!$D$115</f>
        <v>500</v>
      </c>
    </row>
    <row r="115" spans="1:23" ht="13.5" thickBot="1" x14ac:dyDescent="0.35">
      <c r="A115" s="21" t="s">
        <v>528</v>
      </c>
      <c r="B115" s="26">
        <f>broccoli</f>
        <v>0</v>
      </c>
      <c r="F115" s="856" t="s">
        <v>1516</v>
      </c>
      <c r="G115" s="931">
        <f>IF(OSI!$D$116&gt;0,1,0)</f>
        <v>1</v>
      </c>
      <c r="H115" s="638" t="s">
        <v>1517</v>
      </c>
      <c r="I115" s="934">
        <f>OSI!$D$116</f>
        <v>250</v>
      </c>
    </row>
    <row r="116" spans="1:23" x14ac:dyDescent="0.3">
      <c r="A116" s="58" t="s">
        <v>109</v>
      </c>
      <c r="B116" s="141">
        <f>B115*E56</f>
        <v>0</v>
      </c>
    </row>
    <row r="117" spans="1:23" x14ac:dyDescent="0.3">
      <c r="A117" s="58" t="s">
        <v>544</v>
      </c>
      <c r="B117" s="141">
        <f>B115*E57</f>
        <v>0</v>
      </c>
    </row>
    <row r="118" spans="1:23" x14ac:dyDescent="0.3">
      <c r="A118" s="21" t="s">
        <v>156</v>
      </c>
      <c r="B118" s="242">
        <f>13</f>
        <v>13</v>
      </c>
      <c r="F118" s="55" t="s">
        <v>625</v>
      </c>
      <c r="G118" s="189">
        <f>(PotOprC!F11-PotOprC!M14)/PotOprC!M14</f>
        <v>0.674253053609423</v>
      </c>
    </row>
    <row r="119" spans="1:23" x14ac:dyDescent="0.3">
      <c r="A119" s="21" t="s">
        <v>91</v>
      </c>
      <c r="B119" s="242">
        <f>200</f>
        <v>200</v>
      </c>
      <c r="F119" s="55" t="s">
        <v>628</v>
      </c>
      <c r="G119" s="255">
        <v>0.3</v>
      </c>
    </row>
    <row r="120" spans="1:23" x14ac:dyDescent="0.3">
      <c r="B120" s="20"/>
    </row>
    <row r="121" spans="1:23" ht="13.5" thickBot="1" x14ac:dyDescent="0.35">
      <c r="A121" s="3" t="s">
        <v>62</v>
      </c>
      <c r="B121" s="18"/>
      <c r="F121" s="41" t="s">
        <v>413</v>
      </c>
      <c r="G121" s="41" t="s">
        <v>108</v>
      </c>
      <c r="H121" s="56" t="s">
        <v>767</v>
      </c>
      <c r="I121" s="56" t="s">
        <v>769</v>
      </c>
    </row>
    <row r="122" spans="1:23" ht="13.5" thickBot="1" x14ac:dyDescent="0.35">
      <c r="A122" s="638" t="s">
        <v>56</v>
      </c>
      <c r="B122" s="872">
        <f>INPUT!$F$5</f>
        <v>2.56</v>
      </c>
      <c r="D122" s="53"/>
      <c r="E122" s="55" t="s">
        <v>415</v>
      </c>
      <c r="F122" s="54">
        <v>6670000</v>
      </c>
      <c r="G122" s="143">
        <f>F122/$F$124</f>
        <v>0.81251640716695506</v>
      </c>
      <c r="H122" s="144">
        <f>K123</f>
        <v>5.5630667166416803</v>
      </c>
      <c r="I122" s="144">
        <v>7.25</v>
      </c>
      <c r="J122" s="55" t="s">
        <v>416</v>
      </c>
    </row>
    <row r="123" spans="1:23" ht="13.5" thickBot="1" x14ac:dyDescent="0.35">
      <c r="A123" s="638" t="s">
        <v>158</v>
      </c>
      <c r="B123" s="873">
        <f>INPUT!$B$5</f>
        <v>12.29</v>
      </c>
      <c r="C123" s="160">
        <f>(15-9.4)/9.4</f>
        <v>0.5957446808510638</v>
      </c>
      <c r="D123" s="53"/>
      <c r="E123" s="55" t="s">
        <v>417</v>
      </c>
      <c r="F123" s="71">
        <v>1539065</v>
      </c>
      <c r="G123" s="57">
        <f>F123/$F$124</f>
        <v>0.18748359283304494</v>
      </c>
      <c r="H123" s="254">
        <f>6.87778141361257</f>
        <v>6.8777814136125697</v>
      </c>
      <c r="I123" s="254">
        <v>9</v>
      </c>
      <c r="J123" s="55" t="s">
        <v>418</v>
      </c>
      <c r="K123" s="96">
        <f>0.0556306671664168*100</f>
        <v>5.5630667166416803</v>
      </c>
    </row>
    <row r="124" spans="1:23" ht="13.5" thickBot="1" x14ac:dyDescent="0.35">
      <c r="B124" s="98"/>
      <c r="F124" s="145">
        <f>SUM(F122:F123)</f>
        <v>8209065</v>
      </c>
      <c r="G124" s="81">
        <f>SUM(G122:G123)</f>
        <v>1</v>
      </c>
      <c r="H124" s="256">
        <f>SUMPRODUCT(G122:G123,H122:H123)</f>
        <v>5.8095541515801905</v>
      </c>
      <c r="I124" s="256">
        <f>SUMPRODUCT(G122:G123,I122:I123)</f>
        <v>7.5780962874578286</v>
      </c>
      <c r="K124" s="40">
        <f>(H123-K123)/K123</f>
        <v>0.23632912635003561</v>
      </c>
    </row>
    <row r="125" spans="1:23" ht="13.5" thickBot="1" x14ac:dyDescent="0.35">
      <c r="A125" s="3" t="s">
        <v>57</v>
      </c>
      <c r="B125" s="603">
        <v>10</v>
      </c>
      <c r="C125" s="98">
        <f>H124+(H124*$G$119)</f>
        <v>7.5524203970542478</v>
      </c>
      <c r="D125" s="17" t="s">
        <v>121</v>
      </c>
      <c r="K125" s="40">
        <f>(I123-I122)/I122</f>
        <v>0.2413793103448276</v>
      </c>
    </row>
    <row r="126" spans="1:23" x14ac:dyDescent="0.3">
      <c r="A126" s="19" t="s">
        <v>152</v>
      </c>
      <c r="B126" s="98">
        <f>B125</f>
        <v>10</v>
      </c>
      <c r="D126" s="17" t="s">
        <v>768</v>
      </c>
    </row>
    <row r="127" spans="1:23" x14ac:dyDescent="0.3">
      <c r="A127" s="19" t="s">
        <v>153</v>
      </c>
      <c r="B127" s="108">
        <f>0</f>
        <v>0</v>
      </c>
      <c r="C127" s="24"/>
      <c r="D127" s="23"/>
      <c r="F127" s="257" t="s">
        <v>257</v>
      </c>
      <c r="G127" s="258"/>
    </row>
    <row r="128" spans="1:23" x14ac:dyDescent="0.3">
      <c r="A128" s="19" t="s">
        <v>88</v>
      </c>
      <c r="B128" s="108">
        <v>0</v>
      </c>
      <c r="D128" s="23"/>
      <c r="F128" s="258" t="s">
        <v>255</v>
      </c>
      <c r="G128" s="260">
        <v>1</v>
      </c>
      <c r="N128" s="89" t="s">
        <v>342</v>
      </c>
      <c r="W128" s="89" t="s">
        <v>343</v>
      </c>
    </row>
    <row r="129" spans="1:26" x14ac:dyDescent="0.3">
      <c r="A129" s="19"/>
      <c r="B129" s="23"/>
      <c r="D129" s="23"/>
      <c r="F129" s="259" t="s">
        <v>256</v>
      </c>
      <c r="G129" s="258">
        <f>IF(G128=0, 1, 0)</f>
        <v>0</v>
      </c>
      <c r="N129" s="89" t="s">
        <v>344</v>
      </c>
      <c r="W129" s="89" t="s">
        <v>345</v>
      </c>
    </row>
    <row r="130" spans="1:26" ht="26" x14ac:dyDescent="0.3">
      <c r="A130" s="3" t="s">
        <v>147</v>
      </c>
      <c r="B130" s="25" t="s">
        <v>148</v>
      </c>
      <c r="C130" s="25" t="s">
        <v>89</v>
      </c>
      <c r="D130" s="23" t="s">
        <v>90</v>
      </c>
      <c r="M130" s="3" t="s">
        <v>147</v>
      </c>
      <c r="N130" s="25" t="s">
        <v>148</v>
      </c>
      <c r="O130" s="25" t="s">
        <v>89</v>
      </c>
      <c r="P130" s="23" t="s">
        <v>90</v>
      </c>
      <c r="T130" s="3" t="s">
        <v>147</v>
      </c>
      <c r="W130" s="25" t="s">
        <v>148</v>
      </c>
      <c r="X130" s="25" t="s">
        <v>89</v>
      </c>
      <c r="Y130" s="23" t="s">
        <v>90</v>
      </c>
    </row>
    <row r="131" spans="1:26" x14ac:dyDescent="0.3">
      <c r="A131" s="19" t="s">
        <v>149</v>
      </c>
      <c r="B131" s="26">
        <f>B132*(1/G132)</f>
        <v>328.48837209302326</v>
      </c>
      <c r="C131" s="26">
        <f>C132*(1/G132)</f>
        <v>410.6104651162791</v>
      </c>
      <c r="D131" s="26">
        <f>D132*(1/G132)</f>
        <v>82.122093023255815</v>
      </c>
      <c r="M131" s="22" t="s">
        <v>346</v>
      </c>
      <c r="N131" s="26">
        <f>SUM(N132:N134)</f>
        <v>342.90052960498997</v>
      </c>
      <c r="O131" s="26">
        <f>SUM(O132:O134)</f>
        <v>382.39121638499006</v>
      </c>
      <c r="P131" s="26">
        <f>SUM(P132:P134)</f>
        <v>39.490686780000019</v>
      </c>
      <c r="T131" s="22" t="s">
        <v>346</v>
      </c>
      <c r="W131" s="26">
        <f>SUM(W132:W134)</f>
        <v>264</v>
      </c>
      <c r="X131" s="26">
        <f>SUM(X132:X134)</f>
        <v>313.5</v>
      </c>
      <c r="Y131" s="26">
        <f>SUM(Y132:Y134)</f>
        <v>49.5</v>
      </c>
    </row>
    <row r="132" spans="1:26" x14ac:dyDescent="0.3">
      <c r="A132" s="21" t="s">
        <v>150</v>
      </c>
      <c r="B132" s="462">
        <f>((45/60)*290+(15/60)*260)+(((45/60)*290+(15/60)*260)*F135)</f>
        <v>282.5</v>
      </c>
      <c r="C132" s="26">
        <f>300*(B132/240)</f>
        <v>353.125</v>
      </c>
      <c r="D132" s="26">
        <f>C132-B132</f>
        <v>70.625</v>
      </c>
      <c r="E132" s="17" t="s">
        <v>459</v>
      </c>
      <c r="G132" s="77">
        <f>0.86</f>
        <v>0.86</v>
      </c>
      <c r="I132" s="67"/>
      <c r="M132" s="22" t="s">
        <v>347</v>
      </c>
      <c r="N132" s="26">
        <v>294.8944554602914</v>
      </c>
      <c r="O132" s="26">
        <v>328.85644609109141</v>
      </c>
      <c r="P132" s="26">
        <v>33.961990630800017</v>
      </c>
      <c r="Q132" s="17" t="s">
        <v>348</v>
      </c>
      <c r="T132" s="22" t="s">
        <v>347</v>
      </c>
      <c r="U132" s="17" t="s">
        <v>348</v>
      </c>
      <c r="W132" s="26">
        <f>AVERAGE(230,250)</f>
        <v>240</v>
      </c>
      <c r="X132" s="26">
        <f>W132+Y132</f>
        <v>285</v>
      </c>
      <c r="Y132" s="26">
        <f>AVERAGE(40,50)</f>
        <v>45</v>
      </c>
      <c r="Z132" s="17" t="s">
        <v>349</v>
      </c>
    </row>
    <row r="133" spans="1:26" x14ac:dyDescent="0.3">
      <c r="A133" s="21" t="s">
        <v>151</v>
      </c>
      <c r="B133" s="26">
        <f>B131*$G$133</f>
        <v>27.593023255813954</v>
      </c>
      <c r="C133" s="26">
        <f>C131*$G$133</f>
        <v>34.491279069767444</v>
      </c>
      <c r="D133" s="26">
        <f>D131*$G$133</f>
        <v>6.8982558139534884</v>
      </c>
      <c r="E133" s="17" t="s">
        <v>459</v>
      </c>
      <c r="G133" s="77">
        <f>0.084</f>
        <v>8.4000000000000005E-2</v>
      </c>
      <c r="I133" s="40"/>
      <c r="M133" s="22" t="s">
        <v>350</v>
      </c>
      <c r="N133" s="26">
        <v>24.003037072349301</v>
      </c>
      <c r="O133" s="26">
        <v>26.767385146949302</v>
      </c>
      <c r="P133" s="26">
        <v>2.7643480746000009</v>
      </c>
      <c r="Q133" s="17" t="s">
        <v>351</v>
      </c>
      <c r="T133" s="22" t="s">
        <v>350</v>
      </c>
      <c r="U133" s="17" t="s">
        <v>351</v>
      </c>
      <c r="W133" s="26">
        <f>(0.1*W132)*(15/25)</f>
        <v>14.399999999999999</v>
      </c>
      <c r="X133" s="26">
        <f>W133+Y133</f>
        <v>17.099999999999998</v>
      </c>
      <c r="Y133" s="26">
        <f>(0.1*Y132)*(15/25)</f>
        <v>2.6999999999999997</v>
      </c>
      <c r="Z133" s="17" t="s">
        <v>352</v>
      </c>
    </row>
    <row r="134" spans="1:26" x14ac:dyDescent="0.3">
      <c r="A134" s="21" t="s">
        <v>88</v>
      </c>
      <c r="B134" s="26">
        <f>B131*$G$134</f>
        <v>18.395348837209301</v>
      </c>
      <c r="C134" s="26">
        <f>C131*$G$134</f>
        <v>22.994186046511629</v>
      </c>
      <c r="D134" s="26">
        <f>D131*$G$134</f>
        <v>4.5988372093023253</v>
      </c>
      <c r="E134" s="17" t="s">
        <v>229</v>
      </c>
      <c r="G134" s="77">
        <f>0.056</f>
        <v>5.6000000000000001E-2</v>
      </c>
      <c r="I134" s="40"/>
      <c r="M134" s="22" t="s">
        <v>353</v>
      </c>
      <c r="N134" s="26">
        <v>24.003037072349301</v>
      </c>
      <c r="O134" s="26">
        <v>26.767385146949302</v>
      </c>
      <c r="P134" s="26">
        <v>2.7643480746000009</v>
      </c>
      <c r="Q134" s="17" t="s">
        <v>352</v>
      </c>
      <c r="T134" s="22" t="s">
        <v>353</v>
      </c>
      <c r="U134" s="17" t="s">
        <v>352</v>
      </c>
      <c r="W134" s="26">
        <f>(0.1*W132)*(10/25)</f>
        <v>9.6000000000000014</v>
      </c>
      <c r="X134" s="26">
        <f>W134+Y134</f>
        <v>11.400000000000002</v>
      </c>
      <c r="Y134" s="26">
        <f>(0.1*Y132)*(10/25)</f>
        <v>1.8</v>
      </c>
      <c r="Z134" s="17" t="s">
        <v>354</v>
      </c>
    </row>
    <row r="135" spans="1:26" x14ac:dyDescent="0.3">
      <c r="B135" s="26"/>
      <c r="C135" s="26"/>
      <c r="D135" s="421"/>
      <c r="E135" s="422" t="s">
        <v>1007</v>
      </c>
      <c r="F135" s="423">
        <v>0</v>
      </c>
      <c r="G135" s="17" t="s">
        <v>1006</v>
      </c>
    </row>
    <row r="136" spans="1:26" x14ac:dyDescent="0.3">
      <c r="A136" s="3" t="s">
        <v>401</v>
      </c>
      <c r="B136" s="262">
        <f>50+(50*$O$139)</f>
        <v>91.982419280832659</v>
      </c>
      <c r="C136" s="26"/>
      <c r="D136" s="26"/>
      <c r="F136" s="463">
        <v>0.28564600924008299</v>
      </c>
    </row>
    <row r="137" spans="1:26" x14ac:dyDescent="0.3">
      <c r="A137" s="3"/>
      <c r="B137" s="18"/>
      <c r="C137" s="26"/>
      <c r="D137" s="420"/>
      <c r="F137" s="463">
        <v>0.142807073442727</v>
      </c>
    </row>
    <row r="138" spans="1:26" ht="51.75" customHeight="1" thickBot="1" x14ac:dyDescent="0.35">
      <c r="B138" s="25" t="s">
        <v>222</v>
      </c>
      <c r="C138" s="26"/>
      <c r="M138" s="15" t="s">
        <v>1005</v>
      </c>
      <c r="N138" s="15" t="s">
        <v>511</v>
      </c>
      <c r="O138" s="15" t="s">
        <v>512</v>
      </c>
    </row>
    <row r="139" spans="1:26" ht="13.5" thickBot="1" x14ac:dyDescent="0.35">
      <c r="A139" s="3" t="s">
        <v>711</v>
      </c>
      <c r="B139" s="263">
        <f>6.25+(6.25*F139)</f>
        <v>6.25</v>
      </c>
      <c r="C139" s="60" t="s">
        <v>718</v>
      </c>
      <c r="D139" s="424"/>
      <c r="E139" s="425" t="s">
        <v>1008</v>
      </c>
      <c r="F139" s="426">
        <v>0</v>
      </c>
      <c r="M139" s="158">
        <v>0.33900536090369504</v>
      </c>
      <c r="N139" s="158">
        <v>0.88355353075170806</v>
      </c>
      <c r="O139" s="158">
        <v>0.839648385616653</v>
      </c>
    </row>
    <row r="140" spans="1:26" ht="13.5" thickBot="1" x14ac:dyDescent="0.35">
      <c r="A140" s="3" t="s">
        <v>712</v>
      </c>
      <c r="B140" s="208">
        <f>B139*C140</f>
        <v>4</v>
      </c>
      <c r="C140" s="251">
        <v>0.64</v>
      </c>
      <c r="D140" s="26"/>
      <c r="E140" s="26"/>
      <c r="F140" s="26"/>
      <c r="G140" s="26"/>
      <c r="H140" s="26"/>
    </row>
    <row r="141" spans="1:26" ht="13.5" thickBot="1" x14ac:dyDescent="0.35">
      <c r="A141" s="3" t="s">
        <v>719</v>
      </c>
      <c r="B141" s="209">
        <f>(B140+(B139*(AlfOprC!$F$5-1)))/AlfOprC!$F$5</f>
        <v>5.8</v>
      </c>
      <c r="C141" s="26"/>
      <c r="D141" s="24"/>
      <c r="E141" s="26"/>
      <c r="F141" s="26"/>
      <c r="G141" s="26"/>
      <c r="H141" s="26"/>
    </row>
    <row r="142" spans="1:26" x14ac:dyDescent="0.3">
      <c r="B142" s="26"/>
      <c r="C142" s="26"/>
    </row>
    <row r="143" spans="1:26" x14ac:dyDescent="0.3">
      <c r="A143" s="3" t="s">
        <v>792</v>
      </c>
      <c r="B143" s="262">
        <f>25+(25*$O$139)</f>
        <v>45.991209640416329</v>
      </c>
    </row>
    <row r="144" spans="1:26" x14ac:dyDescent="0.3">
      <c r="A144" s="3"/>
      <c r="B144" s="18"/>
    </row>
    <row r="145" spans="1:21" ht="26" x14ac:dyDescent="0.3">
      <c r="B145" s="25" t="s">
        <v>222</v>
      </c>
    </row>
    <row r="146" spans="1:21" x14ac:dyDescent="0.3">
      <c r="A146" s="3" t="s">
        <v>790</v>
      </c>
      <c r="B146" s="264">
        <f>15+(15*F146)</f>
        <v>15</v>
      </c>
      <c r="D146" s="427"/>
      <c r="E146" s="428" t="s">
        <v>1009</v>
      </c>
      <c r="F146" s="429">
        <v>0</v>
      </c>
    </row>
    <row r="147" spans="1:21" x14ac:dyDescent="0.3">
      <c r="A147" s="3"/>
      <c r="B147" s="54"/>
    </row>
    <row r="148" spans="1:21" x14ac:dyDescent="0.3">
      <c r="A148" s="3" t="s">
        <v>682</v>
      </c>
      <c r="B148" s="249">
        <f>30+(30*Data!$O$139)</f>
        <v>55.189451568499592</v>
      </c>
      <c r="D148" s="61" t="s">
        <v>546</v>
      </c>
      <c r="E148" s="266">
        <f>((20+25)/2)+(((20+25)/2)*Data!$O$139)</f>
        <v>41.392088676374698</v>
      </c>
      <c r="G148" s="61" t="s">
        <v>547</v>
      </c>
      <c r="H148" s="266">
        <f>((1.75+2)/2)+(((1.75+2)/2)*Data!$O$139)</f>
        <v>3.4493407230312245</v>
      </c>
    </row>
    <row r="149" spans="1:21" x14ac:dyDescent="0.3">
      <c r="A149" s="55"/>
      <c r="D149" s="61" t="s">
        <v>800</v>
      </c>
      <c r="E149" s="105">
        <f>E148*(2000/I152)</f>
        <v>82.784177352749396</v>
      </c>
      <c r="G149" s="61" t="s">
        <v>801</v>
      </c>
      <c r="H149" s="105">
        <f>H148*(2000/Q152)</f>
        <v>172.46703615156122</v>
      </c>
    </row>
    <row r="150" spans="1:21" ht="42" customHeight="1" x14ac:dyDescent="0.3">
      <c r="B150" s="25" t="s">
        <v>222</v>
      </c>
      <c r="I150" s="25" t="s">
        <v>148</v>
      </c>
      <c r="Q150" s="25" t="s">
        <v>148</v>
      </c>
      <c r="S150" s="520"/>
    </row>
    <row r="151" spans="1:21" x14ac:dyDescent="0.3">
      <c r="A151" s="3" t="s">
        <v>714</v>
      </c>
      <c r="B151" s="264">
        <f>6+(6*F151)</f>
        <v>6</v>
      </c>
      <c r="C151" s="60" t="s">
        <v>718</v>
      </c>
      <c r="D151" s="430"/>
      <c r="E151" s="431" t="s">
        <v>1010</v>
      </c>
      <c r="F151" s="432">
        <v>0</v>
      </c>
      <c r="G151" s="46"/>
      <c r="H151" s="61" t="s">
        <v>548</v>
      </c>
      <c r="I151" s="265">
        <f>5.1+(5.1*M151)</f>
        <v>5.0999999999999996</v>
      </c>
      <c r="J151" s="521" t="s">
        <v>1030</v>
      </c>
      <c r="K151" s="430"/>
      <c r="L151" s="663" t="s">
        <v>1185</v>
      </c>
      <c r="M151" s="432">
        <v>0</v>
      </c>
      <c r="P151" s="61" t="s">
        <v>549</v>
      </c>
      <c r="Q151" s="169">
        <f>100+(100*U151)</f>
        <v>100</v>
      </c>
      <c r="R151" s="521" t="s">
        <v>1030</v>
      </c>
      <c r="S151" s="433"/>
      <c r="T151" s="434" t="s">
        <v>1011</v>
      </c>
      <c r="U151" s="435">
        <v>0</v>
      </c>
    </row>
    <row r="152" spans="1:21" ht="13.5" thickBot="1" x14ac:dyDescent="0.35">
      <c r="A152" s="3" t="s">
        <v>715</v>
      </c>
      <c r="B152" s="208">
        <f>B151*C152</f>
        <v>3.84</v>
      </c>
      <c r="C152" s="251">
        <v>0.64</v>
      </c>
      <c r="G152" s="46"/>
      <c r="H152" s="61" t="s">
        <v>551</v>
      </c>
      <c r="I152" s="264">
        <v>1000</v>
      </c>
      <c r="J152" s="521" t="s">
        <v>1031</v>
      </c>
      <c r="K152" s="430"/>
      <c r="L152" s="663" t="s">
        <v>1185</v>
      </c>
      <c r="M152" s="432">
        <v>0</v>
      </c>
      <c r="P152" s="61" t="s">
        <v>550</v>
      </c>
      <c r="Q152" s="169">
        <v>40</v>
      </c>
      <c r="R152" s="521" t="s">
        <v>1031</v>
      </c>
      <c r="S152" s="433"/>
      <c r="T152" s="434" t="s">
        <v>1011</v>
      </c>
      <c r="U152" s="435">
        <v>0</v>
      </c>
    </row>
    <row r="153" spans="1:21" ht="13.5" thickBot="1" x14ac:dyDescent="0.35">
      <c r="A153" s="3" t="s">
        <v>720</v>
      </c>
      <c r="B153" s="209">
        <f>(B152+(B151*(HlgOprC!$F$5-1)))/HlgOprC!$F$5</f>
        <v>5.5679999999999996</v>
      </c>
      <c r="H153" s="61" t="s">
        <v>716</v>
      </c>
      <c r="I153" s="68">
        <f>(I151*I152)/2000</f>
        <v>2.5499999999999998</v>
      </c>
      <c r="J153" s="60" t="s">
        <v>718</v>
      </c>
      <c r="O153" s="61"/>
      <c r="P153" s="61" t="s">
        <v>717</v>
      </c>
      <c r="Q153" s="55">
        <f>(Q151*Q152)/2000</f>
        <v>2</v>
      </c>
      <c r="R153" s="60" t="s">
        <v>713</v>
      </c>
    </row>
    <row r="154" spans="1:21" ht="13.5" thickBot="1" x14ac:dyDescent="0.35">
      <c r="A154" s="3"/>
      <c r="B154" s="54"/>
      <c r="H154" s="61" t="s">
        <v>722</v>
      </c>
      <c r="I154" s="68">
        <f>I153*J154</f>
        <v>1.6319999999999999</v>
      </c>
      <c r="J154" s="251">
        <v>0.64</v>
      </c>
      <c r="P154" s="61" t="s">
        <v>723</v>
      </c>
      <c r="Q154" s="55">
        <f>Q153*R154</f>
        <v>1</v>
      </c>
      <c r="R154" s="161">
        <v>0.5</v>
      </c>
    </row>
    <row r="155" spans="1:21" ht="13.5" thickBot="1" x14ac:dyDescent="0.35">
      <c r="A155" s="3" t="s">
        <v>542</v>
      </c>
      <c r="B155" s="262">
        <v>75</v>
      </c>
      <c r="H155" s="61" t="s">
        <v>721</v>
      </c>
      <c r="I155" s="224">
        <f>(I154+(I153*(HayOprC!$F$5-1)))/HayOprC!$F$5</f>
        <v>2.3663999999999996</v>
      </c>
    </row>
    <row r="156" spans="1:21" x14ac:dyDescent="0.3">
      <c r="A156" s="3"/>
      <c r="B156" s="18"/>
      <c r="D156" s="145"/>
    </row>
    <row r="157" spans="1:21" ht="26" x14ac:dyDescent="0.3">
      <c r="B157" s="25" t="s">
        <v>222</v>
      </c>
    </row>
    <row r="158" spans="1:21" x14ac:dyDescent="0.3">
      <c r="A158" s="3" t="s">
        <v>794</v>
      </c>
      <c r="B158" s="265">
        <f>3.5+(3.5*F158)</f>
        <v>3.5</v>
      </c>
      <c r="C158" s="60" t="s">
        <v>718</v>
      </c>
      <c r="D158" s="436"/>
      <c r="E158" s="437" t="s">
        <v>1012</v>
      </c>
      <c r="F158" s="438">
        <v>0</v>
      </c>
    </row>
    <row r="159" spans="1:21" ht="13.5" thickBot="1" x14ac:dyDescent="0.35">
      <c r="A159" s="3" t="s">
        <v>795</v>
      </c>
      <c r="B159" s="208">
        <f>B158*C159</f>
        <v>2.2400000000000002</v>
      </c>
      <c r="C159" s="251">
        <v>0.64</v>
      </c>
    </row>
    <row r="160" spans="1:21" ht="13.5" thickBot="1" x14ac:dyDescent="0.35">
      <c r="A160" s="3" t="s">
        <v>796</v>
      </c>
      <c r="B160" s="209">
        <f>(B159+(B158*(CvrOprC!$F$5-1)))/CvrOprC!$F$5</f>
        <v>3.08</v>
      </c>
    </row>
    <row r="161" spans="1:19" x14ac:dyDescent="0.3">
      <c r="A161" s="3"/>
      <c r="B161" s="54"/>
    </row>
    <row r="162" spans="1:19" x14ac:dyDescent="0.3">
      <c r="A162" s="3" t="s">
        <v>505</v>
      </c>
      <c r="B162" s="219">
        <f>B148</f>
        <v>55.189451568499592</v>
      </c>
    </row>
    <row r="163" spans="1:19" x14ac:dyDescent="0.3">
      <c r="A163" s="3"/>
      <c r="B163" s="18"/>
    </row>
    <row r="164" spans="1:19" ht="26" x14ac:dyDescent="0.3">
      <c r="B164" s="25" t="s">
        <v>222</v>
      </c>
    </row>
    <row r="165" spans="1:19" x14ac:dyDescent="0.3">
      <c r="A165" s="3" t="s">
        <v>797</v>
      </c>
      <c r="B165" s="267">
        <f>2+(2*F165)</f>
        <v>2</v>
      </c>
      <c r="C165" s="60" t="s">
        <v>718</v>
      </c>
      <c r="D165" s="442"/>
      <c r="E165" s="443" t="s">
        <v>1013</v>
      </c>
      <c r="F165" s="444">
        <v>0</v>
      </c>
    </row>
    <row r="166" spans="1:19" ht="13.5" thickBot="1" x14ac:dyDescent="0.35">
      <c r="A166" s="3" t="s">
        <v>798</v>
      </c>
      <c r="B166" s="208">
        <f>B165*C166</f>
        <v>1.28</v>
      </c>
      <c r="C166" s="251">
        <v>0.64</v>
      </c>
    </row>
    <row r="167" spans="1:19" ht="13.5" thickBot="1" x14ac:dyDescent="0.35">
      <c r="A167" s="3" t="s">
        <v>799</v>
      </c>
      <c r="B167" s="209">
        <f>(B166+(B165*(GrzOprC!$F$5-1)))/GrzOprC!$F$5</f>
        <v>1.8559999999999999</v>
      </c>
    </row>
    <row r="168" spans="1:19" x14ac:dyDescent="0.3">
      <c r="A168" s="3"/>
      <c r="B168" s="54"/>
    </row>
    <row r="169" spans="1:19" x14ac:dyDescent="0.3">
      <c r="A169" s="3" t="s">
        <v>460</v>
      </c>
      <c r="B169" s="268">
        <v>3.9866666666666699</v>
      </c>
    </row>
    <row r="170" spans="1:19" x14ac:dyDescent="0.3">
      <c r="A170" s="3"/>
      <c r="B170" s="18"/>
    </row>
    <row r="171" spans="1:19" ht="26" x14ac:dyDescent="0.3">
      <c r="B171" s="25" t="s">
        <v>131</v>
      </c>
      <c r="G171" s="521" t="s">
        <v>507</v>
      </c>
      <c r="H171" s="25" t="s">
        <v>951</v>
      </c>
    </row>
    <row r="172" spans="1:19" x14ac:dyDescent="0.3">
      <c r="A172" s="3" t="s">
        <v>457</v>
      </c>
      <c r="B172" s="264">
        <f>100+(100*F172)</f>
        <v>100</v>
      </c>
      <c r="D172" s="445"/>
      <c r="E172" s="446" t="s">
        <v>1014</v>
      </c>
      <c r="F172" s="447">
        <v>0</v>
      </c>
      <c r="G172" s="599">
        <f>B172*K57</f>
        <v>5600</v>
      </c>
      <c r="H172" s="34">
        <f>G172/2000</f>
        <v>2.8</v>
      </c>
    </row>
    <row r="173" spans="1:19" x14ac:dyDescent="0.3">
      <c r="A173" s="3"/>
      <c r="B173" s="3"/>
    </row>
    <row r="174" spans="1:19" ht="13.5" thickBot="1" x14ac:dyDescent="0.35">
      <c r="A174" s="3"/>
      <c r="B174" s="3"/>
      <c r="D174" s="61" t="s">
        <v>906</v>
      </c>
      <c r="E174" s="145">
        <f>1000/H178</f>
        <v>25</v>
      </c>
      <c r="F174" s="108">
        <f>E174*H177</f>
        <v>127.08333333333333</v>
      </c>
      <c r="G174" s="17" t="s">
        <v>804</v>
      </c>
    </row>
    <row r="175" spans="1:19" ht="13.5" thickBot="1" x14ac:dyDescent="0.35">
      <c r="A175" s="856" t="s">
        <v>130</v>
      </c>
      <c r="B175" s="1237">
        <f>FARM!$F$15</f>
        <v>13.2</v>
      </c>
      <c r="I175" s="419" t="s">
        <v>1002</v>
      </c>
    </row>
    <row r="176" spans="1:19" ht="13.5" thickBot="1" x14ac:dyDescent="0.35">
      <c r="A176" s="885" t="s">
        <v>2003</v>
      </c>
      <c r="B176" s="1236">
        <f>IF(B177=1,O180,Q180)</f>
        <v>13.200000000000001</v>
      </c>
      <c r="C176" s="26"/>
      <c r="D176" s="61" t="s">
        <v>965</v>
      </c>
      <c r="E176" s="213">
        <f>E177*(2000/E178)</f>
        <v>80</v>
      </c>
      <c r="G176" s="61" t="s">
        <v>963</v>
      </c>
      <c r="H176" s="213">
        <f>B176*(2000/K58)</f>
        <v>550</v>
      </c>
      <c r="I176" s="61" t="s">
        <v>960</v>
      </c>
      <c r="J176" s="417">
        <f>((E179/J179)*E176)+((H179/J179)*H176)</f>
        <v>362.79181708784597</v>
      </c>
      <c r="S176" s="89" t="s">
        <v>747</v>
      </c>
    </row>
    <row r="177" spans="1:29" ht="13.5" thickBot="1" x14ac:dyDescent="0.35">
      <c r="A177" s="885" t="s">
        <v>1133</v>
      </c>
      <c r="B177" s="1235">
        <v>1</v>
      </c>
      <c r="D177" s="61" t="s">
        <v>961</v>
      </c>
      <c r="E177" s="1255">
        <f>AVERAGE(35,45)</f>
        <v>40</v>
      </c>
      <c r="G177" s="61" t="s">
        <v>964</v>
      </c>
      <c r="H177" s="1257">
        <f>AVERAGE(3.75,5,6.5)</f>
        <v>5.083333333333333</v>
      </c>
      <c r="T177" s="204" t="s">
        <v>746</v>
      </c>
    </row>
    <row r="178" spans="1:29" ht="13.5" thickBot="1" x14ac:dyDescent="0.35">
      <c r="A178" s="885" t="s">
        <v>1134</v>
      </c>
      <c r="B178" s="886">
        <f>IF(B177=1,0,1)</f>
        <v>0</v>
      </c>
      <c r="D178" s="61" t="s">
        <v>962</v>
      </c>
      <c r="E178" s="1256">
        <f>Straw!$C$25</f>
        <v>1000</v>
      </c>
      <c r="G178" s="61" t="s">
        <v>966</v>
      </c>
      <c r="H178" s="1256">
        <f>Straw!$D$25</f>
        <v>40</v>
      </c>
      <c r="S178" s="270">
        <v>200</v>
      </c>
      <c r="T178" s="17" t="s">
        <v>286</v>
      </c>
      <c r="U178" s="269">
        <v>2.5</v>
      </c>
      <c r="V178" s="17" t="s">
        <v>688</v>
      </c>
      <c r="W178" s="17">
        <f>S178/U178</f>
        <v>80</v>
      </c>
      <c r="X178" s="17" t="s">
        <v>687</v>
      </c>
      <c r="Y178" s="145">
        <f>W178*H178</f>
        <v>3200</v>
      </c>
      <c r="Z178" s="17" t="s">
        <v>246</v>
      </c>
      <c r="AB178" s="17" t="s">
        <v>687</v>
      </c>
      <c r="AC178" s="145">
        <f>AA178*S178</f>
        <v>0</v>
      </c>
    </row>
    <row r="179" spans="1:29" ht="26.5" thickBot="1" x14ac:dyDescent="0.35">
      <c r="B179" s="25" t="s">
        <v>131</v>
      </c>
      <c r="D179" s="61" t="s">
        <v>967</v>
      </c>
      <c r="E179" s="361">
        <f>((B180*K58*J180)/2000)+(((B180*K58*J180)/2000)*F182)</f>
        <v>0.667296</v>
      </c>
      <c r="G179" s="61" t="s">
        <v>969</v>
      </c>
      <c r="H179" s="361">
        <f>(B180*K58)/2000</f>
        <v>1.008</v>
      </c>
      <c r="I179" s="61" t="s">
        <v>959</v>
      </c>
      <c r="J179" s="418">
        <f>E179+H179</f>
        <v>1.6752959999999999</v>
      </c>
      <c r="M179" s="61"/>
      <c r="O179" s="61" t="s">
        <v>1129</v>
      </c>
      <c r="Q179" s="61" t="s">
        <v>1130</v>
      </c>
      <c r="S179" s="270">
        <v>400</v>
      </c>
      <c r="T179" s="17" t="s">
        <v>286</v>
      </c>
      <c r="U179" s="269">
        <v>5</v>
      </c>
      <c r="V179" s="17" t="s">
        <v>688</v>
      </c>
      <c r="W179" s="17">
        <f>S179/U179</f>
        <v>80</v>
      </c>
      <c r="X179" s="17" t="s">
        <v>687</v>
      </c>
      <c r="Y179" s="212">
        <f>Y178/2000</f>
        <v>1.6</v>
      </c>
      <c r="Z179" s="17" t="s">
        <v>504</v>
      </c>
      <c r="AB179" s="17" t="s">
        <v>687</v>
      </c>
      <c r="AC179" s="212">
        <f>AC178/2000</f>
        <v>0</v>
      </c>
    </row>
    <row r="180" spans="1:29" ht="13.5" thickBot="1" x14ac:dyDescent="0.35">
      <c r="A180" s="3" t="s">
        <v>372</v>
      </c>
      <c r="B180" s="1350">
        <f>(FARM!D15)+(FARM!D15*F181)</f>
        <v>42</v>
      </c>
      <c r="D180" s="61" t="s">
        <v>968</v>
      </c>
      <c r="E180" s="212">
        <f>(E179*2000)/E178</f>
        <v>1.334592</v>
      </c>
      <c r="G180" s="61" t="s">
        <v>970</v>
      </c>
      <c r="H180" s="145">
        <f>(E179*2000)/H178</f>
        <v>33.364800000000002</v>
      </c>
      <c r="I180" s="61" t="s">
        <v>981</v>
      </c>
      <c r="J180" s="1253">
        <f>IF(Straw!$M$9&gt;0,Straw!$M$9,Data!J181)</f>
        <v>0.66200000000000003</v>
      </c>
      <c r="K180" s="61" t="s">
        <v>372</v>
      </c>
      <c r="L180" s="361">
        <f>M180/$K$58</f>
        <v>42</v>
      </c>
      <c r="M180" s="620">
        <v>2016</v>
      </c>
      <c r="N180" s="3" t="s">
        <v>246</v>
      </c>
      <c r="O180" s="625">
        <f>(550/2000)*$K$58</f>
        <v>13.200000000000001</v>
      </c>
      <c r="P180" s="3" t="s">
        <v>287</v>
      </c>
      <c r="Q180" s="621">
        <v>10.71</v>
      </c>
      <c r="R180" s="3" t="s">
        <v>287</v>
      </c>
      <c r="U180" s="17" t="s">
        <v>745</v>
      </c>
    </row>
    <row r="181" spans="1:29" x14ac:dyDescent="0.3">
      <c r="B181" s="636">
        <f>(M180/$K$58)</f>
        <v>42</v>
      </c>
      <c r="D181" s="448"/>
      <c r="E181" s="449" t="s">
        <v>1015</v>
      </c>
      <c r="F181" s="450">
        <v>0</v>
      </c>
      <c r="I181" s="61" t="s">
        <v>2003</v>
      </c>
      <c r="J181" s="1252">
        <v>0.66200000000000003</v>
      </c>
    </row>
    <row r="182" spans="1:29" ht="13.5" thickBot="1" x14ac:dyDescent="0.35">
      <c r="D182" s="1259"/>
      <c r="E182" s="1260" t="s">
        <v>2035</v>
      </c>
      <c r="F182" s="1261">
        <v>0</v>
      </c>
    </row>
    <row r="183" spans="1:29" ht="13.5" thickBot="1" x14ac:dyDescent="0.35">
      <c r="A183" s="856" t="s">
        <v>461</v>
      </c>
      <c r="B183" s="1237">
        <f>FARM!$F$16</f>
        <v>5.875</v>
      </c>
      <c r="I183" s="419" t="s">
        <v>1001</v>
      </c>
    </row>
    <row r="184" spans="1:29" ht="13.5" thickBot="1" x14ac:dyDescent="0.35">
      <c r="A184" s="885" t="s">
        <v>2003</v>
      </c>
      <c r="B184" s="637">
        <f>IF(B185=1,O188,Q188)</f>
        <v>5.875</v>
      </c>
      <c r="D184" s="61" t="s">
        <v>971</v>
      </c>
      <c r="E184" s="213">
        <f>E185*(2000/E186)</f>
        <v>80</v>
      </c>
      <c r="G184" s="61" t="s">
        <v>974</v>
      </c>
      <c r="H184" s="213">
        <f>B184*(2000/K59)</f>
        <v>367.1875</v>
      </c>
      <c r="I184" s="61" t="s">
        <v>960</v>
      </c>
      <c r="J184" s="417" t="e">
        <f>((E187/J187)*E184)+((H187/J187)*H184)</f>
        <v>#DIV/0!</v>
      </c>
    </row>
    <row r="185" spans="1:29" ht="13.5" thickBot="1" x14ac:dyDescent="0.35">
      <c r="A185" s="885" t="s">
        <v>1133</v>
      </c>
      <c r="B185" s="1235">
        <v>0</v>
      </c>
      <c r="D185" s="61" t="s">
        <v>972</v>
      </c>
      <c r="E185" s="270">
        <f>AVERAGE(35,45)</f>
        <v>40</v>
      </c>
      <c r="G185" s="61" t="s">
        <v>975</v>
      </c>
      <c r="H185" s="269">
        <f>AVERAGE(3.75,5,6.5)</f>
        <v>5.083333333333333</v>
      </c>
    </row>
    <row r="186" spans="1:29" ht="13.5" thickBot="1" x14ac:dyDescent="0.35">
      <c r="A186" s="885" t="s">
        <v>1134</v>
      </c>
      <c r="B186" s="628">
        <f>IF(B185=1,0,1)</f>
        <v>1</v>
      </c>
      <c r="D186" s="61" t="s">
        <v>973</v>
      </c>
      <c r="E186" s="1256">
        <f>Straw!$C$25</f>
        <v>1000</v>
      </c>
      <c r="G186" s="61" t="s">
        <v>976</v>
      </c>
      <c r="H186" s="1256">
        <f>Straw!$D$25</f>
        <v>40</v>
      </c>
    </row>
    <row r="187" spans="1:29" ht="26.5" thickBot="1" x14ac:dyDescent="0.35">
      <c r="B187" s="25" t="s">
        <v>131</v>
      </c>
      <c r="D187" s="61" t="s">
        <v>977</v>
      </c>
      <c r="E187" s="361">
        <f>(B188*K59*J188)/2000</f>
        <v>0</v>
      </c>
      <c r="G187" s="61" t="s">
        <v>980</v>
      </c>
      <c r="H187" s="361">
        <f>(B188*K59)/2000</f>
        <v>0</v>
      </c>
      <c r="I187" s="61" t="s">
        <v>959</v>
      </c>
      <c r="J187" s="418">
        <f>E187+H187</f>
        <v>0</v>
      </c>
      <c r="M187" s="61"/>
      <c r="O187" s="61" t="s">
        <v>1129</v>
      </c>
      <c r="Q187" s="61" t="s">
        <v>1130</v>
      </c>
    </row>
    <row r="188" spans="1:29" ht="13.5" thickBot="1" x14ac:dyDescent="0.35">
      <c r="A188" s="3" t="s">
        <v>587</v>
      </c>
      <c r="B188" s="1350">
        <f>(FARM!D16)+(FARM!D16*F189)</f>
        <v>0</v>
      </c>
      <c r="D188" s="61" t="s">
        <v>978</v>
      </c>
      <c r="E188" s="212">
        <f>(E187*2000)/E186</f>
        <v>0</v>
      </c>
      <c r="G188" s="61" t="s">
        <v>979</v>
      </c>
      <c r="H188" s="145">
        <f>(E187*2000)/H186</f>
        <v>0</v>
      </c>
      <c r="I188" s="61" t="s">
        <v>982</v>
      </c>
      <c r="J188" s="1253">
        <f>IF(Straw!$M$10&gt;0,Straw!$M$10,Data!J189)</f>
        <v>1.3160000000000001</v>
      </c>
      <c r="K188" s="61" t="s">
        <v>587</v>
      </c>
      <c r="L188" s="361">
        <f>M188/$K$59</f>
        <v>62</v>
      </c>
      <c r="M188" s="620">
        <v>1984</v>
      </c>
      <c r="N188" s="3" t="s">
        <v>246</v>
      </c>
      <c r="O188" s="625">
        <v>5.5</v>
      </c>
      <c r="P188" s="3" t="s">
        <v>287</v>
      </c>
      <c r="Q188" s="622">
        <f>AVERAGE(5.5,6.25)</f>
        <v>5.875</v>
      </c>
      <c r="R188" s="3" t="s">
        <v>287</v>
      </c>
    </row>
    <row r="189" spans="1:29" x14ac:dyDescent="0.3">
      <c r="A189" s="3"/>
      <c r="B189" s="626">
        <f>(M188/$K$59)</f>
        <v>62</v>
      </c>
      <c r="D189" s="451"/>
      <c r="E189" s="452" t="s">
        <v>1016</v>
      </c>
      <c r="F189" s="453">
        <v>0</v>
      </c>
      <c r="I189" s="61" t="s">
        <v>2003</v>
      </c>
      <c r="J189" s="362">
        <v>1.3160000000000001</v>
      </c>
    </row>
    <row r="190" spans="1:29" ht="13.5" thickBot="1" x14ac:dyDescent="0.35">
      <c r="A190" s="3"/>
      <c r="B190" s="154"/>
      <c r="D190" s="1272"/>
      <c r="E190" s="1273" t="s">
        <v>2035</v>
      </c>
      <c r="F190" s="1274">
        <v>0</v>
      </c>
    </row>
    <row r="191" spans="1:29" ht="13.5" thickBot="1" x14ac:dyDescent="0.35">
      <c r="A191" s="856" t="s">
        <v>506</v>
      </c>
      <c r="B191" s="1237">
        <f>FARM!$F$17</f>
        <v>11.2</v>
      </c>
      <c r="I191" s="419" t="s">
        <v>1003</v>
      </c>
    </row>
    <row r="192" spans="1:29" ht="13.5" thickBot="1" x14ac:dyDescent="0.35">
      <c r="A192" s="885" t="s">
        <v>2003</v>
      </c>
      <c r="B192" s="630">
        <f>IF(B193=1,O196,Q196)</f>
        <v>11.2</v>
      </c>
      <c r="D192" s="61" t="s">
        <v>983</v>
      </c>
      <c r="E192" s="213">
        <f>E193*(2000/E194)</f>
        <v>80</v>
      </c>
      <c r="G192" s="61" t="s">
        <v>988</v>
      </c>
      <c r="H192" s="213">
        <f>B192*(2000/K60)</f>
        <v>400</v>
      </c>
      <c r="I192" s="61" t="s">
        <v>960</v>
      </c>
      <c r="J192" s="417" t="e">
        <f>((E195/J195)*E192)+((H195/J195)*H192)</f>
        <v>#DIV/0!</v>
      </c>
    </row>
    <row r="193" spans="1:18" ht="13.5" thickBot="1" x14ac:dyDescent="0.35">
      <c r="A193" s="885" t="s">
        <v>1133</v>
      </c>
      <c r="B193" s="1235">
        <v>0</v>
      </c>
      <c r="D193" s="61" t="s">
        <v>984</v>
      </c>
      <c r="E193" s="270">
        <f>AVERAGE(35,45)</f>
        <v>40</v>
      </c>
      <c r="G193" s="61" t="s">
        <v>989</v>
      </c>
      <c r="H193" s="269">
        <f>AVERAGE(3.75,5,6.5)</f>
        <v>5.083333333333333</v>
      </c>
    </row>
    <row r="194" spans="1:18" ht="13.5" thickBot="1" x14ac:dyDescent="0.35">
      <c r="A194" s="885" t="s">
        <v>1134</v>
      </c>
      <c r="B194" s="628">
        <f>IF(B193=1,0,1)</f>
        <v>1</v>
      </c>
      <c r="D194" s="61" t="s">
        <v>985</v>
      </c>
      <c r="E194" s="1256">
        <f>Straw!$C$25</f>
        <v>1000</v>
      </c>
      <c r="G194" s="61" t="s">
        <v>990</v>
      </c>
      <c r="H194" s="1256">
        <f>Straw!$D$25</f>
        <v>40</v>
      </c>
    </row>
    <row r="195" spans="1:18" ht="26.5" thickBot="1" x14ac:dyDescent="0.35">
      <c r="B195" s="25" t="s">
        <v>131</v>
      </c>
      <c r="D195" s="61" t="s">
        <v>986</v>
      </c>
      <c r="E195" s="361">
        <f>(B196*K60*J196)/2000</f>
        <v>0</v>
      </c>
      <c r="G195" s="61" t="s">
        <v>992</v>
      </c>
      <c r="H195" s="361">
        <f>(B196*K60)/2000</f>
        <v>0</v>
      </c>
      <c r="I195" s="61" t="s">
        <v>959</v>
      </c>
      <c r="J195" s="418">
        <f>E195+H195</f>
        <v>0</v>
      </c>
      <c r="M195" s="61"/>
      <c r="O195" s="61" t="s">
        <v>1129</v>
      </c>
      <c r="Q195" s="61" t="s">
        <v>1130</v>
      </c>
    </row>
    <row r="196" spans="1:18" ht="13.5" thickBot="1" x14ac:dyDescent="0.35">
      <c r="A196" s="3" t="s">
        <v>588</v>
      </c>
      <c r="B196" s="1350">
        <f>(FARM!D17)+(FARM!D17*F197)</f>
        <v>0</v>
      </c>
      <c r="D196" s="61" t="s">
        <v>987</v>
      </c>
      <c r="E196" s="212">
        <f>(E195*2000)/E194</f>
        <v>0</v>
      </c>
      <c r="G196" s="61" t="s">
        <v>991</v>
      </c>
      <c r="H196" s="145">
        <f>(E195*2000)/H194</f>
        <v>0</v>
      </c>
      <c r="I196" s="61" t="s">
        <v>999</v>
      </c>
      <c r="J196" s="1253">
        <f>IF(Straw!$M$11&gt;0,Straw!$M$11,Data!J197)</f>
        <v>1.5</v>
      </c>
      <c r="K196" s="61" t="s">
        <v>588</v>
      </c>
      <c r="L196" s="361">
        <f>M196/$K$60</f>
        <v>28</v>
      </c>
      <c r="M196" s="620">
        <v>1568</v>
      </c>
      <c r="N196" s="3" t="s">
        <v>246</v>
      </c>
      <c r="O196" s="625">
        <f>(600/2000)*K60</f>
        <v>16.8</v>
      </c>
      <c r="P196" s="3" t="s">
        <v>287</v>
      </c>
      <c r="Q196" s="625">
        <v>11.2</v>
      </c>
      <c r="R196" s="3" t="s">
        <v>287</v>
      </c>
    </row>
    <row r="197" spans="1:18" x14ac:dyDescent="0.3">
      <c r="B197" s="626">
        <f>(M196/$K$60)</f>
        <v>28</v>
      </c>
      <c r="D197" s="439"/>
      <c r="E197" s="440" t="s">
        <v>1017</v>
      </c>
      <c r="F197" s="441">
        <v>0</v>
      </c>
      <c r="I197" s="61" t="s">
        <v>2003</v>
      </c>
      <c r="J197" s="265">
        <v>1.5</v>
      </c>
    </row>
    <row r="198" spans="1:18" ht="13.5" thickBot="1" x14ac:dyDescent="0.35">
      <c r="D198" s="1269"/>
      <c r="E198" s="1270" t="s">
        <v>2035</v>
      </c>
      <c r="F198" s="1271">
        <v>0</v>
      </c>
    </row>
    <row r="199" spans="1:18" ht="13.5" thickBot="1" x14ac:dyDescent="0.35">
      <c r="A199" s="856" t="s">
        <v>1950</v>
      </c>
      <c r="B199" s="1237">
        <f>FARM!$F$18</f>
        <v>10.32</v>
      </c>
      <c r="I199" s="419" t="s">
        <v>1004</v>
      </c>
    </row>
    <row r="200" spans="1:18" ht="13.5" thickBot="1" x14ac:dyDescent="0.35">
      <c r="A200" s="885" t="s">
        <v>2003</v>
      </c>
      <c r="B200" s="629">
        <f>IF(B201=1,O204,Q204)</f>
        <v>10.32</v>
      </c>
      <c r="D200" s="61" t="s">
        <v>994</v>
      </c>
      <c r="E200" s="213">
        <f>E201*(2000/E202)</f>
        <v>80</v>
      </c>
      <c r="G200" s="61" t="s">
        <v>993</v>
      </c>
      <c r="H200" s="213">
        <f>B200*(2000/K61)</f>
        <v>344.00000000000006</v>
      </c>
      <c r="I200" s="61" t="s">
        <v>960</v>
      </c>
      <c r="J200" s="417" t="e">
        <f>((E203/J203)*E200)+((H203/J203)*H200)</f>
        <v>#DIV/0!</v>
      </c>
    </row>
    <row r="201" spans="1:18" ht="13.5" thickBot="1" x14ac:dyDescent="0.35">
      <c r="A201" s="885" t="s">
        <v>1133</v>
      </c>
      <c r="B201" s="1235">
        <v>0</v>
      </c>
      <c r="D201" s="61" t="s">
        <v>995</v>
      </c>
      <c r="E201" s="270">
        <f>AVERAGE(35,45)</f>
        <v>40</v>
      </c>
      <c r="G201" s="61" t="s">
        <v>997</v>
      </c>
      <c r="H201" s="269">
        <f>AVERAGE(3.75,5,6.5)</f>
        <v>5.083333333333333</v>
      </c>
    </row>
    <row r="202" spans="1:18" ht="13.5" thickBot="1" x14ac:dyDescent="0.35">
      <c r="A202" s="885" t="s">
        <v>1134</v>
      </c>
      <c r="B202" s="628">
        <f>IF(B201=1,0,1)</f>
        <v>1</v>
      </c>
      <c r="D202" s="61" t="s">
        <v>996</v>
      </c>
      <c r="E202" s="1256">
        <f>Straw!$C$25</f>
        <v>1000</v>
      </c>
      <c r="G202" s="61" t="s">
        <v>998</v>
      </c>
      <c r="H202" s="1256">
        <f>Straw!$D$25</f>
        <v>40</v>
      </c>
    </row>
    <row r="203" spans="1:18" ht="26.5" thickBot="1" x14ac:dyDescent="0.35">
      <c r="B203" s="25" t="s">
        <v>131</v>
      </c>
      <c r="D203" s="61" t="s">
        <v>1946</v>
      </c>
      <c r="E203" s="361">
        <f>(B204*K61*J204)/2000</f>
        <v>0</v>
      </c>
      <c r="G203" s="61" t="s">
        <v>1952</v>
      </c>
      <c r="H203" s="361">
        <f>(B204*K61)/2000</f>
        <v>0</v>
      </c>
      <c r="I203" s="61" t="s">
        <v>959</v>
      </c>
      <c r="J203" s="418">
        <f>E203+H203</f>
        <v>0</v>
      </c>
      <c r="O203" s="61" t="s">
        <v>1129</v>
      </c>
      <c r="Q203" s="61" t="s">
        <v>1130</v>
      </c>
    </row>
    <row r="204" spans="1:18" ht="13.5" thickBot="1" x14ac:dyDescent="0.35">
      <c r="A204" s="3" t="s">
        <v>1943</v>
      </c>
      <c r="B204" s="1350">
        <f>FARM!D18+(FARM!D18*F205)</f>
        <v>0</v>
      </c>
      <c r="D204" s="61" t="s">
        <v>1947</v>
      </c>
      <c r="E204" s="212">
        <f>(E203*2000)/E202</f>
        <v>0</v>
      </c>
      <c r="G204" s="61" t="s">
        <v>1953</v>
      </c>
      <c r="H204" s="145">
        <f>(E203*2000)/H202</f>
        <v>0</v>
      </c>
      <c r="I204" s="61" t="s">
        <v>1000</v>
      </c>
      <c r="J204" s="1253">
        <f>IF(Straw!$M$12&gt;0,Straw!$M$12,Data!J205)</f>
        <v>1.1120000000000001</v>
      </c>
      <c r="K204" s="61" t="s">
        <v>1131</v>
      </c>
      <c r="L204" s="361">
        <f>M204/$K$61</f>
        <v>34</v>
      </c>
      <c r="M204" s="620">
        <v>2040</v>
      </c>
      <c r="N204" s="3" t="s">
        <v>246</v>
      </c>
      <c r="O204" s="625">
        <v>16.239999999999998</v>
      </c>
      <c r="P204" s="3" t="s">
        <v>287</v>
      </c>
      <c r="Q204" s="625">
        <v>10.32</v>
      </c>
    </row>
    <row r="205" spans="1:18" x14ac:dyDescent="0.3">
      <c r="B205" s="626">
        <f>L204</f>
        <v>34</v>
      </c>
      <c r="D205" s="1217"/>
      <c r="E205" s="1218" t="s">
        <v>1944</v>
      </c>
      <c r="F205" s="1219">
        <v>0</v>
      </c>
      <c r="I205" s="61" t="s">
        <v>2003</v>
      </c>
      <c r="J205" s="362">
        <v>1.1120000000000001</v>
      </c>
    </row>
    <row r="206" spans="1:18" ht="13.5" thickBot="1" x14ac:dyDescent="0.35">
      <c r="B206" s="373"/>
      <c r="D206" s="1263"/>
      <c r="E206" s="1264" t="s">
        <v>2035</v>
      </c>
      <c r="F206" s="1265">
        <v>0</v>
      </c>
      <c r="I206" s="61"/>
      <c r="J206" s="61"/>
    </row>
    <row r="207" spans="1:18" ht="13.5" thickBot="1" x14ac:dyDescent="0.35">
      <c r="A207" s="856" t="s">
        <v>1951</v>
      </c>
      <c r="B207" s="1237">
        <f>FARM!$F$19</f>
        <v>10.32</v>
      </c>
      <c r="D207" s="61"/>
      <c r="E207" s="361"/>
      <c r="G207" s="61"/>
      <c r="H207" s="361"/>
      <c r="I207" s="419" t="s">
        <v>1004</v>
      </c>
      <c r="J207" s="418"/>
    </row>
    <row r="208" spans="1:18" ht="13.5" thickBot="1" x14ac:dyDescent="0.35">
      <c r="A208" s="885" t="s">
        <v>2003</v>
      </c>
      <c r="B208" s="629">
        <f>IF(B209=1,O212,Q212)</f>
        <v>10.32</v>
      </c>
      <c r="D208" s="61" t="s">
        <v>994</v>
      </c>
      <c r="E208" s="213">
        <f>E209*(2000/E210)</f>
        <v>80</v>
      </c>
      <c r="G208" s="61" t="s">
        <v>993</v>
      </c>
      <c r="H208" s="213">
        <f>B208*(2000/K61)</f>
        <v>344.00000000000006</v>
      </c>
      <c r="I208" s="61" t="s">
        <v>960</v>
      </c>
      <c r="J208" s="417" t="e">
        <f>((E211/J211)*E208)+((H211/J211)*H208)</f>
        <v>#DIV/0!</v>
      </c>
    </row>
    <row r="209" spans="1:18" ht="13.5" thickBot="1" x14ac:dyDescent="0.35">
      <c r="A209" s="885" t="s">
        <v>1133</v>
      </c>
      <c r="B209" s="1235">
        <v>0</v>
      </c>
      <c r="D209" s="61" t="s">
        <v>995</v>
      </c>
      <c r="E209" s="270">
        <f>AVERAGE(35,45)</f>
        <v>40</v>
      </c>
      <c r="G209" s="61" t="s">
        <v>997</v>
      </c>
      <c r="H209" s="269">
        <f>AVERAGE(3.75,5,6.5)</f>
        <v>5.083333333333333</v>
      </c>
    </row>
    <row r="210" spans="1:18" ht="13.5" thickBot="1" x14ac:dyDescent="0.35">
      <c r="A210" s="885" t="s">
        <v>1134</v>
      </c>
      <c r="B210" s="628">
        <f>IF(B209=1,0,1)</f>
        <v>1</v>
      </c>
      <c r="D210" s="61" t="s">
        <v>996</v>
      </c>
      <c r="E210" s="1256">
        <f>Straw!$C$25</f>
        <v>1000</v>
      </c>
      <c r="G210" s="61" t="s">
        <v>998</v>
      </c>
      <c r="H210" s="1256">
        <f>Straw!$D$25</f>
        <v>40</v>
      </c>
    </row>
    <row r="211" spans="1:18" ht="26.5" thickBot="1" x14ac:dyDescent="0.35">
      <c r="B211" s="25" t="s">
        <v>131</v>
      </c>
      <c r="D211" s="61" t="s">
        <v>1948</v>
      </c>
      <c r="E211" s="361">
        <f>(B212*K61*J212)/2000</f>
        <v>0</v>
      </c>
      <c r="G211" s="61" t="s">
        <v>1954</v>
      </c>
      <c r="H211" s="361">
        <f>(B212*K61)/2000</f>
        <v>0</v>
      </c>
      <c r="I211" s="61" t="s">
        <v>959</v>
      </c>
      <c r="J211" s="418">
        <f>E211+H211</f>
        <v>0</v>
      </c>
      <c r="O211" s="61" t="s">
        <v>1129</v>
      </c>
      <c r="Q211" s="61" t="s">
        <v>1130</v>
      </c>
    </row>
    <row r="212" spans="1:18" ht="13.5" thickBot="1" x14ac:dyDescent="0.35">
      <c r="A212" s="3" t="s">
        <v>1812</v>
      </c>
      <c r="B212" s="1350">
        <f>FARM!D19+(FARM!D19*F212)</f>
        <v>0</v>
      </c>
      <c r="D212" s="61" t="s">
        <v>1949</v>
      </c>
      <c r="E212" s="212">
        <f>(E211*2000)/E210</f>
        <v>0</v>
      </c>
      <c r="G212" s="61" t="s">
        <v>1955</v>
      </c>
      <c r="H212" s="145">
        <f>(E211*2000)/H210</f>
        <v>0</v>
      </c>
      <c r="I212" s="61" t="s">
        <v>1000</v>
      </c>
      <c r="J212" s="1253">
        <f>IF(Straw!$M$13&gt;0,Straw!$M$13,Data!J213)</f>
        <v>1.1120000000000001</v>
      </c>
      <c r="K212" s="61" t="s">
        <v>1132</v>
      </c>
      <c r="L212" s="361">
        <f>M212/$K$61</f>
        <v>42</v>
      </c>
      <c r="M212" s="620">
        <v>2520</v>
      </c>
      <c r="N212" s="3" t="s">
        <v>246</v>
      </c>
      <c r="O212" s="625">
        <v>16.239999999999998</v>
      </c>
      <c r="P212" s="3" t="s">
        <v>287</v>
      </c>
      <c r="Q212" s="625">
        <v>10.32</v>
      </c>
      <c r="R212" s="3" t="s">
        <v>287</v>
      </c>
    </row>
    <row r="213" spans="1:18" x14ac:dyDescent="0.3">
      <c r="B213" s="626">
        <f>L212</f>
        <v>42</v>
      </c>
      <c r="D213" s="454"/>
      <c r="E213" s="1216" t="s">
        <v>1945</v>
      </c>
      <c r="F213" s="455">
        <v>0</v>
      </c>
      <c r="I213" s="61" t="s">
        <v>2003</v>
      </c>
      <c r="J213" s="362">
        <v>1.1120000000000001</v>
      </c>
    </row>
    <row r="214" spans="1:18" ht="13.5" thickBot="1" x14ac:dyDescent="0.35">
      <c r="B214" s="1278"/>
      <c r="D214" s="1275"/>
      <c r="E214" s="1276" t="s">
        <v>2035</v>
      </c>
      <c r="F214" s="1277">
        <v>0</v>
      </c>
      <c r="I214" s="61"/>
      <c r="J214" s="61"/>
    </row>
    <row r="215" spans="1:18" ht="13.5" thickBot="1" x14ac:dyDescent="0.35">
      <c r="A215" s="856" t="s">
        <v>1149</v>
      </c>
      <c r="B215" s="1237">
        <f>FARM!$F$20</f>
        <v>16.8</v>
      </c>
      <c r="I215" s="419" t="s">
        <v>1165</v>
      </c>
      <c r="K215" s="61"/>
      <c r="L215" s="361"/>
      <c r="M215" s="361"/>
      <c r="N215" s="3"/>
      <c r="O215" s="361"/>
      <c r="P215" s="3"/>
      <c r="Q215" s="361"/>
      <c r="R215" s="3"/>
    </row>
    <row r="216" spans="1:18" ht="13.5" thickBot="1" x14ac:dyDescent="0.35">
      <c r="A216" s="885" t="s">
        <v>2003</v>
      </c>
      <c r="B216" s="629">
        <f>IF(B217=1,O220,Q220)</f>
        <v>16.8</v>
      </c>
      <c r="D216" s="61" t="s">
        <v>1152</v>
      </c>
      <c r="E216" s="213">
        <f>E217*(2000/E218)</f>
        <v>80</v>
      </c>
      <c r="G216" s="61" t="s">
        <v>1155</v>
      </c>
      <c r="H216" s="213">
        <f>B216*(2000/K63)</f>
        <v>600</v>
      </c>
      <c r="I216" s="61" t="s">
        <v>960</v>
      </c>
      <c r="J216" s="417" t="e">
        <f>((E219/J219)*E216)+((H219/J219)*H216)</f>
        <v>#DIV/0!</v>
      </c>
    </row>
    <row r="217" spans="1:18" ht="13.5" thickBot="1" x14ac:dyDescent="0.35">
      <c r="A217" s="885" t="s">
        <v>1133</v>
      </c>
      <c r="B217" s="1235">
        <v>1</v>
      </c>
      <c r="D217" s="61" t="s">
        <v>1153</v>
      </c>
      <c r="E217" s="655">
        <f>AVERAGE(35,45)</f>
        <v>40</v>
      </c>
      <c r="G217" s="61" t="s">
        <v>1156</v>
      </c>
      <c r="H217" s="625">
        <f>AVERAGE(3.75,5,6.5)</f>
        <v>5.083333333333333</v>
      </c>
    </row>
    <row r="218" spans="1:18" ht="13.5" thickBot="1" x14ac:dyDescent="0.35">
      <c r="A218" s="885" t="s">
        <v>1134</v>
      </c>
      <c r="B218" s="628">
        <f>IF(B217=1,0,1)</f>
        <v>0</v>
      </c>
      <c r="D218" s="61" t="s">
        <v>1154</v>
      </c>
      <c r="E218" s="1256">
        <f>Straw!$C$25</f>
        <v>1000</v>
      </c>
      <c r="G218" s="61" t="s">
        <v>1157</v>
      </c>
      <c r="H218" s="1256">
        <f>Straw!$D$25</f>
        <v>40</v>
      </c>
    </row>
    <row r="219" spans="1:18" ht="26.5" thickBot="1" x14ac:dyDescent="0.35">
      <c r="B219" s="25" t="s">
        <v>131</v>
      </c>
      <c r="D219" s="61" t="s">
        <v>1160</v>
      </c>
      <c r="E219" s="361">
        <f>(B220*K63*J220)/2000</f>
        <v>0</v>
      </c>
      <c r="G219" s="61" t="s">
        <v>1162</v>
      </c>
      <c r="H219" s="361">
        <f>(B220*K63)/2000</f>
        <v>0</v>
      </c>
      <c r="I219" s="61" t="s">
        <v>959</v>
      </c>
      <c r="J219" s="418">
        <f>E219+H219</f>
        <v>0</v>
      </c>
      <c r="O219" s="61" t="s">
        <v>1129</v>
      </c>
      <c r="Q219" s="61" t="s">
        <v>1130</v>
      </c>
    </row>
    <row r="220" spans="1:18" ht="13.5" thickBot="1" x14ac:dyDescent="0.35">
      <c r="A220" s="3" t="s">
        <v>1150</v>
      </c>
      <c r="B220" s="1350">
        <f>FARM!D20+(FARM!D20*F221)</f>
        <v>0</v>
      </c>
      <c r="D220" s="61" t="s">
        <v>1161</v>
      </c>
      <c r="E220" s="212">
        <f>(E219*2000)/E218</f>
        <v>0</v>
      </c>
      <c r="G220" s="61" t="s">
        <v>1163</v>
      </c>
      <c r="H220" s="145">
        <f>(E219*2000)/H218</f>
        <v>0</v>
      </c>
      <c r="I220" s="61" t="s">
        <v>1164</v>
      </c>
      <c r="J220" s="1253">
        <f>IF(Straw!$M$14&gt;0,Straw!$M$14,Data!J221)</f>
        <v>1.1120000000000001</v>
      </c>
      <c r="K220" s="61" t="s">
        <v>1158</v>
      </c>
      <c r="L220" s="361">
        <f>M220/$K$63</f>
        <v>36</v>
      </c>
      <c r="M220" s="620">
        <v>2016</v>
      </c>
      <c r="N220" s="3" t="s">
        <v>246</v>
      </c>
      <c r="O220" s="1241">
        <f>IF($K$29=1,O221,O222)</f>
        <v>16.8</v>
      </c>
      <c r="P220" s="3" t="s">
        <v>287</v>
      </c>
      <c r="Q220" s="1241">
        <f>IF($K$29=1,Q221,Q222)</f>
        <v>10.71</v>
      </c>
      <c r="R220" s="3" t="s">
        <v>287</v>
      </c>
    </row>
    <row r="221" spans="1:18" x14ac:dyDescent="0.3">
      <c r="B221" s="626">
        <f>IF($K$29=1,L220,L221)</f>
        <v>45</v>
      </c>
      <c r="D221" s="652"/>
      <c r="E221" s="654" t="s">
        <v>1151</v>
      </c>
      <c r="F221" s="653">
        <v>0</v>
      </c>
      <c r="I221" s="61" t="s">
        <v>2003</v>
      </c>
      <c r="J221" s="656">
        <v>1.1120000000000001</v>
      </c>
      <c r="K221" s="61" t="s">
        <v>1159</v>
      </c>
      <c r="L221" s="361">
        <f>M221/$K$63</f>
        <v>45</v>
      </c>
      <c r="M221" s="620">
        <v>2520</v>
      </c>
      <c r="N221" s="3" t="s">
        <v>2005</v>
      </c>
      <c r="O221" s="1240">
        <f>(600/2000)*$K$63</f>
        <v>16.8</v>
      </c>
      <c r="P221" s="3" t="s">
        <v>287</v>
      </c>
      <c r="Q221" s="625">
        <v>10.71</v>
      </c>
      <c r="R221" s="3" t="s">
        <v>287</v>
      </c>
    </row>
    <row r="222" spans="1:18" ht="13.5" thickBot="1" x14ac:dyDescent="0.35">
      <c r="B222" s="627"/>
      <c r="D222" s="1266"/>
      <c r="E222" s="1267" t="s">
        <v>2035</v>
      </c>
      <c r="F222" s="1268">
        <v>0</v>
      </c>
      <c r="K222" s="61"/>
      <c r="L222" s="361"/>
      <c r="N222" s="61" t="s">
        <v>1128</v>
      </c>
      <c r="O222" s="625">
        <f>(600/2000)*$K$63</f>
        <v>16.8</v>
      </c>
      <c r="P222" s="3" t="s">
        <v>287</v>
      </c>
      <c r="Q222" s="625">
        <v>10.71</v>
      </c>
      <c r="R222" s="3" t="s">
        <v>287</v>
      </c>
    </row>
    <row r="223" spans="1:18" ht="13.5" thickBot="1" x14ac:dyDescent="0.35">
      <c r="A223" s="856" t="s">
        <v>1166</v>
      </c>
      <c r="B223" s="1237">
        <f>FARM!$F$21</f>
        <v>24</v>
      </c>
      <c r="K223" s="61"/>
      <c r="L223" s="361"/>
      <c r="N223" s="61"/>
      <c r="O223" s="61"/>
      <c r="P223" s="61"/>
      <c r="Q223" s="61"/>
      <c r="R223" s="3"/>
    </row>
    <row r="224" spans="1:18" ht="13.5" thickBot="1" x14ac:dyDescent="0.35">
      <c r="A224" s="885" t="s">
        <v>2003</v>
      </c>
      <c r="B224" s="629">
        <f>IF(B225=1,O228,Q228)</f>
        <v>24</v>
      </c>
      <c r="D224" s="61" t="s">
        <v>1168</v>
      </c>
      <c r="E224" s="213">
        <f>E225*(2000/E226)</f>
        <v>80</v>
      </c>
      <c r="G224" s="61" t="s">
        <v>1173</v>
      </c>
      <c r="H224" s="213">
        <f>B224*(2000/K64)</f>
        <v>800</v>
      </c>
      <c r="I224" s="61" t="s">
        <v>960</v>
      </c>
      <c r="J224" s="417">
        <f>((E227/J227)*E224)+((H227/J227)*H224)</f>
        <v>420.90909090909082</v>
      </c>
    </row>
    <row r="225" spans="1:18" ht="13.5" thickBot="1" x14ac:dyDescent="0.35">
      <c r="A225" s="885" t="s">
        <v>1133</v>
      </c>
      <c r="B225" s="1235">
        <v>1</v>
      </c>
      <c r="D225" s="61" t="s">
        <v>1169</v>
      </c>
      <c r="E225" s="655">
        <f>AVERAGE(35,45)</f>
        <v>40</v>
      </c>
      <c r="G225" s="61" t="s">
        <v>1174</v>
      </c>
      <c r="H225" s="625">
        <f>AVERAGE(3.75,5,6.5)</f>
        <v>5.083333333333333</v>
      </c>
    </row>
    <row r="226" spans="1:18" ht="13.5" thickBot="1" x14ac:dyDescent="0.35">
      <c r="A226" s="885" t="s">
        <v>1134</v>
      </c>
      <c r="B226" s="628">
        <f>IF(B225=1,0,1)</f>
        <v>0</v>
      </c>
      <c r="D226" s="61" t="s">
        <v>1170</v>
      </c>
      <c r="E226" s="1256">
        <f>Straw!$C$25</f>
        <v>1000</v>
      </c>
      <c r="G226" s="61" t="s">
        <v>1175</v>
      </c>
      <c r="H226" s="1256">
        <f>Straw!$D$25</f>
        <v>40</v>
      </c>
    </row>
    <row r="227" spans="1:18" ht="26.5" thickBot="1" x14ac:dyDescent="0.35">
      <c r="B227" s="25" t="s">
        <v>131</v>
      </c>
      <c r="D227" s="61" t="s">
        <v>1171</v>
      </c>
      <c r="E227" s="361">
        <f>(B228*K64*J228)/2000</f>
        <v>1.4011200000000001</v>
      </c>
      <c r="G227" s="61" t="s">
        <v>1176</v>
      </c>
      <c r="H227" s="361">
        <f>(B228*K64)/2000</f>
        <v>1.26</v>
      </c>
      <c r="I227" s="61" t="s">
        <v>959</v>
      </c>
      <c r="J227" s="418">
        <f>E227+H227</f>
        <v>2.6611200000000004</v>
      </c>
      <c r="O227" s="61" t="s">
        <v>1129</v>
      </c>
      <c r="Q227" s="61" t="s">
        <v>1130</v>
      </c>
    </row>
    <row r="228" spans="1:18" ht="13.5" thickBot="1" x14ac:dyDescent="0.35">
      <c r="A228" s="3" t="s">
        <v>1167</v>
      </c>
      <c r="B228" s="1350">
        <f>FARM!D21+(FARM!D21*F229)</f>
        <v>42</v>
      </c>
      <c r="D228" s="61" t="s">
        <v>1172</v>
      </c>
      <c r="E228" s="212">
        <f>(E227*2000)/E226</f>
        <v>2.8022400000000003</v>
      </c>
      <c r="G228" s="61" t="s">
        <v>1177</v>
      </c>
      <c r="H228" s="145">
        <f>(E227*2000)/H226</f>
        <v>70.056000000000012</v>
      </c>
      <c r="I228" s="61" t="s">
        <v>1178</v>
      </c>
      <c r="J228" s="1253">
        <f>IF(Straw!$M$15&gt;0,Straw!$M$15,Data!J229)</f>
        <v>1.1120000000000001</v>
      </c>
      <c r="K228" s="61" t="s">
        <v>1179</v>
      </c>
      <c r="L228" s="361">
        <f>M228/$K$64</f>
        <v>34</v>
      </c>
      <c r="M228" s="620">
        <v>2040</v>
      </c>
      <c r="N228" s="3" t="s">
        <v>246</v>
      </c>
      <c r="O228" s="1241">
        <f>IF($L$29=1,O229,O230)</f>
        <v>24</v>
      </c>
      <c r="P228" s="3" t="s">
        <v>287</v>
      </c>
      <c r="Q228" s="1241">
        <f>IF($L$29=1,Q229,Q230)</f>
        <v>0</v>
      </c>
      <c r="R228" s="3" t="s">
        <v>287</v>
      </c>
    </row>
    <row r="229" spans="1:18" x14ac:dyDescent="0.3">
      <c r="B229" s="626">
        <f>IF($L$29=1,L228,L229)</f>
        <v>42</v>
      </c>
      <c r="D229" s="650"/>
      <c r="E229" s="657" t="s">
        <v>1196</v>
      </c>
      <c r="F229" s="651">
        <v>0</v>
      </c>
      <c r="I229" s="61" t="s">
        <v>2003</v>
      </c>
      <c r="J229" s="656">
        <v>1.1120000000000001</v>
      </c>
      <c r="K229" s="61" t="s">
        <v>1180</v>
      </c>
      <c r="L229" s="361">
        <f>M229/$K$64</f>
        <v>42</v>
      </c>
      <c r="M229" s="620">
        <v>2520</v>
      </c>
      <c r="N229" s="3" t="s">
        <v>2005</v>
      </c>
      <c r="O229" s="625">
        <f>0.4*$K$64</f>
        <v>24</v>
      </c>
      <c r="P229" s="3" t="s">
        <v>287</v>
      </c>
      <c r="Q229" s="625"/>
      <c r="R229" s="3" t="s">
        <v>287</v>
      </c>
    </row>
    <row r="230" spans="1:18" ht="13.5" thickBot="1" x14ac:dyDescent="0.35">
      <c r="D230" s="1279"/>
      <c r="E230" s="1280" t="s">
        <v>2035</v>
      </c>
      <c r="F230" s="1281">
        <v>0</v>
      </c>
      <c r="K230" s="61"/>
      <c r="L230" s="61"/>
      <c r="M230" s="61"/>
      <c r="N230" s="61" t="s">
        <v>1128</v>
      </c>
      <c r="O230" s="625">
        <f>0.4*$K$64</f>
        <v>24</v>
      </c>
      <c r="P230" s="3" t="s">
        <v>287</v>
      </c>
      <c r="Q230" s="625"/>
      <c r="R230" s="3" t="s">
        <v>287</v>
      </c>
    </row>
    <row r="231" spans="1:18" ht="13.5" thickBot="1" x14ac:dyDescent="0.35">
      <c r="A231" s="856" t="s">
        <v>2110</v>
      </c>
      <c r="B231" s="1237">
        <f>FARM!$F$22</f>
        <v>30</v>
      </c>
      <c r="K231" s="61"/>
      <c r="L231" s="61"/>
      <c r="M231" s="61"/>
      <c r="N231" s="61"/>
      <c r="O231" s="61"/>
      <c r="P231" s="61"/>
      <c r="Q231" s="61"/>
      <c r="R231" s="3"/>
    </row>
    <row r="232" spans="1:18" ht="13.5" thickBot="1" x14ac:dyDescent="0.35">
      <c r="A232" s="885" t="s">
        <v>2003</v>
      </c>
      <c r="B232" s="630">
        <f>IF(B233=1,O236,Q236)</f>
        <v>30</v>
      </c>
    </row>
    <row r="233" spans="1:18" ht="13.5" thickBot="1" x14ac:dyDescent="0.35">
      <c r="A233" s="885" t="s">
        <v>1133</v>
      </c>
      <c r="B233" s="1235">
        <v>1</v>
      </c>
    </row>
    <row r="234" spans="1:18" x14ac:dyDescent="0.3">
      <c r="A234" s="885" t="s">
        <v>1134</v>
      </c>
      <c r="B234" s="628">
        <f>IF(B233=1,0,1)</f>
        <v>0</v>
      </c>
    </row>
    <row r="235" spans="1:18" ht="26" x14ac:dyDescent="0.3">
      <c r="B235" s="25" t="s">
        <v>131</v>
      </c>
      <c r="M235" s="61"/>
      <c r="O235" s="61" t="s">
        <v>1129</v>
      </c>
      <c r="Q235" s="61" t="s">
        <v>1130</v>
      </c>
    </row>
    <row r="236" spans="1:18" x14ac:dyDescent="0.3">
      <c r="A236" s="3" t="s">
        <v>2111</v>
      </c>
      <c r="B236" s="1351">
        <f>(FARM!D22)+(FARM!D22*F236)</f>
        <v>15</v>
      </c>
      <c r="D236" s="1297"/>
      <c r="E236" s="1298" t="s">
        <v>2112</v>
      </c>
      <c r="F236" s="1299">
        <v>0</v>
      </c>
      <c r="K236" s="61" t="s">
        <v>2111</v>
      </c>
      <c r="L236" s="361">
        <f>M236/$K$65</f>
        <v>15</v>
      </c>
      <c r="M236" s="620">
        <v>720</v>
      </c>
      <c r="N236" s="3" t="s">
        <v>246</v>
      </c>
      <c r="O236" s="625">
        <v>30</v>
      </c>
      <c r="P236" s="3" t="s">
        <v>287</v>
      </c>
      <c r="Q236" s="625"/>
      <c r="R236" s="3" t="s">
        <v>287</v>
      </c>
    </row>
    <row r="237" spans="1:18" x14ac:dyDescent="0.3">
      <c r="A237" s="3"/>
      <c r="B237" s="632">
        <f>(M236/$K$65)</f>
        <v>15</v>
      </c>
      <c r="K237" s="61"/>
      <c r="L237" s="61"/>
      <c r="M237" s="61"/>
      <c r="N237" s="61"/>
      <c r="O237" s="61"/>
      <c r="P237" s="61"/>
      <c r="Q237" s="61"/>
      <c r="R237" s="3"/>
    </row>
    <row r="238" spans="1:18" ht="13.5" thickBot="1" x14ac:dyDescent="0.35">
      <c r="A238" s="3"/>
      <c r="B238" s="54"/>
    </row>
    <row r="239" spans="1:18" ht="13.5" thickBot="1" x14ac:dyDescent="0.35">
      <c r="A239" s="856" t="s">
        <v>1181</v>
      </c>
      <c r="B239" s="1237">
        <f>FARM!$F$23</f>
        <v>15</v>
      </c>
      <c r="K239" s="61"/>
      <c r="L239" s="61"/>
      <c r="M239" s="61"/>
      <c r="N239" s="61"/>
      <c r="O239" s="61"/>
      <c r="P239" s="61"/>
      <c r="Q239" s="61"/>
      <c r="R239" s="3"/>
    </row>
    <row r="240" spans="1:18" ht="13.5" thickBot="1" x14ac:dyDescent="0.35">
      <c r="A240" s="885" t="s">
        <v>2003</v>
      </c>
      <c r="B240" s="630">
        <f>IF(B241=1,O244,Q244)</f>
        <v>15</v>
      </c>
    </row>
    <row r="241" spans="1:19" ht="13.5" thickBot="1" x14ac:dyDescent="0.35">
      <c r="A241" s="885" t="s">
        <v>1133</v>
      </c>
      <c r="B241" s="1235">
        <v>0</v>
      </c>
    </row>
    <row r="242" spans="1:19" x14ac:dyDescent="0.3">
      <c r="A242" s="885" t="s">
        <v>1134</v>
      </c>
      <c r="B242" s="628">
        <f>IF(B241=1,0,1)</f>
        <v>1</v>
      </c>
    </row>
    <row r="243" spans="1:19" ht="26" x14ac:dyDescent="0.3">
      <c r="B243" s="25" t="s">
        <v>131</v>
      </c>
      <c r="M243" s="61"/>
      <c r="O243" s="61" t="s">
        <v>1129</v>
      </c>
      <c r="Q243" s="61" t="s">
        <v>1130</v>
      </c>
    </row>
    <row r="244" spans="1:19" x14ac:dyDescent="0.3">
      <c r="A244" s="3" t="s">
        <v>1182</v>
      </c>
      <c r="B244" s="1351">
        <f>(FARM!D23)+(FARM!D23*F244)</f>
        <v>0</v>
      </c>
      <c r="D244" s="660"/>
      <c r="E244" s="661" t="s">
        <v>1183</v>
      </c>
      <c r="F244" s="662">
        <v>0</v>
      </c>
      <c r="K244" s="61" t="s">
        <v>1182</v>
      </c>
      <c r="L244" s="361">
        <f>M244/$K$66</f>
        <v>34</v>
      </c>
      <c r="M244" s="620">
        <v>2040</v>
      </c>
      <c r="N244" s="3" t="s">
        <v>246</v>
      </c>
      <c r="O244" s="625"/>
      <c r="P244" s="3" t="s">
        <v>287</v>
      </c>
      <c r="Q244" s="621">
        <f>(500/2000)*$K$66</f>
        <v>15</v>
      </c>
      <c r="R244" s="3" t="s">
        <v>287</v>
      </c>
    </row>
    <row r="245" spans="1:19" x14ac:dyDescent="0.3">
      <c r="A245" s="3"/>
      <c r="B245" s="632">
        <f>(M244/$K$66)</f>
        <v>34</v>
      </c>
      <c r="K245" s="61"/>
      <c r="L245" s="61"/>
      <c r="M245" s="61"/>
      <c r="N245" s="61"/>
      <c r="O245" s="61"/>
      <c r="P245" s="61"/>
      <c r="Q245" s="61"/>
      <c r="R245" s="3"/>
    </row>
    <row r="246" spans="1:19" ht="13.5" thickBot="1" x14ac:dyDescent="0.35">
      <c r="A246" s="3"/>
      <c r="B246" s="54"/>
    </row>
    <row r="247" spans="1:19" ht="13.5" thickBot="1" x14ac:dyDescent="0.35">
      <c r="A247" s="856" t="s">
        <v>223</v>
      </c>
      <c r="B247" s="1237">
        <f>FARM!$F$24</f>
        <v>28.98</v>
      </c>
    </row>
    <row r="248" spans="1:19" ht="13.5" thickBot="1" x14ac:dyDescent="0.35">
      <c r="A248" s="885" t="s">
        <v>2003</v>
      </c>
      <c r="B248" s="630">
        <f>IF(B249=1,O252,Q252)</f>
        <v>28.98</v>
      </c>
    </row>
    <row r="249" spans="1:19" ht="13.5" thickBot="1" x14ac:dyDescent="0.35">
      <c r="A249" s="885" t="s">
        <v>1133</v>
      </c>
      <c r="B249" s="1235">
        <v>1</v>
      </c>
    </row>
    <row r="250" spans="1:19" x14ac:dyDescent="0.3">
      <c r="A250" s="885" t="s">
        <v>1134</v>
      </c>
      <c r="B250" s="628">
        <f>IF(B249=1,0,1)</f>
        <v>0</v>
      </c>
    </row>
    <row r="251" spans="1:19" ht="26" x14ac:dyDescent="0.3">
      <c r="B251" s="25" t="s">
        <v>131</v>
      </c>
      <c r="M251" s="61"/>
      <c r="O251" s="61" t="s">
        <v>1129</v>
      </c>
      <c r="Q251" s="61" t="s">
        <v>1130</v>
      </c>
    </row>
    <row r="252" spans="1:19" x14ac:dyDescent="0.3">
      <c r="A252" s="3" t="s">
        <v>373</v>
      </c>
      <c r="B252" s="1351">
        <f>(FARM!D24)+(FARM!D24*F252)</f>
        <v>25</v>
      </c>
      <c r="D252" s="436"/>
      <c r="E252" s="437" t="s">
        <v>1018</v>
      </c>
      <c r="F252" s="438">
        <v>0</v>
      </c>
      <c r="K252" s="61" t="s">
        <v>373</v>
      </c>
      <c r="L252" s="361">
        <f>M252/$K$67</f>
        <v>25</v>
      </c>
      <c r="M252" s="620">
        <v>1500</v>
      </c>
      <c r="N252" s="3" t="s">
        <v>246</v>
      </c>
      <c r="O252" s="621">
        <v>28.98</v>
      </c>
      <c r="P252" s="3" t="s">
        <v>287</v>
      </c>
      <c r="Q252" s="621">
        <v>23.79</v>
      </c>
      <c r="R252" s="3" t="s">
        <v>287</v>
      </c>
    </row>
    <row r="253" spans="1:19" x14ac:dyDescent="0.3">
      <c r="A253" s="3"/>
      <c r="B253" s="632">
        <f>(M252/$K$67)</f>
        <v>25</v>
      </c>
      <c r="K253" s="61"/>
      <c r="L253" s="61"/>
      <c r="M253" s="61"/>
      <c r="N253" s="61"/>
      <c r="O253" s="61"/>
      <c r="P253" s="61"/>
      <c r="Q253" s="61"/>
      <c r="R253" s="61"/>
      <c r="S253" s="61"/>
    </row>
    <row r="254" spans="1:19" x14ac:dyDescent="0.3">
      <c r="A254" s="3"/>
      <c r="B254" s="54"/>
    </row>
    <row r="255" spans="1:19" x14ac:dyDescent="0.3">
      <c r="A255" s="3" t="s">
        <v>589</v>
      </c>
      <c r="B255" s="270">
        <f>(30+(30*$O$139))*0</f>
        <v>0</v>
      </c>
    </row>
    <row r="256" spans="1:19" x14ac:dyDescent="0.3">
      <c r="A256" s="3"/>
      <c r="B256" s="18"/>
    </row>
    <row r="257" spans="1:19" ht="26" x14ac:dyDescent="0.3">
      <c r="B257" s="25" t="s">
        <v>222</v>
      </c>
      <c r="K257" s="204" t="s">
        <v>655</v>
      </c>
    </row>
    <row r="258" spans="1:19" x14ac:dyDescent="0.3">
      <c r="A258" s="3" t="s">
        <v>478</v>
      </c>
      <c r="B258" s="265">
        <f>6.5+(6.5*F258)</f>
        <v>6.5</v>
      </c>
      <c r="D258" s="456"/>
      <c r="E258" s="457" t="s">
        <v>1019</v>
      </c>
      <c r="F258" s="458">
        <v>0</v>
      </c>
      <c r="H258" s="17">
        <v>560</v>
      </c>
      <c r="L258" s="55" t="s">
        <v>656</v>
      </c>
      <c r="M258" s="55" t="s">
        <v>658</v>
      </c>
      <c r="N258" s="55" t="s">
        <v>659</v>
      </c>
      <c r="O258" s="55" t="s">
        <v>396</v>
      </c>
      <c r="P258" s="55" t="s">
        <v>577</v>
      </c>
    </row>
    <row r="259" spans="1:19" x14ac:dyDescent="0.3">
      <c r="A259" s="3"/>
      <c r="B259" s="54"/>
      <c r="H259" s="17">
        <f>H258/20</f>
        <v>28</v>
      </c>
      <c r="I259" s="89" t="s">
        <v>660</v>
      </c>
      <c r="K259" s="17">
        <v>2009</v>
      </c>
      <c r="L259" s="108">
        <v>408</v>
      </c>
      <c r="M259" s="108">
        <f>L259/$J$42</f>
        <v>401.5550415825993</v>
      </c>
      <c r="N259" s="17">
        <v>1.1416999999999999</v>
      </c>
      <c r="O259" s="114">
        <f>M259/N259</f>
        <v>351.7167746190762</v>
      </c>
      <c r="P259" s="98">
        <f>O259/2000</f>
        <v>0.17585838730953809</v>
      </c>
    </row>
    <row r="260" spans="1:19" x14ac:dyDescent="0.3">
      <c r="A260" s="3" t="s">
        <v>905</v>
      </c>
      <c r="B260" s="270">
        <v>28</v>
      </c>
      <c r="C260" s="98">
        <f>B260/100</f>
        <v>0.28000000000000003</v>
      </c>
      <c r="D260" s="17" t="s">
        <v>576</v>
      </c>
      <c r="I260" s="108">
        <v>499</v>
      </c>
      <c r="J260" s="17" t="s">
        <v>654</v>
      </c>
      <c r="K260" s="17">
        <v>2008</v>
      </c>
      <c r="L260" s="108">
        <v>477</v>
      </c>
      <c r="M260" s="108">
        <f>L260/$J$42</f>
        <v>469.46508537965656</v>
      </c>
      <c r="N260" s="17">
        <v>1.0658000000000001</v>
      </c>
      <c r="O260" s="114">
        <f>M260/N260</f>
        <v>440.48140868798697</v>
      </c>
      <c r="P260" s="98">
        <f>O260/2000</f>
        <v>0.22024070434399348</v>
      </c>
    </row>
    <row r="261" spans="1:19" ht="13.5" thickBot="1" x14ac:dyDescent="0.35">
      <c r="A261" s="3"/>
      <c r="B261" s="18"/>
      <c r="C261" s="108">
        <f>B260*20</f>
        <v>560</v>
      </c>
      <c r="D261" s="17" t="s">
        <v>286</v>
      </c>
      <c r="I261" s="108">
        <f>I260/($J$42*0.9767)</f>
        <v>502.83358565788023</v>
      </c>
      <c r="J261" s="17" t="s">
        <v>286</v>
      </c>
      <c r="K261" s="17">
        <v>2007</v>
      </c>
      <c r="L261" s="108">
        <v>424</v>
      </c>
      <c r="M261" s="108">
        <f>L261/$J$42</f>
        <v>417.30229811525027</v>
      </c>
      <c r="N261" s="17">
        <v>1.0744</v>
      </c>
      <c r="O261" s="114">
        <f>M261/N261</f>
        <v>388.40496846169981</v>
      </c>
      <c r="P261" s="98">
        <f>O261/2000</f>
        <v>0.1942024842308499</v>
      </c>
    </row>
    <row r="262" spans="1:19" ht="26.5" thickBot="1" x14ac:dyDescent="0.35">
      <c r="B262" s="25" t="s">
        <v>802</v>
      </c>
      <c r="G262" s="521" t="s">
        <v>507</v>
      </c>
      <c r="H262" s="25" t="s">
        <v>951</v>
      </c>
      <c r="I262" s="207">
        <f>I261/2000</f>
        <v>0.25141679282894014</v>
      </c>
      <c r="J262" s="17" t="s">
        <v>576</v>
      </c>
      <c r="K262" s="55" t="s">
        <v>657</v>
      </c>
      <c r="L262" s="205">
        <f>AVERAGE(L259:L261)</f>
        <v>436.33333333333331</v>
      </c>
      <c r="M262" s="205">
        <f>AVERAGE(M259:M261)</f>
        <v>429.44080835916867</v>
      </c>
      <c r="O262" s="205">
        <f>AVERAGE(O259:O261)</f>
        <v>393.53438392292099</v>
      </c>
      <c r="P262" s="206">
        <f>AVERAGE(P259:P261)</f>
        <v>0.1967671919614605</v>
      </c>
    </row>
    <row r="263" spans="1:19" x14ac:dyDescent="0.3">
      <c r="A263" s="3" t="s">
        <v>803</v>
      </c>
      <c r="B263" s="271">
        <f>15+(15*F263)</f>
        <v>15</v>
      </c>
      <c r="D263" s="439"/>
      <c r="E263" s="440" t="s">
        <v>1020</v>
      </c>
      <c r="F263" s="441">
        <v>0</v>
      </c>
      <c r="G263" s="598">
        <f>B263*100</f>
        <v>1500</v>
      </c>
      <c r="H263" s="34">
        <f>G263/2000</f>
        <v>0.75</v>
      </c>
      <c r="I263" s="204" t="s">
        <v>653</v>
      </c>
    </row>
    <row r="264" spans="1:19" x14ac:dyDescent="0.3">
      <c r="A264" s="3"/>
      <c r="B264" s="54"/>
      <c r="G264" s="55"/>
    </row>
    <row r="265" spans="1:19" x14ac:dyDescent="0.3">
      <c r="A265" s="3" t="s">
        <v>590</v>
      </c>
      <c r="B265" s="270">
        <f>AVERAGE(36.9,25)</f>
        <v>30.95</v>
      </c>
      <c r="C265" s="98">
        <f>B265/100</f>
        <v>0.3095</v>
      </c>
      <c r="D265" s="17" t="s">
        <v>576</v>
      </c>
      <c r="G265" s="55"/>
    </row>
    <row r="266" spans="1:19" x14ac:dyDescent="0.3">
      <c r="A266" s="3"/>
      <c r="B266" s="18"/>
      <c r="G266" s="55"/>
    </row>
    <row r="267" spans="1:19" ht="26" x14ac:dyDescent="0.3">
      <c r="B267" s="25" t="s">
        <v>802</v>
      </c>
      <c r="C267" s="25" t="s">
        <v>507</v>
      </c>
      <c r="G267" s="521" t="s">
        <v>507</v>
      </c>
      <c r="H267" s="25" t="s">
        <v>951</v>
      </c>
    </row>
    <row r="268" spans="1:19" x14ac:dyDescent="0.3">
      <c r="A268" s="3" t="s">
        <v>591</v>
      </c>
      <c r="B268" s="271">
        <f>92.2767857142857+(92.2767857142857*$F$268)</f>
        <v>92.276785714285694</v>
      </c>
      <c r="C268" s="594">
        <f>B268*100</f>
        <v>9227.6785714285688</v>
      </c>
      <c r="D268" s="459"/>
      <c r="E268" s="460" t="s">
        <v>1021</v>
      </c>
      <c r="F268" s="461">
        <v>0</v>
      </c>
      <c r="G268" s="598">
        <f>B268*100</f>
        <v>9227.6785714285688</v>
      </c>
      <c r="H268" s="46">
        <f>G268/2000</f>
        <v>4.6138392857142847</v>
      </c>
    </row>
    <row r="269" spans="1:19" x14ac:dyDescent="0.3">
      <c r="A269" s="3"/>
      <c r="B269" s="598"/>
      <c r="C269" s="598"/>
      <c r="D269" s="598"/>
      <c r="E269" s="598"/>
      <c r="F269" s="598"/>
      <c r="G269" s="598"/>
      <c r="H269" s="46"/>
    </row>
    <row r="270" spans="1:19" ht="13.5" thickBot="1" x14ac:dyDescent="0.35">
      <c r="A270" s="3"/>
      <c r="B270" s="54"/>
      <c r="F270" s="419" t="s">
        <v>1592</v>
      </c>
      <c r="G270" s="831" t="s">
        <v>1488</v>
      </c>
      <c r="H270" s="419" t="s">
        <v>1589</v>
      </c>
      <c r="I270" s="831" t="s">
        <v>1590</v>
      </c>
      <c r="J270" s="831" t="s">
        <v>2163</v>
      </c>
      <c r="L270" s="831" t="s">
        <v>1488</v>
      </c>
    </row>
    <row r="271" spans="1:19" ht="13.5" thickBot="1" x14ac:dyDescent="0.35">
      <c r="A271" s="3"/>
      <c r="B271" s="54"/>
      <c r="F271" s="851" t="s">
        <v>1594</v>
      </c>
      <c r="G271" s="829">
        <v>1</v>
      </c>
      <c r="H271" s="851" t="s">
        <v>1546</v>
      </c>
      <c r="I271" s="829">
        <v>50</v>
      </c>
      <c r="J271" s="1075">
        <v>1</v>
      </c>
      <c r="K271" s="851" t="s">
        <v>1489</v>
      </c>
      <c r="L271" s="829">
        <v>1</v>
      </c>
      <c r="N271" s="852" t="s">
        <v>1490</v>
      </c>
      <c r="O271" s="926" t="s">
        <v>1491</v>
      </c>
      <c r="P271" s="927" t="s">
        <v>164</v>
      </c>
      <c r="R271" s="853" t="s">
        <v>1657</v>
      </c>
      <c r="S271" s="925">
        <f>OSI!$D$111</f>
        <v>45</v>
      </c>
    </row>
    <row r="272" spans="1:19" ht="13.5" thickBot="1" x14ac:dyDescent="0.35">
      <c r="F272" s="851" t="s">
        <v>1591</v>
      </c>
      <c r="G272" s="880">
        <f>IF($G$271=1,0,1)</f>
        <v>0</v>
      </c>
      <c r="H272" s="851" t="s">
        <v>1547</v>
      </c>
      <c r="I272" s="829">
        <v>40</v>
      </c>
      <c r="K272" s="851" t="s">
        <v>1492</v>
      </c>
      <c r="L272" s="829">
        <v>0</v>
      </c>
      <c r="N272" s="854" t="s">
        <v>1493</v>
      </c>
      <c r="O272" s="924">
        <f>P113</f>
        <v>0</v>
      </c>
      <c r="P272" s="855">
        <f>O272/crops</f>
        <v>0</v>
      </c>
    </row>
    <row r="273" spans="1:21" ht="13.5" thickBot="1" x14ac:dyDescent="0.35">
      <c r="A273" s="3" t="s">
        <v>930</v>
      </c>
      <c r="H273" s="851" t="s">
        <v>1548</v>
      </c>
      <c r="I273" s="829">
        <v>20</v>
      </c>
      <c r="K273" s="851" t="s">
        <v>1494</v>
      </c>
      <c r="L273" s="829">
        <v>0</v>
      </c>
    </row>
    <row r="274" spans="1:21" ht="49.5" customHeight="1" thickBot="1" x14ac:dyDescent="0.35">
      <c r="A274" s="12" t="s">
        <v>63</v>
      </c>
      <c r="B274" s="15" t="s">
        <v>36</v>
      </c>
      <c r="C274" s="15" t="s">
        <v>22</v>
      </c>
      <c r="D274" s="15" t="s">
        <v>94</v>
      </c>
      <c r="E274" s="15" t="s">
        <v>1900</v>
      </c>
      <c r="F274" s="15" t="s">
        <v>1306</v>
      </c>
      <c r="G274" s="15" t="s">
        <v>1901</v>
      </c>
      <c r="H274" s="15" t="s">
        <v>30</v>
      </c>
      <c r="I274" s="605" t="s">
        <v>1098</v>
      </c>
      <c r="J274" s="605" t="s">
        <v>1417</v>
      </c>
      <c r="K274" s="15" t="s">
        <v>487</v>
      </c>
      <c r="L274" s="15" t="s">
        <v>488</v>
      </c>
      <c r="N274" s="605" t="s">
        <v>1316</v>
      </c>
      <c r="O274" s="7" t="s">
        <v>1312</v>
      </c>
      <c r="R274" s="204" t="s">
        <v>1313</v>
      </c>
    </row>
    <row r="275" spans="1:21" ht="13.5" thickBot="1" x14ac:dyDescent="0.35">
      <c r="A275" s="14" t="s">
        <v>3</v>
      </c>
      <c r="B275" s="27"/>
      <c r="K275" s="158">
        <v>0.25363537615193216</v>
      </c>
      <c r="L275" s="158">
        <v>0.84018848872433549</v>
      </c>
      <c r="M275" s="831" t="s">
        <v>1355</v>
      </c>
      <c r="N275" s="814" t="s">
        <v>3</v>
      </c>
      <c r="O275" s="788" t="s">
        <v>1311</v>
      </c>
    </row>
    <row r="276" spans="1:21" ht="13.5" thickBot="1" x14ac:dyDescent="0.35">
      <c r="A276" s="638" t="s">
        <v>1349</v>
      </c>
      <c r="B276" s="880">
        <f>$C$39*M276</f>
        <v>0</v>
      </c>
      <c r="C276" s="830" t="s">
        <v>50</v>
      </c>
      <c r="D276" s="942">
        <f>IF(CP!D10&gt;0,CP!E10,Data!E276)</f>
        <v>65000</v>
      </c>
      <c r="E276" s="1198">
        <v>65000</v>
      </c>
      <c r="F276" s="1199">
        <f>IF(CP!D10&gt;0,CP!G10,Data!G276)</f>
        <v>50</v>
      </c>
      <c r="G276" s="1200">
        <f>IF($G$271=1,$I$271,($O$285/N276)*$R$285)</f>
        <v>50</v>
      </c>
      <c r="H276" s="1073">
        <f>(2.3*400)/65000</f>
        <v>1.4153846153846152E-2</v>
      </c>
      <c r="I276" s="1074">
        <v>0.43</v>
      </c>
      <c r="M276" s="880">
        <f>$C$39*CP!$D$10</f>
        <v>0</v>
      </c>
      <c r="N276"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c r="O276" s="788"/>
      <c r="P276" s="789" t="s">
        <v>1307</v>
      </c>
    </row>
    <row r="277" spans="1:21" ht="13.5" thickBot="1" x14ac:dyDescent="0.35">
      <c r="A277" s="638" t="s">
        <v>1672</v>
      </c>
      <c r="B277" s="880">
        <f t="shared" ref="B277:B280" si="21">$C$39*M277</f>
        <v>0</v>
      </c>
      <c r="C277" s="830" t="s">
        <v>50</v>
      </c>
      <c r="D277" s="942">
        <f>IF(CP!D11&gt;0,CP!E11,Data!E277)</f>
        <v>119000</v>
      </c>
      <c r="E277" s="1198">
        <v>119000</v>
      </c>
      <c r="F277" s="1199">
        <f>IF(CP!D11&gt;0,CP!G11,Data!G277)</f>
        <v>40</v>
      </c>
      <c r="G277" s="1200">
        <f>IF($G$271=1,$I$271,($O$285/N277)*$R$285)</f>
        <v>50</v>
      </c>
      <c r="H277" s="1073">
        <f>(3.57*450)/119000</f>
        <v>1.35E-2</v>
      </c>
      <c r="I277" s="1074">
        <v>0.43</v>
      </c>
      <c r="M277" s="880">
        <f>$C$39*CP!$D$11</f>
        <v>0</v>
      </c>
      <c r="N277"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c r="O277" s="788"/>
      <c r="P277" s="790">
        <v>2700</v>
      </c>
      <c r="Q277" s="790">
        <v>4050</v>
      </c>
      <c r="R277" s="804">
        <v>5400</v>
      </c>
      <c r="S277" s="790">
        <v>8100</v>
      </c>
      <c r="T277" s="790">
        <v>10800</v>
      </c>
      <c r="U277" s="790">
        <v>16000</v>
      </c>
    </row>
    <row r="278" spans="1:21" ht="13.5" thickBot="1" x14ac:dyDescent="0.35">
      <c r="A278" s="638" t="s">
        <v>1356</v>
      </c>
      <c r="B278" s="880">
        <f t="shared" si="21"/>
        <v>0</v>
      </c>
      <c r="C278" s="830" t="s">
        <v>50</v>
      </c>
      <c r="D278" s="942">
        <f>IF(CP!D12&gt;0,CP!E12,Data!E278)</f>
        <v>141000</v>
      </c>
      <c r="E278" s="1198">
        <v>141000</v>
      </c>
      <c r="F278" s="1199">
        <f>IF(CP!D12&gt;0,CP!G12,Data!G278)</f>
        <v>50</v>
      </c>
      <c r="G278" s="1200">
        <f>IF($G$271=1,$I$271,($O$285/N278)*$R$285)</f>
        <v>50</v>
      </c>
      <c r="H278" s="1073">
        <f>(4.23*450)/141000</f>
        <v>1.3500000000000002E-2</v>
      </c>
      <c r="I278" s="1074">
        <v>0.43</v>
      </c>
      <c r="M278" s="880">
        <f>$C$39*CP!$D$12</f>
        <v>0</v>
      </c>
      <c r="N278"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O278" s="788"/>
      <c r="P278" s="790"/>
      <c r="Q278" s="790"/>
      <c r="R278" s="804"/>
      <c r="S278" s="790"/>
      <c r="T278" s="790"/>
      <c r="U278" s="790"/>
    </row>
    <row r="279" spans="1:21" ht="13.5" thickBot="1" x14ac:dyDescent="0.35">
      <c r="A279" s="638" t="s">
        <v>1673</v>
      </c>
      <c r="B279" s="880">
        <f t="shared" si="21"/>
        <v>0</v>
      </c>
      <c r="C279" s="830" t="s">
        <v>50</v>
      </c>
      <c r="D279" s="942">
        <f>IF(CP!D13&gt;0,CP!E13,Data!E279)</f>
        <v>189000</v>
      </c>
      <c r="E279" s="1198">
        <v>189000</v>
      </c>
      <c r="F279" s="1199">
        <f>IF(CP!D13&gt;0,CP!G13,Data!G279)</f>
        <v>30</v>
      </c>
      <c r="G279" s="1200">
        <f>IF($G$271=1,$I$271,($O$285/N279)*$R$285)</f>
        <v>50</v>
      </c>
      <c r="H279" s="1073">
        <f>(6.3*500)/189000</f>
        <v>1.6666666666666666E-2</v>
      </c>
      <c r="I279" s="1074">
        <v>0.38</v>
      </c>
      <c r="J279" s="216"/>
      <c r="M279" s="880">
        <f>$C$39*CP!$D$13</f>
        <v>0</v>
      </c>
      <c r="N279"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P279" s="27" t="s">
        <v>1308</v>
      </c>
      <c r="Q279" s="27"/>
      <c r="R279" s="27"/>
      <c r="S279" s="27"/>
      <c r="T279" s="27"/>
      <c r="U279" s="27"/>
    </row>
    <row r="280" spans="1:21" ht="13.5" thickBot="1" x14ac:dyDescent="0.35">
      <c r="A280" s="638" t="s">
        <v>1674</v>
      </c>
      <c r="B280" s="880">
        <f t="shared" si="21"/>
        <v>0</v>
      </c>
      <c r="C280" s="830" t="s">
        <v>50</v>
      </c>
      <c r="D280" s="942">
        <f>IF(CP!D14&gt;0,CP!E14,Data!E280)</f>
        <v>235000</v>
      </c>
      <c r="E280" s="1198">
        <v>235000</v>
      </c>
      <c r="F280" s="1199">
        <f>IF(CP!D14&gt;0,CP!G14,Data!G280)</f>
        <v>50</v>
      </c>
      <c r="G280" s="1200">
        <f>IF($G$271=1,$I$271,($O$285/N280)*$R$285)</f>
        <v>50</v>
      </c>
      <c r="H280" s="1073">
        <f>(7.83*500)/235000</f>
        <v>1.6659574468085105E-2</v>
      </c>
      <c r="I280" s="1074">
        <v>0.38</v>
      </c>
      <c r="J280" s="216" t="s">
        <v>1593</v>
      </c>
      <c r="M280" s="880">
        <f>$C$39*CP!$D$14</f>
        <v>0</v>
      </c>
      <c r="N280"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P280" s="791">
        <v>0.16875000000000001</v>
      </c>
      <c r="Q280" s="791">
        <v>0.25312499999999999</v>
      </c>
      <c r="R280" s="805">
        <v>0.33750000000000002</v>
      </c>
      <c r="S280" s="791">
        <v>0.50624999999999998</v>
      </c>
      <c r="T280" s="791">
        <v>0.67500000000000004</v>
      </c>
      <c r="U280" s="791">
        <v>1</v>
      </c>
    </row>
    <row r="281" spans="1:21" ht="13.5" thickBot="1" x14ac:dyDescent="0.35">
      <c r="A281" s="664" t="s">
        <v>1354</v>
      </c>
      <c r="B281" s="880">
        <f>IF($D$4=0,0,$C$39)</f>
        <v>0</v>
      </c>
      <c r="C281" s="940" t="s">
        <v>50</v>
      </c>
      <c r="D281" s="956">
        <v>119000</v>
      </c>
      <c r="E281" s="274">
        <v>10000</v>
      </c>
      <c r="F281" s="816">
        <f>IF($G$271=1,$I$271,J281)</f>
        <v>50</v>
      </c>
      <c r="G281" s="247">
        <v>7</v>
      </c>
      <c r="H281" s="941">
        <f>(3.57*450)/119000</f>
        <v>1.35E-2</v>
      </c>
      <c r="I281" s="606">
        <v>0.43</v>
      </c>
      <c r="J281" s="819">
        <f>IF($D$4=0,0,($O$285/N276)*$R$285)</f>
        <v>0</v>
      </c>
      <c r="M281" s="831" t="s">
        <v>1355</v>
      </c>
      <c r="N281" s="60">
        <f>(PotOprC!B53*PotOprC!E53+PotOprC!B54*PotOprC!E54)</f>
        <v>0</v>
      </c>
    </row>
    <row r="282" spans="1:21" ht="13.5" thickBot="1" x14ac:dyDescent="0.35">
      <c r="A282" s="638" t="s">
        <v>1675</v>
      </c>
      <c r="B282" s="880">
        <f>$C$40*M282</f>
        <v>0</v>
      </c>
      <c r="C282" s="830" t="s">
        <v>50</v>
      </c>
      <c r="D282" s="942">
        <f>IF(CP!D10&gt;0,CP!E10,Data!E282)</f>
        <v>65000</v>
      </c>
      <c r="E282" s="1198">
        <v>65000</v>
      </c>
      <c r="F282" s="816">
        <f>IF(CP!D10&gt;0,CP!G10,Data!G282)</f>
        <v>40</v>
      </c>
      <c r="G282" s="1200">
        <f>IF($G$271=1,$I$272,($O$285/N282)*$R$285)</f>
        <v>40</v>
      </c>
      <c r="H282" s="1073">
        <f>(2.3*400)/65000</f>
        <v>1.4153846153846152E-2</v>
      </c>
      <c r="I282" s="1074">
        <v>0.43</v>
      </c>
      <c r="J282" s="819"/>
      <c r="M282" s="880">
        <f>$C$40*CP!$D$10</f>
        <v>0</v>
      </c>
      <c r="N282"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row>
    <row r="283" spans="1:21" ht="13.5" thickBot="1" x14ac:dyDescent="0.35">
      <c r="A283" s="638" t="s">
        <v>1347</v>
      </c>
      <c r="B283" s="880">
        <f t="shared" ref="B283:B286" si="22">$C$40*M283</f>
        <v>1</v>
      </c>
      <c r="C283" s="830" t="s">
        <v>50</v>
      </c>
      <c r="D283" s="942">
        <f>IF(CP!D11&gt;0,CP!E11,Data!E283)</f>
        <v>119000</v>
      </c>
      <c r="E283" s="1198">
        <v>119000</v>
      </c>
      <c r="F283" s="816">
        <f>IF(CP!D11&gt;0,CP!G11,Data!G283)</f>
        <v>40</v>
      </c>
      <c r="G283" s="1200">
        <f>IF($G$271=1,$I$272,($O$285/N283)*$R$285)</f>
        <v>40</v>
      </c>
      <c r="H283" s="1073">
        <f>(3.57*450)/119000</f>
        <v>1.35E-2</v>
      </c>
      <c r="I283" s="1074">
        <v>0.43</v>
      </c>
      <c r="M283" s="880">
        <f>$C$40*CP!$D$11</f>
        <v>1</v>
      </c>
      <c r="N283"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row>
    <row r="284" spans="1:21" ht="13.5" thickBot="1" x14ac:dyDescent="0.35">
      <c r="A284" s="638" t="s">
        <v>1676</v>
      </c>
      <c r="B284" s="880">
        <f t="shared" si="22"/>
        <v>0</v>
      </c>
      <c r="C284" s="830" t="s">
        <v>50</v>
      </c>
      <c r="D284" s="942">
        <f>IF(CP!D12&gt;0,CP!E12,Data!E284)</f>
        <v>141000</v>
      </c>
      <c r="E284" s="1198">
        <v>141000</v>
      </c>
      <c r="F284" s="816">
        <f>IF(CP!D12&gt;0,CP!G12,Data!G284)</f>
        <v>40</v>
      </c>
      <c r="G284" s="1200">
        <f>IF($G$271=1,$I$272,($O$285/N284)*$R$285)</f>
        <v>40</v>
      </c>
      <c r="H284" s="1073">
        <f>(4.23*450)/141000</f>
        <v>1.3500000000000002E-2</v>
      </c>
      <c r="I284" s="1074">
        <v>0.43</v>
      </c>
      <c r="M284" s="880">
        <f>$C$40*CP!$D$12</f>
        <v>0</v>
      </c>
      <c r="N284"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O284" s="62" t="s">
        <v>1309</v>
      </c>
      <c r="P284" s="792" t="s">
        <v>1310</v>
      </c>
      <c r="Q284" s="41"/>
      <c r="R284" s="41"/>
      <c r="S284" s="41"/>
      <c r="T284" s="41"/>
      <c r="U284" s="41"/>
    </row>
    <row r="285" spans="1:21" ht="13.5" thickBot="1" x14ac:dyDescent="0.35">
      <c r="A285" s="638" t="s">
        <v>1346</v>
      </c>
      <c r="B285" s="880">
        <f t="shared" si="22"/>
        <v>1</v>
      </c>
      <c r="C285" s="830" t="s">
        <v>50</v>
      </c>
      <c r="D285" s="942">
        <f>IF(CP!D13&gt;0,CP!E13,Data!E285)</f>
        <v>189000</v>
      </c>
      <c r="E285" s="1198">
        <v>189000</v>
      </c>
      <c r="F285" s="816">
        <f>IF(CP!D13&gt;0,CP!G13,Data!G285)</f>
        <v>30</v>
      </c>
      <c r="G285" s="1200">
        <f>IF($G$271=1,$I$272,($O$285/N285)*$R$285)</f>
        <v>40</v>
      </c>
      <c r="H285" s="1073">
        <f>(6.3*500)/189000</f>
        <v>1.6666666666666666E-2</v>
      </c>
      <c r="I285" s="1074">
        <v>0.38</v>
      </c>
      <c r="M285" s="880">
        <f>$C$40*CP!$D$13</f>
        <v>1</v>
      </c>
      <c r="N285"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O285" s="809">
        <v>225</v>
      </c>
      <c r="P285" s="794">
        <v>12</v>
      </c>
      <c r="Q285" s="795">
        <v>18</v>
      </c>
      <c r="R285" s="806">
        <v>24</v>
      </c>
      <c r="S285" s="795">
        <v>36</v>
      </c>
      <c r="T285" s="795">
        <v>48</v>
      </c>
      <c r="U285" s="796">
        <v>71.111111111111114</v>
      </c>
    </row>
    <row r="286" spans="1:21" ht="13.5" thickBot="1" x14ac:dyDescent="0.35">
      <c r="A286" s="638" t="s">
        <v>1677</v>
      </c>
      <c r="B286" s="880">
        <f t="shared" si="22"/>
        <v>0</v>
      </c>
      <c r="C286" s="830" t="s">
        <v>50</v>
      </c>
      <c r="D286" s="942">
        <f>IF(CP!D14&gt;0,CP!E14,Data!E286)</f>
        <v>235000</v>
      </c>
      <c r="E286" s="1198">
        <v>235000</v>
      </c>
      <c r="F286" s="816">
        <f>IF(CP!D14&gt;0,CP!G14,Data!G286)</f>
        <v>40</v>
      </c>
      <c r="G286" s="1200">
        <f>IF($G$271=1,$I$272,($O$285/N286)*$R$285)</f>
        <v>40</v>
      </c>
      <c r="H286" s="1073">
        <f>(7.83*500)/235000</f>
        <v>1.6659574468085105E-2</v>
      </c>
      <c r="I286" s="1074">
        <v>0.38</v>
      </c>
      <c r="J286" s="216" t="s">
        <v>1593</v>
      </c>
      <c r="M286" s="880">
        <f>$C$40*CP!$D$14</f>
        <v>0</v>
      </c>
      <c r="N286"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c r="O286" s="809">
        <v>337.5</v>
      </c>
      <c r="P286" s="797">
        <v>8</v>
      </c>
      <c r="Q286" s="790">
        <v>12</v>
      </c>
      <c r="R286" s="807">
        <v>16</v>
      </c>
      <c r="S286" s="790">
        <v>24</v>
      </c>
      <c r="T286" s="790">
        <v>32</v>
      </c>
      <c r="U286" s="793">
        <v>47.407407407407405</v>
      </c>
    </row>
    <row r="287" spans="1:21" ht="13.75" customHeight="1" thickBot="1" x14ac:dyDescent="0.35">
      <c r="A287" s="664" t="s">
        <v>1353</v>
      </c>
      <c r="B287" s="880">
        <f>IF($D$4=0,0,$C$40)</f>
        <v>0</v>
      </c>
      <c r="C287" s="940" t="s">
        <v>50</v>
      </c>
      <c r="D287" s="956">
        <v>119000</v>
      </c>
      <c r="E287" s="274">
        <v>10000</v>
      </c>
      <c r="F287" s="816">
        <f>IF($G$271=1,$I$272,J287)</f>
        <v>40</v>
      </c>
      <c r="G287" s="247">
        <v>7</v>
      </c>
      <c r="H287" s="941">
        <f>(3.57*450)/119000</f>
        <v>1.35E-2</v>
      </c>
      <c r="I287" s="606">
        <v>0.43</v>
      </c>
      <c r="J287" s="819">
        <f>IF($D$4=0,0,($O$285/N287)*$R$285)</f>
        <v>0</v>
      </c>
      <c r="M287" s="831" t="s">
        <v>1355</v>
      </c>
      <c r="N287" s="60">
        <f>(PotOprC!B53*PotOprC!E53+PotOprC!B54*PotOprC!E54)</f>
        <v>0</v>
      </c>
      <c r="O287" s="809">
        <v>450</v>
      </c>
      <c r="P287" s="799">
        <v>6</v>
      </c>
      <c r="Q287" s="798">
        <v>9</v>
      </c>
      <c r="R287" s="807">
        <v>12</v>
      </c>
      <c r="S287" s="798">
        <v>18</v>
      </c>
      <c r="T287" s="798">
        <v>24</v>
      </c>
      <c r="U287" s="800">
        <v>35.555555555555557</v>
      </c>
    </row>
    <row r="288" spans="1:21" ht="13.75" customHeight="1" thickBot="1" x14ac:dyDescent="0.35">
      <c r="A288" s="638" t="s">
        <v>1678</v>
      </c>
      <c r="B288" s="880">
        <f>$C$41*M288</f>
        <v>0</v>
      </c>
      <c r="C288" s="830" t="s">
        <v>50</v>
      </c>
      <c r="D288" s="942">
        <f>IF(CP!D10&gt;0,CP!E10,Data!E288)</f>
        <v>65000</v>
      </c>
      <c r="E288" s="1198">
        <v>65000</v>
      </c>
      <c r="F288" s="816">
        <f>IF(CP!D10&gt;0,CP!G10,Data!G288)</f>
        <v>20</v>
      </c>
      <c r="G288" s="1200">
        <f>IF($G$271=1,$I$273,($O$285/N288)*$R$285)</f>
        <v>20</v>
      </c>
      <c r="H288" s="1073">
        <f>(2.3*400)/65000</f>
        <v>1.4153846153846152E-2</v>
      </c>
      <c r="I288" s="1074">
        <v>0.43</v>
      </c>
      <c r="J288" s="819"/>
      <c r="M288" s="880">
        <f>$C$41*CP!$D$10</f>
        <v>0</v>
      </c>
      <c r="N288"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c r="O288" s="809">
        <v>675</v>
      </c>
      <c r="P288" s="797">
        <v>4</v>
      </c>
      <c r="Q288" s="790">
        <v>6</v>
      </c>
      <c r="R288" s="807">
        <v>8</v>
      </c>
      <c r="S288" s="790">
        <v>12</v>
      </c>
      <c r="T288" s="790">
        <v>16</v>
      </c>
      <c r="U288" s="793">
        <v>23.703703703703702</v>
      </c>
    </row>
    <row r="289" spans="1:21" ht="13.75" customHeight="1" thickBot="1" x14ac:dyDescent="0.35">
      <c r="A289" s="638" t="s">
        <v>1679</v>
      </c>
      <c r="B289" s="880">
        <f>$C$41*M289</f>
        <v>0</v>
      </c>
      <c r="C289" s="830" t="s">
        <v>50</v>
      </c>
      <c r="D289" s="942">
        <f>IF(CP!D11&gt;0,CP!E11,Data!E289)</f>
        <v>119000</v>
      </c>
      <c r="E289" s="1198">
        <v>119000</v>
      </c>
      <c r="F289" s="816">
        <f>IF(CP!D11&gt;0,CP!G11,Data!G289)</f>
        <v>40</v>
      </c>
      <c r="G289" s="1200">
        <f>IF($G$271=1,$I$273,($O$285/N289)*$R$285)</f>
        <v>20</v>
      </c>
      <c r="H289" s="1073">
        <f>(3.57*450)/119000</f>
        <v>1.35E-2</v>
      </c>
      <c r="I289" s="1074">
        <v>0.43</v>
      </c>
      <c r="J289" s="819"/>
      <c r="M289" s="880">
        <f>$C$41*CP!$D$11</f>
        <v>0</v>
      </c>
      <c r="N289"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c r="O289" s="809">
        <v>900</v>
      </c>
      <c r="P289" s="797">
        <v>3</v>
      </c>
      <c r="Q289" s="790">
        <v>4.5</v>
      </c>
      <c r="R289" s="807">
        <v>6</v>
      </c>
      <c r="S289" s="790">
        <v>9</v>
      </c>
      <c r="T289" s="790">
        <v>12</v>
      </c>
      <c r="U289" s="793">
        <v>17.777777777777779</v>
      </c>
    </row>
    <row r="290" spans="1:21" ht="13.75" customHeight="1" thickBot="1" x14ac:dyDescent="0.35">
      <c r="A290" s="638" t="s">
        <v>1680</v>
      </c>
      <c r="B290" s="880">
        <f>$C$41*M290</f>
        <v>0</v>
      </c>
      <c r="C290" s="830" t="s">
        <v>50</v>
      </c>
      <c r="D290" s="942">
        <f>IF(CP!D12&gt;0,CP!E12,Data!E290)</f>
        <v>141000</v>
      </c>
      <c r="E290" s="1198">
        <v>141000</v>
      </c>
      <c r="F290" s="816">
        <f>IF(CP!D12&gt;0,CP!G12,Data!G290)</f>
        <v>20</v>
      </c>
      <c r="G290" s="1200">
        <f>IF($G$271=1,$I$273,($O$285/N290)*$R$285)</f>
        <v>20</v>
      </c>
      <c r="H290" s="1073">
        <f>(4.23*450)/141000</f>
        <v>1.3500000000000002E-2</v>
      </c>
      <c r="I290" s="1074">
        <v>0.43</v>
      </c>
      <c r="J290" s="819"/>
      <c r="M290" s="880">
        <f>$C$41*CP!$D$12</f>
        <v>0</v>
      </c>
      <c r="N290" s="60">
        <f>(Bv!B29*Bv!E29+Bv!B33*Bv!E33+Bv!B34*Bv!E34+Bv!B35*Bv!E35+Bv!B36*Bv!E36+Bv!B37*Bv!E37+Bv!B39*Bv!E39)+(Ov!B29*Ov!E29+Ov!B33*Ov!E33+Ov!B34*Ov!E34+Ov!B35*Ov!E35+Ov!B36*Ov!E36+Ov!B37*Ov!E37+Ov!B39*Ov!E39)+(Rv!B29*Rv!E29+Rv!B33*Rv!E33+Rv!B34*Rv!E34+Rv!B35*Rv!E35+Rv!B36*Rv!E36+Rv!B37*Rv!E37+Rv!B39*Rv!E39)+(Wv!B29*Wv!E29+Wv!B33*Wv!E33+Wv!B34*Wv!E34+Wv!B35*Wv!E35+Wv!B36*Wv!E36+Wv!B37*Wv!E37+Wv!B39*Wv!E39)+(Tv!B29*Tv!E29+Tv!B33*Tv!E33+Tv!B34*Tv!E34+Tv!B35*Tv!E35+Tv!B36*Tv!E36+Tv!B37*Tv!E37+Tv!B39*Tv!E39)+(Sv!B29*Sv!E29+Sv!B33*Sv!E33+Sv!B34*Sv!E34+Sv!B35*Sv!E35+Sv!B36*Sv!E36+Sv!B37*Sv!E37+Sv!B39*Sv!E39)+(BWv!B23*BWv!E23+BWv!B24*BWv!E24+BWv!B25*BWv!E25+BWv!B26*BWv!E26+BWv!B30*BWv!E30+BWv!B31*BWv!E31+BWv!B33*BWv!E33)+(Pv!B24*Pv!E24+Pv!B25*Pv!E25+Pv!B26*Pv!E26+Pv!B27*Pv!E27+Pv!B31*Pv!E31+Pv!B32*Pv!E32+Pv!B34*Pv!E34)+(Syv!B24*Syv!E24+Syv!B25*Syv!E25+Syv!B26*Syv!E26+Syv!B27*Syv!E27+Syv!B31*Syv!E31+Syv!B32*Syv!E32+Syv!B34*Syv!E34)+(PotOprC!B53*PotOprC!E53+PotOprC!B54*PotOprC!E54)</f>
        <v>130.42397075322054</v>
      </c>
      <c r="O290" s="809">
        <v>1350</v>
      </c>
      <c r="P290" s="801">
        <v>2</v>
      </c>
      <c r="Q290" s="802">
        <v>3</v>
      </c>
      <c r="R290" s="808">
        <v>4</v>
      </c>
      <c r="S290" s="802">
        <v>6</v>
      </c>
      <c r="T290" s="802">
        <v>8</v>
      </c>
      <c r="U290" s="803">
        <v>11.851851851851851</v>
      </c>
    </row>
    <row r="291" spans="1:21" ht="13.5" thickBot="1" x14ac:dyDescent="0.35">
      <c r="A291" s="638" t="s">
        <v>1350</v>
      </c>
      <c r="B291" s="880">
        <f t="shared" ref="B291:B292" si="23">$C$41*M291</f>
        <v>0</v>
      </c>
      <c r="C291" s="830" t="s">
        <v>50</v>
      </c>
      <c r="D291" s="942">
        <f>IF(CP!D13&gt;0,CP!E13,Data!E291)</f>
        <v>189000</v>
      </c>
      <c r="E291" s="1198">
        <v>189000</v>
      </c>
      <c r="F291" s="816">
        <f>IF(CP!D13&gt;0,CP!G13,Data!G291)</f>
        <v>30</v>
      </c>
      <c r="G291" s="1200">
        <f>IF($G$271=1,$I$273,($O$285/N291)*$R$285)</f>
        <v>20</v>
      </c>
      <c r="H291" s="1073">
        <f>(6.3*500)/189000</f>
        <v>1.6666666666666666E-2</v>
      </c>
      <c r="I291" s="1074">
        <v>0.38</v>
      </c>
      <c r="M291" s="880">
        <f>$C$41*CP!$D$13</f>
        <v>0</v>
      </c>
      <c r="N291"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row>
    <row r="292" spans="1:21" ht="13.5" thickBot="1" x14ac:dyDescent="0.35">
      <c r="A292" s="638" t="s">
        <v>1348</v>
      </c>
      <c r="B292" s="880">
        <f t="shared" si="23"/>
        <v>0</v>
      </c>
      <c r="C292" s="830" t="s">
        <v>50</v>
      </c>
      <c r="D292" s="942">
        <f>IF(CP!D14&gt;0,CP!E14,Data!E292)</f>
        <v>235000</v>
      </c>
      <c r="E292" s="1198">
        <v>235000</v>
      </c>
      <c r="F292" s="816">
        <f>IF(CP!D14&gt;0,CP!G14,Data!G292)</f>
        <v>20</v>
      </c>
      <c r="G292" s="1200">
        <f>IF($G$271=1,$I$273,($O$285/N292)*$R$285)</f>
        <v>20</v>
      </c>
      <c r="H292" s="1073">
        <f>(7.83*500)/235000</f>
        <v>1.6659574468085105E-2</v>
      </c>
      <c r="I292" s="1074">
        <v>0.38</v>
      </c>
      <c r="J292" s="216" t="s">
        <v>1593</v>
      </c>
      <c r="M292" s="880">
        <f>$C$41*CP!$D$14</f>
        <v>0</v>
      </c>
      <c r="N292" s="60">
        <f>(Bv!B26*Bv!E26+Bv!B27*Bv!E27+Bv!B28*Bv!E28)+(Ov!B26*Ov!E26+Ov!B27*Ov!E27+Ov!B28*Ov!E28)+(Rv!B26*Rv!E26+Rv!B27*Rv!E27+Rv!B28*Rv!E28)+(Wv!B26*Wv!E26+Wv!B27*Wv!E27+Wv!B28*Wv!E28)+(Tv!B26*Tv!E26+Tv!B27*Tv!E27+Tv!B28*Tv!E28)+(Sv!B26*Sv!E26+Sv!B27*Sv!E27+Sv!B28*Sv!E28)+(BWv!B20*BWv!E20+BWv!B21*BWv!E21+BWv!B22*BWv!E22)+(Pv!B21*Pv!E21+Pv!B22*Pv!E22+Pv!B23*Pv!E23)+(Syv!B21*Syv!E21+Syv!B22*Syv!E22+Syv!B23*Syv!E23)+(PotOprC!B53*PotOprC!E53+PotOprC!B54*PotOprC!E54)</f>
        <v>122.0588235294116</v>
      </c>
    </row>
    <row r="293" spans="1:21" ht="13.5" thickBot="1" x14ac:dyDescent="0.35">
      <c r="A293" s="664" t="s">
        <v>1351</v>
      </c>
      <c r="B293" s="880">
        <f>IF($D$4=0,0,$C$41)</f>
        <v>0</v>
      </c>
      <c r="C293" s="940" t="s">
        <v>50</v>
      </c>
      <c r="D293" s="957">
        <v>189000</v>
      </c>
      <c r="E293" s="274">
        <v>80000</v>
      </c>
      <c r="F293" s="816">
        <f>IF($G$271=1,$I$273,J293)</f>
        <v>20</v>
      </c>
      <c r="G293" s="247">
        <v>7</v>
      </c>
      <c r="H293" s="941">
        <f t="shared" ref="H293" si="24">(6.3*500)/189000</f>
        <v>1.6666666666666666E-2</v>
      </c>
      <c r="I293" s="606">
        <v>0.38</v>
      </c>
      <c r="J293" s="819">
        <f>IF($D$4=0,0,($O$285/N293)*$R$285)</f>
        <v>0</v>
      </c>
      <c r="N293" s="60">
        <f>(PotOprC!B53*PotOprC!E53+PotOprC!B54*PotOprC!E54)</f>
        <v>0</v>
      </c>
    </row>
    <row r="294" spans="1:21" ht="12.65" customHeight="1" x14ac:dyDescent="0.3">
      <c r="A294" s="27"/>
      <c r="B294" s="163"/>
      <c r="C294" s="34"/>
      <c r="D294" s="110">
        <f>SUMPRODUCT(B275:B287,D275:D287)</f>
        <v>308000</v>
      </c>
      <c r="E294" s="17" t="s">
        <v>1460</v>
      </c>
      <c r="N294" s="34"/>
    </row>
    <row r="295" spans="1:21" ht="12.65" customHeight="1" x14ac:dyDescent="0.3">
      <c r="A295" s="27"/>
      <c r="B295" s="163"/>
      <c r="C295" s="34"/>
      <c r="D295" s="110"/>
      <c r="N295" s="34"/>
    </row>
    <row r="296" spans="1:21" ht="13.25" customHeight="1" thickBot="1" x14ac:dyDescent="0.35">
      <c r="A296" s="14" t="s">
        <v>35</v>
      </c>
      <c r="B296" s="15" t="s">
        <v>36</v>
      </c>
      <c r="C296" s="15" t="s">
        <v>22</v>
      </c>
      <c r="D296" s="15" t="s">
        <v>1637</v>
      </c>
      <c r="E296" s="15" t="s">
        <v>1636</v>
      </c>
      <c r="F296" s="15" t="s">
        <v>1635</v>
      </c>
      <c r="G296" s="15" t="s">
        <v>1902</v>
      </c>
      <c r="H296" s="11" t="s">
        <v>1634</v>
      </c>
      <c r="I296" s="944" t="s">
        <v>1098</v>
      </c>
      <c r="M296" s="831" t="s">
        <v>1355</v>
      </c>
      <c r="N296" s="814" t="s">
        <v>35</v>
      </c>
    </row>
    <row r="297" spans="1:21" ht="13.5" thickBot="1" x14ac:dyDescent="0.35">
      <c r="A297" s="638" t="s">
        <v>2017</v>
      </c>
      <c r="B297" s="880">
        <f>$C$39*M297</f>
        <v>0</v>
      </c>
      <c r="C297" s="830" t="s">
        <v>37</v>
      </c>
      <c r="D297" s="943">
        <f>IF(CP!$D$16&gt;0,CP!$E$16,Data!E297)</f>
        <v>35101.790532254097</v>
      </c>
      <c r="E297" s="1198">
        <v>35101.790532254097</v>
      </c>
      <c r="F297" s="816">
        <f>IF(CP!$D$16&gt;0,CP!$G$16,Data!G297)</f>
        <v>40</v>
      </c>
      <c r="G297" s="1200">
        <f>IF($G$271=1,$I$271,($O$338/N297)*$Q$338)</f>
        <v>50</v>
      </c>
      <c r="H297" s="1075">
        <v>0.02</v>
      </c>
      <c r="I297" s="1074">
        <v>0.26</v>
      </c>
      <c r="M297" s="880">
        <f>$C$39*CP!$D$16</f>
        <v>0</v>
      </c>
      <c r="N297" s="60">
        <f>(Bv!B42*Bv!E42+Bv!B43*Bv!E43+Bv!B63*Bv!E63+Bv!B64*Bv!E64)+(Ov!B42*Ov!E42+Ov!B43*Ov!E43+Ov!B63*Ov!E63+Ov!B64*Ov!E64)+(Rv!B42*Rv!E42+Rv!B43*Rv!E43+Rv!B63*Rv!E63+Rv!B64*Rv!E64)+(Wv!B42*Wv!E42+Wv!B43*Wv!E43+Wv!B63*Wv!E63+Wv!B64*Wv!E64)+(wWv!B42*wWv!E42+wWv!B43*wWv!E43+wWv!B63*wWv!E63+wWv!B64*wWv!E64)+(Tv!B42*Tv!E42+Tv!B43*Tv!E43+Tv!B63*Tv!E63+Tv!B64*Tv!E64)+(Sv!B42*Sv!E42+Sv!B43*Sv!E43+Sv!B63*Sv!E63+Sv!B64*Sv!E64)+(BWv!B37*BWv!E37+BWv!B38*BWv!E38+BWv!B47*BWv!E47+BWv!B48*BWv!E48)+(Pv!B37*Pv!E37+Pv!B38*Pv!E38+Pv!B47*Pv!E47+Pv!B48*Pv!E48)+(Syv!B37*Syv!E37+Syv!B38*Syv!E38+Syv!B47*Syv!E47+Syv!B48*Syv!E48)</f>
        <v>68.049766457102891</v>
      </c>
    </row>
    <row r="298" spans="1:21" ht="13.5" thickBot="1" x14ac:dyDescent="0.35">
      <c r="A298" s="638" t="s">
        <v>2018</v>
      </c>
      <c r="B298" s="880">
        <f>$C$40*M298</f>
        <v>3</v>
      </c>
      <c r="C298" s="830" t="s">
        <v>37</v>
      </c>
      <c r="D298" s="943">
        <f>IF(CP!$D$16&gt;0,CP!$E$16,Data!E298)</f>
        <v>35101.790532254097</v>
      </c>
      <c r="E298" s="1198">
        <v>35101.790532254097</v>
      </c>
      <c r="F298" s="816">
        <f>IF(CP!$D$16&gt;0,CP!$G$16,Data!G298)</f>
        <v>40</v>
      </c>
      <c r="G298" s="1200">
        <f>IF($G$271=1,$I$272,($O$338/N298)*$Q$338)</f>
        <v>40</v>
      </c>
      <c r="H298" s="1075">
        <v>0.02</v>
      </c>
      <c r="I298" s="1074">
        <v>0.26</v>
      </c>
      <c r="M298" s="880">
        <f>$C$40*CP!$D$16</f>
        <v>3</v>
      </c>
      <c r="N298" s="60">
        <f>(Bv!B42*Bv!E42+Bv!B43*Bv!E43+Bv!B63*Bv!E63+Bv!B64*Bv!E64)+(Ov!B42*Ov!E42+Ov!B43*Ov!E43+Ov!B63*Ov!E63+Ov!B64*Ov!E64)+(Rv!B42*Rv!E42+Rv!B43*Rv!E43+Rv!B63*Rv!E63+Rv!B64*Rv!E64)+(Wv!B42*Wv!E42+Wv!B43*Wv!E43+Wv!B63*Wv!E63+Wv!B64*Wv!E64)+(wWv!B42*wWv!E42+wWv!B43*wWv!E43+wWv!B63*wWv!E63+wWv!B64*wWv!E64)+(Tv!B42*Tv!E42+Tv!B43*Tv!E43+Tv!B63*Tv!E63+Tv!B64*Tv!E64)+(Sv!B42*Sv!E42+Sv!B43*Sv!E43+Sv!B63*Sv!E63+Sv!B64*Sv!E64)+(BWv!B37*BWv!E37+BWv!B38*BWv!E38+BWv!B47*BWv!E47+BWv!B48*BWv!E48)+(Pv!B37*Pv!E37+Pv!B38*Pv!E38+Pv!B47*Pv!E47+Pv!B48*Pv!E48)+(Syv!B37*Syv!E37+Syv!B38*Syv!E38+Syv!B47*Syv!E47+Syv!B48*Syv!E48)</f>
        <v>68.049766457102891</v>
      </c>
    </row>
    <row r="299" spans="1:21" ht="13.5" thickBot="1" x14ac:dyDescent="0.35">
      <c r="A299" s="638" t="s">
        <v>2019</v>
      </c>
      <c r="B299" s="880">
        <f>$C$41*M299</f>
        <v>0</v>
      </c>
      <c r="C299" s="830" t="s">
        <v>37</v>
      </c>
      <c r="D299" s="925">
        <f>IF(CP!$D$16&gt;0,CP!$E$16,Data!E299)</f>
        <v>35101.790532254097</v>
      </c>
      <c r="E299" s="1198">
        <v>35101.790532254097</v>
      </c>
      <c r="F299" s="816">
        <f>IF(CP!$D$16&gt;0,CP!$G$16,Data!G299)</f>
        <v>40</v>
      </c>
      <c r="G299" s="1200">
        <f>IF($G$271=1,$I$273,($O$338/N299)*$Q$338)</f>
        <v>20</v>
      </c>
      <c r="H299" s="1075">
        <v>0.02</v>
      </c>
      <c r="I299" s="1074">
        <v>0.26</v>
      </c>
      <c r="M299" s="880">
        <f>$C$41*CP!$D$16</f>
        <v>0</v>
      </c>
      <c r="N299" s="60">
        <f>(Bv!B42*Bv!E42+Bv!B43*Bv!E43+Bv!B63*Bv!E63+Bv!B64*Bv!E64)+(Ov!B42*Ov!E42+Ov!B43*Ov!E43+Ov!B63*Ov!E63+Ov!B64*Ov!E64)+(Rv!B42*Rv!E42+Rv!B43*Rv!E43+Rv!B63*Rv!E63+Rv!B64*Rv!E64)+(Wv!B42*Wv!E42+Wv!B43*Wv!E43+Wv!B63*Wv!E63+Wv!B64*Wv!E64)+(wWv!B42*wWv!E42+wWv!B43*wWv!E43+wWv!B63*wWv!E63+wWv!B64*wWv!E64)+(Tv!B42*Tv!E42+Tv!B43*Tv!E43+Tv!B63*Tv!E63+Tv!B64*Tv!E64)+(Sv!B42*Sv!E42+Sv!B43*Sv!E43+Sv!B63*Sv!E63+Sv!B64*Sv!E64)+(BWv!B37*BWv!E37+BWv!B38*BWv!E38+BWv!B47*BWv!E47+BWv!B48*BWv!E48)+(Pv!B37*Pv!E37+Pv!B38*Pv!E38+Pv!B47*Pv!E47+Pv!B48*Pv!E48)+(Syv!B37*Syv!E37+Syv!B38*Syv!E38+Syv!B47*Syv!E47+Syv!B48*Syv!E48)</f>
        <v>68.049766457102891</v>
      </c>
    </row>
    <row r="300" spans="1:21" ht="13.5" thickBot="1" x14ac:dyDescent="0.35">
      <c r="A300" s="638" t="s">
        <v>2020</v>
      </c>
      <c r="B300" s="880">
        <f>$C$39*M300</f>
        <v>0</v>
      </c>
      <c r="C300" s="830" t="s">
        <v>37</v>
      </c>
      <c r="D300" s="943">
        <f>IF(CP!$D$17&gt;0,CP!$E$17,Data!E300)</f>
        <v>35101.790532254097</v>
      </c>
      <c r="E300" s="1198">
        <v>35101.790532254097</v>
      </c>
      <c r="F300" s="816">
        <f>IF(CP!$D$17&gt;0,CP!$G$17,Data!G300)</f>
        <v>50</v>
      </c>
      <c r="G300" s="1200">
        <f>IF($G$271=1,$I$271,($O$338/N300)*$Q$338)</f>
        <v>50</v>
      </c>
      <c r="H300" s="1075">
        <v>0.02</v>
      </c>
      <c r="I300" s="1074">
        <v>0.26</v>
      </c>
      <c r="M300" s="880">
        <f>$C$39*CP!$D$17</f>
        <v>0</v>
      </c>
      <c r="N300" s="60">
        <f>(Bv!B53*Bv!E53+Bv!B54*Bv!E54+Bv!B65*Bv!E65+Bv!B66*Bv!E66+Bv!B67*Bv!E67+Bv!B68*Bv!E68)+(Ov!B53*Ov!E53+Ov!B54*Ov!E54+Ov!B65*Ov!E65+Ov!B66*Ov!E66+Ov!B67*Ov!E67+Ov!B68*Ov!E68)+(Rv!B53*Rv!E53+Rv!B54*Rv!E54+Rv!B65*Rv!E65+Rv!B66*Rv!E66+Rv!B67*Rv!E67+Rv!B68*Rv!E68)+(Wv!B53*Wv!E53+Wv!B54*Wv!E54+Wv!B65*Wv!E65+Wv!B66*Wv!E66+Wv!B67*Wv!E67+Wv!B68*Wv!E68)+(wWv!B53*wWv!E53+wWv!B54*wWv!E54+wWv!B65*wWv!E65+wWv!B66*wWv!E66+wWv!B67*wWv!E67+wWv!B68*wWv!E68)+(Tv!B53*Tv!E53+Tv!B54*Tv!E54+Tv!B65*Tv!E65+Tv!B66*Tv!E66+Tv!B67*Tv!E67+Tv!B68*Tv!E68)+(Sv!B53*Sv!E53+Sv!B54*Sv!E54+Sv!B65*Sv!E65+Sv!B66*Sv!E66+Sv!B67*Sv!E67+Sv!B68*Sv!E68)</f>
        <v>0</v>
      </c>
    </row>
    <row r="301" spans="1:21" ht="13.5" thickBot="1" x14ac:dyDescent="0.35">
      <c r="A301" s="638" t="s">
        <v>2021</v>
      </c>
      <c r="B301" s="880">
        <f>$C$40*M301</f>
        <v>0</v>
      </c>
      <c r="C301" s="830" t="s">
        <v>37</v>
      </c>
      <c r="D301" s="943">
        <f>IF(CP!$D$17&gt;0,CP!$E$17,Data!E301)</f>
        <v>35101.790532254097</v>
      </c>
      <c r="E301" s="1198">
        <v>35101.790532254097</v>
      </c>
      <c r="F301" s="816">
        <f>IF(CP!$D$17&gt;0,CP!$G$17,Data!G301)</f>
        <v>40</v>
      </c>
      <c r="G301" s="1200">
        <f>IF($G$271=1,$I$272,($O$338/N301)*$Q$338)</f>
        <v>40</v>
      </c>
      <c r="H301" s="1075">
        <v>0.02</v>
      </c>
      <c r="I301" s="1074">
        <v>0.26</v>
      </c>
      <c r="M301" s="880">
        <f>$C$40*CP!$D$17</f>
        <v>0</v>
      </c>
      <c r="N301" s="60">
        <f>(Bv!B53*Bv!E53+Bv!B54*Bv!E54+Bv!B65*Bv!E65+Bv!B66*Bv!E66+Bv!B67*Bv!E67+Bv!B68*Bv!E68)+(Ov!B53*Ov!E53+Ov!B54*Ov!E54+Ov!B65*Ov!E65+Ov!B66*Ov!E66+Ov!B67*Ov!E67+Ov!B68*Ov!E68)+(Rv!B53*Rv!E53+Rv!B54*Rv!E54+Rv!B65*Rv!E65+Rv!B66*Rv!E66+Rv!B67*Rv!E67+Rv!B68*Rv!E68)+(Wv!B53*Wv!E53+Wv!B54*Wv!E54+Wv!B65*Wv!E65+Wv!B66*Wv!E66+Wv!B67*Wv!E67+Wv!B68*Wv!E68)+(wWv!B53*wWv!E53+wWv!B54*wWv!E54+wWv!B65*wWv!E65+wWv!B66*wWv!E66+wWv!B67*wWv!E67+wWv!B68*wWv!E68)+(Tv!B53*Tv!E53+Tv!B54*Tv!E54+Tv!B65*Tv!E65+Tv!B66*Tv!E66+Tv!B67*Tv!E67+Tv!B68*Tv!E68)+(Sv!B53*Sv!E53+Sv!B54*Sv!E54+Sv!B65*Sv!E65+Sv!B66*Sv!E66+Sv!B67*Sv!E67+Sv!B68*Sv!E68)</f>
        <v>0</v>
      </c>
    </row>
    <row r="302" spans="1:21" ht="13.5" thickBot="1" x14ac:dyDescent="0.35">
      <c r="A302" s="638" t="s">
        <v>2022</v>
      </c>
      <c r="B302" s="880">
        <f>$C$41*M302</f>
        <v>0</v>
      </c>
      <c r="C302" s="830" t="s">
        <v>37</v>
      </c>
      <c r="D302" s="925">
        <f>IF(CP!$D$17&gt;0,CP!$E$17,Data!E302)</f>
        <v>35101.790532254097</v>
      </c>
      <c r="E302" s="1198">
        <v>35101.790532254097</v>
      </c>
      <c r="F302" s="816">
        <f>IF(CP!$D$17&gt;0,CP!$G$17,Data!G302)</f>
        <v>20</v>
      </c>
      <c r="G302" s="1200">
        <f>IF($G$271=1,$I$273,($O$338/N302)*$Q$338)</f>
        <v>20</v>
      </c>
      <c r="H302" s="1075">
        <v>0.02</v>
      </c>
      <c r="I302" s="1074">
        <v>0.26</v>
      </c>
      <c r="M302" s="880">
        <f>$C$41*CP!$D$17</f>
        <v>0</v>
      </c>
      <c r="N302" s="60">
        <f>(Bv!B53*Bv!E53+Bv!B54*Bv!E54+Bv!B65*Bv!E65+Bv!B66*Bv!E66+Bv!B67*Bv!E67+Bv!B68*Bv!E68)+(Ov!B53*Ov!E53+Ov!B54*Ov!E54+Ov!B65*Ov!E65+Ov!B66*Ov!E66+Ov!B67*Ov!E67+Ov!B68*Ov!E68)+(Rv!B53*Rv!E53+Rv!B54*Rv!E54+Rv!B65*Rv!E65+Rv!B66*Rv!E66+Rv!B67*Rv!E67+Rv!B68*Rv!E68)+(Wv!B53*Wv!E53+Wv!B54*Wv!E54+Wv!B65*Wv!E65+Wv!B66*Wv!E66+Wv!B67*Wv!E67+Wv!B68*Wv!E68)+(wWv!B53*wWv!E53+wWv!B54*wWv!E54+wWv!B65*wWv!E65+wWv!B66*wWv!E66+wWv!B67*wWv!E67+wWv!B68*wWv!E68)+(Tv!B53*Tv!E53+Tv!B54*Tv!E54+Tv!B65*Tv!E65+Tv!B66*Tv!E66+Tv!B67*Tv!E67+Tv!B68*Tv!E68)+(Sv!B53*Sv!E53+Sv!B54*Sv!E54+Sv!B65*Sv!E65+Sv!B66*Sv!E66+Sv!B67*Sv!E67+Sv!B68*Sv!E68)</f>
        <v>0</v>
      </c>
    </row>
    <row r="303" spans="1:21" ht="13.5" thickBot="1" x14ac:dyDescent="0.35">
      <c r="A303" s="638" t="s">
        <v>2023</v>
      </c>
      <c r="B303" s="880">
        <f>$C$41*M303</f>
        <v>0</v>
      </c>
      <c r="C303" s="830" t="s">
        <v>37</v>
      </c>
      <c r="D303" s="925">
        <f>IF(CP!$D$18&gt;0,CP!$E$18,Data!E303)</f>
        <v>85000</v>
      </c>
      <c r="E303" s="1198">
        <v>85000</v>
      </c>
      <c r="F303" s="816">
        <f>IF(CP!$D$18&gt;0,CP!$G$18,Data!G303)</f>
        <v>20</v>
      </c>
      <c r="G303" s="1200">
        <f>IF($G$271=1,$I$273,($O$338/N303)*$Q$338)</f>
        <v>20</v>
      </c>
      <c r="H303" s="1075">
        <v>0.02</v>
      </c>
      <c r="I303" s="1074">
        <v>0.26</v>
      </c>
      <c r="M303" s="880">
        <f>$C$41*CP!$D$18</f>
        <v>0</v>
      </c>
      <c r="N303" s="60">
        <f>(Bv!B70*Bv!E70+Bv!B71*Bv!E71+Bv!B72*Bv!E72+Bv!B73*Bv!E73+Bv!B74*Bv!E74+Bv!B75*Bv!E75)+(Ov!B70*Ov!E70+Ov!B71*Ov!E71+Ov!B72*Ov!E72+Ov!B73*Ov!E73+Ov!B74*Ov!E74+Ov!B75*Ov!E75)+(Rv!B70*Rv!E70+Rv!B71*Rv!E71+Rv!B72*Rv!E72+Rv!B73*Rv!E73+Rv!B74*Rv!E74+Rv!B75*Rv!E75)+(Wv!B70*Wv!E70+Wv!B71*Wv!E71+Wv!B72*Wv!E72+Wv!B73*Wv!E73+Wv!B74*Wv!E74+Wv!B75*Wv!E75)+(wWv!B70*wWv!E70+wWv!B71*wWv!E71+wWv!B72*wWv!E72+wWv!B73*wWv!E73+wWv!B74*wWv!E74+wWv!B75*wWv!E75)+(Tv!B70*Tv!E70+Tv!B71*Tv!E71+Tv!B72*Tv!E72+Tv!B73*Tv!E73+Tv!B74*Tv!E74+Tv!B75*Tv!E75)+(Sv!B70*Sv!E70+Sv!B71*Sv!E71+Sv!B72*Sv!E72+Sv!B73*Sv!E73+Sv!B74*Sv!E74+Sv!B75*Sv!E75)+(Pv!B50*Pv!E50+Pv!B51*Pv!E51)+(Syv!B50*Syv!E50+Syv!B51*Syv!E51)</f>
        <v>0</v>
      </c>
    </row>
    <row r="304" spans="1:21" x14ac:dyDescent="0.3">
      <c r="A304" s="6" t="s">
        <v>159</v>
      </c>
      <c r="B304" s="292">
        <v>0</v>
      </c>
      <c r="C304" s="34" t="s">
        <v>37</v>
      </c>
      <c r="D304" s="906">
        <f>E304+(E304*$K$275)</f>
        <v>35101.790532254097</v>
      </c>
      <c r="E304" s="274">
        <v>28000</v>
      </c>
      <c r="F304" s="247">
        <v>10</v>
      </c>
      <c r="G304" s="247">
        <v>10</v>
      </c>
      <c r="H304" s="607">
        <v>4.4999999999999998E-2</v>
      </c>
      <c r="I304" s="606">
        <v>0.26</v>
      </c>
      <c r="M304" s="34" t="s">
        <v>45</v>
      </c>
      <c r="N304" s="247" t="s">
        <v>363</v>
      </c>
    </row>
    <row r="305" spans="1:14" x14ac:dyDescent="0.3">
      <c r="A305" s="6" t="s">
        <v>8</v>
      </c>
      <c r="B305" s="247">
        <v>0</v>
      </c>
      <c r="C305" s="34" t="s">
        <v>37</v>
      </c>
      <c r="D305" s="906">
        <f>E305+(E305*$K$275)</f>
        <v>4701.1326605697459</v>
      </c>
      <c r="E305" s="955">
        <v>3750</v>
      </c>
      <c r="F305" s="247">
        <v>15</v>
      </c>
      <c r="G305" s="247">
        <v>15</v>
      </c>
      <c r="H305" s="607">
        <v>4.4999999999999998E-2</v>
      </c>
      <c r="I305" s="606">
        <v>0.22</v>
      </c>
      <c r="M305" s="34" t="s">
        <v>45</v>
      </c>
      <c r="N305" s="247" t="s">
        <v>363</v>
      </c>
    </row>
    <row r="306" spans="1:14" x14ac:dyDescent="0.3">
      <c r="A306" s="6" t="s">
        <v>39</v>
      </c>
      <c r="B306" s="247">
        <v>0</v>
      </c>
      <c r="C306" s="34" t="s">
        <v>37</v>
      </c>
      <c r="D306" s="951">
        <f>E306+(E306*$K$275)</f>
        <v>6268.1768807596609</v>
      </c>
      <c r="E306" s="274">
        <v>5000</v>
      </c>
      <c r="F306" s="247">
        <v>7</v>
      </c>
      <c r="G306" s="247">
        <v>7</v>
      </c>
      <c r="H306" s="607">
        <v>4.4999999999999998E-2</v>
      </c>
      <c r="I306" s="606">
        <v>0.3</v>
      </c>
      <c r="M306" s="34" t="s">
        <v>45</v>
      </c>
      <c r="N306" s="247" t="s">
        <v>363</v>
      </c>
    </row>
    <row r="307" spans="1:14" x14ac:dyDescent="0.3">
      <c r="A307" s="27"/>
      <c r="B307" s="33"/>
      <c r="C307" s="34"/>
      <c r="D307" s="110">
        <f>SUMPRODUCT(B296:B306,D296:D306)</f>
        <v>105305.3715967623</v>
      </c>
      <c r="E307" s="17" t="s">
        <v>1461</v>
      </c>
      <c r="N307" s="34"/>
    </row>
    <row r="308" spans="1:14" x14ac:dyDescent="0.3">
      <c r="A308" s="27"/>
      <c r="B308" s="33"/>
      <c r="C308" s="34"/>
      <c r="D308" s="110"/>
      <c r="N308" s="34"/>
    </row>
    <row r="309" spans="1:14" ht="13.25" customHeight="1" thickBot="1" x14ac:dyDescent="0.35">
      <c r="A309" s="14" t="s">
        <v>6</v>
      </c>
      <c r="B309" s="15" t="s">
        <v>36</v>
      </c>
      <c r="C309" s="15" t="s">
        <v>22</v>
      </c>
      <c r="D309" s="15" t="s">
        <v>1637</v>
      </c>
      <c r="E309" s="15" t="s">
        <v>1636</v>
      </c>
      <c r="F309" s="15" t="s">
        <v>1635</v>
      </c>
      <c r="G309" s="15" t="s">
        <v>1902</v>
      </c>
      <c r="H309" s="11" t="s">
        <v>1634</v>
      </c>
      <c r="I309" s="944" t="s">
        <v>1098</v>
      </c>
      <c r="L309" s="601" t="s">
        <v>1097</v>
      </c>
      <c r="M309" s="831" t="s">
        <v>1355</v>
      </c>
      <c r="N309" s="814" t="s">
        <v>6</v>
      </c>
    </row>
    <row r="310" spans="1:14" ht="13.5" thickBot="1" x14ac:dyDescent="0.35">
      <c r="A310" s="638" t="s">
        <v>1904</v>
      </c>
      <c r="B310" s="880">
        <f>$C$39*M310</f>
        <v>0</v>
      </c>
      <c r="C310" s="830" t="s">
        <v>1907</v>
      </c>
      <c r="D310" s="925">
        <f>IF(CP!$D$20&gt;0,CP!$E$20,Data!E310)</f>
        <v>28000</v>
      </c>
      <c r="E310" s="1198">
        <v>28000</v>
      </c>
      <c r="F310" s="816">
        <f>IF(CP!$D$20&gt;0,CP!$G$20,Data!G310)</f>
        <v>40</v>
      </c>
      <c r="G310" s="1200">
        <f>IF($G$271=1,$I$271,($O$338/N310)*$Q$338)</f>
        <v>50</v>
      </c>
      <c r="H310" s="1073">
        <f>(2.89*501)/28000</f>
        <v>5.1710357142857148E-2</v>
      </c>
      <c r="I310" s="1074">
        <v>0.33</v>
      </c>
      <c r="L310" s="46">
        <f>23/15</f>
        <v>1.5333333333333334</v>
      </c>
      <c r="M310" s="880">
        <f>$C$39*CP!$D$20</f>
        <v>0</v>
      </c>
      <c r="N310" s="60">
        <f>(Bv!B26*Bv!E26)+(Ov!B26*Ov!E26)+(Rv!B26*Rv!E26)+(Wv!B26*Wv!E26)+(Tv!B26*Tv!E26)+(Sv!B26*Sv!E26)+(BWv!B20*BWv!E20)+(Pv!B21*Pv!E21)+(Syv!B21*Syv!E21)</f>
        <v>0</v>
      </c>
    </row>
    <row r="311" spans="1:14" ht="13.5" thickBot="1" x14ac:dyDescent="0.35">
      <c r="A311" s="638" t="s">
        <v>1905</v>
      </c>
      <c r="B311" s="880">
        <f>$C$40*M311</f>
        <v>1</v>
      </c>
      <c r="C311" s="830" t="s">
        <v>1907</v>
      </c>
      <c r="D311" s="925">
        <f>IF(CP!$D$20&gt;0,CP!$E$20,Data!E311)</f>
        <v>28000</v>
      </c>
      <c r="E311" s="1198">
        <v>28000</v>
      </c>
      <c r="F311" s="816">
        <f>IF(CP!$D$20&gt;0,CP!$G$20,Data!G311)</f>
        <v>40</v>
      </c>
      <c r="G311" s="1200">
        <f>IF($G$271=1,$I$272,($O$338/N311)*$Q$338)</f>
        <v>40</v>
      </c>
      <c r="H311" s="1073">
        <f>(2.89*501)/28000</f>
        <v>5.1710357142857148E-2</v>
      </c>
      <c r="I311" s="1074">
        <v>0.33</v>
      </c>
      <c r="L311" s="46">
        <f t="shared" ref="L311:L312" si="25">23/15</f>
        <v>1.5333333333333334</v>
      </c>
      <c r="M311" s="880">
        <f>$C$40*CP!$D$20</f>
        <v>1</v>
      </c>
      <c r="N311" s="60">
        <f>(Bv!B26*Bv!E26)+(Ov!B26*Ov!E26)+(Rv!B26*Rv!E26)+(Wv!B26*Wv!E26)+(Tv!B26*Tv!E26)+(Sv!B26*Sv!E26)+(BWv!B20*BWv!E20)+(Pv!B21*Pv!E21)+(Syv!B21*Syv!E21)</f>
        <v>0</v>
      </c>
    </row>
    <row r="312" spans="1:14" ht="13.5" thickBot="1" x14ac:dyDescent="0.35">
      <c r="A312" s="638" t="s">
        <v>1906</v>
      </c>
      <c r="B312" s="880">
        <f>$C$41*M312</f>
        <v>0</v>
      </c>
      <c r="C312" s="830" t="s">
        <v>1907</v>
      </c>
      <c r="D312" s="925">
        <f>IF(CP!$D$21&gt;0,CP!$E$21,Data!E312)</f>
        <v>42000</v>
      </c>
      <c r="E312" s="1198">
        <v>42000</v>
      </c>
      <c r="F312" s="816">
        <f>IF(CP!$D$21&gt;0,CP!$G$21,Data!G312)</f>
        <v>20</v>
      </c>
      <c r="G312" s="1200">
        <f>IF($G$271=1,$I$273,($O$338/N312)*$Q$338)</f>
        <v>20</v>
      </c>
      <c r="H312" s="1073">
        <f>(3.26*668)/42000</f>
        <v>5.1849523809523804E-2</v>
      </c>
      <c r="I312" s="1074">
        <v>0.33</v>
      </c>
      <c r="L312" s="46">
        <f t="shared" si="25"/>
        <v>1.5333333333333334</v>
      </c>
      <c r="M312" s="880">
        <f>$C$41*CP!$D$21</f>
        <v>0</v>
      </c>
      <c r="N312" s="60">
        <f>(Bv!B26*Bv!E26)+(Ov!B26*Ov!E26)+(Rv!B26*Rv!E26)+(Wv!B26*Wv!E26)+(Tv!B26*Tv!E26)+(Sv!B26*Sv!E26)+(BWv!B20*BWv!E20)+(Pv!B21*Pv!E21)+(Syv!B21*Syv!E21)</f>
        <v>0</v>
      </c>
    </row>
    <row r="313" spans="1:14" ht="13.5" thickBot="1" x14ac:dyDescent="0.35">
      <c r="A313" s="638" t="s">
        <v>1357</v>
      </c>
      <c r="B313" s="880">
        <f>$C$39*M313</f>
        <v>0</v>
      </c>
      <c r="C313" s="830" t="s">
        <v>1360</v>
      </c>
      <c r="D313" s="925">
        <f>IF(CP!$D$22&gt;0,CP!$E$22,Data!E313)</f>
        <v>19000</v>
      </c>
      <c r="E313" s="1198">
        <v>19000</v>
      </c>
      <c r="F313" s="816">
        <f>IF(CP!$D$22&gt;0,CP!$G$22,Data!G313)</f>
        <v>40</v>
      </c>
      <c r="G313" s="1200">
        <f>IF($G$271=1,$I$271,($O$338/N313)*$Q$338)</f>
        <v>50</v>
      </c>
      <c r="H313" s="1073">
        <f>(0.68*680)/19000</f>
        <v>2.433684210526316E-2</v>
      </c>
      <c r="I313" s="1074">
        <v>0.33</v>
      </c>
      <c r="L313" s="46">
        <f>23/15</f>
        <v>1.5333333333333334</v>
      </c>
      <c r="M313" s="880">
        <f>$C$39*CP!$D$22</f>
        <v>0</v>
      </c>
      <c r="N313" s="60">
        <f>(Bv!B28*Bv!E28)+(Ov!B28*Ov!E28)+(Rv!B28*Rv!E28)+(Wv!B28*Wv!E28)+(Tv!B28*Tv!E28)+(Sv!B28*Sv!E28)+(BWv!B22*BWv!E22)+(Pv!B23*Pv!E23)+(Syv!B23*Syv!E23)</f>
        <v>47.058823529411598</v>
      </c>
    </row>
    <row r="314" spans="1:14" ht="13.5" thickBot="1" x14ac:dyDescent="0.35">
      <c r="A314" s="638" t="s">
        <v>1358</v>
      </c>
      <c r="B314" s="880">
        <f>$C$40*M314</f>
        <v>1</v>
      </c>
      <c r="C314" s="830" t="s">
        <v>1360</v>
      </c>
      <c r="D314" s="925">
        <f>IF(CP!$D$22&gt;0,CP!$E$22,Data!E314)</f>
        <v>19000</v>
      </c>
      <c r="E314" s="1198">
        <v>19000</v>
      </c>
      <c r="F314" s="816">
        <f>IF(CP!$D$22&gt;0,CP!$G$22,Data!G314)</f>
        <v>40</v>
      </c>
      <c r="G314" s="1200">
        <f>IF($G$271=1,$I$272,($O$338/N314)*$Q$338)</f>
        <v>40</v>
      </c>
      <c r="H314" s="1073">
        <f>(0.68*680)/19000</f>
        <v>2.433684210526316E-2</v>
      </c>
      <c r="I314" s="1074">
        <v>0.33</v>
      </c>
      <c r="L314" s="46">
        <f t="shared" ref="L314:L315" si="26">23/15</f>
        <v>1.5333333333333334</v>
      </c>
      <c r="M314" s="880">
        <f>$C$40*CP!$D$22</f>
        <v>1</v>
      </c>
      <c r="N314" s="60">
        <f>(Bv!B28*Bv!E28)+(Ov!B28*Ov!E28)+(Rv!B28*Rv!E28)+(Wv!B28*Wv!E28)+(Tv!B28*Tv!E28)+(Sv!B28*Sv!E28)+(BWv!B22*BWv!E22)+(Pv!B23*Pv!E23)+(Syv!B23*Syv!E23)</f>
        <v>47.058823529411598</v>
      </c>
    </row>
    <row r="315" spans="1:14" ht="13.5" thickBot="1" x14ac:dyDescent="0.35">
      <c r="A315" s="638" t="s">
        <v>1359</v>
      </c>
      <c r="B315" s="880">
        <f>$C$41*M315</f>
        <v>0</v>
      </c>
      <c r="C315" s="830" t="s">
        <v>1360</v>
      </c>
      <c r="D315" s="925">
        <f>IF(CP!$D$23&gt;0,CP!$E$23,Data!E315)</f>
        <v>35000</v>
      </c>
      <c r="E315" s="1198">
        <v>35000</v>
      </c>
      <c r="F315" s="816">
        <f>IF(CP!$D$23&gt;0,CP!$G$23,Data!G315)</f>
        <v>20</v>
      </c>
      <c r="G315" s="1200">
        <f>IF($G$271=1,$I$273,($O$338/N315)*$Q$338)</f>
        <v>20</v>
      </c>
      <c r="H315" s="1073">
        <f>(0.82*1043)/35000</f>
        <v>2.4435999999999999E-2</v>
      </c>
      <c r="I315" s="1074">
        <v>0.33</v>
      </c>
      <c r="L315" s="46">
        <f t="shared" si="26"/>
        <v>1.5333333333333334</v>
      </c>
      <c r="M315" s="880">
        <f>$C$41*CP!$D$23</f>
        <v>0</v>
      </c>
      <c r="N315" s="60">
        <f>(Bv!B28*Bv!E28)+(Ov!B28*Ov!E28)+(Rv!B28*Rv!E28)+(Wv!B28*Wv!E28)+(Tv!B28*Tv!E28)+(Sv!B28*Sv!E28)+(BWv!B22*BWv!E22)+(Pv!B23*Pv!E23)+(Syv!B23*Syv!E23)</f>
        <v>47.058823529411598</v>
      </c>
    </row>
    <row r="316" spans="1:14" ht="13.5" thickBot="1" x14ac:dyDescent="0.35">
      <c r="A316" s="638" t="s">
        <v>1362</v>
      </c>
      <c r="B316" s="880">
        <f>$C$39*M316</f>
        <v>0</v>
      </c>
      <c r="C316" s="830" t="s">
        <v>1361</v>
      </c>
      <c r="D316" s="925">
        <f>IF(CP!$D$24&gt;0,CP!$E$24,Data!E316)</f>
        <v>19000</v>
      </c>
      <c r="E316" s="1198">
        <v>19000</v>
      </c>
      <c r="F316" s="816">
        <f>IF(CP!$D$24&gt;0,CP!$G$24,Data!G316)</f>
        <v>50</v>
      </c>
      <c r="G316" s="1200">
        <f>IF($G$271=1,$I$271,($O$338/N316)*$Q$338)</f>
        <v>50</v>
      </c>
      <c r="H316" s="1073">
        <f>(0.78*556)/19000</f>
        <v>2.2825263157894737E-2</v>
      </c>
      <c r="I316" s="1074">
        <v>0.3</v>
      </c>
      <c r="L316" s="34">
        <f>30/12</f>
        <v>2.5</v>
      </c>
      <c r="M316" s="880">
        <f>$C$39*CP!$D$24</f>
        <v>0</v>
      </c>
      <c r="N316" s="60">
        <f>(Bv!B29*Bv!E29)+(Ov!B29*Ov!E29)+(Rv!B29*Rv!E29)+(Wv!B29*Wv!E29)+(Tv!B29*Tv!E29)+(Sv!B29*Sv!E29)+(BWv!B23*BWv!E23)+(Pv!B24*Pv!E24)+(Syv!B24*Syv!E24)</f>
        <v>32.733224222585925</v>
      </c>
    </row>
    <row r="317" spans="1:14" ht="13.5" thickBot="1" x14ac:dyDescent="0.35">
      <c r="A317" s="638" t="s">
        <v>1363</v>
      </c>
      <c r="B317" s="880">
        <f>$C$40*M317</f>
        <v>1</v>
      </c>
      <c r="C317" s="830" t="s">
        <v>1361</v>
      </c>
      <c r="D317" s="925">
        <f>IF(CP!$D$25&gt;0,CP!$E$25,Data!E317)</f>
        <v>40000</v>
      </c>
      <c r="E317" s="1198">
        <v>40000</v>
      </c>
      <c r="F317" s="816">
        <f>IF(CP!$D$25&gt;0,CP!$G$25,Data!G317)</f>
        <v>40</v>
      </c>
      <c r="G317" s="1200">
        <f>IF($G$271=1,$I$272,($O$338/N317)*$Q$338)</f>
        <v>40</v>
      </c>
      <c r="H317" s="1073">
        <f>(1.1*1222)/40000</f>
        <v>3.3605000000000003E-2</v>
      </c>
      <c r="I317" s="1074">
        <v>0.3</v>
      </c>
      <c r="L317" s="34">
        <f t="shared" ref="L317:L318" si="27">30/12</f>
        <v>2.5</v>
      </c>
      <c r="M317" s="880">
        <f>$C$40*CP!$D$25</f>
        <v>1</v>
      </c>
      <c r="N317" s="60">
        <f>(Bv!B29*Bv!E29)+(Ov!B29*Ov!E29)+(Rv!B29*Rv!E29)+(Wv!B29*Wv!E29)+(Tv!B29*Tv!E29)+(Sv!B29*Sv!E29)+(BWv!B23*BWv!E23)+(Pv!B24*Pv!E24)+(Syv!B24*Syv!E24)</f>
        <v>32.733224222585925</v>
      </c>
    </row>
    <row r="318" spans="1:14" ht="13.5" thickBot="1" x14ac:dyDescent="0.35">
      <c r="A318" s="638" t="s">
        <v>1364</v>
      </c>
      <c r="B318" s="880">
        <f>$C$41*M318</f>
        <v>0</v>
      </c>
      <c r="C318" s="830" t="s">
        <v>1361</v>
      </c>
      <c r="D318" s="925">
        <f>IF(CP!$D$26&gt;0,CP!$E$26,Data!E318)</f>
        <v>55000</v>
      </c>
      <c r="E318" s="1198">
        <v>55000</v>
      </c>
      <c r="F318" s="816">
        <f>IF(CP!$D$26&gt;0,CP!$G$26,Data!G318)</f>
        <v>20</v>
      </c>
      <c r="G318" s="1200">
        <f>IF($G$271=1,$I$273,($O$338/N318)*$Q$338)</f>
        <v>20</v>
      </c>
      <c r="H318" s="1073">
        <f>(1.05*1745)/55000</f>
        <v>3.3313636363636365E-2</v>
      </c>
      <c r="I318" s="1074">
        <v>0.3</v>
      </c>
      <c r="L318" s="34">
        <f t="shared" si="27"/>
        <v>2.5</v>
      </c>
      <c r="M318" s="880">
        <f>$C$41*CP!$D$26</f>
        <v>0</v>
      </c>
      <c r="N318" s="60">
        <f>(Bv!B29*Bv!E29)+(Ov!B29*Ov!E29)+(Rv!B29*Rv!E29)+(Wv!B29*Wv!E29)+(Tv!B29*Tv!E29)+(Sv!B29*Sv!E29)+(BWv!B23*BWv!E23)+(Pv!B24*Pv!E24)+(Syv!B24*Syv!E24)</f>
        <v>32.733224222585925</v>
      </c>
    </row>
    <row r="319" spans="1:14" ht="13.5" thickBot="1" x14ac:dyDescent="0.35">
      <c r="A319" s="638" t="s">
        <v>1366</v>
      </c>
      <c r="B319" s="880">
        <f>$C$39*M319</f>
        <v>0</v>
      </c>
      <c r="C319" s="830" t="s">
        <v>428</v>
      </c>
      <c r="D319" s="925">
        <f>IF(CP!$D$27&gt;0,CP!$E$27,Data!E319)</f>
        <v>26000</v>
      </c>
      <c r="E319" s="1198">
        <v>26000</v>
      </c>
      <c r="F319" s="816">
        <f>IF(CP!$D$27&gt;0,CP!$G$27,Data!G319)</f>
        <v>40</v>
      </c>
      <c r="G319" s="1200">
        <f>IF($G$271=1,$I$271,($O$338/N319)*$Q$338)</f>
        <v>50</v>
      </c>
      <c r="H319" s="1073">
        <f>(0.65*1298)/26000</f>
        <v>3.245E-2</v>
      </c>
      <c r="I319" s="1074">
        <v>0.3</v>
      </c>
      <c r="M319" s="880">
        <f>$C$39*CP!$D$27</f>
        <v>0</v>
      </c>
      <c r="N319" s="60">
        <f>(Bv!B33*Bv!E33)+(Ov!B33*Ov!E33)+(Rv!B33*Rv!E33)+(Wv!B33*Wv!E33)+(Tv!B33*Tv!E33)+(Sv!B33*Sv!E33)+(BWv!B24*BWv!E24)+(Pv!B25*Pv!E25)+(Syv!B25*Syv!E25)</f>
        <v>30.816640986132519</v>
      </c>
    </row>
    <row r="320" spans="1:14" ht="13.5" thickBot="1" x14ac:dyDescent="0.35">
      <c r="A320" s="638" t="s">
        <v>1367</v>
      </c>
      <c r="B320" s="880">
        <f>$C$40*M320</f>
        <v>1</v>
      </c>
      <c r="C320" s="830" t="s">
        <v>428</v>
      </c>
      <c r="D320" s="925">
        <f>IF(CP!$D$27&gt;0,CP!$E$27,Data!E320)</f>
        <v>26000</v>
      </c>
      <c r="E320" s="1198">
        <v>26000</v>
      </c>
      <c r="F320" s="816">
        <f>IF(CP!$D$27&gt;0,CP!$G$27,Data!G320)</f>
        <v>40</v>
      </c>
      <c r="G320" s="1200">
        <f>IF($G$271=1,$I$272,($O$338/N320)*$Q$338)</f>
        <v>40</v>
      </c>
      <c r="H320" s="1073">
        <f>(0.65*1298)/26000</f>
        <v>3.245E-2</v>
      </c>
      <c r="I320" s="1074">
        <v>0.3</v>
      </c>
      <c r="M320" s="880">
        <f>$C$40*CP!$D$27</f>
        <v>1</v>
      </c>
      <c r="N320" s="60">
        <f>(Bv!B33*Bv!E33)+(Ov!B33*Ov!E33)+(Rv!B33*Rv!E33)+(Wv!B33*Wv!E33)+(Tv!B33*Tv!E33)+(Sv!B33*Sv!E33)+(BWv!B24*BWv!E24)+(Pv!B25*Pv!E25)+(Syv!B25*Syv!E25)</f>
        <v>30.816640986132519</v>
      </c>
    </row>
    <row r="321" spans="1:24" ht="13.5" thickBot="1" x14ac:dyDescent="0.35">
      <c r="A321" s="638" t="s">
        <v>1368</v>
      </c>
      <c r="B321" s="880">
        <f>$C$41*M321</f>
        <v>0</v>
      </c>
      <c r="C321" s="830" t="s">
        <v>428</v>
      </c>
      <c r="D321" s="925">
        <f>IF(CP!$D$27&gt;0,CP!$E$27,Data!E321)</f>
        <v>26000</v>
      </c>
      <c r="E321" s="1198">
        <v>26000</v>
      </c>
      <c r="F321" s="816">
        <f>IF(CP!$D$27&gt;0,CP!$G$27,Data!G321)</f>
        <v>40</v>
      </c>
      <c r="G321" s="1200">
        <f>IF($G$271=1,$I$273,($O$338/N321)*$Q$338)</f>
        <v>20</v>
      </c>
      <c r="H321" s="1073">
        <f>(0.65*1298)/26000</f>
        <v>3.245E-2</v>
      </c>
      <c r="I321" s="1074">
        <v>0.3</v>
      </c>
      <c r="J321" s="216" t="s">
        <v>1595</v>
      </c>
      <c r="L321" s="601" t="s">
        <v>1097</v>
      </c>
      <c r="M321" s="880">
        <f>$C$41*CP!$D$27</f>
        <v>0</v>
      </c>
      <c r="N321" s="60">
        <f>(Bv!B33*Bv!E33)+(Ov!B33*Ov!E33)+(Rv!B33*Rv!E33)+(Wv!B33*Wv!E33)+(Tv!B33*Tv!E33)+(Sv!B33*Sv!E33)+(BWv!B24*BWv!E24)+(Pv!B25*Pv!E25)+(Syv!B25*Syv!E25)</f>
        <v>30.816640986132519</v>
      </c>
    </row>
    <row r="322" spans="1:24" ht="13.5" thickBot="1" x14ac:dyDescent="0.35">
      <c r="A322" s="638" t="s">
        <v>1365</v>
      </c>
      <c r="B322" s="880">
        <f>$C$39*M322</f>
        <v>0</v>
      </c>
      <c r="C322" s="830" t="s">
        <v>43</v>
      </c>
      <c r="D322" s="925">
        <f>IF(CP!$D$28&gt;0,CP!$E$28,Data!E322)</f>
        <v>15000</v>
      </c>
      <c r="E322" s="1198">
        <v>15000</v>
      </c>
      <c r="F322" s="816">
        <f>IF(CP!$D$28&gt;0,CP!$G$28,Data!G322)</f>
        <v>50</v>
      </c>
      <c r="G322" s="1200">
        <f>IF($G$271=1,$I$271,($O$338/N322)*$Q$338)</f>
        <v>50</v>
      </c>
      <c r="H322" s="1073">
        <f>(0.53*1545)/35000</f>
        <v>2.3395714285714287E-2</v>
      </c>
      <c r="I322" s="1074">
        <f>5000/15000</f>
        <v>0.33333333333333331</v>
      </c>
      <c r="J322" s="819">
        <f t="shared" ref="J322:J327" si="28">IF(N322=0,G322,($O$338/N322)*$Q$338)</f>
        <v>134.46593406593411</v>
      </c>
      <c r="L322" s="34">
        <f>2/1</f>
        <v>2</v>
      </c>
      <c r="M322" s="880">
        <f>$C$39*CP!$D$28</f>
        <v>0</v>
      </c>
      <c r="N322" s="60">
        <f>(Pv!B31*Pv!E31)+(Syv!B31*Syv!E31)</f>
        <v>12.94498381877022</v>
      </c>
    </row>
    <row r="323" spans="1:24" ht="13.5" thickBot="1" x14ac:dyDescent="0.35">
      <c r="A323" s="638" t="s">
        <v>1369</v>
      </c>
      <c r="B323" s="880">
        <f>$C$40*M323</f>
        <v>1</v>
      </c>
      <c r="C323" s="830" t="s">
        <v>43</v>
      </c>
      <c r="D323" s="925">
        <f>IF(CP!$D$29&gt;0,CP!$E$29,Data!E323)</f>
        <v>35000</v>
      </c>
      <c r="E323" s="1198">
        <v>35000</v>
      </c>
      <c r="F323" s="816">
        <f>IF(CP!$D$29&gt;0,CP!$G$29,Data!G323)</f>
        <v>40</v>
      </c>
      <c r="G323" s="1200">
        <f>IF($G$271=1,$I$272,($O$338/N323)*$Q$338)</f>
        <v>40</v>
      </c>
      <c r="H323" s="1073">
        <f>(0.53*1545)/35000</f>
        <v>2.3395714285714287E-2</v>
      </c>
      <c r="I323" s="1074">
        <f>5000/15000</f>
        <v>0.33333333333333331</v>
      </c>
      <c r="J323" s="819">
        <f t="shared" si="28"/>
        <v>134.46593406593411</v>
      </c>
      <c r="L323" s="34">
        <f t="shared" ref="L323:L324" si="29">2/1</f>
        <v>2</v>
      </c>
      <c r="M323" s="880">
        <f>$C$40*CP!$D$29</f>
        <v>1</v>
      </c>
      <c r="N323" s="60">
        <f>(Pv!B31*Pv!E31)+(Syv!B31*Syv!E31)</f>
        <v>12.94498381877022</v>
      </c>
    </row>
    <row r="324" spans="1:24" ht="13.5" thickBot="1" x14ac:dyDescent="0.35">
      <c r="A324" s="638" t="s">
        <v>1370</v>
      </c>
      <c r="B324" s="880">
        <f>$C$41*M324</f>
        <v>0</v>
      </c>
      <c r="C324" s="830" t="s">
        <v>43</v>
      </c>
      <c r="D324" s="925">
        <f>IF(CP!$D$29&gt;0,CP!$E$29,Data!E324)</f>
        <v>35000</v>
      </c>
      <c r="E324" s="1198">
        <v>35000</v>
      </c>
      <c r="F324" s="816">
        <f>IF(CP!$D$29&gt;0,CP!$G$29,Data!G324)</f>
        <v>40</v>
      </c>
      <c r="G324" s="1200">
        <f>IF($G$271=1,$I$273,($O$338/N324)*$Q$338)</f>
        <v>20</v>
      </c>
      <c r="H324" s="1073">
        <f>(0.53*1545)/35000</f>
        <v>2.3395714285714287E-2</v>
      </c>
      <c r="I324" s="1074">
        <f>5000/15000</f>
        <v>0.33333333333333331</v>
      </c>
      <c r="J324" s="819">
        <f t="shared" si="28"/>
        <v>134.46593406593411</v>
      </c>
      <c r="L324" s="34">
        <f t="shared" si="29"/>
        <v>2</v>
      </c>
      <c r="M324" s="880">
        <f>$C$41*CP!$D$29</f>
        <v>0</v>
      </c>
      <c r="N324" s="60">
        <f>(Pv!B31*Pv!E31)+(Syv!B31*Syv!E31)</f>
        <v>12.94498381877022</v>
      </c>
    </row>
    <row r="325" spans="1:24" ht="13.5" thickBot="1" x14ac:dyDescent="0.35">
      <c r="A325" s="638" t="s">
        <v>2169</v>
      </c>
      <c r="B325" s="880">
        <f>$C$39*M325</f>
        <v>0</v>
      </c>
      <c r="C325" s="830" t="s">
        <v>2172</v>
      </c>
      <c r="D325" s="925">
        <f>IF(CP!$D$30&gt;0,CP!$E$30,Data!E325)</f>
        <v>5000</v>
      </c>
      <c r="E325" s="1198">
        <v>5000</v>
      </c>
      <c r="F325" s="816">
        <f>IF(CP!$D$30&gt;0,CP!$G$30,Data!G325)</f>
        <v>40</v>
      </c>
      <c r="G325" s="1200">
        <f>IF($G$271=1,$I$271,($O$338/N325)*$Q$338)</f>
        <v>50</v>
      </c>
      <c r="H325" s="1075">
        <v>0.02</v>
      </c>
      <c r="I325" s="1074">
        <f>1000/5000</f>
        <v>0.2</v>
      </c>
      <c r="J325" s="819">
        <f t="shared" si="28"/>
        <v>75.312527472527449</v>
      </c>
      <c r="K325" s="145"/>
      <c r="M325" s="880">
        <f>$C$39*CP!$D$30</f>
        <v>0</v>
      </c>
      <c r="N325" s="60">
        <f>(Bv!B35*Bv!E35)+(Ov!B35*Ov!E35)+(Rv!B35*Rv!E35)+(Wv!B35*Wv!E35)+(Tv!B35*Tv!E35)+(Sv!B35*Sv!E35)+(BWv!B26*BWv!E26)+(Pv!B27*Pv!E27)+(Syv!B27*Syv!E27)</f>
        <v>23.112480739599391</v>
      </c>
    </row>
    <row r="326" spans="1:24" ht="13.5" thickBot="1" x14ac:dyDescent="0.35">
      <c r="A326" s="638" t="s">
        <v>2170</v>
      </c>
      <c r="B326" s="880">
        <f>$C$40*M326</f>
        <v>1</v>
      </c>
      <c r="C326" s="830" t="s">
        <v>2172</v>
      </c>
      <c r="D326" s="925">
        <f>IF(CP!$D$30&gt;0,CP!$E$30,Data!E326)</f>
        <v>5000</v>
      </c>
      <c r="E326" s="1198">
        <v>5000</v>
      </c>
      <c r="F326" s="816">
        <f>IF(CP!$D$30&gt;0,CP!$G$30,Data!G326)</f>
        <v>40</v>
      </c>
      <c r="G326" s="1200">
        <f>IF($G$271=1,$I$272,($O$338/N326)*$Q$338)</f>
        <v>40</v>
      </c>
      <c r="H326" s="1075">
        <v>0.02</v>
      </c>
      <c r="I326" s="1074">
        <f>1000/5000</f>
        <v>0.2</v>
      </c>
      <c r="J326" s="819">
        <f t="shared" si="28"/>
        <v>75.312527472527449</v>
      </c>
      <c r="K326" s="145"/>
      <c r="M326" s="880">
        <f>$C$40*CP!$D$30</f>
        <v>1</v>
      </c>
      <c r="N326" s="60">
        <f>(Bv!B35*Bv!E35)+(Ov!B35*Ov!E35)+(Rv!B35*Rv!E35)+(Wv!B35*Wv!E35)+(Tv!B35*Tv!E35)+(Sv!B35*Sv!E35)+(BWv!B26*BWv!E26)+(Pv!B27*Pv!E27)+(Syv!B27*Syv!E27)</f>
        <v>23.112480739599391</v>
      </c>
    </row>
    <row r="327" spans="1:24" ht="13.5" thickBot="1" x14ac:dyDescent="0.35">
      <c r="A327" s="638" t="s">
        <v>2171</v>
      </c>
      <c r="B327" s="880">
        <f>$C$41*M327</f>
        <v>0</v>
      </c>
      <c r="C327" s="830" t="s">
        <v>2172</v>
      </c>
      <c r="D327" s="925">
        <f>IF(CP!$D$30&gt;0,CP!$E$30,Data!E327)</f>
        <v>5000</v>
      </c>
      <c r="E327" s="1198">
        <v>5000</v>
      </c>
      <c r="F327" s="816">
        <f>IF(CP!$D$30&gt;0,CP!$G$30,Data!G327)</f>
        <v>40</v>
      </c>
      <c r="G327" s="1200">
        <f>IF($G$271=1,$I$273,($O$338/N327)*$Q$338)</f>
        <v>20</v>
      </c>
      <c r="H327" s="1075">
        <v>0.02</v>
      </c>
      <c r="I327" s="1074">
        <f>1000/5000</f>
        <v>0.2</v>
      </c>
      <c r="J327" s="819">
        <f t="shared" si="28"/>
        <v>75.312527472527449</v>
      </c>
      <c r="K327" s="145"/>
      <c r="M327" s="880">
        <f>$C$41*CP!$D$30</f>
        <v>0</v>
      </c>
      <c r="N327" s="60">
        <f>(Bv!B35*Bv!E35)+(Ov!B35*Ov!E35)+(Rv!B35*Rv!E35)+(Wv!B35*Wv!E35)+(Tv!B35*Tv!E35)+(Sv!B35*Sv!E35)+(BWv!B26*BWv!E26)+(Pv!B27*Pv!E27)+(Syv!B27*Syv!E27)</f>
        <v>23.112480739599391</v>
      </c>
    </row>
    <row r="328" spans="1:24" x14ac:dyDescent="0.3">
      <c r="A328" s="6" t="s">
        <v>196</v>
      </c>
      <c r="B328" s="247">
        <v>0</v>
      </c>
      <c r="C328" s="34" t="s">
        <v>197</v>
      </c>
      <c r="D328" s="952">
        <f>E328+(E328*$K$275)</f>
        <v>1567.0442201899152</v>
      </c>
      <c r="E328" s="955">
        <v>1250</v>
      </c>
      <c r="F328" s="247">
        <v>10</v>
      </c>
      <c r="G328" s="247">
        <v>10</v>
      </c>
      <c r="H328" s="607">
        <v>4.4999999999999998E-2</v>
      </c>
      <c r="I328" s="606">
        <v>0.3</v>
      </c>
      <c r="N328" s="247" t="s">
        <v>363</v>
      </c>
    </row>
    <row r="329" spans="1:24" x14ac:dyDescent="0.3">
      <c r="A329" s="27"/>
      <c r="B329" s="33"/>
      <c r="C329" s="34"/>
      <c r="D329" s="110">
        <f>SUMPRODUCT(B309:B328,D309:D328)</f>
        <v>153000</v>
      </c>
      <c r="E329" s="17" t="s">
        <v>531</v>
      </c>
      <c r="N329" s="34"/>
    </row>
    <row r="330" spans="1:24" x14ac:dyDescent="0.3">
      <c r="A330" s="27"/>
      <c r="B330" s="33"/>
      <c r="C330" s="34"/>
      <c r="D330" s="110"/>
      <c r="N330" s="34"/>
    </row>
    <row r="331" spans="1:24" ht="13.25" customHeight="1" x14ac:dyDescent="0.3">
      <c r="A331" s="14" t="s">
        <v>4</v>
      </c>
      <c r="B331" s="15" t="s">
        <v>36</v>
      </c>
      <c r="C331" s="15" t="s">
        <v>22</v>
      </c>
      <c r="D331" s="15" t="s">
        <v>1637</v>
      </c>
      <c r="E331" s="15" t="s">
        <v>1636</v>
      </c>
      <c r="F331" s="15" t="s">
        <v>1635</v>
      </c>
      <c r="G331" s="15" t="s">
        <v>1902</v>
      </c>
      <c r="H331" s="15" t="s">
        <v>1634</v>
      </c>
      <c r="I331" s="605" t="s">
        <v>1098</v>
      </c>
      <c r="N331" s="814" t="s">
        <v>4</v>
      </c>
      <c r="O331" s="7" t="s">
        <v>1312</v>
      </c>
      <c r="R331" s="204" t="s">
        <v>1313</v>
      </c>
    </row>
    <row r="332" spans="1:24" x14ac:dyDescent="0.3">
      <c r="A332" s="6" t="s">
        <v>5</v>
      </c>
      <c r="B332" s="247">
        <v>0</v>
      </c>
      <c r="C332" s="34" t="s">
        <v>40</v>
      </c>
      <c r="D332" s="949">
        <f>E332+(E332*$K$275)</f>
        <v>1567.0442201899152</v>
      </c>
      <c r="E332" s="955">
        <v>1250</v>
      </c>
      <c r="F332" s="247">
        <v>33</v>
      </c>
      <c r="G332" s="247">
        <v>33</v>
      </c>
      <c r="H332" s="607">
        <v>4.4999999999999998E-2</v>
      </c>
      <c r="I332" s="606">
        <v>0.22</v>
      </c>
      <c r="N332" s="247" t="s">
        <v>363</v>
      </c>
      <c r="O332" s="89" t="s">
        <v>1314</v>
      </c>
    </row>
    <row r="333" spans="1:24" x14ac:dyDescent="0.3">
      <c r="A333" s="6" t="s">
        <v>96</v>
      </c>
      <c r="B333" s="247">
        <v>0</v>
      </c>
      <c r="C333" s="34" t="s">
        <v>97</v>
      </c>
      <c r="D333" s="949">
        <f>E333+(E333*$K$275)</f>
        <v>1253.6353761519322</v>
      </c>
      <c r="E333" s="955">
        <v>1000</v>
      </c>
      <c r="F333" s="247">
        <v>33</v>
      </c>
      <c r="G333" s="247">
        <v>33</v>
      </c>
      <c r="H333" s="607">
        <v>4.4999999999999998E-2</v>
      </c>
      <c r="I333" s="606">
        <v>0.22</v>
      </c>
      <c r="N333" s="247" t="s">
        <v>363</v>
      </c>
      <c r="P333" s="789" t="s">
        <v>1307</v>
      </c>
    </row>
    <row r="334" spans="1:24" ht="13.25" customHeight="1" thickBot="1" x14ac:dyDescent="0.35">
      <c r="A334" s="6" t="s">
        <v>206</v>
      </c>
      <c r="B334" s="633">
        <v>0</v>
      </c>
      <c r="C334" s="34" t="s">
        <v>207</v>
      </c>
      <c r="D334" s="949">
        <f>E334+(E334*$K$275)</f>
        <v>2507.2707523038644</v>
      </c>
      <c r="E334" s="955">
        <v>2000</v>
      </c>
      <c r="F334" s="273">
        <f>10</f>
        <v>10</v>
      </c>
      <c r="G334" s="273">
        <f>10</f>
        <v>10</v>
      </c>
      <c r="H334" s="607">
        <v>4.4999999999999998E-2</v>
      </c>
      <c r="I334" s="606">
        <v>0.4</v>
      </c>
      <c r="J334" s="216" t="s">
        <v>1597</v>
      </c>
      <c r="M334" s="831" t="s">
        <v>1355</v>
      </c>
      <c r="N334" s="247" t="s">
        <v>363</v>
      </c>
      <c r="P334" s="790">
        <v>1305.4945054945056</v>
      </c>
      <c r="Q334" s="804">
        <v>1740.6593406593406</v>
      </c>
      <c r="R334" s="790">
        <v>2610.9890109890111</v>
      </c>
      <c r="S334" s="790">
        <v>3481.3186813186812</v>
      </c>
      <c r="V334" s="14" t="s">
        <v>4</v>
      </c>
      <c r="W334" s="34" t="s">
        <v>1344</v>
      </c>
    </row>
    <row r="335" spans="1:24" ht="13.25" customHeight="1" thickBot="1" x14ac:dyDescent="0.35">
      <c r="A335" s="638" t="s">
        <v>1374</v>
      </c>
      <c r="B335" s="880">
        <f>$C$39*M335</f>
        <v>0</v>
      </c>
      <c r="C335" s="830" t="s">
        <v>1137</v>
      </c>
      <c r="D335" s="925">
        <f>IF(CP!$D$32&gt;0,CP!$E$32,Data!E335)</f>
        <v>5000</v>
      </c>
      <c r="E335" s="1198">
        <v>5000</v>
      </c>
      <c r="F335" s="909">
        <f>IF(CP!$D$32&gt;0,CP!$G$32,Data!G335)</f>
        <v>40</v>
      </c>
      <c r="G335" s="1200">
        <f>IF($G$271=1,$I$271,($O$338/N335)*$Q$338)</f>
        <v>50</v>
      </c>
      <c r="H335" s="1075">
        <v>0.02</v>
      </c>
      <c r="I335" s="1074">
        <f>1000/5000</f>
        <v>0.2</v>
      </c>
      <c r="J335" s="839">
        <v>12</v>
      </c>
      <c r="M335" s="880">
        <f>$C$39*CP!$D$32</f>
        <v>0</v>
      </c>
      <c r="N335" s="226">
        <f>(Wv!B37*Wv!E37)+(Tv!B37*Tv!E37)+(Sv!B37*Sv!E37)</f>
        <v>0</v>
      </c>
      <c r="P335" s="27" t="s">
        <v>1308</v>
      </c>
      <c r="Q335" s="27"/>
      <c r="R335" s="27"/>
      <c r="V335" s="638" t="s">
        <v>1340</v>
      </c>
      <c r="W335" s="821" t="str">
        <f>IF(D15=1,$Q$338/(wheat/$T$338),"-")</f>
        <v>-</v>
      </c>
      <c r="X335" s="17" t="s">
        <v>1341</v>
      </c>
    </row>
    <row r="336" spans="1:24" ht="13.25" customHeight="1" thickBot="1" x14ac:dyDescent="0.35">
      <c r="A336" s="638" t="s">
        <v>1382</v>
      </c>
      <c r="B336" s="880">
        <f>$C$40*M336</f>
        <v>1</v>
      </c>
      <c r="C336" s="830" t="s">
        <v>1137</v>
      </c>
      <c r="D336" s="925">
        <f>IF(CP!$D$32&gt;0,CP!$E$32,Data!E336)</f>
        <v>5000</v>
      </c>
      <c r="E336" s="1198">
        <v>5000</v>
      </c>
      <c r="F336" s="909">
        <f>IF(CP!$D$32&gt;0,CP!$G$32,Data!G336)</f>
        <v>40</v>
      </c>
      <c r="G336" s="1200">
        <f>IF($G$271=1,$I$272,($O$338/N336)*$Q$338)</f>
        <v>40</v>
      </c>
      <c r="H336" s="1075">
        <v>0.02</v>
      </c>
      <c r="I336" s="1074">
        <f>1000/5000</f>
        <v>0.2</v>
      </c>
      <c r="J336" s="839">
        <v>12</v>
      </c>
      <c r="M336" s="880">
        <f>$C$40*CP!$D$32</f>
        <v>1</v>
      </c>
      <c r="N336" s="226">
        <f>(Wv!B37*Wv!E37)+(Tv!B37*Tv!E37)+(Sv!B37*Sv!E37)</f>
        <v>0</v>
      </c>
      <c r="P336" s="810">
        <f>P334/[4]Workspace!$D$18</f>
        <v>0.65274725274725276</v>
      </c>
      <c r="Q336" s="813">
        <f>Q334/[4]Workspace!$D$18</f>
        <v>0.87032967032967035</v>
      </c>
      <c r="R336" s="810">
        <f>R334/[4]Workspace!$D$18</f>
        <v>1.3054945054945055</v>
      </c>
      <c r="S336" s="810">
        <f>S334/[4]Workspace!$D$18</f>
        <v>1.7406593406593407</v>
      </c>
      <c r="V336" s="638" t="s">
        <v>1340</v>
      </c>
      <c r="W336" s="821" t="str">
        <f>IF(D17=1,$Q$338/(triticale/$T$338),"-")</f>
        <v>-</v>
      </c>
      <c r="X336" s="17" t="s">
        <v>1342</v>
      </c>
    </row>
    <row r="337" spans="1:24" ht="13.25" customHeight="1" thickBot="1" x14ac:dyDescent="0.35">
      <c r="A337" s="638" t="s">
        <v>1383</v>
      </c>
      <c r="B337" s="880">
        <f>$C$41*M337</f>
        <v>0</v>
      </c>
      <c r="C337" s="830" t="s">
        <v>1137</v>
      </c>
      <c r="D337" s="925">
        <f>IF(CP!$D$32&gt;0,CP!$E$32,Data!E337)</f>
        <v>5000</v>
      </c>
      <c r="E337" s="1198">
        <v>5000</v>
      </c>
      <c r="F337" s="909">
        <f>IF(CP!$D$32&gt;0,CP!$G$32,Data!G337)</f>
        <v>40</v>
      </c>
      <c r="G337" s="1200">
        <f>IF($G$271=1,$I$273,($O$338/N337)*$Q$338)</f>
        <v>20</v>
      </c>
      <c r="H337" s="1075">
        <v>0.02</v>
      </c>
      <c r="I337" s="1074">
        <f>1000/5000</f>
        <v>0.2</v>
      </c>
      <c r="J337" s="839">
        <v>12</v>
      </c>
      <c r="M337" s="880">
        <f>$C$41*CP!$D$32</f>
        <v>0</v>
      </c>
      <c r="N337" s="226">
        <f>(Wv!B37*Wv!E37)+(Tv!B37*Tv!E37)+(Sv!B37*Sv!E37)</f>
        <v>0</v>
      </c>
      <c r="O337" s="62" t="s">
        <v>1309</v>
      </c>
      <c r="P337" s="825" t="s">
        <v>1310</v>
      </c>
      <c r="Q337" s="825"/>
      <c r="R337" s="825"/>
      <c r="S337" s="825"/>
      <c r="T337" s="25" t="s">
        <v>1315</v>
      </c>
      <c r="V337" s="638" t="s">
        <v>1340</v>
      </c>
      <c r="W337" s="822">
        <f>IF(D18=1,$Q$338/(spelt/$T$338),"-")</f>
        <v>24</v>
      </c>
      <c r="X337" s="17" t="s">
        <v>1343</v>
      </c>
    </row>
    <row r="338" spans="1:24" ht="13.5" thickBot="1" x14ac:dyDescent="0.35">
      <c r="A338" s="638" t="s">
        <v>1381</v>
      </c>
      <c r="B338" s="880">
        <f>$C$39*M338</f>
        <v>0</v>
      </c>
      <c r="C338" s="830" t="s">
        <v>1136</v>
      </c>
      <c r="D338" s="925">
        <f>IF(CP!$D$33&gt;0,CP!$E$33,Data!E338)</f>
        <v>7738.78761047635</v>
      </c>
      <c r="E338" s="1198">
        <v>7738.78761047635</v>
      </c>
      <c r="F338" s="909">
        <f>IF(CP!$D$33&gt;0,CP!$G$33,Data!G338)</f>
        <v>40</v>
      </c>
      <c r="G338" s="1200">
        <f>IF($G$271=1,$I$271,($O$338/N338)*$Q$338)</f>
        <v>50</v>
      </c>
      <c r="H338" s="1073">
        <v>2.2825263157894699E-2</v>
      </c>
      <c r="I338" s="1074">
        <v>0.25</v>
      </c>
      <c r="J338" s="819">
        <f>IF(N338=0,G338,($O$338/N338)*$Q$338)</f>
        <v>23.208791208791208</v>
      </c>
      <c r="M338" s="880">
        <f>$C$39*CP!$D$33</f>
        <v>0</v>
      </c>
      <c r="N338" s="34">
        <f>(Bv!B27*Bv!E27)+(Ov!B27*Ov!E27)+(Rv!B27*Rv!E27)+(Wv!B27*Wv!E27)+(Tv!B27*Tv!E27)+(Sv!B27*Sv!E27)+(BWv!B21*BWv!E21)+(0)+(0)</f>
        <v>75</v>
      </c>
      <c r="O338" s="811">
        <v>72.527472527472526</v>
      </c>
      <c r="P338" s="794">
        <v>18</v>
      </c>
      <c r="Q338" s="806">
        <v>24</v>
      </c>
      <c r="R338" s="795">
        <v>36</v>
      </c>
      <c r="S338" s="796">
        <v>48</v>
      </c>
      <c r="T338" s="818">
        <v>100</v>
      </c>
      <c r="V338" s="55" t="s">
        <v>1345</v>
      </c>
      <c r="W338" s="34">
        <f>AVERAGE(W335:W337)</f>
        <v>24</v>
      </c>
      <c r="X338" s="17" t="s">
        <v>1219</v>
      </c>
    </row>
    <row r="339" spans="1:24" ht="13.5" thickBot="1" x14ac:dyDescent="0.35">
      <c r="A339" s="638" t="s">
        <v>1384</v>
      </c>
      <c r="B339" s="880">
        <f>$C$40*M339</f>
        <v>1</v>
      </c>
      <c r="C339" s="830" t="s">
        <v>1136</v>
      </c>
      <c r="D339" s="925">
        <f>IF(CP!$D$33&gt;0,CP!$E$33,Data!E339)</f>
        <v>7738.78761047635</v>
      </c>
      <c r="E339" s="1198">
        <v>7738.78761047635</v>
      </c>
      <c r="F339" s="909">
        <f>IF(CP!$D$33&gt;0,CP!$G$33,Data!G339)</f>
        <v>40</v>
      </c>
      <c r="G339" s="1200">
        <f>IF($G$271=1,$I$272,($O$338/N339)*$Q$338)</f>
        <v>40</v>
      </c>
      <c r="H339" s="1073">
        <v>2.2825263157894699E-2</v>
      </c>
      <c r="I339" s="1074">
        <v>0.25</v>
      </c>
      <c r="J339" s="819">
        <f>IF(N339=0,G339,($O$338/N339)*$Q$338)</f>
        <v>23.208791208791208</v>
      </c>
      <c r="K339" s="55"/>
      <c r="L339" s="34"/>
      <c r="M339" s="880">
        <f>$C$40*CP!$D$33</f>
        <v>1</v>
      </c>
      <c r="N339" s="34">
        <f>(Bv!B27*Bv!E27)+(Ov!B27*Ov!E27)+(Rv!B27*Rv!E27)+(Wv!B27*Wv!E27)+(Tv!B27*Tv!E27)+(Sv!B27*Sv!E27)+(BWv!B21*BWv!E21)+(0)+(0)</f>
        <v>75</v>
      </c>
      <c r="O339" s="811">
        <v>108.79120879120879</v>
      </c>
      <c r="P339" s="797">
        <v>12.000000000000002</v>
      </c>
      <c r="Q339" s="807">
        <v>16</v>
      </c>
      <c r="R339" s="790">
        <v>24.000000000000004</v>
      </c>
      <c r="S339" s="793">
        <v>32</v>
      </c>
      <c r="T339" s="818">
        <v>150</v>
      </c>
    </row>
    <row r="340" spans="1:24" ht="13.5" thickBot="1" x14ac:dyDescent="0.35">
      <c r="A340" s="638" t="s">
        <v>1385</v>
      </c>
      <c r="B340" s="880">
        <f>$C$41*M340</f>
        <v>0</v>
      </c>
      <c r="C340" s="830" t="s">
        <v>1136</v>
      </c>
      <c r="D340" s="925">
        <f>IF(CP!$D$33&gt;0,CP!$E$33,Data!E340)</f>
        <v>7738.78761047635</v>
      </c>
      <c r="E340" s="1198">
        <v>7738.78761047635</v>
      </c>
      <c r="F340" s="909">
        <f>IF(CP!$D$33&gt;0,CP!$G$33,Data!G340)</f>
        <v>40</v>
      </c>
      <c r="G340" s="1200">
        <f>IF($G$271=1,$I$273,($O$338/N340)*$Q$338)</f>
        <v>20</v>
      </c>
      <c r="H340" s="1073">
        <v>2.2825263157894699E-2</v>
      </c>
      <c r="I340" s="1074">
        <v>0.25</v>
      </c>
      <c r="J340" s="819">
        <f>IF(N340=0,G340,($O$338/N340)*$Q$338)</f>
        <v>23.208791208791208</v>
      </c>
      <c r="L340" s="601" t="s">
        <v>1097</v>
      </c>
      <c r="M340" s="880">
        <f>$C$41*CP!$D$33</f>
        <v>0</v>
      </c>
      <c r="N340" s="34">
        <f>(Bv!B27*Bv!E27)+(Ov!B27*Ov!E27)+(Rv!B27*Rv!E27)+(Wv!B27*Wv!E27)+(Tv!B27*Tv!E27)+(Sv!B27*Sv!E27)+(BWv!B21*BWv!E21)+(0)+(0)</f>
        <v>75</v>
      </c>
      <c r="O340" s="811">
        <v>145.05494505494505</v>
      </c>
      <c r="P340" s="799">
        <v>9</v>
      </c>
      <c r="Q340" s="807">
        <v>12</v>
      </c>
      <c r="R340" s="798">
        <v>18</v>
      </c>
      <c r="S340" s="800">
        <v>24</v>
      </c>
      <c r="T340" s="818">
        <v>200</v>
      </c>
    </row>
    <row r="341" spans="1:24" ht="13.75" customHeight="1" x14ac:dyDescent="0.3">
      <c r="A341" s="6" t="s">
        <v>529</v>
      </c>
      <c r="B341" s="247">
        <v>0</v>
      </c>
      <c r="C341" s="34" t="s">
        <v>41</v>
      </c>
      <c r="D341" s="961">
        <v>43000</v>
      </c>
      <c r="E341" s="274">
        <v>48000</v>
      </c>
      <c r="F341" s="247">
        <v>10</v>
      </c>
      <c r="G341" s="247">
        <v>10</v>
      </c>
      <c r="H341" s="607">
        <v>4.4999999999999998E-2</v>
      </c>
      <c r="I341" s="606">
        <v>0.4</v>
      </c>
      <c r="L341" s="34">
        <f>6/4</f>
        <v>1.5</v>
      </c>
      <c r="N341" s="247" t="s">
        <v>363</v>
      </c>
      <c r="O341" s="811">
        <v>217.58241758241758</v>
      </c>
      <c r="P341" s="797">
        <v>6.0000000000000009</v>
      </c>
      <c r="Q341" s="807">
        <v>8</v>
      </c>
      <c r="R341" s="790">
        <v>12.000000000000002</v>
      </c>
      <c r="S341" s="793">
        <v>16</v>
      </c>
      <c r="T341" s="818">
        <v>300</v>
      </c>
    </row>
    <row r="342" spans="1:24" ht="13.5" thickBot="1" x14ac:dyDescent="0.35">
      <c r="A342" s="6" t="s">
        <v>530</v>
      </c>
      <c r="B342" s="247">
        <v>0</v>
      </c>
      <c r="C342" s="34" t="s">
        <v>42</v>
      </c>
      <c r="D342" s="949">
        <f>E342+(E342*$K$275)</f>
        <v>1629.7259889975119</v>
      </c>
      <c r="E342" s="955">
        <v>1300</v>
      </c>
      <c r="F342" s="247">
        <v>33</v>
      </c>
      <c r="G342" s="247">
        <v>33</v>
      </c>
      <c r="H342" s="607">
        <v>4.4999999999999998E-2</v>
      </c>
      <c r="I342" s="606">
        <v>0.22</v>
      </c>
      <c r="L342" s="601" t="s">
        <v>1097</v>
      </c>
      <c r="M342" s="831" t="s">
        <v>1355</v>
      </c>
      <c r="N342" s="247" t="s">
        <v>363</v>
      </c>
      <c r="O342" s="811">
        <v>290.1098901098901</v>
      </c>
      <c r="P342" s="801">
        <v>4.5</v>
      </c>
      <c r="Q342" s="808">
        <v>6</v>
      </c>
      <c r="R342" s="802">
        <v>9</v>
      </c>
      <c r="S342" s="803">
        <v>12</v>
      </c>
      <c r="T342" s="818">
        <v>400</v>
      </c>
    </row>
    <row r="343" spans="1:24" ht="13.5" thickBot="1" x14ac:dyDescent="0.35">
      <c r="A343" s="638" t="s">
        <v>1372</v>
      </c>
      <c r="B343" s="880">
        <f>$C$39*M343</f>
        <v>0</v>
      </c>
      <c r="C343" s="830" t="s">
        <v>123</v>
      </c>
      <c r="D343" s="925">
        <f>IF(CP!$D$34&gt;0,CP!$E$34,Data!E343)</f>
        <v>22000</v>
      </c>
      <c r="E343" s="1198">
        <v>22000</v>
      </c>
      <c r="F343" s="816">
        <f>IF(CP!$D$34&gt;0,CP!$G$34,Data!G343)</f>
        <v>50</v>
      </c>
      <c r="G343" s="1200">
        <f>IF($G$271=1,$I$271,($O$338/N343)*$Q$338)</f>
        <v>50</v>
      </c>
      <c r="H343" s="1073">
        <f>(1.03*509)/22000</f>
        <v>2.3830454545454544E-2</v>
      </c>
      <c r="I343" s="1074">
        <v>0.4</v>
      </c>
      <c r="L343" s="46">
        <f t="shared" ref="L343:L348" si="30">20/15</f>
        <v>1.3333333333333333</v>
      </c>
      <c r="M343" s="880">
        <f>$C$39*CP!$D$34</f>
        <v>0</v>
      </c>
      <c r="N343" s="60">
        <f>(Bv!B34*Bv!E34)+(Ov!B34*Ov!E34)+(Rv!B34*Rv!E34)+(Wv!B34*Wv!E34)+(Tv!B34*Tv!E34)+(Sv!B34*Sv!E34)+(BWv!B25*BWv!E25)+(Pv!B26*Pv!E26)+(Syv!B26*Syv!E26)</f>
        <v>30.816640986132519</v>
      </c>
      <c r="P343" s="812"/>
      <c r="Q343" s="812"/>
      <c r="R343" s="812"/>
      <c r="S343" s="812"/>
    </row>
    <row r="344" spans="1:24" ht="13.5" thickBot="1" x14ac:dyDescent="0.35">
      <c r="A344" s="638" t="s">
        <v>1371</v>
      </c>
      <c r="B344" s="880">
        <f>$C$40*M344</f>
        <v>1</v>
      </c>
      <c r="C344" s="830" t="s">
        <v>123</v>
      </c>
      <c r="D344" s="925">
        <f>IF(CP!$D$35&gt;0,CP!$E$35,Data!E344)</f>
        <v>45000</v>
      </c>
      <c r="E344" s="1198">
        <v>45000</v>
      </c>
      <c r="F344" s="816">
        <f>IF(CP!$D$35&gt;0,CP!$G$35,Data!G344)</f>
        <v>40</v>
      </c>
      <c r="G344" s="1200">
        <f>IF($G$271=1,$I$272,($O$338/N344)*$Q$338)</f>
        <v>40</v>
      </c>
      <c r="H344" s="1073">
        <f>(1.34*795)/45000</f>
        <v>2.3673333333333331E-2</v>
      </c>
      <c r="I344" s="1074">
        <v>0.4</v>
      </c>
      <c r="L344" s="46">
        <f t="shared" si="30"/>
        <v>1.3333333333333333</v>
      </c>
      <c r="M344" s="880">
        <f>$C$40*CP!$D$35</f>
        <v>1</v>
      </c>
      <c r="N344" s="60">
        <f>(Bv!B34*Bv!E34)+(Ov!B34*Ov!E34)+(Rv!B34*Rv!E34)+(Wv!B34*Wv!E34)+(Tv!B34*Tv!E34)+(Sv!B34*Sv!E34)+(BWv!B25*BWv!E25)+(Pv!B26*Pv!E26)+(Syv!B26*Syv!E26)</f>
        <v>30.816640986132519</v>
      </c>
    </row>
    <row r="345" spans="1:24" ht="13.5" thickBot="1" x14ac:dyDescent="0.35">
      <c r="A345" s="638" t="s">
        <v>1373</v>
      </c>
      <c r="B345" s="880">
        <f>$C$41*M345</f>
        <v>0</v>
      </c>
      <c r="C345" s="830" t="s">
        <v>123</v>
      </c>
      <c r="D345" s="925">
        <f>IF(CP!$D$36&gt;0,CP!$E$36,Data!E345)</f>
        <v>57000</v>
      </c>
      <c r="E345" s="1198">
        <v>57000</v>
      </c>
      <c r="F345" s="816">
        <f>IF(CP!$D$36&gt;0,CP!$G$36,Data!G345)</f>
        <v>20</v>
      </c>
      <c r="G345" s="1200">
        <f>IF($G$271=1,$I$273,($O$338/N345)*$Q$338)</f>
        <v>20</v>
      </c>
      <c r="H345" s="1073">
        <f>(1.52*1018)/57000</f>
        <v>2.714666666666667E-2</v>
      </c>
      <c r="I345" s="1074">
        <v>0.4</v>
      </c>
      <c r="L345" s="46">
        <f t="shared" si="30"/>
        <v>1.3333333333333333</v>
      </c>
      <c r="M345" s="880">
        <f>$C$41*CP!$D$36</f>
        <v>0</v>
      </c>
      <c r="N345" s="60">
        <f>(Bv!B34*Bv!E34)+(Ov!B34*Ov!E34)+(Rv!B34*Rv!E34)+(Wv!B34*Wv!E34)+(Tv!B34*Tv!E34)+(Sv!B34*Sv!E34)+(BWv!B25*BWv!E25)+(Pv!B26*Pv!E26)+(Syv!B26*Syv!E26)</f>
        <v>30.816640986132519</v>
      </c>
    </row>
    <row r="346" spans="1:24" x14ac:dyDescent="0.3">
      <c r="A346" s="6" t="s">
        <v>463</v>
      </c>
      <c r="B346" s="247">
        <v>0</v>
      </c>
      <c r="C346" s="34" t="s">
        <v>41</v>
      </c>
      <c r="D346" s="962">
        <v>18000</v>
      </c>
      <c r="E346" s="274">
        <v>6000</v>
      </c>
      <c r="F346" s="247">
        <v>10</v>
      </c>
      <c r="G346" s="247">
        <v>10</v>
      </c>
      <c r="H346" s="607">
        <v>4.4999999999999998E-2</v>
      </c>
      <c r="I346" s="606">
        <v>0.4</v>
      </c>
      <c r="L346" s="46">
        <f t="shared" si="30"/>
        <v>1.3333333333333333</v>
      </c>
      <c r="N346" s="247" t="s">
        <v>363</v>
      </c>
    </row>
    <row r="347" spans="1:24" x14ac:dyDescent="0.3">
      <c r="A347" s="6" t="s">
        <v>404</v>
      </c>
      <c r="B347" s="247">
        <v>0</v>
      </c>
      <c r="C347" s="34" t="s">
        <v>405</v>
      </c>
      <c r="D347" s="958">
        <v>33000</v>
      </c>
      <c r="E347" s="274">
        <v>8000</v>
      </c>
      <c r="F347" s="247">
        <v>10</v>
      </c>
      <c r="G347" s="247">
        <v>10</v>
      </c>
      <c r="H347" s="607">
        <v>4.4999999999999998E-2</v>
      </c>
      <c r="I347" s="606">
        <v>0.4</v>
      </c>
      <c r="L347" s="46">
        <f t="shared" si="30"/>
        <v>1.3333333333333333</v>
      </c>
      <c r="N347" s="247" t="s">
        <v>363</v>
      </c>
    </row>
    <row r="348" spans="1:24" x14ac:dyDescent="0.3">
      <c r="A348" s="6" t="s">
        <v>535</v>
      </c>
      <c r="B348" s="633">
        <v>0</v>
      </c>
      <c r="C348" s="34" t="s">
        <v>41</v>
      </c>
      <c r="D348" s="963">
        <v>18000</v>
      </c>
      <c r="E348" s="274">
        <v>6000</v>
      </c>
      <c r="F348" s="247">
        <v>10</v>
      </c>
      <c r="G348" s="247">
        <v>10</v>
      </c>
      <c r="H348" s="607">
        <v>4.4999999999999998E-2</v>
      </c>
      <c r="I348" s="606">
        <v>0.4</v>
      </c>
      <c r="L348" s="46">
        <f t="shared" si="30"/>
        <v>1.3333333333333333</v>
      </c>
      <c r="N348" s="247" t="s">
        <v>363</v>
      </c>
    </row>
    <row r="349" spans="1:24" x14ac:dyDescent="0.3">
      <c r="A349" s="6" t="s">
        <v>707</v>
      </c>
      <c r="B349" s="247">
        <v>0</v>
      </c>
      <c r="C349" s="34" t="s">
        <v>41</v>
      </c>
      <c r="D349" s="964">
        <v>21000</v>
      </c>
      <c r="E349" s="274" t="s">
        <v>45</v>
      </c>
      <c r="F349" s="273">
        <v>10</v>
      </c>
      <c r="G349" s="273">
        <v>10</v>
      </c>
      <c r="H349" s="607">
        <v>4.4999999999999998E-2</v>
      </c>
      <c r="I349" s="606">
        <v>0.4</v>
      </c>
      <c r="J349" s="34"/>
      <c r="N349" s="247" t="s">
        <v>363</v>
      </c>
    </row>
    <row r="350" spans="1:24" x14ac:dyDescent="0.3">
      <c r="A350" s="6"/>
      <c r="B350" s="33"/>
      <c r="C350" s="34"/>
      <c r="D350" s="110">
        <f>SUMPRODUCT(B331:B349,D331:D349)</f>
        <v>57738.787610476349</v>
      </c>
      <c r="E350" s="17" t="s">
        <v>1462</v>
      </c>
      <c r="J350" s="34"/>
      <c r="N350" s="34"/>
    </row>
    <row r="351" spans="1:24" x14ac:dyDescent="0.3">
      <c r="A351" s="6"/>
      <c r="B351" s="33"/>
      <c r="C351" s="34"/>
      <c r="D351" s="110"/>
      <c r="J351" s="34"/>
      <c r="N351" s="34"/>
    </row>
    <row r="352" spans="1:24" ht="13.25" customHeight="1" thickBot="1" x14ac:dyDescent="0.35">
      <c r="A352" s="14" t="s">
        <v>7</v>
      </c>
      <c r="B352" s="15" t="s">
        <v>36</v>
      </c>
      <c r="C352" s="15" t="s">
        <v>22</v>
      </c>
      <c r="D352" s="15" t="s">
        <v>1637</v>
      </c>
      <c r="E352" s="15" t="s">
        <v>1636</v>
      </c>
      <c r="F352" s="15" t="s">
        <v>1635</v>
      </c>
      <c r="G352" s="15" t="s">
        <v>1902</v>
      </c>
      <c r="H352" s="15" t="s">
        <v>1634</v>
      </c>
      <c r="I352" s="605" t="s">
        <v>1098</v>
      </c>
      <c r="M352" s="831" t="s">
        <v>1355</v>
      </c>
      <c r="N352" s="814" t="s">
        <v>7</v>
      </c>
    </row>
    <row r="353" spans="1:14" ht="13.5" thickBot="1" x14ac:dyDescent="0.35">
      <c r="A353" s="638" t="s">
        <v>1631</v>
      </c>
      <c r="B353" s="946">
        <f>$C$39*M353</f>
        <v>0</v>
      </c>
      <c r="C353" s="34" t="s">
        <v>110</v>
      </c>
      <c r="D353" s="942">
        <f>IF(CP!$D$38&gt;0,CP!$E$38,Data!E353)</f>
        <v>21000</v>
      </c>
      <c r="E353" s="1198">
        <v>21000</v>
      </c>
      <c r="F353" s="370">
        <f>IF(CP!$D$38&gt;0,CP!$G$38,Data!G353)</f>
        <v>50</v>
      </c>
      <c r="G353" s="1200">
        <f>IF($G$271=1,$I$271,($O$338/N353)*$Q$338)</f>
        <v>50</v>
      </c>
      <c r="H353" s="1076">
        <v>4.4999999999999998E-2</v>
      </c>
      <c r="I353" s="1074">
        <v>0.5</v>
      </c>
      <c r="M353" s="880">
        <f>$C$39*CP!$D$38</f>
        <v>0</v>
      </c>
      <c r="N353" s="247" t="s">
        <v>363</v>
      </c>
    </row>
    <row r="354" spans="1:14" ht="13.5" thickBot="1" x14ac:dyDescent="0.35">
      <c r="A354" s="638" t="s">
        <v>1633</v>
      </c>
      <c r="B354" s="945">
        <f>$C$40*M354</f>
        <v>0</v>
      </c>
      <c r="C354" s="34" t="s">
        <v>110</v>
      </c>
      <c r="D354" s="942">
        <f>IF(CP!$D$39&gt;0,CP!$E$39,Data!E354)</f>
        <v>45000</v>
      </c>
      <c r="E354" s="1198">
        <v>45000</v>
      </c>
      <c r="F354" s="370">
        <f>IF(CP!$D$39&gt;0,CP!$G$39,Data!G354)</f>
        <v>40</v>
      </c>
      <c r="G354" s="1200">
        <f>IF($G$271=1,$I$272,($O$338/N354)*$Q$338)</f>
        <v>40</v>
      </c>
      <c r="H354" s="1076">
        <v>4.4999999999999998E-2</v>
      </c>
      <c r="I354" s="1074">
        <v>0.5</v>
      </c>
      <c r="M354" s="880">
        <f>$C$40*CP!$D$39</f>
        <v>0</v>
      </c>
      <c r="N354" s="247" t="s">
        <v>363</v>
      </c>
    </row>
    <row r="355" spans="1:14" ht="13.5" thickBot="1" x14ac:dyDescent="0.35">
      <c r="A355" s="638" t="s">
        <v>1632</v>
      </c>
      <c r="B355" s="947">
        <f>$C$41*M355</f>
        <v>0</v>
      </c>
      <c r="C355" s="34" t="s">
        <v>110</v>
      </c>
      <c r="D355" s="942">
        <f>IF(CP!$D$40&gt;0,CP!$E$40,Data!E355)</f>
        <v>234000</v>
      </c>
      <c r="E355" s="1198">
        <v>234000</v>
      </c>
      <c r="F355" s="370">
        <f>IF(CP!$D$40&gt;0,CP!$G$40,Data!G355)</f>
        <v>20</v>
      </c>
      <c r="G355" s="1200">
        <f>IF($G$271=1,$I$273,($O$338/N355)*$Q$338)</f>
        <v>20</v>
      </c>
      <c r="H355" s="1076">
        <v>4.4999999999999998E-2</v>
      </c>
      <c r="I355" s="1074">
        <v>0.5</v>
      </c>
      <c r="M355" s="880">
        <f>$C$41*CP!$D$40</f>
        <v>0</v>
      </c>
      <c r="N355" s="247" t="s">
        <v>363</v>
      </c>
    </row>
    <row r="356" spans="1:14" x14ac:dyDescent="0.3">
      <c r="A356" s="6"/>
      <c r="B356" s="33"/>
      <c r="C356" s="34"/>
      <c r="D356" s="110">
        <f>SUMPRODUCT(B352:B353,D352:D353)</f>
        <v>0</v>
      </c>
      <c r="E356" s="17" t="s">
        <v>1463</v>
      </c>
      <c r="N356" s="34"/>
    </row>
    <row r="357" spans="1:14" x14ac:dyDescent="0.3">
      <c r="A357" s="6"/>
      <c r="B357" s="33"/>
      <c r="C357" s="34"/>
      <c r="D357" s="110"/>
      <c r="N357" s="34"/>
    </row>
    <row r="358" spans="1:14" ht="13.25" customHeight="1" x14ac:dyDescent="0.3">
      <c r="A358" s="14" t="s">
        <v>183</v>
      </c>
      <c r="B358" s="15" t="s">
        <v>36</v>
      </c>
      <c r="C358" s="15" t="s">
        <v>22</v>
      </c>
      <c r="D358" s="15" t="s">
        <v>1637</v>
      </c>
      <c r="E358" s="15" t="s">
        <v>1636</v>
      </c>
      <c r="F358" s="15" t="s">
        <v>1635</v>
      </c>
      <c r="G358" s="15" t="s">
        <v>1902</v>
      </c>
      <c r="H358" s="15" t="s">
        <v>1634</v>
      </c>
      <c r="I358" s="605" t="s">
        <v>1098</v>
      </c>
      <c r="N358" s="814" t="s">
        <v>183</v>
      </c>
    </row>
    <row r="359" spans="1:14" x14ac:dyDescent="0.3">
      <c r="A359" s="6" t="s">
        <v>186</v>
      </c>
      <c r="B359" s="292">
        <v>0</v>
      </c>
      <c r="C359" s="34" t="s">
        <v>184</v>
      </c>
      <c r="D359" s="906">
        <f>E359+(E359*$K$275)</f>
        <v>18804.530642278984</v>
      </c>
      <c r="E359" s="275">
        <f>15000</f>
        <v>15000</v>
      </c>
      <c r="F359" s="247">
        <v>10</v>
      </c>
      <c r="G359" s="247">
        <v>10</v>
      </c>
      <c r="H359" s="607">
        <v>4.4999999999999998E-2</v>
      </c>
      <c r="I359" s="606">
        <v>0.35</v>
      </c>
      <c r="N359" s="247" t="s">
        <v>363</v>
      </c>
    </row>
    <row r="360" spans="1:14" x14ac:dyDescent="0.3">
      <c r="A360" s="6" t="s">
        <v>187</v>
      </c>
      <c r="B360" s="292">
        <v>0</v>
      </c>
      <c r="C360" s="34" t="s">
        <v>185</v>
      </c>
      <c r="D360" s="906">
        <f>E360+(E360*$K$275)</f>
        <v>8148.6299449875587</v>
      </c>
      <c r="E360" s="275">
        <f>6500</f>
        <v>6500</v>
      </c>
      <c r="F360" s="247">
        <v>10</v>
      </c>
      <c r="G360" s="247">
        <v>10</v>
      </c>
      <c r="H360" s="607">
        <v>4.4999999999999998E-2</v>
      </c>
      <c r="I360" s="606">
        <v>0.35</v>
      </c>
      <c r="N360" s="247" t="s">
        <v>363</v>
      </c>
    </row>
    <row r="361" spans="1:14" x14ac:dyDescent="0.3">
      <c r="A361" s="6" t="s">
        <v>188</v>
      </c>
      <c r="B361" s="292">
        <v>0</v>
      </c>
      <c r="C361" s="34" t="s">
        <v>189</v>
      </c>
      <c r="D361" s="906">
        <f>E361+(E361*$K$275)</f>
        <v>3134.0884403798304</v>
      </c>
      <c r="E361" s="275">
        <f>2500</f>
        <v>2500</v>
      </c>
      <c r="F361" s="247">
        <v>10</v>
      </c>
      <c r="G361" s="247">
        <v>10</v>
      </c>
      <c r="H361" s="607">
        <v>4.4999999999999998E-2</v>
      </c>
      <c r="I361" s="606">
        <v>0.35</v>
      </c>
      <c r="N361" s="247" t="s">
        <v>363</v>
      </c>
    </row>
    <row r="362" spans="1:14" x14ac:dyDescent="0.3">
      <c r="A362" s="6" t="s">
        <v>190</v>
      </c>
      <c r="B362" s="292">
        <v>0</v>
      </c>
      <c r="C362" s="34" t="s">
        <v>191</v>
      </c>
      <c r="D362" s="906">
        <f>E362+(E362*$K$275)</f>
        <v>1880.4530642278983</v>
      </c>
      <c r="E362" s="275">
        <f>1500</f>
        <v>1500</v>
      </c>
      <c r="F362" s="247">
        <v>10</v>
      </c>
      <c r="G362" s="247">
        <v>10</v>
      </c>
      <c r="H362" s="607">
        <v>4.4999999999999998E-2</v>
      </c>
      <c r="I362" s="606">
        <v>0.35</v>
      </c>
      <c r="N362" s="247" t="s">
        <v>363</v>
      </c>
    </row>
    <row r="363" spans="1:14" x14ac:dyDescent="0.3">
      <c r="A363" s="6" t="s">
        <v>227</v>
      </c>
      <c r="B363" s="292">
        <v>0</v>
      </c>
      <c r="C363" s="34" t="s">
        <v>228</v>
      </c>
      <c r="D363" s="951">
        <f>E363+(E363*$K$275)</f>
        <v>56413.591926836947</v>
      </c>
      <c r="E363" s="275">
        <f>45000</f>
        <v>45000</v>
      </c>
      <c r="F363" s="247">
        <v>10</v>
      </c>
      <c r="G363" s="247">
        <v>10</v>
      </c>
      <c r="H363" s="607">
        <v>4.4999999999999998E-2</v>
      </c>
      <c r="I363" s="606">
        <v>0.35</v>
      </c>
      <c r="N363" s="247" t="s">
        <v>363</v>
      </c>
    </row>
    <row r="364" spans="1:14" x14ac:dyDescent="0.3">
      <c r="A364" s="6"/>
      <c r="B364" s="33"/>
      <c r="C364" s="34"/>
      <c r="D364" s="110">
        <f>SUMPRODUCT(B358:B363,D358:D363)</f>
        <v>0</v>
      </c>
      <c r="E364" s="17" t="s">
        <v>1464</v>
      </c>
      <c r="N364" s="34"/>
    </row>
    <row r="365" spans="1:14" x14ac:dyDescent="0.3">
      <c r="A365" s="6"/>
      <c r="B365" s="33"/>
      <c r="C365" s="34"/>
      <c r="D365" s="110"/>
      <c r="N365" s="34"/>
    </row>
    <row r="366" spans="1:14" ht="13.25" customHeight="1" x14ac:dyDescent="0.3">
      <c r="A366" s="14" t="s">
        <v>9</v>
      </c>
      <c r="B366" s="15" t="s">
        <v>36</v>
      </c>
      <c r="C366" s="15" t="s">
        <v>22</v>
      </c>
      <c r="D366" s="11" t="s">
        <v>1637</v>
      </c>
      <c r="E366" s="15" t="s">
        <v>1636</v>
      </c>
      <c r="F366" s="15" t="s">
        <v>1635</v>
      </c>
      <c r="G366" s="15" t="s">
        <v>1902</v>
      </c>
      <c r="H366" s="15" t="s">
        <v>1634</v>
      </c>
      <c r="I366" s="605" t="s">
        <v>1098</v>
      </c>
      <c r="L366" s="601" t="s">
        <v>1097</v>
      </c>
      <c r="N366" s="814" t="s">
        <v>9</v>
      </c>
    </row>
    <row r="367" spans="1:14" x14ac:dyDescent="0.3">
      <c r="A367" s="6" t="s">
        <v>160</v>
      </c>
      <c r="B367" s="247">
        <v>0</v>
      </c>
      <c r="C367" s="34" t="s">
        <v>44</v>
      </c>
      <c r="D367" s="958">
        <v>74000</v>
      </c>
      <c r="E367" s="275">
        <f>85000</f>
        <v>85000</v>
      </c>
      <c r="F367" s="247">
        <v>5</v>
      </c>
      <c r="G367" s="247">
        <v>5</v>
      </c>
      <c r="H367" s="607">
        <v>4.4999999999999998E-2</v>
      </c>
      <c r="I367" s="606">
        <v>0.34</v>
      </c>
      <c r="L367" s="34">
        <f>4/2</f>
        <v>2</v>
      </c>
      <c r="N367" s="247" t="s">
        <v>363</v>
      </c>
    </row>
    <row r="368" spans="1:14" x14ac:dyDescent="0.3">
      <c r="A368" s="6" t="s">
        <v>161</v>
      </c>
      <c r="B368" s="247">
        <v>0</v>
      </c>
      <c r="C368" s="34" t="s">
        <v>162</v>
      </c>
      <c r="D368" s="139">
        <f>E368+(E368*$K$275)</f>
        <v>50145.415046077287</v>
      </c>
      <c r="E368" s="275">
        <f>40000</f>
        <v>40000</v>
      </c>
      <c r="F368" s="247">
        <v>7</v>
      </c>
      <c r="G368" s="247">
        <v>7</v>
      </c>
      <c r="H368" s="607">
        <v>4.4999999999999998E-2</v>
      </c>
      <c r="I368" s="606">
        <v>0.27</v>
      </c>
      <c r="L368" s="34"/>
      <c r="N368" s="247" t="s">
        <v>363</v>
      </c>
    </row>
    <row r="369" spans="1:16" x14ac:dyDescent="0.3">
      <c r="A369" s="19" t="s">
        <v>486</v>
      </c>
      <c r="B369" s="247">
        <v>0</v>
      </c>
      <c r="C369" s="34" t="s">
        <v>494</v>
      </c>
      <c r="D369" s="139">
        <f>E369+(E369*$K$275)</f>
        <v>8558.472279498772</v>
      </c>
      <c r="E369" s="275">
        <f>6826.92307692308</f>
        <v>6826.9230769230799</v>
      </c>
      <c r="F369" s="273">
        <v>10</v>
      </c>
      <c r="G369" s="273">
        <v>10</v>
      </c>
      <c r="H369" s="607">
        <v>4.4999999999999998E-2</v>
      </c>
      <c r="I369" s="606">
        <v>0.3</v>
      </c>
      <c r="L369" s="601" t="s">
        <v>1097</v>
      </c>
      <c r="N369" s="247" t="s">
        <v>363</v>
      </c>
    </row>
    <row r="370" spans="1:16" x14ac:dyDescent="0.3">
      <c r="A370" s="19" t="s">
        <v>536</v>
      </c>
      <c r="B370" s="247">
        <v>0</v>
      </c>
      <c r="C370" s="34" t="s">
        <v>260</v>
      </c>
      <c r="D370" s="958">
        <v>20000</v>
      </c>
      <c r="E370" s="274">
        <v>15000</v>
      </c>
      <c r="F370" s="273">
        <v>8</v>
      </c>
      <c r="G370" s="273">
        <v>8</v>
      </c>
      <c r="H370" s="607">
        <v>4.4999999999999998E-2</v>
      </c>
      <c r="I370" s="606">
        <v>0.32</v>
      </c>
      <c r="L370" s="46">
        <f>12/9</f>
        <v>1.3333333333333333</v>
      </c>
      <c r="N370" s="247" t="s">
        <v>363</v>
      </c>
    </row>
    <row r="371" spans="1:16" x14ac:dyDescent="0.3">
      <c r="A371" s="6" t="s">
        <v>911</v>
      </c>
      <c r="B371" s="292">
        <v>0</v>
      </c>
      <c r="C371" s="34" t="s">
        <v>209</v>
      </c>
      <c r="D371" s="959">
        <v>309000</v>
      </c>
      <c r="E371" s="274">
        <v>200000</v>
      </c>
      <c r="F371" s="247">
        <v>10</v>
      </c>
      <c r="G371" s="247">
        <v>10</v>
      </c>
      <c r="H371" s="607">
        <v>4.4999999999999998E-2</v>
      </c>
      <c r="I371" s="606">
        <v>0.3</v>
      </c>
      <c r="L371" s="601" t="s">
        <v>1097</v>
      </c>
      <c r="N371" s="247" t="s">
        <v>363</v>
      </c>
    </row>
    <row r="372" spans="1:16" x14ac:dyDescent="0.3">
      <c r="A372" s="6" t="s">
        <v>1126</v>
      </c>
      <c r="B372" s="247">
        <v>0</v>
      </c>
      <c r="C372" s="34" t="s">
        <v>912</v>
      </c>
      <c r="D372" s="958">
        <v>29000</v>
      </c>
      <c r="E372" s="274">
        <v>20000</v>
      </c>
      <c r="F372" s="247">
        <v>10</v>
      </c>
      <c r="G372" s="247">
        <v>10</v>
      </c>
      <c r="H372" s="607">
        <v>4.4999999999999998E-2</v>
      </c>
      <c r="I372" s="606">
        <v>0.3</v>
      </c>
      <c r="L372" s="34">
        <f>24/12</f>
        <v>2</v>
      </c>
      <c r="N372" s="247" t="s">
        <v>363</v>
      </c>
    </row>
    <row r="373" spans="1:16" x14ac:dyDescent="0.3">
      <c r="A373" s="6" t="s">
        <v>1126</v>
      </c>
      <c r="B373" s="247">
        <v>0</v>
      </c>
      <c r="C373" s="34" t="s">
        <v>916</v>
      </c>
      <c r="D373" s="958">
        <v>31400</v>
      </c>
      <c r="E373" s="274">
        <v>20000</v>
      </c>
      <c r="F373" s="247">
        <v>10</v>
      </c>
      <c r="G373" s="247">
        <v>10</v>
      </c>
      <c r="H373" s="607">
        <v>4.4999999999999998E-2</v>
      </c>
      <c r="I373" s="606">
        <v>0.3</v>
      </c>
      <c r="L373" s="34">
        <f>15/5</f>
        <v>3</v>
      </c>
      <c r="N373" s="247" t="s">
        <v>363</v>
      </c>
    </row>
    <row r="374" spans="1:16" ht="13.5" thickBot="1" x14ac:dyDescent="0.35">
      <c r="A374" s="19" t="s">
        <v>497</v>
      </c>
      <c r="B374" s="1202">
        <v>0</v>
      </c>
      <c r="C374" s="34" t="s">
        <v>498</v>
      </c>
      <c r="D374" s="958">
        <f>D378/2</f>
        <v>3500</v>
      </c>
      <c r="E374" s="275">
        <v>3000</v>
      </c>
      <c r="F374" s="273">
        <v>8</v>
      </c>
      <c r="G374" s="273">
        <v>8</v>
      </c>
      <c r="H374" s="607">
        <v>4.4999999999999998E-2</v>
      </c>
      <c r="I374" s="606">
        <v>0.28000000000000003</v>
      </c>
      <c r="L374" s="46">
        <f>L378</f>
        <v>3.3333333333333335</v>
      </c>
      <c r="M374" s="831" t="s">
        <v>1355</v>
      </c>
      <c r="N374" s="247" t="s">
        <v>363</v>
      </c>
    </row>
    <row r="375" spans="1:16" ht="13.5" thickBot="1" x14ac:dyDescent="0.35">
      <c r="A375" s="638" t="s">
        <v>2118</v>
      </c>
      <c r="B375" s="880">
        <f>$C$39*M375</f>
        <v>0</v>
      </c>
      <c r="C375" s="830" t="s">
        <v>162</v>
      </c>
      <c r="D375" s="925">
        <f>IF(CP!$D$48&gt;0,CP!$E$42,Data!E375)</f>
        <v>22000</v>
      </c>
      <c r="E375" s="1300" t="s">
        <v>45</v>
      </c>
      <c r="F375" s="816">
        <f>IF(CP!$D$42&gt;0,CP!$G$42,Data!G375)</f>
        <v>50</v>
      </c>
      <c r="G375" s="1200">
        <f>IF($G$271=1,$I$271,($O$338/N375)*$Q$338)</f>
        <v>50</v>
      </c>
      <c r="H375" s="1073">
        <f>(26.62*300)/283000</f>
        <v>2.8219081272084806E-2</v>
      </c>
      <c r="I375" s="1075">
        <v>0.19</v>
      </c>
      <c r="L375" s="46"/>
      <c r="M375" s="880">
        <f>$C$39*CP!$D$42</f>
        <v>0</v>
      </c>
      <c r="N375" s="370">
        <f>(0)+(0)+(0)+(0)+(0)+(0)+(0)+(BWv!B34*BWv!E34)+(0)+(0)</f>
        <v>20</v>
      </c>
    </row>
    <row r="376" spans="1:16" ht="13.5" thickBot="1" x14ac:dyDescent="0.35">
      <c r="A376" s="638" t="s">
        <v>2119</v>
      </c>
      <c r="B376" s="880">
        <f>$C$40*M376</f>
        <v>1</v>
      </c>
      <c r="C376" s="830" t="s">
        <v>162</v>
      </c>
      <c r="D376" s="925">
        <f>IF(CP!$D$49&gt;0,CP!$E$43,Data!E376)</f>
        <v>22000</v>
      </c>
      <c r="E376" s="1300" t="s">
        <v>45</v>
      </c>
      <c r="F376" s="816">
        <f>IF(CP!$D$43&gt;0,CP!$G$43,Data!G376)</f>
        <v>40</v>
      </c>
      <c r="G376" s="1200">
        <f>IF($G$271=1,$I$272,($O$338/N376)*$Q$338)</f>
        <v>40</v>
      </c>
      <c r="H376" s="1073">
        <f>(26.62*300)/283000</f>
        <v>2.8219081272084806E-2</v>
      </c>
      <c r="I376" s="1075">
        <v>0.19</v>
      </c>
      <c r="L376" s="46"/>
      <c r="M376" s="880">
        <f>$C$40*CP!$D$43</f>
        <v>1</v>
      </c>
      <c r="N376" s="370">
        <f>(0)+(0)+(0)+(0)+(0)+(0)+(0)+(BWv!B34*BWv!E34)+(0)+(0)</f>
        <v>20</v>
      </c>
    </row>
    <row r="377" spans="1:16" ht="13.5" thickBot="1" x14ac:dyDescent="0.35">
      <c r="A377" s="638" t="s">
        <v>2120</v>
      </c>
      <c r="B377" s="880">
        <f>$C$41*M377</f>
        <v>0</v>
      </c>
      <c r="C377" s="830" t="s">
        <v>162</v>
      </c>
      <c r="D377" s="925">
        <f>IF(CP!$D$50&gt;0,CP!$E$44,Data!E377)</f>
        <v>180000</v>
      </c>
      <c r="E377" s="1300" t="s">
        <v>45</v>
      </c>
      <c r="F377" s="816">
        <f>IF(CP!$D$44&gt;0,CP!$G$44,Data!G377)</f>
        <v>20</v>
      </c>
      <c r="G377" s="1200">
        <f>IF($G$271=1,$I$273,($O$338/N377)*$Q$338)</f>
        <v>20</v>
      </c>
      <c r="H377" s="1073">
        <f>(26.62*300)/283000</f>
        <v>2.8219081272084806E-2</v>
      </c>
      <c r="I377" s="1075">
        <v>0.19</v>
      </c>
      <c r="L377" s="601" t="s">
        <v>1097</v>
      </c>
      <c r="M377" s="880">
        <f>$C$41*CP!$D$44</f>
        <v>0</v>
      </c>
      <c r="N377" s="370">
        <f>(0)+(0)+(0)+(0)+(0)+(0)+(0)+(BWv!B34*BWv!E34)+(0)+(0)</f>
        <v>20</v>
      </c>
    </row>
    <row r="378" spans="1:16" ht="13.5" thickBot="1" x14ac:dyDescent="0.35">
      <c r="A378" s="638" t="s">
        <v>495</v>
      </c>
      <c r="B378" s="945">
        <f>IF(SUM($B$29:$B$35)&gt;0,M378,0)</f>
        <v>0</v>
      </c>
      <c r="C378" s="830" t="s">
        <v>496</v>
      </c>
      <c r="D378" s="958">
        <v>7000</v>
      </c>
      <c r="E378" s="275">
        <v>1000</v>
      </c>
      <c r="F378" s="816">
        <f>IF(CP!$D$42&gt;0,CP!$G$42,Data!G378)</f>
        <v>50</v>
      </c>
      <c r="G378" s="1200">
        <f>IF($G$271=1,$I$271,($O$338/N378)*$Q$338)</f>
        <v>50</v>
      </c>
      <c r="H378" s="607">
        <v>4.4999999999999998E-2</v>
      </c>
      <c r="I378" s="606">
        <v>0.25</v>
      </c>
      <c r="L378" s="46">
        <f>30/9</f>
        <v>3.3333333333333335</v>
      </c>
      <c r="M378" s="880">
        <f>$C$39*CP!$D$45</f>
        <v>0</v>
      </c>
      <c r="N378" s="247" t="s">
        <v>363</v>
      </c>
    </row>
    <row r="379" spans="1:16" ht="13.5" thickBot="1" x14ac:dyDescent="0.35">
      <c r="A379" s="638" t="s">
        <v>533</v>
      </c>
      <c r="B379" s="945">
        <f>IF(SUMPRODUCT($B$29:$B$35,C29:C35)&gt;0,M379,0)</f>
        <v>0</v>
      </c>
      <c r="C379" s="830" t="s">
        <v>499</v>
      </c>
      <c r="D379" s="958">
        <f>21000*0.75</f>
        <v>15750</v>
      </c>
      <c r="E379" s="276">
        <v>5000</v>
      </c>
      <c r="F379" s="816">
        <f>IF(CP!$D$43&gt;0,CP!$G$43,Data!G379)</f>
        <v>40</v>
      </c>
      <c r="G379" s="1200">
        <f>IF($G$271=1,$I$272,($O$338/N379)*$Q$338)</f>
        <v>40</v>
      </c>
      <c r="H379" s="607">
        <v>4.4999999999999998E-2</v>
      </c>
      <c r="I379" s="606">
        <v>0.32</v>
      </c>
      <c r="J379" s="34"/>
      <c r="M379" s="880">
        <f>IF(SUM(Straw!Q9:R15)&gt;0,CP!$D$46,0)</f>
        <v>0</v>
      </c>
      <c r="N379" s="247" t="s">
        <v>363</v>
      </c>
    </row>
    <row r="380" spans="1:16" ht="13.25" customHeight="1" thickBot="1" x14ac:dyDescent="0.35">
      <c r="A380" s="638" t="s">
        <v>532</v>
      </c>
      <c r="B380" s="945">
        <f>IF(SUMPRODUCT($B$29:$B$35,D29:D35)&gt;0,M380,0)</f>
        <v>0</v>
      </c>
      <c r="C380" s="830" t="s">
        <v>261</v>
      </c>
      <c r="D380" s="958">
        <f>22000*0.75</f>
        <v>16500</v>
      </c>
      <c r="E380" s="275">
        <f>3500</f>
        <v>3500</v>
      </c>
      <c r="F380" s="816">
        <f>IF(CP!$D$44&gt;0,CP!$G$44,Data!G380)</f>
        <v>20</v>
      </c>
      <c r="G380" s="1200">
        <f>IF($G$271=1,$I$273,($O$338/N380)*$Q$338)</f>
        <v>20</v>
      </c>
      <c r="H380" s="966">
        <v>4.4999999999999998E-2</v>
      </c>
      <c r="I380" s="965">
        <v>0.32</v>
      </c>
      <c r="J380" s="34"/>
      <c r="M380" s="880">
        <f>IF(SUM(Straw!R9:S15)&gt;0,CP!$D$47,0)</f>
        <v>0</v>
      </c>
      <c r="N380" s="247" t="s">
        <v>363</v>
      </c>
      <c r="O380" s="696" t="s">
        <v>1234</v>
      </c>
      <c r="P380" s="601" t="s">
        <v>132</v>
      </c>
    </row>
    <row r="381" spans="1:16" ht="13.5" thickBot="1" x14ac:dyDescent="0.35">
      <c r="A381" s="638" t="s">
        <v>1391</v>
      </c>
      <c r="B381" s="880">
        <f>$C$39*M381</f>
        <v>0</v>
      </c>
      <c r="C381" s="830" t="s">
        <v>296</v>
      </c>
      <c r="D381" s="925">
        <f>IF(CP!$D$48&gt;0,CP!$E$48,Data!E381)</f>
        <v>141500</v>
      </c>
      <c r="E381" s="1198">
        <v>141500</v>
      </c>
      <c r="F381" s="816">
        <f>IF(CP!$D$48&gt;0,CP!$G$48,Data!G381)</f>
        <v>50</v>
      </c>
      <c r="G381" s="1200">
        <f>IF($G$271=1,$I$271,($O$338/N381)*$Q$338)</f>
        <v>50</v>
      </c>
      <c r="H381" s="1073">
        <f>(26.62*300)/283000</f>
        <v>2.8219081272084806E-2</v>
      </c>
      <c r="I381" s="1074">
        <v>0.19</v>
      </c>
      <c r="J381" s="34"/>
      <c r="M381" s="880">
        <f>$C$39*CP!$D$48</f>
        <v>0</v>
      </c>
      <c r="N381" s="60">
        <f>(Bv!B40*Bv!E40+Bv!B41*Bv!E41)+(Ov!B40*Ov!E40+Ov!B41*Ov!E41)+(Rv!B40*Rv!E40+Rv!B41*Rv!E41)+(Wv!B40*Wv!E40+Wv!B41*Wv!E41)+(Tv!B40*Tv!E40+Tv!B41*Tv!E41)+(Sv!B40*Sv!E40+Sv!B41*Sv!E41)+(BWv!B35*BWv!E35+BWv!B36*BWv!E36)+(Pv!B35*Pv!E35+Pv!B36*Pv!E36)+(Syv!B35*Syv!E35+Syv!B36*Syv!E36)</f>
        <v>133.33333333333323</v>
      </c>
      <c r="O381" s="694">
        <v>283000</v>
      </c>
      <c r="P381" s="695">
        <v>0.5</v>
      </c>
    </row>
    <row r="382" spans="1:16" ht="13.5" thickBot="1" x14ac:dyDescent="0.35">
      <c r="A382" s="638" t="s">
        <v>1392</v>
      </c>
      <c r="B382" s="880">
        <f>$C$40*M382</f>
        <v>1</v>
      </c>
      <c r="C382" s="830" t="s">
        <v>296</v>
      </c>
      <c r="D382" s="925">
        <f>IF(CP!$D$49&gt;0,CP!$E$49,Data!E382)</f>
        <v>212250</v>
      </c>
      <c r="E382" s="1198">
        <v>212250</v>
      </c>
      <c r="F382" s="816">
        <f>IF(CP!$D$49&gt;0,CP!$G$49,Data!G382)</f>
        <v>40</v>
      </c>
      <c r="G382" s="1200">
        <f>IF($G$271=1,$I$272,($O$338/N382)*$Q$338)</f>
        <v>40</v>
      </c>
      <c r="H382" s="1073">
        <f>(26.62*300)/283000</f>
        <v>2.8219081272084806E-2</v>
      </c>
      <c r="I382" s="1074">
        <v>0.19</v>
      </c>
      <c r="J382" s="34"/>
      <c r="M382" s="880">
        <f>$C$40*CP!$D$49</f>
        <v>1</v>
      </c>
      <c r="N382" s="60">
        <f>(Bv!B40*Bv!E40+Bv!B41*Bv!E41)+(Ov!B40*Ov!E40+Ov!B41*Ov!E41)+(Rv!B40*Rv!E40+Rv!B41*Rv!E41)+(Wv!B40*Wv!E40+Wv!B41*Wv!E41)+(Tv!B40*Tv!E40+Tv!B41*Tv!E41)+(Sv!B40*Sv!E40+Sv!B41*Sv!E41)+(BWv!B35*BWv!E35+BWv!B36*BWv!E36)+(Pv!B35*Pv!E35+Pv!B36*Pv!E36)+(Syv!B35*Syv!E35+Syv!B36*Syv!E36)</f>
        <v>133.33333333333323</v>
      </c>
      <c r="O382" s="694">
        <v>283000</v>
      </c>
      <c r="P382" s="695">
        <v>0.75</v>
      </c>
    </row>
    <row r="383" spans="1:16" ht="13.5" thickBot="1" x14ac:dyDescent="0.35">
      <c r="A383" s="638" t="s">
        <v>1393</v>
      </c>
      <c r="B383" s="880">
        <f>$C$41*M383</f>
        <v>0</v>
      </c>
      <c r="C383" s="830" t="s">
        <v>296</v>
      </c>
      <c r="D383" s="925">
        <f>IF(CP!$D$50&gt;0,CP!$E$50,Data!E383)</f>
        <v>283000</v>
      </c>
      <c r="E383" s="1198">
        <v>283000</v>
      </c>
      <c r="F383" s="816">
        <f>IF(CP!$D$50&gt;0,CP!$G$50,Data!G383)</f>
        <v>20</v>
      </c>
      <c r="G383" s="1200">
        <f>IF($G$271=1,$I$273,($O$338/N383)*$Q$338)</f>
        <v>20</v>
      </c>
      <c r="H383" s="1073">
        <f>(26.62*300)/283000</f>
        <v>2.8219081272084806E-2</v>
      </c>
      <c r="I383" s="1074">
        <v>0.19</v>
      </c>
      <c r="L383" s="601" t="s">
        <v>1097</v>
      </c>
      <c r="M383" s="880">
        <f>$C$41*CP!$D$50</f>
        <v>0</v>
      </c>
      <c r="N383" s="60">
        <f>(Bv!B40*Bv!E40+Bv!B41*Bv!E41)+(Ov!B40*Ov!E40+Ov!B41*Ov!E41)+(Rv!B40*Rv!E40+Rv!B41*Rv!E41)+(Wv!B40*Wv!E40+Wv!B41*Wv!E41)+(Tv!B40*Tv!E40+Tv!B41*Tv!E41)+(Sv!B40*Sv!E40+Sv!B41*Sv!E41)+(BWv!B35*BWv!E35+BWv!B36*BWv!E36)+(Pv!B35*Pv!E35+Pv!B36*Pv!E36)+(Syv!B35*Syv!E35+Syv!B36*Syv!E36)</f>
        <v>133.33333333333323</v>
      </c>
      <c r="O383" s="694">
        <v>283000</v>
      </c>
      <c r="P383" s="695">
        <v>1</v>
      </c>
    </row>
    <row r="384" spans="1:16" ht="13.5" thickBot="1" x14ac:dyDescent="0.35">
      <c r="A384" s="6" t="s">
        <v>915</v>
      </c>
      <c r="B384" s="247">
        <v>0</v>
      </c>
      <c r="C384" s="34" t="s">
        <v>913</v>
      </c>
      <c r="D384" s="958">
        <v>49000</v>
      </c>
      <c r="E384" s="274">
        <v>20000</v>
      </c>
      <c r="F384" s="247">
        <v>10</v>
      </c>
      <c r="G384" s="247">
        <v>10</v>
      </c>
      <c r="H384" s="607">
        <v>4.4999999999999998E-2</v>
      </c>
      <c r="I384" s="606">
        <v>0.19</v>
      </c>
      <c r="J384" s="216" t="s">
        <v>1595</v>
      </c>
      <c r="L384" s="46">
        <f>20/15</f>
        <v>1.3333333333333333</v>
      </c>
      <c r="M384" s="831" t="s">
        <v>1355</v>
      </c>
      <c r="N384" s="247" t="s">
        <v>363</v>
      </c>
    </row>
    <row r="385" spans="1:16" ht="13.5" thickBot="1" x14ac:dyDescent="0.35">
      <c r="A385" s="638" t="s">
        <v>1420</v>
      </c>
      <c r="B385" s="880">
        <f>$C$39*M385</f>
        <v>0</v>
      </c>
      <c r="C385" s="830" t="s">
        <v>918</v>
      </c>
      <c r="D385" s="925">
        <f>IF(CP!$D$51&gt;0,CP!$E$51,Data!E385)</f>
        <v>32250</v>
      </c>
      <c r="E385" s="1198">
        <v>32250</v>
      </c>
      <c r="F385" s="816">
        <f>IF(CP!$D$51&gt;0,CP!$G$51,Data!G385)</f>
        <v>50</v>
      </c>
      <c r="G385" s="1200">
        <f>IF($G$271=1,$I$271,($O$338/N385)*$Q$338)</f>
        <v>50</v>
      </c>
      <c r="H385" s="1073">
        <f t="shared" ref="H385:H390" si="31">(1.11*1018)/43000</f>
        <v>2.6278604651162791E-2</v>
      </c>
      <c r="I385" s="1074">
        <v>0.19</v>
      </c>
      <c r="J385" s="819">
        <f t="shared" ref="J385:J390" si="32">IF(N385=0,G385,($O$285/N385)*$R$285)</f>
        <v>54.000000000000043</v>
      </c>
      <c r="L385" s="692">
        <f>L384</f>
        <v>1.3333333333333333</v>
      </c>
      <c r="M385" s="880">
        <f>$C$39*CP!$D$51</f>
        <v>0</v>
      </c>
      <c r="N385" s="60">
        <f>(Bv!B40*Bv!E40+Bv!B41*Bv!E41)+(Ov!B40*Ov!E40+Ov!B41*Ov!E41)+(Rv!B40*Rv!E40+Rv!B41*Rv!E41)+(Wv!B40*Wv!E40+Wv!B41*Wv!E41)+(Tv!B40*Tv!E40+Tv!B41*Tv!E41)+(Sv!B40*Sv!E40+Sv!B41*Sv!E41)+(BWv!B35*BWv!E35+BWv!B36*BWv!E36)</f>
        <v>99.999999999999929</v>
      </c>
    </row>
    <row r="386" spans="1:16" ht="13.5" thickBot="1" x14ac:dyDescent="0.35">
      <c r="A386" s="638" t="s">
        <v>1418</v>
      </c>
      <c r="B386" s="880">
        <f>$C$40*M386</f>
        <v>1</v>
      </c>
      <c r="C386" s="830" t="s">
        <v>918</v>
      </c>
      <c r="D386" s="925">
        <f>IF(CP!$D$52&gt;0,CP!$E$52,Data!E386)</f>
        <v>43000</v>
      </c>
      <c r="E386" s="1198">
        <v>43000</v>
      </c>
      <c r="F386" s="816">
        <f>IF(CP!$D$52&gt;0,CP!$G$52,Data!G386)</f>
        <v>40</v>
      </c>
      <c r="G386" s="1200">
        <f>IF($G$271=1,$I$272,($O$338/N386)*$Q$338)</f>
        <v>40</v>
      </c>
      <c r="H386" s="1073">
        <f t="shared" si="31"/>
        <v>2.6278604651162791E-2</v>
      </c>
      <c r="I386" s="1074">
        <v>0.19</v>
      </c>
      <c r="J386" s="819">
        <f t="shared" si="32"/>
        <v>54.000000000000043</v>
      </c>
      <c r="L386" s="692">
        <f t="shared" ref="L386:L387" si="33">L385</f>
        <v>1.3333333333333333</v>
      </c>
      <c r="M386" s="880">
        <f>$C$40*CP!$D$52</f>
        <v>1</v>
      </c>
      <c r="N386" s="60">
        <f>(Bv!B40*Bv!E40+Bv!B41*Bv!E41)+(Ov!B40*Ov!E40+Ov!B41*Ov!E41)+(Rv!B40*Rv!E40+Rv!B41*Rv!E41)+(Wv!B40*Wv!E40+Wv!B41*Wv!E41)+(Tv!B40*Tv!E40+Tv!B41*Tv!E41)+(Sv!B40*Sv!E40+Sv!B41*Sv!E41)+(BWv!B35*BWv!E35+BWv!B36*BWv!E36)</f>
        <v>99.999999999999929</v>
      </c>
    </row>
    <row r="387" spans="1:16" ht="13.5" thickBot="1" x14ac:dyDescent="0.35">
      <c r="A387" s="638" t="s">
        <v>1419</v>
      </c>
      <c r="B387" s="880">
        <f>$C$41*M387</f>
        <v>0</v>
      </c>
      <c r="C387" s="830" t="s">
        <v>918</v>
      </c>
      <c r="D387" s="925">
        <f>IF(CP!$D$53&gt;0,CP!$E$53,Data!E387)</f>
        <v>56000</v>
      </c>
      <c r="E387" s="1198">
        <v>56000</v>
      </c>
      <c r="F387" s="816">
        <f>IF(CP!$D$53&gt;0,CP!$G$53,Data!G387)</f>
        <v>20</v>
      </c>
      <c r="G387" s="1200">
        <f>IF($G$271=1,$I$273,($O$338/N387)*$Q$338)</f>
        <v>20</v>
      </c>
      <c r="H387" s="1073">
        <f t="shared" si="31"/>
        <v>2.6278604651162791E-2</v>
      </c>
      <c r="I387" s="1074">
        <v>0.19</v>
      </c>
      <c r="J387" s="819">
        <f t="shared" si="32"/>
        <v>54.000000000000043</v>
      </c>
      <c r="L387" s="692">
        <f t="shared" si="33"/>
        <v>1.3333333333333333</v>
      </c>
      <c r="M387" s="880">
        <f>$C$41*CP!$D$53</f>
        <v>0</v>
      </c>
      <c r="N387" s="60">
        <f>(Bv!B40*Bv!E40+Bv!B41*Bv!E41)+(Ov!B40*Ov!E40+Ov!B41*Ov!E41)+(Rv!B40*Rv!E40+Rv!B41*Rv!E41)+(Wv!B40*Wv!E40+Wv!B41*Wv!E41)+(Tv!B40*Tv!E40+Tv!B41*Tv!E41)+(Sv!B40*Sv!E40+Sv!B41*Sv!E41)+(BWv!B35*BWv!E35+BWv!B36*BWv!E36)</f>
        <v>99.999999999999929</v>
      </c>
    </row>
    <row r="388" spans="1:16" ht="13.5" thickBot="1" x14ac:dyDescent="0.35">
      <c r="A388" s="638" t="s">
        <v>1421</v>
      </c>
      <c r="B388" s="880">
        <f>$C$39*M388</f>
        <v>0</v>
      </c>
      <c r="C388" s="830" t="s">
        <v>914</v>
      </c>
      <c r="D388" s="925">
        <f>IF(CP!$D$54&gt;0,CP!$E$54,Data!E388)</f>
        <v>32250</v>
      </c>
      <c r="E388" s="1198">
        <v>32250</v>
      </c>
      <c r="F388" s="816">
        <f>IF(CP!$D$54&gt;0,CP!$G$54,Data!G388)</f>
        <v>50</v>
      </c>
      <c r="G388" s="1200">
        <f>IF($G$271=1,$I$271,($O$338/N388)*$Q$338)</f>
        <v>50</v>
      </c>
      <c r="H388" s="1073">
        <f t="shared" si="31"/>
        <v>2.6278604651162791E-2</v>
      </c>
      <c r="I388" s="1074">
        <v>0.19</v>
      </c>
      <c r="J388" s="819">
        <f t="shared" si="32"/>
        <v>162.00000000000017</v>
      </c>
      <c r="L388" s="693">
        <v>1.79</v>
      </c>
      <c r="M388" s="880">
        <f>$C$39*CP!$D$54</f>
        <v>0</v>
      </c>
      <c r="N388" s="60">
        <f>(Pv!B35*Pv!E35+Pv!B36*Pv!E36)+(Syv!B35*Syv!E35+Syv!B36*Syv!E36)</f>
        <v>33.3333333333333</v>
      </c>
      <c r="O388" s="24">
        <f>H616</f>
        <v>0.33333333333333331</v>
      </c>
      <c r="P388" s="24">
        <f>R616</f>
        <v>2</v>
      </c>
    </row>
    <row r="389" spans="1:16" ht="13.5" thickBot="1" x14ac:dyDescent="0.35">
      <c r="A389" s="638" t="s">
        <v>1422</v>
      </c>
      <c r="B389" s="880">
        <f>$C$40*M389</f>
        <v>1</v>
      </c>
      <c r="C389" s="830" t="s">
        <v>914</v>
      </c>
      <c r="D389" s="925">
        <f>IF(CP!$D$55&gt;0,CP!$E$55,Data!E389)</f>
        <v>43000</v>
      </c>
      <c r="E389" s="1198">
        <v>43000</v>
      </c>
      <c r="F389" s="816">
        <f>IF(CP!$D$55&gt;0,CP!$G$55,Data!G389)</f>
        <v>40</v>
      </c>
      <c r="G389" s="1200">
        <f>IF($G$271=1,$I$272,($O$338/N389)*$Q$338)</f>
        <v>40</v>
      </c>
      <c r="H389" s="1073">
        <f t="shared" si="31"/>
        <v>2.6278604651162791E-2</v>
      </c>
      <c r="I389" s="1074">
        <v>0.19</v>
      </c>
      <c r="J389" s="819">
        <f t="shared" si="32"/>
        <v>162.00000000000017</v>
      </c>
      <c r="L389" s="693">
        <v>1.79</v>
      </c>
      <c r="M389" s="880">
        <f>$C$40*CP!$D$55</f>
        <v>1</v>
      </c>
      <c r="N389" s="60">
        <f>(Pv!B35*Pv!E35+Pv!B36*Pv!E36)+(Syv!B35*Syv!E35+Syv!B36*Syv!E36)</f>
        <v>33.3333333333333</v>
      </c>
      <c r="O389" s="24">
        <f>H617</f>
        <v>0.33333333333333331</v>
      </c>
      <c r="P389" s="24">
        <f>R617</f>
        <v>2</v>
      </c>
    </row>
    <row r="390" spans="1:16" ht="13.5" thickBot="1" x14ac:dyDescent="0.35">
      <c r="A390" s="638" t="s">
        <v>1423</v>
      </c>
      <c r="B390" s="880">
        <f>$C$41*M390</f>
        <v>0</v>
      </c>
      <c r="C390" s="830" t="s">
        <v>914</v>
      </c>
      <c r="D390" s="925">
        <f>IF(CP!$D$56&gt;0,CP!$E$56,Data!E390)</f>
        <v>56000</v>
      </c>
      <c r="E390" s="1198">
        <v>56000</v>
      </c>
      <c r="F390" s="816">
        <f>IF(CP!$D$56&gt;0,CP!$G$56,Data!G390)</f>
        <v>20</v>
      </c>
      <c r="G390" s="1200">
        <f>IF($G$271=1,$I$273,($O$338/N390)*$Q$338)</f>
        <v>20</v>
      </c>
      <c r="H390" s="1073">
        <f t="shared" si="31"/>
        <v>2.6278604651162791E-2</v>
      </c>
      <c r="I390" s="1074">
        <v>0.19</v>
      </c>
      <c r="J390" s="819">
        <f t="shared" si="32"/>
        <v>162.00000000000017</v>
      </c>
      <c r="L390" s="693">
        <v>1.79</v>
      </c>
      <c r="M390" s="880">
        <f>$C$41*CP!$D$56</f>
        <v>0</v>
      </c>
      <c r="N390" s="60">
        <f>(Pv!B35*Pv!E35+Pv!B36*Pv!E36)+(Syv!B35*Syv!E35+Syv!B36*Syv!E36)</f>
        <v>33.3333333333333</v>
      </c>
      <c r="O390" s="24">
        <f>H618</f>
        <v>90</v>
      </c>
      <c r="P390" s="24">
        <f>R618</f>
        <v>0.01</v>
      </c>
    </row>
    <row r="391" spans="1:16" x14ac:dyDescent="0.3">
      <c r="A391" s="6" t="s">
        <v>580</v>
      </c>
      <c r="B391" s="247">
        <v>0</v>
      </c>
      <c r="C391" s="34" t="s">
        <v>44</v>
      </c>
      <c r="D391" s="953">
        <v>100000</v>
      </c>
      <c r="E391" s="274" t="s">
        <v>45</v>
      </c>
      <c r="F391" s="273">
        <v>8</v>
      </c>
      <c r="G391" s="273">
        <v>8</v>
      </c>
      <c r="H391" s="607">
        <v>4.4999999999999998E-2</v>
      </c>
      <c r="I391" s="606">
        <v>0.24</v>
      </c>
      <c r="N391" s="247" t="s">
        <v>363</v>
      </c>
    </row>
    <row r="392" spans="1:16" x14ac:dyDescent="0.3">
      <c r="A392" s="6"/>
      <c r="B392" s="33"/>
      <c r="C392" s="34"/>
      <c r="D392" s="110">
        <f>SUMPRODUCT(B366:B391,D366:D391)</f>
        <v>320250</v>
      </c>
      <c r="E392" s="17" t="s">
        <v>1465</v>
      </c>
      <c r="N392" s="34"/>
    </row>
    <row r="393" spans="1:16" x14ac:dyDescent="0.3">
      <c r="A393" s="6"/>
      <c r="B393" s="33"/>
      <c r="C393" s="34"/>
      <c r="D393" s="110"/>
      <c r="N393" s="34"/>
    </row>
    <row r="394" spans="1:16" ht="13.25" customHeight="1" thickBot="1" x14ac:dyDescent="0.35">
      <c r="A394" s="14" t="s">
        <v>357</v>
      </c>
      <c r="B394" s="15" t="s">
        <v>36</v>
      </c>
      <c r="C394" s="15" t="s">
        <v>22</v>
      </c>
      <c r="D394" s="15" t="s">
        <v>1637</v>
      </c>
      <c r="E394" s="15" t="s">
        <v>1636</v>
      </c>
      <c r="F394" s="15" t="s">
        <v>1635</v>
      </c>
      <c r="G394" s="15" t="s">
        <v>1902</v>
      </c>
      <c r="H394" s="11" t="s">
        <v>1634</v>
      </c>
      <c r="I394" s="944" t="s">
        <v>1098</v>
      </c>
      <c r="M394" s="831" t="s">
        <v>1355</v>
      </c>
      <c r="N394" s="814" t="s">
        <v>357</v>
      </c>
    </row>
    <row r="395" spans="1:16" ht="13.5" thickBot="1" x14ac:dyDescent="0.35">
      <c r="A395" s="638" t="s">
        <v>1375</v>
      </c>
      <c r="B395" s="880">
        <f t="shared" ref="B395:B396" si="34">$C$39*M395</f>
        <v>0</v>
      </c>
      <c r="C395" s="830" t="s">
        <v>358</v>
      </c>
      <c r="D395" s="950">
        <f>IF(CP!$D$58&gt;0,CP!$E$58,Data!E395)</f>
        <v>125.36353761519322</v>
      </c>
      <c r="E395" s="1198">
        <v>125.363537615193</v>
      </c>
      <c r="F395" s="816">
        <f>IF(CP!$D$58&gt;0,CP!$G$58,Data!G395)</f>
        <v>50</v>
      </c>
      <c r="G395" s="1200">
        <f>IF($G$271=1,$I$271,($O$338/N395)*$Q$338)</f>
        <v>50</v>
      </c>
      <c r="H395" s="1075">
        <v>0.02</v>
      </c>
      <c r="I395" s="1074">
        <v>0.35</v>
      </c>
      <c r="M395" s="880">
        <f>$C$39*CP!$D$58</f>
        <v>0</v>
      </c>
      <c r="N395" s="247" t="s">
        <v>363</v>
      </c>
    </row>
    <row r="396" spans="1:16" ht="13.5" thickBot="1" x14ac:dyDescent="0.35">
      <c r="A396" s="638" t="s">
        <v>1376</v>
      </c>
      <c r="B396" s="880">
        <f t="shared" si="34"/>
        <v>0</v>
      </c>
      <c r="C396" s="830" t="s">
        <v>359</v>
      </c>
      <c r="D396" s="942">
        <f>IF(CP!$D$61&gt;0,CP!$E$61,Data!E396)</f>
        <v>1253.6353761519322</v>
      </c>
      <c r="E396" s="1198">
        <v>1253.6353761519299</v>
      </c>
      <c r="F396" s="816">
        <f>IF(CP!$D$61&gt;0,CP!$G$61,Data!G396)</f>
        <v>50</v>
      </c>
      <c r="G396" s="1200">
        <f>IF($G$271=1,$I$271,($O$338/N396)*$Q$338)</f>
        <v>50</v>
      </c>
      <c r="H396" s="1075">
        <v>0.02</v>
      </c>
      <c r="I396" s="1074">
        <v>0.35</v>
      </c>
      <c r="M396" s="880">
        <f>$C$39*CP!$D$61</f>
        <v>0</v>
      </c>
      <c r="N396" s="247" t="s">
        <v>363</v>
      </c>
    </row>
    <row r="397" spans="1:16" ht="13.5" thickBot="1" x14ac:dyDescent="0.35">
      <c r="A397" s="638" t="s">
        <v>1377</v>
      </c>
      <c r="B397" s="880">
        <f t="shared" ref="B397:B398" si="35">$C$40*M397</f>
        <v>1</v>
      </c>
      <c r="C397" s="830" t="s">
        <v>358</v>
      </c>
      <c r="D397" s="950">
        <f>IF(CP!$D$59&gt;0,CP!$E$59,Data!E397)</f>
        <v>626.81768807596609</v>
      </c>
      <c r="E397" s="1198">
        <v>626.81768807596598</v>
      </c>
      <c r="F397" s="816">
        <f>IF(CP!$D$59&gt;0,CP!$G$59,Data!G397)</f>
        <v>40</v>
      </c>
      <c r="G397" s="1200">
        <f>IF($G$271=1,$I$272,($O$338/N397)*$Q$338)</f>
        <v>40</v>
      </c>
      <c r="H397" s="1075">
        <v>0.02</v>
      </c>
      <c r="I397" s="1074">
        <v>0.35</v>
      </c>
      <c r="M397" s="880">
        <f>$C$40*CP!$D$59</f>
        <v>1</v>
      </c>
      <c r="N397" s="247" t="s">
        <v>363</v>
      </c>
    </row>
    <row r="398" spans="1:16" ht="13.5" thickBot="1" x14ac:dyDescent="0.35">
      <c r="A398" s="638" t="s">
        <v>1378</v>
      </c>
      <c r="B398" s="880">
        <f t="shared" si="35"/>
        <v>1</v>
      </c>
      <c r="C398" s="830" t="s">
        <v>359</v>
      </c>
      <c r="D398" s="942">
        <f>IF(CP!$D$62&gt;0,CP!$E$62,Data!E398)</f>
        <v>6268.1768807596609</v>
      </c>
      <c r="E398" s="1198">
        <v>6268.17688075966</v>
      </c>
      <c r="F398" s="816">
        <f>IF(CP!$D$62&gt;0,CP!$G$62,Data!G398)</f>
        <v>40</v>
      </c>
      <c r="G398" s="1200">
        <f>IF($G$271=1,$I$272,($O$338/N398)*$Q$338)</f>
        <v>40</v>
      </c>
      <c r="H398" s="1075">
        <v>0.02</v>
      </c>
      <c r="I398" s="1074">
        <v>0.35</v>
      </c>
      <c r="M398" s="880">
        <f>$C$40*CP!$D$62</f>
        <v>1</v>
      </c>
      <c r="N398" s="247" t="s">
        <v>363</v>
      </c>
    </row>
    <row r="399" spans="1:16" ht="13.5" thickBot="1" x14ac:dyDescent="0.35">
      <c r="A399" s="638" t="s">
        <v>1379</v>
      </c>
      <c r="B399" s="880">
        <f t="shared" ref="B399:B400" si="36">$C$41*M399</f>
        <v>0</v>
      </c>
      <c r="C399" s="830" t="s">
        <v>358</v>
      </c>
      <c r="D399" s="950">
        <f>IF(CP!$D$60&gt;0,CP!$E$60,Data!E399)</f>
        <v>1253.6353761519322</v>
      </c>
      <c r="E399" s="1198">
        <v>1253.6353761519299</v>
      </c>
      <c r="F399" s="816">
        <f>IF(CP!$D$60&gt;0,CP!$G$60,Data!G399)</f>
        <v>20</v>
      </c>
      <c r="G399" s="1200">
        <f>IF($G$271=1,$I$273,($O$338/N399)*$Q$338)</f>
        <v>20</v>
      </c>
      <c r="H399" s="1075">
        <v>0.02</v>
      </c>
      <c r="I399" s="1074">
        <v>0.35</v>
      </c>
      <c r="M399" s="880">
        <f>$C$41*CP!$D$60</f>
        <v>0</v>
      </c>
      <c r="N399" s="247" t="s">
        <v>363</v>
      </c>
    </row>
    <row r="400" spans="1:16" ht="13.5" thickBot="1" x14ac:dyDescent="0.35">
      <c r="A400" s="638" t="s">
        <v>1380</v>
      </c>
      <c r="B400" s="880">
        <f t="shared" si="36"/>
        <v>0</v>
      </c>
      <c r="C400" s="830" t="s">
        <v>359</v>
      </c>
      <c r="D400" s="942">
        <f>IF(CP!$D$63&gt;0,CP!$E$63,Data!E400)</f>
        <v>12536.353761519322</v>
      </c>
      <c r="E400" s="1198">
        <v>12536.3537615193</v>
      </c>
      <c r="F400" s="816">
        <f>IF(CP!$D$63&gt;0,CP!$G$63,Data!G400)</f>
        <v>20</v>
      </c>
      <c r="G400" s="1200">
        <f>IF($G$271=1,$I$273,($O$338/N400)*$Q$338)</f>
        <v>20</v>
      </c>
      <c r="H400" s="1075">
        <v>0.02</v>
      </c>
      <c r="I400" s="1074">
        <v>0.35</v>
      </c>
      <c r="M400" s="880">
        <f>$C$41*CP!$D$63</f>
        <v>0</v>
      </c>
      <c r="N400" s="247" t="s">
        <v>363</v>
      </c>
    </row>
    <row r="401" spans="1:30" x14ac:dyDescent="0.3">
      <c r="A401" s="6"/>
      <c r="B401" s="33"/>
      <c r="C401" s="34"/>
      <c r="D401" s="110">
        <f>SUMPRODUCT(B394:B400,D394:D400)</f>
        <v>6894.9945688356274</v>
      </c>
      <c r="E401" s="17" t="s">
        <v>1466</v>
      </c>
      <c r="N401" s="34"/>
    </row>
    <row r="402" spans="1:30" x14ac:dyDescent="0.3">
      <c r="A402" s="6"/>
      <c r="B402" s="33"/>
      <c r="C402" s="34"/>
      <c r="D402" s="110"/>
      <c r="K402" s="17">
        <v>2010</v>
      </c>
      <c r="L402" s="17">
        <v>2002</v>
      </c>
      <c r="N402" s="34"/>
      <c r="T402" s="223">
        <v>266.66666666666703</v>
      </c>
      <c r="U402" s="7" t="s">
        <v>93</v>
      </c>
      <c r="X402" s="223">
        <v>266.66666666666703</v>
      </c>
      <c r="Y402" s="7" t="s">
        <v>93</v>
      </c>
      <c r="AA402" s="223">
        <v>533.33333333333303</v>
      </c>
      <c r="AB402" s="7" t="s">
        <v>93</v>
      </c>
    </row>
    <row r="403" spans="1:30" ht="13.25" customHeight="1" x14ac:dyDescent="0.3">
      <c r="A403" s="14" t="s">
        <v>775</v>
      </c>
      <c r="B403" s="15" t="s">
        <v>36</v>
      </c>
      <c r="C403" s="15" t="s">
        <v>22</v>
      </c>
      <c r="D403" s="15" t="s">
        <v>1637</v>
      </c>
      <c r="E403" s="15" t="s">
        <v>1636</v>
      </c>
      <c r="F403" s="15" t="s">
        <v>1635</v>
      </c>
      <c r="G403" s="15" t="s">
        <v>1902</v>
      </c>
      <c r="H403" s="15" t="s">
        <v>1634</v>
      </c>
      <c r="I403" s="605" t="s">
        <v>1098</v>
      </c>
      <c r="K403" s="89" t="s">
        <v>783</v>
      </c>
      <c r="L403" s="89" t="s">
        <v>783</v>
      </c>
      <c r="N403" s="814" t="s">
        <v>775</v>
      </c>
      <c r="O403" s="89" t="s">
        <v>779</v>
      </c>
      <c r="Q403" s="89" t="s">
        <v>780</v>
      </c>
      <c r="T403" s="17" t="s">
        <v>779</v>
      </c>
      <c r="V403" s="17" t="s">
        <v>780</v>
      </c>
      <c r="X403" s="17" t="s">
        <v>779</v>
      </c>
      <c r="AA403" s="17" t="s">
        <v>779</v>
      </c>
      <c r="AC403" s="17" t="s">
        <v>780</v>
      </c>
    </row>
    <row r="404" spans="1:30" x14ac:dyDescent="0.3">
      <c r="A404" s="6" t="s">
        <v>776</v>
      </c>
      <c r="B404" s="247">
        <v>0</v>
      </c>
      <c r="C404" s="34" t="s">
        <v>781</v>
      </c>
      <c r="D404" s="949">
        <f>E404+(E404*$K$275)</f>
        <v>0</v>
      </c>
      <c r="E404" s="211">
        <f>Q404*L404</f>
        <v>0</v>
      </c>
      <c r="F404" s="273">
        <v>30</v>
      </c>
      <c r="G404" s="273">
        <v>30</v>
      </c>
      <c r="H404" s="607">
        <v>4.4999999999999998E-2</v>
      </c>
      <c r="I404" s="606">
        <v>0</v>
      </c>
      <c r="K404" s="98">
        <f>L404+(L404*$K$275)</f>
        <v>0.72710851816812061</v>
      </c>
      <c r="L404" s="250">
        <v>0.57999999999999996</v>
      </c>
      <c r="M404" s="17" t="s">
        <v>784</v>
      </c>
      <c r="N404" s="247" t="s">
        <v>363</v>
      </c>
      <c r="O404" s="149">
        <f>SQRT(43560*graze)*4</f>
        <v>0</v>
      </c>
      <c r="P404" s="146" t="s">
        <v>787</v>
      </c>
      <c r="Q404" s="54">
        <f>SQRT(43560*(graze/4))*16</f>
        <v>0</v>
      </c>
      <c r="R404" s="146" t="s">
        <v>778</v>
      </c>
      <c r="T404" s="54">
        <v>13632.901378650116</v>
      </c>
      <c r="U404" s="17" t="s">
        <v>787</v>
      </c>
      <c r="V404" s="54">
        <v>27265.802757300233</v>
      </c>
      <c r="W404" s="17" t="s">
        <v>778</v>
      </c>
      <c r="X404" s="54">
        <v>13632.901378650116</v>
      </c>
      <c r="Y404" s="17" t="s">
        <v>787</v>
      </c>
      <c r="AA404" s="54">
        <v>19279.834024181841</v>
      </c>
      <c r="AB404" s="17" t="s">
        <v>787</v>
      </c>
      <c r="AC404" s="54">
        <v>38559.668048363681</v>
      </c>
      <c r="AD404" s="17" t="s">
        <v>778</v>
      </c>
    </row>
    <row r="405" spans="1:30" x14ac:dyDescent="0.3">
      <c r="A405" s="6" t="s">
        <v>777</v>
      </c>
      <c r="B405" s="247">
        <v>0</v>
      </c>
      <c r="C405" s="34" t="s">
        <v>782</v>
      </c>
      <c r="D405" s="954">
        <f>E405+(E405*$K$275)</f>
        <v>0</v>
      </c>
      <c r="E405" s="211">
        <f>((Q405*5)*4)*L405</f>
        <v>0</v>
      </c>
      <c r="F405" s="273">
        <v>10</v>
      </c>
      <c r="G405" s="273">
        <v>10</v>
      </c>
      <c r="H405" s="607">
        <v>4.4999999999999998E-2</v>
      </c>
      <c r="I405" s="606">
        <v>0</v>
      </c>
      <c r="K405" s="98">
        <f>L405+(L405*$K$275)</f>
        <v>0.10405173622061037</v>
      </c>
      <c r="L405" s="281">
        <v>8.3000000000000004E-2</v>
      </c>
      <c r="M405" s="17" t="s">
        <v>784</v>
      </c>
      <c r="N405" s="247" t="s">
        <v>363</v>
      </c>
      <c r="O405" s="149">
        <f>SQRT(43560*graze)</f>
        <v>0</v>
      </c>
      <c r="P405" s="146" t="s">
        <v>785</v>
      </c>
      <c r="Q405" s="54">
        <f>SQRT(43560*(graze/4))</f>
        <v>0</v>
      </c>
      <c r="R405" s="146" t="s">
        <v>785</v>
      </c>
      <c r="T405" s="54">
        <v>3408.2253446625291</v>
      </c>
      <c r="U405" s="17" t="s">
        <v>785</v>
      </c>
      <c r="V405" s="54">
        <v>1704.1126723312645</v>
      </c>
      <c r="W405" s="17" t="s">
        <v>785</v>
      </c>
      <c r="X405" s="54">
        <v>3408.2253446625291</v>
      </c>
      <c r="Y405" s="17" t="s">
        <v>785</v>
      </c>
      <c r="AA405" s="54">
        <v>4819.9585060454601</v>
      </c>
      <c r="AB405" s="17" t="s">
        <v>785</v>
      </c>
      <c r="AC405" s="54">
        <v>2409.9792530227301</v>
      </c>
      <c r="AD405" s="17" t="s">
        <v>785</v>
      </c>
    </row>
    <row r="406" spans="1:30" x14ac:dyDescent="0.3">
      <c r="A406" s="6"/>
      <c r="B406" s="33"/>
      <c r="C406" s="34"/>
      <c r="D406" s="110">
        <f>SUMPRODUCT(B403:B405,D403:D405)</f>
        <v>0</v>
      </c>
      <c r="E406" s="17" t="s">
        <v>1467</v>
      </c>
      <c r="N406" s="34"/>
      <c r="Q406" s="145">
        <f>(Q405*5*4)</f>
        <v>0</v>
      </c>
      <c r="R406" s="146" t="s">
        <v>786</v>
      </c>
      <c r="V406" s="54">
        <v>34082.253446625291</v>
      </c>
      <c r="W406" s="17" t="s">
        <v>786</v>
      </c>
      <c r="AC406" s="54">
        <v>48199.585060454599</v>
      </c>
      <c r="AD406" s="17" t="s">
        <v>786</v>
      </c>
    </row>
    <row r="407" spans="1:30" x14ac:dyDescent="0.3">
      <c r="A407" s="6"/>
      <c r="B407" s="33"/>
      <c r="C407" s="34"/>
      <c r="D407" s="110"/>
      <c r="N407" s="34"/>
      <c r="Q407" s="145"/>
      <c r="R407" s="146"/>
      <c r="V407" s="54"/>
      <c r="AC407" s="54"/>
    </row>
    <row r="408" spans="1:30" ht="13.25" customHeight="1" x14ac:dyDescent="0.3">
      <c r="A408" s="14" t="s">
        <v>10</v>
      </c>
      <c r="B408" s="15" t="s">
        <v>36</v>
      </c>
      <c r="C408" s="15" t="s">
        <v>22</v>
      </c>
      <c r="D408" s="15" t="s">
        <v>1637</v>
      </c>
      <c r="E408" s="15" t="s">
        <v>1636</v>
      </c>
      <c r="F408" s="15" t="s">
        <v>1635</v>
      </c>
      <c r="G408" s="15" t="s">
        <v>1902</v>
      </c>
      <c r="H408" s="15" t="s">
        <v>1634</v>
      </c>
      <c r="I408" s="605" t="s">
        <v>1098</v>
      </c>
      <c r="N408" s="814" t="s">
        <v>10</v>
      </c>
    </row>
    <row r="409" spans="1:30" x14ac:dyDescent="0.3">
      <c r="A409" s="6" t="s">
        <v>163</v>
      </c>
      <c r="B409" s="247">
        <v>0</v>
      </c>
      <c r="C409" s="34" t="s">
        <v>46</v>
      </c>
      <c r="D409" s="906">
        <f>E409+(E409*$K$275)</f>
        <v>6268.1768807596609</v>
      </c>
      <c r="E409" s="955">
        <v>5000</v>
      </c>
      <c r="F409" s="247">
        <v>6</v>
      </c>
      <c r="G409" s="247">
        <v>6</v>
      </c>
      <c r="H409" s="607">
        <v>4.4999999999999998E-2</v>
      </c>
      <c r="I409" s="606">
        <v>0.3</v>
      </c>
      <c r="N409" s="247" t="s">
        <v>363</v>
      </c>
    </row>
    <row r="410" spans="1:30" x14ac:dyDescent="0.3">
      <c r="A410" s="6" t="s">
        <v>198</v>
      </c>
      <c r="B410" s="247">
        <v>0</v>
      </c>
      <c r="C410" s="34" t="s">
        <v>199</v>
      </c>
      <c r="D410" s="906">
        <f>E410+(E410*$K$275)</f>
        <v>9402.2653211394918</v>
      </c>
      <c r="E410" s="955">
        <v>7500</v>
      </c>
      <c r="F410" s="247">
        <v>20</v>
      </c>
      <c r="G410" s="247">
        <v>20</v>
      </c>
      <c r="H410" s="607">
        <v>4.4999999999999998E-2</v>
      </c>
      <c r="I410" s="606">
        <v>0.05</v>
      </c>
      <c r="N410" s="247" t="s">
        <v>363</v>
      </c>
    </row>
    <row r="411" spans="1:30" x14ac:dyDescent="0.3">
      <c r="A411" s="6" t="s">
        <v>52</v>
      </c>
      <c r="B411" s="247">
        <v>0</v>
      </c>
      <c r="C411" s="34" t="s">
        <v>47</v>
      </c>
      <c r="D411" s="906">
        <f>E411+(E411*$K$275)</f>
        <v>2507.2707523038644</v>
      </c>
      <c r="E411" s="252">
        <f>2000</f>
        <v>2000</v>
      </c>
      <c r="F411" s="247">
        <v>20</v>
      </c>
      <c r="G411" s="247">
        <v>20</v>
      </c>
      <c r="H411" s="607">
        <v>4.4999999999999998E-2</v>
      </c>
      <c r="I411" s="606">
        <v>0.05</v>
      </c>
      <c r="N411" s="247" t="s">
        <v>363</v>
      </c>
    </row>
    <row r="412" spans="1:30" x14ac:dyDescent="0.3">
      <c r="A412" s="6" t="s">
        <v>360</v>
      </c>
      <c r="B412" s="247">
        <v>0</v>
      </c>
      <c r="C412" s="34" t="s">
        <v>361</v>
      </c>
      <c r="D412" s="906">
        <f>E412+(E412*$K$275)</f>
        <v>6268.1768807596609</v>
      </c>
      <c r="E412" s="955">
        <f>5000</f>
        <v>5000</v>
      </c>
      <c r="F412" s="247">
        <v>20</v>
      </c>
      <c r="G412" s="247">
        <v>20</v>
      </c>
      <c r="H412" s="607">
        <v>4.4999999999999998E-2</v>
      </c>
      <c r="I412" s="606">
        <v>0.05</v>
      </c>
      <c r="N412" s="247" t="s">
        <v>363</v>
      </c>
    </row>
    <row r="413" spans="1:30" x14ac:dyDescent="0.3">
      <c r="A413" s="6" t="s">
        <v>48</v>
      </c>
      <c r="B413" s="247">
        <v>0</v>
      </c>
      <c r="C413" s="34" t="s">
        <v>49</v>
      </c>
      <c r="D413" s="960">
        <f>E413+(E413*$K$275)</f>
        <v>3259.4519779950238</v>
      </c>
      <c r="E413" s="252">
        <f>2600</f>
        <v>2600</v>
      </c>
      <c r="F413" s="247">
        <v>20</v>
      </c>
      <c r="G413" s="247">
        <v>20</v>
      </c>
      <c r="H413" s="607">
        <v>4.4999999999999998E-2</v>
      </c>
      <c r="I413" s="606">
        <v>0.05</v>
      </c>
      <c r="N413" s="247" t="s">
        <v>363</v>
      </c>
    </row>
    <row r="414" spans="1:30" x14ac:dyDescent="0.3">
      <c r="A414" s="6"/>
      <c r="B414" s="6"/>
      <c r="C414" s="6"/>
      <c r="D414" s="110">
        <f>SUMPRODUCT(B408:B413,D408:D413)</f>
        <v>0</v>
      </c>
      <c r="E414" s="17" t="s">
        <v>1468</v>
      </c>
      <c r="F414" s="6"/>
      <c r="G414" s="6"/>
      <c r="H414" s="6"/>
      <c r="I414" s="6"/>
      <c r="N414" s="34"/>
    </row>
    <row r="415" spans="1:30" x14ac:dyDescent="0.3">
      <c r="A415" s="6"/>
      <c r="B415" s="6"/>
      <c r="C415" s="6"/>
      <c r="D415" s="110"/>
      <c r="F415" s="6"/>
      <c r="G415" s="6"/>
      <c r="H415" s="6"/>
      <c r="I415" s="6"/>
      <c r="N415" s="34"/>
    </row>
    <row r="416" spans="1:30" ht="13.25" customHeight="1" thickBot="1" x14ac:dyDescent="0.35">
      <c r="A416" s="7" t="s">
        <v>1389</v>
      </c>
      <c r="B416" s="15" t="s">
        <v>36</v>
      </c>
      <c r="C416" s="15" t="s">
        <v>22</v>
      </c>
      <c r="D416" s="15" t="s">
        <v>1637</v>
      </c>
      <c r="E416" s="15" t="s">
        <v>1636</v>
      </c>
      <c r="F416" s="15" t="s">
        <v>1635</v>
      </c>
      <c r="G416" s="15" t="s">
        <v>1902</v>
      </c>
      <c r="H416" s="15" t="s">
        <v>1634</v>
      </c>
      <c r="I416" s="605" t="s">
        <v>1098</v>
      </c>
      <c r="J416" s="216" t="s">
        <v>1596</v>
      </c>
      <c r="M416" s="831" t="s">
        <v>1355</v>
      </c>
      <c r="N416" s="815" t="s">
        <v>1389</v>
      </c>
    </row>
    <row r="417" spans="1:18" ht="13.5" thickBot="1" x14ac:dyDescent="0.35">
      <c r="A417" s="638" t="s">
        <v>1390</v>
      </c>
      <c r="B417" s="880">
        <f>$C$39*M417</f>
        <v>0</v>
      </c>
      <c r="C417" s="830" t="s">
        <v>1396</v>
      </c>
      <c r="D417" s="925">
        <f>IF(CP!$D$65&gt;0,CP!$E$65,Data!E417)</f>
        <v>25000</v>
      </c>
      <c r="E417" s="1198">
        <v>25000</v>
      </c>
      <c r="F417" s="370">
        <f>IF(CP!$D$65&gt;0,CP!$G$65,Data!G417)</f>
        <v>50</v>
      </c>
      <c r="G417" s="1200">
        <f>IF($G$271=1,$I$271,($O$338/N417)*$Q$338)</f>
        <v>50</v>
      </c>
      <c r="H417" s="1075">
        <v>0.02</v>
      </c>
      <c r="I417" s="1074">
        <v>0.19</v>
      </c>
      <c r="J417" s="633">
        <v>25</v>
      </c>
      <c r="M417" s="880">
        <f>$C$39*CP!$D$65</f>
        <v>0</v>
      </c>
      <c r="N417" s="247" t="s">
        <v>363</v>
      </c>
    </row>
    <row r="418" spans="1:18" ht="13.5" thickBot="1" x14ac:dyDescent="0.35">
      <c r="A418" s="638" t="s">
        <v>1394</v>
      </c>
      <c r="B418" s="880">
        <f>$C$40*M418</f>
        <v>1</v>
      </c>
      <c r="C418" s="830" t="s">
        <v>1396</v>
      </c>
      <c r="D418" s="925">
        <f>IF(CP!$D$66&gt;0,CP!$E$66,Data!E418)</f>
        <v>50000</v>
      </c>
      <c r="E418" s="1198">
        <v>50000</v>
      </c>
      <c r="F418" s="370">
        <f>IF(CP!$D$66&gt;0,CP!$G$66,Data!G418)</f>
        <v>40</v>
      </c>
      <c r="G418" s="1200">
        <f>IF($G$271=1,$I$272,($O$338/N418)*$Q$338)</f>
        <v>40</v>
      </c>
      <c r="H418" s="1075">
        <v>0.02</v>
      </c>
      <c r="I418" s="1074">
        <v>0.19</v>
      </c>
      <c r="J418" s="633">
        <v>25</v>
      </c>
      <c r="M418" s="880">
        <f>$C$40*CP!$D$66</f>
        <v>1</v>
      </c>
      <c r="N418" s="247" t="s">
        <v>363</v>
      </c>
    </row>
    <row r="419" spans="1:18" ht="13.5" thickBot="1" x14ac:dyDescent="0.35">
      <c r="A419" s="638" t="s">
        <v>1395</v>
      </c>
      <c r="B419" s="880">
        <f>$C$41*M419</f>
        <v>0</v>
      </c>
      <c r="C419" s="830" t="s">
        <v>1396</v>
      </c>
      <c r="D419" s="925">
        <f>IF(CP!$D$67&gt;0,CP!$E$67,Data!E419)</f>
        <v>97500</v>
      </c>
      <c r="E419" s="1198">
        <v>97500</v>
      </c>
      <c r="F419" s="370">
        <f>IF(CP!$D$67&gt;0,CP!$G$67,Data!G419)</f>
        <v>20</v>
      </c>
      <c r="G419" s="1200">
        <f>IF($G$271=1,$I$273,($O$338/N419)*$Q$338)</f>
        <v>20</v>
      </c>
      <c r="H419" s="1075">
        <v>0.02</v>
      </c>
      <c r="I419" s="1074">
        <v>0.19</v>
      </c>
      <c r="J419" s="633">
        <v>25</v>
      </c>
      <c r="M419" s="880">
        <f>$C$41*CP!$D$67</f>
        <v>0</v>
      </c>
      <c r="N419" s="247" t="s">
        <v>363</v>
      </c>
    </row>
    <row r="420" spans="1:18" x14ac:dyDescent="0.3">
      <c r="A420" s="6"/>
      <c r="B420" s="6"/>
      <c r="C420" s="6"/>
      <c r="D420" s="110">
        <f>SUMPRODUCT(B416:B419,D416:D419)</f>
        <v>50000</v>
      </c>
      <c r="E420" s="17" t="s">
        <v>1469</v>
      </c>
      <c r="F420" s="6"/>
      <c r="G420" s="6"/>
      <c r="H420" s="6"/>
      <c r="I420" s="6"/>
      <c r="N420" s="34"/>
    </row>
    <row r="421" spans="1:18" x14ac:dyDescent="0.3">
      <c r="A421" s="6"/>
      <c r="B421" s="6"/>
      <c r="C421" s="6"/>
      <c r="D421" s="110"/>
      <c r="F421" s="6"/>
      <c r="G421" s="6"/>
      <c r="H421" s="6"/>
      <c r="I421" s="6"/>
      <c r="N421" s="34"/>
    </row>
    <row r="422" spans="1:18" ht="13.25" customHeight="1" thickBot="1" x14ac:dyDescent="0.35">
      <c r="A422" s="7" t="s">
        <v>445</v>
      </c>
      <c r="B422" s="15" t="s">
        <v>36</v>
      </c>
      <c r="C422" s="15" t="s">
        <v>22</v>
      </c>
      <c r="D422" s="15" t="s">
        <v>1637</v>
      </c>
      <c r="E422" s="15" t="s">
        <v>1636</v>
      </c>
      <c r="F422" s="15" t="s">
        <v>1635</v>
      </c>
      <c r="G422" s="15" t="s">
        <v>1902</v>
      </c>
      <c r="H422" s="11" t="s">
        <v>1634</v>
      </c>
      <c r="I422" s="944" t="s">
        <v>1098</v>
      </c>
      <c r="J422" s="824" t="s">
        <v>1355</v>
      </c>
      <c r="M422" s="831" t="s">
        <v>1355</v>
      </c>
      <c r="N422" s="815" t="s">
        <v>445</v>
      </c>
    </row>
    <row r="423" spans="1:18" ht="13.5" thickBot="1" x14ac:dyDescent="0.35">
      <c r="A423" s="638" t="s">
        <v>1397</v>
      </c>
      <c r="B423" s="880">
        <f>$C$39*M423</f>
        <v>0</v>
      </c>
      <c r="C423" s="830" t="s">
        <v>238</v>
      </c>
      <c r="D423" s="925">
        <f>IF(CP!$D$69&gt;0,CP!$E$69,Data!E423)</f>
        <v>5000</v>
      </c>
      <c r="E423" s="1198">
        <v>5000</v>
      </c>
      <c r="F423" s="816">
        <f>IF(CP!$D$69&gt;0,CP!$G$69,Data!G423)</f>
        <v>50</v>
      </c>
      <c r="G423" s="1200">
        <f>IF($G$271=1,$I$271,($O$338/N423)*$Q$338)</f>
        <v>50</v>
      </c>
      <c r="H423" s="1075">
        <v>0.02</v>
      </c>
      <c r="I423" s="1074">
        <v>0.19</v>
      </c>
      <c r="J423" s="967">
        <v>1</v>
      </c>
      <c r="M423" s="880">
        <f>$C$39*CP!$D$69</f>
        <v>0</v>
      </c>
      <c r="N423" s="60">
        <f>((barley*B180)/Q425)+((oats*B188)/Q426)+((rye*B196)/Q427)+((wheat*B212)/Q428)+((triticale*B220)/Q429)+((spelt*B228)/Q430)+((buckwheat*B236)/Q431)+((peas*B244)/Q432)+((soy*B252)/Q433)</f>
        <v>107.52777777777777</v>
      </c>
    </row>
    <row r="424" spans="1:18" ht="13.5" thickBot="1" x14ac:dyDescent="0.35">
      <c r="A424" s="638" t="s">
        <v>1398</v>
      </c>
      <c r="B424" s="880">
        <f>$C$40*M424</f>
        <v>2</v>
      </c>
      <c r="C424" s="830" t="s">
        <v>238</v>
      </c>
      <c r="D424" s="925">
        <f>IF(CP!$D$70&gt;0,CP!$E$70,Data!E424)</f>
        <v>5000</v>
      </c>
      <c r="E424" s="1198">
        <v>5000</v>
      </c>
      <c r="F424" s="816">
        <f>IF(CP!$D$70&gt;0,CP!$G$70,Data!G424)</f>
        <v>40</v>
      </c>
      <c r="G424" s="1200">
        <f>IF($G$271=1,$I$272,($O$338/N424)*$Q$338)</f>
        <v>40</v>
      </c>
      <c r="H424" s="1075">
        <v>0.02</v>
      </c>
      <c r="I424" s="1074">
        <v>0.19</v>
      </c>
      <c r="J424" s="633">
        <v>2</v>
      </c>
      <c r="M424" s="880">
        <f>$C$40*CP!$D$70</f>
        <v>2</v>
      </c>
      <c r="N424" s="60">
        <f>((barley*B180)/Q425)+((oats*B188)/Q426)+((rye*B196)/Q427)+((wheat*B212)/Q428)+((triticale*B220)/Q429)+((spelt*B228)/Q430)+((buckwheat*B236)/Q431)+((peas*B244)/Q432)+((soy*B252)/Q433)</f>
        <v>107.52777777777777</v>
      </c>
      <c r="O424" s="601" t="s">
        <v>1323</v>
      </c>
      <c r="Q424" s="696" t="s">
        <v>1323</v>
      </c>
    </row>
    <row r="425" spans="1:18" ht="13.5" thickBot="1" x14ac:dyDescent="0.35">
      <c r="A425" s="638" t="s">
        <v>1399</v>
      </c>
      <c r="B425" s="880">
        <f>$C$41*M425</f>
        <v>0</v>
      </c>
      <c r="C425" s="830" t="s">
        <v>238</v>
      </c>
      <c r="D425" s="925">
        <f>IF(CP!$D$71&gt;0,CP!$E$71,Data!E425)</f>
        <v>5000</v>
      </c>
      <c r="E425" s="1198">
        <v>5000</v>
      </c>
      <c r="F425" s="816">
        <f>IF(CP!$D$71&gt;0,CP!$G$71,Data!G425)</f>
        <v>20</v>
      </c>
      <c r="G425" s="1200">
        <f>IF($G$271=1,$I$273,($O$338/N425)*$Q$338)</f>
        <v>20</v>
      </c>
      <c r="H425" s="1075">
        <v>0.02</v>
      </c>
      <c r="I425" s="1074">
        <v>0.19</v>
      </c>
      <c r="J425" s="633">
        <v>3</v>
      </c>
      <c r="M425" s="880">
        <f>$C$41*CP!$D$71</f>
        <v>0</v>
      </c>
      <c r="N425" s="60">
        <f>((barley*B180)/Q425)+((oats*B188)/Q426)+((rye*B196)/Q427)+((wheat*B212)/Q428)+((triticale*B220)/Q429)+((spelt*B228)/Q430)+((buckwheat*B236)/Q431)+((peas*B244)/Q432)+((soy*B252)/Q433)</f>
        <v>107.52777777777777</v>
      </c>
      <c r="O425" s="247">
        <v>120</v>
      </c>
      <c r="P425" s="146" t="s">
        <v>1324</v>
      </c>
      <c r="Q425" s="24">
        <f>$O$425*(K58/$K$57)</f>
        <v>102.85714285714285</v>
      </c>
      <c r="R425" s="146" t="s">
        <v>1325</v>
      </c>
    </row>
    <row r="426" spans="1:18" ht="13.5" thickBot="1" x14ac:dyDescent="0.35">
      <c r="A426" s="6" t="s">
        <v>240</v>
      </c>
      <c r="B426" s="370">
        <v>0</v>
      </c>
      <c r="C426" s="34" t="s">
        <v>241</v>
      </c>
      <c r="D426" s="906">
        <f>E426+(E426*$K$275)</f>
        <v>1880.4530642278983</v>
      </c>
      <c r="E426" s="252">
        <f>1500</f>
        <v>1500</v>
      </c>
      <c r="F426" s="247">
        <v>10</v>
      </c>
      <c r="G426" s="247">
        <v>10</v>
      </c>
      <c r="H426" s="670">
        <v>0.02</v>
      </c>
      <c r="I426" s="606">
        <v>0.19</v>
      </c>
      <c r="K426" s="815" t="s">
        <v>1135</v>
      </c>
      <c r="M426" s="34" t="s">
        <v>1449</v>
      </c>
      <c r="N426" s="247" t="s">
        <v>363</v>
      </c>
      <c r="Q426" s="24">
        <f>$O$425*(K59/$K$57)</f>
        <v>68.571428571428569</v>
      </c>
      <c r="R426" s="146" t="s">
        <v>1326</v>
      </c>
    </row>
    <row r="427" spans="1:18" ht="13.75" customHeight="1" thickBot="1" x14ac:dyDescent="0.35">
      <c r="A427" s="664" t="s">
        <v>534</v>
      </c>
      <c r="B427" s="826">
        <f>IF(D11=1,$K$427/SUM($D$11:$D$21),0)</f>
        <v>0</v>
      </c>
      <c r="C427" s="940" t="s">
        <v>239</v>
      </c>
      <c r="D427" s="906">
        <f>E427+(E427*$K$275)</f>
        <v>7521.8122569115931</v>
      </c>
      <c r="E427" s="275">
        <f>6000</f>
        <v>6000</v>
      </c>
      <c r="F427" s="970">
        <v>10</v>
      </c>
      <c r="G427" s="247">
        <v>10</v>
      </c>
      <c r="H427" s="1075">
        <v>0.02</v>
      </c>
      <c r="I427" s="1074">
        <v>0.19</v>
      </c>
      <c r="J427" s="824" t="s">
        <v>1355</v>
      </c>
      <c r="K427" s="899">
        <f>CP!$D$72</f>
        <v>1</v>
      </c>
      <c r="M427" s="34">
        <f>K434/2000</f>
        <v>0.75</v>
      </c>
      <c r="N427" s="226">
        <f>$Q$441</f>
        <v>1008</v>
      </c>
      <c r="Q427" s="24">
        <f>$O$425*(K60/$K$57)</f>
        <v>120</v>
      </c>
      <c r="R427" s="146" t="s">
        <v>1327</v>
      </c>
    </row>
    <row r="428" spans="1:18" ht="13.5" thickBot="1" x14ac:dyDescent="0.35">
      <c r="A428" s="664" t="s">
        <v>1447</v>
      </c>
      <c r="B428" s="247">
        <v>0</v>
      </c>
      <c r="C428" s="940" t="s">
        <v>1540</v>
      </c>
      <c r="D428" s="159">
        <f>E428</f>
        <v>10</v>
      </c>
      <c r="E428" s="969">
        <f>$K$435</f>
        <v>10</v>
      </c>
      <c r="F428" s="816">
        <f>CP!$G$75</f>
        <v>5</v>
      </c>
      <c r="G428" s="973" t="s">
        <v>45</v>
      </c>
      <c r="H428" s="1075">
        <v>0</v>
      </c>
      <c r="I428" s="1075">
        <v>0</v>
      </c>
      <c r="J428" s="972">
        <f>(B172*$K$57*gcorn)/$K$434</f>
        <v>0</v>
      </c>
      <c r="K428" s="1204">
        <v>7521.8122569115903</v>
      </c>
      <c r="L428" s="22" t="s">
        <v>1926</v>
      </c>
      <c r="N428" s="247" t="s">
        <v>363</v>
      </c>
      <c r="Q428" s="24">
        <f>$O$425*(K61/$K$57)</f>
        <v>128.57142857142856</v>
      </c>
      <c r="R428" s="146" t="s">
        <v>1328</v>
      </c>
    </row>
    <row r="429" spans="1:18" ht="13.5" thickBot="1" x14ac:dyDescent="0.35">
      <c r="A429" s="664" t="s">
        <v>1415</v>
      </c>
      <c r="B429" s="247">
        <v>0</v>
      </c>
      <c r="C429" s="940" t="s">
        <v>446</v>
      </c>
      <c r="D429" s="159">
        <f>E429+(E429*$K$275)</f>
        <v>21106.205192893929</v>
      </c>
      <c r="E429" s="600">
        <v>16836</v>
      </c>
      <c r="F429" s="971">
        <v>33</v>
      </c>
      <c r="G429" s="247">
        <v>10</v>
      </c>
      <c r="H429" s="968">
        <v>0.01</v>
      </c>
      <c r="I429" s="948">
        <v>0.35</v>
      </c>
      <c r="J429" s="633">
        <v>1</v>
      </c>
      <c r="K429" s="1203">
        <v>10</v>
      </c>
      <c r="L429" s="22" t="s">
        <v>1927</v>
      </c>
      <c r="N429" s="247" t="s">
        <v>363</v>
      </c>
      <c r="Q429" s="24">
        <f>$O$425*(K63/$K$57)</f>
        <v>120</v>
      </c>
      <c r="R429" s="146" t="s">
        <v>1329</v>
      </c>
    </row>
    <row r="430" spans="1:18" ht="13.5" thickBot="1" x14ac:dyDescent="0.35">
      <c r="A430" s="664" t="s">
        <v>1416</v>
      </c>
      <c r="B430" s="247">
        <v>0</v>
      </c>
      <c r="C430" s="940" t="s">
        <v>446</v>
      </c>
      <c r="D430" s="159">
        <f>E430+(E430*$K$275)</f>
        <v>36937.112722940532</v>
      </c>
      <c r="E430" s="600">
        <v>29464</v>
      </c>
      <c r="F430" s="633">
        <v>33</v>
      </c>
      <c r="G430" s="1202">
        <v>10</v>
      </c>
      <c r="H430" s="1206">
        <v>0.01</v>
      </c>
      <c r="I430" s="1208">
        <v>0.35</v>
      </c>
      <c r="J430" s="1201">
        <v>1</v>
      </c>
      <c r="K430" s="1075">
        <v>0.02</v>
      </c>
      <c r="L430" s="17" t="s">
        <v>1928</v>
      </c>
      <c r="M430" s="831" t="s">
        <v>1355</v>
      </c>
      <c r="N430" s="247" t="s">
        <v>363</v>
      </c>
      <c r="Q430" s="24">
        <f>$O$425*(K64/$K$57)</f>
        <v>128.57142857142856</v>
      </c>
      <c r="R430" s="146" t="s">
        <v>1330</v>
      </c>
    </row>
    <row r="431" spans="1:18" ht="13.5" thickBot="1" x14ac:dyDescent="0.35">
      <c r="A431" s="638" t="s">
        <v>1872</v>
      </c>
      <c r="B431" s="1196">
        <f>$C$39*M431</f>
        <v>0</v>
      </c>
      <c r="C431" s="830" t="s">
        <v>239</v>
      </c>
      <c r="D431" s="925">
        <f>IF(CP!D72&gt;0,CP!E72,Data!E431)</f>
        <v>7521.8122569115903</v>
      </c>
      <c r="E431" s="1205">
        <f>$K$428</f>
        <v>7521.8122569115903</v>
      </c>
      <c r="F431" s="370">
        <f>IF(CP!D72&gt;0,CP!G72,Data!G431)</f>
        <v>10</v>
      </c>
      <c r="G431" s="945">
        <f>$K$429</f>
        <v>10</v>
      </c>
      <c r="H431" s="1207">
        <f>$K$430</f>
        <v>0.02</v>
      </c>
      <c r="I431" s="1209">
        <f>$K$431</f>
        <v>0.19</v>
      </c>
      <c r="K431" s="1075">
        <v>0.19</v>
      </c>
      <c r="L431" s="17" t="s">
        <v>1929</v>
      </c>
      <c r="M431" s="1196">
        <f>$C$39*IF($D$12=1,$K$427/SUM($D$11:$D$21),0)</f>
        <v>0</v>
      </c>
      <c r="N431" s="226">
        <f>$Q$441</f>
        <v>1008</v>
      </c>
      <c r="Q431" s="24">
        <f>$O$425*(K65/$K$57)</f>
        <v>102.85714285714285</v>
      </c>
      <c r="R431" s="146" t="s">
        <v>2152</v>
      </c>
    </row>
    <row r="432" spans="1:18" ht="13.5" thickBot="1" x14ac:dyDescent="0.35">
      <c r="A432" s="638" t="s">
        <v>1873</v>
      </c>
      <c r="B432" s="1196">
        <f>$C$40*M432</f>
        <v>0.25</v>
      </c>
      <c r="C432" s="830" t="s">
        <v>239</v>
      </c>
      <c r="D432" s="925">
        <f>IF(CP!D73&gt;0,CP!E73,Data!E432)</f>
        <v>7521.8122569115903</v>
      </c>
      <c r="E432" s="1205">
        <f>$K$428</f>
        <v>7521.8122569115903</v>
      </c>
      <c r="F432" s="370">
        <f>IF(CP!D73&gt;0,CP!G73,Data!G432)</f>
        <v>10</v>
      </c>
      <c r="G432" s="945">
        <f t="shared" ref="G432:G433" si="37">$K$429</f>
        <v>10</v>
      </c>
      <c r="H432" s="1207">
        <f t="shared" ref="H432:H433" si="38">$K$430</f>
        <v>0.02</v>
      </c>
      <c r="I432" s="1209">
        <f>$K$431</f>
        <v>0.19</v>
      </c>
      <c r="J432" s="824"/>
      <c r="M432" s="1196">
        <f>$C$40*IF($D$12=1,$K$427/SUM($D$11:$D$21),0)</f>
        <v>0.25</v>
      </c>
      <c r="N432" s="226">
        <f>$Q$441</f>
        <v>1008</v>
      </c>
      <c r="Q432" s="24">
        <f>$O$425*(K66/$K$57)</f>
        <v>128.57142857142856</v>
      </c>
      <c r="R432" s="146" t="s">
        <v>1331</v>
      </c>
    </row>
    <row r="433" spans="1:18" ht="13.5" thickBot="1" x14ac:dyDescent="0.35">
      <c r="A433" s="638" t="s">
        <v>1874</v>
      </c>
      <c r="B433" s="1196">
        <f>$C$41*M433</f>
        <v>0</v>
      </c>
      <c r="C433" s="830" t="s">
        <v>239</v>
      </c>
      <c r="D433" s="925">
        <f>IF(CP!D74&gt;0,CP!E74,Data!E433)</f>
        <v>7521.8122569115903</v>
      </c>
      <c r="E433" s="1205">
        <f>$K$428</f>
        <v>7521.8122569115903</v>
      </c>
      <c r="F433" s="370">
        <f>IF(CP!D74&gt;0,CP!G74,Data!G433)</f>
        <v>10</v>
      </c>
      <c r="G433" s="945">
        <f t="shared" si="37"/>
        <v>10</v>
      </c>
      <c r="H433" s="1207">
        <f t="shared" si="38"/>
        <v>0.02</v>
      </c>
      <c r="I433" s="1209">
        <f>$K$431</f>
        <v>0.19</v>
      </c>
      <c r="J433" s="824" t="s">
        <v>1355</v>
      </c>
      <c r="K433" s="815" t="s">
        <v>1930</v>
      </c>
      <c r="M433" s="1196">
        <f>$C$41*IF($D$12=1,$K$427/SUM($D$11:$D$21),0)</f>
        <v>0</v>
      </c>
      <c r="N433" s="226">
        <f>$Q$441</f>
        <v>1008</v>
      </c>
      <c r="Q433" s="24">
        <f>$O$425*(K67/$K$57)</f>
        <v>128.57142857142856</v>
      </c>
      <c r="R433" s="146" t="s">
        <v>1332</v>
      </c>
    </row>
    <row r="434" spans="1:18" ht="13.5" thickBot="1" x14ac:dyDescent="0.35">
      <c r="A434" s="638" t="s">
        <v>1450</v>
      </c>
      <c r="B434" s="880">
        <f>$C$39*M434</f>
        <v>0</v>
      </c>
      <c r="C434" s="830" t="s">
        <v>1540</v>
      </c>
      <c r="D434" s="925">
        <f>IF(CP!D75&gt;0,CP!E75,Data!E434)</f>
        <v>10</v>
      </c>
      <c r="E434" s="1205">
        <f>$K$435</f>
        <v>10</v>
      </c>
      <c r="F434" s="370">
        <f>IF(CP!D75&gt;0,CP!G75,Data!G434)</f>
        <v>5</v>
      </c>
      <c r="G434" s="945">
        <f>$K$436</f>
        <v>5</v>
      </c>
      <c r="H434" s="1207">
        <f>$K$437</f>
        <v>0</v>
      </c>
      <c r="I434" s="1207">
        <f>$K$438</f>
        <v>0</v>
      </c>
      <c r="J434" s="370">
        <f>(B180*$K$58*barley)/$K$434</f>
        <v>134.4</v>
      </c>
      <c r="K434" s="899">
        <f>CP!M75</f>
        <v>1500</v>
      </c>
      <c r="L434" s="22" t="s">
        <v>1448</v>
      </c>
      <c r="M434" s="880">
        <f>$C$39*J434</f>
        <v>0</v>
      </c>
      <c r="N434" s="247" t="s">
        <v>363</v>
      </c>
    </row>
    <row r="435" spans="1:18" ht="13.5" thickBot="1" x14ac:dyDescent="0.35">
      <c r="A435" s="638" t="s">
        <v>1401</v>
      </c>
      <c r="B435" s="880">
        <f>$C$40*M435</f>
        <v>1</v>
      </c>
      <c r="C435" s="830" t="s">
        <v>446</v>
      </c>
      <c r="D435" s="925">
        <f>IF(CP!D76&gt;0,CP!E76,Data!E435)</f>
        <v>21106.2051928939</v>
      </c>
      <c r="E435" s="1205">
        <f>$K$441</f>
        <v>21106.2051928939</v>
      </c>
      <c r="F435" s="370">
        <f>IF(CP!D76&gt;0,CP!G76,Data!G435)</f>
        <v>33</v>
      </c>
      <c r="G435" s="945">
        <f>$K$442</f>
        <v>33</v>
      </c>
      <c r="H435" s="1207">
        <f>$K$443</f>
        <v>0.01</v>
      </c>
      <c r="I435" s="1209">
        <f>$K$444</f>
        <v>0.35</v>
      </c>
      <c r="J435" s="967">
        <v>1</v>
      </c>
      <c r="K435" s="1204">
        <v>10</v>
      </c>
      <c r="L435" s="22" t="s">
        <v>1724</v>
      </c>
      <c r="M435" s="880">
        <f>$C$40*CP!$D$76</f>
        <v>1</v>
      </c>
      <c r="N435" s="247" t="s">
        <v>363</v>
      </c>
      <c r="Q435" s="601" t="s">
        <v>1333</v>
      </c>
    </row>
    <row r="436" spans="1:18" ht="13.5" thickBot="1" x14ac:dyDescent="0.35">
      <c r="A436" s="638" t="s">
        <v>1402</v>
      </c>
      <c r="B436" s="880">
        <f>$C$41*M436</f>
        <v>0</v>
      </c>
      <c r="C436" s="830" t="s">
        <v>446</v>
      </c>
      <c r="D436" s="925">
        <f>IF(CP!D77&gt;0,CP!E77,Data!E436)</f>
        <v>36937.112722940503</v>
      </c>
      <c r="E436" s="1205">
        <f>$K$447</f>
        <v>36937.112722940503</v>
      </c>
      <c r="F436" s="370">
        <f>IF(CP!D77&gt;0,CP!G77,Data!G436)</f>
        <v>33</v>
      </c>
      <c r="G436" s="945">
        <f>$K$448</f>
        <v>33</v>
      </c>
      <c r="H436" s="1207">
        <f>$K$449</f>
        <v>0.01</v>
      </c>
      <c r="I436" s="1209">
        <f>$K$450</f>
        <v>0.35</v>
      </c>
      <c r="J436" s="633">
        <v>1</v>
      </c>
      <c r="K436" s="1203">
        <v>5</v>
      </c>
      <c r="L436" s="22" t="s">
        <v>1927</v>
      </c>
      <c r="M436" s="880">
        <f>$C$41*CP!$D$77</f>
        <v>0</v>
      </c>
      <c r="N436" s="247" t="s">
        <v>363</v>
      </c>
      <c r="Q436" s="247">
        <v>4</v>
      </c>
      <c r="R436" s="146" t="s">
        <v>1334</v>
      </c>
    </row>
    <row r="437" spans="1:18" ht="13.5" thickBot="1" x14ac:dyDescent="0.35">
      <c r="A437" s="638" t="s">
        <v>1875</v>
      </c>
      <c r="B437" s="1196">
        <f>$C$39*M437</f>
        <v>0</v>
      </c>
      <c r="C437" s="830" t="s">
        <v>239</v>
      </c>
      <c r="D437" s="925">
        <f>IF(CP!D72&gt;0,CP!E72,Data!E437)</f>
        <v>7521.8122569115903</v>
      </c>
      <c r="E437" s="1205">
        <f>$K$428</f>
        <v>7521.8122569115903</v>
      </c>
      <c r="F437" s="370">
        <f>IF(CP!D72&gt;0,CP!G72,Data!G437)</f>
        <v>10</v>
      </c>
      <c r="G437" s="945">
        <f>$K$429</f>
        <v>10</v>
      </c>
      <c r="H437" s="1207">
        <f>$K$430</f>
        <v>0.02</v>
      </c>
      <c r="I437" s="1209">
        <f>$K$431</f>
        <v>0.19</v>
      </c>
      <c r="K437" s="1075">
        <v>0</v>
      </c>
      <c r="L437" s="17" t="s">
        <v>1928</v>
      </c>
      <c r="M437" s="1196">
        <f>$C$39*IF($D$13=1,$K$427/SUM($D$11:$D$21),0)</f>
        <v>0</v>
      </c>
      <c r="N437" s="226">
        <f>$Q$441</f>
        <v>1008</v>
      </c>
      <c r="Q437" s="247">
        <v>8</v>
      </c>
      <c r="R437" s="146" t="s">
        <v>1335</v>
      </c>
    </row>
    <row r="438" spans="1:18" ht="13.5" thickBot="1" x14ac:dyDescent="0.35">
      <c r="A438" s="638" t="s">
        <v>1876</v>
      </c>
      <c r="B438" s="1196">
        <f>$C$40*M438</f>
        <v>0</v>
      </c>
      <c r="C438" s="830" t="s">
        <v>239</v>
      </c>
      <c r="D438" s="925">
        <f>IF(CP!D73&gt;0,CP!E73,Data!E438)</f>
        <v>7521.8122569115903</v>
      </c>
      <c r="E438" s="1205">
        <f>$K$428</f>
        <v>7521.8122569115903</v>
      </c>
      <c r="F438" s="370">
        <f>IF(CP!D73&gt;0,CP!G73,Data!G438)</f>
        <v>10</v>
      </c>
      <c r="G438" s="945">
        <f t="shared" ref="G438:G439" si="39">$K$429</f>
        <v>10</v>
      </c>
      <c r="H438" s="1207">
        <f t="shared" ref="H438:H439" si="40">$K$430</f>
        <v>0.02</v>
      </c>
      <c r="I438" s="1209">
        <f>$K$431</f>
        <v>0.19</v>
      </c>
      <c r="J438" s="824"/>
      <c r="K438" s="1075">
        <v>0</v>
      </c>
      <c r="L438" s="17" t="s">
        <v>1929</v>
      </c>
      <c r="M438" s="1196">
        <f>$C$40*IF($D$13=1,$K$427/SUM($D$11:$D$21),0)</f>
        <v>0</v>
      </c>
      <c r="N438" s="226">
        <f>$Q$441</f>
        <v>1008</v>
      </c>
      <c r="Q438" s="34">
        <f>AVERAGE(Q436:Q437)</f>
        <v>6</v>
      </c>
      <c r="R438" s="146" t="s">
        <v>1336</v>
      </c>
    </row>
    <row r="439" spans="1:18" ht="13.5" thickBot="1" x14ac:dyDescent="0.35">
      <c r="A439" s="638" t="s">
        <v>1877</v>
      </c>
      <c r="B439" s="1196">
        <f>$C$41*M439</f>
        <v>0</v>
      </c>
      <c r="C439" s="830" t="s">
        <v>239</v>
      </c>
      <c r="D439" s="925">
        <f>IF(CP!D74&gt;0,CP!E74,Data!E439)</f>
        <v>7521.8122569115903</v>
      </c>
      <c r="E439" s="1205">
        <f>$K$428</f>
        <v>7521.8122569115903</v>
      </c>
      <c r="F439" s="370">
        <f>IF(CP!D74&gt;0,CP!G74,Data!G439)</f>
        <v>10</v>
      </c>
      <c r="G439" s="945">
        <f t="shared" si="39"/>
        <v>10</v>
      </c>
      <c r="H439" s="1207">
        <f t="shared" si="40"/>
        <v>0.02</v>
      </c>
      <c r="I439" s="1209">
        <f>$K$431</f>
        <v>0.19</v>
      </c>
      <c r="J439" s="824" t="s">
        <v>1355</v>
      </c>
      <c r="M439" s="1196">
        <f>$C$41*IF($D$13=1,$K$427/SUM($D$11:$D$21),0)</f>
        <v>0</v>
      </c>
      <c r="N439" s="226">
        <f>$Q$441</f>
        <v>1008</v>
      </c>
      <c r="Q439" s="247">
        <v>7</v>
      </c>
      <c r="R439" s="146" t="s">
        <v>1337</v>
      </c>
    </row>
    <row r="440" spans="1:18" ht="13.5" thickBot="1" x14ac:dyDescent="0.35">
      <c r="A440" s="638" t="s">
        <v>1456</v>
      </c>
      <c r="B440" s="880">
        <f>$C$39*M440</f>
        <v>0</v>
      </c>
      <c r="C440" s="830" t="s">
        <v>1540</v>
      </c>
      <c r="D440" s="925">
        <f>IF(CP!D75&gt;0,CP!E75,Data!E440)</f>
        <v>10</v>
      </c>
      <c r="E440" s="1205">
        <f>$K$435</f>
        <v>10</v>
      </c>
      <c r="F440" s="370">
        <f>IF(CP!D75&gt;0,CP!G75,Data!G440)</f>
        <v>5</v>
      </c>
      <c r="G440" s="945">
        <f>$K$436</f>
        <v>5</v>
      </c>
      <c r="H440" s="1207">
        <f>$K$437</f>
        <v>0</v>
      </c>
      <c r="I440" s="1207">
        <f>$K$438</f>
        <v>0</v>
      </c>
      <c r="J440" s="370">
        <f>(B188*$K$59*oats)/$K$434</f>
        <v>0</v>
      </c>
      <c r="K440" s="815" t="s">
        <v>1931</v>
      </c>
      <c r="M440" s="880">
        <f>$C$39*J440</f>
        <v>0</v>
      </c>
      <c r="N440" s="247" t="s">
        <v>363</v>
      </c>
      <c r="Q440" s="247">
        <v>24</v>
      </c>
      <c r="R440" s="17" t="s">
        <v>1338</v>
      </c>
    </row>
    <row r="441" spans="1:18" ht="13.5" thickBot="1" x14ac:dyDescent="0.35">
      <c r="A441" s="638" t="s">
        <v>1403</v>
      </c>
      <c r="B441" s="880">
        <f>$C$40*M441</f>
        <v>1</v>
      </c>
      <c r="C441" s="830" t="s">
        <v>446</v>
      </c>
      <c r="D441" s="925">
        <f>IF(CP!D76&gt;0,CP!E76,Data!E441)</f>
        <v>21106.2051928939</v>
      </c>
      <c r="E441" s="1205">
        <f>$K$441</f>
        <v>21106.2051928939</v>
      </c>
      <c r="F441" s="370">
        <f>IF(CP!D76&gt;0,CP!G76,Data!G441)</f>
        <v>33</v>
      </c>
      <c r="G441" s="945">
        <f>$K$442</f>
        <v>33</v>
      </c>
      <c r="H441" s="1207">
        <f>$K$443</f>
        <v>0.01</v>
      </c>
      <c r="I441" s="1209">
        <f>$K$444</f>
        <v>0.35</v>
      </c>
      <c r="J441" s="633">
        <v>1</v>
      </c>
      <c r="K441" s="1204">
        <v>21106.2051928939</v>
      </c>
      <c r="L441" s="22" t="s">
        <v>1932</v>
      </c>
      <c r="M441" s="880">
        <f>$C$40*CP!$D$76</f>
        <v>1</v>
      </c>
      <c r="N441" s="247" t="s">
        <v>363</v>
      </c>
      <c r="Q441" s="226">
        <f>Q438*Q439*Q440</f>
        <v>1008</v>
      </c>
      <c r="R441" s="17" t="s">
        <v>1339</v>
      </c>
    </row>
    <row r="442" spans="1:18" ht="13.5" thickBot="1" x14ac:dyDescent="0.35">
      <c r="A442" s="638" t="s">
        <v>1404</v>
      </c>
      <c r="B442" s="880">
        <f>$C$41*M442</f>
        <v>0</v>
      </c>
      <c r="C442" s="830" t="s">
        <v>446</v>
      </c>
      <c r="D442" s="925">
        <f>IF(CP!D77&gt;0,CP!E77,Data!E442)</f>
        <v>36937.112722940503</v>
      </c>
      <c r="E442" s="1205">
        <f>$K$447</f>
        <v>36937.112722940503</v>
      </c>
      <c r="F442" s="370">
        <f>IF(CP!D77&gt;0,CP!G77,Data!G442)</f>
        <v>33</v>
      </c>
      <c r="G442" s="945">
        <f>$K$448</f>
        <v>33</v>
      </c>
      <c r="H442" s="1207">
        <f>$K$449</f>
        <v>0.01</v>
      </c>
      <c r="I442" s="1209">
        <f>$K$450</f>
        <v>0.35</v>
      </c>
      <c r="J442" s="633">
        <v>1</v>
      </c>
      <c r="K442" s="1203">
        <v>33</v>
      </c>
      <c r="L442" s="22" t="s">
        <v>1927</v>
      </c>
      <c r="M442" s="880">
        <f>$C$41*CP!$D$77</f>
        <v>0</v>
      </c>
      <c r="N442" s="247" t="s">
        <v>363</v>
      </c>
    </row>
    <row r="443" spans="1:18" ht="13.75" customHeight="1" thickBot="1" x14ac:dyDescent="0.35">
      <c r="A443" s="638" t="s">
        <v>1878</v>
      </c>
      <c r="B443" s="1196">
        <f>$C$39*M443</f>
        <v>0</v>
      </c>
      <c r="C443" s="830" t="s">
        <v>239</v>
      </c>
      <c r="D443" s="925">
        <f>IF(CP!D72&gt;0,CP!E72,Data!E443)</f>
        <v>7521.8122569115903</v>
      </c>
      <c r="E443" s="1205">
        <f>$K$428</f>
        <v>7521.8122569115903</v>
      </c>
      <c r="F443" s="370">
        <f>IF(CP!D72&gt;0,CP!G72,Data!G443)</f>
        <v>10</v>
      </c>
      <c r="G443" s="945">
        <f>$K$429</f>
        <v>10</v>
      </c>
      <c r="H443" s="1207">
        <f>$K$430</f>
        <v>0.02</v>
      </c>
      <c r="I443" s="1209">
        <f>$K$431</f>
        <v>0.19</v>
      </c>
      <c r="K443" s="1075">
        <v>0.01</v>
      </c>
      <c r="L443" s="17" t="s">
        <v>1928</v>
      </c>
      <c r="M443" s="1196">
        <f>$C$39*IF($D$14=1,$K$427/SUM($D$11:$D$21),0)</f>
        <v>0</v>
      </c>
      <c r="N443" s="226">
        <f>$Q$441</f>
        <v>1008</v>
      </c>
    </row>
    <row r="444" spans="1:18" ht="14.4" customHeight="1" thickBot="1" x14ac:dyDescent="0.35">
      <c r="A444" s="638" t="s">
        <v>1879</v>
      </c>
      <c r="B444" s="1196">
        <f>$C$40*M444</f>
        <v>0</v>
      </c>
      <c r="C444" s="830" t="s">
        <v>239</v>
      </c>
      <c r="D444" s="925">
        <f>IF(CP!D73&gt;0,CP!E73,Data!E444)</f>
        <v>7521.8122569115903</v>
      </c>
      <c r="E444" s="1205">
        <f>$K$428</f>
        <v>7521.8122569115903</v>
      </c>
      <c r="F444" s="370">
        <f>IF(CP!D73&gt;0,CP!G73,Data!G444)</f>
        <v>10</v>
      </c>
      <c r="G444" s="945">
        <f t="shared" ref="G444:G445" si="41">$K$429</f>
        <v>10</v>
      </c>
      <c r="H444" s="1207">
        <f t="shared" ref="H444:H445" si="42">$K$430</f>
        <v>0.02</v>
      </c>
      <c r="I444" s="1209">
        <f>$K$431</f>
        <v>0.19</v>
      </c>
      <c r="J444" s="824"/>
      <c r="K444" s="1074">
        <v>0.35</v>
      </c>
      <c r="L444" s="17" t="s">
        <v>1929</v>
      </c>
      <c r="M444" s="1196">
        <f>$C$40*IF($D$14=1,$K$427/SUM($D$11:$D$21),0)</f>
        <v>0</v>
      </c>
      <c r="N444" s="226">
        <f>$Q$441</f>
        <v>1008</v>
      </c>
    </row>
    <row r="445" spans="1:18" ht="13.75" customHeight="1" thickBot="1" x14ac:dyDescent="0.35">
      <c r="A445" s="638" t="s">
        <v>1880</v>
      </c>
      <c r="B445" s="1196">
        <f>$C$41*M445</f>
        <v>0</v>
      </c>
      <c r="C445" s="830" t="s">
        <v>239</v>
      </c>
      <c r="D445" s="925">
        <f>IF(CP!D74&gt;0,CP!E74,Data!E445)</f>
        <v>7521.8122569115903</v>
      </c>
      <c r="E445" s="1205">
        <f>$K$428</f>
        <v>7521.8122569115903</v>
      </c>
      <c r="F445" s="370">
        <f>IF(CP!D74&gt;0,CP!G74,Data!G445)</f>
        <v>10</v>
      </c>
      <c r="G445" s="945">
        <f t="shared" si="41"/>
        <v>10</v>
      </c>
      <c r="H445" s="1207">
        <f t="shared" si="42"/>
        <v>0.02</v>
      </c>
      <c r="I445" s="1209">
        <f>$K$431</f>
        <v>0.19</v>
      </c>
      <c r="J445" s="824" t="s">
        <v>1355</v>
      </c>
      <c r="M445" s="1196">
        <f>$C$41*IF($D$14=1,$K$427/SUM($D$11:$D$21),0)</f>
        <v>0</v>
      </c>
      <c r="N445" s="226">
        <f>$Q$441</f>
        <v>1008</v>
      </c>
    </row>
    <row r="446" spans="1:18" ht="13.5" thickBot="1" x14ac:dyDescent="0.35">
      <c r="A446" s="638" t="s">
        <v>1455</v>
      </c>
      <c r="B446" s="880">
        <f>$C$39*M446</f>
        <v>0</v>
      </c>
      <c r="C446" s="830" t="s">
        <v>1540</v>
      </c>
      <c r="D446" s="925">
        <f>IF(CP!D75&gt;0,CP!E75,Data!E446)</f>
        <v>10</v>
      </c>
      <c r="E446" s="1205">
        <f>$K$435</f>
        <v>10</v>
      </c>
      <c r="F446" s="370">
        <f>IF(CP!D75&gt;0,CP!G75,Data!G446)</f>
        <v>5</v>
      </c>
      <c r="G446" s="945">
        <f>$K$436</f>
        <v>5</v>
      </c>
      <c r="H446" s="1207">
        <f>$K$437</f>
        <v>0</v>
      </c>
      <c r="I446" s="1207">
        <f>$K$438</f>
        <v>0</v>
      </c>
      <c r="J446" s="817">
        <f>(B196*$K$60*rye)/$K$434</f>
        <v>0</v>
      </c>
      <c r="K446" s="815" t="s">
        <v>1933</v>
      </c>
      <c r="M446" s="880">
        <f>$C$39*J446</f>
        <v>0</v>
      </c>
      <c r="N446" s="247" t="s">
        <v>363</v>
      </c>
    </row>
    <row r="447" spans="1:18" ht="13.5" thickBot="1" x14ac:dyDescent="0.35">
      <c r="A447" s="638" t="s">
        <v>1405</v>
      </c>
      <c r="B447" s="880">
        <f>$C$40*M447</f>
        <v>1</v>
      </c>
      <c r="C447" s="830" t="s">
        <v>446</v>
      </c>
      <c r="D447" s="925">
        <f>IF(CP!D76&gt;0,CP!E76,Data!E447)</f>
        <v>21106.2051928939</v>
      </c>
      <c r="E447" s="1205">
        <f>$K$441</f>
        <v>21106.2051928939</v>
      </c>
      <c r="F447" s="370">
        <f>IF(CP!D76&gt;0,CP!G76,Data!G447)</f>
        <v>33</v>
      </c>
      <c r="G447" s="945">
        <f>$K$442</f>
        <v>33</v>
      </c>
      <c r="H447" s="1207">
        <f>$K$443</f>
        <v>0.01</v>
      </c>
      <c r="I447" s="1209">
        <f>$K$444</f>
        <v>0.35</v>
      </c>
      <c r="J447" s="633">
        <v>1</v>
      </c>
      <c r="K447" s="1204">
        <v>36937.112722940503</v>
      </c>
      <c r="L447" s="22" t="s">
        <v>1932</v>
      </c>
      <c r="M447" s="880">
        <f>$C$40*CP!$D$76</f>
        <v>1</v>
      </c>
      <c r="N447" s="247" t="s">
        <v>363</v>
      </c>
    </row>
    <row r="448" spans="1:18" ht="13.5" thickBot="1" x14ac:dyDescent="0.35">
      <c r="A448" s="638" t="s">
        <v>1406</v>
      </c>
      <c r="B448" s="880">
        <f>$C$41*M448</f>
        <v>0</v>
      </c>
      <c r="C448" s="830" t="s">
        <v>446</v>
      </c>
      <c r="D448" s="925">
        <f>IF(CP!D77&gt;0,CP!E77,Data!E448)</f>
        <v>36937.112722940503</v>
      </c>
      <c r="E448" s="1205">
        <f>$K$447</f>
        <v>36937.112722940503</v>
      </c>
      <c r="F448" s="370">
        <f>IF(CP!D77&gt;0,CP!G77,Data!G448)</f>
        <v>33</v>
      </c>
      <c r="G448" s="945">
        <f>$K$448</f>
        <v>33</v>
      </c>
      <c r="H448" s="1207">
        <f>$K$449</f>
        <v>0.01</v>
      </c>
      <c r="I448" s="1209">
        <f>$K$450</f>
        <v>0.35</v>
      </c>
      <c r="J448" s="633">
        <v>1</v>
      </c>
      <c r="K448" s="1203">
        <v>33</v>
      </c>
      <c r="L448" s="22" t="s">
        <v>1927</v>
      </c>
      <c r="M448" s="880">
        <f>$C$41*CP!$D$77</f>
        <v>0</v>
      </c>
      <c r="N448" s="247" t="s">
        <v>363</v>
      </c>
    </row>
    <row r="449" spans="1:14" ht="13.5" thickBot="1" x14ac:dyDescent="0.35">
      <c r="A449" s="638" t="s">
        <v>1960</v>
      </c>
      <c r="B449" s="1196">
        <f>$C$39*M449</f>
        <v>0</v>
      </c>
      <c r="C449" s="830" t="s">
        <v>239</v>
      </c>
      <c r="D449" s="925">
        <f>IF(CP!D72&gt;0,CP!E72,Data!E449)</f>
        <v>7521.8122569115903</v>
      </c>
      <c r="E449" s="1205">
        <f>$K$428</f>
        <v>7521.8122569115903</v>
      </c>
      <c r="F449" s="370">
        <f>IF(CP!D72&gt;0,CP!G72,Data!G449)</f>
        <v>10</v>
      </c>
      <c r="G449" s="945">
        <f>$K$429</f>
        <v>10</v>
      </c>
      <c r="H449" s="1207">
        <f>$K$430</f>
        <v>0.02</v>
      </c>
      <c r="I449" s="1209">
        <f>$K$431</f>
        <v>0.19</v>
      </c>
      <c r="K449" s="1075">
        <v>0.01</v>
      </c>
      <c r="L449" s="17" t="s">
        <v>1928</v>
      </c>
      <c r="M449" s="1196">
        <f>$C$39*IF($D$15=1,$K$427/SUM($D$11:$D$21),0)</f>
        <v>0</v>
      </c>
      <c r="N449" s="226">
        <f>$Q$441</f>
        <v>1008</v>
      </c>
    </row>
    <row r="450" spans="1:14" ht="13.5" thickBot="1" x14ac:dyDescent="0.35">
      <c r="A450" s="638" t="s">
        <v>1961</v>
      </c>
      <c r="B450" s="1196">
        <f>$C$40*M450</f>
        <v>0</v>
      </c>
      <c r="C450" s="830" t="s">
        <v>239</v>
      </c>
      <c r="D450" s="925">
        <f>IF(CP!D73&gt;0,CP!E73,Data!E450)</f>
        <v>7521.8122569115903</v>
      </c>
      <c r="E450" s="1205">
        <f>$K$428</f>
        <v>7521.8122569115903</v>
      </c>
      <c r="F450" s="370">
        <f>IF(CP!D73&gt;0,CP!G73,Data!G450)</f>
        <v>10</v>
      </c>
      <c r="G450" s="945">
        <f t="shared" ref="G450:G451" si="43">$K$429</f>
        <v>10</v>
      </c>
      <c r="H450" s="1207">
        <f t="shared" ref="H450:H451" si="44">$K$430</f>
        <v>0.02</v>
      </c>
      <c r="I450" s="1209">
        <f>$K$431</f>
        <v>0.19</v>
      </c>
      <c r="J450" s="824"/>
      <c r="K450" s="1074">
        <v>0.35</v>
      </c>
      <c r="L450" s="17" t="s">
        <v>1929</v>
      </c>
      <c r="M450" s="1196">
        <f>$C$40*IF($D$15=1,$K$427/SUM($D$11:$D$21),0)</f>
        <v>0</v>
      </c>
      <c r="N450" s="226">
        <f>$Q$441</f>
        <v>1008</v>
      </c>
    </row>
    <row r="451" spans="1:14" ht="13.5" thickBot="1" x14ac:dyDescent="0.35">
      <c r="A451" s="638" t="s">
        <v>1962</v>
      </c>
      <c r="B451" s="1196">
        <f>$C$41*M451</f>
        <v>0</v>
      </c>
      <c r="C451" s="830" t="s">
        <v>239</v>
      </c>
      <c r="D451" s="925">
        <f>IF(CP!D74&gt;0,CP!E74,Data!E451)</f>
        <v>7521.8122569115903</v>
      </c>
      <c r="E451" s="1205">
        <f>$K$428</f>
        <v>7521.8122569115903</v>
      </c>
      <c r="F451" s="370">
        <f>IF(CP!D74&gt;0,CP!G74,Data!G451)</f>
        <v>10</v>
      </c>
      <c r="G451" s="945">
        <f t="shared" si="43"/>
        <v>10</v>
      </c>
      <c r="H451" s="1207">
        <f t="shared" si="44"/>
        <v>0.02</v>
      </c>
      <c r="I451" s="1209">
        <f>$K$431</f>
        <v>0.19</v>
      </c>
      <c r="J451" s="824" t="s">
        <v>1355</v>
      </c>
      <c r="M451" s="1196">
        <f>$C$41*IF($D$15=1,$K$427/SUM($D$11:$D$21),0)</f>
        <v>0</v>
      </c>
      <c r="N451" s="226">
        <f>$Q$441</f>
        <v>1008</v>
      </c>
    </row>
    <row r="452" spans="1:14" ht="13.5" thickBot="1" x14ac:dyDescent="0.35">
      <c r="A452" s="638" t="s">
        <v>1963</v>
      </c>
      <c r="B452" s="880">
        <f>$C$39*M452</f>
        <v>0</v>
      </c>
      <c r="C452" s="830" t="s">
        <v>1540</v>
      </c>
      <c r="D452" s="925">
        <f>IF(CP!D75&gt;0,CP!E75,Data!E452)</f>
        <v>10</v>
      </c>
      <c r="E452" s="1205">
        <f>$K$435</f>
        <v>10</v>
      </c>
      <c r="F452" s="370">
        <f>IF(CP!D75&gt;0,CP!G75,Data!G452)</f>
        <v>5</v>
      </c>
      <c r="G452" s="945">
        <f>$K$436</f>
        <v>5</v>
      </c>
      <c r="H452" s="1207">
        <f>$K$437</f>
        <v>0</v>
      </c>
      <c r="I452" s="1207">
        <f>$K$438</f>
        <v>0</v>
      </c>
      <c r="J452" s="370">
        <f>(B204*$K$61*wheat)/$K$434</f>
        <v>0</v>
      </c>
      <c r="M452" s="880">
        <f>$C$39*J452</f>
        <v>0</v>
      </c>
      <c r="N452" s="247" t="s">
        <v>363</v>
      </c>
    </row>
    <row r="453" spans="1:14" ht="13.5" thickBot="1" x14ac:dyDescent="0.35">
      <c r="A453" s="638" t="s">
        <v>1964</v>
      </c>
      <c r="B453" s="880">
        <f>$C$40*M453</f>
        <v>1</v>
      </c>
      <c r="C453" s="830" t="s">
        <v>446</v>
      </c>
      <c r="D453" s="925">
        <f>IF(CP!D76&gt;0,CP!E76,Data!E453)</f>
        <v>21106.2051928939</v>
      </c>
      <c r="E453" s="1205">
        <f>$K$441</f>
        <v>21106.2051928939</v>
      </c>
      <c r="F453" s="370">
        <f>IF(CP!D76&gt;0,CP!G76,Data!G453)</f>
        <v>33</v>
      </c>
      <c r="G453" s="945">
        <f>$K$442</f>
        <v>33</v>
      </c>
      <c r="H453" s="1207">
        <f>$K$443</f>
        <v>0.01</v>
      </c>
      <c r="I453" s="1209">
        <f>$K$444</f>
        <v>0.35</v>
      </c>
      <c r="J453" s="633">
        <v>1</v>
      </c>
      <c r="M453" s="880">
        <f>$C$40*CP!$D$76</f>
        <v>1</v>
      </c>
      <c r="N453" s="247" t="s">
        <v>363</v>
      </c>
    </row>
    <row r="454" spans="1:14" ht="13.5" thickBot="1" x14ac:dyDescent="0.35">
      <c r="A454" s="638" t="s">
        <v>1965</v>
      </c>
      <c r="B454" s="880">
        <f>$C$41*M454</f>
        <v>0</v>
      </c>
      <c r="C454" s="830" t="s">
        <v>446</v>
      </c>
      <c r="D454" s="925">
        <f>IF(CP!D77&gt;0,CP!E77,Data!E454)</f>
        <v>36937.112722940503</v>
      </c>
      <c r="E454" s="1205">
        <f>$K$447</f>
        <v>36937.112722940503</v>
      </c>
      <c r="F454" s="370">
        <f>IF(CP!D77&gt;0,CP!G77,Data!G454)</f>
        <v>33</v>
      </c>
      <c r="G454" s="945">
        <f>$K$448</f>
        <v>33</v>
      </c>
      <c r="H454" s="1207">
        <f>$K$449</f>
        <v>0.01</v>
      </c>
      <c r="I454" s="1209">
        <f>$K$450</f>
        <v>0.35</v>
      </c>
      <c r="J454" s="633">
        <v>1</v>
      </c>
      <c r="M454" s="880">
        <f>$C$41*CP!$D$77</f>
        <v>0</v>
      </c>
      <c r="N454" s="247" t="s">
        <v>363</v>
      </c>
    </row>
    <row r="455" spans="1:14" ht="13.5" thickBot="1" x14ac:dyDescent="0.35">
      <c r="A455" s="638" t="s">
        <v>1966</v>
      </c>
      <c r="B455" s="1196">
        <f>$C$39*M455</f>
        <v>0</v>
      </c>
      <c r="C455" s="830" t="s">
        <v>239</v>
      </c>
      <c r="D455" s="925">
        <f>IF(CP!D72&gt;0,CP!E72,Data!E455)</f>
        <v>7521.8122569115903</v>
      </c>
      <c r="E455" s="1205">
        <f>$K$428</f>
        <v>7521.8122569115903</v>
      </c>
      <c r="F455" s="370">
        <f>IF(CP!D72&gt;0,CP!G72,Data!G455)</f>
        <v>10</v>
      </c>
      <c r="G455" s="945">
        <f>$K$429</f>
        <v>10</v>
      </c>
      <c r="H455" s="1207">
        <f>$K$430</f>
        <v>0.02</v>
      </c>
      <c r="I455" s="1209">
        <f>$K$431</f>
        <v>0.19</v>
      </c>
      <c r="M455" s="1196">
        <f>$C$39*IF($D$16=1,$K$427/SUM($D$11:$D$21),0)</f>
        <v>0</v>
      </c>
      <c r="N455" s="226">
        <f>$Q$441</f>
        <v>1008</v>
      </c>
    </row>
    <row r="456" spans="1:14" ht="13.5" thickBot="1" x14ac:dyDescent="0.35">
      <c r="A456" s="638" t="s">
        <v>1967</v>
      </c>
      <c r="B456" s="1196">
        <f>$C$40*M456</f>
        <v>0</v>
      </c>
      <c r="C456" s="830" t="s">
        <v>239</v>
      </c>
      <c r="D456" s="925">
        <f>IF(CP!D73&gt;0,CP!E73,Data!E456)</f>
        <v>7521.8122569115903</v>
      </c>
      <c r="E456" s="1205">
        <f>$K$428</f>
        <v>7521.8122569115903</v>
      </c>
      <c r="F456" s="370">
        <f>IF(CP!D73&gt;0,CP!G73,Data!G456)</f>
        <v>10</v>
      </c>
      <c r="G456" s="945">
        <f t="shared" ref="G456:G457" si="45">$K$429</f>
        <v>10</v>
      </c>
      <c r="H456" s="1207">
        <f t="shared" ref="H456:H457" si="46">$K$430</f>
        <v>0.02</v>
      </c>
      <c r="I456" s="1209">
        <f>$K$431</f>
        <v>0.19</v>
      </c>
      <c r="J456" s="824"/>
      <c r="M456" s="1196">
        <f>$C$40*IF($D$16=1,$K$427/SUM($D$11:$D$21),0)</f>
        <v>0</v>
      </c>
      <c r="N456" s="226">
        <f>$Q$441</f>
        <v>1008</v>
      </c>
    </row>
    <row r="457" spans="1:14" ht="13.5" thickBot="1" x14ac:dyDescent="0.35">
      <c r="A457" s="638" t="s">
        <v>1968</v>
      </c>
      <c r="B457" s="1196">
        <f>$C$41*M457</f>
        <v>0</v>
      </c>
      <c r="C457" s="830" t="s">
        <v>239</v>
      </c>
      <c r="D457" s="925">
        <f>IF(CP!D74&gt;0,CP!E74,Data!E457)</f>
        <v>7521.8122569115903</v>
      </c>
      <c r="E457" s="1205">
        <f>$K$428</f>
        <v>7521.8122569115903</v>
      </c>
      <c r="F457" s="370">
        <f>IF(CP!D74&gt;0,CP!G74,Data!G457)</f>
        <v>10</v>
      </c>
      <c r="G457" s="945">
        <f t="shared" si="45"/>
        <v>10</v>
      </c>
      <c r="H457" s="1207">
        <f t="shared" si="46"/>
        <v>0.02</v>
      </c>
      <c r="I457" s="1209">
        <f>$K$431</f>
        <v>0.19</v>
      </c>
      <c r="J457" s="824" t="s">
        <v>1355</v>
      </c>
      <c r="M457" s="1196">
        <f>$C$41*IF($D$16=1,$K$427/SUM($D$11:$D$21),0)</f>
        <v>0</v>
      </c>
      <c r="N457" s="226">
        <f>$Q$441</f>
        <v>1008</v>
      </c>
    </row>
    <row r="458" spans="1:14" ht="13.5" thickBot="1" x14ac:dyDescent="0.35">
      <c r="A458" s="638" t="s">
        <v>1969</v>
      </c>
      <c r="B458" s="880">
        <f>$C$39*M458</f>
        <v>0</v>
      </c>
      <c r="C458" s="830" t="s">
        <v>1540</v>
      </c>
      <c r="D458" s="925">
        <f>IF(CP!D75&gt;0,CP!E75,Data!E458)</f>
        <v>10</v>
      </c>
      <c r="E458" s="1205">
        <f>$K$435</f>
        <v>10</v>
      </c>
      <c r="F458" s="370">
        <f>IF(CP!D75&gt;0,CP!G75,Data!G458)</f>
        <v>5</v>
      </c>
      <c r="G458" s="945">
        <f>$K$436</f>
        <v>5</v>
      </c>
      <c r="H458" s="1207">
        <f>$K$437</f>
        <v>0</v>
      </c>
      <c r="I458" s="1207">
        <f>$K$438</f>
        <v>0</v>
      </c>
      <c r="J458" s="370">
        <f>(B212*$K$61*wwheat)/$K$434</f>
        <v>0</v>
      </c>
      <c r="M458" s="880">
        <f>$C$39*J458</f>
        <v>0</v>
      </c>
      <c r="N458" s="247" t="s">
        <v>363</v>
      </c>
    </row>
    <row r="459" spans="1:14" ht="13.5" thickBot="1" x14ac:dyDescent="0.35">
      <c r="A459" s="638" t="s">
        <v>1970</v>
      </c>
      <c r="B459" s="880">
        <f>$C$40*M459</f>
        <v>1</v>
      </c>
      <c r="C459" s="830" t="s">
        <v>446</v>
      </c>
      <c r="D459" s="925">
        <f>IF(CP!D76&gt;0,CP!E76,Data!E459)</f>
        <v>21106.2051928939</v>
      </c>
      <c r="E459" s="1205">
        <f>$K$441</f>
        <v>21106.2051928939</v>
      </c>
      <c r="F459" s="370">
        <f>IF(CP!D76&gt;0,CP!G76,Data!G459)</f>
        <v>33</v>
      </c>
      <c r="G459" s="945">
        <f>$K$442</f>
        <v>33</v>
      </c>
      <c r="H459" s="1207">
        <f>$K$443</f>
        <v>0.01</v>
      </c>
      <c r="I459" s="1209">
        <f>$K$444</f>
        <v>0.35</v>
      </c>
      <c r="J459" s="633">
        <v>1</v>
      </c>
      <c r="M459" s="880">
        <f>$C$40*CP!$D$76</f>
        <v>1</v>
      </c>
      <c r="N459" s="247" t="s">
        <v>363</v>
      </c>
    </row>
    <row r="460" spans="1:14" ht="13.5" thickBot="1" x14ac:dyDescent="0.35">
      <c r="A460" s="638" t="s">
        <v>1971</v>
      </c>
      <c r="B460" s="880">
        <f>$C$41*M460</f>
        <v>0</v>
      </c>
      <c r="C460" s="830" t="s">
        <v>446</v>
      </c>
      <c r="D460" s="925">
        <f>IF(CP!D77&gt;0,CP!E77,Data!E460)</f>
        <v>36937.112722940503</v>
      </c>
      <c r="E460" s="1205">
        <f>$K$447</f>
        <v>36937.112722940503</v>
      </c>
      <c r="F460" s="370">
        <f>IF(CP!D77&gt;0,CP!G77,Data!G460)</f>
        <v>33</v>
      </c>
      <c r="G460" s="945">
        <f>$K$448</f>
        <v>33</v>
      </c>
      <c r="H460" s="1207">
        <f>$K$449</f>
        <v>0.01</v>
      </c>
      <c r="I460" s="1209">
        <f>$K$450</f>
        <v>0.35</v>
      </c>
      <c r="J460" s="633">
        <v>1</v>
      </c>
      <c r="M460" s="880">
        <f>$C$41*CP!$D$77</f>
        <v>0</v>
      </c>
      <c r="N460" s="247" t="s">
        <v>363</v>
      </c>
    </row>
    <row r="461" spans="1:14" ht="13.5" thickBot="1" x14ac:dyDescent="0.35">
      <c r="A461" s="638" t="s">
        <v>1881</v>
      </c>
      <c r="B461" s="1196">
        <f>$C$39*M461</f>
        <v>0</v>
      </c>
      <c r="C461" s="830" t="s">
        <v>239</v>
      </c>
      <c r="D461" s="925">
        <f>IF(CP!D72&gt;0,CP!E72,Data!E461)</f>
        <v>7521.8122569115903</v>
      </c>
      <c r="E461" s="1205">
        <f>$K$428</f>
        <v>7521.8122569115903</v>
      </c>
      <c r="F461" s="370">
        <f>IF(CP!D72&gt;0,CP!G72,Data!G461)</f>
        <v>10</v>
      </c>
      <c r="G461" s="945">
        <f>$K$429</f>
        <v>10</v>
      </c>
      <c r="H461" s="1207">
        <f>$K$430</f>
        <v>0.02</v>
      </c>
      <c r="I461" s="1209">
        <f>$K$431</f>
        <v>0.19</v>
      </c>
      <c r="M461" s="1196">
        <f>$C$39*IF($D$17=1,$K$427/SUM($D$11:$D$21),0)</f>
        <v>0</v>
      </c>
      <c r="N461" s="226">
        <f>$Q$441</f>
        <v>1008</v>
      </c>
    </row>
    <row r="462" spans="1:14" ht="13.5" thickBot="1" x14ac:dyDescent="0.35">
      <c r="A462" s="638" t="s">
        <v>1882</v>
      </c>
      <c r="B462" s="1196">
        <f>$C$40*M462</f>
        <v>0</v>
      </c>
      <c r="C462" s="830" t="s">
        <v>239</v>
      </c>
      <c r="D462" s="925">
        <f>IF(CP!D73&gt;0,CP!E73,Data!E462)</f>
        <v>7521.8122569115903</v>
      </c>
      <c r="E462" s="1205">
        <f>$K$428</f>
        <v>7521.8122569115903</v>
      </c>
      <c r="F462" s="370">
        <f>IF(CP!D73&gt;0,CP!G73,Data!G462)</f>
        <v>10</v>
      </c>
      <c r="G462" s="945">
        <f t="shared" ref="G462:G463" si="47">$K$429</f>
        <v>10</v>
      </c>
      <c r="H462" s="1207">
        <f t="shared" ref="H462:H463" si="48">$K$430</f>
        <v>0.02</v>
      </c>
      <c r="I462" s="1209">
        <f>$K$431</f>
        <v>0.19</v>
      </c>
      <c r="J462" s="824"/>
      <c r="M462" s="1196">
        <f>$C$40*IF($D$17=1,$K$427/SUM($D$11:$D$21),0)</f>
        <v>0</v>
      </c>
      <c r="N462" s="226">
        <f>$Q$441</f>
        <v>1008</v>
      </c>
    </row>
    <row r="463" spans="1:14" ht="13.5" thickBot="1" x14ac:dyDescent="0.35">
      <c r="A463" s="638" t="s">
        <v>1883</v>
      </c>
      <c r="B463" s="1196">
        <f>$C$41*M463</f>
        <v>0</v>
      </c>
      <c r="C463" s="830" t="s">
        <v>239</v>
      </c>
      <c r="D463" s="925">
        <f>IF(CP!D74&gt;0,CP!E74,Data!E463)</f>
        <v>7521.8122569115903</v>
      </c>
      <c r="E463" s="1205">
        <f>$K$428</f>
        <v>7521.8122569115903</v>
      </c>
      <c r="F463" s="370">
        <f>IF(CP!D74&gt;0,CP!G74,Data!G463)</f>
        <v>10</v>
      </c>
      <c r="G463" s="945">
        <f t="shared" si="47"/>
        <v>10</v>
      </c>
      <c r="H463" s="1207">
        <f t="shared" si="48"/>
        <v>0.02</v>
      </c>
      <c r="I463" s="1209">
        <f>$K$431</f>
        <v>0.19</v>
      </c>
      <c r="J463" s="824" t="s">
        <v>1355</v>
      </c>
      <c r="M463" s="1196">
        <f>$C$41*IF($D$17=1,$K$427/SUM($D$11:$D$21),0)</f>
        <v>0</v>
      </c>
      <c r="N463" s="226">
        <f>$Q$441</f>
        <v>1008</v>
      </c>
    </row>
    <row r="464" spans="1:14" ht="13.5" thickBot="1" x14ac:dyDescent="0.35">
      <c r="A464" s="638" t="s">
        <v>1454</v>
      </c>
      <c r="B464" s="880">
        <f>$C$39*M464</f>
        <v>0</v>
      </c>
      <c r="C464" s="830" t="s">
        <v>1540</v>
      </c>
      <c r="D464" s="925">
        <f>IF(CP!D75&gt;0,CP!E75,Data!E464)</f>
        <v>10</v>
      </c>
      <c r="E464" s="1205">
        <f>$K$435</f>
        <v>10</v>
      </c>
      <c r="F464" s="370">
        <f>IF(CP!D75&gt;0,CP!G75,Data!G464)</f>
        <v>5</v>
      </c>
      <c r="G464" s="945">
        <f>$K$436</f>
        <v>5</v>
      </c>
      <c r="H464" s="1207">
        <f>$K$437</f>
        <v>0</v>
      </c>
      <c r="I464" s="1207">
        <f>$K$438</f>
        <v>0</v>
      </c>
      <c r="J464" s="370">
        <f>(B220*$K$63*triticale)/$K$434</f>
        <v>0</v>
      </c>
      <c r="M464" s="880">
        <f>$C$39*J464</f>
        <v>0</v>
      </c>
      <c r="N464" s="247" t="s">
        <v>363</v>
      </c>
    </row>
    <row r="465" spans="1:14" ht="13.5" thickBot="1" x14ac:dyDescent="0.35">
      <c r="A465" s="638" t="s">
        <v>1407</v>
      </c>
      <c r="B465" s="880">
        <f>$C$40*M465</f>
        <v>1</v>
      </c>
      <c r="C465" s="830" t="s">
        <v>446</v>
      </c>
      <c r="D465" s="925">
        <f>IF(CP!D76&gt;0,CP!E76,Data!E465)</f>
        <v>21106.2051928939</v>
      </c>
      <c r="E465" s="1205">
        <f>$K$441</f>
        <v>21106.2051928939</v>
      </c>
      <c r="F465" s="370">
        <f>IF(CP!D76&gt;0,CP!G76,Data!G465)</f>
        <v>33</v>
      </c>
      <c r="G465" s="945">
        <f>$K$442</f>
        <v>33</v>
      </c>
      <c r="H465" s="1207">
        <f>$K$443</f>
        <v>0.01</v>
      </c>
      <c r="I465" s="1209">
        <f>$K$444</f>
        <v>0.35</v>
      </c>
      <c r="J465" s="633">
        <v>1</v>
      </c>
      <c r="M465" s="880">
        <f>$C$40*CP!$D$76</f>
        <v>1</v>
      </c>
      <c r="N465" s="247" t="s">
        <v>363</v>
      </c>
    </row>
    <row r="466" spans="1:14" ht="13.5" thickBot="1" x14ac:dyDescent="0.35">
      <c r="A466" s="638" t="s">
        <v>1408</v>
      </c>
      <c r="B466" s="880">
        <f>$C$41*M466</f>
        <v>0</v>
      </c>
      <c r="C466" s="830" t="s">
        <v>446</v>
      </c>
      <c r="D466" s="925">
        <f>IF(CP!D77&gt;0,CP!E77,Data!E466)</f>
        <v>36937.112722940503</v>
      </c>
      <c r="E466" s="1205">
        <f>$K$447</f>
        <v>36937.112722940503</v>
      </c>
      <c r="F466" s="370">
        <f>IF(CP!D77&gt;0,CP!G77,Data!G466)</f>
        <v>33</v>
      </c>
      <c r="G466" s="945">
        <f>$K$448</f>
        <v>33</v>
      </c>
      <c r="H466" s="1207">
        <f>$K$449</f>
        <v>0.01</v>
      </c>
      <c r="I466" s="1209">
        <f>$K$450</f>
        <v>0.35</v>
      </c>
      <c r="J466" s="633">
        <v>1</v>
      </c>
      <c r="M466" s="880">
        <f>$C$41*CP!$D$77</f>
        <v>0</v>
      </c>
      <c r="N466" s="247" t="s">
        <v>363</v>
      </c>
    </row>
    <row r="467" spans="1:14" ht="13.75" customHeight="1" thickBot="1" x14ac:dyDescent="0.35">
      <c r="A467" s="638" t="s">
        <v>1884</v>
      </c>
      <c r="B467" s="1196">
        <f>$C$39*M467</f>
        <v>0</v>
      </c>
      <c r="C467" s="830" t="s">
        <v>239</v>
      </c>
      <c r="D467" s="925">
        <f>IF(CP!D72&gt;0,CP!E72,Data!E467)</f>
        <v>7521.8122569115903</v>
      </c>
      <c r="E467" s="1205">
        <f>$K$428</f>
        <v>7521.8122569115903</v>
      </c>
      <c r="F467" s="370">
        <f>IF(CP!D72&gt;0,CP!G72,Data!G467)</f>
        <v>10</v>
      </c>
      <c r="G467" s="945">
        <f>$K$429</f>
        <v>10</v>
      </c>
      <c r="H467" s="1207">
        <f>$K$430</f>
        <v>0.02</v>
      </c>
      <c r="I467" s="1209">
        <f>$K$431</f>
        <v>0.19</v>
      </c>
      <c r="M467" s="1196">
        <f>$C$39*IF($D$18=1,$K$427/SUM($D$11:$D$21),0)</f>
        <v>0</v>
      </c>
      <c r="N467" s="226">
        <f>$Q$441</f>
        <v>1008</v>
      </c>
    </row>
    <row r="468" spans="1:14" ht="13.75" customHeight="1" thickBot="1" x14ac:dyDescent="0.35">
      <c r="A468" s="638" t="s">
        <v>1885</v>
      </c>
      <c r="B468" s="1196">
        <f>$C$40*M468</f>
        <v>0.25</v>
      </c>
      <c r="C468" s="830" t="s">
        <v>239</v>
      </c>
      <c r="D468" s="925">
        <f>IF(CP!D73&gt;0,CP!E73,Data!E468)</f>
        <v>7521.8122569115903</v>
      </c>
      <c r="E468" s="1205">
        <f>$K$428</f>
        <v>7521.8122569115903</v>
      </c>
      <c r="F468" s="370">
        <f>IF(CP!D73&gt;0,CP!G73,Data!G468)</f>
        <v>10</v>
      </c>
      <c r="G468" s="945">
        <f t="shared" ref="G468:G469" si="49">$K$429</f>
        <v>10</v>
      </c>
      <c r="H468" s="1207">
        <f t="shared" ref="H468:H469" si="50">$K$430</f>
        <v>0.02</v>
      </c>
      <c r="I468" s="1209">
        <f>$K$431</f>
        <v>0.19</v>
      </c>
      <c r="J468" s="824"/>
      <c r="M468" s="1196">
        <f>$C$40*IF($D$18=1,$K$427/SUM($D$11:$D$21),0)</f>
        <v>0.25</v>
      </c>
      <c r="N468" s="226">
        <f>$Q$441</f>
        <v>1008</v>
      </c>
    </row>
    <row r="469" spans="1:14" ht="13.75" customHeight="1" thickBot="1" x14ac:dyDescent="0.35">
      <c r="A469" s="638" t="s">
        <v>1886</v>
      </c>
      <c r="B469" s="1196">
        <f>$C$41*M469</f>
        <v>0</v>
      </c>
      <c r="C469" s="830" t="s">
        <v>239</v>
      </c>
      <c r="D469" s="925">
        <f>IF(CP!D74&gt;0,CP!E74,Data!E469)</f>
        <v>7521.8122569115903</v>
      </c>
      <c r="E469" s="1205">
        <f>$K$428</f>
        <v>7521.8122569115903</v>
      </c>
      <c r="F469" s="370">
        <f>IF(CP!D74&gt;0,CP!G74,Data!G469)</f>
        <v>10</v>
      </c>
      <c r="G469" s="945">
        <f t="shared" si="49"/>
        <v>10</v>
      </c>
      <c r="H469" s="1207">
        <f t="shared" si="50"/>
        <v>0.02</v>
      </c>
      <c r="I469" s="1209">
        <f>$K$431</f>
        <v>0.19</v>
      </c>
      <c r="J469" s="824" t="s">
        <v>1355</v>
      </c>
      <c r="M469" s="1196">
        <f>$C$41*IF($D$18=1,$K$427/SUM($D$11:$D$21),0)</f>
        <v>0</v>
      </c>
      <c r="N469" s="226">
        <f>$Q$441</f>
        <v>1008</v>
      </c>
    </row>
    <row r="470" spans="1:14" ht="13.5" thickBot="1" x14ac:dyDescent="0.35">
      <c r="A470" s="638" t="s">
        <v>1453</v>
      </c>
      <c r="B470" s="880">
        <f>$C$39*M470</f>
        <v>0</v>
      </c>
      <c r="C470" s="830" t="s">
        <v>1540</v>
      </c>
      <c r="D470" s="925">
        <f>IF(CP!D75&gt;0,CP!E75,Data!E470)</f>
        <v>10</v>
      </c>
      <c r="E470" s="1205">
        <f>$K$435</f>
        <v>10</v>
      </c>
      <c r="F470" s="370">
        <f>IF(CP!D75&gt;0,CP!G75,Data!G470)</f>
        <v>5</v>
      </c>
      <c r="G470" s="945">
        <f>$K$436</f>
        <v>5</v>
      </c>
      <c r="H470" s="1207">
        <f>$K$437</f>
        <v>0</v>
      </c>
      <c r="I470" s="1207">
        <f>$K$438</f>
        <v>0</v>
      </c>
      <c r="J470" s="370">
        <f>(B228*$K$64*spelt)/$K$434</f>
        <v>168</v>
      </c>
      <c r="M470" s="880">
        <f>$C$39*J470</f>
        <v>0</v>
      </c>
      <c r="N470" s="247" t="s">
        <v>363</v>
      </c>
    </row>
    <row r="471" spans="1:14" ht="13.5" thickBot="1" x14ac:dyDescent="0.35">
      <c r="A471" s="638" t="s">
        <v>1409</v>
      </c>
      <c r="B471" s="880">
        <f>$C$40*M471</f>
        <v>1</v>
      </c>
      <c r="C471" s="830" t="s">
        <v>446</v>
      </c>
      <c r="D471" s="925">
        <f>IF(CP!D76&gt;0,CP!E76,Data!E471)</f>
        <v>21106.2051928939</v>
      </c>
      <c r="E471" s="1205">
        <f>$K$441</f>
        <v>21106.2051928939</v>
      </c>
      <c r="F471" s="370">
        <f>IF(CP!D76&gt;0,CP!G76,Data!G471)</f>
        <v>33</v>
      </c>
      <c r="G471" s="945">
        <f>$K$442</f>
        <v>33</v>
      </c>
      <c r="H471" s="1207">
        <f>$K$443</f>
        <v>0.01</v>
      </c>
      <c r="I471" s="1209">
        <f>$K$444</f>
        <v>0.35</v>
      </c>
      <c r="J471" s="633">
        <v>1</v>
      </c>
      <c r="M471" s="880">
        <f>$C$40*CP!$D$76</f>
        <v>1</v>
      </c>
      <c r="N471" s="247" t="s">
        <v>363</v>
      </c>
    </row>
    <row r="472" spans="1:14" ht="13.5" thickBot="1" x14ac:dyDescent="0.35">
      <c r="A472" s="638" t="s">
        <v>1410</v>
      </c>
      <c r="B472" s="880">
        <f>$C$41*M472</f>
        <v>0</v>
      </c>
      <c r="C472" s="830" t="s">
        <v>446</v>
      </c>
      <c r="D472" s="925">
        <f>IF(CP!D77&gt;0,CP!E77,Data!E472)</f>
        <v>36937.112722940503</v>
      </c>
      <c r="E472" s="1205">
        <f>$K$447</f>
        <v>36937.112722940503</v>
      </c>
      <c r="F472" s="370">
        <f>IF(CP!D77&gt;0,CP!G77,Data!G472)</f>
        <v>33</v>
      </c>
      <c r="G472" s="945">
        <f>$K$448</f>
        <v>33</v>
      </c>
      <c r="H472" s="1207">
        <f>$K$449</f>
        <v>0.01</v>
      </c>
      <c r="I472" s="1209">
        <f>$K$450</f>
        <v>0.35</v>
      </c>
      <c r="J472" s="633">
        <v>1</v>
      </c>
      <c r="M472" s="880">
        <f>$C$41*CP!$D$77</f>
        <v>0</v>
      </c>
      <c r="N472" s="247" t="s">
        <v>363</v>
      </c>
    </row>
    <row r="473" spans="1:14" ht="13.5" thickBot="1" x14ac:dyDescent="0.35">
      <c r="A473" s="638" t="s">
        <v>2153</v>
      </c>
      <c r="B473" s="1196">
        <f>$C$39*M473</f>
        <v>0</v>
      </c>
      <c r="C473" s="830" t="s">
        <v>239</v>
      </c>
      <c r="D473" s="925">
        <f>IF(CP!D72&gt;0,CP!E72,Data!E473)</f>
        <v>7521.8122569115903</v>
      </c>
      <c r="E473" s="1205">
        <f>$K$428</f>
        <v>7521.8122569115903</v>
      </c>
      <c r="F473" s="370">
        <f>IF(CP!D72&gt;0,CP!G72,Data!G473)</f>
        <v>10</v>
      </c>
      <c r="G473" s="945">
        <f>$K$429</f>
        <v>10</v>
      </c>
      <c r="H473" s="1207">
        <f>$K$430</f>
        <v>0.02</v>
      </c>
      <c r="I473" s="1209">
        <f>$K$431</f>
        <v>0.19</v>
      </c>
      <c r="M473" s="1196">
        <f>$C$39*IF($D$19=1,$K$427/SUM($D$11:$D$21),0)</f>
        <v>0</v>
      </c>
      <c r="N473" s="226">
        <f>$Q$441</f>
        <v>1008</v>
      </c>
    </row>
    <row r="474" spans="1:14" ht="13.5" thickBot="1" x14ac:dyDescent="0.35">
      <c r="A474" s="638" t="s">
        <v>2154</v>
      </c>
      <c r="B474" s="1196">
        <f>$C$40*M474</f>
        <v>0.25</v>
      </c>
      <c r="C474" s="830" t="s">
        <v>239</v>
      </c>
      <c r="D474" s="925">
        <f>IF(CP!D73&gt;0,CP!E73,Data!E474)</f>
        <v>7521.8122569115903</v>
      </c>
      <c r="E474" s="1205">
        <f>$K$428</f>
        <v>7521.8122569115903</v>
      </c>
      <c r="F474" s="370">
        <f>IF(CP!D73&gt;0,CP!G73,Data!G474)</f>
        <v>10</v>
      </c>
      <c r="G474" s="945">
        <f t="shared" ref="G474:G475" si="51">$K$429</f>
        <v>10</v>
      </c>
      <c r="H474" s="1207">
        <f t="shared" ref="H474:H475" si="52">$K$430</f>
        <v>0.02</v>
      </c>
      <c r="I474" s="1209">
        <f>$K$431</f>
        <v>0.19</v>
      </c>
      <c r="J474" s="824"/>
      <c r="M474" s="1196">
        <f>$C$40*IF($D$19=1,$K$427/SUM($D$11:$D$21),0)</f>
        <v>0.25</v>
      </c>
      <c r="N474" s="226">
        <f>$Q$441</f>
        <v>1008</v>
      </c>
    </row>
    <row r="475" spans="1:14" ht="13.5" thickBot="1" x14ac:dyDescent="0.35">
      <c r="A475" s="638" t="s">
        <v>2155</v>
      </c>
      <c r="B475" s="1196">
        <f>$C$41*M475</f>
        <v>0</v>
      </c>
      <c r="C475" s="830" t="s">
        <v>239</v>
      </c>
      <c r="D475" s="925">
        <f>IF(CP!D74&gt;0,CP!E74,Data!E475)</f>
        <v>7521.8122569115903</v>
      </c>
      <c r="E475" s="1205">
        <f>$K$428</f>
        <v>7521.8122569115903</v>
      </c>
      <c r="F475" s="370">
        <f>IF(CP!D74&gt;0,CP!G74,Data!G475)</f>
        <v>10</v>
      </c>
      <c r="G475" s="945">
        <f t="shared" si="51"/>
        <v>10</v>
      </c>
      <c r="H475" s="1207">
        <f t="shared" si="52"/>
        <v>0.02</v>
      </c>
      <c r="I475" s="1209">
        <f>$K$431</f>
        <v>0.19</v>
      </c>
      <c r="J475" s="824" t="s">
        <v>1355</v>
      </c>
      <c r="M475" s="1196">
        <f>$C$41*IF($D$19=1,$K$427/SUM($D$11:$D$21),0)</f>
        <v>0</v>
      </c>
      <c r="N475" s="226">
        <f>$Q$441</f>
        <v>1008</v>
      </c>
    </row>
    <row r="476" spans="1:14" ht="13.5" thickBot="1" x14ac:dyDescent="0.35">
      <c r="A476" s="638" t="s">
        <v>2156</v>
      </c>
      <c r="B476" s="880">
        <f>$C$39*M476</f>
        <v>0</v>
      </c>
      <c r="C476" s="830" t="s">
        <v>1540</v>
      </c>
      <c r="D476" s="925">
        <f>IF(CP!D75&gt;0,CP!E75,Data!E476)</f>
        <v>10</v>
      </c>
      <c r="E476" s="1205">
        <f>$K$435</f>
        <v>10</v>
      </c>
      <c r="F476" s="370">
        <f>IF(CP!D75&gt;0,CP!G75,Data!G476)</f>
        <v>5</v>
      </c>
      <c r="G476" s="945">
        <f>$K$436</f>
        <v>5</v>
      </c>
      <c r="H476" s="1207">
        <f>$K$437</f>
        <v>0</v>
      </c>
      <c r="I476" s="1207">
        <f>$K$438</f>
        <v>0</v>
      </c>
      <c r="J476" s="370">
        <f>(B236*$K$65*buckwheat)/$K$434</f>
        <v>48</v>
      </c>
      <c r="M476" s="880">
        <f>$C$39*J476</f>
        <v>0</v>
      </c>
      <c r="N476" s="247" t="s">
        <v>363</v>
      </c>
    </row>
    <row r="477" spans="1:14" ht="13.5" thickBot="1" x14ac:dyDescent="0.35">
      <c r="A477" s="638" t="s">
        <v>2157</v>
      </c>
      <c r="B477" s="880">
        <f>$C$40*M477</f>
        <v>1</v>
      </c>
      <c r="C477" s="830" t="s">
        <v>446</v>
      </c>
      <c r="D477" s="925">
        <f>IF(CP!D76&gt;0,CP!E76,Data!E477)</f>
        <v>21106.2051928939</v>
      </c>
      <c r="E477" s="1205">
        <f>$K$441</f>
        <v>21106.2051928939</v>
      </c>
      <c r="F477" s="370">
        <f>IF(CP!D76&gt;0,CP!G76,Data!G477)</f>
        <v>33</v>
      </c>
      <c r="G477" s="945">
        <f>$K$442</f>
        <v>33</v>
      </c>
      <c r="H477" s="1207">
        <f>$K$443</f>
        <v>0.01</v>
      </c>
      <c r="I477" s="1209">
        <f>$K$444</f>
        <v>0.35</v>
      </c>
      <c r="J477" s="633">
        <v>1</v>
      </c>
      <c r="M477" s="880">
        <f>$C$40*CP!$D$76</f>
        <v>1</v>
      </c>
      <c r="N477" s="247" t="s">
        <v>363</v>
      </c>
    </row>
    <row r="478" spans="1:14" ht="13.5" thickBot="1" x14ac:dyDescent="0.35">
      <c r="A478" s="638" t="s">
        <v>2158</v>
      </c>
      <c r="B478" s="880">
        <f>$C$41*M478</f>
        <v>0</v>
      </c>
      <c r="C478" s="830" t="s">
        <v>446</v>
      </c>
      <c r="D478" s="925">
        <f>IF(CP!D77&gt;0,CP!E77,Data!E478)</f>
        <v>36937.112722940503</v>
      </c>
      <c r="E478" s="1205">
        <f>$K$447</f>
        <v>36937.112722940503</v>
      </c>
      <c r="F478" s="370">
        <f>IF(CP!D77&gt;0,CP!G77,Data!G478)</f>
        <v>33</v>
      </c>
      <c r="G478" s="945">
        <f>$K$448</f>
        <v>33</v>
      </c>
      <c r="H478" s="1207">
        <f>$K$449</f>
        <v>0.01</v>
      </c>
      <c r="I478" s="1209">
        <f>$K$450</f>
        <v>0.35</v>
      </c>
      <c r="J478" s="633">
        <v>1</v>
      </c>
      <c r="M478" s="880">
        <f>$C$41*CP!$D$77</f>
        <v>0</v>
      </c>
      <c r="N478" s="247" t="s">
        <v>363</v>
      </c>
    </row>
    <row r="479" spans="1:14" ht="13.5" thickBot="1" x14ac:dyDescent="0.35">
      <c r="A479" s="638" t="s">
        <v>1887</v>
      </c>
      <c r="B479" s="1196">
        <f>$C$39*M479</f>
        <v>0</v>
      </c>
      <c r="C479" s="830" t="s">
        <v>239</v>
      </c>
      <c r="D479" s="925">
        <f>IF(CP!D72&gt;0,CP!E72,Data!E479)</f>
        <v>7521.8122569115903</v>
      </c>
      <c r="E479" s="1205">
        <f>$K$428</f>
        <v>7521.8122569115903</v>
      </c>
      <c r="F479" s="370">
        <f>IF(CP!D72&gt;0,CP!G72,Data!G479)</f>
        <v>10</v>
      </c>
      <c r="G479" s="945">
        <f>$K$429</f>
        <v>10</v>
      </c>
      <c r="H479" s="1207">
        <f>$K$430</f>
        <v>0.02</v>
      </c>
      <c r="I479" s="1209">
        <f>$K$431</f>
        <v>0.19</v>
      </c>
      <c r="M479" s="1196">
        <f>$C$39*IF($D$20=1,$K$427/SUM($D$11:$D$21),0)</f>
        <v>0</v>
      </c>
      <c r="N479" s="226">
        <f>$Q$441</f>
        <v>1008</v>
      </c>
    </row>
    <row r="480" spans="1:14" ht="13.5" thickBot="1" x14ac:dyDescent="0.35">
      <c r="A480" s="638" t="s">
        <v>1888</v>
      </c>
      <c r="B480" s="1196">
        <f>$C$40*M480</f>
        <v>0</v>
      </c>
      <c r="C480" s="830" t="s">
        <v>239</v>
      </c>
      <c r="D480" s="925">
        <f>IF(CP!D73&gt;0,CP!E73,Data!E480)</f>
        <v>7521.8122569115903</v>
      </c>
      <c r="E480" s="1205">
        <f>$K$428</f>
        <v>7521.8122569115903</v>
      </c>
      <c r="F480" s="370">
        <f>IF(CP!D73&gt;0,CP!G73,Data!G480)</f>
        <v>10</v>
      </c>
      <c r="G480" s="945">
        <f t="shared" ref="G480:G481" si="53">$K$429</f>
        <v>10</v>
      </c>
      <c r="H480" s="1207">
        <f t="shared" ref="H480:H481" si="54">$K$430</f>
        <v>0.02</v>
      </c>
      <c r="I480" s="1209">
        <f>$K$431</f>
        <v>0.19</v>
      </c>
      <c r="J480" s="824"/>
      <c r="M480" s="1196">
        <f>$C$40*IF($D$20=1,$K$427/SUM($D$11:$D$21),0)</f>
        <v>0</v>
      </c>
      <c r="N480" s="226">
        <f>$Q$441</f>
        <v>1008</v>
      </c>
    </row>
    <row r="481" spans="1:14" ht="13.5" thickBot="1" x14ac:dyDescent="0.35">
      <c r="A481" s="638" t="s">
        <v>1889</v>
      </c>
      <c r="B481" s="1196">
        <f>$C$41*M481</f>
        <v>0</v>
      </c>
      <c r="C481" s="830" t="s">
        <v>239</v>
      </c>
      <c r="D481" s="925">
        <f>IF(CP!D74&gt;0,CP!E74,Data!E481)</f>
        <v>7521.8122569115903</v>
      </c>
      <c r="E481" s="1205">
        <f>$K$428</f>
        <v>7521.8122569115903</v>
      </c>
      <c r="F481" s="370">
        <f>IF(CP!D74&gt;0,CP!G74,Data!G481)</f>
        <v>10</v>
      </c>
      <c r="G481" s="945">
        <f t="shared" si="53"/>
        <v>10</v>
      </c>
      <c r="H481" s="1207">
        <f t="shared" si="54"/>
        <v>0.02</v>
      </c>
      <c r="I481" s="1209">
        <f>$K$431</f>
        <v>0.19</v>
      </c>
      <c r="J481" s="824" t="s">
        <v>1355</v>
      </c>
      <c r="M481" s="1196">
        <f>$C$41*IF($D$20=1,$K$427/SUM($D$11:$D$21),0)</f>
        <v>0</v>
      </c>
      <c r="N481" s="226">
        <f>$Q$441</f>
        <v>1008</v>
      </c>
    </row>
    <row r="482" spans="1:14" ht="13.5" thickBot="1" x14ac:dyDescent="0.35">
      <c r="A482" s="638" t="s">
        <v>1452</v>
      </c>
      <c r="B482" s="880">
        <f>$C$39*M482</f>
        <v>0</v>
      </c>
      <c r="C482" s="830" t="s">
        <v>1540</v>
      </c>
      <c r="D482" s="925">
        <f>IF(CP!D75&gt;0,CP!E75,Data!E482)</f>
        <v>10</v>
      </c>
      <c r="E482" s="1205">
        <f>$K$435</f>
        <v>10</v>
      </c>
      <c r="F482" s="370">
        <f>IF(CP!D75&gt;0,CP!G75,Data!G482)</f>
        <v>5</v>
      </c>
      <c r="G482" s="945">
        <f>$K$436</f>
        <v>5</v>
      </c>
      <c r="H482" s="1207">
        <f>$K$437</f>
        <v>0</v>
      </c>
      <c r="I482" s="1207">
        <f>$K$438</f>
        <v>0</v>
      </c>
      <c r="J482" s="370">
        <f>(B244*$K$66*peas)/$K$434</f>
        <v>0</v>
      </c>
      <c r="M482" s="880">
        <f>$C$39*J482</f>
        <v>0</v>
      </c>
      <c r="N482" s="247" t="s">
        <v>363</v>
      </c>
    </row>
    <row r="483" spans="1:14" ht="13.5" thickBot="1" x14ac:dyDescent="0.35">
      <c r="A483" s="638" t="s">
        <v>1411</v>
      </c>
      <c r="B483" s="880">
        <f>$C$40*M483</f>
        <v>1</v>
      </c>
      <c r="C483" s="830" t="s">
        <v>446</v>
      </c>
      <c r="D483" s="925">
        <f>IF(CP!D76&gt;0,CP!E76,Data!E483)</f>
        <v>21106.2051928939</v>
      </c>
      <c r="E483" s="1205">
        <f>$K$441</f>
        <v>21106.2051928939</v>
      </c>
      <c r="F483" s="370">
        <f>IF(CP!D76&gt;0,CP!G76,Data!G483)</f>
        <v>33</v>
      </c>
      <c r="G483" s="945">
        <f>$K$442</f>
        <v>33</v>
      </c>
      <c r="H483" s="1207">
        <f>$K$443</f>
        <v>0.01</v>
      </c>
      <c r="I483" s="1209">
        <f>$K$444</f>
        <v>0.35</v>
      </c>
      <c r="J483" s="633">
        <v>1</v>
      </c>
      <c r="M483" s="880">
        <f>$C$40*CP!$D$76</f>
        <v>1</v>
      </c>
      <c r="N483" s="247" t="s">
        <v>363</v>
      </c>
    </row>
    <row r="484" spans="1:14" ht="13.5" thickBot="1" x14ac:dyDescent="0.35">
      <c r="A484" s="638" t="s">
        <v>1412</v>
      </c>
      <c r="B484" s="880">
        <f>$C$41*M484</f>
        <v>0</v>
      </c>
      <c r="C484" s="830" t="s">
        <v>446</v>
      </c>
      <c r="D484" s="925">
        <f>IF(CP!D77&gt;0,CP!E77,Data!E484)</f>
        <v>36937.112722940503</v>
      </c>
      <c r="E484" s="1205">
        <f>$K$447</f>
        <v>36937.112722940503</v>
      </c>
      <c r="F484" s="370">
        <f>IF(CP!D77&gt;0,CP!G77,Data!G484)</f>
        <v>33</v>
      </c>
      <c r="G484" s="945">
        <f>$K$448</f>
        <v>33</v>
      </c>
      <c r="H484" s="1207">
        <f>$K$449</f>
        <v>0.01</v>
      </c>
      <c r="I484" s="1209">
        <f>$K$450</f>
        <v>0.35</v>
      </c>
      <c r="J484" s="633">
        <v>1</v>
      </c>
      <c r="M484" s="880">
        <f>$C$41*CP!$D$77</f>
        <v>0</v>
      </c>
      <c r="N484" s="247" t="s">
        <v>363</v>
      </c>
    </row>
    <row r="485" spans="1:14" ht="13.5" thickBot="1" x14ac:dyDescent="0.35">
      <c r="A485" s="638" t="s">
        <v>1890</v>
      </c>
      <c r="B485" s="1196">
        <f>$C$39*M485</f>
        <v>0</v>
      </c>
      <c r="C485" s="830" t="s">
        <v>239</v>
      </c>
      <c r="D485" s="925">
        <f>IF(CP!D72&gt;0,CP!E72,Data!E485)</f>
        <v>7521.8122569115903</v>
      </c>
      <c r="E485" s="1205">
        <f>$K$428</f>
        <v>7521.8122569115903</v>
      </c>
      <c r="F485" s="370">
        <f>IF(CP!D72&gt;0,CP!G72,Data!G485)</f>
        <v>10</v>
      </c>
      <c r="G485" s="945">
        <f>$K$429</f>
        <v>10</v>
      </c>
      <c r="H485" s="1207">
        <f>$K$430</f>
        <v>0.02</v>
      </c>
      <c r="I485" s="1209">
        <f>$K$431</f>
        <v>0.19</v>
      </c>
      <c r="M485" s="1196">
        <f>$C$39*IF($D$21=1,$K$427/SUM($D$11:$D$21),0)</f>
        <v>0</v>
      </c>
      <c r="N485" s="226">
        <f>$Q$441</f>
        <v>1008</v>
      </c>
    </row>
    <row r="486" spans="1:14" ht="13.5" thickBot="1" x14ac:dyDescent="0.35">
      <c r="A486" s="638" t="s">
        <v>1891</v>
      </c>
      <c r="B486" s="1196">
        <f>$C$40*M486</f>
        <v>0.25</v>
      </c>
      <c r="C486" s="830" t="s">
        <v>239</v>
      </c>
      <c r="D486" s="925">
        <f>IF(CP!D73&gt;0,CP!E73,Data!E486)</f>
        <v>7521.8122569115903</v>
      </c>
      <c r="E486" s="1205">
        <f>$K$428</f>
        <v>7521.8122569115903</v>
      </c>
      <c r="F486" s="370">
        <f>IF(CP!D73&gt;0,CP!G73,Data!G486)</f>
        <v>10</v>
      </c>
      <c r="G486" s="945">
        <f t="shared" ref="G486:G487" si="55">$K$429</f>
        <v>10</v>
      </c>
      <c r="H486" s="1207">
        <f t="shared" ref="H486:H487" si="56">$K$430</f>
        <v>0.02</v>
      </c>
      <c r="I486" s="1209">
        <f>$K$431</f>
        <v>0.19</v>
      </c>
      <c r="J486" s="824"/>
      <c r="M486" s="1196">
        <f>$C$40*IF($D$21=1,$K$427/SUM($D$11:$D$21),0)</f>
        <v>0.25</v>
      </c>
      <c r="N486" s="226">
        <f>$Q$441</f>
        <v>1008</v>
      </c>
    </row>
    <row r="487" spans="1:14" ht="13.5" thickBot="1" x14ac:dyDescent="0.35">
      <c r="A487" s="638" t="s">
        <v>1892</v>
      </c>
      <c r="B487" s="1196">
        <f>$C$41*M487</f>
        <v>0</v>
      </c>
      <c r="C487" s="830" t="s">
        <v>239</v>
      </c>
      <c r="D487" s="925">
        <f>IF(CP!D74&gt;0,CP!E74,Data!E487)</f>
        <v>7521.8122569115903</v>
      </c>
      <c r="E487" s="1205">
        <f>$K$428</f>
        <v>7521.8122569115903</v>
      </c>
      <c r="F487" s="370">
        <f>IF(CP!D74&gt;0,CP!G74,Data!G487)</f>
        <v>10</v>
      </c>
      <c r="G487" s="945">
        <f t="shared" si="55"/>
        <v>10</v>
      </c>
      <c r="H487" s="1207">
        <f t="shared" si="56"/>
        <v>0.02</v>
      </c>
      <c r="I487" s="1209">
        <f>$K$431</f>
        <v>0.19</v>
      </c>
      <c r="J487" s="824" t="s">
        <v>1355</v>
      </c>
      <c r="M487" s="1196">
        <f>$C$41*IF($D$21=1,$K$427/SUM($D$11:$D$21),0)</f>
        <v>0</v>
      </c>
      <c r="N487" s="226">
        <f>$Q$441</f>
        <v>1008</v>
      </c>
    </row>
    <row r="488" spans="1:14" ht="13.5" thickBot="1" x14ac:dyDescent="0.35">
      <c r="A488" s="638" t="s">
        <v>1451</v>
      </c>
      <c r="B488" s="880">
        <f>$C$39*M488</f>
        <v>0</v>
      </c>
      <c r="C488" s="830" t="s">
        <v>1540</v>
      </c>
      <c r="D488" s="925">
        <f>IF(CP!D75&gt;0,CP!E75,Data!E488)</f>
        <v>10</v>
      </c>
      <c r="E488" s="1205">
        <f>$K$435</f>
        <v>10</v>
      </c>
      <c r="F488" s="370">
        <f>IF(CP!D75&gt;0,CP!G75,Data!G488)</f>
        <v>5</v>
      </c>
      <c r="G488" s="945">
        <f>$K$436</f>
        <v>5</v>
      </c>
      <c r="H488" s="1207">
        <f>$K$437</f>
        <v>0</v>
      </c>
      <c r="I488" s="1207">
        <f>$K$438</f>
        <v>0</v>
      </c>
      <c r="J488" s="370">
        <f>(B252*$K$67*soy)/$K$434</f>
        <v>100</v>
      </c>
      <c r="M488" s="880">
        <f>$C$39*J488</f>
        <v>0</v>
      </c>
      <c r="N488" s="247" t="s">
        <v>363</v>
      </c>
    </row>
    <row r="489" spans="1:14" ht="13.5" thickBot="1" x14ac:dyDescent="0.35">
      <c r="A489" s="638" t="s">
        <v>1413</v>
      </c>
      <c r="B489" s="880">
        <f>$C$40*M489</f>
        <v>1</v>
      </c>
      <c r="C489" s="830" t="s">
        <v>446</v>
      </c>
      <c r="D489" s="925">
        <f>IF(CP!D76&gt;0,CP!E76,Data!E489)</f>
        <v>21106.2051928939</v>
      </c>
      <c r="E489" s="1205">
        <f>$K$441</f>
        <v>21106.2051928939</v>
      </c>
      <c r="F489" s="370">
        <f>IF(CP!D76&gt;0,CP!G76,Data!G489)</f>
        <v>33</v>
      </c>
      <c r="G489" s="945">
        <f>$K$442</f>
        <v>33</v>
      </c>
      <c r="H489" s="1207">
        <f>$K$443</f>
        <v>0.01</v>
      </c>
      <c r="I489" s="1209">
        <f>$K$444</f>
        <v>0.35</v>
      </c>
      <c r="J489" s="633">
        <v>1</v>
      </c>
      <c r="M489" s="880">
        <f>$C$40*CP!$D$76</f>
        <v>1</v>
      </c>
      <c r="N489" s="247" t="s">
        <v>363</v>
      </c>
    </row>
    <row r="490" spans="1:14" ht="13.5" thickBot="1" x14ac:dyDescent="0.35">
      <c r="A490" s="638" t="s">
        <v>1414</v>
      </c>
      <c r="B490" s="880">
        <f>$C$41*M490</f>
        <v>0</v>
      </c>
      <c r="C490" s="830" t="s">
        <v>446</v>
      </c>
      <c r="D490" s="925">
        <f>IF(CP!D77&gt;0,CP!E77,Data!E490)</f>
        <v>36937.112722940503</v>
      </c>
      <c r="E490" s="1205">
        <f>$K$447</f>
        <v>36937.112722940503</v>
      </c>
      <c r="F490" s="370">
        <f>IF(CP!D77&gt;0,CP!G77,Data!G490)</f>
        <v>33</v>
      </c>
      <c r="G490" s="945">
        <f>$K$448</f>
        <v>33</v>
      </c>
      <c r="H490" s="1207">
        <f>$K$449</f>
        <v>0.01</v>
      </c>
      <c r="I490" s="1209">
        <f>$K$450</f>
        <v>0.35</v>
      </c>
      <c r="J490" s="633">
        <v>1</v>
      </c>
      <c r="M490" s="880">
        <f>$C$41*CP!$D$77</f>
        <v>0</v>
      </c>
      <c r="N490" s="247" t="s">
        <v>363</v>
      </c>
    </row>
    <row r="491" spans="1:14" x14ac:dyDescent="0.3">
      <c r="A491" s="664" t="s">
        <v>575</v>
      </c>
      <c r="B491" s="247">
        <v>0</v>
      </c>
      <c r="C491" s="830" t="s">
        <v>446</v>
      </c>
      <c r="D491" s="906">
        <f>E491+(E491*$K$275)</f>
        <v>21106.205192893929</v>
      </c>
      <c r="E491" s="600">
        <v>16836</v>
      </c>
      <c r="F491" s="633">
        <v>33</v>
      </c>
      <c r="G491" s="247">
        <v>10</v>
      </c>
      <c r="H491" s="670">
        <v>0.01</v>
      </c>
      <c r="I491" s="606">
        <v>0.35</v>
      </c>
      <c r="N491" s="247" t="s">
        <v>363</v>
      </c>
    </row>
    <row r="492" spans="1:14" x14ac:dyDescent="0.3">
      <c r="A492" s="6"/>
      <c r="B492" s="33"/>
      <c r="C492" s="34"/>
      <c r="D492" s="110">
        <f>SUMPRODUCT(B422:B491,D422:D491)</f>
        <v>228583.86418585051</v>
      </c>
      <c r="E492" s="17" t="s">
        <v>1470</v>
      </c>
      <c r="N492" s="34"/>
    </row>
    <row r="493" spans="1:14" x14ac:dyDescent="0.3">
      <c r="A493" s="6"/>
      <c r="B493" s="33"/>
      <c r="C493" s="34"/>
      <c r="D493" s="110"/>
      <c r="N493" s="34"/>
    </row>
    <row r="494" spans="1:14" ht="13.25" customHeight="1" thickBot="1" x14ac:dyDescent="0.35">
      <c r="A494" s="14" t="s">
        <v>11</v>
      </c>
      <c r="B494" s="15" t="s">
        <v>36</v>
      </c>
      <c r="C494" s="15" t="s">
        <v>22</v>
      </c>
      <c r="D494" s="15" t="s">
        <v>1637</v>
      </c>
      <c r="E494" s="15" t="s">
        <v>1636</v>
      </c>
      <c r="F494" s="15" t="s">
        <v>1635</v>
      </c>
      <c r="G494" s="15" t="s">
        <v>1902</v>
      </c>
      <c r="H494" s="15" t="s">
        <v>1634</v>
      </c>
      <c r="I494" s="605" t="s">
        <v>1098</v>
      </c>
      <c r="M494" s="831" t="s">
        <v>1355</v>
      </c>
      <c r="N494" s="814" t="s">
        <v>11</v>
      </c>
    </row>
    <row r="495" spans="1:14" ht="13.5" thickBot="1" x14ac:dyDescent="0.35">
      <c r="A495" s="638" t="s">
        <v>1386</v>
      </c>
      <c r="B495" s="880">
        <f>$C$39*M495</f>
        <v>0</v>
      </c>
      <c r="C495" s="830" t="s">
        <v>51</v>
      </c>
      <c r="D495" s="942">
        <f>IF(CP!D79&gt;0,CP!E79,Data!E495)</f>
        <v>50000</v>
      </c>
      <c r="E495" s="1198">
        <v>50000</v>
      </c>
      <c r="F495" s="370">
        <f>IF(CP!D79&gt;0,CP!G79,Data!G495)</f>
        <v>33</v>
      </c>
      <c r="G495" s="1203">
        <v>33</v>
      </c>
      <c r="H495" s="1075">
        <v>0.01</v>
      </c>
      <c r="I495" s="1074">
        <v>0.75</v>
      </c>
      <c r="M495" s="880">
        <f>$C$39*CP!$D$79</f>
        <v>0</v>
      </c>
      <c r="N495" s="247" t="s">
        <v>363</v>
      </c>
    </row>
    <row r="496" spans="1:14" ht="13.5" thickBot="1" x14ac:dyDescent="0.35">
      <c r="A496" s="638" t="s">
        <v>1387</v>
      </c>
      <c r="B496" s="880">
        <f>$C$40*M496</f>
        <v>1</v>
      </c>
      <c r="C496" s="830" t="s">
        <v>51</v>
      </c>
      <c r="D496" s="942">
        <f>IF(CP!D80&gt;0,CP!E80,Data!E496)</f>
        <v>100000</v>
      </c>
      <c r="E496" s="1198">
        <v>100000</v>
      </c>
      <c r="F496" s="370">
        <f>IF(CP!D80&gt;0,CP!G80,Data!G496)</f>
        <v>33</v>
      </c>
      <c r="G496" s="1203">
        <v>33</v>
      </c>
      <c r="H496" s="1075">
        <v>0.01</v>
      </c>
      <c r="I496" s="1074">
        <v>0.75</v>
      </c>
      <c r="M496" s="880">
        <f>$C$40*CP!$D$80</f>
        <v>1</v>
      </c>
      <c r="N496" s="247" t="s">
        <v>363</v>
      </c>
    </row>
    <row r="497" spans="1:24" ht="13.5" thickBot="1" x14ac:dyDescent="0.35">
      <c r="A497" s="638" t="s">
        <v>1388</v>
      </c>
      <c r="B497" s="880">
        <f>$C$41*M497</f>
        <v>0</v>
      </c>
      <c r="C497" s="830" t="s">
        <v>51</v>
      </c>
      <c r="D497" s="942">
        <f>IF(CP!D81&gt;0,CP!E81,Data!E497)</f>
        <v>200000</v>
      </c>
      <c r="E497" s="1198">
        <v>200000</v>
      </c>
      <c r="F497" s="370">
        <f>IF(CP!D81&gt;0,CP!G81,Data!G497)</f>
        <v>33</v>
      </c>
      <c r="G497" s="1203">
        <v>33</v>
      </c>
      <c r="H497" s="1075">
        <v>0.01</v>
      </c>
      <c r="I497" s="1074">
        <v>0.75</v>
      </c>
      <c r="M497" s="880">
        <f>$C$41*CP!$D$81</f>
        <v>0</v>
      </c>
      <c r="N497" s="247" t="s">
        <v>363</v>
      </c>
    </row>
    <row r="498" spans="1:24" x14ac:dyDescent="0.3">
      <c r="A498" s="6" t="s">
        <v>766</v>
      </c>
      <c r="B498" s="247">
        <v>0</v>
      </c>
      <c r="C498" s="34" t="s">
        <v>51</v>
      </c>
      <c r="D498" s="954">
        <f>E498*(113000/180000)</f>
        <v>254250</v>
      </c>
      <c r="E498" s="955">
        <f>540000*(0.75)</f>
        <v>405000</v>
      </c>
      <c r="F498" s="247">
        <v>33</v>
      </c>
      <c r="G498" s="247">
        <v>33</v>
      </c>
      <c r="H498" s="607">
        <v>4.4999999999999998E-2</v>
      </c>
      <c r="I498" s="606">
        <v>0.75</v>
      </c>
      <c r="N498" s="247" t="s">
        <v>363</v>
      </c>
    </row>
    <row r="499" spans="1:24" x14ac:dyDescent="0.3">
      <c r="D499" s="110">
        <f>SUMPRODUCT(B494:B498,D494:D498)</f>
        <v>100000</v>
      </c>
      <c r="E499" s="17" t="s">
        <v>1471</v>
      </c>
    </row>
    <row r="501" spans="1:24" ht="37.5" customHeight="1" x14ac:dyDescent="0.3">
      <c r="A501" s="12" t="s">
        <v>810</v>
      </c>
      <c r="B501" s="15" t="s">
        <v>1425</v>
      </c>
      <c r="C501" s="15" t="s">
        <v>22</v>
      </c>
      <c r="D501" s="15" t="s">
        <v>1424</v>
      </c>
      <c r="E501" s="15" t="s">
        <v>22</v>
      </c>
      <c r="F501" s="15" t="s">
        <v>1426</v>
      </c>
      <c r="G501" s="15" t="s">
        <v>22</v>
      </c>
      <c r="H501" s="15" t="s">
        <v>910</v>
      </c>
      <c r="I501" s="15" t="s">
        <v>22</v>
      </c>
      <c r="K501" s="12" t="s">
        <v>810</v>
      </c>
      <c r="L501" s="15" t="s">
        <v>1430</v>
      </c>
      <c r="M501" s="15" t="s">
        <v>22</v>
      </c>
      <c r="N501" s="15" t="s">
        <v>1431</v>
      </c>
      <c r="O501" s="15" t="s">
        <v>22</v>
      </c>
      <c r="P501" s="15" t="s">
        <v>1432</v>
      </c>
      <c r="Q501" s="15" t="s">
        <v>22</v>
      </c>
      <c r="R501" s="15" t="s">
        <v>1433</v>
      </c>
      <c r="S501" s="15" t="s">
        <v>22</v>
      </c>
    </row>
    <row r="502" spans="1:24" x14ac:dyDescent="0.3">
      <c r="A502" s="69" t="s">
        <v>806</v>
      </c>
      <c r="D502" s="46"/>
      <c r="E502" s="34"/>
      <c r="T502" s="7"/>
      <c r="X502" s="7"/>
    </row>
    <row r="503" spans="1:24" x14ac:dyDescent="0.3">
      <c r="A503" s="6" t="s">
        <v>484</v>
      </c>
      <c r="B503" s="827" t="s">
        <v>1434</v>
      </c>
      <c r="C503" s="34" t="s">
        <v>115</v>
      </c>
      <c r="D503" s="827" t="s">
        <v>1434</v>
      </c>
      <c r="E503" s="34" t="s">
        <v>115</v>
      </c>
      <c r="F503" s="827" t="s">
        <v>1434</v>
      </c>
      <c r="G503" s="34" t="s">
        <v>115</v>
      </c>
      <c r="H503" s="602">
        <f>0.167170097466133*$L$313</f>
        <v>0.25632748278140399</v>
      </c>
      <c r="I503" s="34" t="s">
        <v>115</v>
      </c>
      <c r="K503" s="22" t="s">
        <v>483</v>
      </c>
      <c r="L503" s="827" t="s">
        <v>1434</v>
      </c>
      <c r="M503" s="34" t="s">
        <v>116</v>
      </c>
      <c r="N503" s="827" t="s">
        <v>1434</v>
      </c>
      <c r="O503" s="34" t="s">
        <v>116</v>
      </c>
      <c r="P503" s="827" t="s">
        <v>1434</v>
      </c>
      <c r="Q503" s="34" t="s">
        <v>116</v>
      </c>
      <c r="R503" s="278">
        <v>0.6028033322985753</v>
      </c>
      <c r="S503" s="34" t="s">
        <v>116</v>
      </c>
      <c r="T503" s="7"/>
      <c r="X503" s="7"/>
    </row>
    <row r="504" spans="1:24" x14ac:dyDescent="0.3">
      <c r="A504" s="22" t="s">
        <v>805</v>
      </c>
      <c r="B504" s="827" t="s">
        <v>1434</v>
      </c>
      <c r="C504" s="34" t="s">
        <v>115</v>
      </c>
      <c r="D504" s="827" t="s">
        <v>1434</v>
      </c>
      <c r="E504" s="34" t="s">
        <v>115</v>
      </c>
      <c r="F504" s="827" t="s">
        <v>1434</v>
      </c>
      <c r="G504" s="34" t="s">
        <v>115</v>
      </c>
      <c r="H504" s="602">
        <f>0.157336562321066*$L$316</f>
        <v>0.39334140580266497</v>
      </c>
      <c r="I504" s="34" t="s">
        <v>115</v>
      </c>
      <c r="K504" s="22" t="s">
        <v>482</v>
      </c>
      <c r="L504" s="827" t="s">
        <v>1434</v>
      </c>
      <c r="M504" s="34" t="s">
        <v>116</v>
      </c>
      <c r="N504" s="827" t="s">
        <v>1434</v>
      </c>
      <c r="O504" s="34" t="s">
        <v>116</v>
      </c>
      <c r="P504" s="827" t="s">
        <v>1434</v>
      </c>
      <c r="Q504" s="34" t="s">
        <v>116</v>
      </c>
      <c r="R504" s="602">
        <v>0.83039215686274503</v>
      </c>
      <c r="S504" s="34" t="s">
        <v>116</v>
      </c>
      <c r="T504" s="7"/>
      <c r="X504" s="7"/>
    </row>
    <row r="505" spans="1:24" x14ac:dyDescent="0.3">
      <c r="A505" s="22" t="s">
        <v>300</v>
      </c>
      <c r="B505" s="827" t="s">
        <v>1434</v>
      </c>
      <c r="C505" s="34" t="s">
        <v>115</v>
      </c>
      <c r="D505" s="827" t="s">
        <v>1434</v>
      </c>
      <c r="E505" s="34" t="s">
        <v>115</v>
      </c>
      <c r="F505" s="827" t="s">
        <v>1434</v>
      </c>
      <c r="G505" s="34" t="s">
        <v>115</v>
      </c>
      <c r="H505" s="278">
        <v>0.48</v>
      </c>
      <c r="I505" s="34" t="s">
        <v>115</v>
      </c>
      <c r="K505" s="22" t="s">
        <v>830</v>
      </c>
      <c r="L505" s="827" t="s">
        <v>1434</v>
      </c>
      <c r="M505" s="34" t="s">
        <v>116</v>
      </c>
      <c r="N505" s="827" t="s">
        <v>1434</v>
      </c>
      <c r="O505" s="34" t="s">
        <v>116</v>
      </c>
      <c r="P505" s="827" t="s">
        <v>1434</v>
      </c>
      <c r="Q505" s="34" t="s">
        <v>116</v>
      </c>
      <c r="R505" s="278">
        <v>0.2</v>
      </c>
      <c r="S505" s="34" t="s">
        <v>116</v>
      </c>
      <c r="T505" s="7"/>
      <c r="X505" s="7"/>
    </row>
    <row r="506" spans="1:24" x14ac:dyDescent="0.3">
      <c r="A506" s="22" t="s">
        <v>301</v>
      </c>
      <c r="B506" s="827" t="s">
        <v>1434</v>
      </c>
      <c r="C506" s="34" t="s">
        <v>115</v>
      </c>
      <c r="D506" s="827" t="s">
        <v>1434</v>
      </c>
      <c r="E506" s="34" t="s">
        <v>115</v>
      </c>
      <c r="F506" s="827" t="s">
        <v>1434</v>
      </c>
      <c r="G506" s="34" t="s">
        <v>115</v>
      </c>
      <c r="H506" s="278">
        <v>8.3333333333333329E-2</v>
      </c>
      <c r="I506" s="34" t="s">
        <v>115</v>
      </c>
      <c r="K506" s="22" t="s">
        <v>1</v>
      </c>
      <c r="L506" s="827" t="s">
        <v>1434</v>
      </c>
      <c r="M506" s="34" t="s">
        <v>116</v>
      </c>
      <c r="N506" s="827" t="s">
        <v>1434</v>
      </c>
      <c r="O506" s="34" t="s">
        <v>116</v>
      </c>
      <c r="P506" s="827" t="s">
        <v>1434</v>
      </c>
      <c r="Q506" s="34" t="s">
        <v>116</v>
      </c>
      <c r="R506" s="278">
        <v>0.13183670241332496</v>
      </c>
      <c r="S506" s="34" t="s">
        <v>116</v>
      </c>
      <c r="T506" s="7"/>
      <c r="X506" s="7"/>
    </row>
    <row r="507" spans="1:24" x14ac:dyDescent="0.3">
      <c r="A507" s="22" t="s">
        <v>302</v>
      </c>
      <c r="B507" s="827" t="s">
        <v>1434</v>
      </c>
      <c r="C507" s="34" t="s">
        <v>115</v>
      </c>
      <c r="D507" s="827" t="s">
        <v>1434</v>
      </c>
      <c r="E507" s="34" t="s">
        <v>115</v>
      </c>
      <c r="F507" s="827" t="s">
        <v>1434</v>
      </c>
      <c r="G507" s="34" t="s">
        <v>115</v>
      </c>
      <c r="H507" s="278">
        <v>0.2</v>
      </c>
      <c r="I507" s="34" t="s">
        <v>115</v>
      </c>
      <c r="K507" s="22" t="s">
        <v>831</v>
      </c>
      <c r="L507" s="827" t="s">
        <v>1434</v>
      </c>
      <c r="M507" s="34" t="s">
        <v>116</v>
      </c>
      <c r="N507" s="827" t="s">
        <v>1434</v>
      </c>
      <c r="O507" s="34" t="s">
        <v>116</v>
      </c>
      <c r="P507" s="827" t="s">
        <v>1434</v>
      </c>
      <c r="Q507" s="34" t="s">
        <v>116</v>
      </c>
      <c r="R507" s="278">
        <v>0.13608956894943086</v>
      </c>
      <c r="S507" s="34" t="s">
        <v>116</v>
      </c>
      <c r="T507" s="7"/>
      <c r="X507" s="7"/>
    </row>
    <row r="508" spans="1:24" x14ac:dyDescent="0.3">
      <c r="A508" s="285" t="s">
        <v>303</v>
      </c>
      <c r="B508" s="827" t="s">
        <v>1434</v>
      </c>
      <c r="C508" s="34" t="s">
        <v>115</v>
      </c>
      <c r="D508" s="827" t="s">
        <v>1434</v>
      </c>
      <c r="E508" s="34" t="s">
        <v>115</v>
      </c>
      <c r="F508" s="827" t="s">
        <v>1434</v>
      </c>
      <c r="G508" s="34" t="s">
        <v>115</v>
      </c>
      <c r="H508" s="602">
        <f>1.1*$L$341</f>
        <v>1.6500000000000001</v>
      </c>
      <c r="I508" s="34" t="s">
        <v>115</v>
      </c>
      <c r="K508" s="22" t="s">
        <v>832</v>
      </c>
      <c r="L508" s="827" t="s">
        <v>1434</v>
      </c>
      <c r="M508" s="34" t="s">
        <v>116</v>
      </c>
      <c r="N508" s="827" t="s">
        <v>1434</v>
      </c>
      <c r="O508" s="34" t="s">
        <v>116</v>
      </c>
      <c r="P508" s="827" t="s">
        <v>1434</v>
      </c>
      <c r="Q508" s="34" t="s">
        <v>116</v>
      </c>
      <c r="R508" s="282">
        <v>1.13572830673271</v>
      </c>
      <c r="S508" s="34" t="s">
        <v>116</v>
      </c>
    </row>
    <row r="509" spans="1:24" x14ac:dyDescent="0.3">
      <c r="A509" s="22" t="s">
        <v>304</v>
      </c>
      <c r="B509" s="827" t="s">
        <v>1434</v>
      </c>
      <c r="C509" s="34" t="s">
        <v>115</v>
      </c>
      <c r="D509" s="827" t="s">
        <v>1434</v>
      </c>
      <c r="E509" s="34" t="s">
        <v>115</v>
      </c>
      <c r="F509" s="827" t="s">
        <v>1434</v>
      </c>
      <c r="G509" s="34" t="s">
        <v>115</v>
      </c>
      <c r="H509" s="602">
        <f>(0.0444444444444445/0.0675)*0.2</f>
        <v>0.13168724279835406</v>
      </c>
      <c r="I509" s="34" t="s">
        <v>115</v>
      </c>
      <c r="K509" s="22" t="s">
        <v>925</v>
      </c>
      <c r="L509" s="827" t="s">
        <v>1434</v>
      </c>
      <c r="M509" s="34" t="s">
        <v>116</v>
      </c>
      <c r="N509" s="827" t="s">
        <v>1434</v>
      </c>
      <c r="O509" s="34" t="s">
        <v>116</v>
      </c>
      <c r="P509" s="827" t="s">
        <v>1434</v>
      </c>
      <c r="Q509" s="34" t="s">
        <v>116</v>
      </c>
      <c r="R509" s="602">
        <v>0.11981642612033799</v>
      </c>
      <c r="S509" s="34" t="s">
        <v>116</v>
      </c>
    </row>
    <row r="510" spans="1:24" x14ac:dyDescent="0.3">
      <c r="A510" s="22" t="s">
        <v>305</v>
      </c>
      <c r="B510" s="827" t="s">
        <v>1434</v>
      </c>
      <c r="C510" s="34" t="s">
        <v>115</v>
      </c>
      <c r="D510" s="827" t="s">
        <v>1434</v>
      </c>
      <c r="E510" s="34" t="s">
        <v>115</v>
      </c>
      <c r="F510" s="827" t="s">
        <v>1434</v>
      </c>
      <c r="G510" s="34" t="s">
        <v>115</v>
      </c>
      <c r="H510" s="602">
        <f>0.291666666666667*$L$322</f>
        <v>0.58333333333333404</v>
      </c>
      <c r="I510" s="34" t="s">
        <v>115</v>
      </c>
      <c r="K510" s="22" t="s">
        <v>833</v>
      </c>
      <c r="L510" s="827" t="s">
        <v>1434</v>
      </c>
      <c r="M510" s="34" t="s">
        <v>116</v>
      </c>
      <c r="N510" s="827" t="s">
        <v>1434</v>
      </c>
      <c r="O510" s="34" t="s">
        <v>116</v>
      </c>
      <c r="P510" s="827" t="s">
        <v>1434</v>
      </c>
      <c r="Q510" s="34" t="s">
        <v>116</v>
      </c>
      <c r="R510" s="602">
        <f>0.574367088607595/2</f>
        <v>0.2871835443037975</v>
      </c>
      <c r="S510" s="34" t="s">
        <v>116</v>
      </c>
    </row>
    <row r="511" spans="1:24" x14ac:dyDescent="0.3">
      <c r="A511" s="22" t="s">
        <v>306</v>
      </c>
      <c r="B511" s="827" t="s">
        <v>1434</v>
      </c>
      <c r="C511" s="34" t="s">
        <v>115</v>
      </c>
      <c r="D511" s="827" t="s">
        <v>1434</v>
      </c>
      <c r="E511" s="34" t="s">
        <v>115</v>
      </c>
      <c r="F511" s="827" t="s">
        <v>1434</v>
      </c>
      <c r="G511" s="34" t="s">
        <v>115</v>
      </c>
      <c r="H511" s="602">
        <v>0.2</v>
      </c>
      <c r="I511" s="34" t="s">
        <v>115</v>
      </c>
      <c r="K511" s="22" t="s">
        <v>834</v>
      </c>
      <c r="L511" s="827" t="s">
        <v>1434</v>
      </c>
      <c r="M511" s="34" t="s">
        <v>116</v>
      </c>
      <c r="N511" s="827" t="s">
        <v>1434</v>
      </c>
      <c r="O511" s="34" t="s">
        <v>116</v>
      </c>
      <c r="P511" s="827" t="s">
        <v>1434</v>
      </c>
      <c r="Q511" s="34" t="s">
        <v>116</v>
      </c>
      <c r="R511" s="602">
        <v>0.11981642612033799</v>
      </c>
      <c r="S511" s="34" t="s">
        <v>116</v>
      </c>
    </row>
    <row r="512" spans="1:24" x14ac:dyDescent="0.3">
      <c r="A512" s="286" t="s">
        <v>307</v>
      </c>
      <c r="B512" s="827" t="s">
        <v>1434</v>
      </c>
      <c r="C512" s="34" t="s">
        <v>115</v>
      </c>
      <c r="D512" s="827" t="s">
        <v>1434</v>
      </c>
      <c r="E512" s="34" t="s">
        <v>115</v>
      </c>
      <c r="F512" s="827" t="s">
        <v>1434</v>
      </c>
      <c r="G512" s="34" t="s">
        <v>115</v>
      </c>
      <c r="H512" s="602">
        <f>0.291666666666667*$L$322</f>
        <v>0.58333333333333404</v>
      </c>
      <c r="I512" s="34" t="s">
        <v>115</v>
      </c>
      <c r="K512" s="22" t="s">
        <v>835</v>
      </c>
      <c r="L512" s="827" t="s">
        <v>1434</v>
      </c>
      <c r="M512" s="34" t="s">
        <v>116</v>
      </c>
      <c r="N512" s="827" t="s">
        <v>1434</v>
      </c>
      <c r="O512" s="34" t="s">
        <v>116</v>
      </c>
      <c r="P512" s="827" t="s">
        <v>1434</v>
      </c>
      <c r="Q512" s="34" t="s">
        <v>116</v>
      </c>
      <c r="R512" s="602">
        <f>0.574367088607595/2</f>
        <v>0.2871835443037975</v>
      </c>
      <c r="S512" s="34" t="s">
        <v>116</v>
      </c>
    </row>
    <row r="513" spans="1:24" x14ac:dyDescent="0.3">
      <c r="A513" s="277" t="s">
        <v>922</v>
      </c>
      <c r="B513" s="827" t="s">
        <v>1434</v>
      </c>
      <c r="C513" s="34" t="s">
        <v>115</v>
      </c>
      <c r="D513" s="827" t="s">
        <v>1434</v>
      </c>
      <c r="E513" s="34" t="s">
        <v>115</v>
      </c>
      <c r="F513" s="827" t="s">
        <v>1434</v>
      </c>
      <c r="G513" s="34" t="s">
        <v>115</v>
      </c>
      <c r="H513" s="602">
        <f>(0.0444444444444445/0.0675)*0.2</f>
        <v>0.13168724279835406</v>
      </c>
      <c r="I513" s="34" t="s">
        <v>115</v>
      </c>
      <c r="K513" s="22" t="s">
        <v>926</v>
      </c>
      <c r="L513" s="827" t="s">
        <v>1434</v>
      </c>
      <c r="M513" s="34" t="s">
        <v>116</v>
      </c>
      <c r="N513" s="827" t="s">
        <v>1434</v>
      </c>
      <c r="O513" s="34" t="s">
        <v>116</v>
      </c>
      <c r="P513" s="827" t="s">
        <v>1434</v>
      </c>
      <c r="Q513" s="34" t="s">
        <v>116</v>
      </c>
      <c r="R513" s="602">
        <v>0.11981642612033799</v>
      </c>
      <c r="S513" s="34" t="s">
        <v>116</v>
      </c>
    </row>
    <row r="514" spans="1:24" x14ac:dyDescent="0.3">
      <c r="A514" s="287" t="s">
        <v>923</v>
      </c>
      <c r="B514" s="827" t="s">
        <v>1434</v>
      </c>
      <c r="C514" s="34" t="s">
        <v>115</v>
      </c>
      <c r="D514" s="827" t="s">
        <v>1434</v>
      </c>
      <c r="E514" s="34" t="s">
        <v>115</v>
      </c>
      <c r="F514" s="827" t="s">
        <v>1434</v>
      </c>
      <c r="G514" s="34" t="s">
        <v>115</v>
      </c>
      <c r="H514" s="273">
        <v>0</v>
      </c>
      <c r="I514" s="34" t="s">
        <v>115</v>
      </c>
      <c r="K514" s="22" t="s">
        <v>167</v>
      </c>
      <c r="L514" s="827" t="s">
        <v>1434</v>
      </c>
      <c r="M514" s="34" t="s">
        <v>116</v>
      </c>
      <c r="N514" s="827" t="s">
        <v>1434</v>
      </c>
      <c r="O514" s="34" t="s">
        <v>116</v>
      </c>
      <c r="P514" s="827" t="s">
        <v>1434</v>
      </c>
      <c r="Q514" s="34" t="s">
        <v>116</v>
      </c>
      <c r="R514" s="273">
        <v>0</v>
      </c>
      <c r="S514" s="34" t="s">
        <v>116</v>
      </c>
    </row>
    <row r="515" spans="1:24" x14ac:dyDescent="0.3">
      <c r="A515" s="22" t="s">
        <v>924</v>
      </c>
      <c r="B515" s="827" t="s">
        <v>1434</v>
      </c>
      <c r="C515" s="34" t="s">
        <v>115</v>
      </c>
      <c r="D515" s="827" t="s">
        <v>1434</v>
      </c>
      <c r="E515" s="34" t="s">
        <v>115</v>
      </c>
      <c r="F515" s="827" t="s">
        <v>1434</v>
      </c>
      <c r="G515" s="34" t="s">
        <v>115</v>
      </c>
      <c r="H515" s="602">
        <f>(0.0444444444444445/0.0675)*0.2</f>
        <v>0.13168724279835406</v>
      </c>
      <c r="I515" s="34" t="s">
        <v>115</v>
      </c>
      <c r="K515" s="22" t="s">
        <v>927</v>
      </c>
      <c r="L515" s="827" t="s">
        <v>1434</v>
      </c>
      <c r="M515" s="34" t="s">
        <v>116</v>
      </c>
      <c r="N515" s="827" t="s">
        <v>1434</v>
      </c>
      <c r="O515" s="34" t="s">
        <v>116</v>
      </c>
      <c r="P515" s="827" t="s">
        <v>1434</v>
      </c>
      <c r="Q515" s="34" t="s">
        <v>116</v>
      </c>
      <c r="R515" s="602">
        <v>0.11981642612033799</v>
      </c>
      <c r="S515" s="34" t="s">
        <v>116</v>
      </c>
    </row>
    <row r="516" spans="1:24" x14ac:dyDescent="0.3">
      <c r="A516" s="843" t="s">
        <v>1483</v>
      </c>
      <c r="B516" s="844">
        <f>B517</f>
        <v>0.72521097046413552</v>
      </c>
      <c r="C516" s="34" t="s">
        <v>115</v>
      </c>
      <c r="D516" s="844">
        <f>D517</f>
        <v>0.36260548523206776</v>
      </c>
      <c r="E516" s="845" t="s">
        <v>115</v>
      </c>
      <c r="F516" s="844">
        <f>F517</f>
        <v>0.36260548523206776</v>
      </c>
      <c r="G516" s="34" t="s">
        <v>115</v>
      </c>
      <c r="H516" s="369">
        <f>B516</f>
        <v>0.72521097046413552</v>
      </c>
      <c r="I516" s="34" t="s">
        <v>115</v>
      </c>
      <c r="K516" s="22" t="s">
        <v>1484</v>
      </c>
      <c r="L516" s="846">
        <v>0.6</v>
      </c>
      <c r="M516" s="34" t="s">
        <v>116</v>
      </c>
      <c r="N516" s="846">
        <v>0.6</v>
      </c>
      <c r="O516" s="34" t="s">
        <v>116</v>
      </c>
      <c r="P516" s="846">
        <v>0.6</v>
      </c>
      <c r="Q516" s="34" t="s">
        <v>116</v>
      </c>
      <c r="R516" s="369">
        <f>L516</f>
        <v>0.6</v>
      </c>
      <c r="S516" s="34" t="s">
        <v>116</v>
      </c>
    </row>
    <row r="517" spans="1:24" x14ac:dyDescent="0.3">
      <c r="A517" s="843" t="s">
        <v>1481</v>
      </c>
      <c r="B517" s="846">
        <f>1/1.37890909090909</f>
        <v>0.72521097046413552</v>
      </c>
      <c r="C517" s="845" t="s">
        <v>115</v>
      </c>
      <c r="D517" s="846">
        <f>1/2.75781818181818</f>
        <v>0.36260548523206776</v>
      </c>
      <c r="E517" s="845" t="s">
        <v>115</v>
      </c>
      <c r="F517" s="846">
        <f>1/2.75781818181818</f>
        <v>0.36260548523206776</v>
      </c>
      <c r="G517" s="845" t="s">
        <v>115</v>
      </c>
      <c r="H517" s="844">
        <f>B517</f>
        <v>0.72521097046413552</v>
      </c>
      <c r="I517" s="231" t="s">
        <v>115</v>
      </c>
      <c r="K517" s="232" t="s">
        <v>836</v>
      </c>
      <c r="L517" s="846">
        <f>2.0342167721519</f>
        <v>2.0342167721519</v>
      </c>
      <c r="M517" s="847" t="s">
        <v>116</v>
      </c>
      <c r="N517" s="846">
        <f>2.0342167721519</f>
        <v>2.0342167721519</v>
      </c>
      <c r="O517" s="847" t="s">
        <v>116</v>
      </c>
      <c r="P517" s="846">
        <f>2.0342167721519</f>
        <v>2.0342167721519</v>
      </c>
      <c r="Q517" s="847" t="s">
        <v>116</v>
      </c>
      <c r="R517" s="844">
        <f>L517</f>
        <v>2.0342167721519</v>
      </c>
      <c r="S517" s="233" t="s">
        <v>116</v>
      </c>
    </row>
    <row r="518" spans="1:24" x14ac:dyDescent="0.3">
      <c r="A518" s="9" t="s">
        <v>1482</v>
      </c>
      <c r="B518" s="848">
        <f>B517</f>
        <v>0.72521097046413552</v>
      </c>
      <c r="C518" s="234" t="s">
        <v>115</v>
      </c>
      <c r="D518" s="848">
        <f>D517</f>
        <v>0.36260548523206776</v>
      </c>
      <c r="E518" s="234" t="s">
        <v>115</v>
      </c>
      <c r="F518" s="848">
        <f>F517</f>
        <v>0.36260548523206776</v>
      </c>
      <c r="G518" s="234" t="s">
        <v>115</v>
      </c>
      <c r="H518" s="833">
        <f>H517</f>
        <v>0.72521097046413552</v>
      </c>
      <c r="I518" s="234" t="s">
        <v>115</v>
      </c>
      <c r="K518" s="234" t="s">
        <v>1023</v>
      </c>
      <c r="L518" s="848">
        <f>L517</f>
        <v>2.0342167721519</v>
      </c>
      <c r="M518" s="234" t="s">
        <v>119</v>
      </c>
      <c r="N518" s="848">
        <f>N517</f>
        <v>2.0342167721519</v>
      </c>
      <c r="O518" s="234" t="s">
        <v>119</v>
      </c>
      <c r="P518" s="848">
        <f>P517</f>
        <v>2.0342167721519</v>
      </c>
      <c r="Q518" s="234" t="s">
        <v>119</v>
      </c>
      <c r="R518" s="833">
        <f>R517</f>
        <v>2.0342167721519</v>
      </c>
      <c r="S518" s="234" t="s">
        <v>119</v>
      </c>
    </row>
    <row r="519" spans="1:24" x14ac:dyDescent="0.3">
      <c r="A519" s="843" t="s">
        <v>310</v>
      </c>
      <c r="B519" s="827" t="s">
        <v>1434</v>
      </c>
      <c r="C519" s="231" t="s">
        <v>115</v>
      </c>
      <c r="D519" s="827" t="s">
        <v>1434</v>
      </c>
      <c r="E519" s="231" t="s">
        <v>115</v>
      </c>
      <c r="F519" s="827" t="s">
        <v>1434</v>
      </c>
      <c r="G519" s="231" t="s">
        <v>115</v>
      </c>
      <c r="H519" s="279">
        <v>1.2</v>
      </c>
      <c r="I519" s="231" t="s">
        <v>115</v>
      </c>
      <c r="K519" s="232" t="s">
        <v>35</v>
      </c>
      <c r="L519" s="827" t="s">
        <v>1434</v>
      </c>
      <c r="M519" s="233" t="s">
        <v>116</v>
      </c>
      <c r="N519" s="827" t="s">
        <v>1434</v>
      </c>
      <c r="O519" s="233" t="s">
        <v>116</v>
      </c>
      <c r="P519" s="827" t="s">
        <v>1434</v>
      </c>
      <c r="Q519" s="233" t="s">
        <v>116</v>
      </c>
      <c r="R519" s="279">
        <v>1.3608956894943085</v>
      </c>
      <c r="S519" s="233" t="s">
        <v>116</v>
      </c>
    </row>
    <row r="520" spans="1:24" x14ac:dyDescent="0.3">
      <c r="A520" s="9" t="s">
        <v>1482</v>
      </c>
      <c r="B520" s="828" t="s">
        <v>1434</v>
      </c>
      <c r="C520" s="234" t="s">
        <v>115</v>
      </c>
      <c r="D520" s="828" t="s">
        <v>1434</v>
      </c>
      <c r="E520" s="234" t="s">
        <v>115</v>
      </c>
      <c r="F520" s="828" t="s">
        <v>1434</v>
      </c>
      <c r="G520" s="234" t="s">
        <v>115</v>
      </c>
      <c r="H520" s="464">
        <f>H519</f>
        <v>1.2</v>
      </c>
      <c r="I520" s="234" t="s">
        <v>115</v>
      </c>
      <c r="K520" s="234" t="s">
        <v>1023</v>
      </c>
      <c r="L520" s="828" t="s">
        <v>1434</v>
      </c>
      <c r="M520" s="234" t="s">
        <v>119</v>
      </c>
      <c r="N520" s="828" t="s">
        <v>1434</v>
      </c>
      <c r="O520" s="234" t="s">
        <v>119</v>
      </c>
      <c r="P520" s="828" t="s">
        <v>1434</v>
      </c>
      <c r="Q520" s="234" t="s">
        <v>119</v>
      </c>
      <c r="R520" s="464">
        <f>R519</f>
        <v>1.3608956894943085</v>
      </c>
      <c r="S520" s="234" t="s">
        <v>119</v>
      </c>
    </row>
    <row r="521" spans="1:24" x14ac:dyDescent="0.3">
      <c r="A521" s="22" t="s">
        <v>1103</v>
      </c>
      <c r="B521" s="827" t="s">
        <v>1434</v>
      </c>
      <c r="C521" s="34" t="s">
        <v>115</v>
      </c>
      <c r="D521" s="827" t="s">
        <v>1434</v>
      </c>
      <c r="E521" s="34" t="s">
        <v>115</v>
      </c>
      <c r="F521" s="827" t="s">
        <v>1434</v>
      </c>
      <c r="G521" s="34" t="s">
        <v>115</v>
      </c>
      <c r="H521" s="278">
        <v>1.2</v>
      </c>
      <c r="I521" s="34" t="s">
        <v>115</v>
      </c>
      <c r="K521" s="22" t="s">
        <v>1104</v>
      </c>
      <c r="L521" s="827" t="s">
        <v>1434</v>
      </c>
      <c r="M521" s="34" t="s">
        <v>116</v>
      </c>
      <c r="N521" s="827" t="s">
        <v>1434</v>
      </c>
      <c r="O521" s="34" t="s">
        <v>116</v>
      </c>
      <c r="P521" s="827" t="s">
        <v>1434</v>
      </c>
      <c r="Q521" s="34" t="s">
        <v>116</v>
      </c>
      <c r="R521" s="278">
        <f>0.14/2</f>
        <v>7.0000000000000007E-2</v>
      </c>
      <c r="S521" s="34" t="s">
        <v>116</v>
      </c>
    </row>
    <row r="522" spans="1:24" x14ac:dyDescent="0.3">
      <c r="A522" s="22" t="s">
        <v>297</v>
      </c>
      <c r="B522" s="827" t="s">
        <v>1434</v>
      </c>
      <c r="C522" s="34" t="s">
        <v>115</v>
      </c>
      <c r="D522" s="827" t="s">
        <v>1434</v>
      </c>
      <c r="E522" s="34" t="s">
        <v>115</v>
      </c>
      <c r="F522" s="827" t="s">
        <v>1434</v>
      </c>
      <c r="G522" s="34" t="s">
        <v>115</v>
      </c>
      <c r="H522" s="278">
        <v>8.3333333333333329E-2</v>
      </c>
      <c r="I522" s="34" t="s">
        <v>115</v>
      </c>
      <c r="K522" s="22" t="s">
        <v>837</v>
      </c>
      <c r="L522" s="827" t="s">
        <v>1434</v>
      </c>
      <c r="M522" s="34" t="s">
        <v>116</v>
      </c>
      <c r="N522" s="827" t="s">
        <v>1434</v>
      </c>
      <c r="O522" s="34" t="s">
        <v>116</v>
      </c>
      <c r="P522" s="827" t="s">
        <v>1434</v>
      </c>
      <c r="Q522" s="34" t="s">
        <v>116</v>
      </c>
      <c r="R522" s="278">
        <v>0.13183670241332496</v>
      </c>
      <c r="S522" s="34" t="s">
        <v>116</v>
      </c>
    </row>
    <row r="523" spans="1:24" ht="39" x14ac:dyDescent="0.3">
      <c r="A523" s="12" t="s">
        <v>810</v>
      </c>
      <c r="B523" s="15" t="s">
        <v>1425</v>
      </c>
      <c r="C523" s="15" t="s">
        <v>22</v>
      </c>
      <c r="D523" s="15" t="s">
        <v>1424</v>
      </c>
      <c r="E523" s="15" t="s">
        <v>22</v>
      </c>
      <c r="F523" s="15" t="s">
        <v>1426</v>
      </c>
      <c r="G523" s="15" t="s">
        <v>22</v>
      </c>
      <c r="H523" s="15" t="s">
        <v>910</v>
      </c>
      <c r="I523" s="15" t="s">
        <v>22</v>
      </c>
      <c r="K523" s="12" t="s">
        <v>810</v>
      </c>
      <c r="L523" s="15" t="s">
        <v>1430</v>
      </c>
      <c r="M523" s="15" t="s">
        <v>22</v>
      </c>
      <c r="N523" s="15" t="s">
        <v>1431</v>
      </c>
      <c r="O523" s="15" t="s">
        <v>22</v>
      </c>
      <c r="P523" s="15" t="s">
        <v>1432</v>
      </c>
      <c r="Q523" s="15" t="s">
        <v>22</v>
      </c>
      <c r="R523" s="15" t="s">
        <v>1433</v>
      </c>
      <c r="S523" s="15" t="s">
        <v>22</v>
      </c>
    </row>
    <row r="524" spans="1:24" x14ac:dyDescent="0.3">
      <c r="A524" s="69" t="s">
        <v>807</v>
      </c>
    </row>
    <row r="525" spans="1:24" x14ac:dyDescent="0.3">
      <c r="A525" s="17" t="s">
        <v>809</v>
      </c>
      <c r="B525" s="827" t="s">
        <v>1434</v>
      </c>
      <c r="C525" s="34" t="s">
        <v>115</v>
      </c>
      <c r="D525" s="827" t="s">
        <v>1434</v>
      </c>
      <c r="E525" s="34" t="s">
        <v>115</v>
      </c>
      <c r="F525" s="827" t="s">
        <v>1434</v>
      </c>
      <c r="G525" s="34" t="s">
        <v>115</v>
      </c>
      <c r="H525" s="602">
        <f>0.167170097466133*$L$313</f>
        <v>0.25632748278140399</v>
      </c>
      <c r="I525" s="34" t="s">
        <v>115</v>
      </c>
      <c r="K525" s="17" t="s">
        <v>483</v>
      </c>
      <c r="L525" s="827" t="s">
        <v>1434</v>
      </c>
      <c r="M525" s="34" t="s">
        <v>117</v>
      </c>
      <c r="N525" s="827" t="s">
        <v>1434</v>
      </c>
      <c r="O525" s="34" t="s">
        <v>117</v>
      </c>
      <c r="P525" s="827" t="s">
        <v>1434</v>
      </c>
      <c r="Q525" s="34" t="s">
        <v>117</v>
      </c>
      <c r="R525" s="278">
        <v>0.6028033322985753</v>
      </c>
      <c r="S525" s="34" t="s">
        <v>117</v>
      </c>
    </row>
    <row r="526" spans="1:24" x14ac:dyDescent="0.3">
      <c r="A526" s="17" t="s">
        <v>805</v>
      </c>
      <c r="B526" s="827" t="s">
        <v>1434</v>
      </c>
      <c r="C526" s="34" t="s">
        <v>115</v>
      </c>
      <c r="D526" s="827" t="s">
        <v>1434</v>
      </c>
      <c r="E526" s="34" t="s">
        <v>115</v>
      </c>
      <c r="F526" s="827" t="s">
        <v>1434</v>
      </c>
      <c r="G526" s="34" t="s">
        <v>115</v>
      </c>
      <c r="H526" s="602">
        <f>0.157336562321066*$L$316</f>
        <v>0.39334140580266497</v>
      </c>
      <c r="I526" s="34" t="s">
        <v>115</v>
      </c>
      <c r="K526" s="17" t="s">
        <v>482</v>
      </c>
      <c r="L526" s="827" t="s">
        <v>1434</v>
      </c>
      <c r="M526" s="34" t="s">
        <v>117</v>
      </c>
      <c r="N526" s="827" t="s">
        <v>1434</v>
      </c>
      <c r="O526" s="34" t="s">
        <v>117</v>
      </c>
      <c r="P526" s="827" t="s">
        <v>1434</v>
      </c>
      <c r="Q526" s="34" t="s">
        <v>117</v>
      </c>
      <c r="R526" s="602">
        <v>0.83039215686274503</v>
      </c>
      <c r="S526" s="34" t="s">
        <v>117</v>
      </c>
      <c r="T526" s="7"/>
      <c r="X526" s="7"/>
    </row>
    <row r="527" spans="1:24" x14ac:dyDescent="0.3">
      <c r="A527" s="17" t="s">
        <v>581</v>
      </c>
      <c r="B527" s="827" t="s">
        <v>1434</v>
      </c>
      <c r="C527" s="34" t="s">
        <v>115</v>
      </c>
      <c r="D527" s="827" t="s">
        <v>1434</v>
      </c>
      <c r="E527" s="34" t="s">
        <v>115</v>
      </c>
      <c r="F527" s="827" t="s">
        <v>1434</v>
      </c>
      <c r="G527" s="34" t="s">
        <v>115</v>
      </c>
      <c r="H527" s="278">
        <v>9.2929292929292931E-2</v>
      </c>
      <c r="I527" s="34" t="s">
        <v>115</v>
      </c>
      <c r="K527" s="17" t="s">
        <v>829</v>
      </c>
      <c r="L527" s="827" t="s">
        <v>1434</v>
      </c>
      <c r="M527" s="34" t="s">
        <v>117</v>
      </c>
      <c r="N527" s="827" t="s">
        <v>1434</v>
      </c>
      <c r="O527" s="34" t="s">
        <v>117</v>
      </c>
      <c r="P527" s="827" t="s">
        <v>1434</v>
      </c>
      <c r="Q527" s="34" t="s">
        <v>117</v>
      </c>
      <c r="R527" s="278">
        <v>0.13183670241332501</v>
      </c>
      <c r="S527" s="34" t="s">
        <v>117</v>
      </c>
      <c r="T527" s="7"/>
      <c r="X527" s="7"/>
    </row>
    <row r="528" spans="1:24" x14ac:dyDescent="0.3">
      <c r="A528" s="17" t="s">
        <v>411</v>
      </c>
      <c r="B528" s="827" t="s">
        <v>1434</v>
      </c>
      <c r="C528" s="34" t="s">
        <v>115</v>
      </c>
      <c r="D528" s="827" t="s">
        <v>1434</v>
      </c>
      <c r="E528" s="34" t="s">
        <v>115</v>
      </c>
      <c r="F528" s="827" t="s">
        <v>1434</v>
      </c>
      <c r="G528" s="34" t="s">
        <v>115</v>
      </c>
      <c r="H528" s="278">
        <v>0.11</v>
      </c>
      <c r="I528" s="34" t="s">
        <v>115</v>
      </c>
      <c r="K528" s="17" t="s">
        <v>828</v>
      </c>
      <c r="L528" s="827" t="s">
        <v>1434</v>
      </c>
      <c r="M528" s="34" t="s">
        <v>117</v>
      </c>
      <c r="N528" s="827" t="s">
        <v>1434</v>
      </c>
      <c r="O528" s="34" t="s">
        <v>117</v>
      </c>
      <c r="P528" s="827" t="s">
        <v>1434</v>
      </c>
      <c r="Q528" s="34" t="s">
        <v>117</v>
      </c>
      <c r="R528" s="278">
        <v>0.29913189036743482</v>
      </c>
      <c r="S528" s="34" t="s">
        <v>117</v>
      </c>
    </row>
    <row r="529" spans="1:19" x14ac:dyDescent="0.3">
      <c r="A529" s="17" t="s">
        <v>410</v>
      </c>
      <c r="B529" s="827" t="s">
        <v>1434</v>
      </c>
      <c r="C529" s="34" t="s">
        <v>115</v>
      </c>
      <c r="D529" s="827" t="s">
        <v>1434</v>
      </c>
      <c r="E529" s="34" t="s">
        <v>115</v>
      </c>
      <c r="F529" s="827" t="s">
        <v>1434</v>
      </c>
      <c r="G529" s="34" t="s">
        <v>115</v>
      </c>
      <c r="H529" s="602">
        <f>0.2*$L$347</f>
        <v>0.26666666666666666</v>
      </c>
      <c r="I529" s="34" t="s">
        <v>115</v>
      </c>
      <c r="K529" s="17" t="s">
        <v>827</v>
      </c>
      <c r="L529" s="827" t="s">
        <v>1434</v>
      </c>
      <c r="M529" s="34" t="s">
        <v>117</v>
      </c>
      <c r="N529" s="827" t="s">
        <v>1434</v>
      </c>
      <c r="O529" s="34" t="s">
        <v>117</v>
      </c>
      <c r="P529" s="827" t="s">
        <v>1434</v>
      </c>
      <c r="Q529" s="34" t="s">
        <v>117</v>
      </c>
      <c r="R529" s="278">
        <v>0.5114623979838181</v>
      </c>
      <c r="S529" s="34" t="s">
        <v>117</v>
      </c>
    </row>
    <row r="530" spans="1:19" x14ac:dyDescent="0.3">
      <c r="A530" s="17" t="s">
        <v>735</v>
      </c>
      <c r="B530" s="827" t="s">
        <v>1434</v>
      </c>
      <c r="C530" s="34" t="s">
        <v>115</v>
      </c>
      <c r="D530" s="827" t="s">
        <v>1434</v>
      </c>
      <c r="E530" s="34" t="s">
        <v>115</v>
      </c>
      <c r="F530" s="827" t="s">
        <v>1434</v>
      </c>
      <c r="G530" s="34" t="s">
        <v>115</v>
      </c>
      <c r="H530" s="602">
        <f>0.2*$L$347</f>
        <v>0.26666666666666666</v>
      </c>
      <c r="I530" s="34" t="s">
        <v>115</v>
      </c>
      <c r="K530" s="17" t="s">
        <v>826</v>
      </c>
      <c r="L530" s="827" t="s">
        <v>1434</v>
      </c>
      <c r="M530" s="34" t="s">
        <v>117</v>
      </c>
      <c r="N530" s="827" t="s">
        <v>1434</v>
      </c>
      <c r="O530" s="34" t="s">
        <v>117</v>
      </c>
      <c r="P530" s="827" t="s">
        <v>1434</v>
      </c>
      <c r="Q530" s="34" t="s">
        <v>117</v>
      </c>
      <c r="R530" s="278">
        <v>0.5114623979838181</v>
      </c>
      <c r="S530" s="34" t="s">
        <v>117</v>
      </c>
    </row>
    <row r="531" spans="1:19" x14ac:dyDescent="0.3">
      <c r="A531" s="17" t="s">
        <v>736</v>
      </c>
      <c r="B531" s="827" t="s">
        <v>1434</v>
      </c>
      <c r="C531" s="34" t="s">
        <v>115</v>
      </c>
      <c r="D531" s="827" t="s">
        <v>1434</v>
      </c>
      <c r="E531" s="34" t="s">
        <v>115</v>
      </c>
      <c r="F531" s="827" t="s">
        <v>1434</v>
      </c>
      <c r="G531" s="34" t="s">
        <v>115</v>
      </c>
      <c r="H531" s="602">
        <f>0.2*$L$347</f>
        <v>0.26666666666666666</v>
      </c>
      <c r="I531" s="34" t="s">
        <v>115</v>
      </c>
      <c r="K531" s="17" t="s">
        <v>825</v>
      </c>
      <c r="L531" s="827" t="s">
        <v>1434</v>
      </c>
      <c r="M531" s="34" t="s">
        <v>117</v>
      </c>
      <c r="N531" s="827" t="s">
        <v>1434</v>
      </c>
      <c r="O531" s="34" t="s">
        <v>117</v>
      </c>
      <c r="P531" s="827" t="s">
        <v>1434</v>
      </c>
      <c r="Q531" s="34" t="s">
        <v>117</v>
      </c>
      <c r="R531" s="278">
        <v>0.5114623979838181</v>
      </c>
      <c r="S531" s="34" t="s">
        <v>117</v>
      </c>
    </row>
    <row r="532" spans="1:19" x14ac:dyDescent="0.3">
      <c r="A532" s="17" t="s">
        <v>741</v>
      </c>
      <c r="B532" s="827" t="s">
        <v>1434</v>
      </c>
      <c r="C532" s="34" t="s">
        <v>115</v>
      </c>
      <c r="D532" s="827" t="s">
        <v>1434</v>
      </c>
      <c r="E532" s="34" t="s">
        <v>115</v>
      </c>
      <c r="F532" s="827" t="s">
        <v>1434</v>
      </c>
      <c r="G532" s="34" t="s">
        <v>115</v>
      </c>
      <c r="H532" s="602">
        <f>0.2*$L$347</f>
        <v>0.26666666666666666</v>
      </c>
      <c r="I532" s="34" t="s">
        <v>115</v>
      </c>
      <c r="K532" s="17" t="s">
        <v>855</v>
      </c>
      <c r="L532" s="827" t="s">
        <v>1434</v>
      </c>
      <c r="M532" s="34" t="s">
        <v>117</v>
      </c>
      <c r="N532" s="827" t="s">
        <v>1434</v>
      </c>
      <c r="O532" s="34" t="s">
        <v>117</v>
      </c>
      <c r="P532" s="827" t="s">
        <v>1434</v>
      </c>
      <c r="Q532" s="34" t="s">
        <v>117</v>
      </c>
      <c r="R532" s="278">
        <v>0.5114623979838181</v>
      </c>
      <c r="S532" s="34" t="s">
        <v>117</v>
      </c>
    </row>
    <row r="533" spans="1:19" x14ac:dyDescent="0.3">
      <c r="A533" s="17" t="s">
        <v>743</v>
      </c>
      <c r="B533" s="827" t="s">
        <v>1434</v>
      </c>
      <c r="C533" s="34" t="s">
        <v>115</v>
      </c>
      <c r="D533" s="827" t="s">
        <v>1434</v>
      </c>
      <c r="E533" s="34" t="s">
        <v>115</v>
      </c>
      <c r="F533" s="827" t="s">
        <v>1434</v>
      </c>
      <c r="G533" s="34" t="s">
        <v>115</v>
      </c>
      <c r="H533" s="602">
        <f>0.2*$L$347</f>
        <v>0.26666666666666666</v>
      </c>
      <c r="I533" s="34" t="s">
        <v>115</v>
      </c>
      <c r="K533" s="17" t="s">
        <v>856</v>
      </c>
      <c r="L533" s="827" t="s">
        <v>1434</v>
      </c>
      <c r="M533" s="34" t="s">
        <v>117</v>
      </c>
      <c r="N533" s="827" t="s">
        <v>1434</v>
      </c>
      <c r="O533" s="34" t="s">
        <v>117</v>
      </c>
      <c r="P533" s="827" t="s">
        <v>1434</v>
      </c>
      <c r="Q533" s="34" t="s">
        <v>117</v>
      </c>
      <c r="R533" s="278">
        <v>0.5114623979838181</v>
      </c>
      <c r="S533" s="34" t="s">
        <v>117</v>
      </c>
    </row>
    <row r="534" spans="1:19" x14ac:dyDescent="0.3">
      <c r="A534" s="17" t="s">
        <v>812</v>
      </c>
      <c r="B534" s="827" t="s">
        <v>1434</v>
      </c>
      <c r="C534" s="34" t="s">
        <v>115</v>
      </c>
      <c r="D534" s="827" t="s">
        <v>1434</v>
      </c>
      <c r="E534" s="34" t="s">
        <v>115</v>
      </c>
      <c r="F534" s="827" t="s">
        <v>1434</v>
      </c>
      <c r="G534" s="34" t="s">
        <v>115</v>
      </c>
      <c r="H534" s="273">
        <v>1</v>
      </c>
      <c r="I534" s="34" t="s">
        <v>115</v>
      </c>
      <c r="K534" s="17" t="s">
        <v>857</v>
      </c>
      <c r="L534" s="827" t="s">
        <v>1434</v>
      </c>
      <c r="M534" s="34" t="s">
        <v>117</v>
      </c>
      <c r="N534" s="827" t="s">
        <v>1434</v>
      </c>
      <c r="O534" s="34" t="s">
        <v>117</v>
      </c>
      <c r="P534" s="827" t="s">
        <v>1434</v>
      </c>
      <c r="Q534" s="34" t="s">
        <v>117</v>
      </c>
      <c r="R534" s="278">
        <v>0.05</v>
      </c>
      <c r="S534" s="34" t="s">
        <v>117</v>
      </c>
    </row>
    <row r="535" spans="1:19" x14ac:dyDescent="0.3">
      <c r="A535" s="17" t="s">
        <v>813</v>
      </c>
      <c r="B535" s="827" t="s">
        <v>1434</v>
      </c>
      <c r="C535" s="34" t="s">
        <v>115</v>
      </c>
      <c r="D535" s="827" t="s">
        <v>1434</v>
      </c>
      <c r="E535" s="34" t="s">
        <v>115</v>
      </c>
      <c r="F535" s="827" t="s">
        <v>1434</v>
      </c>
      <c r="G535" s="34" t="s">
        <v>115</v>
      </c>
      <c r="H535" s="273">
        <v>0</v>
      </c>
      <c r="I535" s="34" t="s">
        <v>115</v>
      </c>
      <c r="K535" s="17" t="s">
        <v>858</v>
      </c>
      <c r="L535" s="827" t="s">
        <v>1434</v>
      </c>
      <c r="M535" s="34" t="s">
        <v>117</v>
      </c>
      <c r="N535" s="827" t="s">
        <v>1434</v>
      </c>
      <c r="O535" s="34" t="s">
        <v>117</v>
      </c>
      <c r="P535" s="827" t="s">
        <v>1434</v>
      </c>
      <c r="Q535" s="34" t="s">
        <v>117</v>
      </c>
      <c r="R535" s="273">
        <v>0</v>
      </c>
      <c r="S535" s="34" t="s">
        <v>117</v>
      </c>
    </row>
    <row r="536" spans="1:19" x14ac:dyDescent="0.3">
      <c r="A536" s="17" t="s">
        <v>744</v>
      </c>
      <c r="B536" s="827" t="s">
        <v>1434</v>
      </c>
      <c r="C536" s="34" t="s">
        <v>115</v>
      </c>
      <c r="D536" s="827" t="s">
        <v>1434</v>
      </c>
      <c r="E536" s="34" t="s">
        <v>115</v>
      </c>
      <c r="F536" s="827" t="s">
        <v>1434</v>
      </c>
      <c r="G536" s="34" t="s">
        <v>115</v>
      </c>
      <c r="H536" s="278">
        <v>0.16666666666666669</v>
      </c>
      <c r="I536" s="34" t="s">
        <v>115</v>
      </c>
      <c r="K536" s="17" t="s">
        <v>859</v>
      </c>
      <c r="L536" s="827" t="s">
        <v>1434</v>
      </c>
      <c r="M536" s="34" t="s">
        <v>117</v>
      </c>
      <c r="N536" s="827" t="s">
        <v>1434</v>
      </c>
      <c r="O536" s="34" t="s">
        <v>117</v>
      </c>
      <c r="P536" s="827" t="s">
        <v>1434</v>
      </c>
      <c r="Q536" s="34" t="s">
        <v>117</v>
      </c>
      <c r="R536" s="602">
        <v>0.40333333333333299</v>
      </c>
      <c r="S536" s="34" t="s">
        <v>117</v>
      </c>
    </row>
    <row r="537" spans="1:19" x14ac:dyDescent="0.3">
      <c r="A537" s="17" t="s">
        <v>304</v>
      </c>
      <c r="B537" s="827" t="s">
        <v>1434</v>
      </c>
      <c r="C537" s="34" t="s">
        <v>115</v>
      </c>
      <c r="D537" s="827" t="s">
        <v>1434</v>
      </c>
      <c r="E537" s="34" t="s">
        <v>115</v>
      </c>
      <c r="F537" s="827" t="s">
        <v>1434</v>
      </c>
      <c r="G537" s="34" t="s">
        <v>115</v>
      </c>
      <c r="H537" s="602">
        <f>(0.04/0.0675)*0.2</f>
        <v>0.11851851851851852</v>
      </c>
      <c r="I537" s="34" t="s">
        <v>115</v>
      </c>
      <c r="K537" s="17" t="s">
        <v>838</v>
      </c>
      <c r="L537" s="827" t="s">
        <v>1434</v>
      </c>
      <c r="M537" s="34" t="s">
        <v>117</v>
      </c>
      <c r="N537" s="827" t="s">
        <v>1434</v>
      </c>
      <c r="O537" s="34" t="s">
        <v>117</v>
      </c>
      <c r="P537" s="827" t="s">
        <v>1434</v>
      </c>
      <c r="Q537" s="34" t="s">
        <v>117</v>
      </c>
      <c r="R537" s="602">
        <v>0.11981642612033799</v>
      </c>
      <c r="S537" s="34" t="s">
        <v>117</v>
      </c>
    </row>
    <row r="538" spans="1:19" x14ac:dyDescent="0.3">
      <c r="A538" s="17" t="s">
        <v>324</v>
      </c>
      <c r="B538" s="827" t="s">
        <v>1434</v>
      </c>
      <c r="C538" s="34" t="s">
        <v>115</v>
      </c>
      <c r="D538" s="827" t="s">
        <v>1434</v>
      </c>
      <c r="E538" s="34" t="s">
        <v>115</v>
      </c>
      <c r="F538" s="827" t="s">
        <v>1434</v>
      </c>
      <c r="G538" s="34" t="s">
        <v>115</v>
      </c>
      <c r="H538" s="602">
        <f>0.163888888888889*$L$370</f>
        <v>0.21851851851851867</v>
      </c>
      <c r="I538" s="34" t="s">
        <v>115</v>
      </c>
      <c r="K538" s="17" t="s">
        <v>839</v>
      </c>
      <c r="L538" s="827" t="s">
        <v>1434</v>
      </c>
      <c r="M538" s="34" t="s">
        <v>117</v>
      </c>
      <c r="N538" s="827" t="s">
        <v>1434</v>
      </c>
      <c r="O538" s="34" t="s">
        <v>117</v>
      </c>
      <c r="P538" s="827" t="s">
        <v>1434</v>
      </c>
      <c r="Q538" s="34" t="s">
        <v>117</v>
      </c>
      <c r="R538" s="602">
        <v>0.40333333333333299</v>
      </c>
      <c r="S538" s="34" t="s">
        <v>117</v>
      </c>
    </row>
    <row r="539" spans="1:19" x14ac:dyDescent="0.3">
      <c r="A539" s="17" t="s">
        <v>325</v>
      </c>
      <c r="B539" s="827" t="s">
        <v>1434</v>
      </c>
      <c r="C539" s="34" t="s">
        <v>115</v>
      </c>
      <c r="D539" s="827" t="s">
        <v>1434</v>
      </c>
      <c r="E539" s="34" t="s">
        <v>115</v>
      </c>
      <c r="F539" s="827" t="s">
        <v>1434</v>
      </c>
      <c r="G539" s="34" t="s">
        <v>115</v>
      </c>
      <c r="H539" s="602">
        <f>0.65*$L$372</f>
        <v>1.3</v>
      </c>
      <c r="I539" s="34" t="s">
        <v>115</v>
      </c>
      <c r="K539" s="17" t="s">
        <v>840</v>
      </c>
      <c r="L539" s="827" t="s">
        <v>1434</v>
      </c>
      <c r="M539" s="34" t="s">
        <v>117</v>
      </c>
      <c r="N539" s="827" t="s">
        <v>1434</v>
      </c>
      <c r="O539" s="34" t="s">
        <v>117</v>
      </c>
      <c r="P539" s="827" t="s">
        <v>1434</v>
      </c>
      <c r="Q539" s="34" t="s">
        <v>117</v>
      </c>
      <c r="R539" s="602">
        <v>1.3961538461538501</v>
      </c>
      <c r="S539" s="34" t="s">
        <v>117</v>
      </c>
    </row>
    <row r="540" spans="1:19" x14ac:dyDescent="0.3">
      <c r="A540" s="9" t="s">
        <v>1024</v>
      </c>
      <c r="B540" s="828" t="s">
        <v>1434</v>
      </c>
      <c r="C540" s="48" t="s">
        <v>115</v>
      </c>
      <c r="D540" s="828" t="s">
        <v>1434</v>
      </c>
      <c r="E540" s="48" t="s">
        <v>115</v>
      </c>
      <c r="F540" s="828" t="s">
        <v>1434</v>
      </c>
      <c r="G540" s="48" t="s">
        <v>115</v>
      </c>
      <c r="H540" s="604">
        <f>H539</f>
        <v>1.3</v>
      </c>
      <c r="I540" s="48" t="s">
        <v>115</v>
      </c>
      <c r="K540" s="234" t="s">
        <v>1023</v>
      </c>
      <c r="L540" s="828" t="s">
        <v>1434</v>
      </c>
      <c r="M540" s="234" t="s">
        <v>119</v>
      </c>
      <c r="N540" s="828" t="s">
        <v>1434</v>
      </c>
      <c r="O540" s="234" t="s">
        <v>119</v>
      </c>
      <c r="P540" s="828" t="s">
        <v>1434</v>
      </c>
      <c r="Q540" s="234" t="s">
        <v>119</v>
      </c>
      <c r="R540" s="604">
        <f>R539</f>
        <v>1.3961538461538501</v>
      </c>
      <c r="S540" s="234" t="s">
        <v>119</v>
      </c>
    </row>
    <row r="541" spans="1:19" x14ac:dyDescent="0.3">
      <c r="A541" s="17" t="s">
        <v>326</v>
      </c>
      <c r="B541" s="827" t="s">
        <v>1434</v>
      </c>
      <c r="C541" s="34" t="s">
        <v>115</v>
      </c>
      <c r="D541" s="827" t="s">
        <v>1434</v>
      </c>
      <c r="E541" s="34" t="s">
        <v>115</v>
      </c>
      <c r="F541" s="827" t="s">
        <v>1434</v>
      </c>
      <c r="G541" s="34" t="s">
        <v>115</v>
      </c>
      <c r="H541" s="278">
        <v>0.60266666666666657</v>
      </c>
      <c r="I541" s="34" t="s">
        <v>115</v>
      </c>
      <c r="K541" s="17" t="s">
        <v>841</v>
      </c>
      <c r="L541" s="827" t="s">
        <v>1434</v>
      </c>
      <c r="M541" s="34" t="s">
        <v>117</v>
      </c>
      <c r="N541" s="827" t="s">
        <v>1434</v>
      </c>
      <c r="O541" s="34" t="s">
        <v>117</v>
      </c>
      <c r="P541" s="827" t="s">
        <v>1434</v>
      </c>
      <c r="Q541" s="34" t="s">
        <v>117</v>
      </c>
      <c r="R541" s="278">
        <v>0.38105079305840639</v>
      </c>
      <c r="S541" s="34" t="s">
        <v>117</v>
      </c>
    </row>
    <row r="542" spans="1:19" x14ac:dyDescent="0.3">
      <c r="A542" s="9" t="s">
        <v>1024</v>
      </c>
      <c r="B542" s="828" t="s">
        <v>1434</v>
      </c>
      <c r="C542" s="48" t="s">
        <v>115</v>
      </c>
      <c r="D542" s="828" t="s">
        <v>1434</v>
      </c>
      <c r="E542" s="48" t="s">
        <v>115</v>
      </c>
      <c r="F542" s="828" t="s">
        <v>1434</v>
      </c>
      <c r="G542" s="48" t="s">
        <v>115</v>
      </c>
      <c r="H542" s="464">
        <f>H541</f>
        <v>0.60266666666666657</v>
      </c>
      <c r="I542" s="48" t="s">
        <v>115</v>
      </c>
      <c r="K542" s="234" t="s">
        <v>1023</v>
      </c>
      <c r="L542" s="828" t="s">
        <v>1434</v>
      </c>
      <c r="M542" s="234" t="s">
        <v>119</v>
      </c>
      <c r="N542" s="828" t="s">
        <v>1434</v>
      </c>
      <c r="O542" s="234" t="s">
        <v>119</v>
      </c>
      <c r="P542" s="828" t="s">
        <v>1434</v>
      </c>
      <c r="Q542" s="234" t="s">
        <v>119</v>
      </c>
      <c r="R542" s="464">
        <f>R541</f>
        <v>0.38105079305840639</v>
      </c>
      <c r="S542" s="234" t="s">
        <v>119</v>
      </c>
    </row>
    <row r="543" spans="1:19" x14ac:dyDescent="0.3">
      <c r="A543" s="17" t="s">
        <v>703</v>
      </c>
      <c r="B543" s="827" t="s">
        <v>1434</v>
      </c>
      <c r="C543" s="34" t="s">
        <v>115</v>
      </c>
      <c r="D543" s="827" t="s">
        <v>1434</v>
      </c>
      <c r="E543" s="34" t="s">
        <v>115</v>
      </c>
      <c r="F543" s="827" t="s">
        <v>1434</v>
      </c>
      <c r="G543" s="34" t="s">
        <v>115</v>
      </c>
      <c r="H543" s="602">
        <f>0.235671191553544*$L$374</f>
        <v>0.7855706385118133</v>
      </c>
      <c r="I543" s="34" t="s">
        <v>115</v>
      </c>
      <c r="K543" s="17" t="s">
        <v>842</v>
      </c>
      <c r="L543" s="827" t="s">
        <v>1434</v>
      </c>
      <c r="M543" s="34" t="s">
        <v>117</v>
      </c>
      <c r="N543" s="827" t="s">
        <v>1434</v>
      </c>
      <c r="O543" s="34" t="s">
        <v>117</v>
      </c>
      <c r="P543" s="827" t="s">
        <v>1434</v>
      </c>
      <c r="Q543" s="34" t="s">
        <v>117</v>
      </c>
      <c r="R543" s="602">
        <v>0.28809523809523802</v>
      </c>
      <c r="S543" s="34" t="s">
        <v>117</v>
      </c>
    </row>
    <row r="544" spans="1:19" x14ac:dyDescent="0.3">
      <c r="A544" s="17" t="s">
        <v>704</v>
      </c>
      <c r="B544" s="827" t="s">
        <v>1434</v>
      </c>
      <c r="C544" s="34" t="s">
        <v>115</v>
      </c>
      <c r="D544" s="827" t="s">
        <v>1434</v>
      </c>
      <c r="E544" s="34" t="s">
        <v>115</v>
      </c>
      <c r="F544" s="827" t="s">
        <v>1434</v>
      </c>
      <c r="G544" s="34" t="s">
        <v>115</v>
      </c>
      <c r="H544" s="602">
        <f>0.184703484692612*$L$378</f>
        <v>0.61567828230870669</v>
      </c>
      <c r="I544" s="34" t="s">
        <v>115</v>
      </c>
      <c r="K544" s="17" t="s">
        <v>843</v>
      </c>
      <c r="L544" s="827" t="s">
        <v>1434</v>
      </c>
      <c r="M544" s="34" t="s">
        <v>117</v>
      </c>
      <c r="N544" s="827" t="s">
        <v>1434</v>
      </c>
      <c r="O544" s="34" t="s">
        <v>117</v>
      </c>
      <c r="P544" s="827" t="s">
        <v>1434</v>
      </c>
      <c r="Q544" s="34" t="s">
        <v>117</v>
      </c>
      <c r="R544" s="602">
        <v>0.28809523809523802</v>
      </c>
      <c r="S544" s="34" t="s">
        <v>117</v>
      </c>
    </row>
    <row r="545" spans="1:31" x14ac:dyDescent="0.3">
      <c r="A545" s="17" t="s">
        <v>737</v>
      </c>
      <c r="B545" s="827" t="s">
        <v>1434</v>
      </c>
      <c r="C545" s="34" t="s">
        <v>115</v>
      </c>
      <c r="D545" s="827" t="s">
        <v>1434</v>
      </c>
      <c r="E545" s="34" t="s">
        <v>115</v>
      </c>
      <c r="F545" s="827" t="s">
        <v>1434</v>
      </c>
      <c r="G545" s="34" t="s">
        <v>115</v>
      </c>
      <c r="H545" s="278">
        <v>0.32000000000000006</v>
      </c>
      <c r="I545" s="34" t="s">
        <v>115</v>
      </c>
      <c r="K545" s="17" t="s">
        <v>844</v>
      </c>
      <c r="L545" s="827" t="s">
        <v>1434</v>
      </c>
      <c r="M545" s="34" t="s">
        <v>117</v>
      </c>
      <c r="N545" s="827" t="s">
        <v>1434</v>
      </c>
      <c r="O545" s="34" t="s">
        <v>117</v>
      </c>
      <c r="P545" s="827" t="s">
        <v>1434</v>
      </c>
      <c r="Q545" s="34" t="s">
        <v>117</v>
      </c>
      <c r="R545" s="282">
        <v>0.34903846153846102</v>
      </c>
      <c r="S545" s="34" t="s">
        <v>117</v>
      </c>
    </row>
    <row r="546" spans="1:31" x14ac:dyDescent="0.3">
      <c r="A546" s="9" t="s">
        <v>1024</v>
      </c>
      <c r="B546" s="828" t="s">
        <v>1434</v>
      </c>
      <c r="C546" s="48" t="s">
        <v>115</v>
      </c>
      <c r="D546" s="828" t="s">
        <v>1434</v>
      </c>
      <c r="E546" s="48" t="s">
        <v>115</v>
      </c>
      <c r="F546" s="828" t="s">
        <v>1434</v>
      </c>
      <c r="G546" s="48" t="s">
        <v>115</v>
      </c>
      <c r="H546" s="464">
        <f>H545</f>
        <v>0.32000000000000006</v>
      </c>
      <c r="I546" s="48" t="s">
        <v>115</v>
      </c>
      <c r="K546" s="234" t="s">
        <v>1023</v>
      </c>
      <c r="L546" s="828" t="s">
        <v>1434</v>
      </c>
      <c r="M546" s="234" t="s">
        <v>119</v>
      </c>
      <c r="N546" s="828" t="s">
        <v>1434</v>
      </c>
      <c r="O546" s="234" t="s">
        <v>119</v>
      </c>
      <c r="P546" s="828" t="s">
        <v>1434</v>
      </c>
      <c r="Q546" s="234" t="s">
        <v>119</v>
      </c>
      <c r="R546" s="464">
        <f>R545</f>
        <v>0.34903846153846102</v>
      </c>
      <c r="S546" s="234" t="s">
        <v>119</v>
      </c>
    </row>
    <row r="547" spans="1:31" x14ac:dyDescent="0.3">
      <c r="A547" s="17" t="s">
        <v>752</v>
      </c>
      <c r="B547" s="827" t="s">
        <v>1434</v>
      </c>
      <c r="C547" s="34" t="s">
        <v>115</v>
      </c>
      <c r="D547" s="827" t="s">
        <v>1434</v>
      </c>
      <c r="E547" s="34" t="s">
        <v>115</v>
      </c>
      <c r="F547" s="827" t="s">
        <v>1434</v>
      </c>
      <c r="G547" s="34" t="s">
        <v>115</v>
      </c>
      <c r="H547" s="278">
        <v>0.1</v>
      </c>
      <c r="I547" s="34" t="s">
        <v>115</v>
      </c>
      <c r="K547" s="17" t="s">
        <v>845</v>
      </c>
      <c r="L547" s="827" t="s">
        <v>1434</v>
      </c>
      <c r="M547" s="34" t="s">
        <v>117</v>
      </c>
      <c r="N547" s="827" t="s">
        <v>1434</v>
      </c>
      <c r="O547" s="34" t="s">
        <v>117</v>
      </c>
      <c r="P547" s="827" t="s">
        <v>1434</v>
      </c>
      <c r="Q547" s="34" t="s">
        <v>117</v>
      </c>
      <c r="R547" s="278">
        <v>0.1</v>
      </c>
      <c r="S547" s="34" t="s">
        <v>117</v>
      </c>
    </row>
    <row r="548" spans="1:31" x14ac:dyDescent="0.3">
      <c r="A548" s="9" t="s">
        <v>1024</v>
      </c>
      <c r="B548" s="828" t="s">
        <v>1434</v>
      </c>
      <c r="C548" s="234" t="s">
        <v>115</v>
      </c>
      <c r="D548" s="828" t="s">
        <v>1434</v>
      </c>
      <c r="E548" s="234" t="s">
        <v>115</v>
      </c>
      <c r="F548" s="828" t="s">
        <v>1434</v>
      </c>
      <c r="G548" s="234" t="s">
        <v>115</v>
      </c>
      <c r="H548" s="464">
        <f>H547</f>
        <v>0.1</v>
      </c>
      <c r="I548" s="234" t="s">
        <v>115</v>
      </c>
      <c r="K548" s="234" t="s">
        <v>1023</v>
      </c>
      <c r="L548" s="828" t="s">
        <v>1434</v>
      </c>
      <c r="M548" s="234" t="s">
        <v>119</v>
      </c>
      <c r="N548" s="828" t="s">
        <v>1434</v>
      </c>
      <c r="O548" s="234" t="s">
        <v>119</v>
      </c>
      <c r="P548" s="828" t="s">
        <v>1434</v>
      </c>
      <c r="Q548" s="234" t="s">
        <v>119</v>
      </c>
      <c r="R548" s="464">
        <f>R547</f>
        <v>0.1</v>
      </c>
      <c r="S548" s="234" t="s">
        <v>119</v>
      </c>
    </row>
    <row r="549" spans="1:31" x14ac:dyDescent="0.3">
      <c r="A549" s="17" t="s">
        <v>705</v>
      </c>
      <c r="B549" s="827" t="s">
        <v>1434</v>
      </c>
      <c r="C549" s="34" t="s">
        <v>115</v>
      </c>
      <c r="D549" s="827" t="s">
        <v>1434</v>
      </c>
      <c r="E549" s="34" t="s">
        <v>115</v>
      </c>
      <c r="F549" s="827" t="s">
        <v>1434</v>
      </c>
      <c r="G549" s="34" t="s">
        <v>115</v>
      </c>
      <c r="H549" s="278">
        <v>0.4</v>
      </c>
      <c r="I549" s="34" t="s">
        <v>115</v>
      </c>
      <c r="K549" s="17" t="s">
        <v>846</v>
      </c>
      <c r="L549" s="827" t="s">
        <v>1434</v>
      </c>
      <c r="M549" s="34" t="s">
        <v>117</v>
      </c>
      <c r="N549" s="827" t="s">
        <v>1434</v>
      </c>
      <c r="O549" s="34" t="s">
        <v>117</v>
      </c>
      <c r="P549" s="827" t="s">
        <v>1434</v>
      </c>
      <c r="Q549" s="34" t="s">
        <v>117</v>
      </c>
      <c r="R549" s="282">
        <v>0.40333333333333299</v>
      </c>
      <c r="S549" s="34" t="s">
        <v>117</v>
      </c>
    </row>
    <row r="550" spans="1:31" x14ac:dyDescent="0.3">
      <c r="A550" s="9" t="s">
        <v>1024</v>
      </c>
      <c r="B550" s="828" t="s">
        <v>1434</v>
      </c>
      <c r="C550" s="48" t="s">
        <v>115</v>
      </c>
      <c r="D550" s="828" t="s">
        <v>1434</v>
      </c>
      <c r="E550" s="48" t="s">
        <v>115</v>
      </c>
      <c r="F550" s="828" t="s">
        <v>1434</v>
      </c>
      <c r="G550" s="48" t="s">
        <v>115</v>
      </c>
      <c r="H550" s="464">
        <f>H549</f>
        <v>0.4</v>
      </c>
      <c r="I550" s="48" t="s">
        <v>115</v>
      </c>
      <c r="K550" s="234" t="s">
        <v>1023</v>
      </c>
      <c r="L550" s="828" t="s">
        <v>1434</v>
      </c>
      <c r="M550" s="234" t="s">
        <v>119</v>
      </c>
      <c r="N550" s="828" t="s">
        <v>1434</v>
      </c>
      <c r="O550" s="234" t="s">
        <v>119</v>
      </c>
      <c r="P550" s="828" t="s">
        <v>1434</v>
      </c>
      <c r="Q550" s="234" t="s">
        <v>119</v>
      </c>
      <c r="R550" s="464">
        <f>R549</f>
        <v>0.40333333333333299</v>
      </c>
      <c r="S550" s="234" t="s">
        <v>119</v>
      </c>
    </row>
    <row r="551" spans="1:31" x14ac:dyDescent="0.3">
      <c r="A551" s="17" t="s">
        <v>753</v>
      </c>
      <c r="B551" s="827" t="s">
        <v>1434</v>
      </c>
      <c r="C551" s="34" t="s">
        <v>115</v>
      </c>
      <c r="D551" s="827" t="s">
        <v>1434</v>
      </c>
      <c r="E551" s="34" t="s">
        <v>115</v>
      </c>
      <c r="F551" s="827" t="s">
        <v>1434</v>
      </c>
      <c r="G551" s="34" t="s">
        <v>115</v>
      </c>
      <c r="H551" s="278">
        <v>1</v>
      </c>
      <c r="I551" s="34" t="s">
        <v>115</v>
      </c>
      <c r="K551" s="17" t="s">
        <v>847</v>
      </c>
      <c r="L551" s="827" t="s">
        <v>1434</v>
      </c>
      <c r="M551" s="34" t="s">
        <v>117</v>
      </c>
      <c r="N551" s="827" t="s">
        <v>1434</v>
      </c>
      <c r="O551" s="34" t="s">
        <v>117</v>
      </c>
      <c r="P551" s="827" t="s">
        <v>1434</v>
      </c>
      <c r="Q551" s="34" t="s">
        <v>117</v>
      </c>
      <c r="R551" s="273">
        <v>0</v>
      </c>
      <c r="S551" s="34" t="s">
        <v>117</v>
      </c>
    </row>
    <row r="552" spans="1:31" x14ac:dyDescent="0.3">
      <c r="A552" s="9" t="s">
        <v>1024</v>
      </c>
      <c r="B552" s="828" t="s">
        <v>1434</v>
      </c>
      <c r="C552" s="48" t="s">
        <v>115</v>
      </c>
      <c r="D552" s="828" t="s">
        <v>1434</v>
      </c>
      <c r="E552" s="48" t="s">
        <v>115</v>
      </c>
      <c r="F552" s="828" t="s">
        <v>1434</v>
      </c>
      <c r="G552" s="48" t="s">
        <v>115</v>
      </c>
      <c r="H552" s="464">
        <f>H551</f>
        <v>1</v>
      </c>
      <c r="I552" s="48" t="s">
        <v>115</v>
      </c>
      <c r="K552" s="234" t="s">
        <v>1023</v>
      </c>
      <c r="L552" s="828" t="s">
        <v>1434</v>
      </c>
      <c r="M552" s="234" t="s">
        <v>119</v>
      </c>
      <c r="N552" s="828" t="s">
        <v>1434</v>
      </c>
      <c r="O552" s="234" t="s">
        <v>119</v>
      </c>
      <c r="P552" s="828" t="s">
        <v>1434</v>
      </c>
      <c r="Q552" s="234" t="s">
        <v>119</v>
      </c>
      <c r="R552" s="464">
        <f>R551</f>
        <v>0</v>
      </c>
      <c r="S552" s="234" t="s">
        <v>119</v>
      </c>
    </row>
    <row r="553" spans="1:31" x14ac:dyDescent="0.3">
      <c r="A553" s="17" t="s">
        <v>1058</v>
      </c>
      <c r="B553" s="827" t="s">
        <v>1434</v>
      </c>
      <c r="C553" s="34" t="s">
        <v>115</v>
      </c>
      <c r="D553" s="827" t="s">
        <v>1434</v>
      </c>
      <c r="E553" s="34" t="s">
        <v>115</v>
      </c>
      <c r="F553" s="827" t="s">
        <v>1434</v>
      </c>
      <c r="G553" s="34" t="s">
        <v>115</v>
      </c>
      <c r="H553" s="278">
        <v>0.26400000000000001</v>
      </c>
      <c r="I553" s="34" t="s">
        <v>115</v>
      </c>
      <c r="K553" s="17" t="s">
        <v>1059</v>
      </c>
      <c r="L553" s="827" t="s">
        <v>1434</v>
      </c>
      <c r="M553" s="34" t="s">
        <v>117</v>
      </c>
      <c r="N553" s="827" t="s">
        <v>1434</v>
      </c>
      <c r="O553" s="34" t="s">
        <v>117</v>
      </c>
      <c r="P553" s="827" t="s">
        <v>1434</v>
      </c>
      <c r="Q553" s="34" t="s">
        <v>117</v>
      </c>
      <c r="R553" s="278">
        <v>0.11</v>
      </c>
      <c r="S553" s="34" t="s">
        <v>117</v>
      </c>
    </row>
    <row r="554" spans="1:31" x14ac:dyDescent="0.3">
      <c r="A554" s="9" t="s">
        <v>1024</v>
      </c>
      <c r="B554" s="828" t="s">
        <v>1434</v>
      </c>
      <c r="C554" s="48" t="s">
        <v>115</v>
      </c>
      <c r="D554" s="828" t="s">
        <v>1434</v>
      </c>
      <c r="E554" s="48" t="s">
        <v>115</v>
      </c>
      <c r="F554" s="828" t="s">
        <v>1434</v>
      </c>
      <c r="G554" s="48" t="s">
        <v>115</v>
      </c>
      <c r="H554" s="464">
        <f>H553</f>
        <v>0.26400000000000001</v>
      </c>
      <c r="I554" s="48" t="s">
        <v>115</v>
      </c>
      <c r="K554" s="234" t="s">
        <v>1023</v>
      </c>
      <c r="L554" s="828" t="s">
        <v>1434</v>
      </c>
      <c r="M554" s="234" t="s">
        <v>119</v>
      </c>
      <c r="N554" s="828" t="s">
        <v>1434</v>
      </c>
      <c r="O554" s="234" t="s">
        <v>119</v>
      </c>
      <c r="P554" s="828" t="s">
        <v>1434</v>
      </c>
      <c r="Q554" s="234" t="s">
        <v>119</v>
      </c>
      <c r="R554" s="464">
        <f>R553</f>
        <v>0.11</v>
      </c>
      <c r="S554" s="234" t="s">
        <v>119</v>
      </c>
    </row>
    <row r="555" spans="1:31" x14ac:dyDescent="0.3">
      <c r="A555" s="17" t="s">
        <v>1060</v>
      </c>
      <c r="B555" s="827" t="s">
        <v>1434</v>
      </c>
      <c r="C555" s="34" t="s">
        <v>115</v>
      </c>
      <c r="D555" s="827" t="s">
        <v>1434</v>
      </c>
      <c r="E555" s="34" t="s">
        <v>115</v>
      </c>
      <c r="F555" s="827" t="s">
        <v>1434</v>
      </c>
      <c r="G555" s="34" t="s">
        <v>115</v>
      </c>
      <c r="H555" s="278">
        <v>0.26400000000000001</v>
      </c>
      <c r="I555" s="34" t="s">
        <v>115</v>
      </c>
      <c r="K555" s="17" t="s">
        <v>1061</v>
      </c>
      <c r="L555" s="827" t="s">
        <v>1434</v>
      </c>
      <c r="M555" s="34" t="s">
        <v>117</v>
      </c>
      <c r="N555" s="827" t="s">
        <v>1434</v>
      </c>
      <c r="O555" s="34" t="s">
        <v>117</v>
      </c>
      <c r="P555" s="827" t="s">
        <v>1434</v>
      </c>
      <c r="Q555" s="34" t="s">
        <v>117</v>
      </c>
      <c r="R555" s="278">
        <v>0.11</v>
      </c>
      <c r="S555" s="34" t="s">
        <v>117</v>
      </c>
    </row>
    <row r="556" spans="1:31" x14ac:dyDescent="0.3">
      <c r="A556" s="9" t="s">
        <v>1024</v>
      </c>
      <c r="B556" s="828" t="s">
        <v>1434</v>
      </c>
      <c r="C556" s="48" t="s">
        <v>115</v>
      </c>
      <c r="D556" s="828" t="s">
        <v>1434</v>
      </c>
      <c r="E556" s="48" t="s">
        <v>115</v>
      </c>
      <c r="F556" s="828" t="s">
        <v>1434</v>
      </c>
      <c r="G556" s="48" t="s">
        <v>115</v>
      </c>
      <c r="H556" s="464">
        <f>H555</f>
        <v>0.26400000000000001</v>
      </c>
      <c r="I556" s="48" t="s">
        <v>115</v>
      </c>
      <c r="K556" s="234" t="s">
        <v>1023</v>
      </c>
      <c r="L556" s="828" t="s">
        <v>1434</v>
      </c>
      <c r="M556" s="234" t="s">
        <v>119</v>
      </c>
      <c r="N556" s="828" t="s">
        <v>1434</v>
      </c>
      <c r="O556" s="234" t="s">
        <v>119</v>
      </c>
      <c r="P556" s="828" t="s">
        <v>1434</v>
      </c>
      <c r="Q556" s="234" t="s">
        <v>119</v>
      </c>
      <c r="R556" s="464">
        <f>R555</f>
        <v>0.11</v>
      </c>
      <c r="S556" s="234" t="s">
        <v>119</v>
      </c>
    </row>
    <row r="557" spans="1:31" x14ac:dyDescent="0.3">
      <c r="A557" s="17" t="s">
        <v>581</v>
      </c>
      <c r="B557" s="827" t="s">
        <v>1434</v>
      </c>
      <c r="C557" s="34" t="s">
        <v>115</v>
      </c>
      <c r="D557" s="827" t="s">
        <v>1434</v>
      </c>
      <c r="E557" s="34" t="s">
        <v>115</v>
      </c>
      <c r="F557" s="827" t="s">
        <v>1434</v>
      </c>
      <c r="G557" s="34" t="s">
        <v>115</v>
      </c>
      <c r="H557" s="278">
        <v>9.2929292929292931E-2</v>
      </c>
      <c r="I557" s="34" t="s">
        <v>115</v>
      </c>
      <c r="K557" s="17" t="s">
        <v>829</v>
      </c>
      <c r="L557" s="827" t="s">
        <v>1434</v>
      </c>
      <c r="M557" s="34" t="s">
        <v>117</v>
      </c>
      <c r="N557" s="827" t="s">
        <v>1434</v>
      </c>
      <c r="O557" s="34" t="s">
        <v>117</v>
      </c>
      <c r="P557" s="827" t="s">
        <v>1434</v>
      </c>
      <c r="Q557" s="34" t="s">
        <v>117</v>
      </c>
      <c r="R557" s="278">
        <v>0.13183670241332496</v>
      </c>
      <c r="S557" s="34" t="s">
        <v>117</v>
      </c>
      <c r="U557" s="17" t="s">
        <v>811</v>
      </c>
    </row>
    <row r="558" spans="1:31" x14ac:dyDescent="0.3">
      <c r="A558" s="17" t="s">
        <v>328</v>
      </c>
      <c r="B558" s="827" t="s">
        <v>1434</v>
      </c>
      <c r="C558" s="34" t="s">
        <v>115</v>
      </c>
      <c r="D558" s="827" t="s">
        <v>1434</v>
      </c>
      <c r="E558" s="34" t="s">
        <v>115</v>
      </c>
      <c r="F558" s="827" t="s">
        <v>1434</v>
      </c>
      <c r="G558" s="34" t="s">
        <v>115</v>
      </c>
      <c r="H558" s="602">
        <f>0.163888888888889*$L$370</f>
        <v>0.21851851851851867</v>
      </c>
      <c r="I558" s="34" t="s">
        <v>115</v>
      </c>
      <c r="K558" s="17" t="s">
        <v>848</v>
      </c>
      <c r="L558" s="827" t="s">
        <v>1434</v>
      </c>
      <c r="M558" s="34" t="s">
        <v>117</v>
      </c>
      <c r="N558" s="827" t="s">
        <v>1434</v>
      </c>
      <c r="O558" s="34" t="s">
        <v>117</v>
      </c>
      <c r="P558" s="827" t="s">
        <v>1434</v>
      </c>
      <c r="Q558" s="34" t="s">
        <v>117</v>
      </c>
      <c r="R558" s="282">
        <v>0.44114583333333302</v>
      </c>
      <c r="S558" s="34" t="s">
        <v>117</v>
      </c>
      <c r="U558" s="17" t="s">
        <v>328</v>
      </c>
      <c r="Y558" s="280">
        <v>0.16388888888888886</v>
      </c>
      <c r="Z558" s="17" t="s">
        <v>328</v>
      </c>
      <c r="AD558" s="46">
        <v>0.5</v>
      </c>
      <c r="AE558" s="34" t="s">
        <v>117</v>
      </c>
    </row>
    <row r="559" spans="1:31" x14ac:dyDescent="0.3">
      <c r="A559" s="17" t="s">
        <v>329</v>
      </c>
      <c r="B559" s="827" t="s">
        <v>1434</v>
      </c>
      <c r="C559" s="34" t="s">
        <v>115</v>
      </c>
      <c r="D559" s="827" t="s">
        <v>1434</v>
      </c>
      <c r="E559" s="34" t="s">
        <v>115</v>
      </c>
      <c r="F559" s="827" t="s">
        <v>1434</v>
      </c>
      <c r="G559" s="34" t="s">
        <v>115</v>
      </c>
      <c r="H559" s="602">
        <f>0.65*$L$372</f>
        <v>1.3</v>
      </c>
      <c r="I559" s="34" t="s">
        <v>115</v>
      </c>
      <c r="K559" s="17" t="s">
        <v>849</v>
      </c>
      <c r="L559" s="827" t="s">
        <v>1434</v>
      </c>
      <c r="M559" s="34" t="s">
        <v>117</v>
      </c>
      <c r="N559" s="827" t="s">
        <v>1434</v>
      </c>
      <c r="O559" s="34" t="s">
        <v>117</v>
      </c>
      <c r="P559" s="827" t="s">
        <v>1434</v>
      </c>
      <c r="Q559" s="34" t="s">
        <v>117</v>
      </c>
      <c r="R559" s="602">
        <v>1.3961538461538501</v>
      </c>
      <c r="S559" s="34" t="s">
        <v>117</v>
      </c>
      <c r="U559" s="17" t="s">
        <v>329</v>
      </c>
      <c r="Y559" s="280">
        <v>0.65</v>
      </c>
      <c r="Z559" s="17" t="s">
        <v>329</v>
      </c>
      <c r="AD559" s="46">
        <v>2.5</v>
      </c>
      <c r="AE559" s="34" t="s">
        <v>117</v>
      </c>
    </row>
    <row r="560" spans="1:31" x14ac:dyDescent="0.3">
      <c r="A560" s="9" t="s">
        <v>1024</v>
      </c>
      <c r="B560" s="828" t="s">
        <v>1434</v>
      </c>
      <c r="C560" s="48" t="s">
        <v>115</v>
      </c>
      <c r="D560" s="828" t="s">
        <v>1434</v>
      </c>
      <c r="E560" s="48" t="s">
        <v>115</v>
      </c>
      <c r="F560" s="828" t="s">
        <v>1434</v>
      </c>
      <c r="G560" s="48" t="s">
        <v>115</v>
      </c>
      <c r="H560" s="604">
        <f>H559</f>
        <v>1.3</v>
      </c>
      <c r="I560" s="48" t="s">
        <v>115</v>
      </c>
      <c r="K560" s="234" t="s">
        <v>1023</v>
      </c>
      <c r="L560" s="828" t="s">
        <v>1434</v>
      </c>
      <c r="M560" s="234" t="s">
        <v>119</v>
      </c>
      <c r="N560" s="828" t="s">
        <v>1434</v>
      </c>
      <c r="O560" s="234" t="s">
        <v>119</v>
      </c>
      <c r="P560" s="828" t="s">
        <v>1434</v>
      </c>
      <c r="Q560" s="234" t="s">
        <v>119</v>
      </c>
      <c r="R560" s="604">
        <f>R559</f>
        <v>1.3961538461538501</v>
      </c>
      <c r="S560" s="234" t="s">
        <v>119</v>
      </c>
      <c r="U560" s="17" t="s">
        <v>330</v>
      </c>
      <c r="Y560" s="280">
        <v>0.60266666666666657</v>
      </c>
      <c r="Z560" s="17" t="s">
        <v>330</v>
      </c>
      <c r="AD560" s="46">
        <v>0.27217913789886172</v>
      </c>
      <c r="AE560" s="34" t="s">
        <v>117</v>
      </c>
    </row>
    <row r="561" spans="1:31" x14ac:dyDescent="0.3">
      <c r="A561" s="17" t="s">
        <v>330</v>
      </c>
      <c r="B561" s="827" t="s">
        <v>1434</v>
      </c>
      <c r="C561" s="34" t="s">
        <v>115</v>
      </c>
      <c r="D561" s="827" t="s">
        <v>1434</v>
      </c>
      <c r="E561" s="34" t="s">
        <v>115</v>
      </c>
      <c r="F561" s="827" t="s">
        <v>1434</v>
      </c>
      <c r="G561" s="34" t="s">
        <v>115</v>
      </c>
      <c r="H561" s="278">
        <v>0.60266666666666657</v>
      </c>
      <c r="I561" s="34" t="s">
        <v>115</v>
      </c>
      <c r="K561" s="17" t="s">
        <v>850</v>
      </c>
      <c r="L561" s="827" t="s">
        <v>1434</v>
      </c>
      <c r="M561" s="34" t="s">
        <v>117</v>
      </c>
      <c r="N561" s="827" t="s">
        <v>1434</v>
      </c>
      <c r="O561" s="34" t="s">
        <v>117</v>
      </c>
      <c r="P561" s="827" t="s">
        <v>1434</v>
      </c>
      <c r="Q561" s="34" t="s">
        <v>117</v>
      </c>
      <c r="R561" s="278">
        <v>0.38105079305840639</v>
      </c>
      <c r="S561" s="34" t="s">
        <v>117</v>
      </c>
      <c r="U561" s="17" t="s">
        <v>582</v>
      </c>
      <c r="Y561" s="46">
        <v>2.35671191553544E-2</v>
      </c>
      <c r="Z561" s="17" t="s">
        <v>582</v>
      </c>
      <c r="AD561" s="46">
        <v>2.5000000000000001E-2</v>
      </c>
      <c r="AE561" s="34" t="s">
        <v>117</v>
      </c>
    </row>
    <row r="562" spans="1:31" x14ac:dyDescent="0.3">
      <c r="A562" s="9" t="s">
        <v>1024</v>
      </c>
      <c r="B562" s="828" t="s">
        <v>1434</v>
      </c>
      <c r="C562" s="48" t="s">
        <v>115</v>
      </c>
      <c r="D562" s="828" t="s">
        <v>1434</v>
      </c>
      <c r="E562" s="48" t="s">
        <v>115</v>
      </c>
      <c r="F562" s="828" t="s">
        <v>1434</v>
      </c>
      <c r="G562" s="48" t="s">
        <v>115</v>
      </c>
      <c r="H562" s="464">
        <f>H561</f>
        <v>0.60266666666666657</v>
      </c>
      <c r="I562" s="48" t="s">
        <v>115</v>
      </c>
      <c r="K562" s="234" t="s">
        <v>1023</v>
      </c>
      <c r="L562" s="828" t="s">
        <v>1434</v>
      </c>
      <c r="M562" s="234" t="s">
        <v>119</v>
      </c>
      <c r="N562" s="828" t="s">
        <v>1434</v>
      </c>
      <c r="O562" s="234" t="s">
        <v>119</v>
      </c>
      <c r="P562" s="828" t="s">
        <v>1434</v>
      </c>
      <c r="Q562" s="234" t="s">
        <v>119</v>
      </c>
      <c r="R562" s="464">
        <f>R561</f>
        <v>0.38105079305840639</v>
      </c>
      <c r="S562" s="234" t="s">
        <v>119</v>
      </c>
      <c r="U562" s="17" t="s">
        <v>583</v>
      </c>
      <c r="Y562" s="46">
        <v>1.84703484692612E-2</v>
      </c>
      <c r="Z562" s="17" t="s">
        <v>583</v>
      </c>
      <c r="AD562" s="46">
        <v>2.5000000000000001E-2</v>
      </c>
      <c r="AE562" s="34" t="s">
        <v>117</v>
      </c>
    </row>
    <row r="563" spans="1:31" x14ac:dyDescent="0.3">
      <c r="A563" s="17" t="s">
        <v>698</v>
      </c>
      <c r="B563" s="827" t="s">
        <v>1434</v>
      </c>
      <c r="C563" s="34" t="s">
        <v>115</v>
      </c>
      <c r="D563" s="827" t="s">
        <v>1434</v>
      </c>
      <c r="E563" s="34" t="s">
        <v>115</v>
      </c>
      <c r="F563" s="827" t="s">
        <v>1434</v>
      </c>
      <c r="G563" s="34" t="s">
        <v>115</v>
      </c>
      <c r="H563" s="602">
        <f>0.235671191553544*$L$374</f>
        <v>0.7855706385118133</v>
      </c>
      <c r="I563" s="34" t="s">
        <v>115</v>
      </c>
      <c r="K563" s="17" t="s">
        <v>851</v>
      </c>
      <c r="L563" s="827" t="s">
        <v>1434</v>
      </c>
      <c r="M563" s="34" t="s">
        <v>117</v>
      </c>
      <c r="N563" s="827" t="s">
        <v>1434</v>
      </c>
      <c r="O563" s="34" t="s">
        <v>117</v>
      </c>
      <c r="P563" s="827" t="s">
        <v>1434</v>
      </c>
      <c r="Q563" s="34" t="s">
        <v>117</v>
      </c>
      <c r="R563" s="602">
        <v>0.28809523809523802</v>
      </c>
      <c r="S563" s="34" t="s">
        <v>117</v>
      </c>
      <c r="U563" s="17" t="s">
        <v>739</v>
      </c>
      <c r="Y563" s="46">
        <v>3.2000000000000001E-2</v>
      </c>
      <c r="Z563" s="17" t="s">
        <v>739</v>
      </c>
      <c r="AD563" s="46">
        <v>7.4999999999999997E-2</v>
      </c>
      <c r="AE563" s="34" t="s">
        <v>117</v>
      </c>
    </row>
    <row r="564" spans="1:31" x14ac:dyDescent="0.3">
      <c r="A564" s="17" t="s">
        <v>699</v>
      </c>
      <c r="B564" s="827" t="s">
        <v>1434</v>
      </c>
      <c r="C564" s="34" t="s">
        <v>115</v>
      </c>
      <c r="D564" s="827" t="s">
        <v>1434</v>
      </c>
      <c r="E564" s="34" t="s">
        <v>115</v>
      </c>
      <c r="F564" s="827" t="s">
        <v>1434</v>
      </c>
      <c r="G564" s="34" t="s">
        <v>115</v>
      </c>
      <c r="H564" s="602">
        <f>0.184703484692612*$L$378</f>
        <v>0.61567828230870669</v>
      </c>
      <c r="I564" s="34" t="s">
        <v>115</v>
      </c>
      <c r="K564" s="17" t="s">
        <v>852</v>
      </c>
      <c r="L564" s="827" t="s">
        <v>1434</v>
      </c>
      <c r="M564" s="34" t="s">
        <v>117</v>
      </c>
      <c r="N564" s="827" t="s">
        <v>1434</v>
      </c>
      <c r="O564" s="34" t="s">
        <v>117</v>
      </c>
      <c r="P564" s="827" t="s">
        <v>1434</v>
      </c>
      <c r="Q564" s="34" t="s">
        <v>117</v>
      </c>
      <c r="R564" s="602">
        <v>0.28809523809523802</v>
      </c>
      <c r="S564" s="34" t="s">
        <v>117</v>
      </c>
      <c r="U564" s="17" t="s">
        <v>754</v>
      </c>
      <c r="Y564" s="46">
        <v>0.01</v>
      </c>
      <c r="Z564" s="17" t="s">
        <v>754</v>
      </c>
      <c r="AD564" s="46">
        <v>0.01</v>
      </c>
      <c r="AE564" s="34" t="s">
        <v>117</v>
      </c>
    </row>
    <row r="565" spans="1:31" x14ac:dyDescent="0.3">
      <c r="A565" s="17" t="s">
        <v>738</v>
      </c>
      <c r="B565" s="827" t="s">
        <v>1434</v>
      </c>
      <c r="C565" s="34" t="s">
        <v>115</v>
      </c>
      <c r="D565" s="827" t="s">
        <v>1434</v>
      </c>
      <c r="E565" s="34" t="s">
        <v>115</v>
      </c>
      <c r="F565" s="827" t="s">
        <v>1434</v>
      </c>
      <c r="G565" s="34" t="s">
        <v>115</v>
      </c>
      <c r="H565" s="278">
        <v>0.32000000000000006</v>
      </c>
      <c r="I565" s="34" t="s">
        <v>115</v>
      </c>
      <c r="K565" s="17" t="s">
        <v>853</v>
      </c>
      <c r="L565" s="827" t="s">
        <v>1434</v>
      </c>
      <c r="M565" s="34" t="s">
        <v>117</v>
      </c>
      <c r="N565" s="827" t="s">
        <v>1434</v>
      </c>
      <c r="O565" s="34" t="s">
        <v>117</v>
      </c>
      <c r="P565" s="827" t="s">
        <v>1434</v>
      </c>
      <c r="Q565" s="34" t="s">
        <v>117</v>
      </c>
      <c r="R565" s="282">
        <v>0.34903846153846102</v>
      </c>
      <c r="S565" s="34" t="s">
        <v>117</v>
      </c>
      <c r="U565" s="17" t="s">
        <v>584</v>
      </c>
      <c r="Y565" s="46">
        <v>0.04</v>
      </c>
      <c r="Z565" s="17" t="s">
        <v>584</v>
      </c>
      <c r="AD565" s="46">
        <v>7.4999999999999997E-2</v>
      </c>
      <c r="AE565" s="34" t="s">
        <v>117</v>
      </c>
    </row>
    <row r="566" spans="1:31" x14ac:dyDescent="0.3">
      <c r="A566" s="9" t="s">
        <v>1024</v>
      </c>
      <c r="B566" s="828" t="s">
        <v>1434</v>
      </c>
      <c r="C566" s="48" t="s">
        <v>115</v>
      </c>
      <c r="D566" s="828" t="s">
        <v>1434</v>
      </c>
      <c r="E566" s="48" t="s">
        <v>115</v>
      </c>
      <c r="F566" s="828" t="s">
        <v>1434</v>
      </c>
      <c r="G566" s="48" t="s">
        <v>115</v>
      </c>
      <c r="H566" s="464">
        <f>H565</f>
        <v>0.32000000000000006</v>
      </c>
      <c r="I566" s="48" t="s">
        <v>115</v>
      </c>
      <c r="K566" s="234" t="s">
        <v>1023</v>
      </c>
      <c r="L566" s="828" t="s">
        <v>1434</v>
      </c>
      <c r="M566" s="234" t="s">
        <v>119</v>
      </c>
      <c r="N566" s="828" t="s">
        <v>1434</v>
      </c>
      <c r="O566" s="234" t="s">
        <v>119</v>
      </c>
      <c r="P566" s="828" t="s">
        <v>1434</v>
      </c>
      <c r="Q566" s="234" t="s">
        <v>119</v>
      </c>
      <c r="R566" s="464">
        <f>R565</f>
        <v>0.34903846153846102</v>
      </c>
      <c r="S566" s="234" t="s">
        <v>119</v>
      </c>
      <c r="U566" s="17" t="s">
        <v>755</v>
      </c>
      <c r="Y566" s="46">
        <v>0.1</v>
      </c>
      <c r="Z566" s="17" t="s">
        <v>755</v>
      </c>
      <c r="AD566" s="60">
        <v>0</v>
      </c>
      <c r="AE566" s="34" t="s">
        <v>117</v>
      </c>
    </row>
    <row r="567" spans="1:31" x14ac:dyDescent="0.3">
      <c r="A567" s="17" t="s">
        <v>752</v>
      </c>
      <c r="B567" s="827" t="s">
        <v>1434</v>
      </c>
      <c r="C567" s="34" t="s">
        <v>115</v>
      </c>
      <c r="D567" s="827" t="s">
        <v>1434</v>
      </c>
      <c r="E567" s="34" t="s">
        <v>115</v>
      </c>
      <c r="F567" s="827" t="s">
        <v>1434</v>
      </c>
      <c r="G567" s="34" t="s">
        <v>115</v>
      </c>
      <c r="H567" s="278">
        <v>0.1</v>
      </c>
      <c r="I567" s="34" t="s">
        <v>115</v>
      </c>
      <c r="K567" s="17" t="s">
        <v>845</v>
      </c>
      <c r="L567" s="827" t="s">
        <v>1434</v>
      </c>
      <c r="M567" s="34" t="s">
        <v>117</v>
      </c>
      <c r="N567" s="827" t="s">
        <v>1434</v>
      </c>
      <c r="O567" s="34" t="s">
        <v>117</v>
      </c>
      <c r="P567" s="827" t="s">
        <v>1434</v>
      </c>
      <c r="Q567" s="34" t="s">
        <v>117</v>
      </c>
      <c r="R567" s="278">
        <v>0.1</v>
      </c>
      <c r="S567" s="34" t="s">
        <v>117</v>
      </c>
      <c r="U567" s="17" t="s">
        <v>702</v>
      </c>
      <c r="Y567" s="46">
        <v>2.6400000000000003E-2</v>
      </c>
      <c r="Z567" s="17" t="s">
        <v>702</v>
      </c>
      <c r="AD567" s="46">
        <v>1.1000000000000001E-2</v>
      </c>
      <c r="AE567" s="34" t="s">
        <v>117</v>
      </c>
    </row>
    <row r="568" spans="1:31" x14ac:dyDescent="0.3">
      <c r="A568" s="9" t="s">
        <v>1024</v>
      </c>
      <c r="B568" s="828" t="s">
        <v>1434</v>
      </c>
      <c r="C568" s="48" t="s">
        <v>115</v>
      </c>
      <c r="D568" s="828" t="s">
        <v>1434</v>
      </c>
      <c r="E568" s="48" t="s">
        <v>115</v>
      </c>
      <c r="F568" s="828" t="s">
        <v>1434</v>
      </c>
      <c r="G568" s="48" t="s">
        <v>115</v>
      </c>
      <c r="H568" s="464">
        <f>H567</f>
        <v>0.1</v>
      </c>
      <c r="I568" s="48" t="s">
        <v>115</v>
      </c>
      <c r="K568" s="234" t="s">
        <v>1023</v>
      </c>
      <c r="L568" s="828" t="s">
        <v>1434</v>
      </c>
      <c r="M568" s="234" t="s">
        <v>119</v>
      </c>
      <c r="N568" s="828" t="s">
        <v>1434</v>
      </c>
      <c r="O568" s="234" t="s">
        <v>119</v>
      </c>
      <c r="P568" s="828" t="s">
        <v>1434</v>
      </c>
      <c r="Q568" s="234" t="s">
        <v>119</v>
      </c>
      <c r="R568" s="464">
        <f>R567</f>
        <v>0.1</v>
      </c>
      <c r="S568" s="234" t="s">
        <v>119</v>
      </c>
    </row>
    <row r="569" spans="1:31" x14ac:dyDescent="0.3">
      <c r="A569" s="17" t="s">
        <v>700</v>
      </c>
      <c r="B569" s="827" t="s">
        <v>1434</v>
      </c>
      <c r="C569" s="34" t="s">
        <v>115</v>
      </c>
      <c r="D569" s="827" t="s">
        <v>1434</v>
      </c>
      <c r="E569" s="34" t="s">
        <v>115</v>
      </c>
      <c r="F569" s="827" t="s">
        <v>1434</v>
      </c>
      <c r="G569" s="34" t="s">
        <v>115</v>
      </c>
      <c r="H569" s="278">
        <v>0.4</v>
      </c>
      <c r="I569" s="34" t="s">
        <v>115</v>
      </c>
      <c r="K569" s="17" t="s">
        <v>854</v>
      </c>
      <c r="L569" s="827" t="s">
        <v>1434</v>
      </c>
      <c r="M569" s="34" t="s">
        <v>117</v>
      </c>
      <c r="N569" s="827" t="s">
        <v>1434</v>
      </c>
      <c r="O569" s="34" t="s">
        <v>117</v>
      </c>
      <c r="P569" s="827" t="s">
        <v>1434</v>
      </c>
      <c r="Q569" s="34" t="s">
        <v>117</v>
      </c>
      <c r="R569" s="282">
        <v>0.40333333333333299</v>
      </c>
      <c r="S569" s="34" t="s">
        <v>117</v>
      </c>
    </row>
    <row r="570" spans="1:31" x14ac:dyDescent="0.3">
      <c r="A570" s="9" t="s">
        <v>1024</v>
      </c>
      <c r="B570" s="828" t="s">
        <v>1434</v>
      </c>
      <c r="C570" s="48" t="s">
        <v>115</v>
      </c>
      <c r="D570" s="828" t="s">
        <v>1434</v>
      </c>
      <c r="E570" s="48" t="s">
        <v>115</v>
      </c>
      <c r="F570" s="828" t="s">
        <v>1434</v>
      </c>
      <c r="G570" s="48" t="s">
        <v>115</v>
      </c>
      <c r="H570" s="464">
        <f>H569</f>
        <v>0.4</v>
      </c>
      <c r="I570" s="48" t="s">
        <v>115</v>
      </c>
      <c r="K570" s="234" t="s">
        <v>1023</v>
      </c>
      <c r="L570" s="828" t="s">
        <v>1434</v>
      </c>
      <c r="M570" s="234" t="s">
        <v>119</v>
      </c>
      <c r="N570" s="828" t="s">
        <v>1434</v>
      </c>
      <c r="O570" s="234" t="s">
        <v>119</v>
      </c>
      <c r="P570" s="828" t="s">
        <v>1434</v>
      </c>
      <c r="Q570" s="234" t="s">
        <v>119</v>
      </c>
      <c r="R570" s="464">
        <f>R569</f>
        <v>0.40333333333333299</v>
      </c>
      <c r="S570" s="234" t="s">
        <v>119</v>
      </c>
    </row>
    <row r="571" spans="1:31" x14ac:dyDescent="0.3">
      <c r="A571" s="17" t="s">
        <v>753</v>
      </c>
      <c r="B571" s="827" t="s">
        <v>1434</v>
      </c>
      <c r="C571" s="34" t="s">
        <v>115</v>
      </c>
      <c r="D571" s="827" t="s">
        <v>1434</v>
      </c>
      <c r="E571" s="34" t="s">
        <v>115</v>
      </c>
      <c r="F571" s="827" t="s">
        <v>1434</v>
      </c>
      <c r="G571" s="34" t="s">
        <v>115</v>
      </c>
      <c r="H571" s="278">
        <v>1</v>
      </c>
      <c r="I571" s="34" t="s">
        <v>115</v>
      </c>
      <c r="K571" s="17" t="s">
        <v>847</v>
      </c>
      <c r="L571" s="827" t="s">
        <v>1434</v>
      </c>
      <c r="M571" s="34" t="s">
        <v>117</v>
      </c>
      <c r="N571" s="827" t="s">
        <v>1434</v>
      </c>
      <c r="O571" s="34" t="s">
        <v>117</v>
      </c>
      <c r="P571" s="827" t="s">
        <v>1434</v>
      </c>
      <c r="Q571" s="34" t="s">
        <v>117</v>
      </c>
      <c r="R571" s="273">
        <v>0</v>
      </c>
      <c r="S571" s="34" t="s">
        <v>117</v>
      </c>
    </row>
    <row r="572" spans="1:31" x14ac:dyDescent="0.3">
      <c r="A572" s="9" t="s">
        <v>1024</v>
      </c>
      <c r="B572" s="828" t="s">
        <v>1434</v>
      </c>
      <c r="C572" s="48" t="s">
        <v>115</v>
      </c>
      <c r="D572" s="828" t="s">
        <v>1434</v>
      </c>
      <c r="E572" s="48" t="s">
        <v>115</v>
      </c>
      <c r="F572" s="828" t="s">
        <v>1434</v>
      </c>
      <c r="G572" s="48" t="s">
        <v>115</v>
      </c>
      <c r="H572" s="464">
        <f>H571</f>
        <v>1</v>
      </c>
      <c r="I572" s="48" t="s">
        <v>115</v>
      </c>
      <c r="K572" s="234" t="s">
        <v>1023</v>
      </c>
      <c r="L572" s="828" t="s">
        <v>1434</v>
      </c>
      <c r="M572" s="234" t="s">
        <v>119</v>
      </c>
      <c r="N572" s="828" t="s">
        <v>1434</v>
      </c>
      <c r="O572" s="234" t="s">
        <v>119</v>
      </c>
      <c r="P572" s="828" t="s">
        <v>1434</v>
      </c>
      <c r="Q572" s="234" t="s">
        <v>119</v>
      </c>
      <c r="R572" s="485">
        <f>R571</f>
        <v>0</v>
      </c>
      <c r="S572" s="234" t="s">
        <v>119</v>
      </c>
    </row>
    <row r="573" spans="1:31" x14ac:dyDescent="0.3">
      <c r="A573" s="17" t="s">
        <v>1054</v>
      </c>
      <c r="B573" s="827" t="s">
        <v>1434</v>
      </c>
      <c r="C573" s="34" t="s">
        <v>115</v>
      </c>
      <c r="D573" s="827" t="s">
        <v>1434</v>
      </c>
      <c r="E573" s="34" t="s">
        <v>115</v>
      </c>
      <c r="F573" s="827" t="s">
        <v>1434</v>
      </c>
      <c r="G573" s="34" t="s">
        <v>115</v>
      </c>
      <c r="H573" s="278">
        <v>0.26400000000000001</v>
      </c>
      <c r="I573" s="34" t="s">
        <v>115</v>
      </c>
      <c r="K573" s="17" t="s">
        <v>1056</v>
      </c>
      <c r="L573" s="827" t="s">
        <v>1434</v>
      </c>
      <c r="M573" s="34" t="s">
        <v>117</v>
      </c>
      <c r="N573" s="827" t="s">
        <v>1434</v>
      </c>
      <c r="O573" s="34" t="s">
        <v>117</v>
      </c>
      <c r="P573" s="827" t="s">
        <v>1434</v>
      </c>
      <c r="Q573" s="34" t="s">
        <v>117</v>
      </c>
      <c r="R573" s="278">
        <v>0.11</v>
      </c>
      <c r="S573" s="34" t="s">
        <v>117</v>
      </c>
    </row>
    <row r="574" spans="1:31" x14ac:dyDescent="0.3">
      <c r="A574" s="9" t="s">
        <v>1024</v>
      </c>
      <c r="B574" s="828" t="s">
        <v>1434</v>
      </c>
      <c r="C574" s="48" t="s">
        <v>115</v>
      </c>
      <c r="D574" s="828" t="s">
        <v>1434</v>
      </c>
      <c r="E574" s="48" t="s">
        <v>115</v>
      </c>
      <c r="F574" s="828" t="s">
        <v>1434</v>
      </c>
      <c r="G574" s="48" t="s">
        <v>115</v>
      </c>
      <c r="H574" s="464">
        <f>H573</f>
        <v>0.26400000000000001</v>
      </c>
      <c r="I574" s="48" t="s">
        <v>115</v>
      </c>
      <c r="K574" s="234" t="s">
        <v>1023</v>
      </c>
      <c r="L574" s="828" t="s">
        <v>1434</v>
      </c>
      <c r="M574" s="234" t="s">
        <v>119</v>
      </c>
      <c r="N574" s="828" t="s">
        <v>1434</v>
      </c>
      <c r="O574" s="234" t="s">
        <v>119</v>
      </c>
      <c r="P574" s="828" t="s">
        <v>1434</v>
      </c>
      <c r="Q574" s="234" t="s">
        <v>119</v>
      </c>
      <c r="R574" s="464">
        <f>R573</f>
        <v>0.11</v>
      </c>
      <c r="S574" s="234" t="s">
        <v>119</v>
      </c>
    </row>
    <row r="575" spans="1:31" x14ac:dyDescent="0.3">
      <c r="A575" s="17" t="s">
        <v>1055</v>
      </c>
      <c r="B575" s="827" t="s">
        <v>1434</v>
      </c>
      <c r="C575" s="34" t="s">
        <v>115</v>
      </c>
      <c r="D575" s="827" t="s">
        <v>1434</v>
      </c>
      <c r="E575" s="34" t="s">
        <v>115</v>
      </c>
      <c r="F575" s="827" t="s">
        <v>1434</v>
      </c>
      <c r="G575" s="34" t="s">
        <v>115</v>
      </c>
      <c r="H575" s="278">
        <v>0.26400000000000001</v>
      </c>
      <c r="I575" s="34" t="s">
        <v>115</v>
      </c>
      <c r="K575" s="17" t="s">
        <v>1057</v>
      </c>
      <c r="L575" s="827" t="s">
        <v>1434</v>
      </c>
      <c r="M575" s="34" t="s">
        <v>117</v>
      </c>
      <c r="N575" s="827" t="s">
        <v>1434</v>
      </c>
      <c r="O575" s="34" t="s">
        <v>117</v>
      </c>
      <c r="P575" s="827" t="s">
        <v>1434</v>
      </c>
      <c r="Q575" s="34" t="s">
        <v>117</v>
      </c>
      <c r="R575" s="278">
        <v>0.11</v>
      </c>
      <c r="S575" s="34" t="s">
        <v>117</v>
      </c>
    </row>
    <row r="576" spans="1:31" x14ac:dyDescent="0.3">
      <c r="A576" s="9" t="s">
        <v>1024</v>
      </c>
      <c r="B576" s="828" t="s">
        <v>1434</v>
      </c>
      <c r="C576" s="48" t="s">
        <v>115</v>
      </c>
      <c r="D576" s="828" t="s">
        <v>1434</v>
      </c>
      <c r="E576" s="48" t="s">
        <v>115</v>
      </c>
      <c r="F576" s="828" t="s">
        <v>1434</v>
      </c>
      <c r="G576" s="48" t="s">
        <v>115</v>
      </c>
      <c r="H576" s="464">
        <f>H575</f>
        <v>0.26400000000000001</v>
      </c>
      <c r="I576" s="48" t="s">
        <v>115</v>
      </c>
      <c r="K576" s="234" t="s">
        <v>1023</v>
      </c>
      <c r="L576" s="828" t="s">
        <v>1434</v>
      </c>
      <c r="M576" s="234" t="s">
        <v>119</v>
      </c>
      <c r="N576" s="828" t="s">
        <v>1434</v>
      </c>
      <c r="O576" s="234" t="s">
        <v>119</v>
      </c>
      <c r="P576" s="828" t="s">
        <v>1434</v>
      </c>
      <c r="Q576" s="234" t="s">
        <v>119</v>
      </c>
      <c r="R576" s="464">
        <f>R575</f>
        <v>0.11</v>
      </c>
      <c r="S576" s="234" t="s">
        <v>119</v>
      </c>
    </row>
    <row r="577" spans="1:19" ht="39" x14ac:dyDescent="0.3">
      <c r="A577" s="12" t="s">
        <v>810</v>
      </c>
      <c r="B577" s="15" t="s">
        <v>1425</v>
      </c>
      <c r="C577" s="15" t="s">
        <v>22</v>
      </c>
      <c r="D577" s="15" t="s">
        <v>1424</v>
      </c>
      <c r="E577" s="15" t="s">
        <v>22</v>
      </c>
      <c r="F577" s="15" t="s">
        <v>1426</v>
      </c>
      <c r="G577" s="15" t="s">
        <v>22</v>
      </c>
      <c r="H577" s="15" t="s">
        <v>910</v>
      </c>
      <c r="I577" s="15" t="s">
        <v>22</v>
      </c>
      <c r="K577" s="12" t="s">
        <v>810</v>
      </c>
      <c r="L577" s="15" t="s">
        <v>1430</v>
      </c>
      <c r="M577" s="15" t="s">
        <v>22</v>
      </c>
      <c r="N577" s="15" t="s">
        <v>1431</v>
      </c>
      <c r="O577" s="15" t="s">
        <v>22</v>
      </c>
      <c r="P577" s="15" t="s">
        <v>1432</v>
      </c>
      <c r="Q577" s="15" t="s">
        <v>22</v>
      </c>
      <c r="R577" s="15" t="s">
        <v>1433</v>
      </c>
      <c r="S577" s="15" t="s">
        <v>22</v>
      </c>
    </row>
    <row r="578" spans="1:19" x14ac:dyDescent="0.3">
      <c r="A578" s="225" t="s">
        <v>808</v>
      </c>
      <c r="C578" s="34"/>
      <c r="E578" s="34"/>
      <c r="G578" s="34"/>
      <c r="I578" s="34"/>
    </row>
    <row r="579" spans="1:19" x14ac:dyDescent="0.3">
      <c r="A579" s="640" t="s">
        <v>1903</v>
      </c>
      <c r="B579" s="634">
        <f>1/4.17</f>
        <v>0.23980815347721823</v>
      </c>
      <c r="C579" s="34" t="s">
        <v>115</v>
      </c>
      <c r="D579" s="634">
        <f>1/4.17</f>
        <v>0.23980815347721823</v>
      </c>
      <c r="E579" s="34" t="s">
        <v>115</v>
      </c>
      <c r="F579" s="634">
        <f>1/5.56</f>
        <v>0.17985611510791369</v>
      </c>
      <c r="G579" s="34" t="s">
        <v>115</v>
      </c>
      <c r="H579" s="826">
        <f>(B310*B579)+(B311*D579)+(B312*F579)</f>
        <v>0.23980815347721823</v>
      </c>
      <c r="I579" s="34" t="s">
        <v>115</v>
      </c>
      <c r="K579" s="639" t="s">
        <v>1896</v>
      </c>
      <c r="L579" s="641">
        <v>1.32</v>
      </c>
      <c r="M579" s="34" t="s">
        <v>117</v>
      </c>
      <c r="N579" s="641">
        <v>1.32</v>
      </c>
      <c r="O579" s="34" t="s">
        <v>117</v>
      </c>
      <c r="P579" s="641">
        <v>1.32</v>
      </c>
      <c r="Q579" s="34" t="s">
        <v>117</v>
      </c>
      <c r="R579" s="369">
        <f>(B310*L579)+(B311*N579)+(B312*P579)</f>
        <v>1.32</v>
      </c>
      <c r="S579" s="34" t="s">
        <v>117</v>
      </c>
    </row>
    <row r="580" spans="1:19" x14ac:dyDescent="0.3">
      <c r="A580" s="640" t="s">
        <v>1427</v>
      </c>
      <c r="B580" s="634">
        <f>1/8.5</f>
        <v>0.11764705882352941</v>
      </c>
      <c r="C580" s="34" t="s">
        <v>115</v>
      </c>
      <c r="D580" s="634">
        <f>1/8.5</f>
        <v>0.11764705882352941</v>
      </c>
      <c r="E580" s="34" t="s">
        <v>115</v>
      </c>
      <c r="F580" s="634">
        <f>1/13.03</f>
        <v>7.6745970836531091E-2</v>
      </c>
      <c r="G580" s="34" t="s">
        <v>115</v>
      </c>
      <c r="H580" s="826">
        <f>(B313*B580)+(B314*D580)+(B315*F580)</f>
        <v>0.11764705882352941</v>
      </c>
      <c r="I580" s="34" t="s">
        <v>115</v>
      </c>
      <c r="K580" s="640" t="s">
        <v>1429</v>
      </c>
      <c r="L580" s="641">
        <v>0.64</v>
      </c>
      <c r="M580" s="34" t="s">
        <v>117</v>
      </c>
      <c r="N580" s="641">
        <v>0.64</v>
      </c>
      <c r="O580" s="34" t="s">
        <v>117</v>
      </c>
      <c r="P580" s="641">
        <v>0.64</v>
      </c>
      <c r="Q580" s="34" t="s">
        <v>117</v>
      </c>
      <c r="R580" s="369">
        <f>(B313*L580)+(B314*N580)+(B315*P580)</f>
        <v>0.64</v>
      </c>
      <c r="S580" s="34" t="s">
        <v>117</v>
      </c>
    </row>
    <row r="581" spans="1:19" x14ac:dyDescent="0.3">
      <c r="A581" s="640" t="s">
        <v>805</v>
      </c>
      <c r="B581" s="634">
        <f>1/12.22</f>
        <v>8.1833060556464804E-2</v>
      </c>
      <c r="C581" s="34" t="s">
        <v>115</v>
      </c>
      <c r="D581" s="634">
        <f>1/12.22</f>
        <v>8.1833060556464804E-2</v>
      </c>
      <c r="E581" s="34" t="s">
        <v>115</v>
      </c>
      <c r="F581" s="634">
        <f>1/17.45</f>
        <v>5.730659025787966E-2</v>
      </c>
      <c r="G581" s="34" t="s">
        <v>115</v>
      </c>
      <c r="H581" s="826">
        <f>(B316*B581)+(B317*D581)+(B318*F581)</f>
        <v>8.1833060556464804E-2</v>
      </c>
      <c r="I581" s="34" t="s">
        <v>115</v>
      </c>
      <c r="K581" s="640" t="s">
        <v>482</v>
      </c>
      <c r="L581" s="641">
        <v>0.74</v>
      </c>
      <c r="M581" s="34" t="s">
        <v>117</v>
      </c>
      <c r="N581" s="641">
        <v>0.74</v>
      </c>
      <c r="O581" s="34" t="s">
        <v>117</v>
      </c>
      <c r="P581" s="641">
        <v>0.74</v>
      </c>
      <c r="Q581" s="34" t="s">
        <v>117</v>
      </c>
      <c r="R581" s="369">
        <f>(B316*L581)+(B317*N581)+(B318*P581)</f>
        <v>0.74</v>
      </c>
      <c r="S581" s="34" t="s">
        <v>117</v>
      </c>
    </row>
    <row r="582" spans="1:19" x14ac:dyDescent="0.3">
      <c r="A582" s="17" t="s">
        <v>315</v>
      </c>
      <c r="B582" s="827" t="s">
        <v>1434</v>
      </c>
      <c r="C582" s="34" t="s">
        <v>115</v>
      </c>
      <c r="D582" s="827" t="s">
        <v>1434</v>
      </c>
      <c r="E582" s="34" t="s">
        <v>115</v>
      </c>
      <c r="F582" s="827" t="s">
        <v>1434</v>
      </c>
      <c r="G582" s="34" t="s">
        <v>115</v>
      </c>
      <c r="H582" s="278">
        <v>0.48</v>
      </c>
      <c r="I582" s="34" t="s">
        <v>115</v>
      </c>
      <c r="K582" s="17" t="s">
        <v>860</v>
      </c>
      <c r="L582" s="827" t="s">
        <v>1434</v>
      </c>
      <c r="M582" s="34" t="s">
        <v>117</v>
      </c>
      <c r="N582" s="827" t="s">
        <v>1434</v>
      </c>
      <c r="O582" s="34" t="s">
        <v>117</v>
      </c>
      <c r="P582" s="827" t="s">
        <v>1434</v>
      </c>
      <c r="Q582" s="34" t="s">
        <v>117</v>
      </c>
      <c r="R582" s="278">
        <v>0.2</v>
      </c>
      <c r="S582" s="34" t="s">
        <v>117</v>
      </c>
    </row>
    <row r="583" spans="1:19" x14ac:dyDescent="0.3">
      <c r="A583" s="22" t="s">
        <v>581</v>
      </c>
      <c r="B583" s="827" t="s">
        <v>1434</v>
      </c>
      <c r="C583" s="34" t="s">
        <v>115</v>
      </c>
      <c r="D583" s="827" t="s">
        <v>1434</v>
      </c>
      <c r="E583" s="34" t="s">
        <v>115</v>
      </c>
      <c r="F583" s="827" t="s">
        <v>1434</v>
      </c>
      <c r="G583" s="34" t="s">
        <v>115</v>
      </c>
      <c r="H583" s="278">
        <v>9.2929292929292931E-2</v>
      </c>
      <c r="I583" s="34" t="s">
        <v>115</v>
      </c>
      <c r="K583" s="17" t="s">
        <v>861</v>
      </c>
      <c r="L583" s="827" t="s">
        <v>1434</v>
      </c>
      <c r="M583" s="34" t="s">
        <v>117</v>
      </c>
      <c r="N583" s="827" t="s">
        <v>1434</v>
      </c>
      <c r="O583" s="34" t="s">
        <v>117</v>
      </c>
      <c r="P583" s="827" t="s">
        <v>1434</v>
      </c>
      <c r="Q583" s="34" t="s">
        <v>117</v>
      </c>
      <c r="R583" s="278">
        <v>0.13183670241332501</v>
      </c>
      <c r="S583" s="34" t="s">
        <v>117</v>
      </c>
    </row>
    <row r="584" spans="1:19" x14ac:dyDescent="0.3">
      <c r="A584" s="639" t="s">
        <v>1141</v>
      </c>
      <c r="B584" s="634">
        <v>9.2929292929292931E-2</v>
      </c>
      <c r="C584" s="34" t="s">
        <v>115</v>
      </c>
      <c r="D584" s="634">
        <v>9.2929292929292931E-2</v>
      </c>
      <c r="E584" s="34" t="s">
        <v>115</v>
      </c>
      <c r="F584" s="634">
        <v>9.2929292929292931E-2</v>
      </c>
      <c r="G584" s="34" t="s">
        <v>115</v>
      </c>
      <c r="H584" s="826">
        <f>(B335*B584)+(B336*D584)+(B337*F584)</f>
        <v>9.2929292929292931E-2</v>
      </c>
      <c r="I584" s="34" t="s">
        <v>115</v>
      </c>
      <c r="K584" s="639" t="s">
        <v>1140</v>
      </c>
      <c r="L584" s="641">
        <v>0.13183670241332501</v>
      </c>
      <c r="M584" s="34" t="s">
        <v>117</v>
      </c>
      <c r="N584" s="641">
        <v>0.13183670241332501</v>
      </c>
      <c r="O584" s="34" t="s">
        <v>117</v>
      </c>
      <c r="P584" s="641">
        <v>0.13183670241332501</v>
      </c>
      <c r="Q584" s="34" t="s">
        <v>117</v>
      </c>
      <c r="R584" s="369">
        <f>(B335*L584)+(B336*N584)+(B337*P584)</f>
        <v>0.13183670241332501</v>
      </c>
      <c r="S584" s="34" t="s">
        <v>117</v>
      </c>
    </row>
    <row r="585" spans="1:19" x14ac:dyDescent="0.3">
      <c r="A585" s="639" t="s">
        <v>468</v>
      </c>
      <c r="B585" s="641">
        <f>1*0.25</f>
        <v>0.25</v>
      </c>
      <c r="C585" s="34" t="s">
        <v>115</v>
      </c>
      <c r="D585" s="641">
        <f>1*0.25</f>
        <v>0.25</v>
      </c>
      <c r="E585" s="34" t="s">
        <v>115</v>
      </c>
      <c r="F585" s="641">
        <f>1*0.25</f>
        <v>0.25</v>
      </c>
      <c r="G585" s="34" t="s">
        <v>115</v>
      </c>
      <c r="H585" s="369">
        <f>(B338*B585)+(B339*D585)+(B340*F585)</f>
        <v>0.25</v>
      </c>
      <c r="I585" s="34" t="s">
        <v>115</v>
      </c>
      <c r="K585" s="639" t="s">
        <v>1139</v>
      </c>
      <c r="L585" s="641">
        <v>0.44023863292066601</v>
      </c>
      <c r="M585" s="34" t="s">
        <v>117</v>
      </c>
      <c r="N585" s="641">
        <v>0.44023863292066601</v>
      </c>
      <c r="O585" s="34" t="s">
        <v>117</v>
      </c>
      <c r="P585" s="641">
        <v>0.44023863292066601</v>
      </c>
      <c r="Q585" s="34" t="s">
        <v>117</v>
      </c>
      <c r="R585" s="369">
        <f>(B338*L585)+(B339*N585)+(B340*P585)</f>
        <v>0.44023863292066601</v>
      </c>
      <c r="S585" s="34" t="s">
        <v>117</v>
      </c>
    </row>
    <row r="586" spans="1:19" x14ac:dyDescent="0.3">
      <c r="A586" s="22" t="s">
        <v>316</v>
      </c>
      <c r="B586" s="827" t="s">
        <v>1434</v>
      </c>
      <c r="C586" s="34" t="s">
        <v>115</v>
      </c>
      <c r="D586" s="827" t="s">
        <v>1434</v>
      </c>
      <c r="E586" s="34" t="s">
        <v>115</v>
      </c>
      <c r="F586" s="827" t="s">
        <v>1434</v>
      </c>
      <c r="G586" s="34" t="s">
        <v>115</v>
      </c>
      <c r="H586" s="273">
        <v>0</v>
      </c>
      <c r="I586" s="34" t="s">
        <v>115</v>
      </c>
      <c r="K586" s="17" t="s">
        <v>470</v>
      </c>
      <c r="L586" s="827" t="s">
        <v>1434</v>
      </c>
      <c r="M586" s="34" t="s">
        <v>117</v>
      </c>
      <c r="N586" s="827" t="s">
        <v>1434</v>
      </c>
      <c r="O586" s="34" t="s">
        <v>117</v>
      </c>
      <c r="P586" s="827" t="s">
        <v>1434</v>
      </c>
      <c r="Q586" s="34" t="s">
        <v>117</v>
      </c>
      <c r="R586" s="273">
        <v>0</v>
      </c>
      <c r="S586" s="34" t="s">
        <v>117</v>
      </c>
    </row>
    <row r="587" spans="1:19" x14ac:dyDescent="0.3">
      <c r="A587" s="17" t="s">
        <v>863</v>
      </c>
      <c r="B587" s="827" t="s">
        <v>1434</v>
      </c>
      <c r="C587" s="34" t="s">
        <v>115</v>
      </c>
      <c r="D587" s="827" t="s">
        <v>1434</v>
      </c>
      <c r="E587" s="34" t="s">
        <v>115</v>
      </c>
      <c r="F587" s="827" t="s">
        <v>1434</v>
      </c>
      <c r="G587" s="34" t="s">
        <v>115</v>
      </c>
      <c r="H587" s="602">
        <f>0.117336562321066*$L$316</f>
        <v>0.29334140580266499</v>
      </c>
      <c r="I587" s="34" t="s">
        <v>115</v>
      </c>
      <c r="K587" s="17" t="s">
        <v>864</v>
      </c>
      <c r="L587" s="827" t="s">
        <v>1434</v>
      </c>
      <c r="M587" s="34" t="s">
        <v>117</v>
      </c>
      <c r="N587" s="827" t="s">
        <v>1434</v>
      </c>
      <c r="O587" s="34" t="s">
        <v>117</v>
      </c>
      <c r="P587" s="827" t="s">
        <v>1434</v>
      </c>
      <c r="Q587" s="34" t="s">
        <v>117</v>
      </c>
      <c r="R587" s="602">
        <v>0.83039215686274503</v>
      </c>
      <c r="S587" s="34" t="s">
        <v>117</v>
      </c>
    </row>
    <row r="588" spans="1:19" x14ac:dyDescent="0.3">
      <c r="A588" s="22" t="s">
        <v>824</v>
      </c>
      <c r="B588" s="827" t="s">
        <v>1434</v>
      </c>
      <c r="C588" s="34" t="s">
        <v>115</v>
      </c>
      <c r="D588" s="827" t="s">
        <v>1434</v>
      </c>
      <c r="E588" s="34" t="s">
        <v>115</v>
      </c>
      <c r="F588" s="827" t="s">
        <v>1434</v>
      </c>
      <c r="G588" s="34" t="s">
        <v>115</v>
      </c>
      <c r="H588" s="278">
        <v>0.28333333333333333</v>
      </c>
      <c r="I588" s="34" t="s">
        <v>115</v>
      </c>
      <c r="K588" s="17" t="s">
        <v>865</v>
      </c>
      <c r="L588" s="827" t="s">
        <v>1434</v>
      </c>
      <c r="M588" s="34" t="s">
        <v>117</v>
      </c>
      <c r="N588" s="827" t="s">
        <v>1434</v>
      </c>
      <c r="O588" s="34" t="s">
        <v>117</v>
      </c>
      <c r="P588" s="827" t="s">
        <v>1434</v>
      </c>
      <c r="Q588" s="34" t="s">
        <v>117</v>
      </c>
      <c r="R588" s="602">
        <v>0.83039215686274503</v>
      </c>
      <c r="S588" s="34" t="s">
        <v>117</v>
      </c>
    </row>
    <row r="589" spans="1:19" x14ac:dyDescent="0.3">
      <c r="A589" s="640" t="s">
        <v>821</v>
      </c>
      <c r="B589" s="634">
        <f>1/12.98</f>
        <v>7.7041602465331274E-2</v>
      </c>
      <c r="C589" s="34" t="s">
        <v>115</v>
      </c>
      <c r="D589" s="634">
        <f>1/12.98</f>
        <v>7.7041602465331274E-2</v>
      </c>
      <c r="E589" s="34" t="s">
        <v>115</v>
      </c>
      <c r="F589" s="634">
        <f>1/12.98</f>
        <v>7.7041602465331274E-2</v>
      </c>
      <c r="G589" s="34" t="s">
        <v>115</v>
      </c>
      <c r="H589" s="826">
        <f>(B319*B589)+(B320*D589)+(B321*F589)</f>
        <v>7.7041602465331274E-2</v>
      </c>
      <c r="I589" s="34" t="s">
        <v>115</v>
      </c>
      <c r="K589" s="640" t="s">
        <v>866</v>
      </c>
      <c r="L589" s="641">
        <v>0.34</v>
      </c>
      <c r="M589" s="34" t="s">
        <v>117</v>
      </c>
      <c r="N589" s="641">
        <v>0.34</v>
      </c>
      <c r="O589" s="34" t="s">
        <v>117</v>
      </c>
      <c r="P589" s="641">
        <v>0.34</v>
      </c>
      <c r="Q589" s="34" t="s">
        <v>117</v>
      </c>
      <c r="R589" s="369">
        <f>(B319*L589)+(B320*N589)+(B321*P589)</f>
        <v>0.34</v>
      </c>
      <c r="S589" s="34" t="s">
        <v>117</v>
      </c>
    </row>
    <row r="590" spans="1:19" x14ac:dyDescent="0.3">
      <c r="A590" s="17" t="s">
        <v>823</v>
      </c>
      <c r="B590" s="827" t="s">
        <v>1434</v>
      </c>
      <c r="C590" s="34" t="s">
        <v>115</v>
      </c>
      <c r="D590" s="827" t="s">
        <v>1434</v>
      </c>
      <c r="E590" s="34" t="s">
        <v>115</v>
      </c>
      <c r="F590" s="827" t="s">
        <v>1434</v>
      </c>
      <c r="G590" s="34" t="s">
        <v>115</v>
      </c>
      <c r="H590" s="278">
        <v>9.3418583878132913E-2</v>
      </c>
      <c r="I590" s="34" t="s">
        <v>115</v>
      </c>
      <c r="K590" s="17" t="s">
        <v>867</v>
      </c>
      <c r="L590" s="827" t="s">
        <v>1434</v>
      </c>
      <c r="M590" s="34" t="s">
        <v>117</v>
      </c>
      <c r="N590" s="827" t="s">
        <v>1434</v>
      </c>
      <c r="O590" s="34" t="s">
        <v>117</v>
      </c>
      <c r="P590" s="827" t="s">
        <v>1434</v>
      </c>
      <c r="Q590" s="34" t="s">
        <v>117</v>
      </c>
      <c r="R590" s="602">
        <v>0.83039215686274503</v>
      </c>
      <c r="S590" s="34" t="s">
        <v>117</v>
      </c>
    </row>
    <row r="591" spans="1:19" x14ac:dyDescent="0.3">
      <c r="A591" s="640" t="s">
        <v>2173</v>
      </c>
      <c r="B591" s="634">
        <f>B589</f>
        <v>7.7041602465331274E-2</v>
      </c>
      <c r="C591" s="34" t="s">
        <v>115</v>
      </c>
      <c r="D591" s="634">
        <f>D589</f>
        <v>7.7041602465331274E-2</v>
      </c>
      <c r="E591" s="34" t="s">
        <v>115</v>
      </c>
      <c r="F591" s="634">
        <f>F589</f>
        <v>7.7041602465331274E-2</v>
      </c>
      <c r="G591" s="34" t="s">
        <v>115</v>
      </c>
      <c r="H591" s="826">
        <f>(B325*B591)+(B326*D591)+(B327*F591)</f>
        <v>7.7041602465331274E-2</v>
      </c>
      <c r="I591" s="34" t="s">
        <v>115</v>
      </c>
      <c r="K591" s="640" t="s">
        <v>2174</v>
      </c>
      <c r="L591" s="641">
        <f>L589</f>
        <v>0.34</v>
      </c>
      <c r="M591" s="34" t="s">
        <v>117</v>
      </c>
      <c r="N591" s="641">
        <f>N589</f>
        <v>0.34</v>
      </c>
      <c r="O591" s="34" t="s">
        <v>117</v>
      </c>
      <c r="P591" s="641">
        <f>P589</f>
        <v>0.34</v>
      </c>
      <c r="Q591" s="34" t="s">
        <v>117</v>
      </c>
      <c r="R591" s="369">
        <f>(B325*L591)+(B326*N591)+(B327*P591)</f>
        <v>0.34</v>
      </c>
      <c r="S591" s="34" t="s">
        <v>117</v>
      </c>
    </row>
    <row r="592" spans="1:19" x14ac:dyDescent="0.3">
      <c r="A592" s="17" t="s">
        <v>822</v>
      </c>
      <c r="B592" s="827" t="s">
        <v>1434</v>
      </c>
      <c r="C592" s="34" t="s">
        <v>115</v>
      </c>
      <c r="D592" s="827" t="s">
        <v>1434</v>
      </c>
      <c r="E592" s="34" t="s">
        <v>115</v>
      </c>
      <c r="F592" s="827" t="s">
        <v>1434</v>
      </c>
      <c r="G592" s="34" t="s">
        <v>115</v>
      </c>
      <c r="H592" s="278">
        <v>9.8335351450666228E-2</v>
      </c>
      <c r="I592" s="34" t="s">
        <v>115</v>
      </c>
      <c r="K592" s="17" t="s">
        <v>868</v>
      </c>
      <c r="L592" s="827" t="s">
        <v>1434</v>
      </c>
      <c r="M592" s="34" t="s">
        <v>117</v>
      </c>
      <c r="N592" s="827" t="s">
        <v>1434</v>
      </c>
      <c r="O592" s="34" t="s">
        <v>117</v>
      </c>
      <c r="P592" s="827" t="s">
        <v>1434</v>
      </c>
      <c r="Q592" s="34" t="s">
        <v>117</v>
      </c>
      <c r="R592" s="602">
        <v>0.83039215686274503</v>
      </c>
      <c r="S592" s="34" t="s">
        <v>117</v>
      </c>
    </row>
    <row r="593" spans="1:19" x14ac:dyDescent="0.3">
      <c r="A593" s="22" t="s">
        <v>318</v>
      </c>
      <c r="B593" s="827" t="s">
        <v>1434</v>
      </c>
      <c r="C593" s="34" t="s">
        <v>115</v>
      </c>
      <c r="D593" s="827" t="s">
        <v>1434</v>
      </c>
      <c r="E593" s="34" t="s">
        <v>115</v>
      </c>
      <c r="F593" s="827" t="s">
        <v>1434</v>
      </c>
      <c r="G593" s="34" t="s">
        <v>115</v>
      </c>
      <c r="H593" s="602">
        <f>0.208333333333333*$L$346</f>
        <v>0.27777777777777735</v>
      </c>
      <c r="I593" s="34" t="s">
        <v>115</v>
      </c>
      <c r="K593" s="17" t="s">
        <v>869</v>
      </c>
      <c r="L593" s="827" t="s">
        <v>1434</v>
      </c>
      <c r="M593" s="34" t="s">
        <v>117</v>
      </c>
      <c r="N593" s="827" t="s">
        <v>1434</v>
      </c>
      <c r="O593" s="34" t="s">
        <v>117</v>
      </c>
      <c r="P593" s="827" t="s">
        <v>1434</v>
      </c>
      <c r="Q593" s="34" t="s">
        <v>117</v>
      </c>
      <c r="R593" s="282">
        <v>0.34178571428571403</v>
      </c>
      <c r="S593" s="34" t="s">
        <v>117</v>
      </c>
    </row>
    <row r="594" spans="1:19" x14ac:dyDescent="0.3">
      <c r="A594" s="640" t="s">
        <v>334</v>
      </c>
      <c r="B594" s="634">
        <f>1/6.79</f>
        <v>0.14727540500736377</v>
      </c>
      <c r="C594" s="34" t="s">
        <v>115</v>
      </c>
      <c r="D594" s="634">
        <f>1/10.61</f>
        <v>9.4250706880301613E-2</v>
      </c>
      <c r="E594" s="34" t="s">
        <v>115</v>
      </c>
      <c r="F594" s="634">
        <f>1/12.73</f>
        <v>7.8554595443833461E-2</v>
      </c>
      <c r="G594" s="34" t="s">
        <v>115</v>
      </c>
      <c r="H594" s="826">
        <f>(B343*B594)+(B344*D594)+(B345*F594)</f>
        <v>9.4250706880301613E-2</v>
      </c>
      <c r="I594" s="34" t="s">
        <v>115</v>
      </c>
      <c r="K594" s="640" t="s">
        <v>122</v>
      </c>
      <c r="L594" s="641">
        <v>0.61</v>
      </c>
      <c r="M594" s="34" t="s">
        <v>117</v>
      </c>
      <c r="N594" s="641">
        <v>0.61</v>
      </c>
      <c r="O594" s="34" t="s">
        <v>117</v>
      </c>
      <c r="P594" s="641">
        <v>0.61</v>
      </c>
      <c r="Q594" s="34" t="s">
        <v>117</v>
      </c>
      <c r="R594" s="369">
        <f>(B343*L594)+(B344*N594)+(B345*P594)</f>
        <v>0.61</v>
      </c>
      <c r="S594" s="34" t="s">
        <v>117</v>
      </c>
    </row>
    <row r="595" spans="1:19" x14ac:dyDescent="0.3">
      <c r="A595" s="17" t="s">
        <v>339</v>
      </c>
      <c r="B595" s="827" t="s">
        <v>1434</v>
      </c>
      <c r="C595" s="34" t="s">
        <v>115</v>
      </c>
      <c r="D595" s="827" t="s">
        <v>1434</v>
      </c>
      <c r="E595" s="34" t="s">
        <v>115</v>
      </c>
      <c r="F595" s="827" t="s">
        <v>1434</v>
      </c>
      <c r="G595" s="34" t="s">
        <v>115</v>
      </c>
      <c r="H595" s="602">
        <f>0.295006054351999*L348</f>
        <v>0.3933414058026653</v>
      </c>
      <c r="I595" s="34" t="s">
        <v>115</v>
      </c>
      <c r="K595" s="17" t="s">
        <v>870</v>
      </c>
      <c r="L595" s="827" t="s">
        <v>1434</v>
      </c>
      <c r="M595" s="34" t="s">
        <v>117</v>
      </c>
      <c r="N595" s="827" t="s">
        <v>1434</v>
      </c>
      <c r="O595" s="34" t="s">
        <v>117</v>
      </c>
      <c r="P595" s="827" t="s">
        <v>1434</v>
      </c>
      <c r="Q595" s="34" t="s">
        <v>117</v>
      </c>
      <c r="R595" s="282">
        <v>0.34178571428571403</v>
      </c>
      <c r="S595" s="34" t="s">
        <v>117</v>
      </c>
    </row>
    <row r="596" spans="1:19" x14ac:dyDescent="0.3">
      <c r="A596" s="17" t="s">
        <v>573</v>
      </c>
      <c r="B596" s="827" t="s">
        <v>1434</v>
      </c>
      <c r="C596" s="34" t="s">
        <v>115</v>
      </c>
      <c r="D596" s="827" t="s">
        <v>1434</v>
      </c>
      <c r="E596" s="34" t="s">
        <v>115</v>
      </c>
      <c r="F596" s="827" t="s">
        <v>1434</v>
      </c>
      <c r="G596" s="34" t="s">
        <v>115</v>
      </c>
      <c r="H596" s="602">
        <f>0.177003632611199*$L$343</f>
        <v>0.23600484348159867</v>
      </c>
      <c r="I596" s="34" t="s">
        <v>115</v>
      </c>
      <c r="K596" s="17" t="s">
        <v>871</v>
      </c>
      <c r="L596" s="827" t="s">
        <v>1434</v>
      </c>
      <c r="M596" s="34" t="s">
        <v>117</v>
      </c>
      <c r="N596" s="827" t="s">
        <v>1434</v>
      </c>
      <c r="O596" s="34" t="s">
        <v>117</v>
      </c>
      <c r="P596" s="827" t="s">
        <v>1434</v>
      </c>
      <c r="Q596" s="34" t="s">
        <v>117</v>
      </c>
      <c r="R596" s="278">
        <v>0.81044692577148292</v>
      </c>
      <c r="S596" s="34" t="s">
        <v>117</v>
      </c>
    </row>
    <row r="597" spans="1:19" x14ac:dyDescent="0.3">
      <c r="A597" s="17" t="s">
        <v>586</v>
      </c>
      <c r="B597" s="827" t="s">
        <v>1434</v>
      </c>
      <c r="C597" s="34" t="s">
        <v>115</v>
      </c>
      <c r="D597" s="827" t="s">
        <v>1434</v>
      </c>
      <c r="E597" s="34" t="s">
        <v>115</v>
      </c>
      <c r="F597" s="827" t="s">
        <v>1434</v>
      </c>
      <c r="G597" s="34" t="s">
        <v>115</v>
      </c>
      <c r="H597" s="602">
        <f>0.177003632611199*$L$343</f>
        <v>0.23600484348159867</v>
      </c>
      <c r="I597" s="34" t="s">
        <v>115</v>
      </c>
      <c r="K597" s="17" t="s">
        <v>872</v>
      </c>
      <c r="L597" s="827" t="s">
        <v>1434</v>
      </c>
      <c r="M597" s="34" t="s">
        <v>117</v>
      </c>
      <c r="N597" s="827" t="s">
        <v>1434</v>
      </c>
      <c r="O597" s="34" t="s">
        <v>117</v>
      </c>
      <c r="P597" s="827" t="s">
        <v>1434</v>
      </c>
      <c r="Q597" s="34" t="s">
        <v>117</v>
      </c>
      <c r="R597" s="278">
        <v>0.81044692577148292</v>
      </c>
      <c r="S597" s="34" t="s">
        <v>117</v>
      </c>
    </row>
    <row r="598" spans="1:19" x14ac:dyDescent="0.3">
      <c r="A598" s="22" t="s">
        <v>818</v>
      </c>
      <c r="B598" s="827" t="s">
        <v>1434</v>
      </c>
      <c r="C598" s="34" t="s">
        <v>115</v>
      </c>
      <c r="D598" s="827" t="s">
        <v>1434</v>
      </c>
      <c r="E598" s="34" t="s">
        <v>115</v>
      </c>
      <c r="F598" s="827" t="s">
        <v>1434</v>
      </c>
      <c r="G598" s="34" t="s">
        <v>115</v>
      </c>
      <c r="H598" s="602">
        <f>(0.04/0.0675)*0.2</f>
        <v>0.11851851851851852</v>
      </c>
      <c r="I598" s="34" t="s">
        <v>115</v>
      </c>
      <c r="K598" s="22" t="s">
        <v>873</v>
      </c>
      <c r="L598" s="827" t="s">
        <v>1434</v>
      </c>
      <c r="M598" s="34" t="s">
        <v>117</v>
      </c>
      <c r="N598" s="827" t="s">
        <v>1434</v>
      </c>
      <c r="O598" s="34" t="s">
        <v>117</v>
      </c>
      <c r="P598" s="827" t="s">
        <v>1434</v>
      </c>
      <c r="Q598" s="34" t="s">
        <v>117</v>
      </c>
      <c r="R598" s="602">
        <v>0.11981642612033799</v>
      </c>
      <c r="S598" s="34" t="s">
        <v>117</v>
      </c>
    </row>
    <row r="599" spans="1:19" x14ac:dyDescent="0.3">
      <c r="A599" s="17" t="s">
        <v>902</v>
      </c>
      <c r="B599" s="827" t="s">
        <v>1434</v>
      </c>
      <c r="C599" s="34" t="s">
        <v>115</v>
      </c>
      <c r="D599" s="827" t="s">
        <v>1434</v>
      </c>
      <c r="E599" s="34" t="s">
        <v>115</v>
      </c>
      <c r="F599" s="827" t="s">
        <v>1434</v>
      </c>
      <c r="G599" s="34" t="s">
        <v>115</v>
      </c>
      <c r="H599" s="602">
        <f>(0.04/0.0675)*0.2</f>
        <v>0.11851851851851852</v>
      </c>
      <c r="I599" s="34" t="s">
        <v>115</v>
      </c>
      <c r="K599" s="17" t="s">
        <v>903</v>
      </c>
      <c r="L599" s="827" t="s">
        <v>1434</v>
      </c>
      <c r="M599" s="34" t="s">
        <v>117</v>
      </c>
      <c r="N599" s="827" t="s">
        <v>1434</v>
      </c>
      <c r="O599" s="34" t="s">
        <v>117</v>
      </c>
      <c r="P599" s="827" t="s">
        <v>1434</v>
      </c>
      <c r="Q599" s="34" t="s">
        <v>117</v>
      </c>
      <c r="R599" s="602">
        <v>0.11981642612033799</v>
      </c>
      <c r="S599" s="34" t="s">
        <v>117</v>
      </c>
    </row>
    <row r="600" spans="1:19" x14ac:dyDescent="0.3">
      <c r="A600" s="17" t="s">
        <v>815</v>
      </c>
      <c r="B600" s="827" t="s">
        <v>1434</v>
      </c>
      <c r="C600" s="34" t="s">
        <v>115</v>
      </c>
      <c r="D600" s="827" t="s">
        <v>1434</v>
      </c>
      <c r="E600" s="34" t="s">
        <v>115</v>
      </c>
      <c r="F600" s="827" t="s">
        <v>1434</v>
      </c>
      <c r="G600" s="34" t="s">
        <v>115</v>
      </c>
      <c r="H600" s="602">
        <f>(0.04/0.0675)*0.2</f>
        <v>0.11851851851851852</v>
      </c>
      <c r="I600" s="34" t="s">
        <v>115</v>
      </c>
      <c r="K600" s="17" t="s">
        <v>874</v>
      </c>
      <c r="L600" s="827" t="s">
        <v>1434</v>
      </c>
      <c r="M600" s="34" t="s">
        <v>117</v>
      </c>
      <c r="N600" s="827" t="s">
        <v>1434</v>
      </c>
      <c r="O600" s="34" t="s">
        <v>117</v>
      </c>
      <c r="P600" s="827" t="s">
        <v>1434</v>
      </c>
      <c r="Q600" s="34" t="s">
        <v>117</v>
      </c>
      <c r="R600" s="602">
        <v>0.11981642612033799</v>
      </c>
      <c r="S600" s="34" t="s">
        <v>117</v>
      </c>
    </row>
    <row r="601" spans="1:19" x14ac:dyDescent="0.3">
      <c r="A601" s="640" t="s">
        <v>1629</v>
      </c>
      <c r="B601" s="915">
        <f>(0.04/0.0675)*0.2</f>
        <v>0.11851851851851852</v>
      </c>
      <c r="C601" s="34" t="s">
        <v>115</v>
      </c>
      <c r="D601" s="634">
        <f>1/46.09</f>
        <v>2.169668040789759E-2</v>
      </c>
      <c r="E601" s="34" t="s">
        <v>115</v>
      </c>
      <c r="F601" s="634">
        <f>(1/44.12)*(80/100)</f>
        <v>1.8132366273798731E-2</v>
      </c>
      <c r="G601" s="34" t="s">
        <v>115</v>
      </c>
      <c r="H601" s="826">
        <f>(B353*B601)+(B354*D601)+(B355*F601)</f>
        <v>0</v>
      </c>
      <c r="I601" s="34" t="s">
        <v>115</v>
      </c>
      <c r="K601" s="640" t="s">
        <v>1624</v>
      </c>
      <c r="L601" s="641">
        <v>0.12</v>
      </c>
      <c r="M601" s="34" t="s">
        <v>117</v>
      </c>
      <c r="N601" s="641">
        <v>0.12</v>
      </c>
      <c r="O601" s="34" t="s">
        <v>117</v>
      </c>
      <c r="P601" s="641">
        <v>7.0000000000000007E-2</v>
      </c>
      <c r="Q601" s="34" t="s">
        <v>117</v>
      </c>
      <c r="R601" s="369">
        <f>(B353*L601)+(B354*N601)+(B355*P601)</f>
        <v>0</v>
      </c>
      <c r="S601" s="34" t="s">
        <v>117</v>
      </c>
    </row>
    <row r="602" spans="1:19" x14ac:dyDescent="0.3">
      <c r="A602" s="17" t="s">
        <v>678</v>
      </c>
      <c r="B602" s="827" t="s">
        <v>1434</v>
      </c>
      <c r="C602" s="34" t="s">
        <v>115</v>
      </c>
      <c r="D602" s="827" t="s">
        <v>1434</v>
      </c>
      <c r="E602" s="34" t="s">
        <v>115</v>
      </c>
      <c r="F602" s="827" t="s">
        <v>1434</v>
      </c>
      <c r="G602" s="34" t="s">
        <v>115</v>
      </c>
      <c r="H602" s="273">
        <v>14</v>
      </c>
      <c r="I602" s="34" t="s">
        <v>115</v>
      </c>
      <c r="K602" s="17" t="s">
        <v>875</v>
      </c>
      <c r="L602" s="827" t="s">
        <v>1434</v>
      </c>
      <c r="M602" s="34" t="s">
        <v>117</v>
      </c>
      <c r="N602" s="827" t="s">
        <v>1434</v>
      </c>
      <c r="O602" s="34" t="s">
        <v>117</v>
      </c>
      <c r="P602" s="827" t="s">
        <v>1434</v>
      </c>
      <c r="Q602" s="34" t="s">
        <v>117</v>
      </c>
      <c r="R602" s="278">
        <v>0.01</v>
      </c>
      <c r="S602" s="34" t="s">
        <v>117</v>
      </c>
    </row>
    <row r="603" spans="1:19" x14ac:dyDescent="0.3">
      <c r="A603" s="17" t="s">
        <v>676</v>
      </c>
      <c r="B603" s="827" t="s">
        <v>1434</v>
      </c>
      <c r="C603" s="34" t="s">
        <v>115</v>
      </c>
      <c r="D603" s="827" t="s">
        <v>1434</v>
      </c>
      <c r="E603" s="34" t="s">
        <v>115</v>
      </c>
      <c r="F603" s="827" t="s">
        <v>1434</v>
      </c>
      <c r="G603" s="34" t="s">
        <v>115</v>
      </c>
      <c r="H603" s="602">
        <f>(0.055530551407435/0.0675)*0.2</f>
        <v>0.16453496713314075</v>
      </c>
      <c r="I603" s="34" t="s">
        <v>115</v>
      </c>
      <c r="K603" s="17" t="s">
        <v>876</v>
      </c>
      <c r="L603" s="827" t="s">
        <v>1434</v>
      </c>
      <c r="M603" s="34" t="s">
        <v>117</v>
      </c>
      <c r="N603" s="827" t="s">
        <v>1434</v>
      </c>
      <c r="O603" s="34" t="s">
        <v>117</v>
      </c>
      <c r="P603" s="827" t="s">
        <v>1434</v>
      </c>
      <c r="Q603" s="34" t="s">
        <v>117</v>
      </c>
      <c r="R603" s="602">
        <v>0.11981642612033799</v>
      </c>
      <c r="S603" s="34" t="s">
        <v>117</v>
      </c>
    </row>
    <row r="604" spans="1:19" x14ac:dyDescent="0.3">
      <c r="A604" s="22" t="s">
        <v>819</v>
      </c>
      <c r="B604" s="827" t="s">
        <v>1434</v>
      </c>
      <c r="C604" s="34" t="s">
        <v>115</v>
      </c>
      <c r="D604" s="827" t="s">
        <v>1434</v>
      </c>
      <c r="E604" s="34" t="s">
        <v>115</v>
      </c>
      <c r="F604" s="827" t="s">
        <v>1434</v>
      </c>
      <c r="G604" s="34" t="s">
        <v>115</v>
      </c>
      <c r="H604" s="278">
        <v>0.1</v>
      </c>
      <c r="I604" s="34" t="s">
        <v>115</v>
      </c>
      <c r="K604" s="22" t="s">
        <v>877</v>
      </c>
      <c r="L604" s="827" t="s">
        <v>1434</v>
      </c>
      <c r="M604" s="34" t="s">
        <v>117</v>
      </c>
      <c r="N604" s="827" t="s">
        <v>1434</v>
      </c>
      <c r="O604" s="34" t="s">
        <v>117</v>
      </c>
      <c r="P604" s="827" t="s">
        <v>1434</v>
      </c>
      <c r="Q604" s="34" t="s">
        <v>117</v>
      </c>
      <c r="R604" s="278">
        <v>0.13183670241332496</v>
      </c>
      <c r="S604" s="34" t="s">
        <v>117</v>
      </c>
    </row>
    <row r="605" spans="1:19" x14ac:dyDescent="0.3">
      <c r="A605" s="17" t="s">
        <v>820</v>
      </c>
      <c r="B605" s="827" t="s">
        <v>1434</v>
      </c>
      <c r="C605" s="34" t="s">
        <v>115</v>
      </c>
      <c r="D605" s="827" t="s">
        <v>1434</v>
      </c>
      <c r="E605" s="34" t="s">
        <v>115</v>
      </c>
      <c r="F605" s="827" t="s">
        <v>1434</v>
      </c>
      <c r="G605" s="34" t="s">
        <v>115</v>
      </c>
      <c r="H605" s="278">
        <v>0.16666666666666666</v>
      </c>
      <c r="I605" s="34" t="s">
        <v>115</v>
      </c>
      <c r="K605" s="17" t="s">
        <v>878</v>
      </c>
      <c r="L605" s="827" t="s">
        <v>1434</v>
      </c>
      <c r="M605" s="34" t="s">
        <v>117</v>
      </c>
      <c r="N605" s="827" t="s">
        <v>1434</v>
      </c>
      <c r="O605" s="34" t="s">
        <v>117</v>
      </c>
      <c r="P605" s="827" t="s">
        <v>1434</v>
      </c>
      <c r="Q605" s="34" t="s">
        <v>117</v>
      </c>
      <c r="R605" s="278">
        <v>0.13183670241332496</v>
      </c>
      <c r="S605" s="34" t="s">
        <v>117</v>
      </c>
    </row>
    <row r="606" spans="1:19" x14ac:dyDescent="0.3">
      <c r="A606" s="640" t="s">
        <v>1201</v>
      </c>
      <c r="B606" s="634">
        <f>D606*(30/16)</f>
        <v>0.12135922330097089</v>
      </c>
      <c r="C606" s="34" t="s">
        <v>115</v>
      </c>
      <c r="D606" s="634">
        <f>1/15.45</f>
        <v>6.4724919093851141E-2</v>
      </c>
      <c r="E606" s="34" t="s">
        <v>115</v>
      </c>
      <c r="F606" s="634">
        <f>1/15.45</f>
        <v>6.4724919093851141E-2</v>
      </c>
      <c r="G606" s="34" t="s">
        <v>115</v>
      </c>
      <c r="H606" s="369">
        <f>(B322*B606)+(B323*D606)+(B324*F606)</f>
        <v>6.4724919093851141E-2</v>
      </c>
      <c r="I606" s="34" t="s">
        <v>115</v>
      </c>
      <c r="K606" s="640" t="s">
        <v>1202</v>
      </c>
      <c r="L606" s="838">
        <f>N606*(30/16)</f>
        <v>0.86250000000000004</v>
      </c>
      <c r="M606" s="34" t="s">
        <v>117</v>
      </c>
      <c r="N606" s="641">
        <v>0.46</v>
      </c>
      <c r="O606" s="34" t="s">
        <v>117</v>
      </c>
      <c r="P606" s="641">
        <v>0.46</v>
      </c>
      <c r="Q606" s="34" t="s">
        <v>117</v>
      </c>
      <c r="R606" s="369">
        <f>(B322*L606)+(B323*N606)+(B324*P606)</f>
        <v>0.46</v>
      </c>
      <c r="S606" s="34" t="s">
        <v>117</v>
      </c>
    </row>
    <row r="607" spans="1:19" x14ac:dyDescent="0.3">
      <c r="A607" s="22" t="s">
        <v>817</v>
      </c>
      <c r="B607" s="827" t="s">
        <v>1434</v>
      </c>
      <c r="C607" s="34" t="s">
        <v>115</v>
      </c>
      <c r="D607" s="827" t="s">
        <v>1434</v>
      </c>
      <c r="E607" s="34" t="s">
        <v>115</v>
      </c>
      <c r="F607" s="827" t="s">
        <v>1434</v>
      </c>
      <c r="G607" s="34" t="s">
        <v>115</v>
      </c>
      <c r="H607" s="602">
        <f>0.333333333333333*$L$373</f>
        <v>0.99999999999999889</v>
      </c>
      <c r="I607" s="34" t="s">
        <v>115</v>
      </c>
      <c r="K607" s="22" t="s">
        <v>899</v>
      </c>
      <c r="L607" s="827" t="s">
        <v>1434</v>
      </c>
      <c r="M607" s="34" t="s">
        <v>117</v>
      </c>
      <c r="N607" s="827" t="s">
        <v>1434</v>
      </c>
      <c r="O607" s="34" t="s">
        <v>117</v>
      </c>
      <c r="P607" s="827" t="s">
        <v>1434</v>
      </c>
      <c r="Q607" s="34" t="s">
        <v>117</v>
      </c>
      <c r="R607" s="602">
        <v>3.3507692307692301</v>
      </c>
      <c r="S607" s="34" t="s">
        <v>117</v>
      </c>
    </row>
    <row r="608" spans="1:19" x14ac:dyDescent="0.3">
      <c r="A608" s="9" t="s">
        <v>1024</v>
      </c>
      <c r="B608" s="828" t="s">
        <v>1434</v>
      </c>
      <c r="C608" s="48" t="s">
        <v>115</v>
      </c>
      <c r="D608" s="828" t="s">
        <v>1434</v>
      </c>
      <c r="E608" s="48" t="s">
        <v>115</v>
      </c>
      <c r="F608" s="828" t="s">
        <v>1434</v>
      </c>
      <c r="G608" s="48" t="s">
        <v>115</v>
      </c>
      <c r="H608" s="604">
        <f>H607</f>
        <v>0.99999999999999889</v>
      </c>
      <c r="I608" s="48" t="s">
        <v>115</v>
      </c>
      <c r="K608" s="234" t="s">
        <v>1023</v>
      </c>
      <c r="L608" s="828" t="s">
        <v>1434</v>
      </c>
      <c r="M608" s="234" t="s">
        <v>119</v>
      </c>
      <c r="N608" s="828" t="s">
        <v>1434</v>
      </c>
      <c r="O608" s="837" t="s">
        <v>119</v>
      </c>
      <c r="P608" s="828" t="s">
        <v>1434</v>
      </c>
      <c r="Q608" s="234" t="s">
        <v>119</v>
      </c>
      <c r="R608" s="604">
        <f>R607</f>
        <v>3.3507692307692301</v>
      </c>
      <c r="S608" s="234" t="s">
        <v>119</v>
      </c>
    </row>
    <row r="609" spans="1:19" x14ac:dyDescent="0.3">
      <c r="A609" s="22" t="s">
        <v>320</v>
      </c>
      <c r="B609" s="827" t="s">
        <v>1434</v>
      </c>
      <c r="C609" s="34" t="s">
        <v>115</v>
      </c>
      <c r="D609" s="827" t="s">
        <v>1434</v>
      </c>
      <c r="E609" s="34" t="s">
        <v>115</v>
      </c>
      <c r="F609" s="827" t="s">
        <v>1434</v>
      </c>
      <c r="G609" s="34" t="s">
        <v>115</v>
      </c>
      <c r="H609" s="278">
        <v>2.4</v>
      </c>
      <c r="I609" s="34" t="s">
        <v>115</v>
      </c>
      <c r="K609" s="17" t="s">
        <v>879</v>
      </c>
      <c r="L609" s="827" t="s">
        <v>1434</v>
      </c>
      <c r="M609" s="34" t="s">
        <v>117</v>
      </c>
      <c r="N609" s="827" t="s">
        <v>1434</v>
      </c>
      <c r="O609" s="34" t="s">
        <v>117</v>
      </c>
      <c r="P609" s="827" t="s">
        <v>1434</v>
      </c>
      <c r="Q609" s="34" t="s">
        <v>117</v>
      </c>
      <c r="R609" s="278">
        <v>1.4608956894943086</v>
      </c>
      <c r="S609" s="34" t="s">
        <v>117</v>
      </c>
    </row>
    <row r="610" spans="1:19" x14ac:dyDescent="0.3">
      <c r="A610" s="9" t="s">
        <v>1024</v>
      </c>
      <c r="B610" s="828" t="s">
        <v>1434</v>
      </c>
      <c r="C610" s="48" t="s">
        <v>115</v>
      </c>
      <c r="D610" s="828" t="s">
        <v>1434</v>
      </c>
      <c r="E610" s="48" t="s">
        <v>115</v>
      </c>
      <c r="F610" s="828" t="s">
        <v>1434</v>
      </c>
      <c r="G610" s="48" t="s">
        <v>115</v>
      </c>
      <c r="H610" s="464">
        <f>H609</f>
        <v>2.4</v>
      </c>
      <c r="I610" s="48" t="s">
        <v>115</v>
      </c>
      <c r="K610" s="234" t="s">
        <v>1023</v>
      </c>
      <c r="L610" s="828" t="s">
        <v>1434</v>
      </c>
      <c r="M610" s="234" t="s">
        <v>119</v>
      </c>
      <c r="N610" s="828" t="s">
        <v>1434</v>
      </c>
      <c r="O610" s="234" t="s">
        <v>119</v>
      </c>
      <c r="P610" s="828" t="s">
        <v>1434</v>
      </c>
      <c r="Q610" s="234" t="s">
        <v>119</v>
      </c>
      <c r="R610" s="464">
        <f>R609</f>
        <v>1.4608956894943086</v>
      </c>
      <c r="S610" s="234" t="s">
        <v>119</v>
      </c>
    </row>
    <row r="611" spans="1:19" x14ac:dyDescent="0.3">
      <c r="A611" s="640" t="s">
        <v>2129</v>
      </c>
      <c r="B611" s="826">
        <f>1/OSI!$J$18</f>
        <v>0.2</v>
      </c>
      <c r="C611" s="34" t="s">
        <v>115</v>
      </c>
      <c r="D611" s="826">
        <f>1/OSI!$J$18</f>
        <v>0.2</v>
      </c>
      <c r="E611" s="34" t="s">
        <v>115</v>
      </c>
      <c r="F611" s="826">
        <f>1/OSI!$J$18</f>
        <v>0.2</v>
      </c>
      <c r="G611" s="34" t="s">
        <v>115</v>
      </c>
      <c r="H611" s="369">
        <f>(B375*B611)+(B376*D611)+(B377*F611)</f>
        <v>0.2</v>
      </c>
      <c r="I611" s="34" t="s">
        <v>115</v>
      </c>
      <c r="K611" s="640" t="s">
        <v>2133</v>
      </c>
      <c r="L611" s="826">
        <f>OSI!$J$38</f>
        <v>1.5</v>
      </c>
      <c r="M611" s="34" t="s">
        <v>117</v>
      </c>
      <c r="N611" s="826">
        <f>OSI!$J$38</f>
        <v>1.5</v>
      </c>
      <c r="O611" s="34" t="s">
        <v>117</v>
      </c>
      <c r="P611" s="826">
        <f>OSI!$J$38</f>
        <v>1.5</v>
      </c>
      <c r="Q611" s="34" t="s">
        <v>117</v>
      </c>
      <c r="R611" s="369">
        <f>(B375*L611)+(B376*N611)+(B377*P611)</f>
        <v>1.5</v>
      </c>
      <c r="S611" s="34" t="s">
        <v>117</v>
      </c>
    </row>
    <row r="612" spans="1:19" x14ac:dyDescent="0.3">
      <c r="A612" s="17" t="s">
        <v>814</v>
      </c>
      <c r="B612" s="827" t="s">
        <v>1434</v>
      </c>
      <c r="C612" s="34" t="s">
        <v>115</v>
      </c>
      <c r="D612" s="827" t="s">
        <v>1434</v>
      </c>
      <c r="E612" s="34" t="s">
        <v>115</v>
      </c>
      <c r="F612" s="827" t="s">
        <v>1434</v>
      </c>
      <c r="G612" s="34" t="s">
        <v>115</v>
      </c>
      <c r="H612" s="602">
        <f>1.11111111111111*$L$384</f>
        <v>1.4814814814814801</v>
      </c>
      <c r="I612" s="34" t="s">
        <v>115</v>
      </c>
      <c r="K612" s="17" t="s">
        <v>880</v>
      </c>
      <c r="L612" s="827" t="s">
        <v>1434</v>
      </c>
      <c r="M612" s="34" t="s">
        <v>117</v>
      </c>
      <c r="N612" s="827" t="s">
        <v>1434</v>
      </c>
      <c r="O612" s="34" t="s">
        <v>117</v>
      </c>
      <c r="P612" s="827" t="s">
        <v>1434</v>
      </c>
      <c r="Q612" s="34" t="s">
        <v>117</v>
      </c>
      <c r="R612" s="282">
        <v>2.4055952380952399</v>
      </c>
      <c r="S612" s="34" t="s">
        <v>117</v>
      </c>
    </row>
    <row r="613" spans="1:19" x14ac:dyDescent="0.3">
      <c r="A613" s="9" t="s">
        <v>1024</v>
      </c>
      <c r="B613" s="828" t="s">
        <v>1434</v>
      </c>
      <c r="C613" s="48" t="s">
        <v>115</v>
      </c>
      <c r="D613" s="828" t="s">
        <v>1434</v>
      </c>
      <c r="E613" s="48" t="s">
        <v>115</v>
      </c>
      <c r="F613" s="828" t="s">
        <v>1434</v>
      </c>
      <c r="G613" s="48" t="s">
        <v>115</v>
      </c>
      <c r="H613" s="604">
        <f>H612</f>
        <v>1.4814814814814801</v>
      </c>
      <c r="I613" s="48" t="s">
        <v>115</v>
      </c>
      <c r="J613" s="216" t="s">
        <v>1457</v>
      </c>
      <c r="K613" s="234" t="s">
        <v>1023</v>
      </c>
      <c r="L613" s="828" t="s">
        <v>1434</v>
      </c>
      <c r="M613" s="234" t="s">
        <v>119</v>
      </c>
      <c r="N613" s="828" t="s">
        <v>1434</v>
      </c>
      <c r="O613" s="234" t="s">
        <v>119</v>
      </c>
      <c r="P613" s="828" t="s">
        <v>1434</v>
      </c>
      <c r="Q613" s="234" t="s">
        <v>119</v>
      </c>
      <c r="R613" s="464">
        <f>R612</f>
        <v>2.4055952380952399</v>
      </c>
      <c r="S613" s="234" t="s">
        <v>119</v>
      </c>
    </row>
    <row r="614" spans="1:19" x14ac:dyDescent="0.3">
      <c r="A614" s="640" t="s">
        <v>862</v>
      </c>
      <c r="B614" s="826">
        <f>$J$614</f>
        <v>0.91666666666666663</v>
      </c>
      <c r="C614" s="34" t="s">
        <v>115</v>
      </c>
      <c r="D614" s="634">
        <f>(1/5.09)*(5.09/3)</f>
        <v>0.33333333333333331</v>
      </c>
      <c r="E614" s="34" t="s">
        <v>115</v>
      </c>
      <c r="F614" s="634">
        <f>1/6.79</f>
        <v>0.14727540500736377</v>
      </c>
      <c r="G614" s="34" t="s">
        <v>115</v>
      </c>
      <c r="H614" s="369">
        <f>(B385*B614)+(B386*D614)+(B387*F614)</f>
        <v>0.33333333333333331</v>
      </c>
      <c r="I614" s="34" t="s">
        <v>115</v>
      </c>
      <c r="J614" s="634">
        <f>AVERAGE(1/0.75,1/2)</f>
        <v>0.91666666666666663</v>
      </c>
      <c r="K614" s="640" t="s">
        <v>881</v>
      </c>
      <c r="L614" s="634">
        <f>2*(4/3)</f>
        <v>2.6666666666666665</v>
      </c>
      <c r="M614" s="34" t="s">
        <v>117</v>
      </c>
      <c r="N614" s="644">
        <v>2</v>
      </c>
      <c r="O614" s="34" t="s">
        <v>117</v>
      </c>
      <c r="P614" s="644">
        <v>2</v>
      </c>
      <c r="Q614" s="34" t="s">
        <v>117</v>
      </c>
      <c r="R614" s="369">
        <f>(B385*L614)+(B386*N614)+(B387*P614)</f>
        <v>2</v>
      </c>
      <c r="S614" s="34" t="s">
        <v>117</v>
      </c>
    </row>
    <row r="615" spans="1:19" x14ac:dyDescent="0.3">
      <c r="A615" s="9" t="s">
        <v>1024</v>
      </c>
      <c r="B615" s="828" t="s">
        <v>45</v>
      </c>
      <c r="C615" s="48" t="s">
        <v>115</v>
      </c>
      <c r="D615" s="828" t="s">
        <v>45</v>
      </c>
      <c r="E615" s="48" t="s">
        <v>115</v>
      </c>
      <c r="F615" s="828" t="s">
        <v>45</v>
      </c>
      <c r="G615" s="48" t="s">
        <v>115</v>
      </c>
      <c r="H615" s="833">
        <f>H614</f>
        <v>0.33333333333333331</v>
      </c>
      <c r="I615" s="48" t="s">
        <v>115</v>
      </c>
      <c r="J615" s="216" t="s">
        <v>1458</v>
      </c>
      <c r="K615" s="234" t="s">
        <v>1023</v>
      </c>
      <c r="L615" s="828" t="s">
        <v>45</v>
      </c>
      <c r="M615" s="234" t="s">
        <v>119</v>
      </c>
      <c r="N615" s="828" t="s">
        <v>45</v>
      </c>
      <c r="O615" s="234" t="s">
        <v>119</v>
      </c>
      <c r="P615" s="828" t="s">
        <v>45</v>
      </c>
      <c r="Q615" s="234" t="s">
        <v>119</v>
      </c>
      <c r="R615" s="833">
        <f>R614</f>
        <v>2</v>
      </c>
      <c r="S615" s="234" t="s">
        <v>119</v>
      </c>
    </row>
    <row r="616" spans="1:19" x14ac:dyDescent="0.3">
      <c r="A616" s="640" t="s">
        <v>1210</v>
      </c>
      <c r="B616" s="826">
        <f>$J$614</f>
        <v>0.91666666666666663</v>
      </c>
      <c r="C616" s="34" t="s">
        <v>115</v>
      </c>
      <c r="D616" s="634">
        <f>(1/5.09)*(5.09/3)</f>
        <v>0.33333333333333331</v>
      </c>
      <c r="E616" s="34" t="s">
        <v>115</v>
      </c>
      <c r="F616" s="634">
        <f>1/6.79</f>
        <v>0.14727540500736377</v>
      </c>
      <c r="G616" s="34" t="s">
        <v>115</v>
      </c>
      <c r="H616" s="369">
        <f>(B388*B616)+(B389*D616)+(B390*F616)</f>
        <v>0.33333333333333331</v>
      </c>
      <c r="I616" s="34" t="s">
        <v>115</v>
      </c>
      <c r="J616" s="634">
        <f>1/3</f>
        <v>0.33333333333333331</v>
      </c>
      <c r="K616" s="640" t="s">
        <v>1211</v>
      </c>
      <c r="L616" s="634">
        <f>2*(4/3)</f>
        <v>2.6666666666666665</v>
      </c>
      <c r="M616" s="34" t="s">
        <v>117</v>
      </c>
      <c r="N616" s="644">
        <v>2</v>
      </c>
      <c r="O616" s="34" t="s">
        <v>117</v>
      </c>
      <c r="P616" s="644">
        <v>2</v>
      </c>
      <c r="Q616" s="34" t="s">
        <v>117</v>
      </c>
      <c r="R616" s="369">
        <f>(B388*L616)+(B389*N616)+(B390*P616)</f>
        <v>2</v>
      </c>
      <c r="S616" s="34" t="s">
        <v>117</v>
      </c>
    </row>
    <row r="617" spans="1:19" x14ac:dyDescent="0.3">
      <c r="A617" s="9" t="s">
        <v>1024</v>
      </c>
      <c r="B617" s="828" t="s">
        <v>45</v>
      </c>
      <c r="C617" s="48" t="s">
        <v>115</v>
      </c>
      <c r="D617" s="828" t="s">
        <v>45</v>
      </c>
      <c r="E617" s="48" t="s">
        <v>115</v>
      </c>
      <c r="F617" s="828" t="s">
        <v>45</v>
      </c>
      <c r="G617" s="48" t="s">
        <v>115</v>
      </c>
      <c r="H617" s="833">
        <f>H616</f>
        <v>0.33333333333333331</v>
      </c>
      <c r="I617" s="48" t="s">
        <v>115</v>
      </c>
      <c r="J617" s="216" t="s">
        <v>1459</v>
      </c>
      <c r="K617" s="234" t="s">
        <v>1023</v>
      </c>
      <c r="L617" s="828" t="s">
        <v>45</v>
      </c>
      <c r="M617" s="234" t="s">
        <v>119</v>
      </c>
      <c r="N617" s="828" t="s">
        <v>45</v>
      </c>
      <c r="O617" s="234" t="s">
        <v>119</v>
      </c>
      <c r="P617" s="828" t="s">
        <v>45</v>
      </c>
      <c r="Q617" s="234" t="s">
        <v>119</v>
      </c>
      <c r="R617" s="833">
        <f>R616</f>
        <v>2</v>
      </c>
      <c r="S617" s="234" t="s">
        <v>119</v>
      </c>
    </row>
    <row r="618" spans="1:19" x14ac:dyDescent="0.3">
      <c r="A618" s="17" t="s">
        <v>677</v>
      </c>
      <c r="B618" s="827" t="s">
        <v>1434</v>
      </c>
      <c r="C618" s="34" t="s">
        <v>115</v>
      </c>
      <c r="D618" s="827" t="s">
        <v>1434</v>
      </c>
      <c r="E618" s="34" t="s">
        <v>115</v>
      </c>
      <c r="F618" s="827" t="s">
        <v>1434</v>
      </c>
      <c r="G618" s="34" t="s">
        <v>115</v>
      </c>
      <c r="H618" s="273">
        <f>(45*2)</f>
        <v>90</v>
      </c>
      <c r="I618" s="34" t="s">
        <v>115</v>
      </c>
      <c r="J618" s="826">
        <f>F616</f>
        <v>0.14727540500736377</v>
      </c>
      <c r="K618" s="17" t="s">
        <v>882</v>
      </c>
      <c r="L618" s="827" t="s">
        <v>1434</v>
      </c>
      <c r="M618" s="34" t="s">
        <v>117</v>
      </c>
      <c r="N618" s="827" t="s">
        <v>1434</v>
      </c>
      <c r="O618" s="34" t="s">
        <v>117</v>
      </c>
      <c r="P618" s="827" t="s">
        <v>1434</v>
      </c>
      <c r="Q618" s="34" t="s">
        <v>117</v>
      </c>
      <c r="R618" s="278">
        <v>0.01</v>
      </c>
      <c r="S618" s="34" t="s">
        <v>117</v>
      </c>
    </row>
    <row r="619" spans="1:19" x14ac:dyDescent="0.3">
      <c r="A619" s="9" t="s">
        <v>1024</v>
      </c>
      <c r="B619" s="828" t="s">
        <v>1434</v>
      </c>
      <c r="C619" s="48" t="s">
        <v>115</v>
      </c>
      <c r="D619" s="828" t="s">
        <v>1434</v>
      </c>
      <c r="E619" s="48" t="s">
        <v>115</v>
      </c>
      <c r="F619" s="828" t="s">
        <v>1434</v>
      </c>
      <c r="G619" s="48" t="s">
        <v>115</v>
      </c>
      <c r="H619" s="485">
        <f>H618</f>
        <v>90</v>
      </c>
      <c r="I619" s="48" t="s">
        <v>115</v>
      </c>
      <c r="K619" s="234" t="s">
        <v>1023</v>
      </c>
      <c r="L619" s="828" t="s">
        <v>1434</v>
      </c>
      <c r="M619" s="234" t="s">
        <v>119</v>
      </c>
      <c r="N619" s="828" t="s">
        <v>1434</v>
      </c>
      <c r="O619" s="234" t="s">
        <v>119</v>
      </c>
      <c r="P619" s="828" t="s">
        <v>1434</v>
      </c>
      <c r="Q619" s="234" t="s">
        <v>119</v>
      </c>
      <c r="R619" s="464">
        <f>R618</f>
        <v>0.01</v>
      </c>
      <c r="S619" s="234" t="s">
        <v>119</v>
      </c>
    </row>
    <row r="620" spans="1:19" x14ac:dyDescent="0.3">
      <c r="A620" s="17" t="s">
        <v>579</v>
      </c>
      <c r="B620" s="827" t="s">
        <v>1434</v>
      </c>
      <c r="C620" s="34" t="s">
        <v>115</v>
      </c>
      <c r="D620" s="827" t="s">
        <v>1434</v>
      </c>
      <c r="E620" s="34" t="s">
        <v>115</v>
      </c>
      <c r="F620" s="827" t="s">
        <v>1434</v>
      </c>
      <c r="G620" s="34" t="s">
        <v>115</v>
      </c>
      <c r="H620" s="273">
        <v>3</v>
      </c>
      <c r="I620" s="34" t="s">
        <v>115</v>
      </c>
      <c r="K620" s="17" t="s">
        <v>883</v>
      </c>
      <c r="L620" s="827" t="s">
        <v>1434</v>
      </c>
      <c r="M620" s="34" t="s">
        <v>117</v>
      </c>
      <c r="N620" s="827" t="s">
        <v>1434</v>
      </c>
      <c r="O620" s="34" t="s">
        <v>117</v>
      </c>
      <c r="P620" s="827" t="s">
        <v>1434</v>
      </c>
      <c r="Q620" s="34" t="s">
        <v>117</v>
      </c>
      <c r="R620" s="375">
        <f>2.0342167721519</f>
        <v>2.0342167721519</v>
      </c>
      <c r="S620" s="34" t="s">
        <v>117</v>
      </c>
    </row>
    <row r="621" spans="1:19" x14ac:dyDescent="0.3">
      <c r="A621" s="9" t="s">
        <v>1024</v>
      </c>
      <c r="B621" s="828" t="s">
        <v>1434</v>
      </c>
      <c r="C621" s="48" t="s">
        <v>115</v>
      </c>
      <c r="D621" s="828" t="s">
        <v>1434</v>
      </c>
      <c r="E621" s="48" t="s">
        <v>115</v>
      </c>
      <c r="F621" s="828" t="s">
        <v>1434</v>
      </c>
      <c r="G621" s="48" t="s">
        <v>115</v>
      </c>
      <c r="H621" s="485">
        <f>H620</f>
        <v>3</v>
      </c>
      <c r="I621" s="48" t="s">
        <v>115</v>
      </c>
      <c r="K621" s="234" t="s">
        <v>1023</v>
      </c>
      <c r="L621" s="828" t="s">
        <v>1434</v>
      </c>
      <c r="M621" s="234" t="s">
        <v>119</v>
      </c>
      <c r="N621" s="828" t="s">
        <v>1434</v>
      </c>
      <c r="O621" s="234" t="s">
        <v>119</v>
      </c>
      <c r="P621" s="828" t="s">
        <v>1434</v>
      </c>
      <c r="Q621" s="234" t="s">
        <v>119</v>
      </c>
      <c r="R621" s="464">
        <f>R620</f>
        <v>2.0342167721519</v>
      </c>
      <c r="S621" s="234" t="s">
        <v>119</v>
      </c>
    </row>
    <row r="622" spans="1:19" x14ac:dyDescent="0.3">
      <c r="A622" s="17" t="s">
        <v>456</v>
      </c>
      <c r="B622" s="827" t="s">
        <v>1434</v>
      </c>
      <c r="C622" s="34" t="s">
        <v>115</v>
      </c>
      <c r="D622" s="827" t="s">
        <v>1434</v>
      </c>
      <c r="E622" s="34" t="s">
        <v>115</v>
      </c>
      <c r="F622" s="827" t="s">
        <v>1434</v>
      </c>
      <c r="G622" s="34" t="s">
        <v>115</v>
      </c>
      <c r="H622" s="278">
        <v>0.2</v>
      </c>
      <c r="I622" s="34" t="s">
        <v>115</v>
      </c>
      <c r="K622" s="17" t="s">
        <v>884</v>
      </c>
      <c r="L622" s="827" t="s">
        <v>1434</v>
      </c>
      <c r="M622" s="34" t="s">
        <v>117</v>
      </c>
      <c r="N622" s="827" t="s">
        <v>1434</v>
      </c>
      <c r="O622" s="34" t="s">
        <v>117</v>
      </c>
      <c r="P622" s="827" t="s">
        <v>1434</v>
      </c>
      <c r="Q622" s="34" t="s">
        <v>117</v>
      </c>
      <c r="R622" s="278">
        <v>0.27217913789886172</v>
      </c>
      <c r="S622" s="34" t="s">
        <v>117</v>
      </c>
    </row>
    <row r="623" spans="1:19" x14ac:dyDescent="0.3">
      <c r="A623" s="9" t="s">
        <v>1024</v>
      </c>
      <c r="B623" s="828" t="s">
        <v>1434</v>
      </c>
      <c r="C623" s="48" t="s">
        <v>115</v>
      </c>
      <c r="D623" s="828" t="s">
        <v>1434</v>
      </c>
      <c r="E623" s="48" t="s">
        <v>115</v>
      </c>
      <c r="F623" s="828" t="s">
        <v>1434</v>
      </c>
      <c r="G623" s="48" t="s">
        <v>115</v>
      </c>
      <c r="H623" s="464">
        <f>H622</f>
        <v>0.2</v>
      </c>
      <c r="I623" s="48" t="s">
        <v>115</v>
      </c>
      <c r="K623" s="234" t="s">
        <v>1023</v>
      </c>
      <c r="L623" s="828" t="s">
        <v>1434</v>
      </c>
      <c r="M623" s="234" t="s">
        <v>119</v>
      </c>
      <c r="N623" s="828" t="s">
        <v>1434</v>
      </c>
      <c r="O623" s="234" t="s">
        <v>119</v>
      </c>
      <c r="P623" s="828" t="s">
        <v>1434</v>
      </c>
      <c r="Q623" s="234" t="s">
        <v>119</v>
      </c>
      <c r="R623" s="464">
        <f>R622</f>
        <v>0.27217913789886172</v>
      </c>
      <c r="S623" s="234" t="s">
        <v>119</v>
      </c>
    </row>
    <row r="624" spans="1:19" x14ac:dyDescent="0.3">
      <c r="A624" s="17" t="s">
        <v>336</v>
      </c>
      <c r="B624" s="826">
        <f>$H$624</f>
        <v>0.12036247017561544</v>
      </c>
      <c r="C624" s="34" t="s">
        <v>115</v>
      </c>
      <c r="D624" s="826">
        <f>$H$624</f>
        <v>0.12036247017561544</v>
      </c>
      <c r="E624" s="34" t="s">
        <v>115</v>
      </c>
      <c r="F624" s="826">
        <f>$H$624</f>
        <v>0.12036247017561544</v>
      </c>
      <c r="G624" s="34" t="s">
        <v>115</v>
      </c>
      <c r="H624" s="359">
        <v>0.12036247017561544</v>
      </c>
      <c r="I624" s="34" t="s">
        <v>115</v>
      </c>
      <c r="K624" s="17" t="s">
        <v>885</v>
      </c>
      <c r="L624" s="826">
        <f>$R$624</f>
        <v>0.18508181377122601</v>
      </c>
      <c r="M624" s="34" t="s">
        <v>117</v>
      </c>
      <c r="N624" s="826">
        <f>$R$624</f>
        <v>0.18508181377122601</v>
      </c>
      <c r="O624" s="34" t="s">
        <v>117</v>
      </c>
      <c r="P624" s="826">
        <f>$R$624</f>
        <v>0.18508181377122601</v>
      </c>
      <c r="Q624" s="34" t="s">
        <v>117</v>
      </c>
      <c r="R624" s="359">
        <v>0.18508181377122601</v>
      </c>
      <c r="S624" s="34" t="s">
        <v>117</v>
      </c>
    </row>
    <row r="625" spans="1:19" x14ac:dyDescent="0.3">
      <c r="A625" s="9" t="s">
        <v>1024</v>
      </c>
      <c r="B625" s="912">
        <f>$H$625</f>
        <v>0.12036247017561544</v>
      </c>
      <c r="C625" s="48" t="s">
        <v>115</v>
      </c>
      <c r="D625" s="912">
        <f>$H$625</f>
        <v>0.12036247017561544</v>
      </c>
      <c r="E625" s="48" t="s">
        <v>115</v>
      </c>
      <c r="F625" s="912">
        <f>$H$625</f>
        <v>0.12036247017561544</v>
      </c>
      <c r="G625" s="48" t="s">
        <v>115</v>
      </c>
      <c r="H625" s="911">
        <f>H624</f>
        <v>0.12036247017561544</v>
      </c>
      <c r="I625" s="48" t="s">
        <v>115</v>
      </c>
      <c r="K625" s="234" t="s">
        <v>1023</v>
      </c>
      <c r="L625" s="916">
        <f>$R$625</f>
        <v>0.18508181377122601</v>
      </c>
      <c r="M625" s="234" t="s">
        <v>119</v>
      </c>
      <c r="N625" s="916">
        <f>$R$625</f>
        <v>0.18508181377122601</v>
      </c>
      <c r="O625" s="234" t="s">
        <v>119</v>
      </c>
      <c r="P625" s="916">
        <f>$R$625</f>
        <v>0.18508181377122601</v>
      </c>
      <c r="Q625" s="234" t="s">
        <v>119</v>
      </c>
      <c r="R625" s="911">
        <f>R624</f>
        <v>0.18508181377122601</v>
      </c>
      <c r="S625" s="234" t="s">
        <v>119</v>
      </c>
    </row>
    <row r="626" spans="1:19" x14ac:dyDescent="0.3">
      <c r="A626" s="17" t="s">
        <v>437</v>
      </c>
      <c r="B626" s="826">
        <f>$H$626</f>
        <v>0.13621974799240236</v>
      </c>
      <c r="C626" s="34" t="s">
        <v>115</v>
      </c>
      <c r="D626" s="826">
        <f>$H$626</f>
        <v>0.13621974799240236</v>
      </c>
      <c r="E626" s="34" t="s">
        <v>115</v>
      </c>
      <c r="F626" s="826">
        <f>$H$626</f>
        <v>0.13621974799240236</v>
      </c>
      <c r="G626" s="34" t="s">
        <v>115</v>
      </c>
      <c r="H626" s="359">
        <v>0.13621974799240236</v>
      </c>
      <c r="I626" s="34" t="s">
        <v>115</v>
      </c>
      <c r="K626" s="17" t="s">
        <v>886</v>
      </c>
      <c r="L626" s="826">
        <f>$R$626</f>
        <v>0.13964373885596201</v>
      </c>
      <c r="M626" s="34" t="s">
        <v>117</v>
      </c>
      <c r="N626" s="826">
        <f>$R$626</f>
        <v>0.13964373885596201</v>
      </c>
      <c r="O626" s="34" t="s">
        <v>117</v>
      </c>
      <c r="P626" s="826">
        <f>$R$626</f>
        <v>0.13964373885596201</v>
      </c>
      <c r="Q626" s="34" t="s">
        <v>117</v>
      </c>
      <c r="R626" s="359">
        <v>0.13964373885596201</v>
      </c>
      <c r="S626" s="34" t="s">
        <v>117</v>
      </c>
    </row>
    <row r="627" spans="1:19" x14ac:dyDescent="0.3">
      <c r="A627" s="9" t="s">
        <v>1024</v>
      </c>
      <c r="B627" s="912">
        <f>$H$627</f>
        <v>0.13621974799240236</v>
      </c>
      <c r="C627" s="48" t="s">
        <v>115</v>
      </c>
      <c r="D627" s="912">
        <f>$H$627</f>
        <v>0.13621974799240236</v>
      </c>
      <c r="E627" s="48" t="s">
        <v>115</v>
      </c>
      <c r="F627" s="912">
        <f>$H$627</f>
        <v>0.13621974799240236</v>
      </c>
      <c r="G627" s="48" t="s">
        <v>115</v>
      </c>
      <c r="H627" s="911">
        <f>H626</f>
        <v>0.13621974799240236</v>
      </c>
      <c r="I627" s="48" t="s">
        <v>115</v>
      </c>
      <c r="K627" s="234" t="s">
        <v>1023</v>
      </c>
      <c r="L627" s="916">
        <f>$R$627</f>
        <v>0.13964373885596201</v>
      </c>
      <c r="M627" s="234" t="s">
        <v>119</v>
      </c>
      <c r="N627" s="916">
        <f>$R$627</f>
        <v>0.13964373885596201</v>
      </c>
      <c r="O627" s="234" t="s">
        <v>119</v>
      </c>
      <c r="P627" s="916">
        <f>$R$627</f>
        <v>0.13964373885596201</v>
      </c>
      <c r="Q627" s="234" t="s">
        <v>119</v>
      </c>
      <c r="R627" s="911">
        <f>R626</f>
        <v>0.13964373885596201</v>
      </c>
      <c r="S627" s="234" t="s">
        <v>119</v>
      </c>
    </row>
    <row r="628" spans="1:19" x14ac:dyDescent="0.3">
      <c r="A628" s="17" t="s">
        <v>585</v>
      </c>
      <c r="B628" s="826">
        <f>$H$628</f>
        <v>5.2539173489355752E-2</v>
      </c>
      <c r="C628" s="34" t="s">
        <v>115</v>
      </c>
      <c r="D628" s="826">
        <f>$H$628</f>
        <v>5.2539173489355752E-2</v>
      </c>
      <c r="E628" s="34" t="s">
        <v>115</v>
      </c>
      <c r="F628" s="826">
        <f>$H$628</f>
        <v>5.2539173489355752E-2</v>
      </c>
      <c r="G628" s="34" t="s">
        <v>115</v>
      </c>
      <c r="H628" s="359">
        <v>5.2539173489355752E-2</v>
      </c>
      <c r="I628" s="34" t="s">
        <v>115</v>
      </c>
      <c r="K628" s="17" t="s">
        <v>887</v>
      </c>
      <c r="L628" s="826">
        <f>$R$628</f>
        <v>9.4254627383494702E-2</v>
      </c>
      <c r="M628" s="34" t="s">
        <v>117</v>
      </c>
      <c r="N628" s="826">
        <f>$R$628</f>
        <v>9.4254627383494702E-2</v>
      </c>
      <c r="O628" s="34" t="s">
        <v>117</v>
      </c>
      <c r="P628" s="826">
        <f>$R$628</f>
        <v>9.4254627383494702E-2</v>
      </c>
      <c r="Q628" s="34" t="s">
        <v>117</v>
      </c>
      <c r="R628" s="359">
        <v>9.4254627383494702E-2</v>
      </c>
      <c r="S628" s="34" t="s">
        <v>117</v>
      </c>
    </row>
    <row r="629" spans="1:19" x14ac:dyDescent="0.3">
      <c r="A629" s="9" t="s">
        <v>1024</v>
      </c>
      <c r="B629" s="912">
        <f>$H$629</f>
        <v>5.2539173489355752E-2</v>
      </c>
      <c r="C629" s="48" t="s">
        <v>115</v>
      </c>
      <c r="D629" s="912">
        <f>$H$629</f>
        <v>5.2539173489355752E-2</v>
      </c>
      <c r="E629" s="48" t="s">
        <v>115</v>
      </c>
      <c r="F629" s="912">
        <f>$H$629</f>
        <v>5.2539173489355752E-2</v>
      </c>
      <c r="G629" s="48" t="s">
        <v>115</v>
      </c>
      <c r="H629" s="911">
        <f>H628</f>
        <v>5.2539173489355752E-2</v>
      </c>
      <c r="I629" s="48" t="s">
        <v>115</v>
      </c>
      <c r="K629" s="234" t="s">
        <v>1023</v>
      </c>
      <c r="L629" s="916">
        <f>$R$629</f>
        <v>9.4254627383494702E-2</v>
      </c>
      <c r="M629" s="234" t="s">
        <v>119</v>
      </c>
      <c r="N629" s="916">
        <f>$R$629</f>
        <v>9.4254627383494702E-2</v>
      </c>
      <c r="O629" s="234" t="s">
        <v>119</v>
      </c>
      <c r="P629" s="916">
        <f>$R$629</f>
        <v>9.4254627383494702E-2</v>
      </c>
      <c r="Q629" s="234" t="s">
        <v>119</v>
      </c>
      <c r="R629" s="911">
        <f>R628</f>
        <v>9.4254627383494702E-2</v>
      </c>
      <c r="S629" s="234" t="s">
        <v>119</v>
      </c>
    </row>
    <row r="630" spans="1:19" x14ac:dyDescent="0.3">
      <c r="A630" s="17" t="s">
        <v>1956</v>
      </c>
      <c r="B630" s="826">
        <f>$H$630</f>
        <v>7.8140079844169097E-2</v>
      </c>
      <c r="C630" s="34" t="s">
        <v>115</v>
      </c>
      <c r="D630" s="826">
        <f>$H$630</f>
        <v>7.8140079844169097E-2</v>
      </c>
      <c r="E630" s="34" t="s">
        <v>115</v>
      </c>
      <c r="F630" s="826">
        <f>$H$630</f>
        <v>7.8140079844169097E-2</v>
      </c>
      <c r="G630" s="34" t="s">
        <v>115</v>
      </c>
      <c r="H630" s="359">
        <v>7.8140079844169097E-2</v>
      </c>
      <c r="I630" s="34" t="s">
        <v>115</v>
      </c>
      <c r="K630" s="17" t="s">
        <v>1958</v>
      </c>
      <c r="L630" s="826">
        <f>$R$630</f>
        <v>0.15019536077863399</v>
      </c>
      <c r="M630" s="34" t="s">
        <v>117</v>
      </c>
      <c r="N630" s="826">
        <f>$R$630</f>
        <v>0.15019536077863399</v>
      </c>
      <c r="O630" s="34" t="s">
        <v>117</v>
      </c>
      <c r="P630" s="826">
        <f>$R$630</f>
        <v>0.15019536077863399</v>
      </c>
      <c r="Q630" s="34" t="s">
        <v>117</v>
      </c>
      <c r="R630" s="359">
        <v>0.15019536077863399</v>
      </c>
      <c r="S630" s="34" t="s">
        <v>117</v>
      </c>
    </row>
    <row r="631" spans="1:19" x14ac:dyDescent="0.3">
      <c r="A631" s="9" t="s">
        <v>1024</v>
      </c>
      <c r="B631" s="912">
        <f>$H$631</f>
        <v>7.8140079844169097E-2</v>
      </c>
      <c r="C631" s="48" t="s">
        <v>115</v>
      </c>
      <c r="D631" s="912">
        <f>$H$631</f>
        <v>7.8140079844169097E-2</v>
      </c>
      <c r="E631" s="48" t="s">
        <v>115</v>
      </c>
      <c r="F631" s="912">
        <f>$H$631</f>
        <v>7.8140079844169097E-2</v>
      </c>
      <c r="G631" s="48" t="s">
        <v>115</v>
      </c>
      <c r="H631" s="911">
        <f>H630</f>
        <v>7.8140079844169097E-2</v>
      </c>
      <c r="I631" s="48" t="s">
        <v>115</v>
      </c>
      <c r="K631" s="234" t="s">
        <v>1023</v>
      </c>
      <c r="L631" s="916">
        <f>$R$631</f>
        <v>0.15019536077863399</v>
      </c>
      <c r="M631" s="234" t="s">
        <v>119</v>
      </c>
      <c r="N631" s="916">
        <f>$R$631</f>
        <v>0.15019536077863399</v>
      </c>
      <c r="O631" s="234" t="s">
        <v>119</v>
      </c>
      <c r="P631" s="916">
        <f>$R$631</f>
        <v>0.15019536077863399</v>
      </c>
      <c r="Q631" s="234" t="s">
        <v>119</v>
      </c>
      <c r="R631" s="911">
        <f>R630</f>
        <v>0.15019536077863399</v>
      </c>
      <c r="S631" s="234" t="s">
        <v>119</v>
      </c>
    </row>
    <row r="632" spans="1:19" x14ac:dyDescent="0.3">
      <c r="A632" s="17" t="s">
        <v>1957</v>
      </c>
      <c r="B632" s="826">
        <f>$H$632</f>
        <v>9.6525980983973594E-2</v>
      </c>
      <c r="C632" s="34" t="s">
        <v>115</v>
      </c>
      <c r="D632" s="826">
        <f>$H$632</f>
        <v>9.6525980983973594E-2</v>
      </c>
      <c r="E632" s="34" t="s">
        <v>115</v>
      </c>
      <c r="F632" s="826">
        <f>$H$632</f>
        <v>9.6525980983973594E-2</v>
      </c>
      <c r="G632" s="34" t="s">
        <v>115</v>
      </c>
      <c r="H632" s="634">
        <f>0.0781400798441691*(42/34)*(60/60)</f>
        <v>9.6525980983973594E-2</v>
      </c>
      <c r="I632" s="34" t="s">
        <v>115</v>
      </c>
      <c r="K632" s="17" t="s">
        <v>1959</v>
      </c>
      <c r="L632" s="826">
        <f>$R$632</f>
        <v>0.18553544566772434</v>
      </c>
      <c r="M632" s="34" t="s">
        <v>117</v>
      </c>
      <c r="N632" s="826">
        <f>$R$632</f>
        <v>0.18553544566772434</v>
      </c>
      <c r="O632" s="34" t="s">
        <v>117</v>
      </c>
      <c r="P632" s="826">
        <f>$R$632</f>
        <v>0.18553544566772434</v>
      </c>
      <c r="Q632" s="34" t="s">
        <v>117</v>
      </c>
      <c r="R632" s="634">
        <f>0.150195360778634*(42/34)*(60/60)</f>
        <v>0.18553544566772434</v>
      </c>
      <c r="S632" s="34" t="s">
        <v>117</v>
      </c>
    </row>
    <row r="633" spans="1:19" x14ac:dyDescent="0.3">
      <c r="A633" s="9" t="s">
        <v>1024</v>
      </c>
      <c r="B633" s="912">
        <f>$H$633</f>
        <v>9.6525980983973594E-2</v>
      </c>
      <c r="C633" s="48" t="s">
        <v>115</v>
      </c>
      <c r="D633" s="912">
        <f>$H$633</f>
        <v>9.6525980983973594E-2</v>
      </c>
      <c r="E633" s="48" t="s">
        <v>115</v>
      </c>
      <c r="F633" s="912">
        <f>$H$633</f>
        <v>9.6525980983973594E-2</v>
      </c>
      <c r="G633" s="48" t="s">
        <v>115</v>
      </c>
      <c r="H633" s="910">
        <f t="shared" ref="H633:H635" si="57">H632</f>
        <v>9.6525980983973594E-2</v>
      </c>
      <c r="I633" s="634" t="s">
        <v>115</v>
      </c>
      <c r="K633" s="234" t="s">
        <v>1023</v>
      </c>
      <c r="L633" s="916">
        <f>$R$633</f>
        <v>0.18553544566772434</v>
      </c>
      <c r="M633" s="234" t="s">
        <v>119</v>
      </c>
      <c r="N633" s="916">
        <f>$R$633</f>
        <v>0.18553544566772434</v>
      </c>
      <c r="O633" s="234" t="s">
        <v>119</v>
      </c>
      <c r="P633" s="916">
        <f>$R$633</f>
        <v>0.18553544566772434</v>
      </c>
      <c r="Q633" s="234" t="s">
        <v>119</v>
      </c>
      <c r="R633" s="910">
        <f t="shared" ref="R633:R635" si="58">R632</f>
        <v>0.18553544566772434</v>
      </c>
      <c r="S633" s="234" t="s">
        <v>119</v>
      </c>
    </row>
    <row r="634" spans="1:19" x14ac:dyDescent="0.3">
      <c r="A634" s="17" t="s">
        <v>1286</v>
      </c>
      <c r="B634" s="826">
        <f>$H$634</f>
        <v>7.7220784787178864E-2</v>
      </c>
      <c r="C634" s="34" t="s">
        <v>115</v>
      </c>
      <c r="D634" s="826">
        <f>$H$634</f>
        <v>7.7220784787178864E-2</v>
      </c>
      <c r="E634" s="34" t="s">
        <v>115</v>
      </c>
      <c r="F634" s="826">
        <f>$H$634</f>
        <v>7.7220784787178864E-2</v>
      </c>
      <c r="G634" s="34" t="s">
        <v>115</v>
      </c>
      <c r="H634" s="634">
        <f>0.0781400798441691*(36/34)*(56/60)</f>
        <v>7.7220784787178864E-2</v>
      </c>
      <c r="I634" s="34" t="s">
        <v>115</v>
      </c>
      <c r="K634" s="17" t="s">
        <v>1614</v>
      </c>
      <c r="L634" s="826">
        <f>$R$634</f>
        <v>0.14842835653417946</v>
      </c>
      <c r="M634" s="34" t="s">
        <v>117</v>
      </c>
      <c r="N634" s="826">
        <f>$R$634</f>
        <v>0.14842835653417946</v>
      </c>
      <c r="O634" s="34" t="s">
        <v>117</v>
      </c>
      <c r="P634" s="826">
        <f>$R$634</f>
        <v>0.14842835653417946</v>
      </c>
      <c r="Q634" s="34" t="s">
        <v>117</v>
      </c>
      <c r="R634" s="634">
        <f>0.150195360778634*(36/34)*(56/60)</f>
        <v>0.14842835653417946</v>
      </c>
      <c r="S634" s="34" t="s">
        <v>117</v>
      </c>
    </row>
    <row r="635" spans="1:19" x14ac:dyDescent="0.3">
      <c r="A635" s="9" t="s">
        <v>1024</v>
      </c>
      <c r="B635" s="912">
        <f>$H$635</f>
        <v>7.7220784787178864E-2</v>
      </c>
      <c r="C635" s="48" t="s">
        <v>115</v>
      </c>
      <c r="D635" s="912">
        <f>$H$635</f>
        <v>7.7220784787178864E-2</v>
      </c>
      <c r="E635" s="48" t="s">
        <v>115</v>
      </c>
      <c r="F635" s="912">
        <f>$H$635</f>
        <v>7.7220784787178864E-2</v>
      </c>
      <c r="G635" s="48" t="s">
        <v>115</v>
      </c>
      <c r="H635" s="910">
        <f t="shared" si="57"/>
        <v>7.7220784787178864E-2</v>
      </c>
      <c r="I635" s="634" t="s">
        <v>115</v>
      </c>
      <c r="K635" s="234" t="s">
        <v>1023</v>
      </c>
      <c r="L635" s="916">
        <f>$R$635</f>
        <v>0.14842835653417946</v>
      </c>
      <c r="M635" s="234" t="s">
        <v>119</v>
      </c>
      <c r="N635" s="916">
        <f>$R$635</f>
        <v>0.14842835653417946</v>
      </c>
      <c r="O635" s="234" t="s">
        <v>119</v>
      </c>
      <c r="P635" s="916">
        <f>$R$635</f>
        <v>0.14842835653417946</v>
      </c>
      <c r="Q635" s="234" t="s">
        <v>119</v>
      </c>
      <c r="R635" s="910">
        <f t="shared" si="58"/>
        <v>0.14842835653417946</v>
      </c>
      <c r="S635" s="234" t="s">
        <v>119</v>
      </c>
    </row>
    <row r="636" spans="1:19" x14ac:dyDescent="0.3">
      <c r="A636" s="17" t="s">
        <v>1285</v>
      </c>
      <c r="B636" s="826">
        <f>$H$636</f>
        <v>7.8140079844169097E-2</v>
      </c>
      <c r="C636" s="34" t="s">
        <v>115</v>
      </c>
      <c r="D636" s="826">
        <f>$H$636</f>
        <v>7.8140079844169097E-2</v>
      </c>
      <c r="E636" s="34" t="s">
        <v>115</v>
      </c>
      <c r="F636" s="826">
        <f>$H$636</f>
        <v>7.8140079844169097E-2</v>
      </c>
      <c r="G636" s="34" t="s">
        <v>115</v>
      </c>
      <c r="H636" s="634">
        <v>7.8140079844169097E-2</v>
      </c>
      <c r="I636" s="34" t="s">
        <v>115</v>
      </c>
      <c r="K636" s="17" t="s">
        <v>1615</v>
      </c>
      <c r="L636" s="826">
        <f>$R$636</f>
        <v>0.15019536077863399</v>
      </c>
      <c r="M636" s="34" t="s">
        <v>117</v>
      </c>
      <c r="N636" s="826">
        <f>$R$636</f>
        <v>0.15019536077863399</v>
      </c>
      <c r="O636" s="34" t="s">
        <v>117</v>
      </c>
      <c r="P636" s="826">
        <f>$R$636</f>
        <v>0.15019536077863399</v>
      </c>
      <c r="Q636" s="34" t="s">
        <v>117</v>
      </c>
      <c r="R636" s="634">
        <v>0.15019536077863399</v>
      </c>
      <c r="S636" s="34" t="s">
        <v>117</v>
      </c>
    </row>
    <row r="637" spans="1:19" x14ac:dyDescent="0.3">
      <c r="A637" s="9" t="s">
        <v>1024</v>
      </c>
      <c r="B637" s="912">
        <f>$H$637</f>
        <v>7.8140079844169097E-2</v>
      </c>
      <c r="C637" s="48" t="s">
        <v>115</v>
      </c>
      <c r="D637" s="912">
        <f>$H$637</f>
        <v>7.8140079844169097E-2</v>
      </c>
      <c r="E637" s="48" t="s">
        <v>115</v>
      </c>
      <c r="F637" s="912">
        <f>$H$637</f>
        <v>7.8140079844169097E-2</v>
      </c>
      <c r="G637" s="48" t="s">
        <v>115</v>
      </c>
      <c r="H637" s="910">
        <f t="shared" ref="H637:H639" si="59">H636</f>
        <v>7.8140079844169097E-2</v>
      </c>
      <c r="I637" s="48" t="s">
        <v>115</v>
      </c>
      <c r="K637" s="234" t="s">
        <v>1023</v>
      </c>
      <c r="L637" s="916">
        <f>$R$637</f>
        <v>0.15019536077863399</v>
      </c>
      <c r="M637" s="234" t="s">
        <v>119</v>
      </c>
      <c r="N637" s="916">
        <f>$R$637</f>
        <v>0.15019536077863399</v>
      </c>
      <c r="O637" s="234" t="s">
        <v>119</v>
      </c>
      <c r="P637" s="916">
        <f>$R$637</f>
        <v>0.15019536077863399</v>
      </c>
      <c r="Q637" s="234" t="s">
        <v>119</v>
      </c>
      <c r="R637" s="910">
        <f t="shared" ref="R637:R639" si="60">R636</f>
        <v>0.15019536077863399</v>
      </c>
      <c r="S637" s="234" t="s">
        <v>119</v>
      </c>
    </row>
    <row r="638" spans="1:19" x14ac:dyDescent="0.3">
      <c r="A638" s="17" t="s">
        <v>2131</v>
      </c>
      <c r="B638" s="826">
        <f>$H$638</f>
        <v>2.7578851709706743E-2</v>
      </c>
      <c r="C638" s="34" t="s">
        <v>115</v>
      </c>
      <c r="D638" s="826">
        <f>$H$638</f>
        <v>2.7578851709706743E-2</v>
      </c>
      <c r="E638" s="34" t="s">
        <v>115</v>
      </c>
      <c r="F638" s="826">
        <f>$H$638</f>
        <v>2.7578851709706743E-2</v>
      </c>
      <c r="G638" s="34" t="s">
        <v>115</v>
      </c>
      <c r="H638" s="634">
        <f>0.0781400798441691*(15/34)*(48/60)</f>
        <v>2.7578851709706743E-2</v>
      </c>
      <c r="I638" s="34" t="s">
        <v>115</v>
      </c>
      <c r="K638" s="17" t="s">
        <v>2132</v>
      </c>
      <c r="L638" s="826">
        <f>$R$638</f>
        <v>5.3010127333635526E-2</v>
      </c>
      <c r="M638" s="34" t="s">
        <v>117</v>
      </c>
      <c r="N638" s="826">
        <f>$R$638</f>
        <v>5.3010127333635526E-2</v>
      </c>
      <c r="O638" s="34" t="s">
        <v>117</v>
      </c>
      <c r="P638" s="826">
        <f>$R$638</f>
        <v>5.3010127333635526E-2</v>
      </c>
      <c r="Q638" s="34" t="s">
        <v>117</v>
      </c>
      <c r="R638" s="634">
        <f>0.150195360778634*(15/34)*(48/60)</f>
        <v>5.3010127333635526E-2</v>
      </c>
      <c r="S638" s="34" t="s">
        <v>117</v>
      </c>
    </row>
    <row r="639" spans="1:19" x14ac:dyDescent="0.3">
      <c r="A639" s="9" t="s">
        <v>1024</v>
      </c>
      <c r="B639" s="912">
        <f>$H$639</f>
        <v>2.7578851709706743E-2</v>
      </c>
      <c r="C639" s="48" t="s">
        <v>115</v>
      </c>
      <c r="D639" s="912">
        <f>$H$639</f>
        <v>2.7578851709706743E-2</v>
      </c>
      <c r="E639" s="48" t="s">
        <v>115</v>
      </c>
      <c r="F639" s="912">
        <f>$H$639</f>
        <v>2.7578851709706743E-2</v>
      </c>
      <c r="G639" s="48" t="s">
        <v>115</v>
      </c>
      <c r="H639" s="910">
        <f t="shared" si="59"/>
        <v>2.7578851709706743E-2</v>
      </c>
      <c r="I639" s="48" t="s">
        <v>115</v>
      </c>
      <c r="K639" s="234" t="s">
        <v>1023</v>
      </c>
      <c r="L639" s="916">
        <f>$R$639</f>
        <v>5.3010127333635526E-2</v>
      </c>
      <c r="M639" s="234" t="s">
        <v>119</v>
      </c>
      <c r="N639" s="916">
        <f>$R$639</f>
        <v>5.3010127333635526E-2</v>
      </c>
      <c r="O639" s="234" t="s">
        <v>119</v>
      </c>
      <c r="P639" s="916">
        <f>$R$639</f>
        <v>5.3010127333635526E-2</v>
      </c>
      <c r="Q639" s="234" t="s">
        <v>119</v>
      </c>
      <c r="R639" s="910">
        <f t="shared" si="60"/>
        <v>5.3010127333635526E-2</v>
      </c>
      <c r="S639" s="234" t="s">
        <v>119</v>
      </c>
    </row>
    <row r="640" spans="1:19" x14ac:dyDescent="0.3">
      <c r="A640" s="17" t="s">
        <v>1282</v>
      </c>
      <c r="B640" s="826">
        <f>$H$640</f>
        <v>7.8140079844169097E-2</v>
      </c>
      <c r="C640" s="34" t="s">
        <v>115</v>
      </c>
      <c r="D640" s="826">
        <f>$H$640</f>
        <v>7.8140079844169097E-2</v>
      </c>
      <c r="E640" s="34" t="s">
        <v>115</v>
      </c>
      <c r="F640" s="826">
        <f>$H$640</f>
        <v>7.8140079844169097E-2</v>
      </c>
      <c r="G640" s="34" t="s">
        <v>115</v>
      </c>
      <c r="H640" s="634">
        <v>7.8140079844169097E-2</v>
      </c>
      <c r="I640" s="34" t="s">
        <v>115</v>
      </c>
      <c r="K640" s="17" t="s">
        <v>1616</v>
      </c>
      <c r="L640" s="826">
        <f>$R$640</f>
        <v>0.15019536077863399</v>
      </c>
      <c r="M640" s="34" t="s">
        <v>117</v>
      </c>
      <c r="N640" s="826">
        <f>$R$640</f>
        <v>0.15019536077863399</v>
      </c>
      <c r="O640" s="34" t="s">
        <v>117</v>
      </c>
      <c r="P640" s="826">
        <f>$R$640</f>
        <v>0.15019536077863399</v>
      </c>
      <c r="Q640" s="34" t="s">
        <v>117</v>
      </c>
      <c r="R640" s="634">
        <v>0.15019536077863399</v>
      </c>
      <c r="S640" s="34" t="s">
        <v>117</v>
      </c>
    </row>
    <row r="641" spans="1:19" x14ac:dyDescent="0.3">
      <c r="A641" s="9" t="s">
        <v>1024</v>
      </c>
      <c r="B641" s="912">
        <f>$H$641</f>
        <v>7.8140079844169097E-2</v>
      </c>
      <c r="C641" s="48" t="s">
        <v>115</v>
      </c>
      <c r="D641" s="912">
        <f>$H$641</f>
        <v>7.8140079844169097E-2</v>
      </c>
      <c r="E641" s="48" t="s">
        <v>115</v>
      </c>
      <c r="F641" s="912">
        <f>$H$641</f>
        <v>7.8140079844169097E-2</v>
      </c>
      <c r="G641" s="48" t="s">
        <v>115</v>
      </c>
      <c r="H641" s="910">
        <f>H640</f>
        <v>7.8140079844169097E-2</v>
      </c>
      <c r="I641" s="48" t="s">
        <v>115</v>
      </c>
      <c r="K641" s="234" t="s">
        <v>1023</v>
      </c>
      <c r="L641" s="916">
        <f>$R$641</f>
        <v>0.15019536077863399</v>
      </c>
      <c r="M641" s="234" t="s">
        <v>119</v>
      </c>
      <c r="N641" s="916">
        <f>$R$641</f>
        <v>0.15019536077863399</v>
      </c>
      <c r="O641" s="234" t="s">
        <v>119</v>
      </c>
      <c r="P641" s="916">
        <f>$R$641</f>
        <v>0.15019536077863399</v>
      </c>
      <c r="Q641" s="234" t="s">
        <v>119</v>
      </c>
      <c r="R641" s="910">
        <f>R640</f>
        <v>0.15019536077863399</v>
      </c>
      <c r="S641" s="234" t="s">
        <v>119</v>
      </c>
    </row>
    <row r="642" spans="1:19" x14ac:dyDescent="0.3">
      <c r="A642" s="17" t="s">
        <v>341</v>
      </c>
      <c r="B642" s="826">
        <f>$H$642</f>
        <v>5.7455941061889046E-2</v>
      </c>
      <c r="C642" s="34" t="s">
        <v>115</v>
      </c>
      <c r="D642" s="826">
        <f>$H$642</f>
        <v>5.7455941061889046E-2</v>
      </c>
      <c r="E642" s="34" t="s">
        <v>115</v>
      </c>
      <c r="F642" s="826">
        <f>$H$642</f>
        <v>5.7455941061889046E-2</v>
      </c>
      <c r="G642" s="34" t="s">
        <v>115</v>
      </c>
      <c r="H642" s="634">
        <f>0.0781400798441691*(25/34)*(60/60)</f>
        <v>5.7455941061889046E-2</v>
      </c>
      <c r="I642" s="34" t="s">
        <v>115</v>
      </c>
      <c r="K642" s="17" t="s">
        <v>888</v>
      </c>
      <c r="L642" s="826">
        <f>$R$642</f>
        <v>0.11043776527840736</v>
      </c>
      <c r="M642" s="34" t="s">
        <v>117</v>
      </c>
      <c r="N642" s="826">
        <f>$R$642</f>
        <v>0.11043776527840736</v>
      </c>
      <c r="O642" s="34" t="s">
        <v>117</v>
      </c>
      <c r="P642" s="826">
        <f>$R$642</f>
        <v>0.11043776527840736</v>
      </c>
      <c r="Q642" s="34" t="s">
        <v>117</v>
      </c>
      <c r="R642" s="634">
        <f>0.150195360778634*(25/34)*(60/60)</f>
        <v>0.11043776527840736</v>
      </c>
      <c r="S642" s="34" t="s">
        <v>117</v>
      </c>
    </row>
    <row r="643" spans="1:19" x14ac:dyDescent="0.3">
      <c r="A643" s="9" t="s">
        <v>1024</v>
      </c>
      <c r="B643" s="912">
        <f>$H$643</f>
        <v>5.7455941061889046E-2</v>
      </c>
      <c r="C643" s="48" t="s">
        <v>115</v>
      </c>
      <c r="D643" s="912">
        <f>$H$643</f>
        <v>5.7455941061889046E-2</v>
      </c>
      <c r="E643" s="48" t="s">
        <v>115</v>
      </c>
      <c r="F643" s="912">
        <f>$H$643</f>
        <v>5.7455941061889046E-2</v>
      </c>
      <c r="G643" s="48" t="s">
        <v>115</v>
      </c>
      <c r="H643" s="910">
        <f>H642</f>
        <v>5.7455941061889046E-2</v>
      </c>
      <c r="I643" s="48" t="s">
        <v>115</v>
      </c>
      <c r="K643" s="234" t="s">
        <v>1023</v>
      </c>
      <c r="L643" s="916">
        <f>$R$643</f>
        <v>0.11043776527840736</v>
      </c>
      <c r="M643" s="234" t="s">
        <v>119</v>
      </c>
      <c r="N643" s="916">
        <f>$R$643</f>
        <v>0.11043776527840736</v>
      </c>
      <c r="O643" s="234" t="s">
        <v>119</v>
      </c>
      <c r="P643" s="916">
        <f>$R$643</f>
        <v>0.11043776527840736</v>
      </c>
      <c r="Q643" s="234" t="s">
        <v>119</v>
      </c>
      <c r="R643" s="910">
        <f>R642</f>
        <v>0.11043776527840736</v>
      </c>
      <c r="S643" s="234" t="s">
        <v>119</v>
      </c>
    </row>
    <row r="644" spans="1:19" x14ac:dyDescent="0.3">
      <c r="A644" s="17" t="s">
        <v>574</v>
      </c>
      <c r="B644" s="827" t="s">
        <v>1434</v>
      </c>
      <c r="C644" s="34" t="s">
        <v>115</v>
      </c>
      <c r="D644" s="827" t="s">
        <v>1434</v>
      </c>
      <c r="E644" s="34" t="s">
        <v>115</v>
      </c>
      <c r="F644" s="827" t="s">
        <v>1434</v>
      </c>
      <c r="G644" s="34" t="s">
        <v>115</v>
      </c>
      <c r="H644" s="278">
        <v>0.12036247017561544</v>
      </c>
      <c r="I644" s="34" t="s">
        <v>115</v>
      </c>
      <c r="K644" s="17" t="s">
        <v>889</v>
      </c>
      <c r="L644" s="827" t="s">
        <v>1434</v>
      </c>
      <c r="M644" s="34" t="s">
        <v>117</v>
      </c>
      <c r="N644" s="827" t="s">
        <v>1434</v>
      </c>
      <c r="O644" s="34" t="s">
        <v>117</v>
      </c>
      <c r="P644" s="827" t="s">
        <v>1434</v>
      </c>
      <c r="Q644" s="34" t="s">
        <v>117</v>
      </c>
      <c r="R644" s="278">
        <v>0.18508181377122596</v>
      </c>
      <c r="S644" s="34" t="s">
        <v>117</v>
      </c>
    </row>
    <row r="645" spans="1:19" x14ac:dyDescent="0.3">
      <c r="A645" s="9" t="s">
        <v>1024</v>
      </c>
      <c r="B645" s="828" t="s">
        <v>1434</v>
      </c>
      <c r="C645" s="48" t="s">
        <v>115</v>
      </c>
      <c r="D645" s="828" t="s">
        <v>1434</v>
      </c>
      <c r="E645" s="48" t="s">
        <v>115</v>
      </c>
      <c r="F645" s="828" t="s">
        <v>1434</v>
      </c>
      <c r="G645" s="48" t="s">
        <v>115</v>
      </c>
      <c r="H645" s="464">
        <f>H644</f>
        <v>0.12036247017561544</v>
      </c>
      <c r="I645" s="48" t="s">
        <v>115</v>
      </c>
      <c r="K645" s="234" t="s">
        <v>1023</v>
      </c>
      <c r="L645" s="828" t="s">
        <v>1434</v>
      </c>
      <c r="M645" s="234" t="s">
        <v>119</v>
      </c>
      <c r="N645" s="828" t="s">
        <v>1434</v>
      </c>
      <c r="O645" s="234" t="s">
        <v>119</v>
      </c>
      <c r="P645" s="828" t="s">
        <v>1434</v>
      </c>
      <c r="Q645" s="234" t="s">
        <v>119</v>
      </c>
      <c r="R645" s="464">
        <f>R644</f>
        <v>0.18508181377122596</v>
      </c>
      <c r="S645" s="234" t="s">
        <v>119</v>
      </c>
    </row>
    <row r="646" spans="1:19" x14ac:dyDescent="0.3">
      <c r="A646" s="17" t="s">
        <v>578</v>
      </c>
      <c r="B646" s="827" t="s">
        <v>1434</v>
      </c>
      <c r="C646" s="34" t="s">
        <v>115</v>
      </c>
      <c r="D646" s="827" t="s">
        <v>1434</v>
      </c>
      <c r="E646" s="34" t="s">
        <v>115</v>
      </c>
      <c r="F646" s="827" t="s">
        <v>1434</v>
      </c>
      <c r="G646" s="34" t="s">
        <v>115</v>
      </c>
      <c r="H646" s="278">
        <v>0.12036247017561544</v>
      </c>
      <c r="I646" s="34" t="s">
        <v>115</v>
      </c>
      <c r="K646" s="17" t="s">
        <v>890</v>
      </c>
      <c r="L646" s="827" t="s">
        <v>1434</v>
      </c>
      <c r="M646" s="34" t="s">
        <v>117</v>
      </c>
      <c r="N646" s="827" t="s">
        <v>1434</v>
      </c>
      <c r="O646" s="34" t="s">
        <v>117</v>
      </c>
      <c r="P646" s="827" t="s">
        <v>1434</v>
      </c>
      <c r="Q646" s="34" t="s">
        <v>117</v>
      </c>
      <c r="R646" s="278">
        <v>4</v>
      </c>
      <c r="S646" s="34" t="s">
        <v>117</v>
      </c>
    </row>
    <row r="647" spans="1:19" x14ac:dyDescent="0.3">
      <c r="A647" s="9" t="s">
        <v>1024</v>
      </c>
      <c r="B647" s="828" t="s">
        <v>1434</v>
      </c>
      <c r="C647" s="48" t="s">
        <v>115</v>
      </c>
      <c r="D647" s="828" t="s">
        <v>1434</v>
      </c>
      <c r="E647" s="48" t="s">
        <v>115</v>
      </c>
      <c r="F647" s="828" t="s">
        <v>1434</v>
      </c>
      <c r="G647" s="48" t="s">
        <v>115</v>
      </c>
      <c r="H647" s="464">
        <f>H646</f>
        <v>0.12036247017561544</v>
      </c>
      <c r="I647" s="48" t="s">
        <v>115</v>
      </c>
      <c r="K647" s="234" t="s">
        <v>1023</v>
      </c>
      <c r="L647" s="828" t="s">
        <v>1434</v>
      </c>
      <c r="M647" s="234" t="s">
        <v>119</v>
      </c>
      <c r="N647" s="828" t="s">
        <v>1434</v>
      </c>
      <c r="O647" s="234" t="s">
        <v>119</v>
      </c>
      <c r="P647" s="828" t="s">
        <v>1434</v>
      </c>
      <c r="Q647" s="234" t="s">
        <v>119</v>
      </c>
      <c r="R647" s="464">
        <f>R646</f>
        <v>4</v>
      </c>
      <c r="S647" s="234" t="s">
        <v>119</v>
      </c>
    </row>
    <row r="648" spans="1:19" x14ac:dyDescent="0.3">
      <c r="A648" s="17" t="s">
        <v>756</v>
      </c>
      <c r="B648" s="827" t="s">
        <v>1434</v>
      </c>
      <c r="C648" s="34" t="s">
        <v>115</v>
      </c>
      <c r="D648" s="827" t="s">
        <v>1434</v>
      </c>
      <c r="E648" s="34" t="s">
        <v>115</v>
      </c>
      <c r="F648" s="827" t="s">
        <v>1434</v>
      </c>
      <c r="G648" s="34" t="s">
        <v>115</v>
      </c>
      <c r="H648" s="602">
        <f>0.184703484692612*$L$378</f>
        <v>0.61567828230870669</v>
      </c>
      <c r="I648" s="34" t="s">
        <v>115</v>
      </c>
      <c r="K648" s="17" t="s">
        <v>891</v>
      </c>
      <c r="L648" s="827" t="s">
        <v>1434</v>
      </c>
      <c r="M648" s="34" t="s">
        <v>117</v>
      </c>
      <c r="N648" s="827" t="s">
        <v>1434</v>
      </c>
      <c r="O648" s="34" t="s">
        <v>117</v>
      </c>
      <c r="P648" s="827" t="s">
        <v>1434</v>
      </c>
      <c r="Q648" s="34" t="s">
        <v>117</v>
      </c>
      <c r="R648" s="602">
        <v>0.28809523809523802</v>
      </c>
      <c r="S648" s="34" t="s">
        <v>117</v>
      </c>
    </row>
    <row r="649" spans="1:19" x14ac:dyDescent="0.3">
      <c r="A649" s="17" t="s">
        <v>757</v>
      </c>
      <c r="B649" s="827" t="s">
        <v>1434</v>
      </c>
      <c r="C649" s="34" t="s">
        <v>115</v>
      </c>
      <c r="D649" s="827" t="s">
        <v>1434</v>
      </c>
      <c r="E649" s="34" t="s">
        <v>115</v>
      </c>
      <c r="F649" s="827" t="s">
        <v>1434</v>
      </c>
      <c r="G649" s="34" t="s">
        <v>115</v>
      </c>
      <c r="H649" s="278">
        <v>0.32000000000000006</v>
      </c>
      <c r="I649" s="34" t="s">
        <v>115</v>
      </c>
      <c r="K649" s="17" t="s">
        <v>892</v>
      </c>
      <c r="L649" s="827" t="s">
        <v>1434</v>
      </c>
      <c r="M649" s="34" t="s">
        <v>117</v>
      </c>
      <c r="N649" s="827" t="s">
        <v>1434</v>
      </c>
      <c r="O649" s="34" t="s">
        <v>117</v>
      </c>
      <c r="P649" s="827" t="s">
        <v>1434</v>
      </c>
      <c r="Q649" s="34" t="s">
        <v>117</v>
      </c>
      <c r="R649" s="282">
        <v>0.34903846153846102</v>
      </c>
      <c r="S649" s="34" t="s">
        <v>117</v>
      </c>
    </row>
    <row r="650" spans="1:19" x14ac:dyDescent="0.3">
      <c r="A650" s="9" t="s">
        <v>1024</v>
      </c>
      <c r="B650" s="828" t="s">
        <v>1434</v>
      </c>
      <c r="C650" s="48" t="s">
        <v>115</v>
      </c>
      <c r="D650" s="828" t="s">
        <v>1434</v>
      </c>
      <c r="E650" s="48" t="s">
        <v>115</v>
      </c>
      <c r="F650" s="828" t="s">
        <v>1434</v>
      </c>
      <c r="G650" s="48" t="s">
        <v>115</v>
      </c>
      <c r="H650" s="464">
        <f>H649</f>
        <v>0.32000000000000006</v>
      </c>
      <c r="I650" s="48" t="s">
        <v>115</v>
      </c>
      <c r="K650" s="234" t="s">
        <v>1023</v>
      </c>
      <c r="L650" s="828" t="s">
        <v>1434</v>
      </c>
      <c r="M650" s="234" t="s">
        <v>119</v>
      </c>
      <c r="N650" s="828" t="s">
        <v>1434</v>
      </c>
      <c r="O650" s="234" t="s">
        <v>119</v>
      </c>
      <c r="P650" s="828" t="s">
        <v>1434</v>
      </c>
      <c r="Q650" s="234" t="s">
        <v>119</v>
      </c>
      <c r="R650" s="464">
        <f>R649</f>
        <v>0.34903846153846102</v>
      </c>
      <c r="S650" s="234" t="s">
        <v>119</v>
      </c>
    </row>
    <row r="651" spans="1:19" x14ac:dyDescent="0.3">
      <c r="A651" s="17" t="s">
        <v>752</v>
      </c>
      <c r="B651" s="827" t="s">
        <v>1434</v>
      </c>
      <c r="C651" s="34" t="s">
        <v>115</v>
      </c>
      <c r="D651" s="827" t="s">
        <v>1434</v>
      </c>
      <c r="E651" s="34" t="s">
        <v>115</v>
      </c>
      <c r="F651" s="827" t="s">
        <v>1434</v>
      </c>
      <c r="G651" s="34" t="s">
        <v>115</v>
      </c>
      <c r="H651" s="278">
        <v>0.1</v>
      </c>
      <c r="I651" s="34" t="s">
        <v>115</v>
      </c>
      <c r="K651" s="17" t="s">
        <v>893</v>
      </c>
      <c r="L651" s="827" t="s">
        <v>1434</v>
      </c>
      <c r="M651" s="34" t="s">
        <v>117</v>
      </c>
      <c r="N651" s="827" t="s">
        <v>1434</v>
      </c>
      <c r="O651" s="34" t="s">
        <v>117</v>
      </c>
      <c r="P651" s="827" t="s">
        <v>1434</v>
      </c>
      <c r="Q651" s="34" t="s">
        <v>117</v>
      </c>
      <c r="R651" s="278">
        <v>0.1</v>
      </c>
      <c r="S651" s="34" t="s">
        <v>117</v>
      </c>
    </row>
    <row r="652" spans="1:19" x14ac:dyDescent="0.3">
      <c r="A652" s="9" t="s">
        <v>1024</v>
      </c>
      <c r="B652" s="828" t="s">
        <v>1434</v>
      </c>
      <c r="C652" s="48" t="s">
        <v>115</v>
      </c>
      <c r="D652" s="828" t="s">
        <v>1434</v>
      </c>
      <c r="E652" s="48" t="s">
        <v>115</v>
      </c>
      <c r="F652" s="828" t="s">
        <v>1434</v>
      </c>
      <c r="G652" s="48" t="s">
        <v>115</v>
      </c>
      <c r="H652" s="464">
        <f>H651</f>
        <v>0.1</v>
      </c>
      <c r="I652" s="48" t="s">
        <v>115</v>
      </c>
      <c r="K652" s="234" t="s">
        <v>1023</v>
      </c>
      <c r="L652" s="828" t="s">
        <v>1434</v>
      </c>
      <c r="M652" s="234" t="s">
        <v>119</v>
      </c>
      <c r="N652" s="828" t="s">
        <v>1434</v>
      </c>
      <c r="O652" s="234" t="s">
        <v>119</v>
      </c>
      <c r="P652" s="828" t="s">
        <v>1434</v>
      </c>
      <c r="Q652" s="234" t="s">
        <v>119</v>
      </c>
      <c r="R652" s="464">
        <f>R651</f>
        <v>0.1</v>
      </c>
      <c r="S652" s="234" t="s">
        <v>119</v>
      </c>
    </row>
    <row r="653" spans="1:19" x14ac:dyDescent="0.3">
      <c r="A653" s="17" t="s">
        <v>758</v>
      </c>
      <c r="B653" s="827" t="s">
        <v>1434</v>
      </c>
      <c r="C653" s="34" t="s">
        <v>115</v>
      </c>
      <c r="D653" s="827" t="s">
        <v>1434</v>
      </c>
      <c r="E653" s="34" t="s">
        <v>115</v>
      </c>
      <c r="F653" s="827" t="s">
        <v>1434</v>
      </c>
      <c r="G653" s="34" t="s">
        <v>115</v>
      </c>
      <c r="H653" s="278">
        <v>0.4</v>
      </c>
      <c r="I653" s="34" t="s">
        <v>115</v>
      </c>
      <c r="K653" s="17" t="s">
        <v>894</v>
      </c>
      <c r="L653" s="827" t="s">
        <v>1434</v>
      </c>
      <c r="M653" s="34" t="s">
        <v>117</v>
      </c>
      <c r="N653" s="827" t="s">
        <v>1434</v>
      </c>
      <c r="O653" s="34" t="s">
        <v>117</v>
      </c>
      <c r="P653" s="827" t="s">
        <v>1434</v>
      </c>
      <c r="Q653" s="34" t="s">
        <v>117</v>
      </c>
      <c r="R653" s="282">
        <v>0.40333333333333299</v>
      </c>
      <c r="S653" s="34" t="s">
        <v>117</v>
      </c>
    </row>
    <row r="654" spans="1:19" x14ac:dyDescent="0.3">
      <c r="A654" s="9" t="s">
        <v>1024</v>
      </c>
      <c r="B654" s="828" t="s">
        <v>1434</v>
      </c>
      <c r="C654" s="48" t="s">
        <v>115</v>
      </c>
      <c r="D654" s="828" t="s">
        <v>1434</v>
      </c>
      <c r="E654" s="48" t="s">
        <v>115</v>
      </c>
      <c r="F654" s="828" t="s">
        <v>1434</v>
      </c>
      <c r="G654" s="48" t="s">
        <v>115</v>
      </c>
      <c r="H654" s="464">
        <f>H653</f>
        <v>0.4</v>
      </c>
      <c r="I654" s="48" t="s">
        <v>115</v>
      </c>
      <c r="K654" s="234" t="s">
        <v>1023</v>
      </c>
      <c r="L654" s="828" t="s">
        <v>1434</v>
      </c>
      <c r="M654" s="234" t="s">
        <v>119</v>
      </c>
      <c r="N654" s="828" t="s">
        <v>1434</v>
      </c>
      <c r="O654" s="234" t="s">
        <v>119</v>
      </c>
      <c r="P654" s="828" t="s">
        <v>1434</v>
      </c>
      <c r="Q654" s="234" t="s">
        <v>119</v>
      </c>
      <c r="R654" s="464">
        <f>R653</f>
        <v>0.40333333333333299</v>
      </c>
      <c r="S654" s="234" t="s">
        <v>119</v>
      </c>
    </row>
    <row r="655" spans="1:19" x14ac:dyDescent="0.3">
      <c r="A655" s="17" t="s">
        <v>753</v>
      </c>
      <c r="B655" s="827" t="s">
        <v>1434</v>
      </c>
      <c r="C655" s="34" t="s">
        <v>115</v>
      </c>
      <c r="D655" s="827" t="s">
        <v>1434</v>
      </c>
      <c r="E655" s="34" t="s">
        <v>115</v>
      </c>
      <c r="F655" s="827" t="s">
        <v>1434</v>
      </c>
      <c r="G655" s="34" t="s">
        <v>115</v>
      </c>
      <c r="H655" s="278">
        <v>1</v>
      </c>
      <c r="I655" s="34" t="s">
        <v>115</v>
      </c>
      <c r="K655" s="17" t="s">
        <v>895</v>
      </c>
      <c r="L655" s="827" t="s">
        <v>1434</v>
      </c>
      <c r="M655" s="34" t="s">
        <v>117</v>
      </c>
      <c r="N655" s="827" t="s">
        <v>1434</v>
      </c>
      <c r="O655" s="34" t="s">
        <v>117</v>
      </c>
      <c r="P655" s="827" t="s">
        <v>1434</v>
      </c>
      <c r="Q655" s="34" t="s">
        <v>117</v>
      </c>
      <c r="R655" s="273">
        <v>0</v>
      </c>
      <c r="S655" s="34" t="s">
        <v>117</v>
      </c>
    </row>
    <row r="656" spans="1:19" x14ac:dyDescent="0.3">
      <c r="A656" s="9" t="s">
        <v>1024</v>
      </c>
      <c r="B656" s="828" t="s">
        <v>1434</v>
      </c>
      <c r="C656" s="48" t="s">
        <v>115</v>
      </c>
      <c r="D656" s="828" t="s">
        <v>1434</v>
      </c>
      <c r="E656" s="48" t="s">
        <v>115</v>
      </c>
      <c r="F656" s="828" t="s">
        <v>1434</v>
      </c>
      <c r="G656" s="48" t="s">
        <v>115</v>
      </c>
      <c r="H656" s="464">
        <f>H655</f>
        <v>1</v>
      </c>
      <c r="I656" s="48" t="s">
        <v>115</v>
      </c>
      <c r="K656" s="234" t="s">
        <v>1023</v>
      </c>
      <c r="L656" s="828" t="s">
        <v>1434</v>
      </c>
      <c r="M656" s="234" t="s">
        <v>119</v>
      </c>
      <c r="N656" s="828" t="s">
        <v>1434</v>
      </c>
      <c r="O656" s="234" t="s">
        <v>119</v>
      </c>
      <c r="P656" s="828" t="s">
        <v>1434</v>
      </c>
      <c r="Q656" s="234" t="s">
        <v>119</v>
      </c>
      <c r="R656" s="464">
        <f>R655</f>
        <v>0</v>
      </c>
      <c r="S656" s="234" t="s">
        <v>119</v>
      </c>
    </row>
    <row r="657" spans="1:19" x14ac:dyDescent="0.3">
      <c r="A657" s="17" t="s">
        <v>759</v>
      </c>
      <c r="B657" s="827" t="s">
        <v>1434</v>
      </c>
      <c r="C657" s="34" t="s">
        <v>115</v>
      </c>
      <c r="D657" s="827" t="s">
        <v>1434</v>
      </c>
      <c r="E657" s="34" t="s">
        <v>115</v>
      </c>
      <c r="F657" s="827" t="s">
        <v>1434</v>
      </c>
      <c r="G657" s="34" t="s">
        <v>115</v>
      </c>
      <c r="H657" s="278">
        <v>0.26400000000000001</v>
      </c>
      <c r="I657" s="34" t="s">
        <v>115</v>
      </c>
      <c r="K657" s="17" t="s">
        <v>896</v>
      </c>
      <c r="L657" s="827" t="s">
        <v>1434</v>
      </c>
      <c r="M657" s="34" t="s">
        <v>117</v>
      </c>
      <c r="N657" s="827" t="s">
        <v>1434</v>
      </c>
      <c r="O657" s="34" t="s">
        <v>117</v>
      </c>
      <c r="P657" s="827" t="s">
        <v>1434</v>
      </c>
      <c r="Q657" s="34" t="s">
        <v>117</v>
      </c>
      <c r="R657" s="278">
        <v>0.11</v>
      </c>
      <c r="S657" s="34" t="s">
        <v>117</v>
      </c>
    </row>
    <row r="658" spans="1:19" ht="13.25" customHeight="1" x14ac:dyDescent="0.3">
      <c r="A658" s="9" t="s">
        <v>1024</v>
      </c>
      <c r="B658" s="828" t="s">
        <v>1434</v>
      </c>
      <c r="C658" s="48" t="s">
        <v>115</v>
      </c>
      <c r="D658" s="828" t="s">
        <v>1434</v>
      </c>
      <c r="E658" s="48" t="s">
        <v>115</v>
      </c>
      <c r="F658" s="828" t="s">
        <v>1434</v>
      </c>
      <c r="G658" s="48" t="s">
        <v>115</v>
      </c>
      <c r="H658" s="464">
        <f>H657</f>
        <v>0.26400000000000001</v>
      </c>
      <c r="I658" s="48" t="s">
        <v>115</v>
      </c>
      <c r="J658" s="15" t="s">
        <v>1444</v>
      </c>
      <c r="K658" s="234" t="s">
        <v>1023</v>
      </c>
      <c r="L658" s="828" t="s">
        <v>1434</v>
      </c>
      <c r="M658" s="234" t="s">
        <v>119</v>
      </c>
      <c r="N658" s="828" t="s">
        <v>1434</v>
      </c>
      <c r="O658" s="234" t="s">
        <v>119</v>
      </c>
      <c r="P658" s="828" t="s">
        <v>1434</v>
      </c>
      <c r="Q658" s="234" t="s">
        <v>119</v>
      </c>
      <c r="R658" s="464">
        <f>R657</f>
        <v>0.11</v>
      </c>
      <c r="S658" s="234" t="s">
        <v>119</v>
      </c>
    </row>
    <row r="659" spans="1:19" x14ac:dyDescent="0.3">
      <c r="A659" s="638" t="s">
        <v>1437</v>
      </c>
      <c r="B659" s="34">
        <f>($H$179/$J$659)</f>
        <v>1.512</v>
      </c>
      <c r="C659" s="34" t="s">
        <v>115</v>
      </c>
      <c r="D659" s="34">
        <f>($H$179/$J$661)</f>
        <v>1.008</v>
      </c>
      <c r="E659" s="34" t="s">
        <v>115</v>
      </c>
      <c r="F659" s="34">
        <f>($H$179/$J$663)</f>
        <v>6.3E-2</v>
      </c>
      <c r="G659" s="34" t="s">
        <v>115</v>
      </c>
      <c r="H659" s="826">
        <f>($B$417*B659)+($B$418*D659)+($B$419*F659)</f>
        <v>1.008</v>
      </c>
      <c r="I659" s="34" t="s">
        <v>115</v>
      </c>
      <c r="J659" s="830">
        <f>1/1.5</f>
        <v>0.66666666666666663</v>
      </c>
      <c r="K659" s="638" t="s">
        <v>2054</v>
      </c>
      <c r="L659" s="644">
        <v>0</v>
      </c>
      <c r="M659" s="34" t="s">
        <v>117</v>
      </c>
      <c r="N659" s="644">
        <v>0</v>
      </c>
      <c r="O659" s="34" t="s">
        <v>117</v>
      </c>
      <c r="P659" s="644">
        <v>0</v>
      </c>
      <c r="Q659" s="34" t="s">
        <v>117</v>
      </c>
      <c r="R659" s="816">
        <f t="shared" ref="R659:R678" si="61">($B$417*L659)+($B$418*N659)+($B$419*P659)</f>
        <v>0</v>
      </c>
      <c r="S659" s="34" t="s">
        <v>117</v>
      </c>
    </row>
    <row r="660" spans="1:19" ht="13.25" customHeight="1" x14ac:dyDescent="0.3">
      <c r="A660" s="666" t="s">
        <v>1022</v>
      </c>
      <c r="B660" s="234">
        <f>($H$179/$J$659)</f>
        <v>1.512</v>
      </c>
      <c r="C660" s="48" t="s">
        <v>115</v>
      </c>
      <c r="D660" s="234">
        <f>($H$179/$J$661)</f>
        <v>1.008</v>
      </c>
      <c r="E660" s="48" t="s">
        <v>115</v>
      </c>
      <c r="F660" s="234">
        <f>($H$179/$J$663)</f>
        <v>6.3E-2</v>
      </c>
      <c r="G660" s="48" t="s">
        <v>115</v>
      </c>
      <c r="H660" s="834">
        <f t="shared" ref="H660:H697" si="62">($B$417*B660)+($B$418*D660)+($B$419*F660)</f>
        <v>1.008</v>
      </c>
      <c r="I660" s="48" t="s">
        <v>115</v>
      </c>
      <c r="J660" s="15" t="s">
        <v>1445</v>
      </c>
      <c r="K660" s="666" t="s">
        <v>1023</v>
      </c>
      <c r="L660" s="835">
        <v>0</v>
      </c>
      <c r="M660" s="234" t="s">
        <v>119</v>
      </c>
      <c r="N660" s="835">
        <v>0</v>
      </c>
      <c r="O660" s="234" t="s">
        <v>119</v>
      </c>
      <c r="P660" s="835">
        <v>0</v>
      </c>
      <c r="Q660" s="234" t="s">
        <v>119</v>
      </c>
      <c r="R660" s="836">
        <f t="shared" si="61"/>
        <v>0</v>
      </c>
      <c r="S660" s="234" t="s">
        <v>119</v>
      </c>
    </row>
    <row r="661" spans="1:19" x14ac:dyDescent="0.3">
      <c r="A661" s="638" t="s">
        <v>1438</v>
      </c>
      <c r="B661" s="34">
        <f>($H$187/$J$659)</f>
        <v>0</v>
      </c>
      <c r="C661" s="34" t="s">
        <v>115</v>
      </c>
      <c r="D661" s="34">
        <f>($H$187/$J$661)</f>
        <v>0</v>
      </c>
      <c r="E661" s="34" t="s">
        <v>115</v>
      </c>
      <c r="F661" s="34">
        <f>($H$187/$J$663)</f>
        <v>0</v>
      </c>
      <c r="G661" s="34" t="s">
        <v>115</v>
      </c>
      <c r="H661" s="826">
        <f t="shared" si="62"/>
        <v>0</v>
      </c>
      <c r="I661" s="34" t="s">
        <v>115</v>
      </c>
      <c r="J661" s="830">
        <v>1</v>
      </c>
      <c r="K661" s="638" t="s">
        <v>2055</v>
      </c>
      <c r="L661" s="644">
        <v>0</v>
      </c>
      <c r="M661" s="34" t="s">
        <v>117</v>
      </c>
      <c r="N661" s="644">
        <v>0</v>
      </c>
      <c r="O661" s="34" t="s">
        <v>117</v>
      </c>
      <c r="P661" s="644">
        <v>0</v>
      </c>
      <c r="Q661" s="34" t="s">
        <v>117</v>
      </c>
      <c r="R661" s="816">
        <f t="shared" si="61"/>
        <v>0</v>
      </c>
      <c r="S661" s="34" t="s">
        <v>117</v>
      </c>
    </row>
    <row r="662" spans="1:19" x14ac:dyDescent="0.3">
      <c r="A662" s="666" t="s">
        <v>1022</v>
      </c>
      <c r="B662" s="234">
        <f>($H$187/$J$659)</f>
        <v>0</v>
      </c>
      <c r="C662" s="48" t="s">
        <v>115</v>
      </c>
      <c r="D662" s="234">
        <f>($H$187/$J$661)</f>
        <v>0</v>
      </c>
      <c r="E662" s="48" t="s">
        <v>115</v>
      </c>
      <c r="F662" s="234">
        <f>($H$187/$J$663)</f>
        <v>0</v>
      </c>
      <c r="G662" s="48" t="s">
        <v>115</v>
      </c>
      <c r="H662" s="834">
        <f t="shared" si="62"/>
        <v>0</v>
      </c>
      <c r="I662" s="48" t="s">
        <v>115</v>
      </c>
      <c r="J662" s="15" t="s">
        <v>1446</v>
      </c>
      <c r="K662" s="666" t="s">
        <v>1023</v>
      </c>
      <c r="L662" s="835">
        <v>0</v>
      </c>
      <c r="M662" s="234" t="s">
        <v>119</v>
      </c>
      <c r="N662" s="835">
        <v>0</v>
      </c>
      <c r="O662" s="234" t="s">
        <v>119</v>
      </c>
      <c r="P662" s="835">
        <v>0</v>
      </c>
      <c r="Q662" s="234" t="s">
        <v>119</v>
      </c>
      <c r="R662" s="836">
        <f t="shared" si="61"/>
        <v>0</v>
      </c>
      <c r="S662" s="234" t="s">
        <v>119</v>
      </c>
    </row>
    <row r="663" spans="1:19" x14ac:dyDescent="0.3">
      <c r="A663" s="638" t="s">
        <v>1439</v>
      </c>
      <c r="B663" s="34">
        <f>($H$195/$J$659)</f>
        <v>0</v>
      </c>
      <c r="C663" s="34" t="s">
        <v>115</v>
      </c>
      <c r="D663" s="34">
        <f>($H$195/$J$661)</f>
        <v>0</v>
      </c>
      <c r="E663" s="34" t="s">
        <v>115</v>
      </c>
      <c r="F663" s="410">
        <f>($H$195/$J$663)</f>
        <v>0</v>
      </c>
      <c r="G663" s="34" t="s">
        <v>115</v>
      </c>
      <c r="H663" s="826">
        <f t="shared" si="62"/>
        <v>0</v>
      </c>
      <c r="I663" s="34" t="s">
        <v>115</v>
      </c>
      <c r="J663" s="830">
        <f>((1000*$K$58)/2000)/1.5</f>
        <v>16</v>
      </c>
      <c r="K663" s="638" t="s">
        <v>1439</v>
      </c>
      <c r="L663" s="644">
        <v>0</v>
      </c>
      <c r="M663" s="34" t="s">
        <v>117</v>
      </c>
      <c r="N663" s="644">
        <v>0</v>
      </c>
      <c r="O663" s="34" t="s">
        <v>117</v>
      </c>
      <c r="P663" s="644">
        <v>0</v>
      </c>
      <c r="Q663" s="34" t="s">
        <v>117</v>
      </c>
      <c r="R663" s="816">
        <f t="shared" si="61"/>
        <v>0</v>
      </c>
      <c r="S663" s="34" t="s">
        <v>117</v>
      </c>
    </row>
    <row r="664" spans="1:19" x14ac:dyDescent="0.3">
      <c r="A664" s="666" t="s">
        <v>1022</v>
      </c>
      <c r="B664" s="234">
        <f>($H$195/$J$659)</f>
        <v>0</v>
      </c>
      <c r="C664" s="48" t="s">
        <v>115</v>
      </c>
      <c r="D664" s="234">
        <f>($H$195/$J$661)</f>
        <v>0</v>
      </c>
      <c r="E664" s="48" t="s">
        <v>115</v>
      </c>
      <c r="F664" s="234">
        <f>($H$195/$J$663)</f>
        <v>0</v>
      </c>
      <c r="G664" s="48" t="s">
        <v>115</v>
      </c>
      <c r="H664" s="834">
        <f t="shared" si="62"/>
        <v>0</v>
      </c>
      <c r="I664" s="48" t="s">
        <v>115</v>
      </c>
      <c r="K664" s="666" t="s">
        <v>1023</v>
      </c>
      <c r="L664" s="835">
        <v>0</v>
      </c>
      <c r="M664" s="234" t="s">
        <v>119</v>
      </c>
      <c r="N664" s="835">
        <v>0</v>
      </c>
      <c r="O664" s="234" t="s">
        <v>119</v>
      </c>
      <c r="P664" s="835">
        <v>0</v>
      </c>
      <c r="Q664" s="234" t="s">
        <v>119</v>
      </c>
      <c r="R664" s="836">
        <f t="shared" si="61"/>
        <v>0</v>
      </c>
      <c r="S664" s="234" t="s">
        <v>119</v>
      </c>
    </row>
    <row r="665" spans="1:19" x14ac:dyDescent="0.3">
      <c r="A665" s="638" t="s">
        <v>2052</v>
      </c>
      <c r="B665" s="34">
        <f>($H$203/$J$659)</f>
        <v>0</v>
      </c>
      <c r="C665" s="34" t="s">
        <v>115</v>
      </c>
      <c r="D665" s="34">
        <f>($H$203/$J$661)</f>
        <v>0</v>
      </c>
      <c r="E665" s="34" t="s">
        <v>115</v>
      </c>
      <c r="F665" s="410">
        <f>($H$203/$J$663)</f>
        <v>0</v>
      </c>
      <c r="G665" s="34" t="s">
        <v>115</v>
      </c>
      <c r="H665" s="826">
        <f t="shared" si="62"/>
        <v>0</v>
      </c>
      <c r="I665" s="34" t="s">
        <v>115</v>
      </c>
      <c r="K665" s="638" t="s">
        <v>2056</v>
      </c>
      <c r="L665" s="644">
        <v>0</v>
      </c>
      <c r="M665" s="34" t="s">
        <v>117</v>
      </c>
      <c r="N665" s="644">
        <v>0</v>
      </c>
      <c r="O665" s="34" t="s">
        <v>117</v>
      </c>
      <c r="P665" s="644">
        <v>0</v>
      </c>
      <c r="Q665" s="34" t="s">
        <v>117</v>
      </c>
      <c r="R665" s="816">
        <f t="shared" si="61"/>
        <v>0</v>
      </c>
      <c r="S665" s="34" t="s">
        <v>117</v>
      </c>
    </row>
    <row r="666" spans="1:19" x14ac:dyDescent="0.3">
      <c r="A666" s="666" t="s">
        <v>1022</v>
      </c>
      <c r="B666" s="234">
        <f>($H$203/$J$659)</f>
        <v>0</v>
      </c>
      <c r="C666" s="48" t="s">
        <v>115</v>
      </c>
      <c r="D666" s="234">
        <f>($H$203/$J$661)</f>
        <v>0</v>
      </c>
      <c r="E666" s="48" t="s">
        <v>115</v>
      </c>
      <c r="F666" s="912">
        <f>($H$203/$J$663)</f>
        <v>0</v>
      </c>
      <c r="G666" s="48" t="s">
        <v>115</v>
      </c>
      <c r="H666" s="834">
        <f t="shared" si="62"/>
        <v>0</v>
      </c>
      <c r="I666" s="48" t="s">
        <v>115</v>
      </c>
      <c r="K666" s="666" t="s">
        <v>1023</v>
      </c>
      <c r="L666" s="835">
        <v>0</v>
      </c>
      <c r="M666" s="234" t="s">
        <v>119</v>
      </c>
      <c r="N666" s="835">
        <v>0</v>
      </c>
      <c r="O666" s="234" t="s">
        <v>119</v>
      </c>
      <c r="P666" s="835">
        <v>0</v>
      </c>
      <c r="Q666" s="234" t="s">
        <v>119</v>
      </c>
      <c r="R666" s="836">
        <f t="shared" si="61"/>
        <v>0</v>
      </c>
      <c r="S666" s="234" t="s">
        <v>119</v>
      </c>
    </row>
    <row r="667" spans="1:19" x14ac:dyDescent="0.3">
      <c r="A667" s="638" t="s">
        <v>2053</v>
      </c>
      <c r="B667" s="34">
        <f>($H$211/$J$659)</f>
        <v>0</v>
      </c>
      <c r="C667" s="34" t="s">
        <v>115</v>
      </c>
      <c r="D667" s="34">
        <f>($H$211/$J$661)</f>
        <v>0</v>
      </c>
      <c r="E667" s="34" t="s">
        <v>115</v>
      </c>
      <c r="F667" s="410">
        <f>($H$211/$J$663)</f>
        <v>0</v>
      </c>
      <c r="G667" s="34" t="s">
        <v>115</v>
      </c>
      <c r="H667" s="826">
        <f t="shared" ref="H667:H668" si="63">($B$417*B667)+($B$418*D667)+($B$419*F667)</f>
        <v>0</v>
      </c>
      <c r="I667" s="34" t="s">
        <v>115</v>
      </c>
      <c r="K667" s="638" t="s">
        <v>2057</v>
      </c>
      <c r="L667" s="644">
        <v>0</v>
      </c>
      <c r="M667" s="34" t="s">
        <v>117</v>
      </c>
      <c r="N667" s="644">
        <v>0</v>
      </c>
      <c r="O667" s="34" t="s">
        <v>117</v>
      </c>
      <c r="P667" s="644">
        <v>0</v>
      </c>
      <c r="Q667" s="34" t="s">
        <v>117</v>
      </c>
      <c r="R667" s="816">
        <f t="shared" ref="R667:R668" si="64">($B$417*L667)+($B$418*N667)+($B$419*P667)</f>
        <v>0</v>
      </c>
      <c r="S667" s="34" t="s">
        <v>117</v>
      </c>
    </row>
    <row r="668" spans="1:19" x14ac:dyDescent="0.3">
      <c r="A668" s="666" t="s">
        <v>1022</v>
      </c>
      <c r="B668" s="234">
        <f>($H$211/$J$659)</f>
        <v>0</v>
      </c>
      <c r="C668" s="48" t="s">
        <v>115</v>
      </c>
      <c r="D668" s="234">
        <f>($H$211/$J$661)</f>
        <v>0</v>
      </c>
      <c r="E668" s="48" t="s">
        <v>115</v>
      </c>
      <c r="F668" s="912">
        <f>($H$211/$J$663)</f>
        <v>0</v>
      </c>
      <c r="G668" s="48" t="s">
        <v>115</v>
      </c>
      <c r="H668" s="834">
        <f t="shared" si="63"/>
        <v>0</v>
      </c>
      <c r="I668" s="48" t="s">
        <v>115</v>
      </c>
      <c r="K668" s="666" t="s">
        <v>1023</v>
      </c>
      <c r="L668" s="835">
        <v>0</v>
      </c>
      <c r="M668" s="234" t="s">
        <v>119</v>
      </c>
      <c r="N668" s="835">
        <v>0</v>
      </c>
      <c r="O668" s="234" t="s">
        <v>119</v>
      </c>
      <c r="P668" s="835">
        <v>0</v>
      </c>
      <c r="Q668" s="234" t="s">
        <v>119</v>
      </c>
      <c r="R668" s="836">
        <f t="shared" si="64"/>
        <v>0</v>
      </c>
      <c r="S668" s="234" t="s">
        <v>119</v>
      </c>
    </row>
    <row r="669" spans="1:19" x14ac:dyDescent="0.3">
      <c r="A669" s="638" t="s">
        <v>1440</v>
      </c>
      <c r="B669" s="34">
        <f>($H$219/$J$659)</f>
        <v>0</v>
      </c>
      <c r="C669" s="34" t="s">
        <v>115</v>
      </c>
      <c r="D669" s="34">
        <f>($H$219/$J$661)</f>
        <v>0</v>
      </c>
      <c r="E669" s="34" t="s">
        <v>115</v>
      </c>
      <c r="F669" s="410">
        <f>($H$219/$J$663)</f>
        <v>0</v>
      </c>
      <c r="G669" s="34" t="s">
        <v>115</v>
      </c>
      <c r="H669" s="826">
        <f t="shared" si="62"/>
        <v>0</v>
      </c>
      <c r="I669" s="34" t="s">
        <v>115</v>
      </c>
      <c r="K669" s="638" t="s">
        <v>2058</v>
      </c>
      <c r="L669" s="644">
        <v>0</v>
      </c>
      <c r="M669" s="34" t="s">
        <v>117</v>
      </c>
      <c r="N669" s="644">
        <v>0</v>
      </c>
      <c r="O669" s="34" t="s">
        <v>117</v>
      </c>
      <c r="P669" s="644">
        <v>0</v>
      </c>
      <c r="Q669" s="34" t="s">
        <v>117</v>
      </c>
      <c r="R669" s="816">
        <f t="shared" si="61"/>
        <v>0</v>
      </c>
      <c r="S669" s="34" t="s">
        <v>117</v>
      </c>
    </row>
    <row r="670" spans="1:19" x14ac:dyDescent="0.3">
      <c r="A670" s="666" t="s">
        <v>1022</v>
      </c>
      <c r="B670" s="234">
        <f>($H$219/$J$659)</f>
        <v>0</v>
      </c>
      <c r="C670" s="48" t="s">
        <v>115</v>
      </c>
      <c r="D670" s="234">
        <f>($H$219/$J$661)</f>
        <v>0</v>
      </c>
      <c r="E670" s="48" t="s">
        <v>115</v>
      </c>
      <c r="F670" s="912">
        <f>($H$219/$J$663)</f>
        <v>0</v>
      </c>
      <c r="G670" s="48" t="s">
        <v>115</v>
      </c>
      <c r="H670" s="834">
        <f t="shared" si="62"/>
        <v>0</v>
      </c>
      <c r="I670" s="48" t="s">
        <v>115</v>
      </c>
      <c r="K670" s="666" t="s">
        <v>1023</v>
      </c>
      <c r="L670" s="835">
        <v>0</v>
      </c>
      <c r="M670" s="234" t="s">
        <v>119</v>
      </c>
      <c r="N670" s="835">
        <v>0</v>
      </c>
      <c r="O670" s="234" t="s">
        <v>119</v>
      </c>
      <c r="P670" s="835">
        <v>0</v>
      </c>
      <c r="Q670" s="234" t="s">
        <v>119</v>
      </c>
      <c r="R670" s="836">
        <f t="shared" si="61"/>
        <v>0</v>
      </c>
      <c r="S670" s="234" t="s">
        <v>119</v>
      </c>
    </row>
    <row r="671" spans="1:19" x14ac:dyDescent="0.3">
      <c r="A671" s="638" t="s">
        <v>1441</v>
      </c>
      <c r="B671" s="34">
        <f>($H$227/$J$659)</f>
        <v>1.8900000000000001</v>
      </c>
      <c r="C671" s="34" t="s">
        <v>115</v>
      </c>
      <c r="D671" s="34">
        <f>($H$227/$J$661)</f>
        <v>1.26</v>
      </c>
      <c r="E671" s="34" t="s">
        <v>115</v>
      </c>
      <c r="F671" s="410">
        <f>($H$227/$J$663)</f>
        <v>7.8750000000000001E-2</v>
      </c>
      <c r="G671" s="34" t="s">
        <v>115</v>
      </c>
      <c r="H671" s="826">
        <f t="shared" si="62"/>
        <v>1.26</v>
      </c>
      <c r="I671" s="34" t="s">
        <v>115</v>
      </c>
      <c r="K671" s="638" t="s">
        <v>2059</v>
      </c>
      <c r="L671" s="644">
        <v>0</v>
      </c>
      <c r="M671" s="34" t="s">
        <v>117</v>
      </c>
      <c r="N671" s="644">
        <v>0</v>
      </c>
      <c r="O671" s="34" t="s">
        <v>117</v>
      </c>
      <c r="P671" s="644">
        <v>0</v>
      </c>
      <c r="Q671" s="34" t="s">
        <v>117</v>
      </c>
      <c r="R671" s="816">
        <f t="shared" si="61"/>
        <v>0</v>
      </c>
      <c r="S671" s="34" t="s">
        <v>117</v>
      </c>
    </row>
    <row r="672" spans="1:19" x14ac:dyDescent="0.3">
      <c r="A672" s="666" t="s">
        <v>1022</v>
      </c>
      <c r="B672" s="234">
        <f>($H$227/$J$659)</f>
        <v>1.8900000000000001</v>
      </c>
      <c r="C672" s="48" t="s">
        <v>115</v>
      </c>
      <c r="D672" s="234">
        <f>($H$227/$J$661)</f>
        <v>1.26</v>
      </c>
      <c r="E672" s="48" t="s">
        <v>115</v>
      </c>
      <c r="F672" s="912">
        <f>($H$227/$J$663)</f>
        <v>7.8750000000000001E-2</v>
      </c>
      <c r="G672" s="48" t="s">
        <v>115</v>
      </c>
      <c r="H672" s="834">
        <f t="shared" si="62"/>
        <v>1.26</v>
      </c>
      <c r="I672" s="48" t="s">
        <v>115</v>
      </c>
      <c r="K672" s="666" t="s">
        <v>1023</v>
      </c>
      <c r="L672" s="835">
        <v>0</v>
      </c>
      <c r="M672" s="234" t="s">
        <v>119</v>
      </c>
      <c r="N672" s="835">
        <v>0</v>
      </c>
      <c r="O672" s="234" t="s">
        <v>119</v>
      </c>
      <c r="P672" s="835">
        <v>0</v>
      </c>
      <c r="Q672" s="234" t="s">
        <v>119</v>
      </c>
      <c r="R672" s="836">
        <f t="shared" si="61"/>
        <v>0</v>
      </c>
      <c r="S672" s="234" t="s">
        <v>119</v>
      </c>
    </row>
    <row r="673" spans="1:19" x14ac:dyDescent="0.3">
      <c r="A673" s="638" t="s">
        <v>2135</v>
      </c>
      <c r="B673" s="34">
        <f>((($B$236*$K$65)/2000)/$J$659)</f>
        <v>0.54</v>
      </c>
      <c r="C673" s="34" t="s">
        <v>115</v>
      </c>
      <c r="D673" s="34">
        <f>((($B$236*$K$65)/2000)/$J$661)</f>
        <v>0.36</v>
      </c>
      <c r="E673" s="34" t="s">
        <v>115</v>
      </c>
      <c r="F673" s="410">
        <f>((($B$236*$K$65)/2000)/$J$663)</f>
        <v>2.2499999999999999E-2</v>
      </c>
      <c r="G673" s="34" t="s">
        <v>115</v>
      </c>
      <c r="H673" s="826">
        <f t="shared" ref="H673:H674" si="65">($B$417*B673)+($B$418*D673)+($B$419*F673)</f>
        <v>0.36</v>
      </c>
      <c r="I673" s="34" t="s">
        <v>115</v>
      </c>
      <c r="K673" s="638" t="s">
        <v>2134</v>
      </c>
      <c r="L673" s="644">
        <v>0</v>
      </c>
      <c r="M673" s="34" t="s">
        <v>117</v>
      </c>
      <c r="N673" s="644">
        <v>0</v>
      </c>
      <c r="O673" s="34" t="s">
        <v>117</v>
      </c>
      <c r="P673" s="644">
        <v>0</v>
      </c>
      <c r="Q673" s="34" t="s">
        <v>117</v>
      </c>
      <c r="R673" s="816">
        <f t="shared" ref="R673:R674" si="66">($B$417*L673)+($B$418*N673)+($B$419*P673)</f>
        <v>0</v>
      </c>
      <c r="S673" s="34" t="s">
        <v>117</v>
      </c>
    </row>
    <row r="674" spans="1:19" x14ac:dyDescent="0.3">
      <c r="A674" s="666" t="s">
        <v>1022</v>
      </c>
      <c r="B674" s="234">
        <f>((($B$236*$K$65)/2000)/$J$659)</f>
        <v>0.54</v>
      </c>
      <c r="C674" s="48" t="s">
        <v>115</v>
      </c>
      <c r="D674" s="234">
        <f>((($B$236*$K$65)/2000)/$J$661)</f>
        <v>0.36</v>
      </c>
      <c r="E674" s="48" t="s">
        <v>115</v>
      </c>
      <c r="F674" s="912">
        <f>((($B$236*$K$65)/2000)/$J$663)</f>
        <v>2.2499999999999999E-2</v>
      </c>
      <c r="G674" s="48" t="s">
        <v>115</v>
      </c>
      <c r="H674" s="834">
        <f t="shared" si="65"/>
        <v>0.36</v>
      </c>
      <c r="I674" s="48" t="s">
        <v>115</v>
      </c>
      <c r="K674" s="666" t="s">
        <v>1023</v>
      </c>
      <c r="L674" s="835">
        <v>0</v>
      </c>
      <c r="M674" s="234" t="s">
        <v>119</v>
      </c>
      <c r="N674" s="835">
        <v>0</v>
      </c>
      <c r="O674" s="234" t="s">
        <v>119</v>
      </c>
      <c r="P674" s="835">
        <v>0</v>
      </c>
      <c r="Q674" s="234" t="s">
        <v>119</v>
      </c>
      <c r="R674" s="836">
        <f t="shared" si="66"/>
        <v>0</v>
      </c>
      <c r="S674" s="234" t="s">
        <v>119</v>
      </c>
    </row>
    <row r="675" spans="1:19" x14ac:dyDescent="0.3">
      <c r="A675" s="638" t="s">
        <v>1442</v>
      </c>
      <c r="B675" s="34">
        <f>((($B$244*$K$66)/2000)/$J$659)</f>
        <v>0</v>
      </c>
      <c r="C675" s="34" t="s">
        <v>115</v>
      </c>
      <c r="D675" s="34">
        <f>((($B$244*$K$66)/2000)/$J$661)</f>
        <v>0</v>
      </c>
      <c r="E675" s="34" t="s">
        <v>115</v>
      </c>
      <c r="F675" s="410">
        <f>((($B$244*$K$66)/2000)/$J$663)</f>
        <v>0</v>
      </c>
      <c r="G675" s="34" t="s">
        <v>115</v>
      </c>
      <c r="H675" s="826">
        <f t="shared" si="62"/>
        <v>0</v>
      </c>
      <c r="I675" s="34" t="s">
        <v>115</v>
      </c>
      <c r="K675" s="638" t="s">
        <v>2060</v>
      </c>
      <c r="L675" s="644">
        <v>0</v>
      </c>
      <c r="M675" s="34" t="s">
        <v>117</v>
      </c>
      <c r="N675" s="644">
        <v>0</v>
      </c>
      <c r="O675" s="34" t="s">
        <v>117</v>
      </c>
      <c r="P675" s="644">
        <v>0</v>
      </c>
      <c r="Q675" s="34" t="s">
        <v>117</v>
      </c>
      <c r="R675" s="816">
        <f t="shared" si="61"/>
        <v>0</v>
      </c>
      <c r="S675" s="34" t="s">
        <v>117</v>
      </c>
    </row>
    <row r="676" spans="1:19" x14ac:dyDescent="0.3">
      <c r="A676" s="666" t="s">
        <v>1022</v>
      </c>
      <c r="B676" s="234">
        <f>((($B$244*$K$66)/2000)/$J$659)</f>
        <v>0</v>
      </c>
      <c r="C676" s="48" t="s">
        <v>115</v>
      </c>
      <c r="D676" s="234">
        <f>((($B$244*$K$66)/2000)/$J$661)</f>
        <v>0</v>
      </c>
      <c r="E676" s="48" t="s">
        <v>115</v>
      </c>
      <c r="F676" s="912">
        <f>((($B$244*$K$66)/2000)/$J$663)</f>
        <v>0</v>
      </c>
      <c r="G676" s="48" t="s">
        <v>115</v>
      </c>
      <c r="H676" s="834">
        <f t="shared" si="62"/>
        <v>0</v>
      </c>
      <c r="I676" s="48" t="s">
        <v>115</v>
      </c>
      <c r="K676" s="666" t="s">
        <v>1023</v>
      </c>
      <c r="L676" s="835">
        <v>0</v>
      </c>
      <c r="M676" s="234" t="s">
        <v>119</v>
      </c>
      <c r="N676" s="835">
        <v>0</v>
      </c>
      <c r="O676" s="234" t="s">
        <v>119</v>
      </c>
      <c r="P676" s="835">
        <v>0</v>
      </c>
      <c r="Q676" s="234" t="s">
        <v>119</v>
      </c>
      <c r="R676" s="836">
        <f t="shared" si="61"/>
        <v>0</v>
      </c>
      <c r="S676" s="234" t="s">
        <v>119</v>
      </c>
    </row>
    <row r="677" spans="1:19" x14ac:dyDescent="0.3">
      <c r="A677" s="638" t="s">
        <v>1443</v>
      </c>
      <c r="B677" s="34">
        <f>((($B$252*$K$67)/2000)/$J$659)</f>
        <v>1.125</v>
      </c>
      <c r="C677" s="34" t="s">
        <v>115</v>
      </c>
      <c r="D677" s="34">
        <f>((($B$252*$K$67)/2000)/$J$661)</f>
        <v>0.75</v>
      </c>
      <c r="E677" s="34" t="s">
        <v>115</v>
      </c>
      <c r="F677" s="410">
        <f>((($B$252*$K$67)/2000)/$J$663)</f>
        <v>4.6875E-2</v>
      </c>
      <c r="G677" s="34" t="s">
        <v>115</v>
      </c>
      <c r="H677" s="826">
        <f t="shared" si="62"/>
        <v>0.75</v>
      </c>
      <c r="I677" s="34" t="s">
        <v>115</v>
      </c>
      <c r="K677" s="638" t="s">
        <v>2061</v>
      </c>
      <c r="L677" s="644">
        <v>0</v>
      </c>
      <c r="M677" s="34" t="s">
        <v>117</v>
      </c>
      <c r="N677" s="644">
        <v>0</v>
      </c>
      <c r="O677" s="34" t="s">
        <v>117</v>
      </c>
      <c r="P677" s="644">
        <v>0</v>
      </c>
      <c r="Q677" s="34" t="s">
        <v>117</v>
      </c>
      <c r="R677" s="816">
        <f t="shared" si="61"/>
        <v>0</v>
      </c>
      <c r="S677" s="34" t="s">
        <v>117</v>
      </c>
    </row>
    <row r="678" spans="1:19" x14ac:dyDescent="0.3">
      <c r="A678" s="666" t="s">
        <v>1022</v>
      </c>
      <c r="B678" s="234">
        <f>((($B$252*$K$67)/2000)/$J$659)</f>
        <v>1.125</v>
      </c>
      <c r="C678" s="48" t="s">
        <v>115</v>
      </c>
      <c r="D678" s="234">
        <f>((($B$252*$K$67)/2000)/$J$661)</f>
        <v>0.75</v>
      </c>
      <c r="E678" s="48" t="s">
        <v>115</v>
      </c>
      <c r="F678" s="912">
        <f>((($B$252*$K$67)/2000)/$J$663)</f>
        <v>4.6875E-2</v>
      </c>
      <c r="G678" s="48" t="s">
        <v>115</v>
      </c>
      <c r="H678" s="834">
        <f t="shared" si="62"/>
        <v>0.75</v>
      </c>
      <c r="I678" s="48" t="s">
        <v>115</v>
      </c>
      <c r="K678" s="666" t="s">
        <v>1023</v>
      </c>
      <c r="L678" s="835">
        <v>0</v>
      </c>
      <c r="M678" s="234" t="s">
        <v>119</v>
      </c>
      <c r="N678" s="835">
        <v>0</v>
      </c>
      <c r="O678" s="234" t="s">
        <v>119</v>
      </c>
      <c r="P678" s="835">
        <v>0</v>
      </c>
      <c r="Q678" s="234" t="s">
        <v>119</v>
      </c>
      <c r="R678" s="836">
        <f t="shared" si="61"/>
        <v>0</v>
      </c>
      <c r="S678" s="234" t="s">
        <v>119</v>
      </c>
    </row>
    <row r="679" spans="1:19" x14ac:dyDescent="0.3">
      <c r="A679" s="638" t="s">
        <v>1617</v>
      </c>
      <c r="B679" s="634">
        <v>0.43701457208373401</v>
      </c>
      <c r="C679" s="34" t="s">
        <v>115</v>
      </c>
      <c r="D679" s="634">
        <v>0.43701457208373401</v>
      </c>
      <c r="E679" s="34" t="s">
        <v>115</v>
      </c>
      <c r="F679" s="634">
        <v>0.43701457208373401</v>
      </c>
      <c r="G679" s="34" t="s">
        <v>115</v>
      </c>
      <c r="H679" s="826">
        <f t="shared" si="62"/>
        <v>0.43701457208373401</v>
      </c>
      <c r="I679" s="34" t="s">
        <v>115</v>
      </c>
      <c r="K679" s="638" t="s">
        <v>2062</v>
      </c>
      <c r="L679" s="644">
        <v>0</v>
      </c>
      <c r="M679" s="34" t="s">
        <v>117</v>
      </c>
      <c r="N679" s="644">
        <v>0</v>
      </c>
      <c r="O679" s="34" t="s">
        <v>117</v>
      </c>
      <c r="P679" s="644">
        <v>0</v>
      </c>
      <c r="Q679" s="34" t="s">
        <v>117</v>
      </c>
      <c r="R679" s="816">
        <f t="shared" ref="R679:R698" si="67">($B$417*L679)+($B$418*N679)+($B$419*P679)</f>
        <v>0</v>
      </c>
      <c r="S679" s="34" t="s">
        <v>117</v>
      </c>
    </row>
    <row r="680" spans="1:19" ht="13.25" customHeight="1" x14ac:dyDescent="0.3">
      <c r="A680" s="666" t="s">
        <v>1022</v>
      </c>
      <c r="B680" s="912">
        <f>$H$680</f>
        <v>0.43701457208373401</v>
      </c>
      <c r="C680" s="48" t="s">
        <v>115</v>
      </c>
      <c r="D680" s="912">
        <f>$H$680</f>
        <v>0.43701457208373401</v>
      </c>
      <c r="E680" s="48" t="s">
        <v>115</v>
      </c>
      <c r="F680" s="912">
        <f>$H$680</f>
        <v>0.43701457208373401</v>
      </c>
      <c r="G680" s="48" t="s">
        <v>115</v>
      </c>
      <c r="H680" s="834">
        <f>H679</f>
        <v>0.43701457208373401</v>
      </c>
      <c r="I680" s="48" t="s">
        <v>115</v>
      </c>
      <c r="K680" s="666" t="s">
        <v>1023</v>
      </c>
      <c r="L680" s="835">
        <v>0</v>
      </c>
      <c r="M680" s="234" t="s">
        <v>119</v>
      </c>
      <c r="N680" s="835">
        <v>0</v>
      </c>
      <c r="O680" s="234" t="s">
        <v>119</v>
      </c>
      <c r="P680" s="835">
        <v>0</v>
      </c>
      <c r="Q680" s="234" t="s">
        <v>119</v>
      </c>
      <c r="R680" s="836">
        <f t="shared" si="67"/>
        <v>0</v>
      </c>
      <c r="S680" s="234" t="s">
        <v>119</v>
      </c>
    </row>
    <row r="681" spans="1:19" x14ac:dyDescent="0.3">
      <c r="A681" s="638" t="s">
        <v>1618</v>
      </c>
      <c r="B681" s="634">
        <v>0.65031930369603297</v>
      </c>
      <c r="C681" s="34" t="s">
        <v>115</v>
      </c>
      <c r="D681" s="634">
        <v>0.65031930369603286</v>
      </c>
      <c r="E681" s="34" t="s">
        <v>115</v>
      </c>
      <c r="F681" s="634">
        <v>0.65031930369603286</v>
      </c>
      <c r="G681" s="34" t="s">
        <v>115</v>
      </c>
      <c r="H681" s="826">
        <f t="shared" si="62"/>
        <v>0.65031930369603286</v>
      </c>
      <c r="I681" s="34" t="s">
        <v>115</v>
      </c>
      <c r="K681" s="638" t="s">
        <v>2063</v>
      </c>
      <c r="L681" s="644">
        <v>0</v>
      </c>
      <c r="M681" s="34" t="s">
        <v>117</v>
      </c>
      <c r="N681" s="644">
        <v>0</v>
      </c>
      <c r="O681" s="34" t="s">
        <v>117</v>
      </c>
      <c r="P681" s="644">
        <v>0</v>
      </c>
      <c r="Q681" s="34" t="s">
        <v>117</v>
      </c>
      <c r="R681" s="816">
        <f t="shared" si="67"/>
        <v>0</v>
      </c>
      <c r="S681" s="34" t="s">
        <v>117</v>
      </c>
    </row>
    <row r="682" spans="1:19" x14ac:dyDescent="0.3">
      <c r="A682" s="666" t="s">
        <v>1022</v>
      </c>
      <c r="B682" s="912">
        <f>$H$682</f>
        <v>0.65031930369603286</v>
      </c>
      <c r="C682" s="48" t="s">
        <v>115</v>
      </c>
      <c r="D682" s="912">
        <f>$H$682</f>
        <v>0.65031930369603286</v>
      </c>
      <c r="E682" s="48" t="s">
        <v>115</v>
      </c>
      <c r="F682" s="912">
        <f>$H$682</f>
        <v>0.65031930369603286</v>
      </c>
      <c r="G682" s="48" t="s">
        <v>115</v>
      </c>
      <c r="H682" s="834">
        <f>H681</f>
        <v>0.65031930369603286</v>
      </c>
      <c r="I682" s="48" t="s">
        <v>115</v>
      </c>
      <c r="K682" s="666" t="s">
        <v>1023</v>
      </c>
      <c r="L682" s="835">
        <v>0</v>
      </c>
      <c r="M682" s="234" t="s">
        <v>119</v>
      </c>
      <c r="N682" s="835">
        <v>0</v>
      </c>
      <c r="O682" s="234" t="s">
        <v>119</v>
      </c>
      <c r="P682" s="835">
        <v>0</v>
      </c>
      <c r="Q682" s="234" t="s">
        <v>119</v>
      </c>
      <c r="R682" s="836">
        <f t="shared" si="67"/>
        <v>0</v>
      </c>
      <c r="S682" s="234" t="s">
        <v>119</v>
      </c>
    </row>
    <row r="683" spans="1:19" x14ac:dyDescent="0.3">
      <c r="A683" s="638" t="s">
        <v>1619</v>
      </c>
      <c r="B683" s="634">
        <v>0.29134304805582301</v>
      </c>
      <c r="C683" s="34" t="s">
        <v>115</v>
      </c>
      <c r="D683" s="634">
        <v>0.29134304805582301</v>
      </c>
      <c r="E683" s="34" t="s">
        <v>115</v>
      </c>
      <c r="F683" s="634">
        <v>0.29134304805582301</v>
      </c>
      <c r="G683" s="34" t="s">
        <v>115</v>
      </c>
      <c r="H683" s="826">
        <f t="shared" si="62"/>
        <v>0.29134304805582301</v>
      </c>
      <c r="I683" s="34" t="s">
        <v>115</v>
      </c>
      <c r="K683" s="638" t="s">
        <v>1619</v>
      </c>
      <c r="L683" s="644">
        <v>0</v>
      </c>
      <c r="M683" s="34" t="s">
        <v>117</v>
      </c>
      <c r="N683" s="644">
        <v>0</v>
      </c>
      <c r="O683" s="34" t="s">
        <v>117</v>
      </c>
      <c r="P683" s="644">
        <v>0</v>
      </c>
      <c r="Q683" s="34" t="s">
        <v>117</v>
      </c>
      <c r="R683" s="816">
        <f t="shared" si="67"/>
        <v>0</v>
      </c>
      <c r="S683" s="34" t="s">
        <v>117</v>
      </c>
    </row>
    <row r="684" spans="1:19" x14ac:dyDescent="0.3">
      <c r="A684" s="666" t="s">
        <v>1022</v>
      </c>
      <c r="B684" s="912">
        <f>$H$684</f>
        <v>0.29134304805582301</v>
      </c>
      <c r="C684" s="48" t="s">
        <v>115</v>
      </c>
      <c r="D684" s="912">
        <f>$H$684</f>
        <v>0.29134304805582301</v>
      </c>
      <c r="E684" s="48" t="s">
        <v>115</v>
      </c>
      <c r="F684" s="912">
        <f>$H$684</f>
        <v>0.29134304805582301</v>
      </c>
      <c r="G684" s="48" t="s">
        <v>115</v>
      </c>
      <c r="H684" s="834">
        <f>H683</f>
        <v>0.29134304805582301</v>
      </c>
      <c r="I684" s="48" t="s">
        <v>115</v>
      </c>
      <c r="K684" s="666" t="s">
        <v>1023</v>
      </c>
      <c r="L684" s="835">
        <v>0</v>
      </c>
      <c r="M684" s="234" t="s">
        <v>119</v>
      </c>
      <c r="N684" s="835">
        <v>0</v>
      </c>
      <c r="O684" s="234" t="s">
        <v>119</v>
      </c>
      <c r="P684" s="835">
        <v>0</v>
      </c>
      <c r="Q684" s="234" t="s">
        <v>119</v>
      </c>
      <c r="R684" s="836">
        <f t="shared" si="67"/>
        <v>0</v>
      </c>
      <c r="S684" s="234" t="s">
        <v>119</v>
      </c>
    </row>
    <row r="685" spans="1:19" x14ac:dyDescent="0.3">
      <c r="A685" s="638" t="s">
        <v>2065</v>
      </c>
      <c r="B685" s="634">
        <v>0.353773701210642</v>
      </c>
      <c r="C685" s="34" t="s">
        <v>115</v>
      </c>
      <c r="D685" s="634">
        <v>0.353773701210642</v>
      </c>
      <c r="E685" s="34" t="s">
        <v>115</v>
      </c>
      <c r="F685" s="634">
        <v>0.353773701210642</v>
      </c>
      <c r="G685" s="34" t="s">
        <v>115</v>
      </c>
      <c r="H685" s="826">
        <f t="shared" si="62"/>
        <v>0.353773701210642</v>
      </c>
      <c r="I685" s="34" t="s">
        <v>115</v>
      </c>
      <c r="K685" s="638" t="s">
        <v>2064</v>
      </c>
      <c r="L685" s="644">
        <v>0</v>
      </c>
      <c r="M685" s="34" t="s">
        <v>117</v>
      </c>
      <c r="N685" s="644">
        <v>0</v>
      </c>
      <c r="O685" s="34" t="s">
        <v>117</v>
      </c>
      <c r="P685" s="644">
        <v>0</v>
      </c>
      <c r="Q685" s="34" t="s">
        <v>117</v>
      </c>
      <c r="R685" s="816">
        <f t="shared" si="67"/>
        <v>0</v>
      </c>
      <c r="S685" s="34" t="s">
        <v>117</v>
      </c>
    </row>
    <row r="686" spans="1:19" x14ac:dyDescent="0.3">
      <c r="A686" s="666" t="s">
        <v>1022</v>
      </c>
      <c r="B686" s="912">
        <f>$H$686</f>
        <v>0.353773701210642</v>
      </c>
      <c r="C686" s="48" t="s">
        <v>115</v>
      </c>
      <c r="D686" s="912">
        <f>$H$686</f>
        <v>0.353773701210642</v>
      </c>
      <c r="E686" s="48" t="s">
        <v>115</v>
      </c>
      <c r="F686" s="912">
        <f>$H$686</f>
        <v>0.353773701210642</v>
      </c>
      <c r="G686" s="48" t="s">
        <v>115</v>
      </c>
      <c r="H686" s="834">
        <f>H685</f>
        <v>0.353773701210642</v>
      </c>
      <c r="I686" s="48" t="s">
        <v>115</v>
      </c>
      <c r="K686" s="666" t="s">
        <v>1023</v>
      </c>
      <c r="L686" s="835">
        <v>0</v>
      </c>
      <c r="M686" s="234" t="s">
        <v>119</v>
      </c>
      <c r="N686" s="835">
        <v>0</v>
      </c>
      <c r="O686" s="234" t="s">
        <v>119</v>
      </c>
      <c r="P686" s="835">
        <v>0</v>
      </c>
      <c r="Q686" s="234" t="s">
        <v>119</v>
      </c>
      <c r="R686" s="836">
        <f t="shared" si="67"/>
        <v>0</v>
      </c>
      <c r="S686" s="234" t="s">
        <v>119</v>
      </c>
    </row>
    <row r="687" spans="1:19" x14ac:dyDescent="0.3">
      <c r="A687" s="638" t="s">
        <v>2066</v>
      </c>
      <c r="B687" s="634">
        <v>0.43701457208373401</v>
      </c>
      <c r="C687" s="34" t="s">
        <v>115</v>
      </c>
      <c r="D687" s="634">
        <v>0.43701457208373401</v>
      </c>
      <c r="E687" s="34" t="s">
        <v>115</v>
      </c>
      <c r="F687" s="634">
        <v>0.43701457208373401</v>
      </c>
      <c r="G687" s="34" t="s">
        <v>115</v>
      </c>
      <c r="H687" s="826">
        <f t="shared" ref="H687" si="68">($B$417*B687)+($B$418*D687)+($B$419*F687)</f>
        <v>0.43701457208373401</v>
      </c>
      <c r="I687" s="34" t="s">
        <v>115</v>
      </c>
      <c r="K687" s="638" t="s">
        <v>2067</v>
      </c>
      <c r="L687" s="644">
        <v>0</v>
      </c>
      <c r="M687" s="34" t="s">
        <v>117</v>
      </c>
      <c r="N687" s="644">
        <v>0</v>
      </c>
      <c r="O687" s="34" t="s">
        <v>117</v>
      </c>
      <c r="P687" s="644">
        <v>0</v>
      </c>
      <c r="Q687" s="34" t="s">
        <v>117</v>
      </c>
      <c r="R687" s="816">
        <f t="shared" ref="R687:R688" si="69">($B$417*L687)+($B$418*N687)+($B$419*P687)</f>
        <v>0</v>
      </c>
      <c r="S687" s="34" t="s">
        <v>117</v>
      </c>
    </row>
    <row r="688" spans="1:19" x14ac:dyDescent="0.3">
      <c r="A688" s="666" t="s">
        <v>1022</v>
      </c>
      <c r="B688" s="912">
        <f>$H$686</f>
        <v>0.353773701210642</v>
      </c>
      <c r="C688" s="48" t="s">
        <v>115</v>
      </c>
      <c r="D688" s="912">
        <f>$H$686</f>
        <v>0.353773701210642</v>
      </c>
      <c r="E688" s="48" t="s">
        <v>115</v>
      </c>
      <c r="F688" s="912">
        <f>$H$686</f>
        <v>0.353773701210642</v>
      </c>
      <c r="G688" s="48" t="s">
        <v>115</v>
      </c>
      <c r="H688" s="834">
        <f>H687</f>
        <v>0.43701457208373401</v>
      </c>
      <c r="I688" s="48" t="s">
        <v>115</v>
      </c>
      <c r="K688" s="666" t="s">
        <v>1023</v>
      </c>
      <c r="L688" s="835">
        <v>0</v>
      </c>
      <c r="M688" s="234" t="s">
        <v>119</v>
      </c>
      <c r="N688" s="835">
        <v>0</v>
      </c>
      <c r="O688" s="234" t="s">
        <v>119</v>
      </c>
      <c r="P688" s="835">
        <v>0</v>
      </c>
      <c r="Q688" s="234" t="s">
        <v>119</v>
      </c>
      <c r="R688" s="836">
        <f t="shared" si="69"/>
        <v>0</v>
      </c>
      <c r="S688" s="234" t="s">
        <v>119</v>
      </c>
    </row>
    <row r="689" spans="1:19" x14ac:dyDescent="0.3">
      <c r="A689" s="638" t="s">
        <v>1620</v>
      </c>
      <c r="B689" s="634">
        <v>0.46822989866114401</v>
      </c>
      <c r="C689" s="34" t="s">
        <v>115</v>
      </c>
      <c r="D689" s="634">
        <v>0.46822989866114401</v>
      </c>
      <c r="E689" s="34" t="s">
        <v>115</v>
      </c>
      <c r="F689" s="634">
        <v>0.46822989866114401</v>
      </c>
      <c r="G689" s="34" t="s">
        <v>115</v>
      </c>
      <c r="H689" s="826">
        <f t="shared" si="62"/>
        <v>0.46822989866114401</v>
      </c>
      <c r="I689" s="34" t="s">
        <v>115</v>
      </c>
      <c r="K689" s="638" t="s">
        <v>2069</v>
      </c>
      <c r="L689" s="644">
        <v>0</v>
      </c>
      <c r="M689" s="34" t="s">
        <v>117</v>
      </c>
      <c r="N689" s="644">
        <v>0</v>
      </c>
      <c r="O689" s="34" t="s">
        <v>117</v>
      </c>
      <c r="P689" s="644">
        <v>0</v>
      </c>
      <c r="Q689" s="34" t="s">
        <v>117</v>
      </c>
      <c r="R689" s="816">
        <f t="shared" si="67"/>
        <v>0</v>
      </c>
      <c r="S689" s="34" t="s">
        <v>117</v>
      </c>
    </row>
    <row r="690" spans="1:19" x14ac:dyDescent="0.3">
      <c r="A690" s="666" t="s">
        <v>1022</v>
      </c>
      <c r="B690" s="912">
        <f>$H$690</f>
        <v>0.46822989866114401</v>
      </c>
      <c r="C690" s="48" t="s">
        <v>115</v>
      </c>
      <c r="D690" s="912">
        <f>$H$690</f>
        <v>0.46822989866114401</v>
      </c>
      <c r="E690" s="48" t="s">
        <v>115</v>
      </c>
      <c r="F690" s="912">
        <f>$H$690</f>
        <v>0.46822989866114401</v>
      </c>
      <c r="G690" s="48" t="s">
        <v>115</v>
      </c>
      <c r="H690" s="834">
        <f>H689</f>
        <v>0.46822989866114401</v>
      </c>
      <c r="I690" s="48" t="s">
        <v>115</v>
      </c>
      <c r="K690" s="666" t="s">
        <v>1023</v>
      </c>
      <c r="L690" s="835">
        <v>0</v>
      </c>
      <c r="M690" s="234" t="s">
        <v>119</v>
      </c>
      <c r="N690" s="835">
        <v>0</v>
      </c>
      <c r="O690" s="234" t="s">
        <v>119</v>
      </c>
      <c r="P690" s="835">
        <v>0</v>
      </c>
      <c r="Q690" s="234" t="s">
        <v>119</v>
      </c>
      <c r="R690" s="836">
        <f t="shared" si="67"/>
        <v>0</v>
      </c>
      <c r="S690" s="234" t="s">
        <v>119</v>
      </c>
    </row>
    <row r="691" spans="1:19" x14ac:dyDescent="0.3">
      <c r="A691" s="638" t="s">
        <v>1621</v>
      </c>
      <c r="B691" s="634">
        <v>0.43701457208373401</v>
      </c>
      <c r="C691" s="34" t="s">
        <v>115</v>
      </c>
      <c r="D691" s="634">
        <v>0.43701457208373401</v>
      </c>
      <c r="E691" s="34" t="s">
        <v>115</v>
      </c>
      <c r="F691" s="634">
        <v>0.43701457208373401</v>
      </c>
      <c r="G691" s="34" t="s">
        <v>115</v>
      </c>
      <c r="H691" s="826">
        <f t="shared" si="62"/>
        <v>0.43701457208373401</v>
      </c>
      <c r="I691" s="34" t="s">
        <v>115</v>
      </c>
      <c r="K691" s="638" t="s">
        <v>2068</v>
      </c>
      <c r="L691" s="644">
        <v>0</v>
      </c>
      <c r="M691" s="34" t="s">
        <v>117</v>
      </c>
      <c r="N691" s="644">
        <v>0</v>
      </c>
      <c r="O691" s="34" t="s">
        <v>117</v>
      </c>
      <c r="P691" s="644">
        <v>0</v>
      </c>
      <c r="Q691" s="34" t="s">
        <v>117</v>
      </c>
      <c r="R691" s="816">
        <f t="shared" si="67"/>
        <v>0</v>
      </c>
      <c r="S691" s="34" t="s">
        <v>117</v>
      </c>
    </row>
    <row r="692" spans="1:19" x14ac:dyDescent="0.3">
      <c r="A692" s="666" t="s">
        <v>1022</v>
      </c>
      <c r="B692" s="912">
        <f>$H$692</f>
        <v>0.43701457208373401</v>
      </c>
      <c r="C692" s="48" t="s">
        <v>115</v>
      </c>
      <c r="D692" s="912">
        <f>$H$692</f>
        <v>0.43701457208373401</v>
      </c>
      <c r="E692" s="48" t="s">
        <v>115</v>
      </c>
      <c r="F692" s="912">
        <f>$H$692</f>
        <v>0.43701457208373401</v>
      </c>
      <c r="G692" s="48" t="s">
        <v>115</v>
      </c>
      <c r="H692" s="834">
        <f>H691</f>
        <v>0.43701457208373401</v>
      </c>
      <c r="I692" s="48" t="s">
        <v>115</v>
      </c>
      <c r="K692" s="666" t="s">
        <v>1023</v>
      </c>
      <c r="L692" s="835">
        <v>0</v>
      </c>
      <c r="M692" s="234" t="s">
        <v>119</v>
      </c>
      <c r="N692" s="835">
        <v>0</v>
      </c>
      <c r="O692" s="234" t="s">
        <v>119</v>
      </c>
      <c r="P692" s="835">
        <v>0</v>
      </c>
      <c r="Q692" s="234" t="s">
        <v>119</v>
      </c>
      <c r="R692" s="836">
        <f t="shared" si="67"/>
        <v>0</v>
      </c>
      <c r="S692" s="234" t="s">
        <v>119</v>
      </c>
    </row>
    <row r="693" spans="1:19" x14ac:dyDescent="0.3">
      <c r="A693" s="638" t="s">
        <v>2136</v>
      </c>
      <c r="B693" s="634">
        <v>0.15607663288704801</v>
      </c>
      <c r="C693" s="34" t="s">
        <v>115</v>
      </c>
      <c r="D693" s="634">
        <v>0.15607663288704801</v>
      </c>
      <c r="E693" s="34" t="s">
        <v>115</v>
      </c>
      <c r="F693" s="634">
        <v>0.15607663288704801</v>
      </c>
      <c r="G693" s="34" t="s">
        <v>115</v>
      </c>
      <c r="H693" s="826">
        <f t="shared" ref="H693" si="70">($B$417*B693)+($B$418*D693)+($B$419*F693)</f>
        <v>0.15607663288704801</v>
      </c>
      <c r="I693" s="34" t="s">
        <v>115</v>
      </c>
      <c r="K693" s="638" t="s">
        <v>2137</v>
      </c>
      <c r="L693" s="644">
        <v>0</v>
      </c>
      <c r="M693" s="34" t="s">
        <v>117</v>
      </c>
      <c r="N693" s="644">
        <v>0</v>
      </c>
      <c r="O693" s="34" t="s">
        <v>117</v>
      </c>
      <c r="P693" s="644">
        <v>0</v>
      </c>
      <c r="Q693" s="34" t="s">
        <v>117</v>
      </c>
      <c r="R693" s="816">
        <f t="shared" ref="R693:R694" si="71">($B$417*L693)+($B$418*N693)+($B$419*P693)</f>
        <v>0</v>
      </c>
      <c r="S693" s="34" t="s">
        <v>117</v>
      </c>
    </row>
    <row r="694" spans="1:19" x14ac:dyDescent="0.3">
      <c r="A694" s="666" t="s">
        <v>1022</v>
      </c>
      <c r="B694" s="912">
        <f>$H$694</f>
        <v>0.15607663288704801</v>
      </c>
      <c r="C694" s="48" t="s">
        <v>115</v>
      </c>
      <c r="D694" s="912">
        <f>$H$694</f>
        <v>0.15607663288704801</v>
      </c>
      <c r="E694" s="48" t="s">
        <v>115</v>
      </c>
      <c r="F694" s="912">
        <f>$H$694</f>
        <v>0.15607663288704801</v>
      </c>
      <c r="G694" s="48" t="s">
        <v>115</v>
      </c>
      <c r="H694" s="834">
        <f>H693</f>
        <v>0.15607663288704801</v>
      </c>
      <c r="I694" s="48" t="s">
        <v>115</v>
      </c>
      <c r="K694" s="666" t="s">
        <v>1023</v>
      </c>
      <c r="L694" s="835">
        <v>0</v>
      </c>
      <c r="M694" s="234" t="s">
        <v>119</v>
      </c>
      <c r="N694" s="835">
        <v>0</v>
      </c>
      <c r="O694" s="234" t="s">
        <v>119</v>
      </c>
      <c r="P694" s="835">
        <v>0</v>
      </c>
      <c r="Q694" s="234" t="s">
        <v>119</v>
      </c>
      <c r="R694" s="836">
        <f t="shared" si="71"/>
        <v>0</v>
      </c>
      <c r="S694" s="234" t="s">
        <v>119</v>
      </c>
    </row>
    <row r="695" spans="1:19" x14ac:dyDescent="0.3">
      <c r="A695" s="638" t="s">
        <v>1622</v>
      </c>
      <c r="B695" s="634">
        <v>0.353773701210642</v>
      </c>
      <c r="C695" s="34" t="s">
        <v>115</v>
      </c>
      <c r="D695" s="634">
        <v>0.353773701210642</v>
      </c>
      <c r="E695" s="34" t="s">
        <v>115</v>
      </c>
      <c r="F695" s="634">
        <v>0.353773701210642</v>
      </c>
      <c r="G695" s="34" t="s">
        <v>115</v>
      </c>
      <c r="H695" s="826">
        <f t="shared" si="62"/>
        <v>0.353773701210642</v>
      </c>
      <c r="I695" s="34" t="s">
        <v>115</v>
      </c>
      <c r="K695" s="638" t="s">
        <v>2070</v>
      </c>
      <c r="L695" s="644">
        <v>0</v>
      </c>
      <c r="M695" s="34" t="s">
        <v>117</v>
      </c>
      <c r="N695" s="644">
        <v>0</v>
      </c>
      <c r="O695" s="34" t="s">
        <v>117</v>
      </c>
      <c r="P695" s="644">
        <v>0</v>
      </c>
      <c r="Q695" s="34" t="s">
        <v>117</v>
      </c>
      <c r="R695" s="816">
        <f t="shared" si="67"/>
        <v>0</v>
      </c>
      <c r="S695" s="34" t="s">
        <v>117</v>
      </c>
    </row>
    <row r="696" spans="1:19" x14ac:dyDescent="0.3">
      <c r="A696" s="666" t="s">
        <v>1022</v>
      </c>
      <c r="B696" s="912">
        <f>$H$696</f>
        <v>0.353773701210642</v>
      </c>
      <c r="C696" s="48" t="s">
        <v>115</v>
      </c>
      <c r="D696" s="912">
        <f>$H$696</f>
        <v>0.353773701210642</v>
      </c>
      <c r="E696" s="48" t="s">
        <v>115</v>
      </c>
      <c r="F696" s="912">
        <f>$H$696</f>
        <v>0.353773701210642</v>
      </c>
      <c r="G696" s="48" t="s">
        <v>115</v>
      </c>
      <c r="H696" s="834">
        <f>H695</f>
        <v>0.353773701210642</v>
      </c>
      <c r="I696" s="48" t="s">
        <v>115</v>
      </c>
      <c r="K696" s="666" t="s">
        <v>1023</v>
      </c>
      <c r="L696" s="835">
        <v>0</v>
      </c>
      <c r="M696" s="234" t="s">
        <v>119</v>
      </c>
      <c r="N696" s="835">
        <v>0</v>
      </c>
      <c r="O696" s="234" t="s">
        <v>119</v>
      </c>
      <c r="P696" s="835">
        <v>0</v>
      </c>
      <c r="Q696" s="234" t="s">
        <v>119</v>
      </c>
      <c r="R696" s="836">
        <f t="shared" si="67"/>
        <v>0</v>
      </c>
      <c r="S696" s="234" t="s">
        <v>119</v>
      </c>
    </row>
    <row r="697" spans="1:19" x14ac:dyDescent="0.3">
      <c r="A697" s="638" t="s">
        <v>1623</v>
      </c>
      <c r="B697" s="634">
        <v>0.26012772147841301</v>
      </c>
      <c r="C697" s="34" t="s">
        <v>115</v>
      </c>
      <c r="D697" s="634">
        <v>0.26012772147841301</v>
      </c>
      <c r="E697" s="34" t="s">
        <v>115</v>
      </c>
      <c r="F697" s="634">
        <v>0.26012772147841301</v>
      </c>
      <c r="G697" s="34" t="s">
        <v>115</v>
      </c>
      <c r="H697" s="826">
        <f t="shared" si="62"/>
        <v>0.26012772147841301</v>
      </c>
      <c r="I697" s="34" t="s">
        <v>115</v>
      </c>
      <c r="K697" s="638" t="s">
        <v>2071</v>
      </c>
      <c r="L697" s="644">
        <v>0</v>
      </c>
      <c r="M697" s="34" t="s">
        <v>117</v>
      </c>
      <c r="N697" s="644">
        <v>0</v>
      </c>
      <c r="O697" s="34" t="s">
        <v>117</v>
      </c>
      <c r="P697" s="644">
        <v>0</v>
      </c>
      <c r="Q697" s="34" t="s">
        <v>117</v>
      </c>
      <c r="R697" s="816">
        <f t="shared" si="67"/>
        <v>0</v>
      </c>
      <c r="S697" s="34" t="s">
        <v>117</v>
      </c>
    </row>
    <row r="698" spans="1:19" x14ac:dyDescent="0.3">
      <c r="A698" s="666" t="s">
        <v>1022</v>
      </c>
      <c r="B698" s="912">
        <f>$H$698</f>
        <v>0.26012772147841301</v>
      </c>
      <c r="C698" s="48" t="s">
        <v>115</v>
      </c>
      <c r="D698" s="912">
        <f>$H$698</f>
        <v>0.26012772147841301</v>
      </c>
      <c r="E698" s="48" t="s">
        <v>115</v>
      </c>
      <c r="F698" s="912">
        <f>$H$698</f>
        <v>0.26012772147841301</v>
      </c>
      <c r="G698" s="48" t="s">
        <v>115</v>
      </c>
      <c r="H698" s="834">
        <f>H697</f>
        <v>0.26012772147841301</v>
      </c>
      <c r="I698" s="48" t="s">
        <v>115</v>
      </c>
      <c r="K698" s="666" t="s">
        <v>1023</v>
      </c>
      <c r="L698" s="835">
        <v>0</v>
      </c>
      <c r="M698" s="234" t="s">
        <v>119</v>
      </c>
      <c r="N698" s="835">
        <v>0</v>
      </c>
      <c r="O698" s="234" t="s">
        <v>119</v>
      </c>
      <c r="P698" s="835">
        <v>0</v>
      </c>
      <c r="Q698" s="234" t="s">
        <v>119</v>
      </c>
      <c r="R698" s="836">
        <f t="shared" si="67"/>
        <v>0</v>
      </c>
      <c r="S698" s="234" t="s">
        <v>119</v>
      </c>
    </row>
    <row r="699" spans="1:19" x14ac:dyDescent="0.3">
      <c r="A699" s="17" t="s">
        <v>479</v>
      </c>
      <c r="B699" s="827" t="s">
        <v>1434</v>
      </c>
      <c r="C699" s="34" t="s">
        <v>115</v>
      </c>
      <c r="D699" s="827" t="s">
        <v>1434</v>
      </c>
      <c r="E699" s="34" t="s">
        <v>115</v>
      </c>
      <c r="F699" s="827" t="s">
        <v>1434</v>
      </c>
      <c r="G699" s="34" t="s">
        <v>115</v>
      </c>
      <c r="H699" s="602">
        <f>0.225018903649875*$L$313</f>
        <v>0.34502898559647505</v>
      </c>
      <c r="I699" s="34" t="s">
        <v>115</v>
      </c>
      <c r="K699" s="17" t="s">
        <v>897</v>
      </c>
      <c r="L699" s="827" t="s">
        <v>1434</v>
      </c>
      <c r="M699" s="34" t="s">
        <v>117</v>
      </c>
      <c r="N699" s="827" t="s">
        <v>1434</v>
      </c>
      <c r="O699" s="34" t="s">
        <v>117</v>
      </c>
      <c r="P699" s="827" t="s">
        <v>1434</v>
      </c>
      <c r="Q699" s="34" t="s">
        <v>117</v>
      </c>
      <c r="R699" s="282">
        <v>1.2877668845315899</v>
      </c>
      <c r="S699" s="34" t="s">
        <v>117</v>
      </c>
    </row>
    <row r="700" spans="1:19" x14ac:dyDescent="0.3">
      <c r="A700" s="17" t="s">
        <v>675</v>
      </c>
      <c r="B700" s="827" t="s">
        <v>1434</v>
      </c>
      <c r="C700" s="34" t="s">
        <v>115</v>
      </c>
      <c r="D700" s="827" t="s">
        <v>1434</v>
      </c>
      <c r="E700" s="34" t="s">
        <v>115</v>
      </c>
      <c r="F700" s="827" t="s">
        <v>1434</v>
      </c>
      <c r="G700" s="34" t="s">
        <v>115</v>
      </c>
      <c r="H700" s="278">
        <v>0.23567119155354399</v>
      </c>
      <c r="I700" s="34" t="s">
        <v>115</v>
      </c>
      <c r="K700" s="17" t="s">
        <v>898</v>
      </c>
      <c r="L700" s="827" t="s">
        <v>1434</v>
      </c>
      <c r="M700" s="34" t="s">
        <v>117</v>
      </c>
      <c r="N700" s="827" t="s">
        <v>1434</v>
      </c>
      <c r="O700" s="34" t="s">
        <v>117</v>
      </c>
      <c r="P700" s="827" t="s">
        <v>1434</v>
      </c>
      <c r="Q700" s="34" t="s">
        <v>117</v>
      </c>
      <c r="R700" s="278">
        <v>0.25</v>
      </c>
      <c r="S700" s="34" t="s">
        <v>117</v>
      </c>
    </row>
    <row r="709" spans="1:1" x14ac:dyDescent="0.3">
      <c r="A709" s="17"/>
    </row>
    <row r="710" spans="1:1" x14ac:dyDescent="0.3">
      <c r="A710" s="17"/>
    </row>
    <row r="711" spans="1:1" x14ac:dyDescent="0.3">
      <c r="A711" s="17"/>
    </row>
    <row r="712" spans="1:1" x14ac:dyDescent="0.3">
      <c r="A712" s="17"/>
    </row>
    <row r="713" spans="1:1" x14ac:dyDescent="0.3">
      <c r="A713" s="17"/>
    </row>
    <row r="714" spans="1:1" x14ac:dyDescent="0.3">
      <c r="A714" s="17"/>
    </row>
    <row r="715" spans="1:1" x14ac:dyDescent="0.3">
      <c r="A715" s="17"/>
    </row>
    <row r="716" spans="1:1" x14ac:dyDescent="0.3">
      <c r="A716" s="17"/>
    </row>
    <row r="717" spans="1:1" x14ac:dyDescent="0.3">
      <c r="A717" s="17"/>
    </row>
    <row r="718" spans="1:1" x14ac:dyDescent="0.3">
      <c r="A718" s="17"/>
    </row>
  </sheetData>
  <phoneticPr fontId="0" type="noConversion"/>
  <hyperlinks>
    <hyperlink ref="I263" r:id="rId1"/>
    <hyperlink ref="K257" r:id="rId2"/>
    <hyperlink ref="T177" r:id="rId3"/>
    <hyperlink ref="R274" r:id="rId4"/>
    <hyperlink ref="R331" r:id="rId5"/>
  </hyperlinks>
  <pageMargins left="0.75" right="0.75" top="1" bottom="1" header="0.5" footer="0.5"/>
  <pageSetup scale="32" orientation="portrait" r:id="rId6"/>
  <headerFooter alignWithMargins="0"/>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8"/>
  <sheetViews>
    <sheetView zoomScale="80" zoomScaleNormal="80" workbookViewId="0">
      <selection activeCell="B17" sqref="B17"/>
    </sheetView>
  </sheetViews>
  <sheetFormatPr defaultColWidth="8.90625" defaultRowHeight="20.5" x14ac:dyDescent="0.45"/>
  <cols>
    <col min="1" max="1" width="5.6328125" style="1108" customWidth="1"/>
    <col min="2" max="9" width="17.81640625" style="1108" customWidth="1"/>
    <col min="10" max="10" width="11.90625" style="1108" customWidth="1"/>
    <col min="11" max="13" width="19.81640625" style="1108" customWidth="1"/>
    <col min="14" max="15" width="17.81640625" style="1108" customWidth="1"/>
    <col min="16" max="16" width="5.81640625" style="1108" customWidth="1"/>
    <col min="17" max="18" width="8.90625" style="1108"/>
    <col min="19" max="19" width="13.08984375" style="1108" customWidth="1"/>
    <col min="20" max="16384" width="8.90625" style="1108"/>
  </cols>
  <sheetData>
    <row r="1" spans="1:17" ht="18" customHeight="1" thickBot="1" x14ac:dyDescent="0.5">
      <c r="A1" s="1105"/>
      <c r="B1" s="1100"/>
      <c r="C1" s="1100"/>
      <c r="D1" s="1100"/>
      <c r="E1" s="1100"/>
      <c r="F1" s="1100"/>
      <c r="G1" s="1100"/>
      <c r="H1" s="1100"/>
      <c r="I1" s="1100"/>
      <c r="J1" s="1100"/>
      <c r="K1" s="1085" t="s">
        <v>1839</v>
      </c>
      <c r="L1" s="1106"/>
      <c r="M1" s="1102"/>
      <c r="N1" s="1102"/>
      <c r="O1" s="1102"/>
      <c r="P1" s="1107"/>
    </row>
    <row r="2" spans="1:17" ht="18" customHeight="1" thickBot="1" x14ac:dyDescent="0.5">
      <c r="A2" s="1109"/>
      <c r="B2" s="1086" t="s">
        <v>2200</v>
      </c>
      <c r="C2" s="1110"/>
      <c r="D2" s="1110"/>
      <c r="E2" s="1110"/>
      <c r="F2" s="1110"/>
      <c r="G2" s="1110"/>
      <c r="H2" s="1110"/>
      <c r="I2" s="1110"/>
      <c r="J2" s="1111"/>
      <c r="K2" s="1164" t="s">
        <v>1138</v>
      </c>
      <c r="L2" s="1165"/>
      <c r="M2" s="1079"/>
      <c r="N2" s="1079"/>
      <c r="O2" s="1079"/>
      <c r="P2" s="1112"/>
    </row>
    <row r="3" spans="1:17" ht="18" customHeight="1" thickBot="1" x14ac:dyDescent="0.5">
      <c r="A3" s="1109"/>
      <c r="B3" s="1087"/>
      <c r="C3" s="1101"/>
      <c r="D3" s="1101"/>
      <c r="E3" s="1101"/>
      <c r="F3" s="1113"/>
      <c r="G3" s="1114"/>
      <c r="H3" s="1101"/>
      <c r="I3" s="1101"/>
      <c r="J3" s="1101"/>
      <c r="K3" s="1101"/>
      <c r="L3" s="1101"/>
      <c r="M3" s="1099"/>
      <c r="N3" s="1099"/>
      <c r="O3" s="1099"/>
      <c r="P3" s="1112"/>
    </row>
    <row r="4" spans="1:17" ht="18" customHeight="1" thickBot="1" x14ac:dyDescent="0.5">
      <c r="A4" s="1088"/>
      <c r="B4" s="1101"/>
      <c r="C4" s="1101"/>
      <c r="D4" s="1089"/>
      <c r="E4" s="1090"/>
      <c r="F4" s="1234" t="s">
        <v>2000</v>
      </c>
      <c r="G4" s="1114"/>
      <c r="H4" s="1101"/>
      <c r="I4" s="1101"/>
      <c r="J4" s="1101"/>
      <c r="K4" s="1101"/>
      <c r="L4" s="1101"/>
      <c r="M4" s="1099"/>
      <c r="N4" s="1099"/>
      <c r="O4" s="1099"/>
      <c r="P4" s="1112"/>
    </row>
    <row r="5" spans="1:17" ht="18" customHeight="1" x14ac:dyDescent="0.45">
      <c r="A5" s="1109"/>
      <c r="B5" s="1091" t="s">
        <v>1998</v>
      </c>
      <c r="C5" s="1101"/>
      <c r="D5" s="1092"/>
      <c r="E5" s="1161" t="s">
        <v>1546</v>
      </c>
      <c r="F5" s="1163">
        <v>0</v>
      </c>
      <c r="G5" s="1162" t="s">
        <v>1730</v>
      </c>
      <c r="H5" s="1101"/>
      <c r="I5" s="1101"/>
      <c r="J5" s="1091"/>
      <c r="K5" s="1091" t="s">
        <v>1999</v>
      </c>
      <c r="L5" s="1101"/>
      <c r="M5" s="1093"/>
      <c r="N5" s="1093"/>
      <c r="O5" s="1093"/>
      <c r="P5" s="1112"/>
    </row>
    <row r="6" spans="1:17" ht="18" customHeight="1" x14ac:dyDescent="0.45">
      <c r="A6" s="1109"/>
      <c r="B6" s="1093"/>
      <c r="C6" s="1101"/>
      <c r="D6" s="1092"/>
      <c r="E6" s="1161" t="s">
        <v>1547</v>
      </c>
      <c r="F6" s="1163">
        <v>1</v>
      </c>
      <c r="G6" s="1162" t="s">
        <v>1832</v>
      </c>
      <c r="H6" s="1101"/>
      <c r="I6" s="1101"/>
      <c r="J6" s="1091"/>
      <c r="K6" s="1094" t="s">
        <v>12</v>
      </c>
      <c r="L6" s="1095" t="s">
        <v>155</v>
      </c>
      <c r="M6" s="1099"/>
      <c r="N6" s="1099"/>
      <c r="O6" s="1099"/>
      <c r="P6" s="1112"/>
    </row>
    <row r="7" spans="1:17" ht="18" customHeight="1" x14ac:dyDescent="0.45">
      <c r="A7" s="1109"/>
      <c r="B7" s="1114"/>
      <c r="C7" s="1101"/>
      <c r="D7" s="1092"/>
      <c r="E7" s="1161" t="s">
        <v>1548</v>
      </c>
      <c r="F7" s="1163">
        <v>0</v>
      </c>
      <c r="G7" s="1162" t="s">
        <v>1833</v>
      </c>
      <c r="H7" s="1101"/>
      <c r="I7" s="1101"/>
      <c r="J7" s="1101"/>
      <c r="K7" s="1161" t="s">
        <v>154</v>
      </c>
      <c r="L7" s="1166">
        <v>0.75</v>
      </c>
      <c r="M7" s="1284" t="str">
        <f>IF($L$9&gt;1,"Owned Plus Rented Land Must Equal 100%"," ")</f>
        <v xml:space="preserve"> </v>
      </c>
      <c r="N7" s="1099"/>
      <c r="O7" s="1099"/>
      <c r="P7" s="1112"/>
    </row>
    <row r="8" spans="1:17" ht="18" customHeight="1" x14ac:dyDescent="0.45">
      <c r="A8" s="1096"/>
      <c r="B8" s="1101"/>
      <c r="C8" s="1101"/>
      <c r="D8" s="1089"/>
      <c r="E8" s="1286" t="str">
        <f>IF(SUM($F$5:$F$7)=0,"Please Select A Size"," ")</f>
        <v xml:space="preserve"> </v>
      </c>
      <c r="F8" s="1284" t="str">
        <f>IF(SUM($F$5:$F$7)&gt;1,"Please Enter '1' for Only One Size"," ")</f>
        <v xml:space="preserve"> </v>
      </c>
      <c r="G8" s="1101"/>
      <c r="H8" s="1101"/>
      <c r="I8" s="1101"/>
      <c r="J8" s="1101"/>
      <c r="K8" s="1161" t="s">
        <v>129</v>
      </c>
      <c r="L8" s="1166">
        <v>0.25</v>
      </c>
      <c r="M8" s="1284" t="str">
        <f>IF($L$9&lt;1,"Owned Plus Rented Land Must Equal 100%"," ")</f>
        <v xml:space="preserve"> </v>
      </c>
      <c r="N8" s="1099"/>
      <c r="O8" s="1099"/>
      <c r="P8" s="1112"/>
    </row>
    <row r="9" spans="1:17" ht="18" customHeight="1" x14ac:dyDescent="0.45">
      <c r="A9" s="1096"/>
      <c r="B9" s="1101"/>
      <c r="C9" s="1101"/>
      <c r="D9" s="1089"/>
      <c r="E9" s="1090"/>
      <c r="F9" s="1090"/>
      <c r="G9" s="1101"/>
      <c r="H9" s="1101"/>
      <c r="I9" s="1285"/>
      <c r="J9" s="1101"/>
      <c r="K9" s="1098"/>
      <c r="L9" s="1283">
        <f>SUM(L7:L8)</f>
        <v>1</v>
      </c>
      <c r="M9" s="1099"/>
      <c r="N9" s="1099"/>
      <c r="O9" s="1099"/>
      <c r="P9" s="1112"/>
    </row>
    <row r="10" spans="1:17" ht="18" customHeight="1" x14ac:dyDescent="0.45">
      <c r="A10" s="1096"/>
      <c r="B10" s="1101"/>
      <c r="C10" s="1101"/>
      <c r="D10" s="1089"/>
      <c r="E10" s="1090"/>
      <c r="F10" s="1090"/>
      <c r="G10" s="1101"/>
      <c r="H10" s="1101"/>
      <c r="I10" s="1099"/>
      <c r="J10" s="1099"/>
      <c r="K10" s="1099"/>
      <c r="L10" s="1099"/>
      <c r="M10" s="1099"/>
      <c r="N10" s="1099"/>
      <c r="O10" s="1099"/>
      <c r="P10" s="1112"/>
    </row>
    <row r="11" spans="1:17" ht="18" customHeight="1" x14ac:dyDescent="0.45">
      <c r="A11" s="1109"/>
      <c r="B11" s="1091" t="s">
        <v>2011</v>
      </c>
      <c r="C11" s="1099"/>
      <c r="D11" s="1099"/>
      <c r="E11" s="1101"/>
      <c r="F11" s="1101"/>
      <c r="G11" s="1101"/>
      <c r="H11" s="1101"/>
      <c r="I11" s="1099"/>
      <c r="J11" s="1099"/>
      <c r="K11" s="1091" t="s">
        <v>2241</v>
      </c>
      <c r="L11" s="1099"/>
      <c r="M11" s="1099"/>
      <c r="N11" s="1099"/>
      <c r="O11" s="1099"/>
      <c r="P11" s="1112"/>
      <c r="Q11" s="1097"/>
    </row>
    <row r="12" spans="1:17" ht="18" customHeight="1" x14ac:dyDescent="0.45">
      <c r="A12" s="1109"/>
      <c r="B12" s="1093"/>
      <c r="C12" s="1099"/>
      <c r="D12" s="1099"/>
      <c r="E12" s="1101"/>
      <c r="F12" s="1101"/>
      <c r="G12" s="1101"/>
      <c r="H12" s="1101"/>
      <c r="I12" s="1099"/>
      <c r="J12" s="1099"/>
      <c r="K12" s="1099"/>
      <c r="L12" s="1099"/>
      <c r="M12" s="1099"/>
      <c r="N12" s="1099"/>
      <c r="O12" s="1099"/>
      <c r="P12" s="1112"/>
      <c r="Q12" s="1349"/>
    </row>
    <row r="13" spans="1:17" ht="18" customHeight="1" x14ac:dyDescent="0.45">
      <c r="A13" s="1109"/>
      <c r="B13" s="1081"/>
      <c r="C13" s="1353"/>
      <c r="D13" s="1353" t="s">
        <v>147</v>
      </c>
      <c r="E13" s="1356" t="s">
        <v>2240</v>
      </c>
      <c r="F13" s="1353" t="s">
        <v>2006</v>
      </c>
      <c r="G13" s="1360" t="s">
        <v>2007</v>
      </c>
      <c r="H13" s="1101"/>
      <c r="I13" s="1099"/>
      <c r="J13" s="1099"/>
      <c r="K13" s="1099"/>
      <c r="L13" s="1098" t="s">
        <v>2180</v>
      </c>
      <c r="M13" s="1099"/>
      <c r="N13" s="1099"/>
      <c r="O13" s="1099"/>
      <c r="P13" s="1112"/>
    </row>
    <row r="14" spans="1:17" ht="18" customHeight="1" x14ac:dyDescent="0.45">
      <c r="A14" s="1109"/>
      <c r="B14" s="1081" t="s">
        <v>1838</v>
      </c>
      <c r="C14" s="1354" t="s">
        <v>1545</v>
      </c>
      <c r="D14" s="1354" t="s">
        <v>1551</v>
      </c>
      <c r="E14" s="1357" t="s">
        <v>1551</v>
      </c>
      <c r="F14" s="1354" t="s">
        <v>2001</v>
      </c>
      <c r="G14" s="1361" t="s">
        <v>2002</v>
      </c>
      <c r="H14" s="1101"/>
      <c r="I14" s="1099"/>
      <c r="J14" s="1099"/>
      <c r="K14" s="1081" t="s">
        <v>1838</v>
      </c>
      <c r="L14" s="1098" t="s">
        <v>2181</v>
      </c>
      <c r="M14" s="1099"/>
      <c r="N14" s="1099"/>
      <c r="O14" s="1099"/>
      <c r="P14" s="1112"/>
    </row>
    <row r="15" spans="1:17" ht="18" customHeight="1" x14ac:dyDescent="0.45">
      <c r="A15" s="1109"/>
      <c r="B15" s="1160" t="s">
        <v>105</v>
      </c>
      <c r="C15" s="1352">
        <v>100</v>
      </c>
      <c r="D15" s="1352">
        <v>42</v>
      </c>
      <c r="E15" s="1355">
        <f>Data!B181</f>
        <v>42</v>
      </c>
      <c r="F15" s="1358">
        <v>13.2</v>
      </c>
      <c r="G15" s="1359">
        <f>Data!B176</f>
        <v>13.200000000000001</v>
      </c>
      <c r="H15" s="1101"/>
      <c r="I15" s="1099"/>
      <c r="J15" s="1099"/>
      <c r="K15" s="1160" t="s">
        <v>105</v>
      </c>
      <c r="L15" s="1158">
        <v>48</v>
      </c>
      <c r="M15" s="1099"/>
      <c r="N15" s="1099"/>
      <c r="O15" s="1099"/>
      <c r="P15" s="1112"/>
    </row>
    <row r="16" spans="1:17" ht="18" customHeight="1" x14ac:dyDescent="0.45">
      <c r="A16" s="1109"/>
      <c r="B16" s="1161" t="s">
        <v>426</v>
      </c>
      <c r="C16" s="1158">
        <v>0</v>
      </c>
      <c r="D16" s="1158">
        <v>0</v>
      </c>
      <c r="E16" s="1348">
        <f>Data!B189</f>
        <v>62</v>
      </c>
      <c r="F16" s="1167">
        <v>5.875</v>
      </c>
      <c r="G16" s="1287">
        <f>Data!B184</f>
        <v>5.875</v>
      </c>
      <c r="H16" s="1101"/>
      <c r="I16" s="1099"/>
      <c r="J16" s="1099"/>
      <c r="K16" s="1161" t="s">
        <v>426</v>
      </c>
      <c r="L16" s="1158">
        <v>32</v>
      </c>
      <c r="M16" s="1099"/>
      <c r="N16" s="1099"/>
      <c r="O16" s="1099"/>
      <c r="P16" s="1112"/>
    </row>
    <row r="17" spans="1:16" ht="18" customHeight="1" x14ac:dyDescent="0.45">
      <c r="A17" s="1109"/>
      <c r="B17" s="1161" t="s">
        <v>522</v>
      </c>
      <c r="C17" s="1158">
        <v>0</v>
      </c>
      <c r="D17" s="1158">
        <v>0</v>
      </c>
      <c r="E17" s="1348">
        <f>Data!B197</f>
        <v>28</v>
      </c>
      <c r="F17" s="1167">
        <v>11.2</v>
      </c>
      <c r="G17" s="1287">
        <f>Data!B192</f>
        <v>11.2</v>
      </c>
      <c r="H17" s="1101"/>
      <c r="I17" s="1099"/>
      <c r="J17" s="1099"/>
      <c r="K17" s="1161" t="s">
        <v>522</v>
      </c>
      <c r="L17" s="1158">
        <v>56</v>
      </c>
      <c r="M17" s="1099"/>
      <c r="N17" s="1099"/>
      <c r="O17" s="1099"/>
      <c r="P17" s="1112"/>
    </row>
    <row r="18" spans="1:16" ht="18" customHeight="1" x14ac:dyDescent="0.45">
      <c r="A18" s="1109"/>
      <c r="B18" s="1161" t="s">
        <v>1934</v>
      </c>
      <c r="C18" s="1158">
        <v>0</v>
      </c>
      <c r="D18" s="1158">
        <v>0</v>
      </c>
      <c r="E18" s="1348">
        <f>Data!B205</f>
        <v>34</v>
      </c>
      <c r="F18" s="1167">
        <v>10.32</v>
      </c>
      <c r="G18" s="1287">
        <f>Data!B200</f>
        <v>10.32</v>
      </c>
      <c r="H18" s="1101"/>
      <c r="I18" s="1099"/>
      <c r="J18" s="1099"/>
      <c r="K18" s="1161" t="s">
        <v>1934</v>
      </c>
      <c r="L18" s="1158">
        <v>60</v>
      </c>
      <c r="M18" s="1099"/>
      <c r="N18" s="1099"/>
      <c r="O18" s="1099"/>
      <c r="P18" s="1112"/>
    </row>
    <row r="19" spans="1:16" ht="18" customHeight="1" x14ac:dyDescent="0.45">
      <c r="A19" s="1109"/>
      <c r="B19" s="1161" t="s">
        <v>1935</v>
      </c>
      <c r="C19" s="1158">
        <v>0</v>
      </c>
      <c r="D19" s="1158">
        <v>0</v>
      </c>
      <c r="E19" s="1348">
        <f>Data!B213</f>
        <v>42</v>
      </c>
      <c r="F19" s="1167">
        <v>10.32</v>
      </c>
      <c r="G19" s="1287">
        <f>Data!B208</f>
        <v>10.32</v>
      </c>
      <c r="H19" s="1101"/>
      <c r="I19" s="1099"/>
      <c r="J19" s="1099"/>
      <c r="K19" s="1161" t="s">
        <v>1935</v>
      </c>
      <c r="L19" s="1158">
        <v>60</v>
      </c>
      <c r="M19" s="1099"/>
      <c r="N19" s="1099"/>
      <c r="O19" s="1099"/>
      <c r="P19" s="1112"/>
    </row>
    <row r="20" spans="1:16" ht="18" customHeight="1" x14ac:dyDescent="0.45">
      <c r="A20" s="1109"/>
      <c r="B20" s="1161" t="s">
        <v>571</v>
      </c>
      <c r="C20" s="1158">
        <v>0</v>
      </c>
      <c r="D20" s="1158">
        <v>0</v>
      </c>
      <c r="E20" s="1348">
        <f>Data!B221</f>
        <v>45</v>
      </c>
      <c r="F20" s="1167">
        <v>16.8</v>
      </c>
      <c r="G20" s="1287">
        <f>Data!B216</f>
        <v>16.8</v>
      </c>
      <c r="H20" s="1101"/>
      <c r="I20" s="1099"/>
      <c r="J20" s="1099"/>
      <c r="K20" s="1161" t="s">
        <v>571</v>
      </c>
      <c r="L20" s="1158">
        <v>56</v>
      </c>
      <c r="M20" s="1099"/>
      <c r="N20" s="1099"/>
      <c r="O20" s="1099"/>
      <c r="P20" s="1112"/>
    </row>
    <row r="21" spans="1:16" ht="18" customHeight="1" x14ac:dyDescent="0.45">
      <c r="A21" s="1109"/>
      <c r="B21" s="1161" t="s">
        <v>572</v>
      </c>
      <c r="C21" s="1158">
        <v>100</v>
      </c>
      <c r="D21" s="1158">
        <v>42</v>
      </c>
      <c r="E21" s="1348">
        <f>Data!B229</f>
        <v>42</v>
      </c>
      <c r="F21" s="1167">
        <v>24</v>
      </c>
      <c r="G21" s="1287">
        <f>Data!B224</f>
        <v>24</v>
      </c>
      <c r="H21" s="1101"/>
      <c r="I21" s="1099"/>
      <c r="J21" s="1099"/>
      <c r="K21" s="1161" t="s">
        <v>572</v>
      </c>
      <c r="L21" s="1158">
        <v>60</v>
      </c>
      <c r="M21" s="1099"/>
      <c r="N21" s="1099"/>
      <c r="O21" s="1099"/>
      <c r="P21" s="1112"/>
    </row>
    <row r="22" spans="1:16" ht="18" customHeight="1" x14ac:dyDescent="0.45">
      <c r="A22" s="1109"/>
      <c r="B22" s="1161" t="s">
        <v>2107</v>
      </c>
      <c r="C22" s="1158">
        <v>100</v>
      </c>
      <c r="D22" s="1158">
        <v>15</v>
      </c>
      <c r="E22" s="1186">
        <f>Data!B237</f>
        <v>15</v>
      </c>
      <c r="F22" s="1167">
        <v>30</v>
      </c>
      <c r="G22" s="1287">
        <f>Data!B232</f>
        <v>30</v>
      </c>
      <c r="H22" s="1101"/>
      <c r="I22" s="1099"/>
      <c r="J22" s="1099"/>
      <c r="K22" s="1161" t="s">
        <v>2107</v>
      </c>
      <c r="L22" s="1158">
        <v>48</v>
      </c>
      <c r="M22" s="1099"/>
      <c r="N22" s="1099"/>
      <c r="O22" s="1099"/>
      <c r="P22" s="1112"/>
    </row>
    <row r="23" spans="1:16" ht="18" customHeight="1" x14ac:dyDescent="0.45">
      <c r="A23" s="1109"/>
      <c r="B23" s="1161" t="s">
        <v>1142</v>
      </c>
      <c r="C23" s="1158">
        <v>0</v>
      </c>
      <c r="D23" s="1158">
        <v>0</v>
      </c>
      <c r="E23" s="1348">
        <f>Data!B245</f>
        <v>34</v>
      </c>
      <c r="F23" s="1167">
        <v>15</v>
      </c>
      <c r="G23" s="1287">
        <f>Data!B240</f>
        <v>15</v>
      </c>
      <c r="H23" s="1101"/>
      <c r="I23" s="1099"/>
      <c r="J23" s="1099"/>
      <c r="K23" s="1161" t="s">
        <v>1142</v>
      </c>
      <c r="L23" s="1158">
        <v>60</v>
      </c>
      <c r="M23" s="1099"/>
      <c r="N23" s="1099"/>
      <c r="O23" s="1099"/>
      <c r="P23" s="1112"/>
    </row>
    <row r="24" spans="1:16" ht="18" customHeight="1" x14ac:dyDescent="0.45">
      <c r="A24" s="1109"/>
      <c r="B24" s="1161" t="s">
        <v>201</v>
      </c>
      <c r="C24" s="1158">
        <v>100</v>
      </c>
      <c r="D24" s="1158">
        <v>25</v>
      </c>
      <c r="E24" s="1348">
        <f>Data!B253</f>
        <v>25</v>
      </c>
      <c r="F24" s="1167">
        <v>28.98</v>
      </c>
      <c r="G24" s="1287">
        <f>Data!B248</f>
        <v>28.98</v>
      </c>
      <c r="H24" s="1101"/>
      <c r="I24" s="1099"/>
      <c r="J24" s="1099"/>
      <c r="K24" s="1161" t="s">
        <v>201</v>
      </c>
      <c r="L24" s="1158">
        <v>60</v>
      </c>
      <c r="M24" s="1099"/>
      <c r="N24" s="1099"/>
      <c r="O24" s="1099"/>
      <c r="P24" s="1112"/>
    </row>
    <row r="25" spans="1:16" ht="18" customHeight="1" x14ac:dyDescent="0.45">
      <c r="A25" s="1109"/>
      <c r="B25" s="1082" t="s">
        <v>76</v>
      </c>
      <c r="C25" s="1083">
        <f>SUM(C15:C24)</f>
        <v>400</v>
      </c>
      <c r="D25" s="1084" t="s">
        <v>93</v>
      </c>
      <c r="E25" s="1342" t="str">
        <f>IF((($F$6+F$7)*$L$25*$M$25)=1,"Please make sure you have typed in a 1 in cell F5 to specify the 'Small' size"," ")</f>
        <v xml:space="preserve"> </v>
      </c>
      <c r="F25" s="1101"/>
      <c r="G25" s="1101"/>
      <c r="H25" s="1101"/>
      <c r="I25" s="1099"/>
      <c r="J25" s="1099"/>
      <c r="K25" s="1099"/>
      <c r="L25" s="1099"/>
      <c r="M25" s="1099"/>
      <c r="N25" s="1099"/>
      <c r="O25" s="1099"/>
      <c r="P25" s="1112"/>
    </row>
    <row r="26" spans="1:16" ht="18" customHeight="1" x14ac:dyDescent="0.45">
      <c r="A26" s="1109"/>
      <c r="B26" s="1082"/>
      <c r="C26" s="1083"/>
      <c r="D26" s="1084"/>
      <c r="E26" s="1342" t="str">
        <f>IF((($F$5+F$7)*$L$26*$M$26)=1,"Please make sure you have typed in a 1 in cell F6 to specify the 'Medium' size"," ")</f>
        <v xml:space="preserve"> </v>
      </c>
      <c r="F26" s="1101"/>
      <c r="G26" s="1101"/>
      <c r="H26" s="1101"/>
      <c r="I26" s="1099"/>
      <c r="J26" s="1099"/>
      <c r="K26" s="1099"/>
      <c r="L26" s="1099"/>
      <c r="M26" s="1099"/>
      <c r="N26" s="1099"/>
      <c r="O26" s="1099"/>
      <c r="P26" s="1112"/>
    </row>
    <row r="27" spans="1:16" ht="18" customHeight="1" x14ac:dyDescent="0.45">
      <c r="A27" s="1109"/>
      <c r="B27" s="1101"/>
      <c r="C27" s="1101"/>
      <c r="D27" s="1092"/>
      <c r="E27" s="1342" t="str">
        <f>IF((($F$5+F$6)*$L$27*$M$27)=1,"Please make sure you have typed in a 1 in cell F7 to specify the 'Large' size"," ")</f>
        <v xml:space="preserve"> </v>
      </c>
      <c r="F27" s="1101"/>
      <c r="G27" s="1101"/>
      <c r="H27" s="1101"/>
      <c r="I27" s="1101"/>
      <c r="J27" s="1101"/>
      <c r="K27" s="1101"/>
      <c r="L27" s="1343">
        <f>IF($C$25&gt;=501,1,0)</f>
        <v>0</v>
      </c>
      <c r="M27" s="1343">
        <f>IF($C$25&lt;1001,1,0)</f>
        <v>1</v>
      </c>
      <c r="N27" s="1099"/>
      <c r="O27" s="1099"/>
      <c r="P27" s="1112"/>
    </row>
    <row r="28" spans="1:16" ht="18" customHeight="1" thickBot="1" x14ac:dyDescent="0.5">
      <c r="A28" s="1116"/>
      <c r="B28" s="1117"/>
      <c r="C28" s="1223"/>
      <c r="D28" s="1223"/>
      <c r="E28" s="1117"/>
      <c r="F28" s="1223"/>
      <c r="G28" s="1117"/>
      <c r="H28" s="1117"/>
      <c r="I28" s="1117"/>
      <c r="J28" s="1117"/>
      <c r="K28" s="1117"/>
      <c r="L28" s="1117"/>
      <c r="M28" s="1117"/>
      <c r="N28" s="1117"/>
      <c r="O28" s="1117"/>
      <c r="P28" s="1118"/>
    </row>
  </sheetData>
  <sheetProtection algorithmName="SHA-512" hashValue="jeRNxePM2gGEj9qMeJi9VDC6739QTjkX/KDC7iTwOYdu9MQbIywdnXqfXuhX8hLnuTZvc+NcY24PNK7zMi5/vw==" saltValue="Di/vbG0wdnkLlUezcKIL4A==" spinCount="100000" sheet="1" objects="1" scenarios="1"/>
  <pageMargins left="0.7" right="0.7" top="0.75" bottom="0.75" header="0.3" footer="0.3"/>
  <pageSetup scale="55" orientation="portrait" r:id="rId1"/>
  <colBreaks count="1" manualBreakCount="1">
    <brk id="10" max="26"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82"/>
  <sheetViews>
    <sheetView topLeftCell="A55" zoomScaleNormal="100" workbookViewId="0">
      <selection activeCell="A124" sqref="A124"/>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210</v>
      </c>
      <c r="B3" s="55" t="s">
        <v>92</v>
      </c>
      <c r="C3" s="54">
        <f>soy</f>
        <v>100</v>
      </c>
      <c r="D3" s="17" t="s">
        <v>93</v>
      </c>
    </row>
    <row r="4" spans="1:8" x14ac:dyDescent="0.3">
      <c r="A4" s="8"/>
      <c r="B4" s="55" t="s">
        <v>232</v>
      </c>
      <c r="C4" s="54">
        <f>Data!B252</f>
        <v>25</v>
      </c>
      <c r="D4" s="17" t="s">
        <v>1567</v>
      </c>
      <c r="E4" s="1190">
        <f>(C4*Data!$K$67)/2000</f>
        <v>0.75</v>
      </c>
      <c r="F4" s="17" t="s">
        <v>235</v>
      </c>
      <c r="G4" s="54"/>
    </row>
    <row r="5" spans="1:8" x14ac:dyDescent="0.3">
      <c r="B5" s="55" t="s">
        <v>284</v>
      </c>
      <c r="C5" s="106">
        <f>IF(FARM!$F$24&gt;0,Data!$B$247,Data!$B$248)</f>
        <v>28.98</v>
      </c>
      <c r="D5" s="17" t="s">
        <v>1566</v>
      </c>
      <c r="E5" s="153">
        <f>Data!$K$67</f>
        <v>60</v>
      </c>
      <c r="F5" s="17" t="s">
        <v>1560</v>
      </c>
      <c r="G5" s="153"/>
    </row>
    <row r="6" spans="1:8" x14ac:dyDescent="0.3">
      <c r="B6" s="55"/>
      <c r="C6" s="53"/>
      <c r="D6" s="17"/>
    </row>
    <row r="7" spans="1:8" ht="15.5" x14ac:dyDescent="0.35">
      <c r="A7" s="751" t="s">
        <v>210</v>
      </c>
      <c r="B7" s="697" t="s">
        <v>76</v>
      </c>
      <c r="C7" s="697"/>
      <c r="D7" s="697" t="s">
        <v>77</v>
      </c>
      <c r="E7" s="698"/>
      <c r="F7" s="697" t="s">
        <v>1554</v>
      </c>
      <c r="G7" s="698"/>
      <c r="H7" s="697" t="s">
        <v>385</v>
      </c>
    </row>
    <row r="8" spans="1:8" ht="15.5" x14ac:dyDescent="0.35">
      <c r="A8" s="699" t="s">
        <v>362</v>
      </c>
      <c r="B8" s="759">
        <f>C3</f>
        <v>100</v>
      </c>
      <c r="C8" s="701"/>
      <c r="D8" s="702" t="s">
        <v>363</v>
      </c>
      <c r="E8" s="699"/>
      <c r="F8" s="702" t="s">
        <v>363</v>
      </c>
      <c r="G8" s="699"/>
      <c r="H8" s="702" t="s">
        <v>363</v>
      </c>
    </row>
    <row r="9" spans="1:8" ht="15.5" x14ac:dyDescent="0.35">
      <c r="A9" s="699" t="s">
        <v>1865</v>
      </c>
      <c r="B9" s="702" t="s">
        <v>363</v>
      </c>
      <c r="C9" s="701"/>
      <c r="D9" s="702" t="s">
        <v>363</v>
      </c>
      <c r="E9" s="703"/>
      <c r="F9" s="702" t="s">
        <v>363</v>
      </c>
      <c r="G9" s="703"/>
      <c r="H9" s="888">
        <f>2000/Data!$K$67</f>
        <v>33.333333333333336</v>
      </c>
    </row>
    <row r="10" spans="1:8" ht="15.5" x14ac:dyDescent="0.35">
      <c r="A10" s="699" t="s">
        <v>1568</v>
      </c>
      <c r="B10" s="700">
        <f>$C$3*C4</f>
        <v>2500</v>
      </c>
      <c r="C10" s="701"/>
      <c r="D10" s="700">
        <f>C4</f>
        <v>25</v>
      </c>
      <c r="E10" s="703"/>
      <c r="F10" s="702" t="s">
        <v>363</v>
      </c>
      <c r="G10" s="703"/>
      <c r="H10" s="702" t="s">
        <v>363</v>
      </c>
    </row>
    <row r="11" spans="1:8" ht="15.5" x14ac:dyDescent="0.35">
      <c r="A11" s="699" t="s">
        <v>1866</v>
      </c>
      <c r="B11" s="700">
        <f>$C$3*E4</f>
        <v>75</v>
      </c>
      <c r="C11" s="701"/>
      <c r="D11" s="1191">
        <f>E4</f>
        <v>0.75</v>
      </c>
      <c r="E11" s="703"/>
      <c r="F11" s="702" t="s">
        <v>363</v>
      </c>
      <c r="G11" s="703"/>
      <c r="H11" s="702" t="s">
        <v>363</v>
      </c>
    </row>
    <row r="12" spans="1:8" ht="15.5" x14ac:dyDescent="0.35">
      <c r="A12" s="699" t="str">
        <f>IF(Data!B249=1,"Soybean Price ($/unit) - Food Grade","Soybean Price ($/unit) - Feed Grade")</f>
        <v>Soybean Price ($/unit) - Food Grade</v>
      </c>
      <c r="B12" s="759" t="s">
        <v>363</v>
      </c>
      <c r="C12" s="716"/>
      <c r="D12" s="702" t="s">
        <v>363</v>
      </c>
      <c r="E12" s="752"/>
      <c r="F12" s="716">
        <f>C5</f>
        <v>28.98</v>
      </c>
      <c r="G12" s="752"/>
      <c r="H12" s="840">
        <f>F12*H9</f>
        <v>966.00000000000011</v>
      </c>
    </row>
    <row r="13" spans="1:8" ht="15.5" x14ac:dyDescent="0.35">
      <c r="A13" s="699"/>
      <c r="B13" s="706"/>
      <c r="C13" s="706"/>
      <c r="D13" s="707"/>
      <c r="E13" s="744"/>
      <c r="F13" s="706"/>
      <c r="G13" s="744"/>
      <c r="H13" s="706"/>
    </row>
    <row r="14" spans="1:8" ht="15" x14ac:dyDescent="0.3">
      <c r="A14" s="709" t="s">
        <v>230</v>
      </c>
      <c r="B14" s="710">
        <f>(C4*C5*soy)</f>
        <v>72450</v>
      </c>
      <c r="C14" s="711"/>
      <c r="D14" s="712">
        <f>B14/soy</f>
        <v>724.5</v>
      </c>
      <c r="E14" s="756"/>
      <c r="F14" s="711">
        <f>B14/($C$4*soy)</f>
        <v>28.98</v>
      </c>
      <c r="G14" s="756"/>
      <c r="H14" s="711">
        <f>B14/($E$4*soy)</f>
        <v>966</v>
      </c>
    </row>
    <row r="15" spans="1:8" ht="15.5" x14ac:dyDescent="0.35">
      <c r="A15" s="699"/>
      <c r="B15" s="721"/>
      <c r="C15" s="722"/>
      <c r="D15" s="717"/>
      <c r="E15" s="752"/>
      <c r="F15" s="716"/>
      <c r="G15" s="752"/>
      <c r="H15" s="716"/>
    </row>
    <row r="16" spans="1:8" ht="15.5" x14ac:dyDescent="0.35">
      <c r="A16" s="709" t="s">
        <v>365</v>
      </c>
      <c r="B16" s="715"/>
      <c r="C16" s="716"/>
      <c r="D16" s="717"/>
      <c r="E16" s="752"/>
      <c r="F16" s="716"/>
      <c r="G16" s="752"/>
      <c r="H16" s="715"/>
    </row>
    <row r="17" spans="1:8" ht="15.5" x14ac:dyDescent="0.35">
      <c r="A17" s="714" t="s">
        <v>13</v>
      </c>
      <c r="B17" s="715">
        <f>SUM(Syv!H9:H10)</f>
        <v>6290</v>
      </c>
      <c r="C17" s="716"/>
      <c r="D17" s="717">
        <f t="shared" ref="D17:D43" si="0">B17/soy</f>
        <v>62.9</v>
      </c>
      <c r="E17" s="752"/>
      <c r="F17" s="716">
        <f>B17/($C$4*soy)</f>
        <v>2.516</v>
      </c>
      <c r="G17" s="752"/>
      <c r="H17" s="716">
        <f>B17/($E$4*soy)</f>
        <v>83.86666666666666</v>
      </c>
    </row>
    <row r="18" spans="1:8" ht="15.5" x14ac:dyDescent="0.35">
      <c r="A18" s="714" t="s">
        <v>1</v>
      </c>
      <c r="B18" s="715">
        <f>Syv!H12</f>
        <v>0</v>
      </c>
      <c r="C18" s="716"/>
      <c r="D18" s="719">
        <f t="shared" si="0"/>
        <v>0</v>
      </c>
      <c r="E18" s="753"/>
      <c r="F18" s="715">
        <f>B18/($C$4*soy)</f>
        <v>0</v>
      </c>
      <c r="G18" s="753"/>
      <c r="H18" s="715">
        <f>B18/($E$4*soy)</f>
        <v>0</v>
      </c>
    </row>
    <row r="19" spans="1:8" ht="15.5" x14ac:dyDescent="0.35">
      <c r="A19" s="714" t="s">
        <v>2</v>
      </c>
      <c r="B19" s="715">
        <f>Syv!H14</f>
        <v>0</v>
      </c>
      <c r="C19" s="716"/>
      <c r="D19" s="719">
        <f t="shared" si="0"/>
        <v>0</v>
      </c>
      <c r="E19" s="753"/>
      <c r="F19" s="715">
        <f>B19/($C$4*soy)</f>
        <v>0</v>
      </c>
      <c r="G19" s="753"/>
      <c r="H19" s="715">
        <f>B19/($E$4*soy)</f>
        <v>0</v>
      </c>
    </row>
    <row r="20" spans="1:8" ht="15.5" x14ac:dyDescent="0.35">
      <c r="A20" s="714" t="s">
        <v>1476</v>
      </c>
      <c r="B20" s="699"/>
      <c r="C20" s="699"/>
      <c r="D20" s="699"/>
      <c r="E20" s="699"/>
      <c r="F20" s="699"/>
      <c r="G20" s="699"/>
      <c r="H20" s="699"/>
    </row>
    <row r="21" spans="1:8" ht="15.5" x14ac:dyDescent="0.35">
      <c r="A21" s="714" t="s">
        <v>1121</v>
      </c>
      <c r="B21" s="745">
        <f>SUM(Syv!H15:H16)</f>
        <v>0</v>
      </c>
      <c r="C21" s="746"/>
      <c r="D21" s="755">
        <f>B21/soy</f>
        <v>0</v>
      </c>
      <c r="E21" s="753"/>
      <c r="F21" s="745">
        <f t="shared" ref="F21" si="1">B21/($C$4*soy)</f>
        <v>0</v>
      </c>
      <c r="G21" s="753"/>
      <c r="H21" s="715">
        <f t="shared" ref="H21:H28" si="2">B21/($E$4*soy)</f>
        <v>0</v>
      </c>
    </row>
    <row r="22" spans="1:8" ht="15.5" x14ac:dyDescent="0.35">
      <c r="A22" s="714" t="s">
        <v>1119</v>
      </c>
      <c r="B22" s="745">
        <f>SUM(Syv!H17:H17)</f>
        <v>0</v>
      </c>
      <c r="C22" s="746"/>
      <c r="D22" s="755">
        <f>B22/soy</f>
        <v>0</v>
      </c>
      <c r="E22" s="753"/>
      <c r="F22" s="745">
        <f t="shared" ref="F22:F28" si="3">B22/($C$4*soy)</f>
        <v>0</v>
      </c>
      <c r="G22" s="753"/>
      <c r="H22" s="715">
        <f t="shared" si="2"/>
        <v>0</v>
      </c>
    </row>
    <row r="23" spans="1:8" ht="15.5" x14ac:dyDescent="0.35">
      <c r="A23" s="714" t="s">
        <v>1120</v>
      </c>
      <c r="B23" s="745">
        <f>SUM(Syv!H18:H18)</f>
        <v>0</v>
      </c>
      <c r="C23" s="746"/>
      <c r="D23" s="755">
        <f>B23/soy</f>
        <v>0</v>
      </c>
      <c r="E23" s="753"/>
      <c r="F23" s="745">
        <f t="shared" si="3"/>
        <v>0</v>
      </c>
      <c r="G23" s="753"/>
      <c r="H23" s="715">
        <f t="shared" si="2"/>
        <v>0</v>
      </c>
    </row>
    <row r="24" spans="1:8" ht="15.5" x14ac:dyDescent="0.35">
      <c r="A24" s="714" t="s">
        <v>1214</v>
      </c>
      <c r="B24" s="715">
        <f>SUM(Syv!H20:H51)</f>
        <v>2198.6314993148071</v>
      </c>
      <c r="C24" s="716"/>
      <c r="D24" s="717">
        <f t="shared" si="0"/>
        <v>21.986314993148071</v>
      </c>
      <c r="E24" s="752"/>
      <c r="F24" s="716">
        <f t="shared" si="3"/>
        <v>0.87945259972592282</v>
      </c>
      <c r="G24" s="752"/>
      <c r="H24" s="716">
        <f t="shared" si="2"/>
        <v>29.315086657530763</v>
      </c>
    </row>
    <row r="25" spans="1:8" ht="15.5" x14ac:dyDescent="0.35">
      <c r="A25" s="714" t="s">
        <v>1261</v>
      </c>
      <c r="B25" s="715">
        <f>SUM(Syv!H53:H85)</f>
        <v>1660.926076400181</v>
      </c>
      <c r="C25" s="716"/>
      <c r="D25" s="717">
        <f t="shared" si="0"/>
        <v>16.60926076400181</v>
      </c>
      <c r="E25" s="752"/>
      <c r="F25" s="716">
        <f t="shared" si="3"/>
        <v>0.66437043056007239</v>
      </c>
      <c r="G25" s="752"/>
      <c r="H25" s="716">
        <f t="shared" si="2"/>
        <v>22.14568101866908</v>
      </c>
    </row>
    <row r="26" spans="1:8" ht="15.5" x14ac:dyDescent="0.35">
      <c r="A26" s="714" t="s">
        <v>78</v>
      </c>
      <c r="B26" s="715">
        <f>SUM(Syv!H86:H87)</f>
        <v>7491.9533446208379</v>
      </c>
      <c r="C26" s="716"/>
      <c r="D26" s="717">
        <f t="shared" si="0"/>
        <v>74.919533446208376</v>
      </c>
      <c r="E26" s="752"/>
      <c r="F26" s="716">
        <f t="shared" si="3"/>
        <v>2.996781337848335</v>
      </c>
      <c r="G26" s="752"/>
      <c r="H26" s="716">
        <f t="shared" si="2"/>
        <v>99.892711261611169</v>
      </c>
    </row>
    <row r="27" spans="1:8" ht="15.5" x14ac:dyDescent="0.35">
      <c r="A27" s="714" t="s">
        <v>170</v>
      </c>
      <c r="B27" s="732">
        <f>Syv!H88</f>
        <v>0</v>
      </c>
      <c r="C27" s="733"/>
      <c r="D27" s="719">
        <f t="shared" si="0"/>
        <v>0</v>
      </c>
      <c r="E27" s="753"/>
      <c r="F27" s="715">
        <f t="shared" si="3"/>
        <v>0</v>
      </c>
      <c r="G27" s="753"/>
      <c r="H27" s="715">
        <f t="shared" si="2"/>
        <v>0</v>
      </c>
    </row>
    <row r="28" spans="1:8" ht="15.5" x14ac:dyDescent="0.35">
      <c r="A28" s="714" t="s">
        <v>171</v>
      </c>
      <c r="B28" s="732">
        <f>SUM(Syv!H89:H90)</f>
        <v>300</v>
      </c>
      <c r="C28" s="733"/>
      <c r="D28" s="717">
        <f t="shared" si="0"/>
        <v>3</v>
      </c>
      <c r="E28" s="752"/>
      <c r="F28" s="716">
        <f t="shared" si="3"/>
        <v>0.12</v>
      </c>
      <c r="G28" s="752"/>
      <c r="H28" s="716">
        <f t="shared" si="2"/>
        <v>4</v>
      </c>
    </row>
    <row r="29" spans="1:8" ht="15.5" x14ac:dyDescent="0.35">
      <c r="A29" s="714" t="s">
        <v>172</v>
      </c>
      <c r="B29" s="699"/>
      <c r="C29" s="699"/>
      <c r="D29" s="703"/>
      <c r="E29" s="699"/>
      <c r="F29" s="699"/>
      <c r="G29" s="699"/>
      <c r="H29" s="699"/>
    </row>
    <row r="30" spans="1:8" ht="15.5" x14ac:dyDescent="0.35">
      <c r="A30" s="734" t="s">
        <v>439</v>
      </c>
      <c r="B30" s="732">
        <f>Syv!H92</f>
        <v>150</v>
      </c>
      <c r="C30" s="733"/>
      <c r="D30" s="717">
        <f t="shared" ref="D30:D42" si="4">B30/soy</f>
        <v>1.5</v>
      </c>
      <c r="E30" s="752"/>
      <c r="F30" s="716">
        <f t="shared" ref="F30:F42" si="5">B30/($C$4*soy)</f>
        <v>0.06</v>
      </c>
      <c r="G30" s="752"/>
      <c r="H30" s="716">
        <f t="shared" ref="H30:H43" si="6">B30/($E$4*soy)</f>
        <v>2</v>
      </c>
    </row>
    <row r="31" spans="1:8" ht="15.5" x14ac:dyDescent="0.35">
      <c r="A31" s="734" t="s">
        <v>1506</v>
      </c>
      <c r="B31" s="732">
        <f>SUM(Syv!H93:H95)</f>
        <v>875</v>
      </c>
      <c r="C31" s="733"/>
      <c r="D31" s="717">
        <f t="shared" si="4"/>
        <v>8.75</v>
      </c>
      <c r="E31" s="752"/>
      <c r="F31" s="716">
        <f t="shared" si="5"/>
        <v>0.35</v>
      </c>
      <c r="G31" s="752"/>
      <c r="H31" s="716">
        <f t="shared" si="6"/>
        <v>11.666666666666666</v>
      </c>
    </row>
    <row r="32" spans="1:8" ht="15.5" x14ac:dyDescent="0.35">
      <c r="A32" s="734" t="s">
        <v>1505</v>
      </c>
      <c r="B32" s="732">
        <f>SUM(Syv!H96:H98)</f>
        <v>450</v>
      </c>
      <c r="C32" s="733"/>
      <c r="D32" s="717">
        <f t="shared" si="4"/>
        <v>4.5</v>
      </c>
      <c r="E32" s="752"/>
      <c r="F32" s="716">
        <f t="shared" si="5"/>
        <v>0.18</v>
      </c>
      <c r="G32" s="752"/>
      <c r="H32" s="716">
        <f t="shared" si="6"/>
        <v>6</v>
      </c>
    </row>
    <row r="33" spans="1:16" ht="15.5" x14ac:dyDescent="0.35">
      <c r="A33" s="734" t="s">
        <v>1237</v>
      </c>
      <c r="B33" s="753">
        <f>Syv!H99</f>
        <v>1500</v>
      </c>
      <c r="C33" s="699"/>
      <c r="D33" s="717">
        <f t="shared" si="4"/>
        <v>15</v>
      </c>
      <c r="E33" s="752"/>
      <c r="F33" s="716">
        <f t="shared" si="5"/>
        <v>0.6</v>
      </c>
      <c r="G33" s="752"/>
      <c r="H33" s="716">
        <f t="shared" si="6"/>
        <v>20</v>
      </c>
    </row>
    <row r="34" spans="1:16" ht="15.5" x14ac:dyDescent="0.35">
      <c r="A34" s="734" t="s">
        <v>1212</v>
      </c>
      <c r="B34" s="732">
        <f>SUM(Syv!H100:H102)</f>
        <v>1250</v>
      </c>
      <c r="C34" s="733"/>
      <c r="D34" s="717">
        <f t="shared" si="4"/>
        <v>12.5</v>
      </c>
      <c r="E34" s="752"/>
      <c r="F34" s="716">
        <f t="shared" si="5"/>
        <v>0.5</v>
      </c>
      <c r="G34" s="752"/>
      <c r="H34" s="716">
        <f t="shared" si="6"/>
        <v>16.666666666666668</v>
      </c>
    </row>
    <row r="35" spans="1:16" ht="15.5" x14ac:dyDescent="0.35">
      <c r="A35" s="734" t="s">
        <v>1238</v>
      </c>
      <c r="B35" s="753">
        <f>SUM(Syv!H103:H105)</f>
        <v>1338.0383996841827</v>
      </c>
      <c r="C35" s="733"/>
      <c r="D35" s="717">
        <f t="shared" si="4"/>
        <v>13.380383996841827</v>
      </c>
      <c r="E35" s="753"/>
      <c r="F35" s="716">
        <f t="shared" si="5"/>
        <v>0.53521535987367308</v>
      </c>
      <c r="G35" s="753"/>
      <c r="H35" s="716">
        <f t="shared" si="6"/>
        <v>17.8405119957891</v>
      </c>
    </row>
    <row r="36" spans="1:16" ht="15.5" x14ac:dyDescent="0.35">
      <c r="A36" s="734" t="s">
        <v>2029</v>
      </c>
      <c r="B36" s="753">
        <f>SUM(Syv!H106:H108)</f>
        <v>0</v>
      </c>
      <c r="C36" s="699"/>
      <c r="D36" s="719">
        <f>B36/soy</f>
        <v>0</v>
      </c>
      <c r="E36" s="752"/>
      <c r="F36" s="715">
        <f>B36/($C$4*soy)</f>
        <v>0</v>
      </c>
      <c r="G36" s="752"/>
      <c r="H36" s="715">
        <f>B36/($E$4*soy)</f>
        <v>0</v>
      </c>
    </row>
    <row r="37" spans="1:16" ht="15.5" x14ac:dyDescent="0.35">
      <c r="A37" s="734" t="s">
        <v>1532</v>
      </c>
      <c r="B37" s="753">
        <f>SUM(Syv!H109:H113)</f>
        <v>1106.0999999999999</v>
      </c>
      <c r="C37" s="733"/>
      <c r="D37" s="717">
        <f t="shared" si="4"/>
        <v>11.061</v>
      </c>
      <c r="E37" s="753"/>
      <c r="F37" s="716">
        <f t="shared" si="5"/>
        <v>0.44243999999999994</v>
      </c>
      <c r="G37" s="753"/>
      <c r="H37" s="716">
        <f t="shared" si="6"/>
        <v>14.747999999999999</v>
      </c>
    </row>
    <row r="38" spans="1:16" ht="15.5" x14ac:dyDescent="0.35">
      <c r="A38" s="734" t="s">
        <v>1533</v>
      </c>
      <c r="B38" s="753">
        <f>SUM(Syv!H114:H115)</f>
        <v>0</v>
      </c>
      <c r="C38" s="733"/>
      <c r="D38" s="719">
        <f t="shared" si="4"/>
        <v>0</v>
      </c>
      <c r="E38" s="753"/>
      <c r="F38" s="715">
        <f t="shared" si="5"/>
        <v>0</v>
      </c>
      <c r="G38" s="753"/>
      <c r="H38" s="715">
        <f t="shared" si="6"/>
        <v>0</v>
      </c>
    </row>
    <row r="39" spans="1:16" ht="15.5" x14ac:dyDescent="0.35">
      <c r="A39" s="734" t="s">
        <v>1534</v>
      </c>
      <c r="B39" s="753">
        <f>Syv!H116</f>
        <v>50</v>
      </c>
      <c r="C39" s="733"/>
      <c r="D39" s="717">
        <f t="shared" si="4"/>
        <v>0.5</v>
      </c>
      <c r="E39" s="753"/>
      <c r="F39" s="781">
        <f t="shared" si="5"/>
        <v>0.02</v>
      </c>
      <c r="G39" s="753"/>
      <c r="H39" s="716">
        <f t="shared" si="6"/>
        <v>0.66666666666666663</v>
      </c>
    </row>
    <row r="40" spans="1:16" ht="15.5" x14ac:dyDescent="0.35">
      <c r="A40" s="734" t="s">
        <v>1535</v>
      </c>
      <c r="B40" s="753">
        <f>Syv!H117</f>
        <v>125</v>
      </c>
      <c r="C40" s="733"/>
      <c r="D40" s="717">
        <f t="shared" si="4"/>
        <v>1.25</v>
      </c>
      <c r="E40" s="753"/>
      <c r="F40" s="781">
        <f t="shared" si="5"/>
        <v>0.05</v>
      </c>
      <c r="G40" s="753"/>
      <c r="H40" s="716">
        <f t="shared" si="6"/>
        <v>1.6666666666666667</v>
      </c>
    </row>
    <row r="41" spans="1:16" ht="15.5" x14ac:dyDescent="0.35">
      <c r="A41" s="734" t="s">
        <v>1536</v>
      </c>
      <c r="B41" s="753">
        <f>Syv!H118</f>
        <v>62.5</v>
      </c>
      <c r="C41" s="733"/>
      <c r="D41" s="717">
        <f t="shared" si="4"/>
        <v>0.625</v>
      </c>
      <c r="E41" s="753"/>
      <c r="F41" s="781">
        <f t="shared" si="5"/>
        <v>2.5000000000000001E-2</v>
      </c>
      <c r="G41" s="753"/>
      <c r="H41" s="716">
        <f t="shared" si="6"/>
        <v>0.83333333333333337</v>
      </c>
    </row>
    <row r="42" spans="1:16" ht="15.5" x14ac:dyDescent="0.35">
      <c r="A42" s="734" t="s">
        <v>443</v>
      </c>
      <c r="B42" s="732">
        <f>SUM(Syv!H119:H122)</f>
        <v>0</v>
      </c>
      <c r="C42" s="733"/>
      <c r="D42" s="719">
        <f t="shared" si="4"/>
        <v>0</v>
      </c>
      <c r="E42" s="753"/>
      <c r="F42" s="715">
        <f t="shared" si="5"/>
        <v>0</v>
      </c>
      <c r="G42" s="753"/>
      <c r="H42" s="715">
        <f t="shared" si="6"/>
        <v>0</v>
      </c>
    </row>
    <row r="43" spans="1:16" ht="15.5" x14ac:dyDescent="0.35">
      <c r="A43" s="714" t="s">
        <v>69</v>
      </c>
      <c r="B43" s="732">
        <f>Syv!H126</f>
        <v>686.2064382530433</v>
      </c>
      <c r="C43" s="733"/>
      <c r="D43" s="739">
        <f t="shared" si="0"/>
        <v>6.8620643825304333</v>
      </c>
      <c r="E43" s="752"/>
      <c r="F43" s="716">
        <f>B43/($C$4*soy)</f>
        <v>0.27448257530121734</v>
      </c>
      <c r="G43" s="752"/>
      <c r="H43" s="716">
        <f t="shared" si="6"/>
        <v>9.1494191767072444</v>
      </c>
    </row>
    <row r="44" spans="1:16" ht="15" x14ac:dyDescent="0.3">
      <c r="A44" s="709" t="s">
        <v>366</v>
      </c>
      <c r="B44" s="735">
        <f>SUM(B17:B43)</f>
        <v>25534.35575827305</v>
      </c>
      <c r="C44" s="736"/>
      <c r="D44" s="737">
        <f>SUM(D17:D43)</f>
        <v>255.34355758273054</v>
      </c>
      <c r="E44" s="736"/>
      <c r="F44" s="736">
        <f>SUM(F17:F43)</f>
        <v>10.213742303309219</v>
      </c>
      <c r="G44" s="736"/>
      <c r="H44" s="736">
        <f>SUM(H17:H43)</f>
        <v>340.458076776974</v>
      </c>
    </row>
    <row r="45" spans="1:16" ht="15.5" x14ac:dyDescent="0.35">
      <c r="A45" s="738"/>
      <c r="B45" s="732"/>
      <c r="C45" s="733"/>
      <c r="D45" s="739"/>
      <c r="E45" s="757"/>
      <c r="F45" s="757"/>
      <c r="G45" s="757"/>
      <c r="H45" s="757"/>
    </row>
    <row r="46" spans="1:16" ht="15.5" x14ac:dyDescent="0.35">
      <c r="A46" s="709" t="s">
        <v>367</v>
      </c>
      <c r="B46" s="732"/>
      <c r="C46" s="733"/>
      <c r="D46" s="739"/>
      <c r="E46" s="757"/>
      <c r="F46" s="757"/>
      <c r="G46" s="757"/>
      <c r="H46" s="757"/>
    </row>
    <row r="47" spans="1:16" ht="15.5" x14ac:dyDescent="0.35">
      <c r="A47" s="714" t="s">
        <v>29</v>
      </c>
      <c r="B47" s="732"/>
      <c r="C47" s="733"/>
      <c r="D47" s="733"/>
      <c r="E47" s="757"/>
      <c r="F47" s="716"/>
      <c r="G47" s="757"/>
      <c r="H47" s="716"/>
      <c r="J47" s="890" t="s">
        <v>29</v>
      </c>
    </row>
    <row r="48" spans="1:16" ht="15.5" x14ac:dyDescent="0.35">
      <c r="A48" s="734" t="s">
        <v>1240</v>
      </c>
      <c r="B48" s="732">
        <f>SUM(Syf!H8:H24)</f>
        <v>2154.4235903028348</v>
      </c>
      <c r="C48" s="733"/>
      <c r="D48" s="739">
        <f t="shared" ref="D48:D60" si="7">B48/soy</f>
        <v>21.544235903028348</v>
      </c>
      <c r="E48" s="752"/>
      <c r="F48" s="716">
        <f t="shared" ref="F48:F61" si="8">B48/($C$4*soy)</f>
        <v>0.86176943612113388</v>
      </c>
      <c r="G48" s="752"/>
      <c r="H48" s="716">
        <f t="shared" ref="H48:H61" si="9">B48/($E$4*soy)</f>
        <v>28.725647870704464</v>
      </c>
      <c r="J48" s="697" t="s">
        <v>76</v>
      </c>
      <c r="K48" s="697"/>
      <c r="L48" s="697" t="s">
        <v>77</v>
      </c>
      <c r="M48" s="698"/>
      <c r="N48" s="697" t="s">
        <v>1554</v>
      </c>
      <c r="O48" s="698"/>
      <c r="P48" s="697" t="s">
        <v>385</v>
      </c>
    </row>
    <row r="49" spans="1:16" ht="15.5" x14ac:dyDescent="0.35">
      <c r="A49" s="734" t="s">
        <v>1241</v>
      </c>
      <c r="B49" s="732">
        <f>SUM(Syf!H25:H33)</f>
        <v>720.43483657048523</v>
      </c>
      <c r="C49" s="733"/>
      <c r="D49" s="739">
        <f t="shared" si="7"/>
        <v>7.2043483657048526</v>
      </c>
      <c r="E49" s="752"/>
      <c r="F49" s="716">
        <f t="shared" si="8"/>
        <v>0.28817393462819407</v>
      </c>
      <c r="G49" s="752"/>
      <c r="H49" s="716">
        <f t="shared" si="9"/>
        <v>9.6057978209398023</v>
      </c>
      <c r="J49" s="763">
        <f>SUM(B48:B60)</f>
        <v>11049.164278426193</v>
      </c>
      <c r="L49" s="756">
        <f>SUM(D48:D60)</f>
        <v>110.4916427842619</v>
      </c>
      <c r="N49" s="756">
        <f>SUM(F48:F60)</f>
        <v>4.4196657113704765</v>
      </c>
      <c r="P49" s="756">
        <f>SUM(H48:H60)</f>
        <v>147.32219037901586</v>
      </c>
    </row>
    <row r="50" spans="1:16" ht="15.5" x14ac:dyDescent="0.35">
      <c r="A50" s="734" t="s">
        <v>1243</v>
      </c>
      <c r="B50" s="732">
        <f>SUM(Syf!H34:H53)</f>
        <v>1818.995149203439</v>
      </c>
      <c r="C50" s="733"/>
      <c r="D50" s="739">
        <f>B50/soy</f>
        <v>18.189951492034389</v>
      </c>
      <c r="E50" s="752"/>
      <c r="F50" s="716">
        <f>B50/($C$4*soy)</f>
        <v>0.72759805968137559</v>
      </c>
      <c r="G50" s="752"/>
      <c r="H50" s="716">
        <f t="shared" si="9"/>
        <v>24.253268656045854</v>
      </c>
    </row>
    <row r="51" spans="1:16" ht="15.5" x14ac:dyDescent="0.35">
      <c r="A51" s="734" t="s">
        <v>1242</v>
      </c>
      <c r="B51" s="732">
        <f>SUM(Syf!H54:H59)</f>
        <v>283.66647642808016</v>
      </c>
      <c r="C51" s="733"/>
      <c r="D51" s="739">
        <f t="shared" si="7"/>
        <v>2.8366647642808016</v>
      </c>
      <c r="E51" s="752"/>
      <c r="F51" s="716">
        <f t="shared" si="8"/>
        <v>0.11346659057123207</v>
      </c>
      <c r="G51" s="752"/>
      <c r="H51" s="716">
        <f t="shared" si="9"/>
        <v>3.7822196857077355</v>
      </c>
    </row>
    <row r="52" spans="1:16" ht="15.5" x14ac:dyDescent="0.35">
      <c r="A52" s="734" t="s">
        <v>1244</v>
      </c>
      <c r="B52" s="732">
        <f>SUM(Syf!H60:H64)</f>
        <v>0</v>
      </c>
      <c r="C52" s="733"/>
      <c r="D52" s="761">
        <f t="shared" si="7"/>
        <v>0</v>
      </c>
      <c r="E52" s="753"/>
      <c r="F52" s="715">
        <f t="shared" si="8"/>
        <v>0</v>
      </c>
      <c r="G52" s="753"/>
      <c r="H52" s="715">
        <f t="shared" si="9"/>
        <v>0</v>
      </c>
    </row>
    <row r="53" spans="1:16" ht="15.5" x14ac:dyDescent="0.35">
      <c r="A53" s="734" t="s">
        <v>1245</v>
      </c>
      <c r="B53" s="732">
        <f>0</f>
        <v>0</v>
      </c>
      <c r="C53" s="733"/>
      <c r="D53" s="761">
        <f t="shared" si="7"/>
        <v>0</v>
      </c>
      <c r="E53" s="753"/>
      <c r="F53" s="715">
        <f t="shared" si="8"/>
        <v>0</v>
      </c>
      <c r="G53" s="753"/>
      <c r="H53" s="715">
        <f t="shared" si="9"/>
        <v>0</v>
      </c>
    </row>
    <row r="54" spans="1:16" ht="15.5" x14ac:dyDescent="0.35">
      <c r="A54" s="734" t="s">
        <v>1246</v>
      </c>
      <c r="B54" s="732">
        <f>SUM(Syf!H65:H72)</f>
        <v>2885.2092755374983</v>
      </c>
      <c r="C54" s="733"/>
      <c r="D54" s="739">
        <f t="shared" si="7"/>
        <v>28.852092755374983</v>
      </c>
      <c r="E54" s="752"/>
      <c r="F54" s="716">
        <f t="shared" si="8"/>
        <v>1.1540837102149994</v>
      </c>
      <c r="G54" s="752"/>
      <c r="H54" s="716">
        <f t="shared" si="9"/>
        <v>38.469457007166646</v>
      </c>
    </row>
    <row r="55" spans="1:16" ht="15.5" x14ac:dyDescent="0.35">
      <c r="A55" s="734" t="s">
        <v>1247</v>
      </c>
      <c r="B55" s="732">
        <f>SUM(Syf!H73:H80)</f>
        <v>44.788028985095124</v>
      </c>
      <c r="C55" s="733"/>
      <c r="D55" s="739">
        <f t="shared" si="7"/>
        <v>0.44788028985095124</v>
      </c>
      <c r="E55" s="752"/>
      <c r="F55" s="781">
        <f t="shared" si="8"/>
        <v>1.7915211594038048E-2</v>
      </c>
      <c r="G55" s="752"/>
      <c r="H55" s="716">
        <f t="shared" si="9"/>
        <v>0.59717371980126832</v>
      </c>
    </row>
    <row r="56" spans="1:16" ht="15.5" x14ac:dyDescent="0.35">
      <c r="A56" s="734" t="s">
        <v>2148</v>
      </c>
      <c r="B56" s="732">
        <f>SUM(Syf!H81:H85)</f>
        <v>355.51156394762995</v>
      </c>
      <c r="C56" s="733"/>
      <c r="D56" s="739">
        <f t="shared" ref="D56" si="10">B56/soy</f>
        <v>3.5551156394762997</v>
      </c>
      <c r="E56" s="752"/>
      <c r="F56" s="716">
        <f t="shared" ref="F56" si="11">B56/($C$4*soy)</f>
        <v>0.14220462557905197</v>
      </c>
      <c r="G56" s="752"/>
      <c r="H56" s="716">
        <f t="shared" ref="H56" si="12">B56/($E$4*soy)</f>
        <v>4.7401541859683993</v>
      </c>
    </row>
    <row r="57" spans="1:16" ht="15.5" x14ac:dyDescent="0.35">
      <c r="A57" s="734" t="s">
        <v>1250</v>
      </c>
      <c r="B57" s="732">
        <f>SUM(Syf!H86:H96)</f>
        <v>911.4854980343041</v>
      </c>
      <c r="C57" s="733"/>
      <c r="D57" s="739">
        <f t="shared" si="7"/>
        <v>9.1148549803430416</v>
      </c>
      <c r="E57" s="752"/>
      <c r="F57" s="716">
        <f t="shared" si="8"/>
        <v>0.36459419921372166</v>
      </c>
      <c r="G57" s="752"/>
      <c r="H57" s="716">
        <f t="shared" si="9"/>
        <v>12.153139973790722</v>
      </c>
    </row>
    <row r="58" spans="1:16" ht="15.5" x14ac:dyDescent="0.35">
      <c r="A58" s="734" t="s">
        <v>1304</v>
      </c>
      <c r="B58" s="732">
        <v>0</v>
      </c>
      <c r="C58" s="733"/>
      <c r="D58" s="761">
        <f t="shared" ref="D58" si="13">B58/soy</f>
        <v>0</v>
      </c>
      <c r="E58" s="753"/>
      <c r="F58" s="715">
        <f t="shared" ref="F58" si="14">B58/($C$4*soy)</f>
        <v>0</v>
      </c>
      <c r="G58" s="753"/>
      <c r="H58" s="715">
        <f t="shared" si="9"/>
        <v>0</v>
      </c>
    </row>
    <row r="59" spans="1:16" ht="15.5" x14ac:dyDescent="0.35">
      <c r="A59" s="734" t="s">
        <v>1248</v>
      </c>
      <c r="B59" s="732">
        <f>SUM(Syf!H98:H101)</f>
        <v>1350</v>
      </c>
      <c r="C59" s="733"/>
      <c r="D59" s="739">
        <f t="shared" si="7"/>
        <v>13.5</v>
      </c>
      <c r="E59" s="752"/>
      <c r="F59" s="716">
        <f t="shared" si="8"/>
        <v>0.54</v>
      </c>
      <c r="G59" s="752"/>
      <c r="H59" s="716">
        <f t="shared" si="9"/>
        <v>18</v>
      </c>
    </row>
    <row r="60" spans="1:16" ht="15.5" x14ac:dyDescent="0.35">
      <c r="A60" s="734" t="s">
        <v>1249</v>
      </c>
      <c r="B60" s="732">
        <f>SUM(Syf!H102:H106)</f>
        <v>524.64985941682335</v>
      </c>
      <c r="C60" s="733"/>
      <c r="D60" s="739">
        <f t="shared" si="7"/>
        <v>5.2464985941682336</v>
      </c>
      <c r="E60" s="752"/>
      <c r="F60" s="716">
        <f t="shared" si="8"/>
        <v>0.20985994376672934</v>
      </c>
      <c r="G60" s="752"/>
      <c r="H60" s="716">
        <f t="shared" si="9"/>
        <v>6.9953314588909778</v>
      </c>
    </row>
    <row r="61" spans="1:16" ht="15.5" x14ac:dyDescent="0.35">
      <c r="A61" s="714" t="s">
        <v>79</v>
      </c>
      <c r="B61" s="732">
        <f>Syf!L114</f>
        <v>2640.2565415975268</v>
      </c>
      <c r="C61" s="733"/>
      <c r="D61" s="739">
        <f>B61/soy</f>
        <v>26.402565415975268</v>
      </c>
      <c r="E61" s="757"/>
      <c r="F61" s="716">
        <f t="shared" si="8"/>
        <v>1.0561026166390108</v>
      </c>
      <c r="G61" s="757"/>
      <c r="H61" s="716">
        <f t="shared" si="9"/>
        <v>35.203420554633688</v>
      </c>
    </row>
    <row r="62" spans="1:16" ht="15" x14ac:dyDescent="0.3">
      <c r="A62" s="709" t="s">
        <v>368</v>
      </c>
      <c r="B62" s="735">
        <f>SUM(B47:B61)</f>
        <v>13689.420820023719</v>
      </c>
      <c r="C62" s="736"/>
      <c r="D62" s="737">
        <f>SUM(D47:D61)</f>
        <v>136.89420820023716</v>
      </c>
      <c r="E62" s="736"/>
      <c r="F62" s="736">
        <f>SUM(F47:F61)</f>
        <v>5.4757683280094875</v>
      </c>
      <c r="G62" s="736"/>
      <c r="H62" s="736">
        <f>SUM(H47:H61)</f>
        <v>182.52561093364955</v>
      </c>
    </row>
    <row r="63" spans="1:16" ht="15.5" x14ac:dyDescent="0.35">
      <c r="A63" s="699"/>
      <c r="B63" s="735"/>
      <c r="C63" s="736"/>
      <c r="D63" s="737"/>
      <c r="E63" s="758"/>
      <c r="F63" s="758"/>
      <c r="G63" s="758"/>
      <c r="H63" s="758"/>
    </row>
    <row r="64" spans="1:16" ht="15" x14ac:dyDescent="0.3">
      <c r="A64" s="709" t="s">
        <v>80</v>
      </c>
      <c r="B64" s="735">
        <f>B62+B44</f>
        <v>39223.776578296769</v>
      </c>
      <c r="C64" s="736"/>
      <c r="D64" s="737">
        <f>D62+D44</f>
        <v>392.2377657829677</v>
      </c>
      <c r="E64" s="736"/>
      <c r="F64" s="736">
        <f>F62+F44</f>
        <v>15.689510631318708</v>
      </c>
      <c r="G64" s="736"/>
      <c r="H64" s="736">
        <f>H62+H44</f>
        <v>522.9836877106236</v>
      </c>
    </row>
    <row r="65" spans="1:8" ht="15.5" x14ac:dyDescent="0.35">
      <c r="A65" s="742"/>
      <c r="B65" s="735"/>
      <c r="C65" s="736"/>
      <c r="D65" s="737"/>
      <c r="E65" s="736"/>
      <c r="F65" s="736"/>
      <c r="G65" s="736"/>
      <c r="H65" s="736"/>
    </row>
    <row r="66" spans="1:8" ht="15" x14ac:dyDescent="0.3">
      <c r="A66" s="709" t="s">
        <v>355</v>
      </c>
      <c r="B66" s="710">
        <f>B14-B64</f>
        <v>33226.223421703231</v>
      </c>
      <c r="C66" s="736"/>
      <c r="D66" s="712">
        <f>D14-D64</f>
        <v>332.2622342170323</v>
      </c>
      <c r="E66" s="736"/>
      <c r="F66" s="711">
        <f>F14-F64</f>
        <v>13.290489368681293</v>
      </c>
      <c r="G66" s="736"/>
      <c r="H66" s="711">
        <f>H14-H64</f>
        <v>443.0163122893764</v>
      </c>
    </row>
    <row r="67" spans="1:8" ht="15" x14ac:dyDescent="0.3">
      <c r="A67" s="709" t="s">
        <v>356</v>
      </c>
      <c r="B67" s="735">
        <f>B14-B44</f>
        <v>46915.64424172695</v>
      </c>
      <c r="C67" s="736"/>
      <c r="D67" s="737">
        <f>D14-D44</f>
        <v>469.15644241726943</v>
      </c>
      <c r="E67" s="736"/>
      <c r="F67" s="736">
        <f>F14-F44</f>
        <v>18.766257696690779</v>
      </c>
      <c r="G67" s="736"/>
      <c r="H67" s="736">
        <f>H14-H44</f>
        <v>625.54192322302606</v>
      </c>
    </row>
    <row r="68" spans="1:8" ht="15.5" x14ac:dyDescent="0.35">
      <c r="A68" s="699"/>
      <c r="B68" s="743"/>
      <c r="C68" s="743"/>
      <c r="D68" s="702"/>
      <c r="E68" s="699"/>
      <c r="F68" s="699"/>
      <c r="G68" s="699"/>
      <c r="H68" s="699"/>
    </row>
    <row r="69" spans="1:8" ht="15.5" x14ac:dyDescent="0.35">
      <c r="A69" s="709" t="s">
        <v>234</v>
      </c>
      <c r="B69" s="743"/>
      <c r="C69" s="743"/>
      <c r="D69" s="702"/>
      <c r="E69" s="699"/>
      <c r="F69" s="699"/>
      <c r="G69" s="699"/>
      <c r="H69" s="699"/>
    </row>
    <row r="70" spans="1:8" ht="12.75" customHeight="1" x14ac:dyDescent="0.35">
      <c r="A70" s="744" t="s">
        <v>369</v>
      </c>
      <c r="B70" s="703" t="s">
        <v>76</v>
      </c>
      <c r="C70" s="743"/>
      <c r="D70" s="703" t="s">
        <v>393</v>
      </c>
      <c r="E70" s="703"/>
      <c r="F70" s="703" t="s">
        <v>1556</v>
      </c>
      <c r="G70" s="703"/>
      <c r="H70" s="703" t="s">
        <v>396</v>
      </c>
    </row>
    <row r="71" spans="1:8" ht="15.5" x14ac:dyDescent="0.35">
      <c r="A71" s="714" t="s">
        <v>370</v>
      </c>
      <c r="B71" s="745">
        <f>B64</f>
        <v>39223.776578296769</v>
      </c>
      <c r="C71" s="743"/>
      <c r="D71" s="717">
        <f>$B$64/soy</f>
        <v>392.2377657829677</v>
      </c>
      <c r="E71" s="752"/>
      <c r="F71" s="716">
        <f>$B$64/($C$4*soy)</f>
        <v>15.689510631318708</v>
      </c>
      <c r="G71" s="752"/>
      <c r="H71" s="716">
        <f>$B$64/($E$4*soy)</f>
        <v>522.9836877106236</v>
      </c>
    </row>
    <row r="72" spans="1:8" ht="15.5" x14ac:dyDescent="0.35">
      <c r="A72" s="714" t="s">
        <v>371</v>
      </c>
      <c r="B72" s="745">
        <f>B44</f>
        <v>25534.35575827305</v>
      </c>
      <c r="C72" s="743"/>
      <c r="D72" s="717">
        <f>$B$44/soy</f>
        <v>255.34355758273051</v>
      </c>
      <c r="E72" s="752"/>
      <c r="F72" s="716">
        <f>$B$44/($C$4*soy)</f>
        <v>10.213742303309219</v>
      </c>
      <c r="G72" s="752"/>
      <c r="H72" s="716">
        <f>$B$44/($E$4*soy)</f>
        <v>340.458076776974</v>
      </c>
    </row>
    <row r="73" spans="1:8" ht="15.5" x14ac:dyDescent="0.35">
      <c r="A73" s="714"/>
      <c r="B73" s="743"/>
      <c r="C73" s="743"/>
      <c r="D73" s="717"/>
      <c r="E73" s="752"/>
      <c r="F73" s="716"/>
      <c r="G73" s="752"/>
      <c r="H73" s="716"/>
    </row>
    <row r="74" spans="1:8" ht="15.5" x14ac:dyDescent="0.35">
      <c r="A74" s="744" t="s">
        <v>1099</v>
      </c>
      <c r="B74" s="703" t="s">
        <v>1100</v>
      </c>
      <c r="C74" s="743"/>
      <c r="D74" s="703" t="s">
        <v>1995</v>
      </c>
      <c r="E74" s="752"/>
      <c r="F74" s="716"/>
      <c r="G74" s="752"/>
      <c r="H74" s="716"/>
    </row>
    <row r="75" spans="1:8" ht="15.5" x14ac:dyDescent="0.35">
      <c r="A75" s="714" t="s">
        <v>1101</v>
      </c>
      <c r="B75" s="746">
        <f>B66/SUM(Syv!E20:E52)</f>
        <v>13.5621613898911</v>
      </c>
      <c r="C75" s="743"/>
      <c r="D75" s="1226">
        <f>SUM(Syv!E20:E52)</f>
        <v>2449.9209577663069</v>
      </c>
      <c r="E75" s="1225" t="s">
        <v>1996</v>
      </c>
      <c r="F75" s="716"/>
      <c r="G75" s="752"/>
      <c r="H75" s="716"/>
    </row>
    <row r="76" spans="1:8" ht="15.5" x14ac:dyDescent="0.35">
      <c r="A76" s="714" t="s">
        <v>1102</v>
      </c>
      <c r="B76" s="746">
        <f>B67/SUM(Syv!E20:E52)</f>
        <v>19.149860363046923</v>
      </c>
      <c r="C76" s="743"/>
      <c r="D76" s="717"/>
      <c r="E76" s="752"/>
      <c r="F76" s="716"/>
      <c r="G76" s="752"/>
      <c r="H76" s="716"/>
    </row>
    <row r="77" spans="1:8" ht="15.5" x14ac:dyDescent="0.35">
      <c r="A77" s="747"/>
      <c r="B77" s="748"/>
      <c r="C77" s="748"/>
      <c r="D77" s="749"/>
      <c r="E77" s="747"/>
      <c r="F77" s="747"/>
      <c r="G77" s="747"/>
      <c r="H77" s="747"/>
    </row>
    <row r="81" spans="1:8" x14ac:dyDescent="0.3">
      <c r="A81" s="61" t="s">
        <v>146</v>
      </c>
      <c r="B81" s="50" t="str">
        <f>model</f>
        <v>ME Grain &amp; Pulse</v>
      </c>
    </row>
    <row r="83" spans="1:8" x14ac:dyDescent="0.3">
      <c r="A83" s="7" t="s">
        <v>210</v>
      </c>
      <c r="B83" s="55" t="s">
        <v>92</v>
      </c>
      <c r="C83" s="54">
        <f>soy</f>
        <v>100</v>
      </c>
      <c r="D83" s="17" t="s">
        <v>93</v>
      </c>
    </row>
    <row r="84" spans="1:8" x14ac:dyDescent="0.3">
      <c r="A84" s="8"/>
      <c r="B84" s="55" t="s">
        <v>232</v>
      </c>
      <c r="C84" s="54">
        <f>Data!B252</f>
        <v>25</v>
      </c>
      <c r="D84" s="17" t="s">
        <v>1567</v>
      </c>
      <c r="E84" s="1190">
        <f>(C84*Data!$K$67)/2000</f>
        <v>0.75</v>
      </c>
      <c r="F84" s="17" t="s">
        <v>235</v>
      </c>
      <c r="G84" s="54"/>
    </row>
    <row r="85" spans="1:8" x14ac:dyDescent="0.3">
      <c r="B85" s="55" t="s">
        <v>284</v>
      </c>
      <c r="C85" s="106">
        <f>IF(FARM!$F$24&gt;0,Data!$B$247,Data!$B$248)</f>
        <v>28.98</v>
      </c>
      <c r="D85" s="17" t="s">
        <v>1566</v>
      </c>
      <c r="E85" s="153">
        <f>Data!$K$67</f>
        <v>60</v>
      </c>
      <c r="F85" s="17" t="s">
        <v>1560</v>
      </c>
      <c r="G85" s="153"/>
    </row>
    <row r="86" spans="1:8" x14ac:dyDescent="0.3">
      <c r="B86" s="55"/>
      <c r="C86" s="53"/>
      <c r="D86" s="17"/>
    </row>
    <row r="87" spans="1:8" ht="15.5" x14ac:dyDescent="0.35">
      <c r="A87" s="751" t="s">
        <v>210</v>
      </c>
      <c r="B87" s="697" t="s">
        <v>76</v>
      </c>
      <c r="C87" s="697"/>
      <c r="D87" s="697" t="s">
        <v>77</v>
      </c>
      <c r="E87" s="698"/>
      <c r="F87" s="697" t="s">
        <v>1554</v>
      </c>
      <c r="G87" s="698"/>
      <c r="H87" s="697" t="s">
        <v>385</v>
      </c>
    </row>
    <row r="88" spans="1:8" ht="15.5" x14ac:dyDescent="0.35">
      <c r="A88" s="699" t="s">
        <v>362</v>
      </c>
      <c r="B88" s="759">
        <f>C83</f>
        <v>100</v>
      </c>
      <c r="C88" s="701"/>
      <c r="D88" s="702" t="s">
        <v>363</v>
      </c>
      <c r="E88" s="699"/>
      <c r="F88" s="702" t="s">
        <v>363</v>
      </c>
      <c r="G88" s="699"/>
      <c r="H88" s="702" t="s">
        <v>363</v>
      </c>
    </row>
    <row r="89" spans="1:8" ht="15.5" x14ac:dyDescent="0.35">
      <c r="A89" s="699" t="s">
        <v>1865</v>
      </c>
      <c r="B89" s="702" t="s">
        <v>363</v>
      </c>
      <c r="C89" s="701"/>
      <c r="D89" s="702" t="s">
        <v>363</v>
      </c>
      <c r="E89" s="703"/>
      <c r="F89" s="702" t="s">
        <v>363</v>
      </c>
      <c r="G89" s="703"/>
      <c r="H89" s="888">
        <f>2000/Data!$K$67</f>
        <v>33.333333333333336</v>
      </c>
    </row>
    <row r="90" spans="1:8" ht="15.5" x14ac:dyDescent="0.35">
      <c r="A90" s="699" t="s">
        <v>1568</v>
      </c>
      <c r="B90" s="700">
        <f>$C$83*C84</f>
        <v>2500</v>
      </c>
      <c r="C90" s="701"/>
      <c r="D90" s="700">
        <f>C84</f>
        <v>25</v>
      </c>
      <c r="E90" s="703"/>
      <c r="F90" s="702" t="s">
        <v>363</v>
      </c>
      <c r="G90" s="703"/>
      <c r="H90" s="702" t="s">
        <v>363</v>
      </c>
    </row>
    <row r="91" spans="1:8" ht="15.5" x14ac:dyDescent="0.35">
      <c r="A91" s="699" t="s">
        <v>1866</v>
      </c>
      <c r="B91" s="700">
        <f>$C$83*E84</f>
        <v>75</v>
      </c>
      <c r="C91" s="701"/>
      <c r="D91" s="1191">
        <f>E84</f>
        <v>0.75</v>
      </c>
      <c r="E91" s="703"/>
      <c r="F91" s="702" t="s">
        <v>363</v>
      </c>
      <c r="G91" s="703"/>
      <c r="H91" s="702" t="s">
        <v>363</v>
      </c>
    </row>
    <row r="92" spans="1:8" ht="15.5" x14ac:dyDescent="0.35">
      <c r="A92" s="699" t="str">
        <f>IF(Data!B249=1,"Soybean Price ($/unit) - Food Grade","Soybean Price ($/unit) - Feed Grade")</f>
        <v>Soybean Price ($/unit) - Food Grade</v>
      </c>
      <c r="B92" s="702" t="s">
        <v>363</v>
      </c>
      <c r="C92" s="716"/>
      <c r="D92" s="702" t="s">
        <v>363</v>
      </c>
      <c r="E92" s="752"/>
      <c r="F92" s="716">
        <f>C85</f>
        <v>28.98</v>
      </c>
      <c r="G92" s="752"/>
      <c r="H92" s="840">
        <f>F92*H89</f>
        <v>966.00000000000011</v>
      </c>
    </row>
    <row r="93" spans="1:8" ht="15.5" x14ac:dyDescent="0.35">
      <c r="A93" s="699"/>
      <c r="B93" s="706"/>
      <c r="C93" s="706"/>
      <c r="D93" s="707"/>
      <c r="E93" s="744"/>
      <c r="F93" s="706"/>
      <c r="G93" s="744"/>
      <c r="H93" s="706"/>
    </row>
    <row r="94" spans="1:8" ht="15" x14ac:dyDescent="0.3">
      <c r="A94" s="709" t="s">
        <v>230</v>
      </c>
      <c r="B94" s="710">
        <f>C83*Data!B252*Data!B248</f>
        <v>72450</v>
      </c>
      <c r="C94" s="711"/>
      <c r="D94" s="712">
        <f>B94/soy</f>
        <v>724.5</v>
      </c>
      <c r="E94" s="756"/>
      <c r="F94" s="711">
        <f>B94/($C$84*soy)</f>
        <v>28.98</v>
      </c>
      <c r="G94" s="756"/>
      <c r="H94" s="711">
        <f>B94/($E$84*soy)</f>
        <v>966</v>
      </c>
    </row>
    <row r="95" spans="1:8" ht="15.5" x14ac:dyDescent="0.35">
      <c r="A95" s="699"/>
      <c r="B95" s="721"/>
      <c r="C95" s="722"/>
      <c r="D95" s="717"/>
      <c r="E95" s="752"/>
      <c r="F95" s="716"/>
      <c r="G95" s="752"/>
      <c r="H95" s="716"/>
    </row>
    <row r="96" spans="1:8" ht="15.5" x14ac:dyDescent="0.35">
      <c r="A96" s="709" t="s">
        <v>365</v>
      </c>
      <c r="B96" s="715"/>
      <c r="C96" s="716"/>
      <c r="D96" s="717"/>
      <c r="E96" s="752"/>
      <c r="F96" s="716"/>
      <c r="G96" s="752"/>
      <c r="H96" s="715"/>
    </row>
    <row r="97" spans="1:16" ht="15.5" x14ac:dyDescent="0.35">
      <c r="A97" s="714" t="s">
        <v>13</v>
      </c>
      <c r="B97" s="715">
        <f>SUM(Syv!H9:H10)</f>
        <v>6290</v>
      </c>
      <c r="C97" s="716"/>
      <c r="D97" s="717">
        <f>B97/soy</f>
        <v>62.9</v>
      </c>
      <c r="E97" s="752"/>
      <c r="F97" s="716">
        <f>B97/($C$84*soy)</f>
        <v>2.516</v>
      </c>
      <c r="G97" s="752"/>
      <c r="H97" s="716">
        <f>B97/($E$84*soy)</f>
        <v>83.86666666666666</v>
      </c>
    </row>
    <row r="98" spans="1:16" ht="15.5" x14ac:dyDescent="0.35">
      <c r="A98" s="714" t="s">
        <v>1</v>
      </c>
      <c r="B98" s="715">
        <f>Syv!H12</f>
        <v>0</v>
      </c>
      <c r="C98" s="716"/>
      <c r="D98" s="719">
        <f>B98/soy</f>
        <v>0</v>
      </c>
      <c r="E98" s="753"/>
      <c r="F98" s="715">
        <f>B98/($C$84*soy)</f>
        <v>0</v>
      </c>
      <c r="G98" s="753"/>
      <c r="H98" s="715">
        <f>B98/($E$84*soy)</f>
        <v>0</v>
      </c>
    </row>
    <row r="99" spans="1:16" ht="15.5" x14ac:dyDescent="0.35">
      <c r="A99" s="714" t="s">
        <v>2</v>
      </c>
      <c r="B99" s="715">
        <f>Syv!H14</f>
        <v>0</v>
      </c>
      <c r="C99" s="716"/>
      <c r="D99" s="719">
        <f>B99/soy</f>
        <v>0</v>
      </c>
      <c r="E99" s="753"/>
      <c r="F99" s="715">
        <f>B99/($C$84*soy)</f>
        <v>0</v>
      </c>
      <c r="G99" s="753"/>
      <c r="H99" s="715">
        <f>B99/($E$84*soy)</f>
        <v>0</v>
      </c>
    </row>
    <row r="100" spans="1:16" ht="15.5" x14ac:dyDescent="0.35">
      <c r="A100" s="714" t="s">
        <v>1476</v>
      </c>
      <c r="B100" s="699"/>
      <c r="C100" s="699"/>
      <c r="D100" s="699"/>
      <c r="E100" s="699"/>
      <c r="F100" s="699"/>
      <c r="G100" s="699"/>
      <c r="H100" s="699"/>
    </row>
    <row r="101" spans="1:16" ht="15.5" x14ac:dyDescent="0.35">
      <c r="A101" s="714" t="s">
        <v>1121</v>
      </c>
      <c r="B101" s="745">
        <f>SUM(Syv!H15:H16)</f>
        <v>0</v>
      </c>
      <c r="C101" s="746"/>
      <c r="D101" s="755">
        <f>B101/soy</f>
        <v>0</v>
      </c>
      <c r="E101" s="753"/>
      <c r="F101" s="745">
        <f>B101/($C$84*soy)</f>
        <v>0</v>
      </c>
      <c r="G101" s="753"/>
      <c r="H101" s="715">
        <f>B101/($E$84*soy)</f>
        <v>0</v>
      </c>
    </row>
    <row r="102" spans="1:16" ht="15.5" x14ac:dyDescent="0.35">
      <c r="A102" s="714" t="s">
        <v>1119</v>
      </c>
      <c r="B102" s="745">
        <f>SUM(Syv!H17:H17)</f>
        <v>0</v>
      </c>
      <c r="C102" s="746"/>
      <c r="D102" s="755">
        <f>B102/soy</f>
        <v>0</v>
      </c>
      <c r="E102" s="753"/>
      <c r="F102" s="745">
        <f>B102/($C$84*soy)</f>
        <v>0</v>
      </c>
      <c r="G102" s="753"/>
      <c r="H102" s="715">
        <f>B102/($E$84*soy)</f>
        <v>0</v>
      </c>
    </row>
    <row r="103" spans="1:16" ht="15.5" x14ac:dyDescent="0.35">
      <c r="A103" s="714" t="s">
        <v>1120</v>
      </c>
      <c r="B103" s="745">
        <f>SUM(Syv!H18:H18)</f>
        <v>0</v>
      </c>
      <c r="C103" s="746"/>
      <c r="D103" s="755">
        <f>B103/soy</f>
        <v>0</v>
      </c>
      <c r="E103" s="753"/>
      <c r="F103" s="745">
        <f>B103/($C$84*soy)</f>
        <v>0</v>
      </c>
      <c r="G103" s="753"/>
      <c r="H103" s="715">
        <f>B103/($E$84*soy)</f>
        <v>0</v>
      </c>
      <c r="J103" s="889" t="s">
        <v>1557</v>
      </c>
    </row>
    <row r="104" spans="1:16" ht="15.5" x14ac:dyDescent="0.35">
      <c r="A104" s="714" t="s">
        <v>1214</v>
      </c>
      <c r="B104" s="715"/>
      <c r="C104" s="716"/>
      <c r="D104" s="717"/>
      <c r="E104" s="752"/>
      <c r="F104" s="716"/>
      <c r="G104" s="752"/>
      <c r="H104" s="716"/>
      <c r="J104" s="756">
        <f>_wage_</f>
        <v>12.29</v>
      </c>
      <c r="K104" s="709" t="s">
        <v>1558</v>
      </c>
    </row>
    <row r="105" spans="1:16" ht="15.5" x14ac:dyDescent="0.35">
      <c r="A105" s="734" t="s">
        <v>1910</v>
      </c>
      <c r="B105" s="715">
        <f>Syv!H21</f>
        <v>0</v>
      </c>
      <c r="C105" s="716"/>
      <c r="D105" s="717">
        <f t="shared" ref="D105" si="15">B105/soy</f>
        <v>0</v>
      </c>
      <c r="E105" s="752"/>
      <c r="F105" s="716">
        <f t="shared" ref="F105" si="16">B105/($C$84*soy)</f>
        <v>0</v>
      </c>
      <c r="G105" s="752"/>
      <c r="H105" s="716">
        <f t="shared" ref="H105" si="17">B105/($E$84*soy)</f>
        <v>0</v>
      </c>
      <c r="J105" s="697" t="s">
        <v>76</v>
      </c>
      <c r="K105" s="697"/>
      <c r="L105" s="697" t="s">
        <v>77</v>
      </c>
      <c r="M105" s="698"/>
      <c r="N105" s="697" t="s">
        <v>1554</v>
      </c>
      <c r="O105" s="698"/>
      <c r="P105" s="697" t="s">
        <v>385</v>
      </c>
    </row>
    <row r="106" spans="1:16" ht="15.5" x14ac:dyDescent="0.35">
      <c r="A106" s="734" t="s">
        <v>1256</v>
      </c>
      <c r="B106" s="715">
        <f>Syv!H23</f>
        <v>144.58823529411714</v>
      </c>
      <c r="C106" s="716"/>
      <c r="D106" s="717">
        <f t="shared" ref="D106:D116" si="18">B106/soy</f>
        <v>1.4458823529411715</v>
      </c>
      <c r="E106" s="752"/>
      <c r="F106" s="716">
        <f t="shared" ref="F106:F116" si="19">B106/($C$84*soy)</f>
        <v>5.7835294117646853E-2</v>
      </c>
      <c r="G106" s="752"/>
      <c r="H106" s="716">
        <f t="shared" ref="H106:H116" si="20">B106/($E$84*soy)</f>
        <v>1.9278431372548952</v>
      </c>
      <c r="J106" s="763">
        <f>SUM(B105:B116)</f>
        <v>2198.6314993148071</v>
      </c>
      <c r="L106" s="756">
        <f>SUM(D105:D116)</f>
        <v>21.986314993148071</v>
      </c>
      <c r="N106" s="756">
        <f>SUM(F105:F116)</f>
        <v>0.87945259972592271</v>
      </c>
      <c r="P106" s="756">
        <f>SUM(H105:H116)</f>
        <v>29.315086657530756</v>
      </c>
    </row>
    <row r="107" spans="1:16" ht="15.5" x14ac:dyDescent="0.35">
      <c r="A107" s="734" t="s">
        <v>1252</v>
      </c>
      <c r="B107" s="715">
        <f>Syv!H24</f>
        <v>100.57283142389524</v>
      </c>
      <c r="C107" s="716"/>
      <c r="D107" s="717">
        <f t="shared" si="18"/>
        <v>1.0057283142389524</v>
      </c>
      <c r="E107" s="752"/>
      <c r="F107" s="716">
        <f t="shared" si="19"/>
        <v>4.0229132569558096E-2</v>
      </c>
      <c r="G107" s="752"/>
      <c r="H107" s="716">
        <f t="shared" si="20"/>
        <v>1.3409710856519366</v>
      </c>
    </row>
    <row r="108" spans="1:16" ht="15.5" x14ac:dyDescent="0.35">
      <c r="A108" s="734" t="s">
        <v>1253</v>
      </c>
      <c r="B108" s="715">
        <f>Syv!H25</f>
        <v>94.684129429892167</v>
      </c>
      <c r="C108" s="716"/>
      <c r="D108" s="717">
        <f t="shared" si="18"/>
        <v>0.94684129429892172</v>
      </c>
      <c r="E108" s="752"/>
      <c r="F108" s="716">
        <f t="shared" si="19"/>
        <v>3.7873651771956868E-2</v>
      </c>
      <c r="G108" s="752"/>
      <c r="H108" s="716">
        <f t="shared" si="20"/>
        <v>1.2624550590652288</v>
      </c>
    </row>
    <row r="109" spans="1:16" ht="15.5" x14ac:dyDescent="0.35">
      <c r="A109" s="734" t="s">
        <v>1254</v>
      </c>
      <c r="B109" s="715">
        <f>Syv!H26</f>
        <v>94.684129429892167</v>
      </c>
      <c r="C109" s="716"/>
      <c r="D109" s="717">
        <f t="shared" si="18"/>
        <v>0.94684129429892172</v>
      </c>
      <c r="E109" s="752"/>
      <c r="F109" s="716">
        <f t="shared" si="19"/>
        <v>3.7873651771956868E-2</v>
      </c>
      <c r="G109" s="752"/>
      <c r="H109" s="716">
        <f t="shared" si="20"/>
        <v>1.2624550590652288</v>
      </c>
    </row>
    <row r="110" spans="1:16" ht="15.5" x14ac:dyDescent="0.35">
      <c r="A110" s="734" t="s">
        <v>2176</v>
      </c>
      <c r="B110" s="715">
        <f>Syv!H27</f>
        <v>94.684129429892167</v>
      </c>
      <c r="C110" s="716"/>
      <c r="D110" s="717">
        <f t="shared" si="18"/>
        <v>0.94684129429892172</v>
      </c>
      <c r="E110" s="752"/>
      <c r="F110" s="716">
        <f t="shared" si="19"/>
        <v>3.7873651771956868E-2</v>
      </c>
      <c r="G110" s="752"/>
      <c r="H110" s="716">
        <f t="shared" si="20"/>
        <v>1.2624550590652288</v>
      </c>
    </row>
    <row r="111" spans="1:16" ht="15.5" x14ac:dyDescent="0.35">
      <c r="A111" s="734" t="s">
        <v>1280</v>
      </c>
      <c r="B111" s="715">
        <f>Syv!H31</f>
        <v>159.09385113268598</v>
      </c>
      <c r="C111" s="716"/>
      <c r="D111" s="717">
        <f t="shared" si="18"/>
        <v>1.5909385113268599</v>
      </c>
      <c r="E111" s="752"/>
      <c r="F111" s="716">
        <f t="shared" si="19"/>
        <v>6.363754045307439E-2</v>
      </c>
      <c r="G111" s="752"/>
      <c r="H111" s="716">
        <f t="shared" si="20"/>
        <v>2.1212513484358131</v>
      </c>
    </row>
    <row r="112" spans="1:16" ht="15.5" x14ac:dyDescent="0.35">
      <c r="A112" s="734" t="s">
        <v>1255</v>
      </c>
      <c r="B112" s="715">
        <f>SUM(Syv!H35:H36)</f>
        <v>409.66666666666623</v>
      </c>
      <c r="C112" s="716"/>
      <c r="D112" s="717">
        <f t="shared" si="18"/>
        <v>4.0966666666666622</v>
      </c>
      <c r="E112" s="752"/>
      <c r="F112" s="716">
        <f t="shared" si="19"/>
        <v>0.16386666666666649</v>
      </c>
      <c r="G112" s="752"/>
      <c r="H112" s="716">
        <f t="shared" si="20"/>
        <v>5.4622222222222163</v>
      </c>
    </row>
    <row r="113" spans="1:16" ht="15.5" x14ac:dyDescent="0.35">
      <c r="A113" s="734" t="s">
        <v>2077</v>
      </c>
      <c r="B113" s="715">
        <f>SUM(Syv!H37:H38)</f>
        <v>70.613351565061578</v>
      </c>
      <c r="C113" s="716"/>
      <c r="D113" s="717">
        <f t="shared" si="18"/>
        <v>0.70613351565061577</v>
      </c>
      <c r="E113" s="752"/>
      <c r="F113" s="716">
        <f t="shared" si="19"/>
        <v>2.8245340626024632E-2</v>
      </c>
      <c r="G113" s="752"/>
      <c r="H113" s="716">
        <f t="shared" si="20"/>
        <v>0.94151135420082099</v>
      </c>
    </row>
    <row r="114" spans="1:16" ht="15.5" x14ac:dyDescent="0.35">
      <c r="A114" s="734" t="s">
        <v>1537</v>
      </c>
      <c r="B114" s="715">
        <f>SUM(Syv!H39:H41)</f>
        <v>921.74999999999989</v>
      </c>
      <c r="C114" s="716"/>
      <c r="D114" s="717">
        <f t="shared" si="18"/>
        <v>9.2174999999999994</v>
      </c>
      <c r="E114" s="752"/>
      <c r="F114" s="716">
        <f t="shared" si="19"/>
        <v>0.36869999999999997</v>
      </c>
      <c r="G114" s="752"/>
      <c r="H114" s="716">
        <f t="shared" si="20"/>
        <v>12.29</v>
      </c>
    </row>
    <row r="115" spans="1:16" ht="15.5" x14ac:dyDescent="0.35">
      <c r="A115" s="734" t="s">
        <v>1257</v>
      </c>
      <c r="B115" s="715">
        <f>SUM(Syv!H42:H44)</f>
        <v>16.119174942704348</v>
      </c>
      <c r="C115" s="716"/>
      <c r="D115" s="717">
        <f t="shared" si="18"/>
        <v>0.16119174942704348</v>
      </c>
      <c r="E115" s="752"/>
      <c r="F115" s="716">
        <f t="shared" si="19"/>
        <v>6.4476699770817389E-3</v>
      </c>
      <c r="G115" s="752"/>
      <c r="H115" s="716">
        <f t="shared" si="20"/>
        <v>0.21492233256939131</v>
      </c>
    </row>
    <row r="116" spans="1:16" ht="15.5" x14ac:dyDescent="0.35">
      <c r="A116" s="734" t="s">
        <v>2078</v>
      </c>
      <c r="B116" s="715">
        <f>SUM(Syv!H46:H51)</f>
        <v>92.174999999999983</v>
      </c>
      <c r="C116" s="716"/>
      <c r="D116" s="717">
        <f t="shared" si="18"/>
        <v>0.92174999999999985</v>
      </c>
      <c r="E116" s="752"/>
      <c r="F116" s="716">
        <f t="shared" si="19"/>
        <v>3.6869999999999993E-2</v>
      </c>
      <c r="G116" s="752"/>
      <c r="H116" s="716">
        <f t="shared" si="20"/>
        <v>1.2289999999999999</v>
      </c>
      <c r="J116" s="889" t="s">
        <v>1985</v>
      </c>
    </row>
    <row r="117" spans="1:16" ht="15.5" x14ac:dyDescent="0.35">
      <c r="A117" s="714" t="s">
        <v>1281</v>
      </c>
      <c r="B117" s="715"/>
      <c r="C117" s="716"/>
      <c r="D117" s="717"/>
      <c r="E117" s="752"/>
      <c r="F117" s="716"/>
      <c r="G117" s="752"/>
      <c r="H117" s="716"/>
      <c r="J117" s="756">
        <f>diesel_fuel</f>
        <v>2.56</v>
      </c>
      <c r="K117" s="709" t="s">
        <v>1559</v>
      </c>
    </row>
    <row r="118" spans="1:16" ht="15.5" x14ac:dyDescent="0.35">
      <c r="A118" s="734" t="s">
        <v>1910</v>
      </c>
      <c r="B118" s="715">
        <f>Syv!H54</f>
        <v>0</v>
      </c>
      <c r="C118" s="716"/>
      <c r="D118" s="717">
        <f t="shared" ref="D118:D133" si="21">B118/soy</f>
        <v>0</v>
      </c>
      <c r="E118" s="752"/>
      <c r="F118" s="716">
        <f t="shared" ref="F118:F133" si="22">B118/($C$84*soy)</f>
        <v>0</v>
      </c>
      <c r="G118" s="752"/>
      <c r="H118" s="716">
        <f t="shared" ref="H118:H133" si="23">B118/($E$84*soy)</f>
        <v>0</v>
      </c>
      <c r="J118" s="697" t="s">
        <v>76</v>
      </c>
      <c r="K118" s="697"/>
      <c r="L118" s="697" t="s">
        <v>77</v>
      </c>
      <c r="M118" s="698"/>
      <c r="N118" s="697" t="s">
        <v>1554</v>
      </c>
      <c r="O118" s="698"/>
      <c r="P118" s="697" t="s">
        <v>385</v>
      </c>
    </row>
    <row r="119" spans="1:16" ht="15.5" x14ac:dyDescent="0.35">
      <c r="A119" s="734" t="s">
        <v>1256</v>
      </c>
      <c r="B119" s="715">
        <f>Syv!H56</f>
        <v>163.84</v>
      </c>
      <c r="C119" s="716"/>
      <c r="D119" s="717">
        <f t="shared" si="21"/>
        <v>1.6384000000000001</v>
      </c>
      <c r="E119" s="752"/>
      <c r="F119" s="716">
        <f t="shared" si="22"/>
        <v>6.5535999999999997E-2</v>
      </c>
      <c r="G119" s="752"/>
      <c r="H119" s="716">
        <f t="shared" si="23"/>
        <v>2.1845333333333334</v>
      </c>
      <c r="J119" s="763">
        <f>SUM(B118:B129)</f>
        <v>1476.3787345779388</v>
      </c>
      <c r="L119" s="756">
        <f>SUM(D118:D129)</f>
        <v>14.763787345779392</v>
      </c>
      <c r="N119" s="756">
        <f>SUM(F118:F129)</f>
        <v>0.59055149383117544</v>
      </c>
      <c r="P119" s="756">
        <f>SUM(H118:H129)</f>
        <v>19.685049794372521</v>
      </c>
    </row>
    <row r="120" spans="1:16" ht="15.5" x14ac:dyDescent="0.35">
      <c r="A120" s="734" t="s">
        <v>1252</v>
      </c>
      <c r="B120" s="715">
        <f>Syv!H57</f>
        <v>189.44</v>
      </c>
      <c r="C120" s="716"/>
      <c r="D120" s="717">
        <f t="shared" si="21"/>
        <v>1.8944000000000001</v>
      </c>
      <c r="E120" s="752"/>
      <c r="F120" s="716">
        <f t="shared" si="22"/>
        <v>7.5775999999999996E-2</v>
      </c>
      <c r="G120" s="752"/>
      <c r="H120" s="716">
        <f t="shared" si="23"/>
        <v>2.5258666666666665</v>
      </c>
    </row>
    <row r="121" spans="1:16" ht="15.5" x14ac:dyDescent="0.35">
      <c r="A121" s="734" t="s">
        <v>1253</v>
      </c>
      <c r="B121" s="715">
        <f>Syv!H58</f>
        <v>87.04</v>
      </c>
      <c r="C121" s="716"/>
      <c r="D121" s="717">
        <f t="shared" si="21"/>
        <v>0.87040000000000006</v>
      </c>
      <c r="E121" s="752"/>
      <c r="F121" s="716">
        <f t="shared" si="22"/>
        <v>3.4816E-2</v>
      </c>
      <c r="G121" s="752"/>
      <c r="H121" s="716">
        <f t="shared" si="23"/>
        <v>1.1605333333333334</v>
      </c>
    </row>
    <row r="122" spans="1:16" ht="15.5" x14ac:dyDescent="0.35">
      <c r="A122" s="734" t="s">
        <v>1254</v>
      </c>
      <c r="B122" s="715">
        <f>Syv!H59</f>
        <v>156.16</v>
      </c>
      <c r="C122" s="716"/>
      <c r="D122" s="717">
        <f t="shared" si="21"/>
        <v>1.5615999999999999</v>
      </c>
      <c r="E122" s="752"/>
      <c r="F122" s="716">
        <f t="shared" si="22"/>
        <v>6.2463999999999999E-2</v>
      </c>
      <c r="G122" s="752"/>
      <c r="H122" s="716">
        <f t="shared" si="23"/>
        <v>2.0821333333333332</v>
      </c>
    </row>
    <row r="123" spans="1:16" ht="15.5" x14ac:dyDescent="0.35">
      <c r="A123" s="734" t="s">
        <v>2176</v>
      </c>
      <c r="B123" s="715">
        <f>Syv!H60</f>
        <v>87.04</v>
      </c>
      <c r="C123" s="716"/>
      <c r="D123" s="717">
        <f t="shared" si="21"/>
        <v>0.87040000000000006</v>
      </c>
      <c r="E123" s="752"/>
      <c r="F123" s="716">
        <f t="shared" si="22"/>
        <v>3.4816E-2</v>
      </c>
      <c r="G123" s="752"/>
      <c r="H123" s="716">
        <f t="shared" si="23"/>
        <v>1.1605333333333334</v>
      </c>
    </row>
    <row r="124" spans="1:16" ht="15.5" x14ac:dyDescent="0.35">
      <c r="A124" s="734" t="s">
        <v>1280</v>
      </c>
      <c r="B124" s="715">
        <f>Syv!H64</f>
        <v>235.51999999999998</v>
      </c>
      <c r="C124" s="716"/>
      <c r="D124" s="717">
        <f t="shared" si="21"/>
        <v>2.3552</v>
      </c>
      <c r="E124" s="752"/>
      <c r="F124" s="716">
        <f t="shared" si="22"/>
        <v>9.4207999999999986E-2</v>
      </c>
      <c r="G124" s="752"/>
      <c r="H124" s="716">
        <f t="shared" si="23"/>
        <v>3.1402666666666663</v>
      </c>
    </row>
    <row r="125" spans="1:16" ht="15.5" x14ac:dyDescent="0.35">
      <c r="A125" s="734" t="s">
        <v>1255</v>
      </c>
      <c r="B125" s="715">
        <f>SUM(Syv!H68:H69)</f>
        <v>512</v>
      </c>
      <c r="C125" s="716"/>
      <c r="D125" s="717">
        <f t="shared" si="21"/>
        <v>5.12</v>
      </c>
      <c r="E125" s="752"/>
      <c r="F125" s="716">
        <f t="shared" si="22"/>
        <v>0.20480000000000001</v>
      </c>
      <c r="G125" s="752"/>
      <c r="H125" s="716">
        <f t="shared" si="23"/>
        <v>6.8266666666666671</v>
      </c>
    </row>
    <row r="126" spans="1:16" ht="15.5" x14ac:dyDescent="0.35">
      <c r="A126" s="734" t="s">
        <v>2077</v>
      </c>
      <c r="B126" s="715">
        <f>SUM(Syv!H70:H71)</f>
        <v>28.272067911272288</v>
      </c>
      <c r="C126" s="716"/>
      <c r="D126" s="717">
        <f t="shared" si="21"/>
        <v>0.28272067911272286</v>
      </c>
      <c r="E126" s="752"/>
      <c r="F126" s="716">
        <f t="shared" si="22"/>
        <v>1.1308827164508916E-2</v>
      </c>
      <c r="G126" s="752"/>
      <c r="H126" s="716">
        <f t="shared" si="23"/>
        <v>0.37696090548363048</v>
      </c>
    </row>
    <row r="127" spans="1:16" ht="15.5" x14ac:dyDescent="0.35">
      <c r="A127" s="734" t="s">
        <v>1537</v>
      </c>
      <c r="B127" s="715">
        <f>SUM(Syv!H72:H74)</f>
        <v>0</v>
      </c>
      <c r="C127" s="716"/>
      <c r="D127" s="719">
        <f t="shared" si="21"/>
        <v>0</v>
      </c>
      <c r="E127" s="752"/>
      <c r="F127" s="715">
        <f t="shared" si="22"/>
        <v>0</v>
      </c>
      <c r="G127" s="752"/>
      <c r="H127" s="715">
        <f t="shared" si="23"/>
        <v>0</v>
      </c>
    </row>
    <row r="128" spans="1:16" ht="15.5" x14ac:dyDescent="0.35">
      <c r="A128" s="734" t="s">
        <v>1257</v>
      </c>
      <c r="B128" s="715">
        <f>SUM(Syv!H75:H77)</f>
        <v>0</v>
      </c>
      <c r="C128" s="716"/>
      <c r="D128" s="719">
        <f t="shared" si="21"/>
        <v>0</v>
      </c>
      <c r="E128" s="753"/>
      <c r="F128" s="715">
        <f t="shared" si="22"/>
        <v>0</v>
      </c>
      <c r="G128" s="753"/>
      <c r="H128" s="715">
        <f t="shared" si="23"/>
        <v>0</v>
      </c>
    </row>
    <row r="129" spans="1:8" ht="15.5" x14ac:dyDescent="0.35">
      <c r="A129" s="734" t="s">
        <v>2078</v>
      </c>
      <c r="B129" s="715">
        <f>SUM(Syv!H79:H84)</f>
        <v>17.066666666666666</v>
      </c>
      <c r="C129" s="716"/>
      <c r="D129" s="717">
        <f t="shared" si="21"/>
        <v>0.17066666666666666</v>
      </c>
      <c r="E129" s="753"/>
      <c r="F129" s="716">
        <f t="shared" si="22"/>
        <v>6.8266666666666666E-3</v>
      </c>
      <c r="G129" s="753"/>
      <c r="H129" s="716">
        <f t="shared" si="23"/>
        <v>0.22755555555555554</v>
      </c>
    </row>
    <row r="130" spans="1:8" ht="15.5" x14ac:dyDescent="0.35">
      <c r="A130" s="714" t="s">
        <v>1258</v>
      </c>
      <c r="B130" s="715">
        <f>Syv!H85</f>
        <v>184.54734182224234</v>
      </c>
      <c r="C130" s="716"/>
      <c r="D130" s="717">
        <f t="shared" si="21"/>
        <v>1.8454734182224235</v>
      </c>
      <c r="E130" s="752"/>
      <c r="F130" s="716">
        <f t="shared" si="22"/>
        <v>7.3818936728896944E-2</v>
      </c>
      <c r="G130" s="752"/>
      <c r="H130" s="716">
        <f t="shared" si="23"/>
        <v>2.4606312242965647</v>
      </c>
    </row>
    <row r="131" spans="1:8" ht="15.5" x14ac:dyDescent="0.35">
      <c r="A131" s="714" t="s">
        <v>78</v>
      </c>
      <c r="B131" s="715">
        <f>SUM(Syv!H86:H87)</f>
        <v>7491.9533446208379</v>
      </c>
      <c r="C131" s="716"/>
      <c r="D131" s="717">
        <f t="shared" si="21"/>
        <v>74.919533446208376</v>
      </c>
      <c r="E131" s="752"/>
      <c r="F131" s="716">
        <f t="shared" si="22"/>
        <v>2.996781337848335</v>
      </c>
      <c r="G131" s="752"/>
      <c r="H131" s="716">
        <f t="shared" si="23"/>
        <v>99.892711261611169</v>
      </c>
    </row>
    <row r="132" spans="1:8" ht="15.5" x14ac:dyDescent="0.35">
      <c r="A132" s="714" t="s">
        <v>170</v>
      </c>
      <c r="B132" s="732">
        <f>Syv!H88</f>
        <v>0</v>
      </c>
      <c r="C132" s="733"/>
      <c r="D132" s="719">
        <f t="shared" si="21"/>
        <v>0</v>
      </c>
      <c r="E132" s="753"/>
      <c r="F132" s="715">
        <f t="shared" si="22"/>
        <v>0</v>
      </c>
      <c r="G132" s="753"/>
      <c r="H132" s="715">
        <f t="shared" si="23"/>
        <v>0</v>
      </c>
    </row>
    <row r="133" spans="1:8" ht="15.5" x14ac:dyDescent="0.35">
      <c r="A133" s="714" t="s">
        <v>171</v>
      </c>
      <c r="B133" s="732">
        <f>SUM(Syv!H89:H90)</f>
        <v>300</v>
      </c>
      <c r="C133" s="733"/>
      <c r="D133" s="717">
        <f t="shared" si="21"/>
        <v>3</v>
      </c>
      <c r="E133" s="752"/>
      <c r="F133" s="716">
        <f t="shared" si="22"/>
        <v>0.12</v>
      </c>
      <c r="G133" s="752"/>
      <c r="H133" s="716">
        <f t="shared" si="23"/>
        <v>4</v>
      </c>
    </row>
    <row r="134" spans="1:8" ht="15.5" x14ac:dyDescent="0.35">
      <c r="A134" s="714" t="s">
        <v>172</v>
      </c>
      <c r="B134" s="699"/>
      <c r="C134" s="699"/>
      <c r="D134" s="703"/>
      <c r="E134" s="699"/>
      <c r="F134" s="699"/>
      <c r="G134" s="699"/>
      <c r="H134" s="699"/>
    </row>
    <row r="135" spans="1:8" ht="15.5" x14ac:dyDescent="0.35">
      <c r="A135" s="734" t="s">
        <v>439</v>
      </c>
      <c r="B135" s="732">
        <f>Syv!H92</f>
        <v>150</v>
      </c>
      <c r="C135" s="733"/>
      <c r="D135" s="717">
        <f t="shared" ref="D135:D148" si="24">B135/soy</f>
        <v>1.5</v>
      </c>
      <c r="E135" s="752"/>
      <c r="F135" s="716">
        <f t="shared" ref="F135:F148" si="25">B135/($C$84*soy)</f>
        <v>0.06</v>
      </c>
      <c r="G135" s="752"/>
      <c r="H135" s="716">
        <f t="shared" ref="H135:H148" si="26">B135/($E$84*soy)</f>
        <v>2</v>
      </c>
    </row>
    <row r="136" spans="1:8" ht="15.5" x14ac:dyDescent="0.35">
      <c r="A136" s="734" t="s">
        <v>1506</v>
      </c>
      <c r="B136" s="732">
        <f>SUM(Syv!H93:H95)</f>
        <v>875</v>
      </c>
      <c r="C136" s="733"/>
      <c r="D136" s="717">
        <f t="shared" si="24"/>
        <v>8.75</v>
      </c>
      <c r="E136" s="752"/>
      <c r="F136" s="716">
        <f t="shared" si="25"/>
        <v>0.35</v>
      </c>
      <c r="G136" s="752"/>
      <c r="H136" s="716">
        <f t="shared" si="26"/>
        <v>11.666666666666666</v>
      </c>
    </row>
    <row r="137" spans="1:8" ht="15.5" x14ac:dyDescent="0.35">
      <c r="A137" s="734" t="s">
        <v>1505</v>
      </c>
      <c r="B137" s="732">
        <f>SUM(Syv!H96:H98)</f>
        <v>450</v>
      </c>
      <c r="C137" s="733"/>
      <c r="D137" s="717">
        <f t="shared" si="24"/>
        <v>4.5</v>
      </c>
      <c r="E137" s="752"/>
      <c r="F137" s="716">
        <f t="shared" si="25"/>
        <v>0.18</v>
      </c>
      <c r="G137" s="752"/>
      <c r="H137" s="716">
        <f t="shared" si="26"/>
        <v>6</v>
      </c>
    </row>
    <row r="138" spans="1:8" ht="15.5" x14ac:dyDescent="0.35">
      <c r="A138" s="734" t="s">
        <v>1237</v>
      </c>
      <c r="B138" s="753">
        <f>Syv!H99</f>
        <v>1500</v>
      </c>
      <c r="C138" s="699"/>
      <c r="D138" s="717">
        <f t="shared" si="24"/>
        <v>15</v>
      </c>
      <c r="E138" s="752"/>
      <c r="F138" s="716">
        <f t="shared" si="25"/>
        <v>0.6</v>
      </c>
      <c r="G138" s="752"/>
      <c r="H138" s="716">
        <f t="shared" si="26"/>
        <v>20</v>
      </c>
    </row>
    <row r="139" spans="1:8" ht="15.5" x14ac:dyDescent="0.35">
      <c r="A139" s="734" t="s">
        <v>1212</v>
      </c>
      <c r="B139" s="732">
        <f>SUM(Syv!H100:H102)</f>
        <v>1250</v>
      </c>
      <c r="C139" s="733"/>
      <c r="D139" s="717">
        <f t="shared" si="24"/>
        <v>12.5</v>
      </c>
      <c r="E139" s="752"/>
      <c r="F139" s="716">
        <f t="shared" si="25"/>
        <v>0.5</v>
      </c>
      <c r="G139" s="752"/>
      <c r="H139" s="716">
        <f t="shared" si="26"/>
        <v>16.666666666666668</v>
      </c>
    </row>
    <row r="140" spans="1:8" ht="15.5" x14ac:dyDescent="0.35">
      <c r="A140" s="734" t="s">
        <v>1238</v>
      </c>
      <c r="B140" s="753">
        <f>SUM(Syv!H103:H105)</f>
        <v>1338.0383996841827</v>
      </c>
      <c r="C140" s="733"/>
      <c r="D140" s="717">
        <f t="shared" si="24"/>
        <v>13.380383996841827</v>
      </c>
      <c r="E140" s="753"/>
      <c r="F140" s="716">
        <f t="shared" si="25"/>
        <v>0.53521535987367308</v>
      </c>
      <c r="G140" s="753"/>
      <c r="H140" s="716">
        <f t="shared" si="26"/>
        <v>17.8405119957891</v>
      </c>
    </row>
    <row r="141" spans="1:8" ht="15.5" x14ac:dyDescent="0.35">
      <c r="A141" s="734" t="s">
        <v>2029</v>
      </c>
      <c r="B141" s="753">
        <f>SUM(Syv!H106:H108)</f>
        <v>0</v>
      </c>
      <c r="C141" s="699"/>
      <c r="D141" s="719">
        <f>B141/soy</f>
        <v>0</v>
      </c>
      <c r="E141" s="752"/>
      <c r="F141" s="715">
        <f>B141/($C$84*soy)</f>
        <v>0</v>
      </c>
      <c r="G141" s="752"/>
      <c r="H141" s="715">
        <f>B141/($E$84*soy)</f>
        <v>0</v>
      </c>
    </row>
    <row r="142" spans="1:8" ht="15.5" x14ac:dyDescent="0.35">
      <c r="A142" s="734" t="s">
        <v>1532</v>
      </c>
      <c r="B142" s="753">
        <f>SUM(Syv!H109:H113)</f>
        <v>1106.0999999999999</v>
      </c>
      <c r="C142" s="733"/>
      <c r="D142" s="717">
        <f t="shared" si="24"/>
        <v>11.061</v>
      </c>
      <c r="E142" s="753"/>
      <c r="F142" s="716">
        <f t="shared" si="25"/>
        <v>0.44243999999999994</v>
      </c>
      <c r="G142" s="753"/>
      <c r="H142" s="716">
        <f t="shared" si="26"/>
        <v>14.747999999999999</v>
      </c>
    </row>
    <row r="143" spans="1:8" ht="15.5" x14ac:dyDescent="0.35">
      <c r="A143" s="734" t="s">
        <v>1533</v>
      </c>
      <c r="B143" s="753">
        <f>SUM(Syv!H114:H115)</f>
        <v>0</v>
      </c>
      <c r="C143" s="733"/>
      <c r="D143" s="719">
        <f t="shared" si="24"/>
        <v>0</v>
      </c>
      <c r="E143" s="753"/>
      <c r="F143" s="715">
        <f t="shared" si="25"/>
        <v>0</v>
      </c>
      <c r="G143" s="753"/>
      <c r="H143" s="715">
        <f t="shared" si="26"/>
        <v>0</v>
      </c>
    </row>
    <row r="144" spans="1:8" ht="15.5" x14ac:dyDescent="0.35">
      <c r="A144" s="734" t="s">
        <v>1534</v>
      </c>
      <c r="B144" s="753">
        <f>Syv!H116</f>
        <v>50</v>
      </c>
      <c r="C144" s="733"/>
      <c r="D144" s="717">
        <f t="shared" si="24"/>
        <v>0.5</v>
      </c>
      <c r="E144" s="753"/>
      <c r="F144" s="781">
        <f t="shared" si="25"/>
        <v>0.02</v>
      </c>
      <c r="G144" s="753"/>
      <c r="H144" s="716">
        <f t="shared" si="26"/>
        <v>0.66666666666666663</v>
      </c>
    </row>
    <row r="145" spans="1:16" ht="15.5" x14ac:dyDescent="0.35">
      <c r="A145" s="734" t="s">
        <v>1535</v>
      </c>
      <c r="B145" s="753">
        <f>Syv!H117</f>
        <v>125</v>
      </c>
      <c r="C145" s="733"/>
      <c r="D145" s="717">
        <f t="shared" si="24"/>
        <v>1.25</v>
      </c>
      <c r="E145" s="753"/>
      <c r="F145" s="781">
        <f t="shared" si="25"/>
        <v>0.05</v>
      </c>
      <c r="G145" s="753"/>
      <c r="H145" s="716">
        <f t="shared" si="26"/>
        <v>1.6666666666666667</v>
      </c>
    </row>
    <row r="146" spans="1:16" ht="15.5" x14ac:dyDescent="0.35">
      <c r="A146" s="734" t="s">
        <v>1536</v>
      </c>
      <c r="B146" s="753">
        <f>Syv!H118</f>
        <v>62.5</v>
      </c>
      <c r="C146" s="733"/>
      <c r="D146" s="717">
        <f t="shared" si="24"/>
        <v>0.625</v>
      </c>
      <c r="E146" s="753"/>
      <c r="F146" s="781">
        <f t="shared" si="25"/>
        <v>2.5000000000000001E-2</v>
      </c>
      <c r="G146" s="753"/>
      <c r="H146" s="716">
        <f t="shared" si="26"/>
        <v>0.83333333333333337</v>
      </c>
    </row>
    <row r="147" spans="1:16" ht="15.5" x14ac:dyDescent="0.35">
      <c r="A147" s="734" t="s">
        <v>443</v>
      </c>
      <c r="B147" s="732">
        <f>SUM(Syv!H119:H122)</f>
        <v>0</v>
      </c>
      <c r="C147" s="733"/>
      <c r="D147" s="719">
        <f t="shared" si="24"/>
        <v>0</v>
      </c>
      <c r="E147" s="753"/>
      <c r="F147" s="715">
        <f t="shared" si="25"/>
        <v>0</v>
      </c>
      <c r="G147" s="753"/>
      <c r="H147" s="715">
        <f t="shared" si="26"/>
        <v>0</v>
      </c>
    </row>
    <row r="148" spans="1:16" ht="15.5" x14ac:dyDescent="0.35">
      <c r="A148" s="714" t="s">
        <v>69</v>
      </c>
      <c r="B148" s="732">
        <f>Syv!H126</f>
        <v>686.2064382530433</v>
      </c>
      <c r="C148" s="733"/>
      <c r="D148" s="739">
        <f t="shared" si="24"/>
        <v>6.8620643825304333</v>
      </c>
      <c r="E148" s="752"/>
      <c r="F148" s="716">
        <f t="shared" si="25"/>
        <v>0.27448257530121734</v>
      </c>
      <c r="G148" s="752"/>
      <c r="H148" s="716">
        <f t="shared" si="26"/>
        <v>9.1494191767072444</v>
      </c>
    </row>
    <row r="149" spans="1:16" ht="15" x14ac:dyDescent="0.3">
      <c r="A149" s="709" t="s">
        <v>366</v>
      </c>
      <c r="B149" s="735">
        <f>SUM(B97:B148)</f>
        <v>25534.35575827305</v>
      </c>
      <c r="C149" s="736"/>
      <c r="D149" s="737">
        <f>SUM(D97:D148)</f>
        <v>255.34355758273054</v>
      </c>
      <c r="E149" s="736"/>
      <c r="F149" s="736">
        <f>SUM(F97:F148)</f>
        <v>10.213742303309219</v>
      </c>
      <c r="G149" s="736"/>
      <c r="H149" s="736">
        <f>SUM(H97:H148)</f>
        <v>340.458076776974</v>
      </c>
    </row>
    <row r="150" spans="1:16" ht="15.5" x14ac:dyDescent="0.35">
      <c r="A150" s="738"/>
      <c r="B150" s="732"/>
      <c r="C150" s="733"/>
      <c r="D150" s="739"/>
      <c r="E150" s="757"/>
      <c r="F150" s="757"/>
      <c r="G150" s="757"/>
      <c r="H150" s="757"/>
    </row>
    <row r="151" spans="1:16" ht="15.5" x14ac:dyDescent="0.35">
      <c r="A151" s="709" t="s">
        <v>367</v>
      </c>
      <c r="B151" s="732"/>
      <c r="C151" s="733"/>
      <c r="D151" s="739"/>
      <c r="E151" s="757"/>
      <c r="F151" s="757"/>
      <c r="G151" s="757"/>
      <c r="H151" s="757"/>
    </row>
    <row r="152" spans="1:16" ht="15.5" x14ac:dyDescent="0.35">
      <c r="A152" s="714" t="s">
        <v>29</v>
      </c>
      <c r="B152" s="732"/>
      <c r="C152" s="733"/>
      <c r="D152" s="733"/>
      <c r="E152" s="757"/>
      <c r="F152" s="716"/>
      <c r="G152" s="757"/>
      <c r="H152" s="716"/>
      <c r="J152" s="890" t="s">
        <v>29</v>
      </c>
    </row>
    <row r="153" spans="1:16" ht="15.5" x14ac:dyDescent="0.35">
      <c r="A153" s="734" t="s">
        <v>1240</v>
      </c>
      <c r="B153" s="732">
        <f>SUM(Syf!H8:H24)</f>
        <v>2154.4235903028348</v>
      </c>
      <c r="C153" s="733"/>
      <c r="D153" s="739">
        <f t="shared" ref="D153:D166" si="27">B153/soy</f>
        <v>21.544235903028348</v>
      </c>
      <c r="E153" s="752"/>
      <c r="F153" s="716">
        <f t="shared" ref="F153:F166" si="28">B153/($C$84*soy)</f>
        <v>0.86176943612113388</v>
      </c>
      <c r="G153" s="752"/>
      <c r="H153" s="716">
        <f t="shared" ref="H153:H166" si="29">B153/($E$84*soy)</f>
        <v>28.725647870704464</v>
      </c>
      <c r="J153" s="697" t="s">
        <v>76</v>
      </c>
      <c r="K153" s="697"/>
      <c r="L153" s="697" t="s">
        <v>77</v>
      </c>
      <c r="M153" s="698"/>
      <c r="N153" s="697" t="s">
        <v>1554</v>
      </c>
      <c r="O153" s="698"/>
      <c r="P153" s="697" t="s">
        <v>385</v>
      </c>
    </row>
    <row r="154" spans="1:16" ht="15.5" x14ac:dyDescent="0.35">
      <c r="A154" s="734" t="s">
        <v>1241</v>
      </c>
      <c r="B154" s="732">
        <f>SUM(Syf!H25:H33)</f>
        <v>720.43483657048523</v>
      </c>
      <c r="C154" s="733"/>
      <c r="D154" s="739">
        <f t="shared" si="27"/>
        <v>7.2043483657048526</v>
      </c>
      <c r="E154" s="752"/>
      <c r="F154" s="716">
        <f t="shared" si="28"/>
        <v>0.28817393462819407</v>
      </c>
      <c r="G154" s="752"/>
      <c r="H154" s="716">
        <f t="shared" si="29"/>
        <v>9.6057978209398023</v>
      </c>
      <c r="J154" s="763">
        <f>SUM(B153:B165)</f>
        <v>11049.164278426193</v>
      </c>
      <c r="L154" s="756">
        <f>SUM(D153:D165)</f>
        <v>110.4916427842619</v>
      </c>
      <c r="N154" s="756">
        <f>SUM(F153:F165)</f>
        <v>4.4196657113704765</v>
      </c>
      <c r="P154" s="756">
        <f>SUM(H153:H165)</f>
        <v>147.32219037901586</v>
      </c>
    </row>
    <row r="155" spans="1:16" ht="15.5" x14ac:dyDescent="0.35">
      <c r="A155" s="734" t="s">
        <v>1243</v>
      </c>
      <c r="B155" s="732">
        <f>SUM(Syf!H34:H53)</f>
        <v>1818.995149203439</v>
      </c>
      <c r="C155" s="733"/>
      <c r="D155" s="739">
        <f t="shared" si="27"/>
        <v>18.189951492034389</v>
      </c>
      <c r="E155" s="752"/>
      <c r="F155" s="716">
        <f t="shared" si="28"/>
        <v>0.72759805968137559</v>
      </c>
      <c r="G155" s="752"/>
      <c r="H155" s="716">
        <f t="shared" si="29"/>
        <v>24.253268656045854</v>
      </c>
    </row>
    <row r="156" spans="1:16" ht="15.5" x14ac:dyDescent="0.35">
      <c r="A156" s="734" t="s">
        <v>1242</v>
      </c>
      <c r="B156" s="732">
        <f>SUM(Syf!H54:H59)</f>
        <v>283.66647642808016</v>
      </c>
      <c r="C156" s="733"/>
      <c r="D156" s="739">
        <f t="shared" si="27"/>
        <v>2.8366647642808016</v>
      </c>
      <c r="E156" s="752"/>
      <c r="F156" s="716">
        <f t="shared" si="28"/>
        <v>0.11346659057123207</v>
      </c>
      <c r="G156" s="752"/>
      <c r="H156" s="716">
        <f t="shared" si="29"/>
        <v>3.7822196857077355</v>
      </c>
    </row>
    <row r="157" spans="1:16" ht="15.5" x14ac:dyDescent="0.35">
      <c r="A157" s="734" t="s">
        <v>1244</v>
      </c>
      <c r="B157" s="732">
        <f>SUM(Syf!H60:H64)</f>
        <v>0</v>
      </c>
      <c r="C157" s="733"/>
      <c r="D157" s="761">
        <f t="shared" si="27"/>
        <v>0</v>
      </c>
      <c r="E157" s="753"/>
      <c r="F157" s="715">
        <f t="shared" si="28"/>
        <v>0</v>
      </c>
      <c r="G157" s="753"/>
      <c r="H157" s="715">
        <f t="shared" si="29"/>
        <v>0</v>
      </c>
    </row>
    <row r="158" spans="1:16" ht="15.5" x14ac:dyDescent="0.35">
      <c r="A158" s="734" t="s">
        <v>1245</v>
      </c>
      <c r="B158" s="732">
        <f>0</f>
        <v>0</v>
      </c>
      <c r="C158" s="733"/>
      <c r="D158" s="761">
        <f t="shared" si="27"/>
        <v>0</v>
      </c>
      <c r="E158" s="753"/>
      <c r="F158" s="715">
        <f t="shared" si="28"/>
        <v>0</v>
      </c>
      <c r="G158" s="753"/>
      <c r="H158" s="715">
        <f t="shared" si="29"/>
        <v>0</v>
      </c>
    </row>
    <row r="159" spans="1:16" ht="15.5" x14ac:dyDescent="0.35">
      <c r="A159" s="734" t="s">
        <v>1246</v>
      </c>
      <c r="B159" s="732">
        <f>SUM(Syf!H65:H72)</f>
        <v>2885.2092755374983</v>
      </c>
      <c r="C159" s="733"/>
      <c r="D159" s="739">
        <f t="shared" si="27"/>
        <v>28.852092755374983</v>
      </c>
      <c r="E159" s="752"/>
      <c r="F159" s="716">
        <f t="shared" si="28"/>
        <v>1.1540837102149994</v>
      </c>
      <c r="G159" s="752"/>
      <c r="H159" s="716">
        <f t="shared" si="29"/>
        <v>38.469457007166646</v>
      </c>
    </row>
    <row r="160" spans="1:16" ht="15.5" x14ac:dyDescent="0.35">
      <c r="A160" s="734" t="s">
        <v>1247</v>
      </c>
      <c r="B160" s="732">
        <f>SUM(Syf!H73:H80)</f>
        <v>44.788028985095124</v>
      </c>
      <c r="C160" s="733"/>
      <c r="D160" s="739">
        <f t="shared" si="27"/>
        <v>0.44788028985095124</v>
      </c>
      <c r="E160" s="752"/>
      <c r="F160" s="716">
        <f t="shared" si="28"/>
        <v>1.7915211594038048E-2</v>
      </c>
      <c r="G160" s="752"/>
      <c r="H160" s="716">
        <f t="shared" si="29"/>
        <v>0.59717371980126832</v>
      </c>
    </row>
    <row r="161" spans="1:8" ht="15.5" x14ac:dyDescent="0.35">
      <c r="A161" s="734" t="s">
        <v>2148</v>
      </c>
      <c r="B161" s="732">
        <f>SUM(Syf!H81:H85)</f>
        <v>355.51156394762995</v>
      </c>
      <c r="C161" s="733"/>
      <c r="D161" s="739">
        <f t="shared" ref="D161" si="30">B161/soy</f>
        <v>3.5551156394762997</v>
      </c>
      <c r="E161" s="752"/>
      <c r="F161" s="716">
        <f t="shared" ref="F161" si="31">B161/($C$84*soy)</f>
        <v>0.14220462557905197</v>
      </c>
      <c r="G161" s="752"/>
      <c r="H161" s="716">
        <f t="shared" ref="H161" si="32">B161/($E$84*soy)</f>
        <v>4.7401541859683993</v>
      </c>
    </row>
    <row r="162" spans="1:8" ht="15.5" x14ac:dyDescent="0.35">
      <c r="A162" s="734" t="s">
        <v>1250</v>
      </c>
      <c r="B162" s="732">
        <f>SUM(Syf!H86:H96)</f>
        <v>911.4854980343041</v>
      </c>
      <c r="C162" s="733"/>
      <c r="D162" s="739">
        <f t="shared" si="27"/>
        <v>9.1148549803430416</v>
      </c>
      <c r="E162" s="752"/>
      <c r="F162" s="716">
        <f t="shared" si="28"/>
        <v>0.36459419921372166</v>
      </c>
      <c r="G162" s="752"/>
      <c r="H162" s="716">
        <f t="shared" si="29"/>
        <v>12.153139973790722</v>
      </c>
    </row>
    <row r="163" spans="1:8" ht="15.5" x14ac:dyDescent="0.35">
      <c r="A163" s="734" t="s">
        <v>1304</v>
      </c>
      <c r="B163" s="732">
        <f>0</f>
        <v>0</v>
      </c>
      <c r="C163" s="733"/>
      <c r="D163" s="761">
        <f t="shared" si="27"/>
        <v>0</v>
      </c>
      <c r="E163" s="753"/>
      <c r="F163" s="715">
        <f t="shared" si="28"/>
        <v>0</v>
      </c>
      <c r="G163" s="753"/>
      <c r="H163" s="715">
        <f t="shared" si="29"/>
        <v>0</v>
      </c>
    </row>
    <row r="164" spans="1:8" ht="15.5" x14ac:dyDescent="0.35">
      <c r="A164" s="734" t="s">
        <v>1248</v>
      </c>
      <c r="B164" s="732">
        <f>SUM(Syf!H98:H101)</f>
        <v>1350</v>
      </c>
      <c r="C164" s="733"/>
      <c r="D164" s="739">
        <f t="shared" si="27"/>
        <v>13.5</v>
      </c>
      <c r="E164" s="752"/>
      <c r="F164" s="716">
        <f t="shared" si="28"/>
        <v>0.54</v>
      </c>
      <c r="G164" s="752"/>
      <c r="H164" s="716">
        <f t="shared" si="29"/>
        <v>18</v>
      </c>
    </row>
    <row r="165" spans="1:8" ht="15.5" x14ac:dyDescent="0.35">
      <c r="A165" s="734" t="s">
        <v>1249</v>
      </c>
      <c r="B165" s="732">
        <f>SUM(Syf!H102:H106)</f>
        <v>524.64985941682335</v>
      </c>
      <c r="C165" s="733"/>
      <c r="D165" s="739">
        <f t="shared" si="27"/>
        <v>5.2464985941682336</v>
      </c>
      <c r="E165" s="752"/>
      <c r="F165" s="716">
        <f t="shared" si="28"/>
        <v>0.20985994376672934</v>
      </c>
      <c r="G165" s="752"/>
      <c r="H165" s="716">
        <f t="shared" si="29"/>
        <v>6.9953314588909778</v>
      </c>
    </row>
    <row r="166" spans="1:8" ht="15.5" x14ac:dyDescent="0.35">
      <c r="A166" s="714" t="s">
        <v>79</v>
      </c>
      <c r="B166" s="732">
        <f>Syf!L114</f>
        <v>2640.2565415975268</v>
      </c>
      <c r="C166" s="733"/>
      <c r="D166" s="739">
        <f t="shared" si="27"/>
        <v>26.402565415975268</v>
      </c>
      <c r="E166" s="757"/>
      <c r="F166" s="716">
        <f t="shared" si="28"/>
        <v>1.0561026166390108</v>
      </c>
      <c r="G166" s="757"/>
      <c r="H166" s="716">
        <f t="shared" si="29"/>
        <v>35.203420554633688</v>
      </c>
    </row>
    <row r="167" spans="1:8" ht="15" x14ac:dyDescent="0.3">
      <c r="A167" s="709" t="s">
        <v>368</v>
      </c>
      <c r="B167" s="735">
        <f>SUM(B152:B166)</f>
        <v>13689.420820023719</v>
      </c>
      <c r="C167" s="736"/>
      <c r="D167" s="737">
        <f>SUM(D152:D166)</f>
        <v>136.89420820023716</v>
      </c>
      <c r="E167" s="736"/>
      <c r="F167" s="736">
        <f>SUM(F152:F166)</f>
        <v>5.4757683280094875</v>
      </c>
      <c r="G167" s="736"/>
      <c r="H167" s="736">
        <f>SUM(H152:H166)</f>
        <v>182.52561093364955</v>
      </c>
    </row>
    <row r="168" spans="1:8" ht="15.5" x14ac:dyDescent="0.35">
      <c r="A168" s="699"/>
      <c r="B168" s="735"/>
      <c r="C168" s="736"/>
      <c r="D168" s="737"/>
      <c r="E168" s="758"/>
      <c r="F168" s="758"/>
      <c r="G168" s="758"/>
      <c r="H168" s="758"/>
    </row>
    <row r="169" spans="1:8" ht="15" x14ac:dyDescent="0.3">
      <c r="A169" s="709" t="s">
        <v>80</v>
      </c>
      <c r="B169" s="735">
        <f>B167+B149</f>
        <v>39223.776578296769</v>
      </c>
      <c r="C169" s="736"/>
      <c r="D169" s="737">
        <f>D167+D149</f>
        <v>392.2377657829677</v>
      </c>
      <c r="E169" s="736"/>
      <c r="F169" s="736">
        <f>F167+F149</f>
        <v>15.689510631318708</v>
      </c>
      <c r="G169" s="736"/>
      <c r="H169" s="736">
        <f>H167+H149</f>
        <v>522.9836877106236</v>
      </c>
    </row>
    <row r="170" spans="1:8" ht="15.5" x14ac:dyDescent="0.35">
      <c r="A170" s="742"/>
      <c r="B170" s="735"/>
      <c r="C170" s="736"/>
      <c r="D170" s="737"/>
      <c r="E170" s="736"/>
      <c r="F170" s="736"/>
      <c r="G170" s="736"/>
      <c r="H170" s="736"/>
    </row>
    <row r="171" spans="1:8" ht="15" x14ac:dyDescent="0.3">
      <c r="A171" s="709" t="s">
        <v>355</v>
      </c>
      <c r="B171" s="710">
        <f>B94-B169</f>
        <v>33226.223421703231</v>
      </c>
      <c r="C171" s="736"/>
      <c r="D171" s="712">
        <f>D94-D169</f>
        <v>332.2622342170323</v>
      </c>
      <c r="E171" s="736"/>
      <c r="F171" s="711">
        <f>F94-F169</f>
        <v>13.290489368681293</v>
      </c>
      <c r="G171" s="736"/>
      <c r="H171" s="711">
        <f>H94-H169</f>
        <v>443.0163122893764</v>
      </c>
    </row>
    <row r="172" spans="1:8" ht="15" x14ac:dyDescent="0.3">
      <c r="A172" s="709" t="s">
        <v>356</v>
      </c>
      <c r="B172" s="735">
        <f>B94-B149</f>
        <v>46915.64424172695</v>
      </c>
      <c r="C172" s="736"/>
      <c r="D172" s="737">
        <f>D94-D149</f>
        <v>469.15644241726943</v>
      </c>
      <c r="E172" s="736"/>
      <c r="F172" s="736">
        <f>F94-F149</f>
        <v>18.766257696690779</v>
      </c>
      <c r="G172" s="736"/>
      <c r="H172" s="736">
        <f>H94-H149</f>
        <v>625.54192322302606</v>
      </c>
    </row>
    <row r="173" spans="1:8" ht="15.5" x14ac:dyDescent="0.35">
      <c r="A173" s="699"/>
      <c r="B173" s="743"/>
      <c r="C173" s="743"/>
      <c r="D173" s="702"/>
      <c r="E173" s="699"/>
      <c r="F173" s="699"/>
      <c r="G173" s="699"/>
      <c r="H173" s="699"/>
    </row>
    <row r="174" spans="1:8" ht="15.5" x14ac:dyDescent="0.35">
      <c r="A174" s="709" t="s">
        <v>234</v>
      </c>
      <c r="B174" s="743"/>
      <c r="C174" s="743"/>
      <c r="D174" s="702"/>
      <c r="E174" s="699"/>
      <c r="F174" s="699"/>
      <c r="G174" s="699"/>
      <c r="H174" s="699"/>
    </row>
    <row r="175" spans="1:8" ht="15.5" x14ac:dyDescent="0.35">
      <c r="A175" s="744" t="s">
        <v>369</v>
      </c>
      <c r="B175" s="703" t="s">
        <v>76</v>
      </c>
      <c r="C175" s="743"/>
      <c r="D175" s="703" t="s">
        <v>393</v>
      </c>
      <c r="E175" s="703"/>
      <c r="F175" s="703" t="s">
        <v>1556</v>
      </c>
      <c r="G175" s="703"/>
      <c r="H175" s="703" t="s">
        <v>396</v>
      </c>
    </row>
    <row r="176" spans="1:8" ht="15.5" x14ac:dyDescent="0.35">
      <c r="A176" s="714" t="s">
        <v>370</v>
      </c>
      <c r="B176" s="745">
        <f>B169</f>
        <v>39223.776578296769</v>
      </c>
      <c r="C176" s="743"/>
      <c r="D176" s="717">
        <f>$B$169/soy</f>
        <v>392.2377657829677</v>
      </c>
      <c r="E176" s="752"/>
      <c r="F176" s="716">
        <f>$B$169/($C$84*soy)</f>
        <v>15.689510631318708</v>
      </c>
      <c r="G176" s="752"/>
      <c r="H176" s="716">
        <f>$B$169/($E$84*soy)</f>
        <v>522.9836877106236</v>
      </c>
    </row>
    <row r="177" spans="1:8" ht="15.5" x14ac:dyDescent="0.35">
      <c r="A177" s="714" t="s">
        <v>371</v>
      </c>
      <c r="B177" s="745">
        <f>B149</f>
        <v>25534.35575827305</v>
      </c>
      <c r="C177" s="743"/>
      <c r="D177" s="717">
        <f>$B$149/soy</f>
        <v>255.34355758273051</v>
      </c>
      <c r="E177" s="752"/>
      <c r="F177" s="716">
        <f>$B$149/($C$84*soy)</f>
        <v>10.213742303309219</v>
      </c>
      <c r="G177" s="752"/>
      <c r="H177" s="716">
        <f>$B$149/($E$84*soy)</f>
        <v>340.458076776974</v>
      </c>
    </row>
    <row r="178" spans="1:8" ht="15.5" x14ac:dyDescent="0.35">
      <c r="A178" s="714"/>
      <c r="B178" s="743"/>
      <c r="C178" s="743"/>
      <c r="D178" s="717"/>
      <c r="E178" s="752"/>
      <c r="F178" s="716"/>
      <c r="G178" s="752"/>
      <c r="H178" s="716"/>
    </row>
    <row r="179" spans="1:8" ht="15.5" x14ac:dyDescent="0.35">
      <c r="A179" s="744" t="s">
        <v>1099</v>
      </c>
      <c r="B179" s="703" t="s">
        <v>1100</v>
      </c>
      <c r="C179" s="743"/>
      <c r="D179" s="703" t="s">
        <v>1995</v>
      </c>
      <c r="E179" s="752"/>
      <c r="F179" s="716"/>
      <c r="G179" s="752"/>
      <c r="H179" s="716"/>
    </row>
    <row r="180" spans="1:8" ht="15.5" x14ac:dyDescent="0.35">
      <c r="A180" s="714" t="s">
        <v>1101</v>
      </c>
      <c r="B180" s="746">
        <f>B171/SUM(Syv!E20:E52)</f>
        <v>13.5621613898911</v>
      </c>
      <c r="C180" s="743"/>
      <c r="D180" s="1226">
        <f>SUM(Syv!E20:E52)</f>
        <v>2449.9209577663069</v>
      </c>
      <c r="E180" s="1225" t="s">
        <v>1996</v>
      </c>
      <c r="F180" s="716"/>
      <c r="G180" s="752"/>
      <c r="H180" s="716"/>
    </row>
    <row r="181" spans="1:8" ht="15.5" x14ac:dyDescent="0.35">
      <c r="A181" s="714" t="s">
        <v>1102</v>
      </c>
      <c r="B181" s="746">
        <f>B172/SUM(Syv!E20:E52)</f>
        <v>19.149860363046923</v>
      </c>
      <c r="C181" s="743"/>
      <c r="D181" s="717"/>
      <c r="E181" s="752"/>
      <c r="F181" s="716"/>
      <c r="G181" s="752"/>
      <c r="H181" s="716"/>
    </row>
    <row r="182" spans="1:8" ht="15.5" x14ac:dyDescent="0.35">
      <c r="A182" s="747"/>
      <c r="B182" s="748"/>
      <c r="C182" s="748"/>
      <c r="D182" s="749"/>
      <c r="E182" s="747"/>
      <c r="F182" s="747"/>
      <c r="G182" s="747"/>
      <c r="H182" s="747"/>
    </row>
  </sheetData>
  <phoneticPr fontId="0" type="noConversion"/>
  <pageMargins left="0.75" right="0.75" top="1" bottom="1" header="0.5" footer="0.5"/>
  <pageSetup scale="58" orientation="portrait" r:id="rId1"/>
  <headerFooter alignWithMargins="0"/>
  <rowBreaks count="2" manualBreakCount="2">
    <brk id="79" max="16383" man="1"/>
    <brk id="130" max="16383" man="1"/>
  </rowBreaks>
  <colBreaks count="1" manualBreakCount="1">
    <brk id="8"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82"/>
  <sheetViews>
    <sheetView topLeftCell="A47" zoomScaleNormal="100" workbookViewId="0">
      <selection activeCell="A108" sqref="A108:A109"/>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1239</v>
      </c>
      <c r="B3" s="55" t="s">
        <v>92</v>
      </c>
      <c r="C3" s="54">
        <f>peas</f>
        <v>0</v>
      </c>
      <c r="D3" s="17" t="s">
        <v>93</v>
      </c>
    </row>
    <row r="4" spans="1:8" x14ac:dyDescent="0.3">
      <c r="A4" s="8"/>
      <c r="B4" s="55" t="s">
        <v>232</v>
      </c>
      <c r="C4" s="54">
        <f>Data!B244</f>
        <v>0</v>
      </c>
      <c r="D4" s="17" t="s">
        <v>1567</v>
      </c>
      <c r="E4" s="1190">
        <f>(C4*Data!$K$66)/2000</f>
        <v>0</v>
      </c>
      <c r="F4" s="17" t="s">
        <v>235</v>
      </c>
      <c r="G4" s="54"/>
    </row>
    <row r="5" spans="1:8" x14ac:dyDescent="0.3">
      <c r="B5" s="55" t="s">
        <v>284</v>
      </c>
      <c r="C5" s="106">
        <f>IF(FARM!$F$23&gt;0,Data!$B$239,Data!$B$240)</f>
        <v>15</v>
      </c>
      <c r="D5" s="17" t="s">
        <v>1566</v>
      </c>
      <c r="E5" s="153">
        <f>Data!$K$66</f>
        <v>60</v>
      </c>
      <c r="F5" s="17" t="s">
        <v>1560</v>
      </c>
      <c r="G5" s="153"/>
    </row>
    <row r="6" spans="1:8" x14ac:dyDescent="0.3">
      <c r="B6" s="55"/>
      <c r="C6" s="53"/>
      <c r="D6" s="17"/>
    </row>
    <row r="7" spans="1:8" ht="15.5" x14ac:dyDescent="0.35">
      <c r="A7" s="751" t="s">
        <v>1239</v>
      </c>
      <c r="B7" s="697" t="s">
        <v>76</v>
      </c>
      <c r="C7" s="697"/>
      <c r="D7" s="697" t="s">
        <v>77</v>
      </c>
      <c r="E7" s="698"/>
      <c r="F7" s="697" t="s">
        <v>1554</v>
      </c>
      <c r="G7" s="698"/>
      <c r="H7" s="697" t="s">
        <v>385</v>
      </c>
    </row>
    <row r="8" spans="1:8" ht="15.5" x14ac:dyDescent="0.35">
      <c r="A8" s="699" t="s">
        <v>362</v>
      </c>
      <c r="B8" s="759">
        <f>C3</f>
        <v>0</v>
      </c>
      <c r="C8" s="701"/>
      <c r="D8" s="702" t="s">
        <v>363</v>
      </c>
      <c r="E8" s="699"/>
      <c r="F8" s="702" t="s">
        <v>363</v>
      </c>
      <c r="G8" s="699"/>
      <c r="H8" s="702" t="s">
        <v>363</v>
      </c>
    </row>
    <row r="9" spans="1:8" ht="15.5" x14ac:dyDescent="0.35">
      <c r="A9" s="699" t="s">
        <v>1863</v>
      </c>
      <c r="B9" s="702" t="s">
        <v>363</v>
      </c>
      <c r="C9" s="701"/>
      <c r="D9" s="702" t="s">
        <v>363</v>
      </c>
      <c r="E9" s="703"/>
      <c r="F9" s="702" t="s">
        <v>363</v>
      </c>
      <c r="G9" s="703"/>
      <c r="H9" s="888">
        <f>2000/Data!$K$66</f>
        <v>33.333333333333336</v>
      </c>
    </row>
    <row r="10" spans="1:8" ht="15.5" x14ac:dyDescent="0.35">
      <c r="A10" s="699" t="s">
        <v>1571</v>
      </c>
      <c r="B10" s="700">
        <f>$C$3*C4</f>
        <v>0</v>
      </c>
      <c r="C10" s="701"/>
      <c r="D10" s="700">
        <f>C4</f>
        <v>0</v>
      </c>
      <c r="E10" s="703"/>
      <c r="F10" s="702" t="s">
        <v>363</v>
      </c>
      <c r="G10" s="703"/>
      <c r="H10" s="702" t="s">
        <v>363</v>
      </c>
    </row>
    <row r="11" spans="1:8" ht="15.5" x14ac:dyDescent="0.35">
      <c r="A11" s="699" t="s">
        <v>1864</v>
      </c>
      <c r="B11" s="700">
        <f>$C$3*E4</f>
        <v>0</v>
      </c>
      <c r="C11" s="701"/>
      <c r="D11" s="1191">
        <f>E4</f>
        <v>0</v>
      </c>
      <c r="E11" s="703"/>
      <c r="F11" s="702" t="s">
        <v>363</v>
      </c>
      <c r="G11" s="703"/>
      <c r="H11" s="702" t="s">
        <v>363</v>
      </c>
    </row>
    <row r="12" spans="1:8" ht="15.5" x14ac:dyDescent="0.35">
      <c r="A12" s="699" t="str">
        <f>IF(Data!B241=1,"Pea Price ($/unit) - Food Grade","Pea Price ($/unit) - Feed Grade")</f>
        <v>Pea Price ($/unit) - Feed Grade</v>
      </c>
      <c r="B12" s="702" t="s">
        <v>363</v>
      </c>
      <c r="C12" s="716"/>
      <c r="D12" s="702" t="s">
        <v>363</v>
      </c>
      <c r="E12" s="752"/>
      <c r="F12" s="716">
        <f>C5</f>
        <v>15</v>
      </c>
      <c r="G12" s="752"/>
      <c r="H12" s="840">
        <f>F12*H9</f>
        <v>500.00000000000006</v>
      </c>
    </row>
    <row r="13" spans="1:8" ht="15.5" x14ac:dyDescent="0.35">
      <c r="A13" s="699"/>
      <c r="B13" s="706"/>
      <c r="C13" s="706"/>
      <c r="D13" s="707"/>
      <c r="E13" s="744"/>
      <c r="F13" s="706"/>
      <c r="G13" s="744"/>
      <c r="H13" s="706"/>
    </row>
    <row r="14" spans="1:8" ht="13.75" customHeight="1" x14ac:dyDescent="0.3">
      <c r="A14" s="709" t="s">
        <v>230</v>
      </c>
      <c r="B14" s="710">
        <f>(C4*C5*peas)</f>
        <v>0</v>
      </c>
      <c r="C14" s="711"/>
      <c r="D14" s="712" t="e">
        <f>B14/peas</f>
        <v>#DIV/0!</v>
      </c>
      <c r="E14" s="756"/>
      <c r="F14" s="711" t="e">
        <f>B14/($C$4*peas)</f>
        <v>#DIV/0!</v>
      </c>
      <c r="G14" s="756"/>
      <c r="H14" s="711" t="e">
        <f>B14/($E$4*peas)</f>
        <v>#DIV/0!</v>
      </c>
    </row>
    <row r="15" spans="1:8" ht="15.5" x14ac:dyDescent="0.35">
      <c r="A15" s="699"/>
      <c r="B15" s="721"/>
      <c r="C15" s="722"/>
      <c r="D15" s="717"/>
      <c r="E15" s="752"/>
      <c r="F15" s="716"/>
      <c r="G15" s="752"/>
      <c r="H15" s="716"/>
    </row>
    <row r="16" spans="1:8" ht="15.5" x14ac:dyDescent="0.35">
      <c r="A16" s="709" t="s">
        <v>365</v>
      </c>
      <c r="B16" s="715"/>
      <c r="C16" s="716"/>
      <c r="D16" s="717"/>
      <c r="E16" s="752"/>
      <c r="F16" s="716"/>
      <c r="G16" s="752"/>
      <c r="H16" s="715"/>
    </row>
    <row r="17" spans="1:8" ht="15.5" x14ac:dyDescent="0.35">
      <c r="A17" s="714" t="s">
        <v>13</v>
      </c>
      <c r="B17" s="715">
        <f>SUM(Pv!H9:H10)</f>
        <v>0</v>
      </c>
      <c r="C17" s="716"/>
      <c r="D17" s="739" t="e">
        <f>B17/peas</f>
        <v>#DIV/0!</v>
      </c>
      <c r="E17" s="752"/>
      <c r="F17" s="716" t="e">
        <f>B17/($C$4*peas)</f>
        <v>#DIV/0!</v>
      </c>
      <c r="G17" s="752"/>
      <c r="H17" s="716" t="e">
        <f>B17/($E$4*peas)</f>
        <v>#DIV/0!</v>
      </c>
    </row>
    <row r="18" spans="1:8" ht="15.5" x14ac:dyDescent="0.35">
      <c r="A18" s="714" t="s">
        <v>1</v>
      </c>
      <c r="B18" s="715">
        <f>Pv!H12</f>
        <v>0</v>
      </c>
      <c r="C18" s="716"/>
      <c r="D18" s="761" t="e">
        <f>B18/peas</f>
        <v>#DIV/0!</v>
      </c>
      <c r="E18" s="753"/>
      <c r="F18" s="715" t="e">
        <f>B18/($C$4*peas)</f>
        <v>#DIV/0!</v>
      </c>
      <c r="G18" s="753"/>
      <c r="H18" s="715" t="e">
        <f>B18/($E$4*peas)</f>
        <v>#DIV/0!</v>
      </c>
    </row>
    <row r="19" spans="1:8" ht="15.5" x14ac:dyDescent="0.35">
      <c r="A19" s="714" t="s">
        <v>2</v>
      </c>
      <c r="B19" s="715">
        <f>Pv!H14</f>
        <v>0</v>
      </c>
      <c r="C19" s="716"/>
      <c r="D19" s="761" t="e">
        <f>B19/peas</f>
        <v>#DIV/0!</v>
      </c>
      <c r="E19" s="753"/>
      <c r="F19" s="715" t="e">
        <f>B19/($C$4*peas)</f>
        <v>#DIV/0!</v>
      </c>
      <c r="G19" s="753"/>
      <c r="H19" s="715" t="e">
        <f>B19/($E$4*peas)</f>
        <v>#DIV/0!</v>
      </c>
    </row>
    <row r="20" spans="1:8" ht="15.5" x14ac:dyDescent="0.35">
      <c r="A20" s="714" t="s">
        <v>1476</v>
      </c>
      <c r="B20" s="699"/>
      <c r="C20" s="699"/>
      <c r="D20" s="699"/>
      <c r="E20" s="699"/>
      <c r="F20" s="699"/>
      <c r="G20" s="699"/>
      <c r="H20" s="699"/>
    </row>
    <row r="21" spans="1:8" ht="15.5" x14ac:dyDescent="0.35">
      <c r="A21" s="714" t="s">
        <v>1121</v>
      </c>
      <c r="B21" s="745">
        <f>SUM(Pv!H15:H16)</f>
        <v>0</v>
      </c>
      <c r="C21" s="746"/>
      <c r="D21" s="761" t="e">
        <f t="shared" ref="D21" si="0">B21/peas</f>
        <v>#DIV/0!</v>
      </c>
      <c r="E21" s="753"/>
      <c r="F21" s="715" t="e">
        <f t="shared" ref="F21" si="1">B21/($C$4*peas)</f>
        <v>#DIV/0!</v>
      </c>
      <c r="G21" s="753"/>
      <c r="H21" s="715" t="e">
        <f t="shared" ref="H21:H28" si="2">B21/($E$4*peas)</f>
        <v>#DIV/0!</v>
      </c>
    </row>
    <row r="22" spans="1:8" ht="15.5" x14ac:dyDescent="0.35">
      <c r="A22" s="714" t="s">
        <v>1119</v>
      </c>
      <c r="B22" s="745">
        <f>SUM(Pv!H17:H17)</f>
        <v>0</v>
      </c>
      <c r="C22" s="746"/>
      <c r="D22" s="761" t="e">
        <f t="shared" ref="D22:D28" si="3">B22/peas</f>
        <v>#DIV/0!</v>
      </c>
      <c r="E22" s="753"/>
      <c r="F22" s="715" t="e">
        <f t="shared" ref="F22:F28" si="4">B22/($C$4*peas)</f>
        <v>#DIV/0!</v>
      </c>
      <c r="G22" s="753"/>
      <c r="H22" s="715" t="e">
        <f t="shared" si="2"/>
        <v>#DIV/0!</v>
      </c>
    </row>
    <row r="23" spans="1:8" ht="15.5" x14ac:dyDescent="0.35">
      <c r="A23" s="714" t="s">
        <v>1120</v>
      </c>
      <c r="B23" s="745">
        <f>SUM(Pv!H18:H18)</f>
        <v>0</v>
      </c>
      <c r="C23" s="746"/>
      <c r="D23" s="761" t="e">
        <f t="shared" si="3"/>
        <v>#DIV/0!</v>
      </c>
      <c r="E23" s="753"/>
      <c r="F23" s="715" t="e">
        <f t="shared" si="4"/>
        <v>#DIV/0!</v>
      </c>
      <c r="G23" s="753"/>
      <c r="H23" s="715" t="e">
        <f t="shared" si="2"/>
        <v>#DIV/0!</v>
      </c>
    </row>
    <row r="24" spans="1:8" ht="15.5" x14ac:dyDescent="0.35">
      <c r="A24" s="714" t="s">
        <v>1214</v>
      </c>
      <c r="B24" s="715">
        <f>SUM(Pv!H20:H51)</f>
        <v>0</v>
      </c>
      <c r="C24" s="716"/>
      <c r="D24" s="739" t="e">
        <f t="shared" si="3"/>
        <v>#DIV/0!</v>
      </c>
      <c r="E24" s="752"/>
      <c r="F24" s="716" t="e">
        <f t="shared" si="4"/>
        <v>#DIV/0!</v>
      </c>
      <c r="G24" s="752"/>
      <c r="H24" s="716" t="e">
        <f t="shared" si="2"/>
        <v>#DIV/0!</v>
      </c>
    </row>
    <row r="25" spans="1:8" ht="15.5" x14ac:dyDescent="0.35">
      <c r="A25" s="714" t="s">
        <v>1261</v>
      </c>
      <c r="B25" s="715">
        <f>SUM(Pv!H53:H85)</f>
        <v>0</v>
      </c>
      <c r="C25" s="716"/>
      <c r="D25" s="739" t="e">
        <f t="shared" si="3"/>
        <v>#DIV/0!</v>
      </c>
      <c r="E25" s="752"/>
      <c r="F25" s="716" t="e">
        <f t="shared" si="4"/>
        <v>#DIV/0!</v>
      </c>
      <c r="G25" s="752"/>
      <c r="H25" s="716" t="e">
        <f t="shared" si="2"/>
        <v>#DIV/0!</v>
      </c>
    </row>
    <row r="26" spans="1:8" ht="15.5" x14ac:dyDescent="0.35">
      <c r="A26" s="714" t="s">
        <v>78</v>
      </c>
      <c r="B26" s="715">
        <f>SUM(Pv!H86:H87)</f>
        <v>0</v>
      </c>
      <c r="C26" s="716"/>
      <c r="D26" s="739" t="e">
        <f t="shared" si="3"/>
        <v>#DIV/0!</v>
      </c>
      <c r="E26" s="752"/>
      <c r="F26" s="716" t="e">
        <f t="shared" si="4"/>
        <v>#DIV/0!</v>
      </c>
      <c r="G26" s="752"/>
      <c r="H26" s="716" t="e">
        <f t="shared" si="2"/>
        <v>#DIV/0!</v>
      </c>
    </row>
    <row r="27" spans="1:8" ht="15.5" x14ac:dyDescent="0.35">
      <c r="A27" s="714" t="s">
        <v>170</v>
      </c>
      <c r="B27" s="732">
        <f>Pv!H88</f>
        <v>0</v>
      </c>
      <c r="C27" s="733"/>
      <c r="D27" s="761" t="e">
        <f t="shared" si="3"/>
        <v>#DIV/0!</v>
      </c>
      <c r="E27" s="753"/>
      <c r="F27" s="715" t="e">
        <f t="shared" si="4"/>
        <v>#DIV/0!</v>
      </c>
      <c r="G27" s="753"/>
      <c r="H27" s="715" t="e">
        <f t="shared" si="2"/>
        <v>#DIV/0!</v>
      </c>
    </row>
    <row r="28" spans="1:8" ht="15.5" x14ac:dyDescent="0.35">
      <c r="A28" s="714" t="s">
        <v>171</v>
      </c>
      <c r="B28" s="732">
        <f>SUM(Pv!H89:H90)</f>
        <v>0</v>
      </c>
      <c r="C28" s="733"/>
      <c r="D28" s="739" t="e">
        <f t="shared" si="3"/>
        <v>#DIV/0!</v>
      </c>
      <c r="E28" s="752"/>
      <c r="F28" s="716" t="e">
        <f t="shared" si="4"/>
        <v>#DIV/0!</v>
      </c>
      <c r="G28" s="752"/>
      <c r="H28" s="716" t="e">
        <f t="shared" si="2"/>
        <v>#DIV/0!</v>
      </c>
    </row>
    <row r="29" spans="1:8" ht="15.5" x14ac:dyDescent="0.35">
      <c r="A29" s="714" t="s">
        <v>172</v>
      </c>
      <c r="B29" s="699"/>
      <c r="C29" s="699"/>
      <c r="D29" s="703"/>
      <c r="E29" s="699"/>
      <c r="F29" s="716"/>
      <c r="G29" s="699"/>
      <c r="H29" s="716"/>
    </row>
    <row r="30" spans="1:8" ht="15.5" x14ac:dyDescent="0.35">
      <c r="A30" s="734" t="s">
        <v>439</v>
      </c>
      <c r="B30" s="732">
        <f>Pv!H92</f>
        <v>0</v>
      </c>
      <c r="C30" s="733"/>
      <c r="D30" s="739" t="e">
        <f t="shared" ref="D30:D43" si="5">B30/peas</f>
        <v>#DIV/0!</v>
      </c>
      <c r="E30" s="752"/>
      <c r="F30" s="716" t="e">
        <f t="shared" ref="F30:F43" si="6">B30/($C$4*peas)</f>
        <v>#DIV/0!</v>
      </c>
      <c r="G30" s="752"/>
      <c r="H30" s="716" t="e">
        <f t="shared" ref="H30:H43" si="7">B30/($E$4*peas)</f>
        <v>#DIV/0!</v>
      </c>
    </row>
    <row r="31" spans="1:8" ht="15.5" x14ac:dyDescent="0.35">
      <c r="A31" s="734" t="s">
        <v>1506</v>
      </c>
      <c r="B31" s="732">
        <f>SUM(Pv!H93:H95)</f>
        <v>0</v>
      </c>
      <c r="C31" s="733"/>
      <c r="D31" s="739" t="e">
        <f t="shared" si="5"/>
        <v>#DIV/0!</v>
      </c>
      <c r="E31" s="752"/>
      <c r="F31" s="716" t="e">
        <f t="shared" si="6"/>
        <v>#DIV/0!</v>
      </c>
      <c r="G31" s="752"/>
      <c r="H31" s="716" t="e">
        <f t="shared" si="7"/>
        <v>#DIV/0!</v>
      </c>
    </row>
    <row r="32" spans="1:8" ht="15.5" x14ac:dyDescent="0.35">
      <c r="A32" s="734" t="s">
        <v>1505</v>
      </c>
      <c r="B32" s="732">
        <f>SUM(Pv!H96:H98)</f>
        <v>0</v>
      </c>
      <c r="C32" s="733"/>
      <c r="D32" s="739" t="e">
        <f t="shared" si="5"/>
        <v>#DIV/0!</v>
      </c>
      <c r="E32" s="752"/>
      <c r="F32" s="716" t="e">
        <f t="shared" si="6"/>
        <v>#DIV/0!</v>
      </c>
      <c r="G32" s="752"/>
      <c r="H32" s="716" t="e">
        <f t="shared" si="7"/>
        <v>#DIV/0!</v>
      </c>
    </row>
    <row r="33" spans="1:16" ht="15.5" x14ac:dyDescent="0.35">
      <c r="A33" s="734" t="s">
        <v>1237</v>
      </c>
      <c r="B33" s="753">
        <f>Pv!H99</f>
        <v>0</v>
      </c>
      <c r="C33" s="699"/>
      <c r="D33" s="739" t="e">
        <f t="shared" si="5"/>
        <v>#DIV/0!</v>
      </c>
      <c r="E33" s="752"/>
      <c r="F33" s="716" t="e">
        <f t="shared" si="6"/>
        <v>#DIV/0!</v>
      </c>
      <c r="G33" s="752"/>
      <c r="H33" s="716" t="e">
        <f t="shared" si="7"/>
        <v>#DIV/0!</v>
      </c>
    </row>
    <row r="34" spans="1:16" ht="15.5" x14ac:dyDescent="0.35">
      <c r="A34" s="734" t="s">
        <v>1212</v>
      </c>
      <c r="B34" s="732">
        <f>SUM(Pv!H100:H102)</f>
        <v>0</v>
      </c>
      <c r="C34" s="733"/>
      <c r="D34" s="739" t="e">
        <f t="shared" si="5"/>
        <v>#DIV/0!</v>
      </c>
      <c r="E34" s="752"/>
      <c r="F34" s="716" t="e">
        <f t="shared" si="6"/>
        <v>#DIV/0!</v>
      </c>
      <c r="G34" s="752"/>
      <c r="H34" s="716" t="e">
        <f t="shared" si="7"/>
        <v>#DIV/0!</v>
      </c>
    </row>
    <row r="35" spans="1:16" ht="15.5" x14ac:dyDescent="0.35">
      <c r="A35" s="734" t="s">
        <v>1238</v>
      </c>
      <c r="B35" s="753">
        <f>SUM(Pv!H103:H105)</f>
        <v>0</v>
      </c>
      <c r="C35" s="733"/>
      <c r="D35" s="739" t="e">
        <f t="shared" si="5"/>
        <v>#DIV/0!</v>
      </c>
      <c r="E35" s="752"/>
      <c r="F35" s="716" t="e">
        <f t="shared" si="6"/>
        <v>#DIV/0!</v>
      </c>
      <c r="G35" s="752"/>
      <c r="H35" s="716" t="e">
        <f t="shared" si="7"/>
        <v>#DIV/0!</v>
      </c>
    </row>
    <row r="36" spans="1:16" ht="15.5" x14ac:dyDescent="0.35">
      <c r="A36" s="734" t="s">
        <v>2029</v>
      </c>
      <c r="B36" s="753">
        <f>SUM(Pv!H106:H108)</f>
        <v>0</v>
      </c>
      <c r="C36" s="699"/>
      <c r="D36" s="761" t="e">
        <f>B36/peas</f>
        <v>#DIV/0!</v>
      </c>
      <c r="E36" s="752"/>
      <c r="F36" s="715" t="e">
        <f>B36/($C$4*peas)</f>
        <v>#DIV/0!</v>
      </c>
      <c r="G36" s="752"/>
      <c r="H36" s="715" t="e">
        <f>B36/($E$4*peas)</f>
        <v>#DIV/0!</v>
      </c>
    </row>
    <row r="37" spans="1:16" ht="15.5" x14ac:dyDescent="0.35">
      <c r="A37" s="734" t="s">
        <v>1532</v>
      </c>
      <c r="B37" s="753">
        <f>SUM(Pv!H109:H113)</f>
        <v>0</v>
      </c>
      <c r="C37" s="733"/>
      <c r="D37" s="739" t="e">
        <f t="shared" si="5"/>
        <v>#DIV/0!</v>
      </c>
      <c r="E37" s="752"/>
      <c r="F37" s="716" t="e">
        <f t="shared" si="6"/>
        <v>#DIV/0!</v>
      </c>
      <c r="G37" s="752"/>
      <c r="H37" s="716" t="e">
        <f t="shared" si="7"/>
        <v>#DIV/0!</v>
      </c>
    </row>
    <row r="38" spans="1:16" ht="15.5" x14ac:dyDescent="0.35">
      <c r="A38" s="734" t="s">
        <v>1533</v>
      </c>
      <c r="B38" s="753">
        <f>SUM(Pv!H114:H115)</f>
        <v>0</v>
      </c>
      <c r="C38" s="733"/>
      <c r="D38" s="761" t="e">
        <f t="shared" si="5"/>
        <v>#DIV/0!</v>
      </c>
      <c r="E38" s="752"/>
      <c r="F38" s="715" t="e">
        <f t="shared" si="6"/>
        <v>#DIV/0!</v>
      </c>
      <c r="G38" s="752"/>
      <c r="H38" s="715" t="e">
        <f t="shared" si="7"/>
        <v>#DIV/0!</v>
      </c>
    </row>
    <row r="39" spans="1:16" ht="15.5" x14ac:dyDescent="0.35">
      <c r="A39" s="734" t="s">
        <v>1534</v>
      </c>
      <c r="B39" s="753">
        <f>Pv!H116</f>
        <v>0</v>
      </c>
      <c r="C39" s="733"/>
      <c r="D39" s="739" t="e">
        <f t="shared" si="5"/>
        <v>#DIV/0!</v>
      </c>
      <c r="E39" s="752"/>
      <c r="F39" s="781" t="e">
        <f t="shared" si="6"/>
        <v>#DIV/0!</v>
      </c>
      <c r="G39" s="752"/>
      <c r="H39" s="716" t="e">
        <f t="shared" si="7"/>
        <v>#DIV/0!</v>
      </c>
    </row>
    <row r="40" spans="1:16" ht="15.5" x14ac:dyDescent="0.35">
      <c r="A40" s="734" t="s">
        <v>1535</v>
      </c>
      <c r="B40" s="753">
        <f>Pv!H117</f>
        <v>0</v>
      </c>
      <c r="C40" s="733"/>
      <c r="D40" s="739" t="e">
        <f t="shared" si="5"/>
        <v>#DIV/0!</v>
      </c>
      <c r="E40" s="752"/>
      <c r="F40" s="781" t="e">
        <f t="shared" si="6"/>
        <v>#DIV/0!</v>
      </c>
      <c r="G40" s="752"/>
      <c r="H40" s="716" t="e">
        <f t="shared" si="7"/>
        <v>#DIV/0!</v>
      </c>
    </row>
    <row r="41" spans="1:16" ht="15.5" x14ac:dyDescent="0.35">
      <c r="A41" s="734" t="s">
        <v>1536</v>
      </c>
      <c r="B41" s="753">
        <f>Pv!H118</f>
        <v>0</v>
      </c>
      <c r="C41" s="733"/>
      <c r="D41" s="739" t="e">
        <f t="shared" si="5"/>
        <v>#DIV/0!</v>
      </c>
      <c r="E41" s="752"/>
      <c r="F41" s="781" t="e">
        <f t="shared" si="6"/>
        <v>#DIV/0!</v>
      </c>
      <c r="G41" s="752"/>
      <c r="H41" s="716" t="e">
        <f t="shared" si="7"/>
        <v>#DIV/0!</v>
      </c>
    </row>
    <row r="42" spans="1:16" ht="15.5" x14ac:dyDescent="0.35">
      <c r="A42" s="734" t="s">
        <v>443</v>
      </c>
      <c r="B42" s="732">
        <f>SUM(Pv!H119:H121)</f>
        <v>0</v>
      </c>
      <c r="C42" s="733"/>
      <c r="D42" s="761" t="e">
        <f t="shared" si="5"/>
        <v>#DIV/0!</v>
      </c>
      <c r="E42" s="753"/>
      <c r="F42" s="715" t="e">
        <f t="shared" si="6"/>
        <v>#DIV/0!</v>
      </c>
      <c r="G42" s="753"/>
      <c r="H42" s="715" t="e">
        <f t="shared" si="7"/>
        <v>#DIV/0!</v>
      </c>
    </row>
    <row r="43" spans="1:16" ht="15.5" x14ac:dyDescent="0.35">
      <c r="A43" s="714" t="s">
        <v>69</v>
      </c>
      <c r="B43" s="732">
        <f>Pv!H125</f>
        <v>0</v>
      </c>
      <c r="C43" s="733"/>
      <c r="D43" s="739" t="e">
        <f t="shared" si="5"/>
        <v>#DIV/0!</v>
      </c>
      <c r="E43" s="752"/>
      <c r="F43" s="716" t="e">
        <f t="shared" si="6"/>
        <v>#DIV/0!</v>
      </c>
      <c r="G43" s="752"/>
      <c r="H43" s="716" t="e">
        <f t="shared" si="7"/>
        <v>#DIV/0!</v>
      </c>
    </row>
    <row r="44" spans="1:16" ht="15" x14ac:dyDescent="0.3">
      <c r="A44" s="709" t="s">
        <v>366</v>
      </c>
      <c r="B44" s="735">
        <f>SUM(B17:B43)</f>
        <v>0</v>
      </c>
      <c r="C44" s="736"/>
      <c r="D44" s="737" t="e">
        <f>SUM(D17:D43)</f>
        <v>#DIV/0!</v>
      </c>
      <c r="E44" s="736"/>
      <c r="F44" s="736" t="e">
        <f>SUM(F17:F43)</f>
        <v>#DIV/0!</v>
      </c>
      <c r="G44" s="736"/>
      <c r="H44" s="736" t="e">
        <f>SUM(H17:H43)</f>
        <v>#DIV/0!</v>
      </c>
    </row>
    <row r="45" spans="1:16" ht="15.5" x14ac:dyDescent="0.35">
      <c r="A45" s="738"/>
      <c r="B45" s="732"/>
      <c r="C45" s="733"/>
      <c r="D45" s="739"/>
      <c r="E45" s="757"/>
      <c r="F45" s="757"/>
      <c r="G45" s="757"/>
      <c r="H45" s="757"/>
    </row>
    <row r="46" spans="1:16" ht="15.5" x14ac:dyDescent="0.35">
      <c r="A46" s="709" t="s">
        <v>367</v>
      </c>
      <c r="B46" s="732"/>
      <c r="C46" s="733"/>
      <c r="D46" s="739"/>
      <c r="E46" s="757"/>
      <c r="F46" s="757"/>
      <c r="G46" s="757"/>
      <c r="H46" s="757"/>
    </row>
    <row r="47" spans="1:16" ht="15.5" x14ac:dyDescent="0.35">
      <c r="A47" s="714" t="s">
        <v>29</v>
      </c>
      <c r="B47" s="732"/>
      <c r="C47" s="733"/>
      <c r="D47" s="733"/>
      <c r="E47" s="757"/>
      <c r="F47" s="716"/>
      <c r="G47" s="757"/>
      <c r="H47" s="716"/>
      <c r="J47" s="890" t="s">
        <v>29</v>
      </c>
    </row>
    <row r="48" spans="1:16" ht="15.5" x14ac:dyDescent="0.35">
      <c r="A48" s="734" t="s">
        <v>1240</v>
      </c>
      <c r="B48" s="732">
        <f>SUM(Pf!H8:H24)</f>
        <v>0</v>
      </c>
      <c r="C48" s="733"/>
      <c r="D48" s="739" t="e">
        <f t="shared" ref="D48:D61" si="8">B48/peas</f>
        <v>#DIV/0!</v>
      </c>
      <c r="E48" s="752"/>
      <c r="F48" s="716" t="e">
        <f t="shared" ref="F48:F60" si="9">B48/($C$4*peas)</f>
        <v>#DIV/0!</v>
      </c>
      <c r="G48" s="752"/>
      <c r="H48" s="716" t="e">
        <f t="shared" ref="H48:H61" si="10">B48/($E$4*peas)</f>
        <v>#DIV/0!</v>
      </c>
      <c r="J48" s="697" t="s">
        <v>76</v>
      </c>
      <c r="K48" s="697"/>
      <c r="L48" s="697" t="s">
        <v>77</v>
      </c>
      <c r="M48" s="698"/>
      <c r="N48" s="697" t="s">
        <v>1554</v>
      </c>
      <c r="O48" s="698"/>
      <c r="P48" s="697" t="s">
        <v>385</v>
      </c>
    </row>
    <row r="49" spans="1:16" ht="15.5" x14ac:dyDescent="0.35">
      <c r="A49" s="734" t="s">
        <v>1241</v>
      </c>
      <c r="B49" s="732">
        <f>SUM(Pf!H25:H33)</f>
        <v>0</v>
      </c>
      <c r="C49" s="733"/>
      <c r="D49" s="739" t="e">
        <f t="shared" si="8"/>
        <v>#DIV/0!</v>
      </c>
      <c r="E49" s="752"/>
      <c r="F49" s="716" t="e">
        <f t="shared" si="9"/>
        <v>#DIV/0!</v>
      </c>
      <c r="G49" s="752"/>
      <c r="H49" s="716" t="e">
        <f t="shared" si="10"/>
        <v>#DIV/0!</v>
      </c>
      <c r="J49" s="763">
        <f>SUM(B48:B60)</f>
        <v>0</v>
      </c>
      <c r="L49" s="756" t="e">
        <f>SUM(D48:D60)</f>
        <v>#DIV/0!</v>
      </c>
      <c r="N49" s="756" t="e">
        <f>SUM(F48:F60)</f>
        <v>#DIV/0!</v>
      </c>
      <c r="P49" s="756" t="e">
        <f>SUM(H48:H60)</f>
        <v>#DIV/0!</v>
      </c>
    </row>
    <row r="50" spans="1:16" ht="15.5" x14ac:dyDescent="0.35">
      <c r="A50" s="734" t="s">
        <v>1243</v>
      </c>
      <c r="B50" s="732">
        <f>SUM(Pf!H34:H53)</f>
        <v>0</v>
      </c>
      <c r="C50" s="733"/>
      <c r="D50" s="739" t="e">
        <f>B50/peas</f>
        <v>#DIV/0!</v>
      </c>
      <c r="E50" s="752"/>
      <c r="F50" s="716" t="e">
        <f>B50/($C$4*peas)</f>
        <v>#DIV/0!</v>
      </c>
      <c r="G50" s="752"/>
      <c r="H50" s="716" t="e">
        <f t="shared" si="10"/>
        <v>#DIV/0!</v>
      </c>
    </row>
    <row r="51" spans="1:16" ht="15.5" x14ac:dyDescent="0.35">
      <c r="A51" s="734" t="s">
        <v>1242</v>
      </c>
      <c r="B51" s="732">
        <f>SUM(Pf!H54:H59)</f>
        <v>0</v>
      </c>
      <c r="C51" s="733"/>
      <c r="D51" s="739" t="e">
        <f t="shared" si="8"/>
        <v>#DIV/0!</v>
      </c>
      <c r="E51" s="752"/>
      <c r="F51" s="716" t="e">
        <f t="shared" si="9"/>
        <v>#DIV/0!</v>
      </c>
      <c r="G51" s="752"/>
      <c r="H51" s="716" t="e">
        <f t="shared" si="10"/>
        <v>#DIV/0!</v>
      </c>
    </row>
    <row r="52" spans="1:16" ht="15.5" x14ac:dyDescent="0.35">
      <c r="A52" s="734" t="s">
        <v>1244</v>
      </c>
      <c r="B52" s="732">
        <f>SUM(Pf!H60:H64)</f>
        <v>0</v>
      </c>
      <c r="C52" s="733"/>
      <c r="D52" s="761" t="e">
        <f t="shared" si="8"/>
        <v>#DIV/0!</v>
      </c>
      <c r="E52" s="753"/>
      <c r="F52" s="715" t="e">
        <f t="shared" si="9"/>
        <v>#DIV/0!</v>
      </c>
      <c r="G52" s="753"/>
      <c r="H52" s="715" t="e">
        <f t="shared" si="10"/>
        <v>#DIV/0!</v>
      </c>
    </row>
    <row r="53" spans="1:16" ht="15.5" x14ac:dyDescent="0.35">
      <c r="A53" s="734" t="s">
        <v>1245</v>
      </c>
      <c r="B53" s="732">
        <f>0</f>
        <v>0</v>
      </c>
      <c r="C53" s="733"/>
      <c r="D53" s="761" t="e">
        <f t="shared" si="8"/>
        <v>#DIV/0!</v>
      </c>
      <c r="E53" s="753"/>
      <c r="F53" s="715" t="e">
        <f t="shared" si="9"/>
        <v>#DIV/0!</v>
      </c>
      <c r="G53" s="753"/>
      <c r="H53" s="715" t="e">
        <f t="shared" si="10"/>
        <v>#DIV/0!</v>
      </c>
    </row>
    <row r="54" spans="1:16" ht="15.5" x14ac:dyDescent="0.35">
      <c r="A54" s="734" t="s">
        <v>1246</v>
      </c>
      <c r="B54" s="732">
        <f>SUM(Pf!H65:H72)</f>
        <v>0</v>
      </c>
      <c r="C54" s="733"/>
      <c r="D54" s="739" t="e">
        <f t="shared" si="8"/>
        <v>#DIV/0!</v>
      </c>
      <c r="E54" s="752"/>
      <c r="F54" s="716" t="e">
        <f t="shared" si="9"/>
        <v>#DIV/0!</v>
      </c>
      <c r="G54" s="752"/>
      <c r="H54" s="716" t="e">
        <f t="shared" si="10"/>
        <v>#DIV/0!</v>
      </c>
    </row>
    <row r="55" spans="1:16" ht="15.5" x14ac:dyDescent="0.35">
      <c r="A55" s="734" t="s">
        <v>1247</v>
      </c>
      <c r="B55" s="732">
        <f>SUM(Pf!H73:H80)</f>
        <v>0</v>
      </c>
      <c r="C55" s="733"/>
      <c r="D55" s="739" t="e">
        <f t="shared" si="8"/>
        <v>#DIV/0!</v>
      </c>
      <c r="E55" s="752"/>
      <c r="F55" s="781" t="e">
        <f t="shared" si="9"/>
        <v>#DIV/0!</v>
      </c>
      <c r="G55" s="752"/>
      <c r="H55" s="716" t="e">
        <f t="shared" si="10"/>
        <v>#DIV/0!</v>
      </c>
    </row>
    <row r="56" spans="1:16" ht="15.5" x14ac:dyDescent="0.35">
      <c r="A56" s="734" t="s">
        <v>2148</v>
      </c>
      <c r="B56" s="732">
        <f>SUM(Pf!H81:H85)</f>
        <v>0</v>
      </c>
      <c r="C56" s="733"/>
      <c r="D56" s="739" t="e">
        <f t="shared" ref="D56" si="11">B56/peas</f>
        <v>#DIV/0!</v>
      </c>
      <c r="E56" s="752"/>
      <c r="F56" s="716" t="e">
        <f t="shared" ref="F56" si="12">B56/($C$4*peas)</f>
        <v>#DIV/0!</v>
      </c>
      <c r="G56" s="752"/>
      <c r="H56" s="716" t="e">
        <f t="shared" ref="H56" si="13">B56/($E$4*peas)</f>
        <v>#DIV/0!</v>
      </c>
    </row>
    <row r="57" spans="1:16" ht="15.5" x14ac:dyDescent="0.35">
      <c r="A57" s="734" t="s">
        <v>1250</v>
      </c>
      <c r="B57" s="732">
        <f>SUM(Pf!H86:H96)</f>
        <v>0</v>
      </c>
      <c r="C57" s="733"/>
      <c r="D57" s="739" t="e">
        <f t="shared" si="8"/>
        <v>#DIV/0!</v>
      </c>
      <c r="E57" s="752"/>
      <c r="F57" s="716" t="e">
        <f t="shared" si="9"/>
        <v>#DIV/0!</v>
      </c>
      <c r="G57" s="752"/>
      <c r="H57" s="716" t="e">
        <f t="shared" si="10"/>
        <v>#DIV/0!</v>
      </c>
    </row>
    <row r="58" spans="1:16" ht="15.5" x14ac:dyDescent="0.35">
      <c r="A58" s="734" t="s">
        <v>1304</v>
      </c>
      <c r="B58" s="732">
        <f>0</f>
        <v>0</v>
      </c>
      <c r="C58" s="733"/>
      <c r="D58" s="761" t="e">
        <f t="shared" ref="D58" si="14">B58/peas</f>
        <v>#DIV/0!</v>
      </c>
      <c r="E58" s="753"/>
      <c r="F58" s="715" t="e">
        <f t="shared" ref="F58" si="15">B58/($C$4*peas)</f>
        <v>#DIV/0!</v>
      </c>
      <c r="G58" s="753"/>
      <c r="H58" s="715" t="e">
        <f t="shared" si="10"/>
        <v>#DIV/0!</v>
      </c>
    </row>
    <row r="59" spans="1:16" ht="15.5" x14ac:dyDescent="0.35">
      <c r="A59" s="734" t="s">
        <v>1248</v>
      </c>
      <c r="B59" s="732">
        <f>SUM(Pf!H98:H101)</f>
        <v>0</v>
      </c>
      <c r="C59" s="733"/>
      <c r="D59" s="739" t="e">
        <f t="shared" si="8"/>
        <v>#DIV/0!</v>
      </c>
      <c r="E59" s="752"/>
      <c r="F59" s="716" t="e">
        <f t="shared" si="9"/>
        <v>#DIV/0!</v>
      </c>
      <c r="G59" s="752"/>
      <c r="H59" s="716" t="e">
        <f t="shared" si="10"/>
        <v>#DIV/0!</v>
      </c>
    </row>
    <row r="60" spans="1:16" ht="15.5" x14ac:dyDescent="0.35">
      <c r="A60" s="734" t="s">
        <v>1249</v>
      </c>
      <c r="B60" s="732">
        <f>SUM(Pf!H102:H106)</f>
        <v>0</v>
      </c>
      <c r="C60" s="733"/>
      <c r="D60" s="739" t="e">
        <f t="shared" si="8"/>
        <v>#DIV/0!</v>
      </c>
      <c r="E60" s="752"/>
      <c r="F60" s="716" t="e">
        <f t="shared" si="9"/>
        <v>#DIV/0!</v>
      </c>
      <c r="G60" s="752"/>
      <c r="H60" s="716" t="e">
        <f t="shared" si="10"/>
        <v>#DIV/0!</v>
      </c>
    </row>
    <row r="61" spans="1:16" ht="15.5" x14ac:dyDescent="0.35">
      <c r="A61" s="714" t="s">
        <v>79</v>
      </c>
      <c r="B61" s="732">
        <f>Pf!L114</f>
        <v>0</v>
      </c>
      <c r="C61" s="733"/>
      <c r="D61" s="739" t="e">
        <f t="shared" si="8"/>
        <v>#DIV/0!</v>
      </c>
      <c r="E61" s="752"/>
      <c r="F61" s="716" t="e">
        <f>B61/($C$4*peas)</f>
        <v>#DIV/0!</v>
      </c>
      <c r="G61" s="752"/>
      <c r="H61" s="716" t="e">
        <f t="shared" si="10"/>
        <v>#DIV/0!</v>
      </c>
    </row>
    <row r="62" spans="1:16" ht="15" x14ac:dyDescent="0.3">
      <c r="A62" s="709" t="s">
        <v>368</v>
      </c>
      <c r="B62" s="735">
        <f>SUM(B47:B61)</f>
        <v>0</v>
      </c>
      <c r="C62" s="736"/>
      <c r="D62" s="737" t="e">
        <f>SUM(D47:D61)</f>
        <v>#DIV/0!</v>
      </c>
      <c r="E62" s="736"/>
      <c r="F62" s="736" t="e">
        <f>SUM(F47:F61)</f>
        <v>#DIV/0!</v>
      </c>
      <c r="G62" s="736"/>
      <c r="H62" s="736" t="e">
        <f>SUM(H47:H61)</f>
        <v>#DIV/0!</v>
      </c>
    </row>
    <row r="63" spans="1:16" ht="15.5" x14ac:dyDescent="0.35">
      <c r="A63" s="699"/>
      <c r="B63" s="735"/>
      <c r="C63" s="736"/>
      <c r="D63" s="737"/>
      <c r="E63" s="758"/>
      <c r="F63" s="758"/>
      <c r="G63" s="758"/>
      <c r="H63" s="758"/>
    </row>
    <row r="64" spans="1:16" ht="15" x14ac:dyDescent="0.3">
      <c r="A64" s="709" t="s">
        <v>80</v>
      </c>
      <c r="B64" s="735">
        <f>B62+B44</f>
        <v>0</v>
      </c>
      <c r="C64" s="736"/>
      <c r="D64" s="737" t="e">
        <f>D62+D44</f>
        <v>#DIV/0!</v>
      </c>
      <c r="E64" s="736"/>
      <c r="F64" s="736" t="e">
        <f>F62+F44</f>
        <v>#DIV/0!</v>
      </c>
      <c r="G64" s="736"/>
      <c r="H64" s="736" t="e">
        <f>H62+H44</f>
        <v>#DIV/0!</v>
      </c>
    </row>
    <row r="65" spans="1:8" ht="15.5" x14ac:dyDescent="0.35">
      <c r="A65" s="742"/>
      <c r="B65" s="735"/>
      <c r="C65" s="736"/>
      <c r="D65" s="737"/>
      <c r="E65" s="736"/>
      <c r="F65" s="736"/>
      <c r="G65" s="736"/>
      <c r="H65" s="736"/>
    </row>
    <row r="66" spans="1:8" ht="15" x14ac:dyDescent="0.3">
      <c r="A66" s="709" t="s">
        <v>355</v>
      </c>
      <c r="B66" s="710">
        <f>B14-B64</f>
        <v>0</v>
      </c>
      <c r="C66" s="736"/>
      <c r="D66" s="712" t="e">
        <f>D14-D64</f>
        <v>#DIV/0!</v>
      </c>
      <c r="E66" s="736"/>
      <c r="F66" s="711" t="e">
        <f>F14-F64</f>
        <v>#DIV/0!</v>
      </c>
      <c r="G66" s="736"/>
      <c r="H66" s="711" t="e">
        <f>H14-H64</f>
        <v>#DIV/0!</v>
      </c>
    </row>
    <row r="67" spans="1:8" ht="15" x14ac:dyDescent="0.3">
      <c r="A67" s="709" t="s">
        <v>356</v>
      </c>
      <c r="B67" s="735">
        <f>B14-B44</f>
        <v>0</v>
      </c>
      <c r="C67" s="736"/>
      <c r="D67" s="737" t="e">
        <f>D14-D44</f>
        <v>#DIV/0!</v>
      </c>
      <c r="E67" s="736"/>
      <c r="F67" s="736" t="e">
        <f>F14-F44</f>
        <v>#DIV/0!</v>
      </c>
      <c r="G67" s="736"/>
      <c r="H67" s="736" t="e">
        <f>H14-H44</f>
        <v>#DIV/0!</v>
      </c>
    </row>
    <row r="68" spans="1:8" ht="15.5" x14ac:dyDescent="0.35">
      <c r="A68" s="699"/>
      <c r="B68" s="743"/>
      <c r="C68" s="743"/>
      <c r="D68" s="702"/>
      <c r="E68" s="699"/>
      <c r="F68" s="699"/>
      <c r="G68" s="699"/>
      <c r="H68" s="699"/>
    </row>
    <row r="69" spans="1:8" ht="15.5" x14ac:dyDescent="0.35">
      <c r="A69" s="709" t="s">
        <v>234</v>
      </c>
      <c r="B69" s="743"/>
      <c r="C69" s="743"/>
      <c r="D69" s="702"/>
      <c r="E69" s="699"/>
      <c r="F69" s="699"/>
      <c r="G69" s="699"/>
      <c r="H69" s="699"/>
    </row>
    <row r="70" spans="1:8" ht="12.75" customHeight="1" x14ac:dyDescent="0.35">
      <c r="A70" s="744" t="s">
        <v>369</v>
      </c>
      <c r="B70" s="703" t="s">
        <v>76</v>
      </c>
      <c r="C70" s="743"/>
      <c r="D70" s="703" t="s">
        <v>393</v>
      </c>
      <c r="E70" s="703"/>
      <c r="F70" s="703" t="s">
        <v>1556</v>
      </c>
      <c r="G70" s="703"/>
      <c r="H70" s="703" t="s">
        <v>396</v>
      </c>
    </row>
    <row r="71" spans="1:8" ht="15.5" x14ac:dyDescent="0.35">
      <c r="A71" s="714" t="s">
        <v>370</v>
      </c>
      <c r="B71" s="745">
        <f>B64</f>
        <v>0</v>
      </c>
      <c r="C71" s="743"/>
      <c r="D71" s="717" t="e">
        <f>$B$64/peas</f>
        <v>#DIV/0!</v>
      </c>
      <c r="E71" s="752"/>
      <c r="F71" s="716" t="e">
        <f>$B$64/($C$4*peas)</f>
        <v>#DIV/0!</v>
      </c>
      <c r="G71" s="752"/>
      <c r="H71" s="716" t="e">
        <f>$B$64/($E$4*peas)</f>
        <v>#DIV/0!</v>
      </c>
    </row>
    <row r="72" spans="1:8" ht="15.5" x14ac:dyDescent="0.35">
      <c r="A72" s="714" t="s">
        <v>371</v>
      </c>
      <c r="B72" s="745">
        <f>B44</f>
        <v>0</v>
      </c>
      <c r="C72" s="743"/>
      <c r="D72" s="717" t="e">
        <f>$B$44/peas</f>
        <v>#DIV/0!</v>
      </c>
      <c r="E72" s="752"/>
      <c r="F72" s="716" t="e">
        <f>$B$44/($C$4*peas)</f>
        <v>#DIV/0!</v>
      </c>
      <c r="G72" s="752"/>
      <c r="H72" s="716" t="e">
        <f>$B$44/($E$4*peas)</f>
        <v>#DIV/0!</v>
      </c>
    </row>
    <row r="73" spans="1:8" ht="15.5" x14ac:dyDescent="0.35">
      <c r="A73" s="714"/>
      <c r="B73" s="743"/>
      <c r="C73" s="743"/>
      <c r="D73" s="717"/>
      <c r="E73" s="752"/>
      <c r="F73" s="716"/>
      <c r="G73" s="752"/>
      <c r="H73" s="716"/>
    </row>
    <row r="74" spans="1:8" ht="15.5" x14ac:dyDescent="0.35">
      <c r="A74" s="744" t="s">
        <v>1099</v>
      </c>
      <c r="B74" s="703" t="s">
        <v>1100</v>
      </c>
      <c r="C74" s="743"/>
      <c r="D74" s="703" t="s">
        <v>1995</v>
      </c>
      <c r="E74" s="752"/>
      <c r="F74" s="716"/>
      <c r="G74" s="752"/>
      <c r="H74" s="716"/>
    </row>
    <row r="75" spans="1:8" ht="15.5" x14ac:dyDescent="0.35">
      <c r="A75" s="714" t="s">
        <v>1101</v>
      </c>
      <c r="B75" s="746" t="e">
        <f>B66/SUM(Pv!E20:E52)</f>
        <v>#DIV/0!</v>
      </c>
      <c r="C75" s="743"/>
      <c r="D75" s="1226">
        <f>SUM(Pv!E20:E52)</f>
        <v>0</v>
      </c>
      <c r="E75" s="1225" t="s">
        <v>1996</v>
      </c>
      <c r="F75" s="716"/>
      <c r="G75" s="752"/>
      <c r="H75" s="716"/>
    </row>
    <row r="76" spans="1:8" ht="15.5" x14ac:dyDescent="0.35">
      <c r="A76" s="714" t="s">
        <v>1102</v>
      </c>
      <c r="B76" s="746" t="e">
        <f>B67/SUM(Pv!E20:E52)</f>
        <v>#DIV/0!</v>
      </c>
      <c r="C76" s="743"/>
      <c r="D76" s="717"/>
      <c r="E76" s="752"/>
      <c r="F76" s="716"/>
      <c r="G76" s="752"/>
      <c r="H76" s="716"/>
    </row>
    <row r="77" spans="1:8" ht="15.5" x14ac:dyDescent="0.35">
      <c r="A77" s="747"/>
      <c r="B77" s="748"/>
      <c r="C77" s="748"/>
      <c r="D77" s="749"/>
      <c r="E77" s="747"/>
      <c r="F77" s="747"/>
      <c r="G77" s="747"/>
      <c r="H77" s="747"/>
    </row>
    <row r="81" spans="1:8" x14ac:dyDescent="0.3">
      <c r="A81" s="61" t="s">
        <v>146</v>
      </c>
      <c r="B81" s="50" t="str">
        <f>model</f>
        <v>ME Grain &amp; Pulse</v>
      </c>
    </row>
    <row r="83" spans="1:8" x14ac:dyDescent="0.3">
      <c r="A83" s="7" t="s">
        <v>1239</v>
      </c>
      <c r="B83" s="55" t="s">
        <v>92</v>
      </c>
      <c r="C83" s="54">
        <f>peas</f>
        <v>0</v>
      </c>
      <c r="D83" s="17" t="s">
        <v>93</v>
      </c>
    </row>
    <row r="84" spans="1:8" x14ac:dyDescent="0.3">
      <c r="A84" s="8"/>
      <c r="B84" s="55" t="s">
        <v>232</v>
      </c>
      <c r="C84" s="54">
        <f>Data!B244</f>
        <v>0</v>
      </c>
      <c r="D84" s="17" t="s">
        <v>1567</v>
      </c>
      <c r="E84" s="1190">
        <f>(C84*Data!$K$66)/2000</f>
        <v>0</v>
      </c>
      <c r="F84" s="17" t="s">
        <v>235</v>
      </c>
      <c r="G84" s="54"/>
    </row>
    <row r="85" spans="1:8" x14ac:dyDescent="0.3">
      <c r="B85" s="55" t="s">
        <v>284</v>
      </c>
      <c r="C85" s="106">
        <f>IF(FARM!$F$23&gt;0,Data!$B$239,Data!$B$240)</f>
        <v>15</v>
      </c>
      <c r="D85" s="17" t="s">
        <v>1566</v>
      </c>
      <c r="E85" s="153">
        <f>Data!$K$66</f>
        <v>60</v>
      </c>
      <c r="F85" s="17" t="s">
        <v>1560</v>
      </c>
      <c r="G85" s="153"/>
    </row>
    <row r="86" spans="1:8" x14ac:dyDescent="0.3">
      <c r="B86" s="55"/>
      <c r="C86" s="53"/>
      <c r="D86" s="17"/>
    </row>
    <row r="87" spans="1:8" ht="15.5" x14ac:dyDescent="0.35">
      <c r="A87" s="751" t="s">
        <v>1239</v>
      </c>
      <c r="B87" s="697" t="s">
        <v>76</v>
      </c>
      <c r="C87" s="697"/>
      <c r="D87" s="697" t="s">
        <v>77</v>
      </c>
      <c r="E87" s="698"/>
      <c r="F87" s="697" t="s">
        <v>1554</v>
      </c>
      <c r="G87" s="698"/>
      <c r="H87" s="697" t="s">
        <v>385</v>
      </c>
    </row>
    <row r="88" spans="1:8" ht="15.5" x14ac:dyDescent="0.35">
      <c r="A88" s="699" t="s">
        <v>362</v>
      </c>
      <c r="B88" s="759">
        <f>C83</f>
        <v>0</v>
      </c>
      <c r="C88" s="701"/>
      <c r="D88" s="702" t="s">
        <v>363</v>
      </c>
      <c r="E88" s="699"/>
      <c r="F88" s="702" t="s">
        <v>363</v>
      </c>
      <c r="G88" s="699"/>
      <c r="H88" s="702" t="s">
        <v>363</v>
      </c>
    </row>
    <row r="89" spans="1:8" ht="15.5" x14ac:dyDescent="0.35">
      <c r="A89" s="699" t="s">
        <v>1863</v>
      </c>
      <c r="B89" s="702" t="s">
        <v>363</v>
      </c>
      <c r="C89" s="701"/>
      <c r="D89" s="702" t="s">
        <v>363</v>
      </c>
      <c r="E89" s="703"/>
      <c r="F89" s="702" t="s">
        <v>363</v>
      </c>
      <c r="G89" s="703"/>
      <c r="H89" s="888">
        <f>2000/Data!$K$66</f>
        <v>33.333333333333336</v>
      </c>
    </row>
    <row r="90" spans="1:8" ht="15.5" x14ac:dyDescent="0.35">
      <c r="A90" s="699" t="s">
        <v>1571</v>
      </c>
      <c r="B90" s="700">
        <f>$C$83*C84</f>
        <v>0</v>
      </c>
      <c r="C90" s="701"/>
      <c r="D90" s="700">
        <f>C84</f>
        <v>0</v>
      </c>
      <c r="E90" s="703"/>
      <c r="F90" s="702" t="s">
        <v>363</v>
      </c>
      <c r="G90" s="703"/>
      <c r="H90" s="702" t="s">
        <v>363</v>
      </c>
    </row>
    <row r="91" spans="1:8" ht="15.5" x14ac:dyDescent="0.35">
      <c r="A91" s="699" t="s">
        <v>1864</v>
      </c>
      <c r="B91" s="700">
        <f>$C$83*E84</f>
        <v>0</v>
      </c>
      <c r="C91" s="701"/>
      <c r="D91" s="1191">
        <f>E84</f>
        <v>0</v>
      </c>
      <c r="E91" s="703"/>
      <c r="F91" s="702" t="s">
        <v>363</v>
      </c>
      <c r="G91" s="703"/>
      <c r="H91" s="702" t="s">
        <v>363</v>
      </c>
    </row>
    <row r="92" spans="1:8" ht="15.5" x14ac:dyDescent="0.35">
      <c r="A92" s="699" t="str">
        <f>IF(Data!B241=1,"Pea Price ($/unit) - Food Grade","Pea Price ($/unit) - Feed Grade")</f>
        <v>Pea Price ($/unit) - Feed Grade</v>
      </c>
      <c r="B92" s="702" t="s">
        <v>363</v>
      </c>
      <c r="C92" s="701"/>
      <c r="D92" s="702" t="s">
        <v>363</v>
      </c>
      <c r="E92" s="703"/>
      <c r="F92" s="704">
        <f>C85</f>
        <v>15</v>
      </c>
      <c r="G92" s="703"/>
      <c r="H92" s="840">
        <f>F92*H89</f>
        <v>500.00000000000006</v>
      </c>
    </row>
    <row r="93" spans="1:8" ht="15.5" x14ac:dyDescent="0.35">
      <c r="A93" s="699"/>
      <c r="B93" s="706"/>
      <c r="C93" s="706"/>
      <c r="D93" s="707"/>
      <c r="E93" s="744"/>
      <c r="F93" s="706"/>
      <c r="G93" s="744"/>
      <c r="H93" s="706"/>
    </row>
    <row r="94" spans="1:8" ht="15" x14ac:dyDescent="0.3">
      <c r="A94" s="709" t="s">
        <v>230</v>
      </c>
      <c r="B94" s="710">
        <f>C83*Data!B244*Data!B240</f>
        <v>0</v>
      </c>
      <c r="C94" s="711"/>
      <c r="D94" s="712" t="e">
        <f>B94/peas</f>
        <v>#DIV/0!</v>
      </c>
      <c r="E94" s="756"/>
      <c r="F94" s="711" t="e">
        <f>B94/($C$84*peas)</f>
        <v>#DIV/0!</v>
      </c>
      <c r="G94" s="756"/>
      <c r="H94" s="711" t="e">
        <f>B94/($E$84*peas)</f>
        <v>#DIV/0!</v>
      </c>
    </row>
    <row r="95" spans="1:8" ht="15.5" x14ac:dyDescent="0.35">
      <c r="A95" s="699"/>
      <c r="B95" s="721"/>
      <c r="C95" s="722"/>
      <c r="D95" s="717"/>
      <c r="E95" s="752"/>
      <c r="F95" s="716"/>
      <c r="G95" s="752"/>
      <c r="H95" s="716"/>
    </row>
    <row r="96" spans="1:8" ht="15.5" x14ac:dyDescent="0.35">
      <c r="A96" s="709" t="s">
        <v>365</v>
      </c>
      <c r="B96" s="715"/>
      <c r="C96" s="716"/>
      <c r="D96" s="717"/>
      <c r="E96" s="752"/>
      <c r="F96" s="716"/>
      <c r="G96" s="752"/>
      <c r="H96" s="715"/>
    </row>
    <row r="97" spans="1:16" ht="15.5" x14ac:dyDescent="0.35">
      <c r="A97" s="714" t="s">
        <v>13</v>
      </c>
      <c r="B97" s="715">
        <f>SUM(Pv!H9:H10)</f>
        <v>0</v>
      </c>
      <c r="C97" s="716"/>
      <c r="D97" s="739" t="e">
        <f>B97/peas</f>
        <v>#DIV/0!</v>
      </c>
      <c r="E97" s="752"/>
      <c r="F97" s="716" t="e">
        <f>B97/($C$84*peas)</f>
        <v>#DIV/0!</v>
      </c>
      <c r="G97" s="752"/>
      <c r="H97" s="716" t="e">
        <f>B97/($E$84*peas)</f>
        <v>#DIV/0!</v>
      </c>
    </row>
    <row r="98" spans="1:16" ht="15.5" x14ac:dyDescent="0.35">
      <c r="A98" s="714" t="s">
        <v>1</v>
      </c>
      <c r="B98" s="715">
        <f>Pv!H12</f>
        <v>0</v>
      </c>
      <c r="C98" s="716"/>
      <c r="D98" s="761" t="e">
        <f>B98/peas</f>
        <v>#DIV/0!</v>
      </c>
      <c r="E98" s="753"/>
      <c r="F98" s="715" t="e">
        <f>B98/($C$84*peas)</f>
        <v>#DIV/0!</v>
      </c>
      <c r="G98" s="753"/>
      <c r="H98" s="715" t="e">
        <f>B98/($E$84*peas)</f>
        <v>#DIV/0!</v>
      </c>
    </row>
    <row r="99" spans="1:16" ht="15.5" x14ac:dyDescent="0.35">
      <c r="A99" s="714" t="s">
        <v>2</v>
      </c>
      <c r="B99" s="715">
        <f>Pv!H14</f>
        <v>0</v>
      </c>
      <c r="C99" s="716"/>
      <c r="D99" s="761" t="e">
        <f>B99/peas</f>
        <v>#DIV/0!</v>
      </c>
      <c r="E99" s="753"/>
      <c r="F99" s="715" t="e">
        <f>B99/($C$84*peas)</f>
        <v>#DIV/0!</v>
      </c>
      <c r="G99" s="753"/>
      <c r="H99" s="715" t="e">
        <f>B99/($E$84*peas)</f>
        <v>#DIV/0!</v>
      </c>
    </row>
    <row r="100" spans="1:16" ht="15.5" x14ac:dyDescent="0.35">
      <c r="A100" s="714" t="s">
        <v>1476</v>
      </c>
      <c r="B100" s="699"/>
      <c r="C100" s="699"/>
      <c r="D100" s="699"/>
      <c r="E100" s="699"/>
      <c r="F100" s="699"/>
      <c r="G100" s="699"/>
      <c r="H100" s="699"/>
    </row>
    <row r="101" spans="1:16" ht="15.5" x14ac:dyDescent="0.35">
      <c r="A101" s="714" t="s">
        <v>1121</v>
      </c>
      <c r="B101" s="745">
        <f>SUM(Pv!H15:H16)</f>
        <v>0</v>
      </c>
      <c r="C101" s="746"/>
      <c r="D101" s="761" t="e">
        <f>B101/peas</f>
        <v>#DIV/0!</v>
      </c>
      <c r="E101" s="753"/>
      <c r="F101" s="715" t="e">
        <f>B101/($C$84*peas)</f>
        <v>#DIV/0!</v>
      </c>
      <c r="G101" s="753"/>
      <c r="H101" s="715" t="e">
        <f>B101/($E$84*peas)</f>
        <v>#DIV/0!</v>
      </c>
    </row>
    <row r="102" spans="1:16" ht="15.5" x14ac:dyDescent="0.35">
      <c r="A102" s="714" t="s">
        <v>1119</v>
      </c>
      <c r="B102" s="745">
        <f>SUM(Pv!H17:H17)</f>
        <v>0</v>
      </c>
      <c r="C102" s="746"/>
      <c r="D102" s="761" t="e">
        <f>B102/peas</f>
        <v>#DIV/0!</v>
      </c>
      <c r="E102" s="753"/>
      <c r="F102" s="715" t="e">
        <f>B102/($C$84*peas)</f>
        <v>#DIV/0!</v>
      </c>
      <c r="G102" s="753"/>
      <c r="H102" s="715" t="e">
        <f>B102/($E$84*peas)</f>
        <v>#DIV/0!</v>
      </c>
    </row>
    <row r="103" spans="1:16" ht="15.5" x14ac:dyDescent="0.35">
      <c r="A103" s="714" t="s">
        <v>1120</v>
      </c>
      <c r="B103" s="745">
        <f>SUM(Pv!H18:H18)</f>
        <v>0</v>
      </c>
      <c r="C103" s="746"/>
      <c r="D103" s="761" t="e">
        <f>B103/peas</f>
        <v>#DIV/0!</v>
      </c>
      <c r="E103" s="753"/>
      <c r="F103" s="715" t="e">
        <f>B103/($C$84*peas)</f>
        <v>#DIV/0!</v>
      </c>
      <c r="G103" s="753"/>
      <c r="H103" s="715" t="e">
        <f>B103/($E$84*peas)</f>
        <v>#DIV/0!</v>
      </c>
      <c r="J103" s="889" t="s">
        <v>1557</v>
      </c>
    </row>
    <row r="104" spans="1:16" ht="15.5" x14ac:dyDescent="0.35">
      <c r="A104" s="714" t="s">
        <v>1214</v>
      </c>
      <c r="B104" s="715"/>
      <c r="C104" s="716"/>
      <c r="D104" s="739"/>
      <c r="E104" s="752"/>
      <c r="F104" s="716"/>
      <c r="G104" s="752"/>
      <c r="H104" s="716"/>
      <c r="J104" s="756">
        <f>_wage_</f>
        <v>12.29</v>
      </c>
      <c r="K104" s="709" t="s">
        <v>1558</v>
      </c>
    </row>
    <row r="105" spans="1:16" ht="15.5" x14ac:dyDescent="0.35">
      <c r="A105" s="734" t="s">
        <v>1910</v>
      </c>
      <c r="B105" s="715">
        <f>Pv!H21</f>
        <v>0</v>
      </c>
      <c r="C105" s="716"/>
      <c r="D105" s="739" t="e">
        <f t="shared" ref="D105:D116" si="16">B105/peas</f>
        <v>#DIV/0!</v>
      </c>
      <c r="E105" s="752"/>
      <c r="F105" s="716" t="e">
        <f t="shared" ref="F105:F116" si="17">B105/($C$84*peas)</f>
        <v>#DIV/0!</v>
      </c>
      <c r="G105" s="752"/>
      <c r="H105" s="716" t="e">
        <f t="shared" ref="H105:H116" si="18">B105/($E$84*peas)</f>
        <v>#DIV/0!</v>
      </c>
      <c r="J105" s="697" t="s">
        <v>76</v>
      </c>
      <c r="K105" s="697"/>
      <c r="L105" s="697" t="s">
        <v>77</v>
      </c>
      <c r="M105" s="698"/>
      <c r="N105" s="697" t="s">
        <v>1554</v>
      </c>
      <c r="O105" s="698"/>
      <c r="P105" s="697" t="s">
        <v>385</v>
      </c>
    </row>
    <row r="106" spans="1:16" ht="15.5" x14ac:dyDescent="0.35">
      <c r="A106" s="734" t="s">
        <v>1256</v>
      </c>
      <c r="B106" s="715">
        <f>Pv!H23</f>
        <v>0</v>
      </c>
      <c r="C106" s="716"/>
      <c r="D106" s="739" t="e">
        <f t="shared" si="16"/>
        <v>#DIV/0!</v>
      </c>
      <c r="E106" s="752"/>
      <c r="F106" s="716" t="e">
        <f t="shared" si="17"/>
        <v>#DIV/0!</v>
      </c>
      <c r="G106" s="752"/>
      <c r="H106" s="716" t="e">
        <f t="shared" si="18"/>
        <v>#DIV/0!</v>
      </c>
      <c r="J106" s="763">
        <f>SUM(B105:B116)</f>
        <v>0</v>
      </c>
      <c r="L106" s="756" t="e">
        <f>SUM(D105:D116)</f>
        <v>#DIV/0!</v>
      </c>
      <c r="N106" s="756" t="e">
        <f>SUM(F105:F116)</f>
        <v>#DIV/0!</v>
      </c>
      <c r="P106" s="756" t="e">
        <f>SUM(H105:H116)</f>
        <v>#DIV/0!</v>
      </c>
    </row>
    <row r="107" spans="1:16" ht="15.5" x14ac:dyDescent="0.35">
      <c r="A107" s="734" t="s">
        <v>1252</v>
      </c>
      <c r="B107" s="715">
        <f>Pv!H24</f>
        <v>0</v>
      </c>
      <c r="C107" s="716"/>
      <c r="D107" s="739" t="e">
        <f t="shared" si="16"/>
        <v>#DIV/0!</v>
      </c>
      <c r="E107" s="752"/>
      <c r="F107" s="716" t="e">
        <f t="shared" si="17"/>
        <v>#DIV/0!</v>
      </c>
      <c r="G107" s="752"/>
      <c r="H107" s="716" t="e">
        <f t="shared" si="18"/>
        <v>#DIV/0!</v>
      </c>
    </row>
    <row r="108" spans="1:16" ht="15.5" x14ac:dyDescent="0.35">
      <c r="A108" s="734" t="s">
        <v>1253</v>
      </c>
      <c r="B108" s="715">
        <f>Pv!H25</f>
        <v>0</v>
      </c>
      <c r="C108" s="716"/>
      <c r="D108" s="739" t="e">
        <f t="shared" si="16"/>
        <v>#DIV/0!</v>
      </c>
      <c r="E108" s="752"/>
      <c r="F108" s="716" t="e">
        <f t="shared" si="17"/>
        <v>#DIV/0!</v>
      </c>
      <c r="G108" s="752"/>
      <c r="H108" s="716" t="e">
        <f t="shared" si="18"/>
        <v>#DIV/0!</v>
      </c>
    </row>
    <row r="109" spans="1:16" ht="15.5" x14ac:dyDescent="0.35">
      <c r="A109" s="734" t="s">
        <v>1254</v>
      </c>
      <c r="B109" s="715">
        <f>Pv!H26</f>
        <v>0</v>
      </c>
      <c r="C109" s="716"/>
      <c r="D109" s="739" t="e">
        <f t="shared" si="16"/>
        <v>#DIV/0!</v>
      </c>
      <c r="E109" s="752"/>
      <c r="F109" s="716" t="e">
        <f t="shared" si="17"/>
        <v>#DIV/0!</v>
      </c>
      <c r="G109" s="752"/>
      <c r="H109" s="716" t="e">
        <f t="shared" si="18"/>
        <v>#DIV/0!</v>
      </c>
    </row>
    <row r="110" spans="1:16" ht="15.5" x14ac:dyDescent="0.35">
      <c r="A110" s="734" t="s">
        <v>2176</v>
      </c>
      <c r="B110" s="715">
        <f>Pv!H27</f>
        <v>0</v>
      </c>
      <c r="C110" s="716"/>
      <c r="D110" s="739" t="e">
        <f t="shared" si="16"/>
        <v>#DIV/0!</v>
      </c>
      <c r="E110" s="752"/>
      <c r="F110" s="716" t="e">
        <f t="shared" si="17"/>
        <v>#DIV/0!</v>
      </c>
      <c r="G110" s="752"/>
      <c r="H110" s="716" t="e">
        <f t="shared" si="18"/>
        <v>#DIV/0!</v>
      </c>
    </row>
    <row r="111" spans="1:16" ht="15.5" x14ac:dyDescent="0.35">
      <c r="A111" s="734" t="s">
        <v>1280</v>
      </c>
      <c r="B111" s="715">
        <f>Pv!H31</f>
        <v>0</v>
      </c>
      <c r="C111" s="716"/>
      <c r="D111" s="739" t="e">
        <f t="shared" si="16"/>
        <v>#DIV/0!</v>
      </c>
      <c r="E111" s="752"/>
      <c r="F111" s="716" t="e">
        <f t="shared" si="17"/>
        <v>#DIV/0!</v>
      </c>
      <c r="G111" s="752"/>
      <c r="H111" s="716" t="e">
        <f t="shared" si="18"/>
        <v>#DIV/0!</v>
      </c>
    </row>
    <row r="112" spans="1:16" ht="15.5" x14ac:dyDescent="0.35">
      <c r="A112" s="734" t="s">
        <v>1255</v>
      </c>
      <c r="B112" s="715">
        <f>SUM(Pv!H35:H36)</f>
        <v>0</v>
      </c>
      <c r="C112" s="716"/>
      <c r="D112" s="739" t="e">
        <f t="shared" si="16"/>
        <v>#DIV/0!</v>
      </c>
      <c r="E112" s="752"/>
      <c r="F112" s="716" t="e">
        <f t="shared" si="17"/>
        <v>#DIV/0!</v>
      </c>
      <c r="G112" s="752"/>
      <c r="H112" s="716" t="e">
        <f t="shared" si="18"/>
        <v>#DIV/0!</v>
      </c>
    </row>
    <row r="113" spans="1:16" ht="15.5" x14ac:dyDescent="0.35">
      <c r="A113" s="734" t="s">
        <v>2077</v>
      </c>
      <c r="B113" s="715">
        <f>SUM(Pv!H37:H38)</f>
        <v>0</v>
      </c>
      <c r="C113" s="716"/>
      <c r="D113" s="739" t="e">
        <f t="shared" si="16"/>
        <v>#DIV/0!</v>
      </c>
      <c r="E113" s="752"/>
      <c r="F113" s="716" t="e">
        <f t="shared" si="17"/>
        <v>#DIV/0!</v>
      </c>
      <c r="G113" s="752"/>
      <c r="H113" s="716" t="e">
        <f t="shared" si="18"/>
        <v>#DIV/0!</v>
      </c>
    </row>
    <row r="114" spans="1:16" ht="15.5" x14ac:dyDescent="0.35">
      <c r="A114" s="734" t="s">
        <v>1537</v>
      </c>
      <c r="B114" s="715">
        <f>SUM(Pv!H39:H41)</f>
        <v>0</v>
      </c>
      <c r="C114" s="716"/>
      <c r="D114" s="739" t="e">
        <f t="shared" si="16"/>
        <v>#DIV/0!</v>
      </c>
      <c r="E114" s="752"/>
      <c r="F114" s="716" t="e">
        <f t="shared" si="17"/>
        <v>#DIV/0!</v>
      </c>
      <c r="G114" s="752"/>
      <c r="H114" s="716" t="e">
        <f t="shared" si="18"/>
        <v>#DIV/0!</v>
      </c>
    </row>
    <row r="115" spans="1:16" ht="15.5" x14ac:dyDescent="0.35">
      <c r="A115" s="734" t="s">
        <v>1257</v>
      </c>
      <c r="B115" s="715">
        <f>SUM(Pv!H42:H44)</f>
        <v>0</v>
      </c>
      <c r="C115" s="716"/>
      <c r="D115" s="739" t="e">
        <f t="shared" si="16"/>
        <v>#DIV/0!</v>
      </c>
      <c r="E115" s="752"/>
      <c r="F115" s="716" t="e">
        <f t="shared" si="17"/>
        <v>#DIV/0!</v>
      </c>
      <c r="G115" s="752"/>
      <c r="H115" s="716" t="e">
        <f t="shared" si="18"/>
        <v>#DIV/0!</v>
      </c>
    </row>
    <row r="116" spans="1:16" ht="15.5" x14ac:dyDescent="0.35">
      <c r="A116" s="734" t="s">
        <v>2078</v>
      </c>
      <c r="B116" s="715">
        <f>SUM(Pv!H46:H51)</f>
        <v>0</v>
      </c>
      <c r="C116" s="716"/>
      <c r="D116" s="739" t="e">
        <f t="shared" si="16"/>
        <v>#DIV/0!</v>
      </c>
      <c r="E116" s="752"/>
      <c r="F116" s="781" t="e">
        <f t="shared" si="17"/>
        <v>#DIV/0!</v>
      </c>
      <c r="G116" s="752"/>
      <c r="H116" s="716" t="e">
        <f t="shared" si="18"/>
        <v>#DIV/0!</v>
      </c>
      <c r="J116" s="889" t="s">
        <v>1985</v>
      </c>
    </row>
    <row r="117" spans="1:16" ht="15.5" x14ac:dyDescent="0.35">
      <c r="A117" s="714" t="s">
        <v>1260</v>
      </c>
      <c r="B117" s="715"/>
      <c r="C117" s="716"/>
      <c r="D117" s="739"/>
      <c r="E117" s="752"/>
      <c r="F117" s="716"/>
      <c r="G117" s="752"/>
      <c r="H117" s="716"/>
      <c r="J117" s="756">
        <f>diesel_fuel</f>
        <v>2.56</v>
      </c>
      <c r="K117" s="709" t="s">
        <v>1559</v>
      </c>
    </row>
    <row r="118" spans="1:16" ht="15.5" x14ac:dyDescent="0.35">
      <c r="A118" s="734" t="s">
        <v>1910</v>
      </c>
      <c r="B118" s="715">
        <f>Pv!H54</f>
        <v>0</v>
      </c>
      <c r="C118" s="716"/>
      <c r="D118" s="739" t="e">
        <f t="shared" ref="D118:D133" si="19">B118/peas</f>
        <v>#DIV/0!</v>
      </c>
      <c r="E118" s="752"/>
      <c r="F118" s="716" t="e">
        <f t="shared" ref="F118:F133" si="20">B118/($C$84*peas)</f>
        <v>#DIV/0!</v>
      </c>
      <c r="G118" s="752"/>
      <c r="H118" s="716" t="e">
        <f t="shared" ref="H118:H133" si="21">B118/($E$84*peas)</f>
        <v>#DIV/0!</v>
      </c>
      <c r="J118" s="697" t="s">
        <v>76</v>
      </c>
      <c r="K118" s="697"/>
      <c r="L118" s="697" t="s">
        <v>77</v>
      </c>
      <c r="M118" s="698"/>
      <c r="N118" s="697" t="s">
        <v>1554</v>
      </c>
      <c r="O118" s="698"/>
      <c r="P118" s="697" t="s">
        <v>385</v>
      </c>
    </row>
    <row r="119" spans="1:16" ht="15.5" x14ac:dyDescent="0.35">
      <c r="A119" s="734" t="s">
        <v>1256</v>
      </c>
      <c r="B119" s="715">
        <f>Pv!H56</f>
        <v>0</v>
      </c>
      <c r="C119" s="716"/>
      <c r="D119" s="739" t="e">
        <f t="shared" si="19"/>
        <v>#DIV/0!</v>
      </c>
      <c r="E119" s="752"/>
      <c r="F119" s="716" t="e">
        <f t="shared" si="20"/>
        <v>#DIV/0!</v>
      </c>
      <c r="G119" s="752"/>
      <c r="H119" s="716" t="e">
        <f t="shared" si="21"/>
        <v>#DIV/0!</v>
      </c>
      <c r="J119" s="763">
        <f>SUM(B118:B129)</f>
        <v>0</v>
      </c>
      <c r="L119" s="756" t="e">
        <f>SUM(D118:D129)</f>
        <v>#DIV/0!</v>
      </c>
      <c r="N119" s="756" t="e">
        <f>SUM(F118:F129)</f>
        <v>#DIV/0!</v>
      </c>
      <c r="P119" s="756" t="e">
        <f>SUM(H118:H129)</f>
        <v>#DIV/0!</v>
      </c>
    </row>
    <row r="120" spans="1:16" ht="15.5" x14ac:dyDescent="0.35">
      <c r="A120" s="734" t="s">
        <v>1252</v>
      </c>
      <c r="B120" s="715">
        <f>Pv!H57</f>
        <v>0</v>
      </c>
      <c r="C120" s="716"/>
      <c r="D120" s="739" t="e">
        <f t="shared" si="19"/>
        <v>#DIV/0!</v>
      </c>
      <c r="E120" s="752"/>
      <c r="F120" s="716" t="e">
        <f t="shared" si="20"/>
        <v>#DIV/0!</v>
      </c>
      <c r="G120" s="752"/>
      <c r="H120" s="716" t="e">
        <f t="shared" si="21"/>
        <v>#DIV/0!</v>
      </c>
    </row>
    <row r="121" spans="1:16" ht="15.5" x14ac:dyDescent="0.35">
      <c r="A121" s="734" t="s">
        <v>1253</v>
      </c>
      <c r="B121" s="715">
        <f>Pv!H58</f>
        <v>0</v>
      </c>
      <c r="C121" s="716"/>
      <c r="D121" s="739" t="e">
        <f t="shared" si="19"/>
        <v>#DIV/0!</v>
      </c>
      <c r="E121" s="752"/>
      <c r="F121" s="716" t="e">
        <f t="shared" si="20"/>
        <v>#DIV/0!</v>
      </c>
      <c r="G121" s="752"/>
      <c r="H121" s="716" t="e">
        <f t="shared" si="21"/>
        <v>#DIV/0!</v>
      </c>
    </row>
    <row r="122" spans="1:16" ht="15.5" x14ac:dyDescent="0.35">
      <c r="A122" s="734" t="s">
        <v>1254</v>
      </c>
      <c r="B122" s="715">
        <f>Pv!H59</f>
        <v>0</v>
      </c>
      <c r="C122" s="716"/>
      <c r="D122" s="739" t="e">
        <f t="shared" si="19"/>
        <v>#DIV/0!</v>
      </c>
      <c r="E122" s="752"/>
      <c r="F122" s="716" t="e">
        <f t="shared" si="20"/>
        <v>#DIV/0!</v>
      </c>
      <c r="G122" s="752"/>
      <c r="H122" s="716" t="e">
        <f t="shared" si="21"/>
        <v>#DIV/0!</v>
      </c>
    </row>
    <row r="123" spans="1:16" ht="15.5" x14ac:dyDescent="0.35">
      <c r="A123" s="734" t="s">
        <v>2176</v>
      </c>
      <c r="B123" s="715">
        <f>Pv!H60</f>
        <v>0</v>
      </c>
      <c r="C123" s="716"/>
      <c r="D123" s="739" t="e">
        <f t="shared" si="19"/>
        <v>#DIV/0!</v>
      </c>
      <c r="E123" s="752"/>
      <c r="F123" s="716" t="e">
        <f t="shared" si="20"/>
        <v>#DIV/0!</v>
      </c>
      <c r="G123" s="752"/>
      <c r="H123" s="716" t="e">
        <f t="shared" si="21"/>
        <v>#DIV/0!</v>
      </c>
    </row>
    <row r="124" spans="1:16" ht="15.5" x14ac:dyDescent="0.35">
      <c r="A124" s="734" t="s">
        <v>1280</v>
      </c>
      <c r="B124" s="715">
        <f>Pv!H64</f>
        <v>0</v>
      </c>
      <c r="C124" s="716"/>
      <c r="D124" s="739" t="e">
        <f t="shared" si="19"/>
        <v>#DIV/0!</v>
      </c>
      <c r="E124" s="752"/>
      <c r="F124" s="716" t="e">
        <f t="shared" si="20"/>
        <v>#DIV/0!</v>
      </c>
      <c r="G124" s="752"/>
      <c r="H124" s="716" t="e">
        <f t="shared" si="21"/>
        <v>#DIV/0!</v>
      </c>
    </row>
    <row r="125" spans="1:16" ht="15.5" x14ac:dyDescent="0.35">
      <c r="A125" s="734" t="s">
        <v>1255</v>
      </c>
      <c r="B125" s="715">
        <f>SUM(Pv!H68:H69)</f>
        <v>0</v>
      </c>
      <c r="C125" s="716"/>
      <c r="D125" s="739" t="e">
        <f t="shared" si="19"/>
        <v>#DIV/0!</v>
      </c>
      <c r="E125" s="752"/>
      <c r="F125" s="716" t="e">
        <f t="shared" si="20"/>
        <v>#DIV/0!</v>
      </c>
      <c r="G125" s="752"/>
      <c r="H125" s="716" t="e">
        <f t="shared" si="21"/>
        <v>#DIV/0!</v>
      </c>
    </row>
    <row r="126" spans="1:16" ht="15.5" x14ac:dyDescent="0.35">
      <c r="A126" s="734" t="s">
        <v>2077</v>
      </c>
      <c r="B126" s="715">
        <f>SUM(Pv!H70:H71)</f>
        <v>0</v>
      </c>
      <c r="C126" s="716"/>
      <c r="D126" s="739" t="e">
        <f t="shared" si="19"/>
        <v>#DIV/0!</v>
      </c>
      <c r="E126" s="752"/>
      <c r="F126" s="716" t="e">
        <f t="shared" si="20"/>
        <v>#DIV/0!</v>
      </c>
      <c r="G126" s="752"/>
      <c r="H126" s="716" t="e">
        <f t="shared" si="21"/>
        <v>#DIV/0!</v>
      </c>
    </row>
    <row r="127" spans="1:16" ht="15.5" x14ac:dyDescent="0.35">
      <c r="A127" s="734" t="s">
        <v>1537</v>
      </c>
      <c r="B127" s="715">
        <f>SUM(Pv!H72:H74)</f>
        <v>0</v>
      </c>
      <c r="C127" s="716"/>
      <c r="D127" s="761" t="e">
        <f t="shared" si="19"/>
        <v>#DIV/0!</v>
      </c>
      <c r="E127" s="752"/>
      <c r="F127" s="715" t="e">
        <f t="shared" si="20"/>
        <v>#DIV/0!</v>
      </c>
      <c r="G127" s="752"/>
      <c r="H127" s="715" t="e">
        <f t="shared" si="21"/>
        <v>#DIV/0!</v>
      </c>
    </row>
    <row r="128" spans="1:16" ht="15.5" x14ac:dyDescent="0.35">
      <c r="A128" s="734" t="s">
        <v>1257</v>
      </c>
      <c r="B128" s="715">
        <f>SUM(Pv!H75:H77)</f>
        <v>0</v>
      </c>
      <c r="C128" s="716"/>
      <c r="D128" s="761" t="e">
        <f t="shared" si="19"/>
        <v>#DIV/0!</v>
      </c>
      <c r="E128" s="753"/>
      <c r="F128" s="715" t="e">
        <f t="shared" si="20"/>
        <v>#DIV/0!</v>
      </c>
      <c r="G128" s="753"/>
      <c r="H128" s="715" t="e">
        <f t="shared" si="21"/>
        <v>#DIV/0!</v>
      </c>
    </row>
    <row r="129" spans="1:8" ht="15.5" x14ac:dyDescent="0.35">
      <c r="A129" s="734" t="s">
        <v>2078</v>
      </c>
      <c r="B129" s="715">
        <f>SUM(Pv!H79:H84)</f>
        <v>0</v>
      </c>
      <c r="C129" s="716"/>
      <c r="D129" s="739" t="e">
        <f t="shared" si="19"/>
        <v>#DIV/0!</v>
      </c>
      <c r="E129" s="753"/>
      <c r="F129" s="716" t="e">
        <f t="shared" si="20"/>
        <v>#DIV/0!</v>
      </c>
      <c r="G129" s="753"/>
      <c r="H129" s="716" t="e">
        <f t="shared" si="21"/>
        <v>#DIV/0!</v>
      </c>
    </row>
    <row r="130" spans="1:8" ht="15.5" x14ac:dyDescent="0.35">
      <c r="A130" s="714" t="s">
        <v>1258</v>
      </c>
      <c r="B130" s="715">
        <f>Pv!H85</f>
        <v>0</v>
      </c>
      <c r="C130" s="716"/>
      <c r="D130" s="739" t="e">
        <f t="shared" si="19"/>
        <v>#DIV/0!</v>
      </c>
      <c r="E130" s="752"/>
      <c r="F130" s="716" t="e">
        <f t="shared" si="20"/>
        <v>#DIV/0!</v>
      </c>
      <c r="G130" s="752"/>
      <c r="H130" s="716" t="e">
        <f t="shared" si="21"/>
        <v>#DIV/0!</v>
      </c>
    </row>
    <row r="131" spans="1:8" ht="15.5" x14ac:dyDescent="0.35">
      <c r="A131" s="714" t="s">
        <v>78</v>
      </c>
      <c r="B131" s="715">
        <f>SUM(Pv!H86:H87)</f>
        <v>0</v>
      </c>
      <c r="C131" s="716"/>
      <c r="D131" s="739" t="e">
        <f t="shared" si="19"/>
        <v>#DIV/0!</v>
      </c>
      <c r="E131" s="752"/>
      <c r="F131" s="716" t="e">
        <f t="shared" si="20"/>
        <v>#DIV/0!</v>
      </c>
      <c r="G131" s="752"/>
      <c r="H131" s="716" t="e">
        <f t="shared" si="21"/>
        <v>#DIV/0!</v>
      </c>
    </row>
    <row r="132" spans="1:8" ht="15.5" x14ac:dyDescent="0.35">
      <c r="A132" s="714" t="s">
        <v>170</v>
      </c>
      <c r="B132" s="732">
        <f>Pv!H88</f>
        <v>0</v>
      </c>
      <c r="C132" s="733"/>
      <c r="D132" s="761" t="e">
        <f t="shared" si="19"/>
        <v>#DIV/0!</v>
      </c>
      <c r="E132" s="753"/>
      <c r="F132" s="715" t="e">
        <f t="shared" si="20"/>
        <v>#DIV/0!</v>
      </c>
      <c r="G132" s="753"/>
      <c r="H132" s="715" t="e">
        <f t="shared" si="21"/>
        <v>#DIV/0!</v>
      </c>
    </row>
    <row r="133" spans="1:8" ht="15.5" x14ac:dyDescent="0.35">
      <c r="A133" s="714" t="s">
        <v>171</v>
      </c>
      <c r="B133" s="732">
        <f>SUM(Pv!H89:H90)</f>
        <v>0</v>
      </c>
      <c r="C133" s="733"/>
      <c r="D133" s="739" t="e">
        <f t="shared" si="19"/>
        <v>#DIV/0!</v>
      </c>
      <c r="E133" s="752"/>
      <c r="F133" s="716" t="e">
        <f t="shared" si="20"/>
        <v>#DIV/0!</v>
      </c>
      <c r="G133" s="752"/>
      <c r="H133" s="716" t="e">
        <f t="shared" si="21"/>
        <v>#DIV/0!</v>
      </c>
    </row>
    <row r="134" spans="1:8" ht="15.5" x14ac:dyDescent="0.35">
      <c r="A134" s="714" t="s">
        <v>172</v>
      </c>
      <c r="B134" s="699"/>
      <c r="C134" s="699"/>
      <c r="D134" s="703"/>
      <c r="E134" s="699"/>
      <c r="F134" s="716"/>
      <c r="G134" s="699"/>
      <c r="H134" s="716"/>
    </row>
    <row r="135" spans="1:8" ht="15.5" x14ac:dyDescent="0.35">
      <c r="A135" s="734" t="s">
        <v>439</v>
      </c>
      <c r="B135" s="732">
        <f>Pv!H92</f>
        <v>0</v>
      </c>
      <c r="C135" s="733"/>
      <c r="D135" s="739" t="e">
        <f t="shared" ref="D135:D148" si="22">B135/peas</f>
        <v>#DIV/0!</v>
      </c>
      <c r="E135" s="752"/>
      <c r="F135" s="716" t="e">
        <f t="shared" ref="F135:F148" si="23">B135/($C$84*peas)</f>
        <v>#DIV/0!</v>
      </c>
      <c r="G135" s="752"/>
      <c r="H135" s="716" t="e">
        <f t="shared" ref="H135:H148" si="24">B135/($E$84*peas)</f>
        <v>#DIV/0!</v>
      </c>
    </row>
    <row r="136" spans="1:8" ht="15.5" x14ac:dyDescent="0.35">
      <c r="A136" s="734" t="s">
        <v>1506</v>
      </c>
      <c r="B136" s="732">
        <f>SUM(Pv!H93:H95)</f>
        <v>0</v>
      </c>
      <c r="C136" s="733"/>
      <c r="D136" s="739" t="e">
        <f t="shared" si="22"/>
        <v>#DIV/0!</v>
      </c>
      <c r="E136" s="752"/>
      <c r="F136" s="716" t="e">
        <f t="shared" si="23"/>
        <v>#DIV/0!</v>
      </c>
      <c r="G136" s="752"/>
      <c r="H136" s="716" t="e">
        <f t="shared" si="24"/>
        <v>#DIV/0!</v>
      </c>
    </row>
    <row r="137" spans="1:8" ht="15.5" x14ac:dyDescent="0.35">
      <c r="A137" s="734" t="s">
        <v>1505</v>
      </c>
      <c r="B137" s="732">
        <f>SUM(Pv!H96:H98)</f>
        <v>0</v>
      </c>
      <c r="C137" s="733"/>
      <c r="D137" s="739" t="e">
        <f t="shared" si="22"/>
        <v>#DIV/0!</v>
      </c>
      <c r="E137" s="752"/>
      <c r="F137" s="716" t="e">
        <f t="shared" si="23"/>
        <v>#DIV/0!</v>
      </c>
      <c r="G137" s="752"/>
      <c r="H137" s="716" t="e">
        <f t="shared" si="24"/>
        <v>#DIV/0!</v>
      </c>
    </row>
    <row r="138" spans="1:8" ht="15.5" x14ac:dyDescent="0.35">
      <c r="A138" s="734" t="s">
        <v>1237</v>
      </c>
      <c r="B138" s="753">
        <f>Pv!H99</f>
        <v>0</v>
      </c>
      <c r="C138" s="699"/>
      <c r="D138" s="739" t="e">
        <f t="shared" si="22"/>
        <v>#DIV/0!</v>
      </c>
      <c r="E138" s="752"/>
      <c r="F138" s="716" t="e">
        <f t="shared" si="23"/>
        <v>#DIV/0!</v>
      </c>
      <c r="G138" s="752"/>
      <c r="H138" s="716" t="e">
        <f t="shared" si="24"/>
        <v>#DIV/0!</v>
      </c>
    </row>
    <row r="139" spans="1:8" ht="15.5" x14ac:dyDescent="0.35">
      <c r="A139" s="734" t="s">
        <v>1212</v>
      </c>
      <c r="B139" s="732">
        <f>SUM(Pv!H100:H102)</f>
        <v>0</v>
      </c>
      <c r="C139" s="733"/>
      <c r="D139" s="739" t="e">
        <f t="shared" si="22"/>
        <v>#DIV/0!</v>
      </c>
      <c r="E139" s="752"/>
      <c r="F139" s="716" t="e">
        <f t="shared" si="23"/>
        <v>#DIV/0!</v>
      </c>
      <c r="G139" s="752"/>
      <c r="H139" s="716" t="e">
        <f t="shared" si="24"/>
        <v>#DIV/0!</v>
      </c>
    </row>
    <row r="140" spans="1:8" ht="15.5" x14ac:dyDescent="0.35">
      <c r="A140" s="734" t="s">
        <v>1238</v>
      </c>
      <c r="B140" s="753">
        <f>SUM(Pv!H103:H105)</f>
        <v>0</v>
      </c>
      <c r="C140" s="733"/>
      <c r="D140" s="739" t="e">
        <f t="shared" si="22"/>
        <v>#DIV/0!</v>
      </c>
      <c r="E140" s="752"/>
      <c r="F140" s="716" t="e">
        <f t="shared" si="23"/>
        <v>#DIV/0!</v>
      </c>
      <c r="G140" s="752"/>
      <c r="H140" s="716" t="e">
        <f t="shared" si="24"/>
        <v>#DIV/0!</v>
      </c>
    </row>
    <row r="141" spans="1:8" ht="15.5" x14ac:dyDescent="0.35">
      <c r="A141" s="734" t="s">
        <v>2029</v>
      </c>
      <c r="B141" s="753">
        <f>SUM(Pv!H106:H108)</f>
        <v>0</v>
      </c>
      <c r="C141" s="699"/>
      <c r="D141" s="761" t="e">
        <f>B141/peas</f>
        <v>#DIV/0!</v>
      </c>
      <c r="E141" s="752"/>
      <c r="F141" s="715" t="e">
        <f>B141/($C$84*peas)</f>
        <v>#DIV/0!</v>
      </c>
      <c r="G141" s="752"/>
      <c r="H141" s="715" t="e">
        <f>B141/($E$84*peas)</f>
        <v>#DIV/0!</v>
      </c>
    </row>
    <row r="142" spans="1:8" ht="15.5" x14ac:dyDescent="0.35">
      <c r="A142" s="734" t="s">
        <v>1532</v>
      </c>
      <c r="B142" s="753">
        <f>SUM(Pv!H109:H113)</f>
        <v>0</v>
      </c>
      <c r="C142" s="733"/>
      <c r="D142" s="739" t="e">
        <f t="shared" si="22"/>
        <v>#DIV/0!</v>
      </c>
      <c r="E142" s="752"/>
      <c r="F142" s="716" t="e">
        <f t="shared" si="23"/>
        <v>#DIV/0!</v>
      </c>
      <c r="G142" s="752"/>
      <c r="H142" s="716" t="e">
        <f t="shared" si="24"/>
        <v>#DIV/0!</v>
      </c>
    </row>
    <row r="143" spans="1:8" ht="15.5" x14ac:dyDescent="0.35">
      <c r="A143" s="734" t="s">
        <v>1533</v>
      </c>
      <c r="B143" s="753">
        <f>SUM(Pv!H114:H115)</f>
        <v>0</v>
      </c>
      <c r="C143" s="733"/>
      <c r="D143" s="761" t="e">
        <f t="shared" si="22"/>
        <v>#DIV/0!</v>
      </c>
      <c r="E143" s="752"/>
      <c r="F143" s="715" t="e">
        <f t="shared" si="23"/>
        <v>#DIV/0!</v>
      </c>
      <c r="G143" s="752"/>
      <c r="H143" s="715" t="e">
        <f t="shared" si="24"/>
        <v>#DIV/0!</v>
      </c>
    </row>
    <row r="144" spans="1:8" ht="15.5" x14ac:dyDescent="0.35">
      <c r="A144" s="734" t="s">
        <v>1534</v>
      </c>
      <c r="B144" s="753">
        <f>Pv!H116</f>
        <v>0</v>
      </c>
      <c r="C144" s="733"/>
      <c r="D144" s="739" t="e">
        <f t="shared" si="22"/>
        <v>#DIV/0!</v>
      </c>
      <c r="E144" s="752"/>
      <c r="F144" s="781" t="e">
        <f t="shared" si="23"/>
        <v>#DIV/0!</v>
      </c>
      <c r="G144" s="752"/>
      <c r="H144" s="716" t="e">
        <f t="shared" si="24"/>
        <v>#DIV/0!</v>
      </c>
    </row>
    <row r="145" spans="1:16" ht="15.5" x14ac:dyDescent="0.35">
      <c r="A145" s="734" t="s">
        <v>1535</v>
      </c>
      <c r="B145" s="753">
        <f>Pv!H117</f>
        <v>0</v>
      </c>
      <c r="C145" s="733"/>
      <c r="D145" s="739" t="e">
        <f t="shared" si="22"/>
        <v>#DIV/0!</v>
      </c>
      <c r="E145" s="752"/>
      <c r="F145" s="781" t="e">
        <f t="shared" si="23"/>
        <v>#DIV/0!</v>
      </c>
      <c r="G145" s="752"/>
      <c r="H145" s="716" t="e">
        <f t="shared" si="24"/>
        <v>#DIV/0!</v>
      </c>
    </row>
    <row r="146" spans="1:16" ht="15.5" x14ac:dyDescent="0.35">
      <c r="A146" s="734" t="s">
        <v>1536</v>
      </c>
      <c r="B146" s="753">
        <f>Pv!H118</f>
        <v>0</v>
      </c>
      <c r="C146" s="733"/>
      <c r="D146" s="739" t="e">
        <f t="shared" si="22"/>
        <v>#DIV/0!</v>
      </c>
      <c r="E146" s="752"/>
      <c r="F146" s="781" t="e">
        <f t="shared" si="23"/>
        <v>#DIV/0!</v>
      </c>
      <c r="G146" s="752"/>
      <c r="H146" s="716" t="e">
        <f t="shared" si="24"/>
        <v>#DIV/0!</v>
      </c>
    </row>
    <row r="147" spans="1:16" ht="15.5" x14ac:dyDescent="0.35">
      <c r="A147" s="734" t="s">
        <v>443</v>
      </c>
      <c r="B147" s="732">
        <f>SUM(Pv!H119:H121)</f>
        <v>0</v>
      </c>
      <c r="C147" s="733"/>
      <c r="D147" s="761" t="e">
        <f t="shared" si="22"/>
        <v>#DIV/0!</v>
      </c>
      <c r="E147" s="753"/>
      <c r="F147" s="715" t="e">
        <f t="shared" si="23"/>
        <v>#DIV/0!</v>
      </c>
      <c r="G147" s="753"/>
      <c r="H147" s="715" t="e">
        <f t="shared" si="24"/>
        <v>#DIV/0!</v>
      </c>
    </row>
    <row r="148" spans="1:16" ht="15.5" x14ac:dyDescent="0.35">
      <c r="A148" s="714" t="s">
        <v>69</v>
      </c>
      <c r="B148" s="732">
        <f>Pv!H125</f>
        <v>0</v>
      </c>
      <c r="C148" s="733"/>
      <c r="D148" s="739" t="e">
        <f t="shared" si="22"/>
        <v>#DIV/0!</v>
      </c>
      <c r="E148" s="752"/>
      <c r="F148" s="716" t="e">
        <f t="shared" si="23"/>
        <v>#DIV/0!</v>
      </c>
      <c r="G148" s="752"/>
      <c r="H148" s="716" t="e">
        <f t="shared" si="24"/>
        <v>#DIV/0!</v>
      </c>
    </row>
    <row r="149" spans="1:16" ht="15" x14ac:dyDescent="0.3">
      <c r="A149" s="709" t="s">
        <v>366</v>
      </c>
      <c r="B149" s="735">
        <f>SUM(B97:B148)</f>
        <v>0</v>
      </c>
      <c r="C149" s="736"/>
      <c r="D149" s="737" t="e">
        <f>SUM(D97:D148)</f>
        <v>#DIV/0!</v>
      </c>
      <c r="E149" s="736"/>
      <c r="F149" s="736" t="e">
        <f>SUM(F97:F148)</f>
        <v>#DIV/0!</v>
      </c>
      <c r="G149" s="736"/>
      <c r="H149" s="736" t="e">
        <f>SUM(H97:H148)</f>
        <v>#DIV/0!</v>
      </c>
    </row>
    <row r="150" spans="1:16" ht="15.5" x14ac:dyDescent="0.35">
      <c r="A150" s="738"/>
      <c r="B150" s="732"/>
      <c r="C150" s="733"/>
      <c r="D150" s="739"/>
      <c r="E150" s="757"/>
      <c r="F150" s="757"/>
      <c r="G150" s="757"/>
      <c r="H150" s="757"/>
    </row>
    <row r="151" spans="1:16" ht="15.5" x14ac:dyDescent="0.35">
      <c r="A151" s="709" t="s">
        <v>367</v>
      </c>
      <c r="B151" s="732"/>
      <c r="C151" s="733"/>
      <c r="D151" s="739"/>
      <c r="E151" s="757"/>
      <c r="F151" s="757"/>
      <c r="G151" s="757"/>
      <c r="H151" s="757"/>
    </row>
    <row r="152" spans="1:16" ht="15.5" x14ac:dyDescent="0.35">
      <c r="A152" s="714" t="s">
        <v>29</v>
      </c>
      <c r="B152" s="732"/>
      <c r="C152" s="733"/>
      <c r="D152" s="733"/>
      <c r="E152" s="757"/>
      <c r="F152" s="716"/>
      <c r="G152" s="757"/>
      <c r="J152" s="890" t="s">
        <v>29</v>
      </c>
    </row>
    <row r="153" spans="1:16" ht="15.5" x14ac:dyDescent="0.35">
      <c r="A153" s="734" t="s">
        <v>1240</v>
      </c>
      <c r="B153" s="732">
        <f>SUM(Pf!H8:H24)</f>
        <v>0</v>
      </c>
      <c r="C153" s="733"/>
      <c r="D153" s="739" t="e">
        <f t="shared" ref="D153:D166" si="25">B153/peas</f>
        <v>#DIV/0!</v>
      </c>
      <c r="E153" s="752"/>
      <c r="F153" s="716" t="e">
        <f t="shared" ref="F153:F166" si="26">B153/($C$84*peas)</f>
        <v>#DIV/0!</v>
      </c>
      <c r="G153" s="752"/>
      <c r="H153" s="716" t="e">
        <f t="shared" ref="H153:H166" si="27">B153/($E$84*peas)</f>
        <v>#DIV/0!</v>
      </c>
      <c r="J153" s="697" t="s">
        <v>76</v>
      </c>
      <c r="K153" s="697"/>
      <c r="L153" s="697" t="s">
        <v>77</v>
      </c>
      <c r="M153" s="698"/>
      <c r="N153" s="697" t="s">
        <v>1554</v>
      </c>
      <c r="O153" s="698"/>
      <c r="P153" s="697" t="s">
        <v>385</v>
      </c>
    </row>
    <row r="154" spans="1:16" ht="15.5" x14ac:dyDescent="0.35">
      <c r="A154" s="734" t="s">
        <v>1241</v>
      </c>
      <c r="B154" s="732">
        <f>SUM(Pf!H25:H33)</f>
        <v>0</v>
      </c>
      <c r="C154" s="733"/>
      <c r="D154" s="739" t="e">
        <f t="shared" si="25"/>
        <v>#DIV/0!</v>
      </c>
      <c r="E154" s="752"/>
      <c r="F154" s="716" t="e">
        <f t="shared" si="26"/>
        <v>#DIV/0!</v>
      </c>
      <c r="G154" s="752"/>
      <c r="H154" s="716" t="e">
        <f t="shared" si="27"/>
        <v>#DIV/0!</v>
      </c>
      <c r="J154" s="763">
        <f>SUM(B153:B165)</f>
        <v>0</v>
      </c>
      <c r="L154" s="756" t="e">
        <f>SUM(D153:D165)</f>
        <v>#DIV/0!</v>
      </c>
      <c r="N154" s="756" t="e">
        <f>SUM(F153:F165)</f>
        <v>#DIV/0!</v>
      </c>
      <c r="P154" s="756" t="e">
        <f>SUM(H153:H165)</f>
        <v>#DIV/0!</v>
      </c>
    </row>
    <row r="155" spans="1:16" ht="15.5" x14ac:dyDescent="0.35">
      <c r="A155" s="734" t="s">
        <v>1243</v>
      </c>
      <c r="B155" s="732">
        <f>SUM(Pf!H34:H53)</f>
        <v>0</v>
      </c>
      <c r="C155" s="733"/>
      <c r="D155" s="739" t="e">
        <f t="shared" si="25"/>
        <v>#DIV/0!</v>
      </c>
      <c r="E155" s="752"/>
      <c r="F155" s="716" t="e">
        <f t="shared" si="26"/>
        <v>#DIV/0!</v>
      </c>
      <c r="G155" s="752"/>
      <c r="H155" s="716" t="e">
        <f t="shared" si="27"/>
        <v>#DIV/0!</v>
      </c>
    </row>
    <row r="156" spans="1:16" ht="15.5" x14ac:dyDescent="0.35">
      <c r="A156" s="734" t="s">
        <v>1242</v>
      </c>
      <c r="B156" s="732">
        <f>SUM(Pf!H54:H59)</f>
        <v>0</v>
      </c>
      <c r="C156" s="733"/>
      <c r="D156" s="739" t="e">
        <f t="shared" si="25"/>
        <v>#DIV/0!</v>
      </c>
      <c r="E156" s="752"/>
      <c r="F156" s="716" t="e">
        <f t="shared" si="26"/>
        <v>#DIV/0!</v>
      </c>
      <c r="G156" s="752"/>
      <c r="H156" s="716" t="e">
        <f t="shared" si="27"/>
        <v>#DIV/0!</v>
      </c>
    </row>
    <row r="157" spans="1:16" ht="15.5" x14ac:dyDescent="0.35">
      <c r="A157" s="734" t="s">
        <v>1244</v>
      </c>
      <c r="B157" s="732">
        <f>SUM(Pf!H60:H64)</f>
        <v>0</v>
      </c>
      <c r="C157" s="733"/>
      <c r="D157" s="761" t="e">
        <f t="shared" si="25"/>
        <v>#DIV/0!</v>
      </c>
      <c r="E157" s="753"/>
      <c r="F157" s="715" t="e">
        <f t="shared" si="26"/>
        <v>#DIV/0!</v>
      </c>
      <c r="G157" s="753"/>
      <c r="H157" s="715" t="e">
        <f t="shared" si="27"/>
        <v>#DIV/0!</v>
      </c>
    </row>
    <row r="158" spans="1:16" ht="15.5" x14ac:dyDescent="0.35">
      <c r="A158" s="734" t="s">
        <v>1245</v>
      </c>
      <c r="B158" s="732">
        <f>0</f>
        <v>0</v>
      </c>
      <c r="C158" s="733"/>
      <c r="D158" s="761" t="e">
        <f t="shared" si="25"/>
        <v>#DIV/0!</v>
      </c>
      <c r="E158" s="753"/>
      <c r="F158" s="715" t="e">
        <f t="shared" si="26"/>
        <v>#DIV/0!</v>
      </c>
      <c r="G158" s="753"/>
      <c r="H158" s="715" t="e">
        <f t="shared" si="27"/>
        <v>#DIV/0!</v>
      </c>
    </row>
    <row r="159" spans="1:16" ht="15.5" x14ac:dyDescent="0.35">
      <c r="A159" s="734" t="s">
        <v>1246</v>
      </c>
      <c r="B159" s="732">
        <f>SUM(Pf!H65:H72)</f>
        <v>0</v>
      </c>
      <c r="C159" s="733"/>
      <c r="D159" s="739" t="e">
        <f t="shared" si="25"/>
        <v>#DIV/0!</v>
      </c>
      <c r="E159" s="752"/>
      <c r="F159" s="716" t="e">
        <f t="shared" si="26"/>
        <v>#DIV/0!</v>
      </c>
      <c r="G159" s="752"/>
      <c r="H159" s="716" t="e">
        <f t="shared" si="27"/>
        <v>#DIV/0!</v>
      </c>
    </row>
    <row r="160" spans="1:16" ht="15.5" x14ac:dyDescent="0.35">
      <c r="A160" s="734" t="s">
        <v>1247</v>
      </c>
      <c r="B160" s="732">
        <f>SUM(Pf!H73:H80)</f>
        <v>0</v>
      </c>
      <c r="C160" s="733"/>
      <c r="D160" s="739" t="e">
        <f t="shared" si="25"/>
        <v>#DIV/0!</v>
      </c>
      <c r="E160" s="752"/>
      <c r="F160" s="781" t="e">
        <f t="shared" si="26"/>
        <v>#DIV/0!</v>
      </c>
      <c r="G160" s="752"/>
      <c r="H160" s="716" t="e">
        <f t="shared" si="27"/>
        <v>#DIV/0!</v>
      </c>
    </row>
    <row r="161" spans="1:8" ht="15.5" x14ac:dyDescent="0.35">
      <c r="A161" s="734" t="s">
        <v>2148</v>
      </c>
      <c r="B161" s="732">
        <f>SUM(Pf!H81:H85)</f>
        <v>0</v>
      </c>
      <c r="C161" s="733"/>
      <c r="D161" s="739" t="e">
        <f t="shared" ref="D161" si="28">B161/peas</f>
        <v>#DIV/0!</v>
      </c>
      <c r="E161" s="752"/>
      <c r="F161" s="716" t="e">
        <f t="shared" ref="F161" si="29">B161/($C$84*peas)</f>
        <v>#DIV/0!</v>
      </c>
      <c r="G161" s="752"/>
      <c r="H161" s="716" t="e">
        <f t="shared" ref="H161" si="30">B161/($E$84*peas)</f>
        <v>#DIV/0!</v>
      </c>
    </row>
    <row r="162" spans="1:8" ht="15.5" x14ac:dyDescent="0.35">
      <c r="A162" s="734" t="s">
        <v>1250</v>
      </c>
      <c r="B162" s="732">
        <f>SUM(Pf!H86:H96)</f>
        <v>0</v>
      </c>
      <c r="C162" s="733"/>
      <c r="D162" s="739" t="e">
        <f t="shared" si="25"/>
        <v>#DIV/0!</v>
      </c>
      <c r="E162" s="752"/>
      <c r="F162" s="716" t="e">
        <f t="shared" si="26"/>
        <v>#DIV/0!</v>
      </c>
      <c r="G162" s="752"/>
      <c r="H162" s="716" t="e">
        <f t="shared" si="27"/>
        <v>#DIV/0!</v>
      </c>
    </row>
    <row r="163" spans="1:8" ht="15.5" x14ac:dyDescent="0.35">
      <c r="A163" s="734" t="s">
        <v>1304</v>
      </c>
      <c r="B163" s="732">
        <f>0</f>
        <v>0</v>
      </c>
      <c r="C163" s="733"/>
      <c r="D163" s="761" t="e">
        <f t="shared" si="25"/>
        <v>#DIV/0!</v>
      </c>
      <c r="E163" s="753"/>
      <c r="F163" s="715" t="e">
        <f t="shared" si="26"/>
        <v>#DIV/0!</v>
      </c>
      <c r="G163" s="753"/>
      <c r="H163" s="715" t="e">
        <f t="shared" si="27"/>
        <v>#DIV/0!</v>
      </c>
    </row>
    <row r="164" spans="1:8" ht="15.5" x14ac:dyDescent="0.35">
      <c r="A164" s="734" t="s">
        <v>1248</v>
      </c>
      <c r="B164" s="732">
        <f>SUM(Pf!H98:H101)</f>
        <v>0</v>
      </c>
      <c r="C164" s="733"/>
      <c r="D164" s="739" t="e">
        <f t="shared" si="25"/>
        <v>#DIV/0!</v>
      </c>
      <c r="E164" s="752"/>
      <c r="F164" s="716" t="e">
        <f t="shared" si="26"/>
        <v>#DIV/0!</v>
      </c>
      <c r="G164" s="752"/>
      <c r="H164" s="716" t="e">
        <f t="shared" si="27"/>
        <v>#DIV/0!</v>
      </c>
    </row>
    <row r="165" spans="1:8" ht="15.5" x14ac:dyDescent="0.35">
      <c r="A165" s="734" t="s">
        <v>1249</v>
      </c>
      <c r="B165" s="732">
        <f>SUM(Pf!H102:H106)</f>
        <v>0</v>
      </c>
      <c r="C165" s="733"/>
      <c r="D165" s="739" t="e">
        <f t="shared" si="25"/>
        <v>#DIV/0!</v>
      </c>
      <c r="E165" s="752"/>
      <c r="F165" s="716" t="e">
        <f t="shared" si="26"/>
        <v>#DIV/0!</v>
      </c>
      <c r="G165" s="752"/>
      <c r="H165" s="716" t="e">
        <f t="shared" si="27"/>
        <v>#DIV/0!</v>
      </c>
    </row>
    <row r="166" spans="1:8" ht="15.5" x14ac:dyDescent="0.35">
      <c r="A166" s="714" t="s">
        <v>79</v>
      </c>
      <c r="B166" s="732">
        <f>Pf!L114</f>
        <v>0</v>
      </c>
      <c r="C166" s="733"/>
      <c r="D166" s="739" t="e">
        <f t="shared" si="25"/>
        <v>#DIV/0!</v>
      </c>
      <c r="E166" s="752"/>
      <c r="F166" s="716" t="e">
        <f t="shared" si="26"/>
        <v>#DIV/0!</v>
      </c>
      <c r="G166" s="752"/>
      <c r="H166" s="716" t="e">
        <f t="shared" si="27"/>
        <v>#DIV/0!</v>
      </c>
    </row>
    <row r="167" spans="1:8" ht="15" x14ac:dyDescent="0.3">
      <c r="A167" s="709" t="s">
        <v>368</v>
      </c>
      <c r="B167" s="735">
        <f>SUM(B152:B166)</f>
        <v>0</v>
      </c>
      <c r="C167" s="736"/>
      <c r="D167" s="737" t="e">
        <f>SUM(D152:D166)</f>
        <v>#DIV/0!</v>
      </c>
      <c r="E167" s="736"/>
      <c r="F167" s="736" t="e">
        <f>SUM(F152:F166)</f>
        <v>#DIV/0!</v>
      </c>
      <c r="G167" s="736"/>
      <c r="H167" s="736" t="e">
        <f>SUM(H152:H166)</f>
        <v>#DIV/0!</v>
      </c>
    </row>
    <row r="168" spans="1:8" ht="15.5" x14ac:dyDescent="0.35">
      <c r="A168" s="699"/>
      <c r="B168" s="735"/>
      <c r="C168" s="736"/>
      <c r="D168" s="737"/>
      <c r="E168" s="758"/>
      <c r="F168" s="758"/>
      <c r="G168" s="758"/>
      <c r="H168" s="758"/>
    </row>
    <row r="169" spans="1:8" ht="15" x14ac:dyDescent="0.3">
      <c r="A169" s="709" t="s">
        <v>80</v>
      </c>
      <c r="B169" s="735">
        <f>B167+B149</f>
        <v>0</v>
      </c>
      <c r="C169" s="736"/>
      <c r="D169" s="737" t="e">
        <f>D167+D149</f>
        <v>#DIV/0!</v>
      </c>
      <c r="E169" s="736"/>
      <c r="F169" s="736" t="e">
        <f>F167+F149</f>
        <v>#DIV/0!</v>
      </c>
      <c r="G169" s="736"/>
      <c r="H169" s="736" t="e">
        <f>H167+H149</f>
        <v>#DIV/0!</v>
      </c>
    </row>
    <row r="170" spans="1:8" ht="15.5" x14ac:dyDescent="0.35">
      <c r="A170" s="742"/>
      <c r="B170" s="735"/>
      <c r="C170" s="736"/>
      <c r="D170" s="737"/>
      <c r="E170" s="736"/>
      <c r="F170" s="736"/>
      <c r="G170" s="736"/>
      <c r="H170" s="736"/>
    </row>
    <row r="171" spans="1:8" ht="15" x14ac:dyDescent="0.3">
      <c r="A171" s="709" t="s">
        <v>355</v>
      </c>
      <c r="B171" s="710">
        <f>B94-B169</f>
        <v>0</v>
      </c>
      <c r="C171" s="736"/>
      <c r="D171" s="712" t="e">
        <f>D94-D169</f>
        <v>#DIV/0!</v>
      </c>
      <c r="E171" s="736"/>
      <c r="F171" s="711" t="e">
        <f>F94-F169</f>
        <v>#DIV/0!</v>
      </c>
      <c r="G171" s="736"/>
      <c r="H171" s="711" t="e">
        <f>H94-H169</f>
        <v>#DIV/0!</v>
      </c>
    </row>
    <row r="172" spans="1:8" ht="15" x14ac:dyDescent="0.3">
      <c r="A172" s="709" t="s">
        <v>356</v>
      </c>
      <c r="B172" s="735">
        <f>B94-B149</f>
        <v>0</v>
      </c>
      <c r="C172" s="736"/>
      <c r="D172" s="737" t="e">
        <f>D94-D149</f>
        <v>#DIV/0!</v>
      </c>
      <c r="E172" s="736"/>
      <c r="F172" s="736" t="e">
        <f>F94-F149</f>
        <v>#DIV/0!</v>
      </c>
      <c r="G172" s="736"/>
      <c r="H172" s="736" t="e">
        <f>H94-H149</f>
        <v>#DIV/0!</v>
      </c>
    </row>
    <row r="173" spans="1:8" ht="15.5" x14ac:dyDescent="0.35">
      <c r="A173" s="699"/>
      <c r="B173" s="743"/>
      <c r="C173" s="743"/>
      <c r="D173" s="702"/>
      <c r="E173" s="699"/>
      <c r="F173" s="699"/>
      <c r="G173" s="699"/>
      <c r="H173" s="699"/>
    </row>
    <row r="174" spans="1:8" ht="15.5" x14ac:dyDescent="0.35">
      <c r="A174" s="709" t="s">
        <v>234</v>
      </c>
      <c r="B174" s="743"/>
      <c r="C174" s="743"/>
      <c r="D174" s="702"/>
      <c r="E174" s="699"/>
      <c r="F174" s="699"/>
      <c r="G174" s="699"/>
      <c r="H174" s="699"/>
    </row>
    <row r="175" spans="1:8" ht="15.5" x14ac:dyDescent="0.35">
      <c r="A175" s="744" t="s">
        <v>369</v>
      </c>
      <c r="B175" s="703" t="s">
        <v>76</v>
      </c>
      <c r="C175" s="743"/>
      <c r="D175" s="703" t="s">
        <v>393</v>
      </c>
      <c r="E175" s="703"/>
      <c r="F175" s="703" t="s">
        <v>1556</v>
      </c>
      <c r="G175" s="703"/>
      <c r="H175" s="703" t="s">
        <v>396</v>
      </c>
    </row>
    <row r="176" spans="1:8" ht="15.5" x14ac:dyDescent="0.35">
      <c r="A176" s="714" t="s">
        <v>370</v>
      </c>
      <c r="B176" s="745">
        <f>B169</f>
        <v>0</v>
      </c>
      <c r="C176" s="743"/>
      <c r="D176" s="717" t="e">
        <f>$B$169/peas</f>
        <v>#DIV/0!</v>
      </c>
      <c r="E176" s="752"/>
      <c r="F176" s="716" t="e">
        <f>$B$169/($C$84*peas)</f>
        <v>#DIV/0!</v>
      </c>
      <c r="G176" s="752"/>
      <c r="H176" s="716" t="e">
        <f>$B$169/($E$84*peas)</f>
        <v>#DIV/0!</v>
      </c>
    </row>
    <row r="177" spans="1:8" ht="15.5" x14ac:dyDescent="0.35">
      <c r="A177" s="714" t="s">
        <v>371</v>
      </c>
      <c r="B177" s="745">
        <f>B149</f>
        <v>0</v>
      </c>
      <c r="C177" s="743"/>
      <c r="D177" s="717" t="e">
        <f>$B$149/peas</f>
        <v>#DIV/0!</v>
      </c>
      <c r="E177" s="752"/>
      <c r="F177" s="716" t="e">
        <f>$B$149/($C$84*peas)</f>
        <v>#DIV/0!</v>
      </c>
      <c r="G177" s="752"/>
      <c r="H177" s="716" t="e">
        <f>$B$149/($E$84*peas)</f>
        <v>#DIV/0!</v>
      </c>
    </row>
    <row r="178" spans="1:8" ht="15.5" x14ac:dyDescent="0.35">
      <c r="A178" s="714"/>
      <c r="B178" s="743"/>
      <c r="C178" s="743"/>
      <c r="D178" s="717"/>
      <c r="E178" s="752"/>
      <c r="F178" s="716"/>
      <c r="G178" s="752"/>
      <c r="H178" s="716"/>
    </row>
    <row r="179" spans="1:8" ht="15.5" x14ac:dyDescent="0.35">
      <c r="A179" s="744" t="s">
        <v>1099</v>
      </c>
      <c r="B179" s="703" t="s">
        <v>1100</v>
      </c>
      <c r="C179" s="743"/>
      <c r="D179" s="703" t="s">
        <v>1995</v>
      </c>
      <c r="E179" s="752"/>
      <c r="F179" s="716"/>
      <c r="G179" s="752"/>
      <c r="H179" s="716"/>
    </row>
    <row r="180" spans="1:8" ht="15.5" x14ac:dyDescent="0.35">
      <c r="A180" s="714" t="s">
        <v>1101</v>
      </c>
      <c r="B180" s="746" t="e">
        <f>B171/SUM(Pv!E20:E52)</f>
        <v>#DIV/0!</v>
      </c>
      <c r="C180" s="743"/>
      <c r="D180" s="1226">
        <f>SUM(Pv!E20:E52)</f>
        <v>0</v>
      </c>
      <c r="E180" s="1225" t="s">
        <v>1996</v>
      </c>
      <c r="F180" s="716"/>
      <c r="G180" s="752"/>
      <c r="H180" s="716"/>
    </row>
    <row r="181" spans="1:8" ht="15.5" x14ac:dyDescent="0.35">
      <c r="A181" s="714" t="s">
        <v>1102</v>
      </c>
      <c r="B181" s="746" t="e">
        <f>B172/SUM(Pv!E20:E52)</f>
        <v>#DIV/0!</v>
      </c>
      <c r="C181" s="743"/>
      <c r="D181" s="717"/>
      <c r="E181" s="752"/>
      <c r="F181" s="716"/>
      <c r="G181" s="752"/>
      <c r="H181" s="716"/>
    </row>
    <row r="182" spans="1:8" ht="15.5" x14ac:dyDescent="0.35">
      <c r="A182" s="747"/>
      <c r="B182" s="748"/>
      <c r="C182" s="748"/>
      <c r="D182" s="749"/>
      <c r="E182" s="747"/>
      <c r="F182" s="747"/>
      <c r="G182" s="747"/>
      <c r="H182" s="747"/>
    </row>
  </sheetData>
  <pageMargins left="0.7" right="0.7" top="0.75" bottom="0.75" header="0.3" footer="0.3"/>
  <pageSetup scale="61" orientation="portrait" r:id="rId1"/>
  <rowBreaks count="2" manualBreakCount="2">
    <brk id="79" max="16383" man="1"/>
    <brk id="130" max="16383" man="1"/>
  </rowBreaks>
  <colBreaks count="1" manualBreakCount="1">
    <brk id="8"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89"/>
  <sheetViews>
    <sheetView topLeftCell="A55" workbookViewId="0">
      <selection activeCell="A127" sqref="A127"/>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2144</v>
      </c>
      <c r="B3" s="55" t="s">
        <v>92</v>
      </c>
      <c r="C3" s="54">
        <f>buckwheat</f>
        <v>100</v>
      </c>
      <c r="D3" s="17" t="s">
        <v>93</v>
      </c>
    </row>
    <row r="4" spans="1:8" x14ac:dyDescent="0.3">
      <c r="A4" s="8"/>
      <c r="B4" s="55" t="s">
        <v>727</v>
      </c>
      <c r="C4" s="54">
        <f>Data!B236</f>
        <v>15</v>
      </c>
      <c r="D4" s="17" t="s">
        <v>1567</v>
      </c>
      <c r="E4" s="1190">
        <f>(C4*Data!$K$65)/2000</f>
        <v>0.36</v>
      </c>
      <c r="F4" s="17" t="s">
        <v>235</v>
      </c>
      <c r="G4" s="54"/>
    </row>
    <row r="5" spans="1:8" x14ac:dyDescent="0.3">
      <c r="B5" s="55" t="s">
        <v>728</v>
      </c>
      <c r="C5" s="106">
        <f>IF(FARM!$F$22&gt;0,Data!$B$231,Data!$B$232)</f>
        <v>30</v>
      </c>
      <c r="D5" s="17" t="s">
        <v>1566</v>
      </c>
      <c r="E5" s="153">
        <f>Data!$K$65</f>
        <v>48</v>
      </c>
      <c r="F5" s="17" t="s">
        <v>1560</v>
      </c>
      <c r="G5" s="153"/>
    </row>
    <row r="6" spans="1:8" x14ac:dyDescent="0.3">
      <c r="B6" s="55"/>
      <c r="C6" s="54"/>
      <c r="D6" s="17"/>
    </row>
    <row r="7" spans="1:8" ht="15.5" x14ac:dyDescent="0.35">
      <c r="A7" s="751" t="s">
        <v>2144</v>
      </c>
      <c r="B7" s="697" t="s">
        <v>76</v>
      </c>
      <c r="C7" s="697"/>
      <c r="D7" s="697" t="s">
        <v>77</v>
      </c>
      <c r="E7" s="698"/>
      <c r="F7" s="697" t="s">
        <v>1554</v>
      </c>
      <c r="G7" s="698"/>
      <c r="H7" s="697" t="s">
        <v>385</v>
      </c>
    </row>
    <row r="8" spans="1:8" ht="15.65" customHeight="1" x14ac:dyDescent="0.35">
      <c r="A8" s="699" t="s">
        <v>362</v>
      </c>
      <c r="B8" s="700">
        <f>C3</f>
        <v>100</v>
      </c>
      <c r="C8" s="701"/>
      <c r="D8" s="702" t="s">
        <v>363</v>
      </c>
      <c r="E8" s="703"/>
      <c r="F8" s="702" t="s">
        <v>363</v>
      </c>
      <c r="G8" s="703"/>
      <c r="H8" s="702" t="s">
        <v>363</v>
      </c>
    </row>
    <row r="9" spans="1:8" ht="15.65" customHeight="1" x14ac:dyDescent="0.35">
      <c r="A9" s="699" t="s">
        <v>2145</v>
      </c>
      <c r="B9" s="702" t="s">
        <v>363</v>
      </c>
      <c r="C9" s="701"/>
      <c r="D9" s="702" t="s">
        <v>363</v>
      </c>
      <c r="E9" s="703"/>
      <c r="F9" s="702" t="s">
        <v>363</v>
      </c>
      <c r="G9" s="703"/>
      <c r="H9" s="888">
        <f>2000/Data!$K$65</f>
        <v>41.666666666666664</v>
      </c>
    </row>
    <row r="10" spans="1:8" ht="15.65" customHeight="1" x14ac:dyDescent="0.35">
      <c r="A10" s="699" t="s">
        <v>2146</v>
      </c>
      <c r="B10" s="700">
        <f>$C$3*C4</f>
        <v>1500</v>
      </c>
      <c r="C10" s="701"/>
      <c r="D10" s="700">
        <f>C4</f>
        <v>15</v>
      </c>
      <c r="E10" s="703"/>
      <c r="F10" s="702" t="s">
        <v>363</v>
      </c>
      <c r="G10" s="703"/>
      <c r="H10" s="702" t="s">
        <v>363</v>
      </c>
    </row>
    <row r="11" spans="1:8" ht="15.65" customHeight="1" x14ac:dyDescent="0.35">
      <c r="A11" s="699" t="s">
        <v>2147</v>
      </c>
      <c r="B11" s="700">
        <f>$C$3*E4</f>
        <v>36</v>
      </c>
      <c r="C11" s="701"/>
      <c r="D11" s="1191">
        <f>E4</f>
        <v>0.36</v>
      </c>
      <c r="E11" s="703"/>
      <c r="F11" s="702" t="s">
        <v>363</v>
      </c>
      <c r="G11" s="703"/>
      <c r="H11" s="702" t="s">
        <v>363</v>
      </c>
    </row>
    <row r="12" spans="1:8" ht="15.65" customHeight="1" x14ac:dyDescent="0.35">
      <c r="A12" s="699" t="str">
        <f>IF(Data!B225=1,"Buckwheat Price ($/unit) - Food Grade","Buckwheat Price ($/unit) - Feed Grade")</f>
        <v>Buckwheat Price ($/unit) - Food Grade</v>
      </c>
      <c r="B12" s="702" t="s">
        <v>363</v>
      </c>
      <c r="C12" s="701"/>
      <c r="D12" s="702" t="s">
        <v>363</v>
      </c>
      <c r="E12" s="703"/>
      <c r="F12" s="704">
        <f>C5</f>
        <v>30</v>
      </c>
      <c r="G12" s="703"/>
      <c r="H12" s="840">
        <f>F12*H9</f>
        <v>1250</v>
      </c>
    </row>
    <row r="13" spans="1:8" ht="15.65" customHeight="1" x14ac:dyDescent="0.35">
      <c r="A13" s="699"/>
      <c r="B13" s="706"/>
      <c r="C13" s="706"/>
      <c r="D13" s="707"/>
      <c r="E13" s="708"/>
      <c r="F13" s="707"/>
      <c r="G13" s="708"/>
      <c r="H13" s="707"/>
    </row>
    <row r="14" spans="1:8" ht="15" x14ac:dyDescent="0.3">
      <c r="A14" s="709" t="s">
        <v>230</v>
      </c>
      <c r="B14" s="710">
        <f>(C4*C5*buckwheat)</f>
        <v>45000</v>
      </c>
      <c r="C14" s="711"/>
      <c r="D14" s="712">
        <f>B14/buckwheat</f>
        <v>450</v>
      </c>
      <c r="E14" s="713"/>
      <c r="F14" s="712">
        <f>B14/($C$4*buckwheat)</f>
        <v>30</v>
      </c>
      <c r="G14" s="713"/>
      <c r="H14" s="711">
        <f>B14/($E$4*buckwheat)</f>
        <v>1250</v>
      </c>
    </row>
    <row r="15" spans="1:8" ht="15.5" x14ac:dyDescent="0.35">
      <c r="A15" s="699"/>
      <c r="B15" s="721"/>
      <c r="C15" s="722"/>
      <c r="D15" s="717"/>
      <c r="E15" s="718"/>
      <c r="F15" s="717"/>
      <c r="G15" s="718"/>
      <c r="H15" s="717"/>
    </row>
    <row r="16" spans="1:8" ht="15.5" x14ac:dyDescent="0.35">
      <c r="A16" s="709" t="s">
        <v>365</v>
      </c>
      <c r="B16" s="715"/>
      <c r="C16" s="716"/>
      <c r="D16" s="717"/>
      <c r="E16" s="718"/>
      <c r="F16" s="717"/>
      <c r="G16" s="718"/>
      <c r="H16" s="717"/>
    </row>
    <row r="17" spans="1:8" ht="15.5" x14ac:dyDescent="0.35">
      <c r="A17" s="714" t="s">
        <v>13</v>
      </c>
      <c r="B17" s="715">
        <f>SUM(BWv!H8:H9)</f>
        <v>7420</v>
      </c>
      <c r="C17" s="716"/>
      <c r="D17" s="717">
        <f>B17/buckwheat</f>
        <v>74.2</v>
      </c>
      <c r="E17" s="718"/>
      <c r="F17" s="717">
        <f>B17/($C$4*buckwheat)</f>
        <v>4.9466666666666663</v>
      </c>
      <c r="G17" s="718"/>
      <c r="H17" s="716">
        <f>B17/($E$4*buckwheat)</f>
        <v>206.11111111111111</v>
      </c>
    </row>
    <row r="18" spans="1:8" ht="15.5" x14ac:dyDescent="0.35">
      <c r="A18" s="714" t="s">
        <v>1287</v>
      </c>
      <c r="B18" s="715">
        <f>SUM(BWv!H10:H12)</f>
        <v>0</v>
      </c>
      <c r="C18" s="716"/>
      <c r="D18" s="719">
        <f>B18/buckwheat</f>
        <v>0</v>
      </c>
      <c r="E18" s="718"/>
      <c r="F18" s="719">
        <f>B18/($C$4*buckwheat)</f>
        <v>0</v>
      </c>
      <c r="G18" s="718"/>
      <c r="H18" s="715">
        <f>B18/($E$4*buckwheat)</f>
        <v>0</v>
      </c>
    </row>
    <row r="19" spans="1:8" ht="15.5" x14ac:dyDescent="0.35">
      <c r="A19" s="714" t="s">
        <v>2</v>
      </c>
      <c r="B19" s="715">
        <f>BWv!H13</f>
        <v>0</v>
      </c>
      <c r="C19" s="716"/>
      <c r="D19" s="719">
        <f>B19/buckwheat</f>
        <v>0</v>
      </c>
      <c r="E19" s="720"/>
      <c r="F19" s="719">
        <f>B19/($C$4*buckwheat)</f>
        <v>0</v>
      </c>
      <c r="G19" s="720"/>
      <c r="H19" s="715">
        <f>B19/($E$4*buckwheat)</f>
        <v>0</v>
      </c>
    </row>
    <row r="20" spans="1:8" ht="15.5" x14ac:dyDescent="0.35">
      <c r="A20" s="714" t="s">
        <v>1476</v>
      </c>
      <c r="B20" s="699"/>
      <c r="C20" s="699"/>
      <c r="D20" s="699"/>
      <c r="E20" s="699"/>
      <c r="F20" s="699"/>
      <c r="G20" s="699"/>
      <c r="H20" s="699"/>
    </row>
    <row r="21" spans="1:8" ht="15.5" x14ac:dyDescent="0.35">
      <c r="A21" s="714" t="s">
        <v>1121</v>
      </c>
      <c r="B21" s="745">
        <f>SUM(BWv!H15:H15)</f>
        <v>0</v>
      </c>
      <c r="C21" s="746"/>
      <c r="D21" s="719">
        <f t="shared" ref="D21:D28" si="0">B21/buckwheat</f>
        <v>0</v>
      </c>
      <c r="E21" s="720"/>
      <c r="F21" s="719">
        <f t="shared" ref="F21:F28" si="1">B21/($C$4*buckwheat)</f>
        <v>0</v>
      </c>
      <c r="G21" s="720"/>
      <c r="H21" s="715">
        <f t="shared" ref="H21:H28" si="2">B21/($E$4*buckwheat)</f>
        <v>0</v>
      </c>
    </row>
    <row r="22" spans="1:8" ht="15.5" x14ac:dyDescent="0.35">
      <c r="A22" s="714" t="s">
        <v>1119</v>
      </c>
      <c r="B22" s="745">
        <f>SUM(BWv!H16:H16)</f>
        <v>0</v>
      </c>
      <c r="C22" s="746"/>
      <c r="D22" s="719">
        <f t="shared" si="0"/>
        <v>0</v>
      </c>
      <c r="E22" s="720"/>
      <c r="F22" s="719">
        <f t="shared" si="1"/>
        <v>0</v>
      </c>
      <c r="G22" s="720"/>
      <c r="H22" s="715">
        <f t="shared" si="2"/>
        <v>0</v>
      </c>
    </row>
    <row r="23" spans="1:8" ht="15.5" x14ac:dyDescent="0.35">
      <c r="A23" s="714" t="s">
        <v>1120</v>
      </c>
      <c r="B23" s="745">
        <f>SUM(BWv!H17:H17)</f>
        <v>0</v>
      </c>
      <c r="C23" s="746"/>
      <c r="D23" s="719">
        <f t="shared" si="0"/>
        <v>0</v>
      </c>
      <c r="E23" s="720"/>
      <c r="F23" s="719">
        <f t="shared" si="1"/>
        <v>0</v>
      </c>
      <c r="G23" s="720"/>
      <c r="H23" s="715">
        <f t="shared" si="2"/>
        <v>0</v>
      </c>
    </row>
    <row r="24" spans="1:8" ht="15.5" x14ac:dyDescent="0.35">
      <c r="A24" s="714" t="s">
        <v>1214</v>
      </c>
      <c r="B24" s="715">
        <f>SUM(BWv!H19:H52)</f>
        <v>2151.3798182810633</v>
      </c>
      <c r="C24" s="716"/>
      <c r="D24" s="717">
        <f t="shared" si="0"/>
        <v>21.513798182810632</v>
      </c>
      <c r="E24" s="718"/>
      <c r="F24" s="717">
        <f t="shared" si="1"/>
        <v>1.4342532121873754</v>
      </c>
      <c r="G24" s="718"/>
      <c r="H24" s="716">
        <f t="shared" si="2"/>
        <v>59.760550507807316</v>
      </c>
    </row>
    <row r="25" spans="1:8" ht="15.5" x14ac:dyDescent="0.35">
      <c r="A25" s="714" t="s">
        <v>1261</v>
      </c>
      <c r="B25" s="715">
        <f>SUM(BWv!H53:H86)</f>
        <v>1842.1900589675984</v>
      </c>
      <c r="C25" s="716"/>
      <c r="D25" s="717">
        <f t="shared" si="0"/>
        <v>18.421900589675985</v>
      </c>
      <c r="E25" s="718"/>
      <c r="F25" s="717">
        <f t="shared" si="1"/>
        <v>1.2281267059783989</v>
      </c>
      <c r="G25" s="718"/>
      <c r="H25" s="716">
        <f t="shared" si="2"/>
        <v>51.171946082433287</v>
      </c>
    </row>
    <row r="26" spans="1:8" ht="15.5" x14ac:dyDescent="0.35">
      <c r="A26" s="714" t="s">
        <v>78</v>
      </c>
      <c r="B26" s="715">
        <f>SUM(BWv!H87:H88)</f>
        <v>5853.139681431865</v>
      </c>
      <c r="C26" s="716"/>
      <c r="D26" s="717">
        <f t="shared" si="0"/>
        <v>58.531396814318647</v>
      </c>
      <c r="E26" s="718"/>
      <c r="F26" s="717">
        <f t="shared" si="1"/>
        <v>3.9020931209545768</v>
      </c>
      <c r="G26" s="718"/>
      <c r="H26" s="716">
        <f t="shared" si="2"/>
        <v>162.58721337310737</v>
      </c>
    </row>
    <row r="27" spans="1:8" ht="15.5" x14ac:dyDescent="0.35">
      <c r="A27" s="714" t="s">
        <v>170</v>
      </c>
      <c r="B27" s="732">
        <f>Bv!H89</f>
        <v>0</v>
      </c>
      <c r="C27" s="733"/>
      <c r="D27" s="719">
        <f t="shared" si="0"/>
        <v>0</v>
      </c>
      <c r="E27" s="720"/>
      <c r="F27" s="719">
        <f t="shared" si="1"/>
        <v>0</v>
      </c>
      <c r="G27" s="720"/>
      <c r="H27" s="715">
        <f t="shared" si="2"/>
        <v>0</v>
      </c>
    </row>
    <row r="28" spans="1:8" ht="15.5" x14ac:dyDescent="0.35">
      <c r="A28" s="714" t="s">
        <v>171</v>
      </c>
      <c r="B28" s="732">
        <f>SUM(BWv!H90:H91)</f>
        <v>300</v>
      </c>
      <c r="C28" s="733"/>
      <c r="D28" s="717">
        <f t="shared" si="0"/>
        <v>3</v>
      </c>
      <c r="E28" s="718"/>
      <c r="F28" s="717">
        <f t="shared" si="1"/>
        <v>0.2</v>
      </c>
      <c r="G28" s="718"/>
      <c r="H28" s="716">
        <f t="shared" si="2"/>
        <v>8.3333333333333339</v>
      </c>
    </row>
    <row r="29" spans="1:8" ht="15.5" x14ac:dyDescent="0.35">
      <c r="A29" s="714" t="s">
        <v>172</v>
      </c>
      <c r="B29" s="732"/>
      <c r="C29" s="733"/>
      <c r="D29" s="717"/>
      <c r="E29" s="718"/>
      <c r="F29" s="717"/>
      <c r="G29" s="718"/>
      <c r="H29" s="718"/>
    </row>
    <row r="30" spans="1:8" ht="15.5" x14ac:dyDescent="0.35">
      <c r="A30" s="734" t="s">
        <v>439</v>
      </c>
      <c r="B30" s="732">
        <f>BWv!H93</f>
        <v>150</v>
      </c>
      <c r="C30" s="733"/>
      <c r="D30" s="717">
        <f t="shared" ref="D30:D43" si="3">B30/buckwheat</f>
        <v>1.5</v>
      </c>
      <c r="E30" s="718"/>
      <c r="F30" s="717">
        <f t="shared" ref="F30:F43" si="4">B30/($C$4*buckwheat)</f>
        <v>0.1</v>
      </c>
      <c r="G30" s="718"/>
      <c r="H30" s="716">
        <f t="shared" ref="H30:H43" si="5">B30/($E$4*buckwheat)</f>
        <v>4.166666666666667</v>
      </c>
    </row>
    <row r="31" spans="1:8" ht="15.5" x14ac:dyDescent="0.35">
      <c r="A31" s="734" t="s">
        <v>1506</v>
      </c>
      <c r="B31" s="732">
        <f>SUM(BWv!H94:H96)</f>
        <v>875</v>
      </c>
      <c r="C31" s="733"/>
      <c r="D31" s="717">
        <f t="shared" si="3"/>
        <v>8.75</v>
      </c>
      <c r="E31" s="718"/>
      <c r="F31" s="717">
        <f t="shared" si="4"/>
        <v>0.58333333333333337</v>
      </c>
      <c r="G31" s="718"/>
      <c r="H31" s="716">
        <f t="shared" si="5"/>
        <v>24.305555555555557</v>
      </c>
    </row>
    <row r="32" spans="1:8" ht="15.5" x14ac:dyDescent="0.35">
      <c r="A32" s="734" t="s">
        <v>1505</v>
      </c>
      <c r="B32" s="732">
        <f>SUM(BWv!H97:H99)</f>
        <v>450</v>
      </c>
      <c r="C32" s="733"/>
      <c r="D32" s="717">
        <f t="shared" si="3"/>
        <v>4.5</v>
      </c>
      <c r="E32" s="718"/>
      <c r="F32" s="717">
        <f t="shared" si="4"/>
        <v>0.3</v>
      </c>
      <c r="G32" s="718"/>
      <c r="H32" s="716">
        <f t="shared" si="5"/>
        <v>12.5</v>
      </c>
    </row>
    <row r="33" spans="1:16" ht="15.5" x14ac:dyDescent="0.35">
      <c r="A33" s="734" t="s">
        <v>1237</v>
      </c>
      <c r="B33" s="732">
        <f>BWv!H100</f>
        <v>1500</v>
      </c>
      <c r="C33" s="733"/>
      <c r="D33" s="717">
        <f t="shared" si="3"/>
        <v>15</v>
      </c>
      <c r="E33" s="718"/>
      <c r="F33" s="717">
        <f t="shared" si="4"/>
        <v>1</v>
      </c>
      <c r="G33" s="718"/>
      <c r="H33" s="716">
        <f t="shared" si="5"/>
        <v>41.666666666666664</v>
      </c>
    </row>
    <row r="34" spans="1:16" ht="15.5" x14ac:dyDescent="0.35">
      <c r="A34" s="734" t="s">
        <v>1212</v>
      </c>
      <c r="B34" s="732">
        <f>SUM(BWv!H101:H103)</f>
        <v>1250</v>
      </c>
      <c r="C34" s="733"/>
      <c r="D34" s="717">
        <f t="shared" si="3"/>
        <v>12.5</v>
      </c>
      <c r="E34" s="718"/>
      <c r="F34" s="717">
        <f t="shared" si="4"/>
        <v>0.83333333333333337</v>
      </c>
      <c r="G34" s="718"/>
      <c r="H34" s="716">
        <f t="shared" si="5"/>
        <v>34.722222222222221</v>
      </c>
    </row>
    <row r="35" spans="1:16" ht="15.5" x14ac:dyDescent="0.35">
      <c r="A35" s="734" t="s">
        <v>1238</v>
      </c>
      <c r="B35" s="732">
        <f>SUM(BWv!H104:H106)</f>
        <v>802.82303981050961</v>
      </c>
      <c r="C35" s="733"/>
      <c r="D35" s="717">
        <f t="shared" si="3"/>
        <v>8.0282303981050962</v>
      </c>
      <c r="E35" s="720"/>
      <c r="F35" s="717">
        <f t="shared" si="4"/>
        <v>0.53521535987367308</v>
      </c>
      <c r="G35" s="720"/>
      <c r="H35" s="716">
        <f t="shared" si="5"/>
        <v>22.300639994736379</v>
      </c>
    </row>
    <row r="36" spans="1:16" ht="15.5" x14ac:dyDescent="0.35">
      <c r="A36" s="734" t="s">
        <v>2029</v>
      </c>
      <c r="B36" s="732">
        <f>SUM(BWv!H107:H109)</f>
        <v>0</v>
      </c>
      <c r="C36" s="733"/>
      <c r="D36" s="719">
        <f t="shared" si="3"/>
        <v>0</v>
      </c>
      <c r="E36" s="718"/>
      <c r="F36" s="719">
        <f t="shared" si="4"/>
        <v>0</v>
      </c>
      <c r="G36" s="718"/>
      <c r="H36" s="715">
        <f t="shared" si="5"/>
        <v>0</v>
      </c>
    </row>
    <row r="37" spans="1:16" ht="15.5" x14ac:dyDescent="0.35">
      <c r="A37" s="734" t="s">
        <v>1532</v>
      </c>
      <c r="B37" s="732">
        <f>SUM(BWv!H110:H114)</f>
        <v>1106.0999999999999</v>
      </c>
      <c r="C37" s="733"/>
      <c r="D37" s="717">
        <f t="shared" si="3"/>
        <v>11.061</v>
      </c>
      <c r="E37" s="720"/>
      <c r="F37" s="717">
        <f t="shared" si="4"/>
        <v>0.73739999999999994</v>
      </c>
      <c r="G37" s="720"/>
      <c r="H37" s="716">
        <f t="shared" si="5"/>
        <v>30.724999999999998</v>
      </c>
    </row>
    <row r="38" spans="1:16" ht="15.5" x14ac:dyDescent="0.35">
      <c r="A38" s="734" t="s">
        <v>1533</v>
      </c>
      <c r="B38" s="732">
        <f>SUM(BWv!H115:H116)</f>
        <v>0</v>
      </c>
      <c r="C38" s="733"/>
      <c r="D38" s="719">
        <f t="shared" si="3"/>
        <v>0</v>
      </c>
      <c r="E38" s="720"/>
      <c r="F38" s="719">
        <f t="shared" si="4"/>
        <v>0</v>
      </c>
      <c r="G38" s="720"/>
      <c r="H38" s="715">
        <f t="shared" si="5"/>
        <v>0</v>
      </c>
    </row>
    <row r="39" spans="1:16" ht="15.5" x14ac:dyDescent="0.35">
      <c r="A39" s="734" t="s">
        <v>1534</v>
      </c>
      <c r="B39" s="732">
        <f>BWv!H117</f>
        <v>50</v>
      </c>
      <c r="C39" s="733"/>
      <c r="D39" s="717">
        <f t="shared" si="3"/>
        <v>0.5</v>
      </c>
      <c r="E39" s="720"/>
      <c r="F39" s="717">
        <f t="shared" si="4"/>
        <v>3.3333333333333333E-2</v>
      </c>
      <c r="G39" s="720"/>
      <c r="H39" s="716">
        <f t="shared" si="5"/>
        <v>1.3888888888888888</v>
      </c>
    </row>
    <row r="40" spans="1:16" ht="15.5" x14ac:dyDescent="0.35">
      <c r="A40" s="734" t="s">
        <v>1535</v>
      </c>
      <c r="B40" s="732">
        <f>BWv!H118</f>
        <v>125</v>
      </c>
      <c r="C40" s="733"/>
      <c r="D40" s="717">
        <f t="shared" si="3"/>
        <v>1.25</v>
      </c>
      <c r="E40" s="720"/>
      <c r="F40" s="717">
        <f t="shared" si="4"/>
        <v>8.3333333333333329E-2</v>
      </c>
      <c r="G40" s="720"/>
      <c r="H40" s="716">
        <f t="shared" si="5"/>
        <v>3.4722222222222223</v>
      </c>
    </row>
    <row r="41" spans="1:16" ht="15.5" x14ac:dyDescent="0.35">
      <c r="A41" s="734" t="s">
        <v>1536</v>
      </c>
      <c r="B41" s="732">
        <f>BWv!H119</f>
        <v>62.5</v>
      </c>
      <c r="C41" s="733"/>
      <c r="D41" s="717">
        <f t="shared" si="3"/>
        <v>0.625</v>
      </c>
      <c r="E41" s="720"/>
      <c r="F41" s="717">
        <f t="shared" si="4"/>
        <v>4.1666666666666664E-2</v>
      </c>
      <c r="G41" s="720"/>
      <c r="H41" s="716">
        <f t="shared" si="5"/>
        <v>1.7361111111111112</v>
      </c>
    </row>
    <row r="42" spans="1:16" ht="15.5" x14ac:dyDescent="0.35">
      <c r="A42" s="734" t="s">
        <v>443</v>
      </c>
      <c r="B42" s="732">
        <f>SUM(BWv!H120:H122)</f>
        <v>0</v>
      </c>
      <c r="C42" s="733"/>
      <c r="D42" s="719">
        <f t="shared" si="3"/>
        <v>0</v>
      </c>
      <c r="E42" s="720"/>
      <c r="F42" s="719">
        <f t="shared" si="4"/>
        <v>0</v>
      </c>
      <c r="G42" s="720"/>
      <c r="H42" s="715">
        <f t="shared" si="5"/>
        <v>0</v>
      </c>
    </row>
    <row r="43" spans="1:16" ht="15.5" x14ac:dyDescent="0.35">
      <c r="A43" s="714" t="s">
        <v>69</v>
      </c>
      <c r="B43" s="732">
        <f>BWv!H126</f>
        <v>661.07541842582486</v>
      </c>
      <c r="C43" s="733"/>
      <c r="D43" s="717">
        <f t="shared" si="3"/>
        <v>6.6107541842582487</v>
      </c>
      <c r="E43" s="718"/>
      <c r="F43" s="717">
        <f t="shared" si="4"/>
        <v>0.44071694561721658</v>
      </c>
      <c r="G43" s="718"/>
      <c r="H43" s="716">
        <f t="shared" si="5"/>
        <v>18.363206067384024</v>
      </c>
    </row>
    <row r="44" spans="1:16" ht="15" x14ac:dyDescent="0.3">
      <c r="A44" s="709" t="s">
        <v>366</v>
      </c>
      <c r="B44" s="735">
        <f>SUM(B17:B43)</f>
        <v>24599.208016916862</v>
      </c>
      <c r="C44" s="736"/>
      <c r="D44" s="737">
        <f>SUM(D17:D43)</f>
        <v>245.99208016916862</v>
      </c>
      <c r="E44" s="737"/>
      <c r="F44" s="737">
        <f>SUM(F17:F43)</f>
        <v>16.399472011277904</v>
      </c>
      <c r="G44" s="737"/>
      <c r="H44" s="737">
        <f>SUM(H17:H43)</f>
        <v>683.31133380324604</v>
      </c>
    </row>
    <row r="45" spans="1:16" ht="15.5" x14ac:dyDescent="0.35">
      <c r="A45" s="738"/>
      <c r="B45" s="732"/>
      <c r="C45" s="733"/>
      <c r="D45" s="739"/>
      <c r="E45" s="740"/>
      <c r="F45" s="740"/>
      <c r="G45" s="740"/>
      <c r="H45" s="740"/>
    </row>
    <row r="46" spans="1:16" ht="15.5" x14ac:dyDescent="0.35">
      <c r="A46" s="709" t="s">
        <v>367</v>
      </c>
      <c r="B46" s="732"/>
      <c r="C46" s="733"/>
      <c r="D46" s="739"/>
      <c r="E46" s="740"/>
      <c r="F46" s="740"/>
      <c r="G46" s="740"/>
      <c r="H46" s="740"/>
    </row>
    <row r="47" spans="1:16" ht="15.5" x14ac:dyDescent="0.35">
      <c r="A47" s="714" t="s">
        <v>29</v>
      </c>
      <c r="B47" s="732"/>
      <c r="C47" s="733"/>
      <c r="D47" s="733"/>
      <c r="E47" s="757"/>
      <c r="F47" s="716"/>
      <c r="G47" s="757"/>
      <c r="H47" s="716"/>
      <c r="J47" s="764" t="s">
        <v>29</v>
      </c>
    </row>
    <row r="48" spans="1:16" ht="15.5" x14ac:dyDescent="0.35">
      <c r="A48" s="734" t="s">
        <v>1240</v>
      </c>
      <c r="B48" s="732">
        <f>SUM(BWf!H8:H24)</f>
        <v>1852.3564128677574</v>
      </c>
      <c r="C48" s="733"/>
      <c r="D48" s="717">
        <f t="shared" ref="D48:D61" si="6">B48/buckwheat</f>
        <v>18.523564128677574</v>
      </c>
      <c r="E48" s="718"/>
      <c r="F48" s="717">
        <f t="shared" ref="F48:F61" si="7">B48/($C$4*buckwheat)</f>
        <v>1.2349042752451715</v>
      </c>
      <c r="G48" s="718"/>
      <c r="H48" s="716">
        <f t="shared" ref="H48:H61" si="8">B48/($E$4*buckwheat)</f>
        <v>51.454344801882151</v>
      </c>
      <c r="J48" s="697" t="s">
        <v>76</v>
      </c>
      <c r="K48" s="697"/>
      <c r="L48" s="697" t="s">
        <v>77</v>
      </c>
      <c r="M48" s="698"/>
      <c r="N48" s="697" t="s">
        <v>1554</v>
      </c>
      <c r="O48" s="698"/>
      <c r="P48" s="697" t="s">
        <v>385</v>
      </c>
    </row>
    <row r="49" spans="1:16" ht="15.5" x14ac:dyDescent="0.35">
      <c r="A49" s="734" t="s">
        <v>1241</v>
      </c>
      <c r="B49" s="732">
        <f>SUM(BWf!H25:H33)</f>
        <v>619.42419103714406</v>
      </c>
      <c r="C49" s="733"/>
      <c r="D49" s="717">
        <f t="shared" si="6"/>
        <v>6.1942419103714403</v>
      </c>
      <c r="E49" s="718"/>
      <c r="F49" s="717">
        <f t="shared" si="7"/>
        <v>0.41294946069142935</v>
      </c>
      <c r="G49" s="718"/>
      <c r="H49" s="716">
        <f t="shared" si="8"/>
        <v>17.206227528809556</v>
      </c>
      <c r="J49" s="763">
        <f>SUM(B48:B60)</f>
        <v>8545.9306606492391</v>
      </c>
      <c r="L49" s="756">
        <f>SUM(D48:D60)</f>
        <v>85.45930660649239</v>
      </c>
      <c r="N49" s="756">
        <f>SUM(F48:F60)</f>
        <v>5.697287107099493</v>
      </c>
      <c r="P49" s="756">
        <f>SUM(H48:H60)</f>
        <v>237.3869627958122</v>
      </c>
    </row>
    <row r="50" spans="1:16" ht="15.5" x14ac:dyDescent="0.35">
      <c r="A50" s="734" t="s">
        <v>1243</v>
      </c>
      <c r="B50" s="732">
        <f>SUM(BWf!H34:H50)</f>
        <v>645.10361200743728</v>
      </c>
      <c r="C50" s="733"/>
      <c r="D50" s="717">
        <f t="shared" si="6"/>
        <v>6.4510361200743729</v>
      </c>
      <c r="E50" s="718"/>
      <c r="F50" s="717">
        <f t="shared" si="7"/>
        <v>0.43006907467162486</v>
      </c>
      <c r="G50" s="718"/>
      <c r="H50" s="716">
        <f t="shared" si="8"/>
        <v>17.91954477798437</v>
      </c>
    </row>
    <row r="51" spans="1:16" ht="15.5" x14ac:dyDescent="0.35">
      <c r="A51" s="734" t="s">
        <v>1242</v>
      </c>
      <c r="B51" s="732">
        <f>SUM(BWf!H51:H62)</f>
        <v>341.83249459789351</v>
      </c>
      <c r="C51" s="733"/>
      <c r="D51" s="717">
        <f t="shared" si="6"/>
        <v>3.4183249459789353</v>
      </c>
      <c r="E51" s="718"/>
      <c r="F51" s="717">
        <f t="shared" si="7"/>
        <v>0.22788832973192902</v>
      </c>
      <c r="G51" s="718"/>
      <c r="H51" s="716">
        <f t="shared" si="8"/>
        <v>9.4953470721637085</v>
      </c>
    </row>
    <row r="52" spans="1:16" ht="15.5" x14ac:dyDescent="0.35">
      <c r="A52" s="734" t="s">
        <v>1244</v>
      </c>
      <c r="B52" s="732">
        <f>SUM(BWf!H63:H67)</f>
        <v>0</v>
      </c>
      <c r="C52" s="733"/>
      <c r="D52" s="719">
        <f t="shared" si="6"/>
        <v>0</v>
      </c>
      <c r="E52" s="720"/>
      <c r="F52" s="719">
        <f t="shared" si="7"/>
        <v>0</v>
      </c>
      <c r="G52" s="720"/>
      <c r="H52" s="715">
        <f t="shared" si="8"/>
        <v>0</v>
      </c>
    </row>
    <row r="53" spans="1:16" ht="15.5" x14ac:dyDescent="0.35">
      <c r="A53" s="734" t="s">
        <v>1245</v>
      </c>
      <c r="B53" s="732">
        <f>0</f>
        <v>0</v>
      </c>
      <c r="C53" s="733"/>
      <c r="D53" s="719">
        <f t="shared" si="6"/>
        <v>0</v>
      </c>
      <c r="E53" s="720"/>
      <c r="F53" s="719">
        <f t="shared" si="7"/>
        <v>0</v>
      </c>
      <c r="G53" s="720"/>
      <c r="H53" s="715">
        <f t="shared" si="8"/>
        <v>0</v>
      </c>
    </row>
    <row r="54" spans="1:16" ht="15.5" x14ac:dyDescent="0.35">
      <c r="A54" s="734" t="s">
        <v>1246</v>
      </c>
      <c r="B54" s="732">
        <f>SUM(BWf!H68:H81)</f>
        <v>2040.4333122260341</v>
      </c>
      <c r="C54" s="733"/>
      <c r="D54" s="717">
        <f t="shared" si="6"/>
        <v>20.40433312226034</v>
      </c>
      <c r="E54" s="718"/>
      <c r="F54" s="717">
        <f t="shared" si="7"/>
        <v>1.3602888748173561</v>
      </c>
      <c r="G54" s="718"/>
      <c r="H54" s="716">
        <f t="shared" si="8"/>
        <v>56.678703117389837</v>
      </c>
    </row>
    <row r="55" spans="1:16" ht="15.5" x14ac:dyDescent="0.35">
      <c r="A55" s="734" t="s">
        <v>1247</v>
      </c>
      <c r="B55" s="732">
        <f>SUM(BWf!H82:H89)</f>
        <v>38.508394116955543</v>
      </c>
      <c r="C55" s="733"/>
      <c r="D55" s="717">
        <f t="shared" si="6"/>
        <v>0.38508394116955541</v>
      </c>
      <c r="E55" s="718"/>
      <c r="F55" s="717">
        <f t="shared" si="7"/>
        <v>2.567226274463703E-2</v>
      </c>
      <c r="G55" s="718"/>
      <c r="H55" s="716">
        <f t="shared" si="8"/>
        <v>1.0696776143598763</v>
      </c>
    </row>
    <row r="56" spans="1:16" ht="15.5" x14ac:dyDescent="0.35">
      <c r="A56" s="734" t="s">
        <v>2148</v>
      </c>
      <c r="B56" s="732">
        <f>SUM(BWf!H90:H94)</f>
        <v>305.66603907009375</v>
      </c>
      <c r="C56" s="733"/>
      <c r="D56" s="717">
        <f t="shared" si="6"/>
        <v>3.0566603907009373</v>
      </c>
      <c r="E56" s="718"/>
      <c r="F56" s="717">
        <f t="shared" si="7"/>
        <v>0.2037773593800625</v>
      </c>
      <c r="G56" s="718"/>
      <c r="H56" s="716">
        <f t="shared" si="8"/>
        <v>8.4907233075026038</v>
      </c>
    </row>
    <row r="57" spans="1:16" ht="15.5" x14ac:dyDescent="0.35">
      <c r="A57" s="734" t="s">
        <v>1250</v>
      </c>
      <c r="B57" s="732">
        <f>SUM(BWf!H95:H106)</f>
        <v>901.51639305879689</v>
      </c>
      <c r="C57" s="733"/>
      <c r="D57" s="717">
        <f t="shared" si="6"/>
        <v>9.0151639305879687</v>
      </c>
      <c r="E57" s="718"/>
      <c r="F57" s="717">
        <f t="shared" si="7"/>
        <v>0.60101092870586459</v>
      </c>
      <c r="G57" s="718"/>
      <c r="H57" s="716">
        <f t="shared" si="8"/>
        <v>25.042122029411026</v>
      </c>
    </row>
    <row r="58" spans="1:16" ht="15.5" x14ac:dyDescent="0.35">
      <c r="A58" s="734" t="s">
        <v>1304</v>
      </c>
      <c r="B58" s="732">
        <f>0</f>
        <v>0</v>
      </c>
      <c r="C58" s="733"/>
      <c r="D58" s="719">
        <f t="shared" si="6"/>
        <v>0</v>
      </c>
      <c r="E58" s="720"/>
      <c r="F58" s="719">
        <f t="shared" si="7"/>
        <v>0</v>
      </c>
      <c r="G58" s="720"/>
      <c r="H58" s="715">
        <f t="shared" si="8"/>
        <v>0</v>
      </c>
    </row>
    <row r="59" spans="1:16" ht="15.5" x14ac:dyDescent="0.35">
      <c r="A59" s="734" t="s">
        <v>1248</v>
      </c>
      <c r="B59" s="732">
        <f>SUM(BWf!H107:H111)</f>
        <v>1350</v>
      </c>
      <c r="C59" s="733"/>
      <c r="D59" s="717">
        <f t="shared" si="6"/>
        <v>13.5</v>
      </c>
      <c r="E59" s="718"/>
      <c r="F59" s="717">
        <f t="shared" si="7"/>
        <v>0.9</v>
      </c>
      <c r="G59" s="718"/>
      <c r="H59" s="716">
        <f t="shared" si="8"/>
        <v>37.5</v>
      </c>
    </row>
    <row r="60" spans="1:16" ht="15.5" x14ac:dyDescent="0.35">
      <c r="A60" s="734" t="s">
        <v>1249</v>
      </c>
      <c r="B60" s="732">
        <f>SUM(BWf!H112:H116)</f>
        <v>451.08981166712641</v>
      </c>
      <c r="C60" s="733"/>
      <c r="D60" s="717">
        <f t="shared" si="6"/>
        <v>4.5108981166712638</v>
      </c>
      <c r="E60" s="718"/>
      <c r="F60" s="717">
        <f t="shared" si="7"/>
        <v>0.30072654111141761</v>
      </c>
      <c r="G60" s="718"/>
      <c r="H60" s="716">
        <f t="shared" si="8"/>
        <v>12.530272546309067</v>
      </c>
    </row>
    <row r="61" spans="1:16" ht="15.5" x14ac:dyDescent="0.35">
      <c r="A61" s="714" t="s">
        <v>79</v>
      </c>
      <c r="B61" s="732">
        <f>BWf!L124</f>
        <v>2143.6534991454109</v>
      </c>
      <c r="C61" s="733"/>
      <c r="D61" s="717">
        <f t="shared" si="6"/>
        <v>21.43653499145411</v>
      </c>
      <c r="E61" s="718"/>
      <c r="F61" s="717">
        <f t="shared" si="7"/>
        <v>1.4291023327636072</v>
      </c>
      <c r="G61" s="718"/>
      <c r="H61" s="716">
        <f t="shared" si="8"/>
        <v>59.545930531816971</v>
      </c>
    </row>
    <row r="62" spans="1:16" ht="15" x14ac:dyDescent="0.3">
      <c r="A62" s="709" t="s">
        <v>368</v>
      </c>
      <c r="B62" s="735">
        <f>SUM(B47:B61)</f>
        <v>10689.584159794649</v>
      </c>
      <c r="C62" s="736"/>
      <c r="D62" s="737">
        <f>SUM(D47:D61)</f>
        <v>106.8958415979465</v>
      </c>
      <c r="E62" s="737"/>
      <c r="F62" s="737">
        <f>SUM(F47:F61)</f>
        <v>7.1263894398631003</v>
      </c>
      <c r="G62" s="737"/>
      <c r="H62" s="737">
        <f>SUM(H47:H61)</f>
        <v>296.93289332762919</v>
      </c>
    </row>
    <row r="63" spans="1:16" ht="15.5" x14ac:dyDescent="0.35">
      <c r="A63" s="699"/>
      <c r="B63" s="735"/>
      <c r="C63" s="736"/>
      <c r="D63" s="737"/>
      <c r="E63" s="741"/>
      <c r="F63" s="741"/>
      <c r="G63" s="741"/>
      <c r="H63" s="741"/>
    </row>
    <row r="64" spans="1:16" ht="15" x14ac:dyDescent="0.3">
      <c r="A64" s="709" t="s">
        <v>80</v>
      </c>
      <c r="B64" s="735">
        <f>B62+B44</f>
        <v>35288.792176711511</v>
      </c>
      <c r="C64" s="736"/>
      <c r="D64" s="737">
        <f>D62+D44</f>
        <v>352.88792176711513</v>
      </c>
      <c r="E64" s="737"/>
      <c r="F64" s="737">
        <f>F62+F44</f>
        <v>23.525861451141004</v>
      </c>
      <c r="G64" s="737"/>
      <c r="H64" s="737">
        <f>H62+H44</f>
        <v>980.24422713087529</v>
      </c>
    </row>
    <row r="65" spans="1:8" ht="15.5" x14ac:dyDescent="0.35">
      <c r="A65" s="742"/>
      <c r="B65" s="735"/>
      <c r="C65" s="736"/>
      <c r="D65" s="737"/>
      <c r="E65" s="737"/>
      <c r="F65" s="737"/>
      <c r="G65" s="737"/>
      <c r="H65" s="737"/>
    </row>
    <row r="66" spans="1:8" ht="15" x14ac:dyDescent="0.3">
      <c r="A66" s="709" t="s">
        <v>355</v>
      </c>
      <c r="B66" s="710">
        <f>B14-B64</f>
        <v>9711.2078232884887</v>
      </c>
      <c r="C66" s="736"/>
      <c r="D66" s="712">
        <f>D14-D64</f>
        <v>97.112078232884869</v>
      </c>
      <c r="E66" s="737"/>
      <c r="F66" s="712">
        <f>F14-F64</f>
        <v>6.4741385488589955</v>
      </c>
      <c r="G66" s="737"/>
      <c r="H66" s="712">
        <f>H14-H64</f>
        <v>269.75577286912471</v>
      </c>
    </row>
    <row r="67" spans="1:8" ht="15" x14ac:dyDescent="0.3">
      <c r="A67" s="709" t="s">
        <v>356</v>
      </c>
      <c r="B67" s="735">
        <f>B14-B44</f>
        <v>20400.791983083138</v>
      </c>
      <c r="C67" s="736"/>
      <c r="D67" s="737">
        <f>D14-D44</f>
        <v>204.00791983083138</v>
      </c>
      <c r="E67" s="737"/>
      <c r="F67" s="737">
        <f>F14-F44</f>
        <v>13.600527988722096</v>
      </c>
      <c r="G67" s="737"/>
      <c r="H67" s="737">
        <f>H14-H44</f>
        <v>566.68866619675396</v>
      </c>
    </row>
    <row r="68" spans="1:8" ht="15.5" x14ac:dyDescent="0.35">
      <c r="A68" s="699"/>
      <c r="B68" s="743"/>
      <c r="C68" s="743"/>
      <c r="D68" s="702"/>
      <c r="E68" s="703"/>
      <c r="F68" s="703"/>
      <c r="G68" s="703"/>
      <c r="H68" s="703"/>
    </row>
    <row r="69" spans="1:8" ht="15.5" x14ac:dyDescent="0.35">
      <c r="A69" s="709" t="s">
        <v>234</v>
      </c>
      <c r="B69" s="743"/>
      <c r="C69" s="743"/>
      <c r="D69" s="702"/>
      <c r="E69" s="703"/>
      <c r="F69" s="703"/>
      <c r="G69" s="703"/>
      <c r="H69" s="703"/>
    </row>
    <row r="70" spans="1:8" ht="12.75" customHeight="1" x14ac:dyDescent="0.35">
      <c r="A70" s="744" t="s">
        <v>369</v>
      </c>
      <c r="B70" s="703" t="s">
        <v>76</v>
      </c>
      <c r="C70" s="743"/>
      <c r="D70" s="703" t="s">
        <v>393</v>
      </c>
      <c r="E70" s="703"/>
      <c r="F70" s="703" t="s">
        <v>1556</v>
      </c>
      <c r="G70" s="703"/>
      <c r="H70" s="703" t="s">
        <v>396</v>
      </c>
    </row>
    <row r="71" spans="1:8" ht="15.5" x14ac:dyDescent="0.35">
      <c r="A71" s="714" t="s">
        <v>370</v>
      </c>
      <c r="B71" s="745">
        <f>B64</f>
        <v>35288.792176711511</v>
      </c>
      <c r="C71" s="743"/>
      <c r="D71" s="717">
        <f>$B$64/buckwheat</f>
        <v>352.88792176711513</v>
      </c>
      <c r="E71" s="718"/>
      <c r="F71" s="717">
        <f>$B$64/($C$4*buckwheat)</f>
        <v>23.525861451141008</v>
      </c>
      <c r="G71" s="718"/>
      <c r="H71" s="717">
        <f>$B$64/($E$4*buckwheat)</f>
        <v>980.24422713087529</v>
      </c>
    </row>
    <row r="72" spans="1:8" ht="15.5" x14ac:dyDescent="0.35">
      <c r="A72" s="714" t="s">
        <v>371</v>
      </c>
      <c r="B72" s="745">
        <f>B44</f>
        <v>24599.208016916862</v>
      </c>
      <c r="C72" s="743"/>
      <c r="D72" s="717">
        <f>$B$44/buckwheat</f>
        <v>245.99208016916862</v>
      </c>
      <c r="E72" s="718"/>
      <c r="F72" s="717">
        <f>$B$44/($C$4*buckwheat)</f>
        <v>16.399472011277908</v>
      </c>
      <c r="G72" s="718"/>
      <c r="H72" s="717">
        <f>$B$44/($E$4*buckwheat)</f>
        <v>683.31133380324616</v>
      </c>
    </row>
    <row r="73" spans="1:8" ht="15.5" x14ac:dyDescent="0.35">
      <c r="A73" s="714"/>
      <c r="B73" s="743"/>
      <c r="C73" s="743"/>
      <c r="D73" s="717"/>
      <c r="E73" s="718"/>
      <c r="F73" s="717"/>
      <c r="G73" s="718"/>
      <c r="H73" s="717"/>
    </row>
    <row r="74" spans="1:8" ht="15.5" x14ac:dyDescent="0.35">
      <c r="A74" s="744" t="s">
        <v>1099</v>
      </c>
      <c r="B74" s="703" t="s">
        <v>1100</v>
      </c>
      <c r="C74" s="743"/>
      <c r="D74" s="703" t="s">
        <v>1995</v>
      </c>
      <c r="E74" s="752"/>
      <c r="F74" s="717"/>
      <c r="G74" s="718"/>
      <c r="H74" s="717"/>
    </row>
    <row r="75" spans="1:8" ht="15.5" x14ac:dyDescent="0.35">
      <c r="A75" s="714" t="s">
        <v>1101</v>
      </c>
      <c r="B75" s="746">
        <f>B66/SUM(BWv!E19:E52)</f>
        <v>6.1320098501960212</v>
      </c>
      <c r="C75" s="743"/>
      <c r="D75" s="1226">
        <f>SUM(BWv!E19:E52)</f>
        <v>1583.6908388165834</v>
      </c>
      <c r="E75" s="1225" t="s">
        <v>1996</v>
      </c>
      <c r="F75" s="717"/>
      <c r="G75" s="718"/>
      <c r="H75" s="717"/>
    </row>
    <row r="76" spans="1:8" ht="15.5" x14ac:dyDescent="0.35">
      <c r="A76" s="714" t="s">
        <v>1102</v>
      </c>
      <c r="B76" s="746">
        <f>B67/SUM(BWv!E19:E52)</f>
        <v>12.881802106229063</v>
      </c>
      <c r="C76" s="743"/>
      <c r="D76" s="717"/>
      <c r="E76" s="718"/>
      <c r="F76" s="717"/>
      <c r="G76" s="718"/>
      <c r="H76" s="717"/>
    </row>
    <row r="77" spans="1:8" ht="15.5" x14ac:dyDescent="0.35">
      <c r="A77" s="747"/>
      <c r="B77" s="748"/>
      <c r="C77" s="748"/>
      <c r="D77" s="749"/>
      <c r="E77" s="750"/>
      <c r="F77" s="750"/>
      <c r="G77" s="750"/>
      <c r="H77" s="750"/>
    </row>
    <row r="78" spans="1:8" x14ac:dyDescent="0.3">
      <c r="D78" s="59"/>
      <c r="E78" s="55"/>
      <c r="F78" s="55"/>
      <c r="G78" s="55"/>
      <c r="H78" s="55"/>
    </row>
    <row r="79" spans="1:8" x14ac:dyDescent="0.3">
      <c r="D79" s="59"/>
      <c r="E79" s="55"/>
      <c r="F79" s="55"/>
      <c r="G79" s="55"/>
      <c r="H79" s="55"/>
    </row>
    <row r="81" spans="1:8" x14ac:dyDescent="0.3">
      <c r="A81" s="61" t="s">
        <v>146</v>
      </c>
      <c r="B81" s="50" t="str">
        <f>model</f>
        <v>ME Grain &amp; Pulse</v>
      </c>
    </row>
    <row r="83" spans="1:8" x14ac:dyDescent="0.3">
      <c r="A83" s="7" t="s">
        <v>2144</v>
      </c>
      <c r="B83" s="55" t="s">
        <v>92</v>
      </c>
      <c r="C83" s="54">
        <f>buckwheat</f>
        <v>100</v>
      </c>
      <c r="D83" s="17" t="s">
        <v>93</v>
      </c>
    </row>
    <row r="84" spans="1:8" x14ac:dyDescent="0.3">
      <c r="A84" s="8"/>
      <c r="B84" s="55" t="s">
        <v>727</v>
      </c>
      <c r="C84" s="54">
        <f>Data!B236</f>
        <v>15</v>
      </c>
      <c r="D84" s="17" t="s">
        <v>1567</v>
      </c>
      <c r="E84" s="1190">
        <f>(C84*Data!$K$65)/2000</f>
        <v>0.36</v>
      </c>
      <c r="F84" s="17" t="s">
        <v>235</v>
      </c>
      <c r="G84" s="54"/>
    </row>
    <row r="85" spans="1:8" x14ac:dyDescent="0.3">
      <c r="B85" s="55" t="s">
        <v>728</v>
      </c>
      <c r="C85" s="106">
        <f>IF(FARM!$F$22&gt;0,Data!$B$231,Data!$B$232)</f>
        <v>30</v>
      </c>
      <c r="D85" s="17" t="s">
        <v>1566</v>
      </c>
      <c r="E85" s="153">
        <f>Data!$K$65</f>
        <v>48</v>
      </c>
      <c r="F85" s="17" t="s">
        <v>1560</v>
      </c>
      <c r="G85" s="153"/>
    </row>
    <row r="86" spans="1:8" x14ac:dyDescent="0.3">
      <c r="B86" s="55"/>
      <c r="C86" s="54"/>
      <c r="D86" s="17"/>
    </row>
    <row r="87" spans="1:8" ht="15.5" x14ac:dyDescent="0.35">
      <c r="A87" s="751" t="s">
        <v>2144</v>
      </c>
      <c r="B87" s="697" t="s">
        <v>76</v>
      </c>
      <c r="C87" s="697"/>
      <c r="D87" s="697" t="s">
        <v>77</v>
      </c>
      <c r="E87" s="698"/>
      <c r="F87" s="697" t="s">
        <v>1554</v>
      </c>
      <c r="G87" s="698"/>
      <c r="H87" s="697" t="s">
        <v>385</v>
      </c>
    </row>
    <row r="88" spans="1:8" ht="15.5" x14ac:dyDescent="0.35">
      <c r="A88" s="699" t="s">
        <v>362</v>
      </c>
      <c r="B88" s="700">
        <f>C83</f>
        <v>100</v>
      </c>
      <c r="C88" s="701"/>
      <c r="D88" s="702" t="s">
        <v>363</v>
      </c>
      <c r="E88" s="703"/>
      <c r="F88" s="702" t="s">
        <v>363</v>
      </c>
      <c r="G88" s="703"/>
      <c r="H88" s="702" t="s">
        <v>363</v>
      </c>
    </row>
    <row r="89" spans="1:8" ht="15.5" x14ac:dyDescent="0.35">
      <c r="A89" s="699" t="s">
        <v>2145</v>
      </c>
      <c r="B89" s="702" t="s">
        <v>363</v>
      </c>
      <c r="C89" s="701"/>
      <c r="D89" s="702" t="s">
        <v>363</v>
      </c>
      <c r="E89" s="703"/>
      <c r="F89" s="702" t="s">
        <v>363</v>
      </c>
      <c r="G89" s="703"/>
      <c r="H89" s="888">
        <f>2000/Data!$K$64</f>
        <v>33.333333333333336</v>
      </c>
    </row>
    <row r="90" spans="1:8" ht="15.5" x14ac:dyDescent="0.35">
      <c r="A90" s="699" t="s">
        <v>2146</v>
      </c>
      <c r="B90" s="700">
        <f>$C$83*C84</f>
        <v>1500</v>
      </c>
      <c r="C90" s="701"/>
      <c r="D90" s="700">
        <f>C84</f>
        <v>15</v>
      </c>
      <c r="E90" s="703"/>
      <c r="F90" s="702" t="s">
        <v>363</v>
      </c>
      <c r="G90" s="703"/>
      <c r="H90" s="702" t="s">
        <v>363</v>
      </c>
    </row>
    <row r="91" spans="1:8" ht="15.5" x14ac:dyDescent="0.35">
      <c r="A91" s="699" t="s">
        <v>2147</v>
      </c>
      <c r="B91" s="700">
        <f>$C$83*E84</f>
        <v>36</v>
      </c>
      <c r="C91" s="701"/>
      <c r="D91" s="1191">
        <f>E84</f>
        <v>0.36</v>
      </c>
      <c r="E91" s="703"/>
      <c r="F91" s="702" t="s">
        <v>363</v>
      </c>
      <c r="G91" s="703"/>
      <c r="H91" s="702" t="s">
        <v>363</v>
      </c>
    </row>
    <row r="92" spans="1:8" ht="15.5" x14ac:dyDescent="0.35">
      <c r="A92" s="699" t="str">
        <f>IF(Data!B225=1,"Buckwheat Price ($/unit) - Food Grade","Buckwheat Price ($/unit) - Feed Grade")</f>
        <v>Buckwheat Price ($/unit) - Food Grade</v>
      </c>
      <c r="B92" s="702" t="s">
        <v>363</v>
      </c>
      <c r="C92" s="701"/>
      <c r="D92" s="702" t="s">
        <v>363</v>
      </c>
      <c r="E92" s="703"/>
      <c r="F92" s="704">
        <f>C85</f>
        <v>30</v>
      </c>
      <c r="G92" s="703"/>
      <c r="H92" s="840">
        <f>F92*H89</f>
        <v>1000.0000000000001</v>
      </c>
    </row>
    <row r="93" spans="1:8" ht="15.5" x14ac:dyDescent="0.35">
      <c r="A93" s="699"/>
      <c r="B93" s="706"/>
      <c r="C93" s="706"/>
      <c r="D93" s="707"/>
      <c r="E93" s="708"/>
      <c r="F93" s="707"/>
      <c r="G93" s="708"/>
      <c r="H93" s="707"/>
    </row>
    <row r="94" spans="1:8" ht="15" x14ac:dyDescent="0.3">
      <c r="A94" s="709" t="s">
        <v>230</v>
      </c>
      <c r="B94" s="710">
        <f>(C84*C85*buckwheat)</f>
        <v>45000</v>
      </c>
      <c r="C94" s="711"/>
      <c r="D94" s="712">
        <f>B94/buckwheat</f>
        <v>450</v>
      </c>
      <c r="E94" s="713"/>
      <c r="F94" s="712">
        <f>B94/($C$84*buckwheat)</f>
        <v>30</v>
      </c>
      <c r="G94" s="713"/>
      <c r="H94" s="711">
        <f>B94/($E$84*buckwheat)</f>
        <v>1250</v>
      </c>
    </row>
    <row r="95" spans="1:8" ht="15.5" x14ac:dyDescent="0.35">
      <c r="A95" s="699"/>
      <c r="B95" s="721"/>
      <c r="C95" s="722"/>
      <c r="D95" s="717"/>
      <c r="E95" s="718"/>
      <c r="F95" s="717"/>
      <c r="G95" s="718"/>
      <c r="H95" s="717"/>
    </row>
    <row r="96" spans="1:8" ht="15.5" x14ac:dyDescent="0.35">
      <c r="A96" s="709" t="s">
        <v>365</v>
      </c>
      <c r="B96" s="715"/>
      <c r="C96" s="716"/>
      <c r="D96" s="717"/>
      <c r="E96" s="718"/>
      <c r="F96" s="717"/>
      <c r="G96" s="718"/>
      <c r="H96" s="717"/>
    </row>
    <row r="97" spans="1:16" ht="15.5" x14ac:dyDescent="0.35">
      <c r="A97" s="714" t="s">
        <v>13</v>
      </c>
      <c r="B97" s="715">
        <f>SUM(BWv!H8:H9)</f>
        <v>7420</v>
      </c>
      <c r="C97" s="716"/>
      <c r="D97" s="717">
        <f>B97/buckwheat</f>
        <v>74.2</v>
      </c>
      <c r="E97" s="718"/>
      <c r="F97" s="717">
        <f>B97/($C$84*buckwheat)</f>
        <v>4.9466666666666663</v>
      </c>
      <c r="G97" s="718"/>
      <c r="H97" s="716">
        <f>B97/($E$84*buckwheat)</f>
        <v>206.11111111111111</v>
      </c>
    </row>
    <row r="98" spans="1:16" ht="15.5" x14ac:dyDescent="0.35">
      <c r="A98" s="714" t="s">
        <v>1287</v>
      </c>
      <c r="B98" s="715">
        <f>SUM(BWv!H10:H12)</f>
        <v>0</v>
      </c>
      <c r="C98" s="716"/>
      <c r="D98" s="719">
        <f>B98/buckwheat</f>
        <v>0</v>
      </c>
      <c r="E98" s="718"/>
      <c r="F98" s="719">
        <f>B98/($C$84*buckwheat)</f>
        <v>0</v>
      </c>
      <c r="G98" s="718"/>
      <c r="H98" s="715">
        <f>B98/($E$84*buckwheat)</f>
        <v>0</v>
      </c>
    </row>
    <row r="99" spans="1:16" ht="15.5" x14ac:dyDescent="0.35">
      <c r="A99" s="714" t="s">
        <v>2</v>
      </c>
      <c r="B99" s="715">
        <f>BWv!H13</f>
        <v>0</v>
      </c>
      <c r="C99" s="716"/>
      <c r="D99" s="719">
        <f>B99/buckwheat</f>
        <v>0</v>
      </c>
      <c r="E99" s="720"/>
      <c r="F99" s="719">
        <f>B99/($C$84*buckwheat)</f>
        <v>0</v>
      </c>
      <c r="G99" s="720"/>
      <c r="H99" s="715">
        <f>B99/($E$84*buckwheat)</f>
        <v>0</v>
      </c>
    </row>
    <row r="100" spans="1:16" ht="15.5" x14ac:dyDescent="0.35">
      <c r="A100" s="714" t="s">
        <v>1476</v>
      </c>
      <c r="B100" s="699"/>
      <c r="C100" s="699"/>
      <c r="D100" s="699"/>
      <c r="E100" s="699"/>
      <c r="F100" s="699"/>
      <c r="G100" s="699"/>
      <c r="H100" s="699"/>
    </row>
    <row r="101" spans="1:16" ht="15.5" x14ac:dyDescent="0.35">
      <c r="A101" s="714" t="s">
        <v>1121</v>
      </c>
      <c r="B101" s="745">
        <f>SUM(BWv!H14:H15)</f>
        <v>0</v>
      </c>
      <c r="C101" s="746"/>
      <c r="D101" s="719">
        <f>B101/buckwheat</f>
        <v>0</v>
      </c>
      <c r="E101" s="720"/>
      <c r="F101" s="719">
        <f>B101/($C$84*buckwheat)</f>
        <v>0</v>
      </c>
      <c r="G101" s="720"/>
      <c r="H101" s="715">
        <f>B101/($E$84*buckwheat)</f>
        <v>0</v>
      </c>
    </row>
    <row r="102" spans="1:16" ht="15.5" x14ac:dyDescent="0.35">
      <c r="A102" s="714" t="s">
        <v>1119</v>
      </c>
      <c r="B102" s="745">
        <f>SUM(BWv!H16:H16)</f>
        <v>0</v>
      </c>
      <c r="C102" s="746"/>
      <c r="D102" s="719">
        <f>B102/buckwheat</f>
        <v>0</v>
      </c>
      <c r="E102" s="720"/>
      <c r="F102" s="719">
        <f>B102/($C$84*buckwheat)</f>
        <v>0</v>
      </c>
      <c r="G102" s="720"/>
      <c r="H102" s="715">
        <f>B102/($E$84*buckwheat)</f>
        <v>0</v>
      </c>
    </row>
    <row r="103" spans="1:16" ht="15.5" x14ac:dyDescent="0.35">
      <c r="A103" s="714" t="s">
        <v>1120</v>
      </c>
      <c r="B103" s="745">
        <f>SUM(BWv!H17:H17)</f>
        <v>0</v>
      </c>
      <c r="C103" s="746"/>
      <c r="D103" s="719">
        <f>B103/buckwheat</f>
        <v>0</v>
      </c>
      <c r="E103" s="720"/>
      <c r="F103" s="719">
        <f>B103/($C$84*buckwheat)</f>
        <v>0</v>
      </c>
      <c r="G103" s="720"/>
      <c r="H103" s="715">
        <f>B103/($E$84*buckwheat)</f>
        <v>0</v>
      </c>
      <c r="J103" s="889" t="s">
        <v>1557</v>
      </c>
    </row>
    <row r="104" spans="1:16" ht="15.5" x14ac:dyDescent="0.35">
      <c r="A104" s="714" t="s">
        <v>1214</v>
      </c>
      <c r="B104" s="715"/>
      <c r="C104" s="716"/>
      <c r="D104" s="717"/>
      <c r="E104" s="718"/>
      <c r="F104" s="717"/>
      <c r="G104" s="718"/>
      <c r="H104" s="717"/>
      <c r="J104" s="756">
        <f>_wage_</f>
        <v>12.29</v>
      </c>
      <c r="K104" s="709" t="s">
        <v>1558</v>
      </c>
    </row>
    <row r="105" spans="1:16" ht="15.5" x14ac:dyDescent="0.35">
      <c r="A105" s="734" t="s">
        <v>1910</v>
      </c>
      <c r="B105" s="715">
        <f>SUM(BWv!H19:H20)</f>
        <v>0</v>
      </c>
      <c r="C105" s="716"/>
      <c r="D105" s="719">
        <f t="shared" ref="D105:D119" si="9">B105/buckwheat</f>
        <v>0</v>
      </c>
      <c r="E105" s="718"/>
      <c r="F105" s="719">
        <f t="shared" ref="F105:F119" si="10">B105/($C$84*buckwheat)</f>
        <v>0</v>
      </c>
      <c r="G105" s="718"/>
      <c r="H105" s="715">
        <f t="shared" ref="H105:H119" si="11">B105/($E$84*buckwheat)</f>
        <v>0</v>
      </c>
      <c r="J105" s="697" t="s">
        <v>76</v>
      </c>
      <c r="K105" s="697"/>
      <c r="L105" s="697" t="s">
        <v>77</v>
      </c>
      <c r="M105" s="698"/>
      <c r="N105" s="697" t="s">
        <v>1554</v>
      </c>
      <c r="O105" s="698"/>
      <c r="P105" s="697" t="s">
        <v>385</v>
      </c>
    </row>
    <row r="106" spans="1:16" ht="15.5" x14ac:dyDescent="0.35">
      <c r="A106" s="734" t="s">
        <v>1251</v>
      </c>
      <c r="B106" s="715">
        <f>BWv!H21</f>
        <v>307.25</v>
      </c>
      <c r="C106" s="716"/>
      <c r="D106" s="717">
        <f t="shared" si="9"/>
        <v>3.0724999999999998</v>
      </c>
      <c r="E106" s="718"/>
      <c r="F106" s="717">
        <f t="shared" si="10"/>
        <v>0.20483333333333334</v>
      </c>
      <c r="G106" s="718"/>
      <c r="H106" s="716">
        <f t="shared" si="11"/>
        <v>8.5347222222222214</v>
      </c>
      <c r="J106" s="763">
        <f>SUM(B105:B119)</f>
        <v>2151.3798182810633</v>
      </c>
      <c r="L106" s="756">
        <f>SUM(D105:D119)</f>
        <v>21.513798182810635</v>
      </c>
      <c r="N106" s="756">
        <f>SUM(F105:F119)</f>
        <v>1.4342532121873754</v>
      </c>
      <c r="P106" s="756">
        <f>SUM(H105:H119)</f>
        <v>59.760550507807316</v>
      </c>
    </row>
    <row r="107" spans="1:16" ht="15.5" x14ac:dyDescent="0.35">
      <c r="A107" s="734" t="s">
        <v>1256</v>
      </c>
      <c r="B107" s="715">
        <f>BWv!H22</f>
        <v>144.58823529411714</v>
      </c>
      <c r="C107" s="716"/>
      <c r="D107" s="717">
        <f t="shared" si="9"/>
        <v>1.4458823529411715</v>
      </c>
      <c r="E107" s="718"/>
      <c r="F107" s="717">
        <f t="shared" si="10"/>
        <v>9.6392156862744757E-2</v>
      </c>
      <c r="G107" s="718"/>
      <c r="H107" s="716">
        <f t="shared" si="11"/>
        <v>4.0163398692810315</v>
      </c>
    </row>
    <row r="108" spans="1:16" ht="15.5" x14ac:dyDescent="0.35">
      <c r="A108" s="734" t="s">
        <v>1252</v>
      </c>
      <c r="B108" s="715">
        <f>BWv!H23</f>
        <v>100.57283142389524</v>
      </c>
      <c r="C108" s="716"/>
      <c r="D108" s="717">
        <f t="shared" si="9"/>
        <v>1.0057283142389524</v>
      </c>
      <c r="E108" s="718"/>
      <c r="F108" s="717">
        <f t="shared" si="10"/>
        <v>6.7048554282596831E-2</v>
      </c>
      <c r="G108" s="718"/>
      <c r="H108" s="716">
        <f t="shared" si="11"/>
        <v>2.7936897617748677</v>
      </c>
    </row>
    <row r="109" spans="1:16" ht="15.5" x14ac:dyDescent="0.35">
      <c r="A109" s="734" t="s">
        <v>1253</v>
      </c>
      <c r="B109" s="715">
        <f>BWv!H24</f>
        <v>94.684129429892167</v>
      </c>
      <c r="C109" s="716"/>
      <c r="D109" s="717">
        <f t="shared" si="9"/>
        <v>0.94684129429892172</v>
      </c>
      <c r="E109" s="718"/>
      <c r="F109" s="717">
        <f t="shared" si="10"/>
        <v>6.3122752953261446E-2</v>
      </c>
      <c r="G109" s="718"/>
      <c r="H109" s="716">
        <f t="shared" si="11"/>
        <v>2.6301147063858936</v>
      </c>
    </row>
    <row r="110" spans="1:16" ht="15.5" x14ac:dyDescent="0.35">
      <c r="A110" s="734" t="s">
        <v>1254</v>
      </c>
      <c r="B110" s="715">
        <f>BWv!H25</f>
        <v>94.684129429892167</v>
      </c>
      <c r="C110" s="716"/>
      <c r="D110" s="717">
        <f t="shared" si="9"/>
        <v>0.94684129429892172</v>
      </c>
      <c r="E110" s="718"/>
      <c r="F110" s="717">
        <f t="shared" si="10"/>
        <v>6.3122752953261446E-2</v>
      </c>
      <c r="G110" s="718"/>
      <c r="H110" s="716">
        <f t="shared" si="11"/>
        <v>2.6301147063858936</v>
      </c>
    </row>
    <row r="111" spans="1:16" ht="15.5" x14ac:dyDescent="0.35">
      <c r="A111" s="734" t="s">
        <v>2175</v>
      </c>
      <c r="B111" s="715">
        <f>BWv!H26</f>
        <v>0</v>
      </c>
      <c r="C111" s="716"/>
      <c r="D111" s="719">
        <f t="shared" si="9"/>
        <v>0</v>
      </c>
      <c r="E111" s="720"/>
      <c r="F111" s="719">
        <f t="shared" si="10"/>
        <v>0</v>
      </c>
      <c r="G111" s="720"/>
      <c r="H111" s="715">
        <f t="shared" si="11"/>
        <v>0</v>
      </c>
    </row>
    <row r="112" spans="1:16" ht="15.5" x14ac:dyDescent="0.35">
      <c r="A112" s="734" t="s">
        <v>1259</v>
      </c>
      <c r="B112" s="715">
        <f>BWv!H31</f>
        <v>0</v>
      </c>
      <c r="C112" s="716"/>
      <c r="D112" s="719">
        <f t="shared" si="9"/>
        <v>0</v>
      </c>
      <c r="E112" s="718"/>
      <c r="F112" s="719">
        <f t="shared" si="10"/>
        <v>0</v>
      </c>
      <c r="G112" s="718"/>
      <c r="H112" s="715">
        <f t="shared" si="11"/>
        <v>0</v>
      </c>
    </row>
    <row r="113" spans="1:16" ht="15.5" x14ac:dyDescent="0.35">
      <c r="A113" s="734" t="s">
        <v>2149</v>
      </c>
      <c r="B113" s="715">
        <f>BWv!H33</f>
        <v>0</v>
      </c>
      <c r="C113" s="716"/>
      <c r="D113" s="719">
        <f t="shared" si="9"/>
        <v>0</v>
      </c>
      <c r="E113" s="718"/>
      <c r="F113" s="719">
        <f t="shared" si="10"/>
        <v>0</v>
      </c>
      <c r="G113" s="718"/>
      <c r="H113" s="715">
        <f t="shared" si="11"/>
        <v>0</v>
      </c>
    </row>
    <row r="114" spans="1:16" ht="15.5" x14ac:dyDescent="0.35">
      <c r="A114" s="734" t="s">
        <v>2150</v>
      </c>
      <c r="B114" s="715">
        <f>BWv!H34</f>
        <v>245.8</v>
      </c>
      <c r="C114" s="716"/>
      <c r="D114" s="717">
        <f t="shared" si="9"/>
        <v>2.4580000000000002</v>
      </c>
      <c r="E114" s="718"/>
      <c r="F114" s="717">
        <f t="shared" si="10"/>
        <v>0.16386666666666666</v>
      </c>
      <c r="G114" s="718"/>
      <c r="H114" s="716">
        <f t="shared" si="11"/>
        <v>6.8277777777777784</v>
      </c>
    </row>
    <row r="115" spans="1:16" ht="15.5" x14ac:dyDescent="0.35">
      <c r="A115" s="734" t="s">
        <v>1255</v>
      </c>
      <c r="B115" s="715">
        <f>SUM(BWv!H35:H36)</f>
        <v>409.66666666666657</v>
      </c>
      <c r="C115" s="716"/>
      <c r="D115" s="717">
        <f t="shared" si="9"/>
        <v>4.0966666666666658</v>
      </c>
      <c r="E115" s="718"/>
      <c r="F115" s="717">
        <f t="shared" si="10"/>
        <v>0.27311111111111103</v>
      </c>
      <c r="G115" s="718"/>
      <c r="H115" s="716">
        <f t="shared" si="11"/>
        <v>11.379629629629626</v>
      </c>
    </row>
    <row r="116" spans="1:16" ht="15.5" x14ac:dyDescent="0.35">
      <c r="A116" s="734" t="s">
        <v>2077</v>
      </c>
      <c r="B116" s="715">
        <f>SUM(BWv!H37:H38)</f>
        <v>64.570644218418266</v>
      </c>
      <c r="C116" s="716"/>
      <c r="D116" s="717">
        <f t="shared" si="9"/>
        <v>0.64570644218418272</v>
      </c>
      <c r="E116" s="720"/>
      <c r="F116" s="717">
        <f t="shared" si="10"/>
        <v>4.3047096145612175E-2</v>
      </c>
      <c r="G116" s="720"/>
      <c r="H116" s="716">
        <f t="shared" si="11"/>
        <v>1.793629006067174</v>
      </c>
    </row>
    <row r="117" spans="1:16" ht="15.5" x14ac:dyDescent="0.35">
      <c r="A117" s="734" t="s">
        <v>1537</v>
      </c>
      <c r="B117" s="715">
        <f>SUM(BWv!H39:H41)</f>
        <v>442.43999999999994</v>
      </c>
      <c r="C117" s="716"/>
      <c r="D117" s="717">
        <f t="shared" si="9"/>
        <v>4.4243999999999994</v>
      </c>
      <c r="E117" s="720"/>
      <c r="F117" s="717">
        <f t="shared" si="10"/>
        <v>0.29495999999999994</v>
      </c>
      <c r="G117" s="720"/>
      <c r="H117" s="716">
        <f t="shared" si="11"/>
        <v>12.29</v>
      </c>
    </row>
    <row r="118" spans="1:16" ht="15.5" x14ac:dyDescent="0.35">
      <c r="A118" s="734" t="s">
        <v>1257</v>
      </c>
      <c r="B118" s="715">
        <f>SUM(BWv!H42:H45)</f>
        <v>191.81818181818201</v>
      </c>
      <c r="C118" s="716"/>
      <c r="D118" s="717">
        <f t="shared" si="9"/>
        <v>1.9181818181818202</v>
      </c>
      <c r="E118" s="718"/>
      <c r="F118" s="717">
        <f t="shared" si="10"/>
        <v>0.12787878787878801</v>
      </c>
      <c r="G118" s="718"/>
      <c r="H118" s="716">
        <f t="shared" si="11"/>
        <v>5.3282828282828341</v>
      </c>
    </row>
    <row r="119" spans="1:16" ht="15.5" x14ac:dyDescent="0.35">
      <c r="A119" s="734" t="s">
        <v>2078</v>
      </c>
      <c r="B119" s="715">
        <f>SUM(BWv!H46:H52)</f>
        <v>55.304999999999993</v>
      </c>
      <c r="C119" s="716"/>
      <c r="D119" s="717">
        <f t="shared" si="9"/>
        <v>0.55304999999999993</v>
      </c>
      <c r="E119" s="718"/>
      <c r="F119" s="717">
        <f t="shared" si="10"/>
        <v>3.6869999999999993E-2</v>
      </c>
      <c r="G119" s="718"/>
      <c r="H119" s="716">
        <f t="shared" si="11"/>
        <v>1.5362499999999999</v>
      </c>
      <c r="J119" s="889" t="s">
        <v>1985</v>
      </c>
    </row>
    <row r="120" spans="1:16" ht="15.5" x14ac:dyDescent="0.35">
      <c r="A120" s="714" t="s">
        <v>1260</v>
      </c>
      <c r="B120" s="715"/>
      <c r="C120" s="716"/>
      <c r="D120" s="717"/>
      <c r="E120" s="718"/>
      <c r="F120" s="717"/>
      <c r="G120" s="718"/>
      <c r="H120" s="717"/>
      <c r="J120" s="756">
        <f>diesel_fuel</f>
        <v>2.56</v>
      </c>
      <c r="K120" s="709" t="s">
        <v>1559</v>
      </c>
    </row>
    <row r="121" spans="1:16" ht="15.5" x14ac:dyDescent="0.35">
      <c r="A121" s="734" t="s">
        <v>1910</v>
      </c>
      <c r="B121" s="715">
        <f>SUM(BWv!H53:H54)</f>
        <v>0</v>
      </c>
      <c r="C121" s="716"/>
      <c r="D121" s="719">
        <f t="shared" ref="D121:D128" si="12">B121/buckwheat</f>
        <v>0</v>
      </c>
      <c r="E121" s="718"/>
      <c r="F121" s="719">
        <f t="shared" ref="F121:F128" si="13">B121/($C$84*buckwheat)</f>
        <v>0</v>
      </c>
      <c r="G121" s="718"/>
      <c r="H121" s="715">
        <f t="shared" ref="H121:H128" si="14">B121/($E$84*buckwheat)</f>
        <v>0</v>
      </c>
      <c r="J121" s="697" t="s">
        <v>76</v>
      </c>
      <c r="K121" s="697"/>
      <c r="L121" s="697" t="s">
        <v>77</v>
      </c>
      <c r="M121" s="698"/>
      <c r="N121" s="697" t="s">
        <v>1554</v>
      </c>
      <c r="O121" s="698"/>
      <c r="P121" s="697" t="s">
        <v>385</v>
      </c>
    </row>
    <row r="122" spans="1:16" ht="15.5" x14ac:dyDescent="0.35">
      <c r="A122" s="734" t="s">
        <v>1251</v>
      </c>
      <c r="B122" s="715">
        <f>BWv!H55</f>
        <v>112.70109002769051</v>
      </c>
      <c r="C122" s="716"/>
      <c r="D122" s="717">
        <f t="shared" si="12"/>
        <v>1.1270109002769051</v>
      </c>
      <c r="E122" s="718"/>
      <c r="F122" s="717">
        <f t="shared" si="13"/>
        <v>7.5134060018460347E-2</v>
      </c>
      <c r="G122" s="718"/>
      <c r="H122" s="716">
        <f t="shared" si="14"/>
        <v>3.1305858341025141</v>
      </c>
      <c r="J122" s="763">
        <f>SUM(B121:B135)</f>
        <v>1637.5022746378652</v>
      </c>
      <c r="L122" s="756">
        <f>SUM(D121:D135)</f>
        <v>16.375022746378651</v>
      </c>
      <c r="N122" s="756">
        <f>SUM(F121:F135)</f>
        <v>1.0916681830919099</v>
      </c>
      <c r="P122" s="756">
        <f>SUM(H121:H135)</f>
        <v>45.486174295496248</v>
      </c>
    </row>
    <row r="123" spans="1:16" ht="15.5" x14ac:dyDescent="0.35">
      <c r="A123" s="734" t="s">
        <v>1256</v>
      </c>
      <c r="B123" s="715">
        <f>BWv!H56</f>
        <v>163.84</v>
      </c>
      <c r="C123" s="716"/>
      <c r="D123" s="717">
        <f t="shared" si="12"/>
        <v>1.6384000000000001</v>
      </c>
      <c r="E123" s="718"/>
      <c r="F123" s="717">
        <f t="shared" si="13"/>
        <v>0.10922666666666667</v>
      </c>
      <c r="G123" s="718"/>
      <c r="H123" s="716">
        <f t="shared" si="14"/>
        <v>4.5511111111111111</v>
      </c>
    </row>
    <row r="124" spans="1:16" ht="15.5" x14ac:dyDescent="0.35">
      <c r="A124" s="734" t="s">
        <v>1252</v>
      </c>
      <c r="B124" s="715">
        <f>BWv!H57</f>
        <v>189.44</v>
      </c>
      <c r="C124" s="716"/>
      <c r="D124" s="717">
        <f t="shared" si="12"/>
        <v>1.8944000000000001</v>
      </c>
      <c r="E124" s="718"/>
      <c r="F124" s="717">
        <f t="shared" si="13"/>
        <v>0.12629333333333334</v>
      </c>
      <c r="G124" s="718"/>
      <c r="H124" s="716">
        <f t="shared" si="14"/>
        <v>5.2622222222222224</v>
      </c>
    </row>
    <row r="125" spans="1:16" ht="15.5" x14ac:dyDescent="0.35">
      <c r="A125" s="734" t="s">
        <v>1253</v>
      </c>
      <c r="B125" s="715">
        <f>BWv!H58</f>
        <v>87.04</v>
      </c>
      <c r="C125" s="716"/>
      <c r="D125" s="717">
        <f t="shared" si="12"/>
        <v>0.87040000000000006</v>
      </c>
      <c r="E125" s="718"/>
      <c r="F125" s="717">
        <f t="shared" si="13"/>
        <v>5.8026666666666671E-2</v>
      </c>
      <c r="G125" s="718"/>
      <c r="H125" s="716">
        <f t="shared" si="14"/>
        <v>2.4177777777777778</v>
      </c>
    </row>
    <row r="126" spans="1:16" ht="15.5" x14ac:dyDescent="0.35">
      <c r="A126" s="734" t="s">
        <v>1254</v>
      </c>
      <c r="B126" s="715">
        <f>BWv!H59</f>
        <v>156.16</v>
      </c>
      <c r="C126" s="716"/>
      <c r="D126" s="717">
        <f t="shared" si="12"/>
        <v>1.5615999999999999</v>
      </c>
      <c r="E126" s="718"/>
      <c r="F126" s="717">
        <f t="shared" si="13"/>
        <v>0.10410666666666667</v>
      </c>
      <c r="G126" s="718"/>
      <c r="H126" s="716">
        <f t="shared" si="14"/>
        <v>4.3377777777777773</v>
      </c>
    </row>
    <row r="127" spans="1:16" ht="15.5" x14ac:dyDescent="0.35">
      <c r="A127" s="734" t="s">
        <v>2175</v>
      </c>
      <c r="B127" s="715">
        <f>BWv!H60</f>
        <v>0</v>
      </c>
      <c r="C127" s="716"/>
      <c r="D127" s="719">
        <f t="shared" si="12"/>
        <v>0</v>
      </c>
      <c r="E127" s="720"/>
      <c r="F127" s="719">
        <f t="shared" si="13"/>
        <v>0</v>
      </c>
      <c r="G127" s="720"/>
      <c r="H127" s="715">
        <f t="shared" si="14"/>
        <v>0</v>
      </c>
    </row>
    <row r="128" spans="1:16" ht="15.5" x14ac:dyDescent="0.35">
      <c r="A128" s="734" t="s">
        <v>1259</v>
      </c>
      <c r="B128" s="715">
        <f>BWv!H65</f>
        <v>0</v>
      </c>
      <c r="C128" s="716"/>
      <c r="D128" s="719">
        <f t="shared" si="12"/>
        <v>0</v>
      </c>
      <c r="E128" s="718"/>
      <c r="F128" s="719">
        <f t="shared" si="13"/>
        <v>0</v>
      </c>
      <c r="G128" s="718"/>
      <c r="H128" s="715">
        <f t="shared" si="14"/>
        <v>0</v>
      </c>
    </row>
    <row r="129" spans="1:8" ht="15.5" x14ac:dyDescent="0.35">
      <c r="A129" s="734" t="s">
        <v>2149</v>
      </c>
      <c r="B129" s="715">
        <f>BWv!H67</f>
        <v>0</v>
      </c>
      <c r="C129" s="716"/>
      <c r="D129" s="719">
        <f t="shared" ref="D129:D130" si="15">B129/buckwheat</f>
        <v>0</v>
      </c>
      <c r="E129" s="718"/>
      <c r="F129" s="719">
        <f t="shared" ref="F129:F130" si="16">B129/($C$84*buckwheat)</f>
        <v>0</v>
      </c>
      <c r="G129" s="718"/>
      <c r="H129" s="715">
        <f t="shared" ref="H129:H130" si="17">B129/($E$84*buckwheat)</f>
        <v>0</v>
      </c>
    </row>
    <row r="130" spans="1:8" ht="15.5" x14ac:dyDescent="0.35">
      <c r="A130" s="734" t="s">
        <v>2150</v>
      </c>
      <c r="B130" s="715">
        <f>BWv!H68</f>
        <v>384</v>
      </c>
      <c r="C130" s="716"/>
      <c r="D130" s="717">
        <f t="shared" si="15"/>
        <v>3.84</v>
      </c>
      <c r="E130" s="718"/>
      <c r="F130" s="717">
        <f t="shared" si="16"/>
        <v>0.25600000000000001</v>
      </c>
      <c r="G130" s="718"/>
      <c r="H130" s="716">
        <f t="shared" si="17"/>
        <v>10.666666666666666</v>
      </c>
    </row>
    <row r="131" spans="1:8" ht="15.5" x14ac:dyDescent="0.35">
      <c r="A131" s="734" t="s">
        <v>1255</v>
      </c>
      <c r="B131" s="715">
        <f>SUM(BWv!H69:H70)</f>
        <v>512</v>
      </c>
      <c r="C131" s="716"/>
      <c r="D131" s="717">
        <f t="shared" ref="D131:D139" si="18">B131/buckwheat</f>
        <v>5.12</v>
      </c>
      <c r="E131" s="718"/>
      <c r="F131" s="717">
        <f t="shared" ref="F131:F139" si="19">B131/($C$84*buckwheat)</f>
        <v>0.34133333333333332</v>
      </c>
      <c r="G131" s="718"/>
      <c r="H131" s="716">
        <f t="shared" ref="H131:H139" si="20">B131/($E$84*buckwheat)</f>
        <v>14.222222222222221</v>
      </c>
    </row>
    <row r="132" spans="1:8" ht="15.5" x14ac:dyDescent="0.35">
      <c r="A132" s="734" t="s">
        <v>2077</v>
      </c>
      <c r="B132" s="715">
        <f>SUM(BWv!H71:H72)</f>
        <v>24.129184610174651</v>
      </c>
      <c r="C132" s="716"/>
      <c r="D132" s="717">
        <f t="shared" si="18"/>
        <v>0.2412918461017465</v>
      </c>
      <c r="E132" s="720"/>
      <c r="F132" s="717">
        <f t="shared" si="19"/>
        <v>1.6086123073449768E-2</v>
      </c>
      <c r="G132" s="720"/>
      <c r="H132" s="716">
        <f t="shared" si="20"/>
        <v>0.67025512806040699</v>
      </c>
    </row>
    <row r="133" spans="1:8" ht="15.5" x14ac:dyDescent="0.35">
      <c r="A133" s="734" t="s">
        <v>1537</v>
      </c>
      <c r="B133" s="715">
        <f>SUM(BWv!H73:H75)</f>
        <v>0</v>
      </c>
      <c r="C133" s="716"/>
      <c r="D133" s="719">
        <f t="shared" si="18"/>
        <v>0</v>
      </c>
      <c r="E133" s="720"/>
      <c r="F133" s="719">
        <f t="shared" si="19"/>
        <v>0</v>
      </c>
      <c r="G133" s="720"/>
      <c r="H133" s="715">
        <f t="shared" si="20"/>
        <v>0</v>
      </c>
    </row>
    <row r="134" spans="1:8" ht="15.5" x14ac:dyDescent="0.35">
      <c r="A134" s="734" t="s">
        <v>1257</v>
      </c>
      <c r="B134" s="715">
        <f>SUM(BWv!H76:H79)</f>
        <v>0</v>
      </c>
      <c r="C134" s="716"/>
      <c r="D134" s="719">
        <f t="shared" si="18"/>
        <v>0</v>
      </c>
      <c r="E134" s="720"/>
      <c r="F134" s="719">
        <f t="shared" si="19"/>
        <v>0</v>
      </c>
      <c r="G134" s="720"/>
      <c r="H134" s="715">
        <f t="shared" si="20"/>
        <v>0</v>
      </c>
    </row>
    <row r="135" spans="1:8" ht="15.5" x14ac:dyDescent="0.35">
      <c r="A135" s="734" t="s">
        <v>2078</v>
      </c>
      <c r="B135" s="715">
        <f>SUM(BWv!H80:H85)</f>
        <v>8.1920000000000002</v>
      </c>
      <c r="C135" s="716"/>
      <c r="D135" s="717">
        <f t="shared" si="18"/>
        <v>8.1920000000000007E-2</v>
      </c>
      <c r="E135" s="720"/>
      <c r="F135" s="717">
        <f t="shared" si="19"/>
        <v>5.4613333333333337E-3</v>
      </c>
      <c r="G135" s="720"/>
      <c r="H135" s="716">
        <f t="shared" si="20"/>
        <v>0.22755555555555557</v>
      </c>
    </row>
    <row r="136" spans="1:8" ht="15.5" x14ac:dyDescent="0.35">
      <c r="A136" s="714" t="s">
        <v>1258</v>
      </c>
      <c r="B136" s="715">
        <f>BWv!H86</f>
        <v>204.68778432973315</v>
      </c>
      <c r="C136" s="716"/>
      <c r="D136" s="717">
        <f t="shared" si="18"/>
        <v>2.0468778432973314</v>
      </c>
      <c r="E136" s="718"/>
      <c r="F136" s="717">
        <f t="shared" si="19"/>
        <v>0.13645852288648877</v>
      </c>
      <c r="G136" s="718"/>
      <c r="H136" s="716">
        <f t="shared" si="20"/>
        <v>5.6857717869370319</v>
      </c>
    </row>
    <row r="137" spans="1:8" ht="15.5" x14ac:dyDescent="0.35">
      <c r="A137" s="714" t="s">
        <v>78</v>
      </c>
      <c r="B137" s="715">
        <f>SUM(BWv!H87:H88)</f>
        <v>5853.139681431865</v>
      </c>
      <c r="C137" s="716"/>
      <c r="D137" s="717">
        <f t="shared" si="18"/>
        <v>58.531396814318647</v>
      </c>
      <c r="E137" s="718"/>
      <c r="F137" s="717">
        <f t="shared" si="19"/>
        <v>3.9020931209545768</v>
      </c>
      <c r="G137" s="718"/>
      <c r="H137" s="716">
        <f t="shared" si="20"/>
        <v>162.58721337310737</v>
      </c>
    </row>
    <row r="138" spans="1:8" ht="15.5" x14ac:dyDescent="0.35">
      <c r="A138" s="714" t="s">
        <v>170</v>
      </c>
      <c r="B138" s="732">
        <f>BWv!H89</f>
        <v>0</v>
      </c>
      <c r="C138" s="733"/>
      <c r="D138" s="719">
        <f t="shared" si="18"/>
        <v>0</v>
      </c>
      <c r="E138" s="720"/>
      <c r="F138" s="719">
        <f t="shared" si="19"/>
        <v>0</v>
      </c>
      <c r="G138" s="720"/>
      <c r="H138" s="715">
        <f t="shared" si="20"/>
        <v>0</v>
      </c>
    </row>
    <row r="139" spans="1:8" ht="15.5" x14ac:dyDescent="0.35">
      <c r="A139" s="714" t="s">
        <v>171</v>
      </c>
      <c r="B139" s="732">
        <f>SUM(BWv!H90:H91)</f>
        <v>300</v>
      </c>
      <c r="C139" s="733"/>
      <c r="D139" s="717">
        <f t="shared" si="18"/>
        <v>3</v>
      </c>
      <c r="E139" s="718"/>
      <c r="F139" s="717">
        <f t="shared" si="19"/>
        <v>0.2</v>
      </c>
      <c r="G139" s="718"/>
      <c r="H139" s="716">
        <f t="shared" si="20"/>
        <v>8.3333333333333339</v>
      </c>
    </row>
    <row r="140" spans="1:8" ht="15.5" x14ac:dyDescent="0.35">
      <c r="A140" s="714" t="s">
        <v>172</v>
      </c>
      <c r="B140" s="732"/>
      <c r="C140" s="733"/>
      <c r="D140" s="717"/>
      <c r="E140" s="718"/>
      <c r="F140" s="717"/>
      <c r="G140" s="718"/>
      <c r="H140" s="717"/>
    </row>
    <row r="141" spans="1:8" ht="15.5" x14ac:dyDescent="0.35">
      <c r="A141" s="734" t="s">
        <v>439</v>
      </c>
      <c r="B141" s="732">
        <f>SUM(BWv!I92:I93)</f>
        <v>150</v>
      </c>
      <c r="C141" s="733"/>
      <c r="D141" s="717">
        <f t="shared" ref="D141:D154" si="21">B141/buckwheat</f>
        <v>1.5</v>
      </c>
      <c r="E141" s="718"/>
      <c r="F141" s="717">
        <f t="shared" ref="F141:F154" si="22">B141/($C$84*buckwheat)</f>
        <v>0.1</v>
      </c>
      <c r="G141" s="718"/>
      <c r="H141" s="716">
        <f t="shared" ref="H141:H154" si="23">B141/($E$84*buckwheat)</f>
        <v>4.166666666666667</v>
      </c>
    </row>
    <row r="142" spans="1:8" ht="15.5" x14ac:dyDescent="0.35">
      <c r="A142" s="734" t="s">
        <v>1506</v>
      </c>
      <c r="B142" s="732">
        <f>SUM(BWv!H94:H96)</f>
        <v>875</v>
      </c>
      <c r="C142" s="733"/>
      <c r="D142" s="717">
        <f t="shared" si="21"/>
        <v>8.75</v>
      </c>
      <c r="E142" s="718"/>
      <c r="F142" s="717">
        <f t="shared" si="22"/>
        <v>0.58333333333333337</v>
      </c>
      <c r="G142" s="718"/>
      <c r="H142" s="716">
        <f t="shared" si="23"/>
        <v>24.305555555555557</v>
      </c>
    </row>
    <row r="143" spans="1:8" ht="15.5" x14ac:dyDescent="0.35">
      <c r="A143" s="734" t="s">
        <v>1505</v>
      </c>
      <c r="B143" s="732">
        <f>SUM(BWv!H97:H99)</f>
        <v>450</v>
      </c>
      <c r="C143" s="733"/>
      <c r="D143" s="717">
        <f t="shared" si="21"/>
        <v>4.5</v>
      </c>
      <c r="E143" s="718"/>
      <c r="F143" s="717">
        <f t="shared" si="22"/>
        <v>0.3</v>
      </c>
      <c r="G143" s="718"/>
      <c r="H143" s="716">
        <f t="shared" si="23"/>
        <v>12.5</v>
      </c>
    </row>
    <row r="144" spans="1:8" ht="15.5" x14ac:dyDescent="0.35">
      <c r="A144" s="734" t="s">
        <v>1237</v>
      </c>
      <c r="B144" s="732">
        <f>BWv!H100</f>
        <v>1500</v>
      </c>
      <c r="C144" s="733"/>
      <c r="D144" s="717">
        <f t="shared" si="21"/>
        <v>15</v>
      </c>
      <c r="E144" s="718"/>
      <c r="F144" s="717">
        <f t="shared" si="22"/>
        <v>1</v>
      </c>
      <c r="G144" s="718"/>
      <c r="H144" s="716">
        <f t="shared" si="23"/>
        <v>41.666666666666664</v>
      </c>
    </row>
    <row r="145" spans="1:16" ht="15.5" x14ac:dyDescent="0.35">
      <c r="A145" s="734" t="s">
        <v>1212</v>
      </c>
      <c r="B145" s="732">
        <f>SUM(BWv!H101:H103)</f>
        <v>1250</v>
      </c>
      <c r="C145" s="733"/>
      <c r="D145" s="717">
        <f t="shared" si="21"/>
        <v>12.5</v>
      </c>
      <c r="E145" s="718"/>
      <c r="F145" s="717">
        <f t="shared" si="22"/>
        <v>0.83333333333333337</v>
      </c>
      <c r="G145" s="718"/>
      <c r="H145" s="716">
        <f t="shared" si="23"/>
        <v>34.722222222222221</v>
      </c>
    </row>
    <row r="146" spans="1:16" ht="15.5" x14ac:dyDescent="0.35">
      <c r="A146" s="734" t="s">
        <v>1238</v>
      </c>
      <c r="B146" s="732">
        <f>SUM(BWv!H104:H106)</f>
        <v>802.82303981050961</v>
      </c>
      <c r="C146" s="733"/>
      <c r="D146" s="717">
        <f t="shared" si="21"/>
        <v>8.0282303981050962</v>
      </c>
      <c r="E146" s="720"/>
      <c r="F146" s="717">
        <f t="shared" si="22"/>
        <v>0.53521535987367308</v>
      </c>
      <c r="G146" s="720"/>
      <c r="H146" s="716">
        <f t="shared" si="23"/>
        <v>22.300639994736379</v>
      </c>
    </row>
    <row r="147" spans="1:16" ht="15.5" x14ac:dyDescent="0.35">
      <c r="A147" s="734" t="s">
        <v>2029</v>
      </c>
      <c r="B147" s="732">
        <f>SUM(BWv!H107:H109)</f>
        <v>0</v>
      </c>
      <c r="C147" s="733"/>
      <c r="D147" s="719">
        <f t="shared" si="21"/>
        <v>0</v>
      </c>
      <c r="E147" s="718"/>
      <c r="F147" s="719">
        <f t="shared" si="22"/>
        <v>0</v>
      </c>
      <c r="G147" s="718"/>
      <c r="H147" s="715">
        <f t="shared" si="23"/>
        <v>0</v>
      </c>
    </row>
    <row r="148" spans="1:16" ht="15.5" x14ac:dyDescent="0.35">
      <c r="A148" s="734" t="s">
        <v>1532</v>
      </c>
      <c r="B148" s="732">
        <f>SUM(BWv!H110:H114)</f>
        <v>1106.0999999999999</v>
      </c>
      <c r="C148" s="733"/>
      <c r="D148" s="717">
        <f t="shared" si="21"/>
        <v>11.061</v>
      </c>
      <c r="E148" s="720"/>
      <c r="F148" s="717">
        <f t="shared" si="22"/>
        <v>0.73739999999999994</v>
      </c>
      <c r="G148" s="720"/>
      <c r="H148" s="716">
        <f t="shared" si="23"/>
        <v>30.724999999999998</v>
      </c>
    </row>
    <row r="149" spans="1:16" ht="15.5" x14ac:dyDescent="0.35">
      <c r="A149" s="734" t="s">
        <v>1533</v>
      </c>
      <c r="B149" s="732">
        <f>SUM(BWv!H115:H116)</f>
        <v>0</v>
      </c>
      <c r="C149" s="733"/>
      <c r="D149" s="719">
        <f t="shared" si="21"/>
        <v>0</v>
      </c>
      <c r="E149" s="720"/>
      <c r="F149" s="719">
        <f t="shared" si="22"/>
        <v>0</v>
      </c>
      <c r="G149" s="720"/>
      <c r="H149" s="715">
        <f t="shared" si="23"/>
        <v>0</v>
      </c>
    </row>
    <row r="150" spans="1:16" ht="15.5" x14ac:dyDescent="0.35">
      <c r="A150" s="734" t="s">
        <v>1534</v>
      </c>
      <c r="B150" s="732">
        <f>BWv!H117</f>
        <v>50</v>
      </c>
      <c r="C150" s="733"/>
      <c r="D150" s="717">
        <f t="shared" si="21"/>
        <v>0.5</v>
      </c>
      <c r="E150" s="720"/>
      <c r="F150" s="717">
        <f t="shared" si="22"/>
        <v>3.3333333333333333E-2</v>
      </c>
      <c r="G150" s="720"/>
      <c r="H150" s="716">
        <f t="shared" si="23"/>
        <v>1.3888888888888888</v>
      </c>
    </row>
    <row r="151" spans="1:16" ht="15.5" x14ac:dyDescent="0.35">
      <c r="A151" s="734" t="s">
        <v>1535</v>
      </c>
      <c r="B151" s="732">
        <f>BWv!H118</f>
        <v>125</v>
      </c>
      <c r="C151" s="733"/>
      <c r="D151" s="717">
        <f t="shared" si="21"/>
        <v>1.25</v>
      </c>
      <c r="E151" s="720"/>
      <c r="F151" s="717">
        <f t="shared" si="22"/>
        <v>8.3333333333333329E-2</v>
      </c>
      <c r="G151" s="720"/>
      <c r="H151" s="716">
        <f t="shared" si="23"/>
        <v>3.4722222222222223</v>
      </c>
    </row>
    <row r="152" spans="1:16" ht="15.5" x14ac:dyDescent="0.35">
      <c r="A152" s="734" t="s">
        <v>1536</v>
      </c>
      <c r="B152" s="732">
        <f>BWv!H119</f>
        <v>62.5</v>
      </c>
      <c r="C152" s="733"/>
      <c r="D152" s="717">
        <f t="shared" si="21"/>
        <v>0.625</v>
      </c>
      <c r="E152" s="720"/>
      <c r="F152" s="717">
        <f t="shared" si="22"/>
        <v>4.1666666666666664E-2</v>
      </c>
      <c r="G152" s="720"/>
      <c r="H152" s="716">
        <f t="shared" si="23"/>
        <v>1.7361111111111112</v>
      </c>
    </row>
    <row r="153" spans="1:16" ht="15.5" x14ac:dyDescent="0.35">
      <c r="A153" s="734" t="s">
        <v>443</v>
      </c>
      <c r="B153" s="732">
        <f>SUM(BWv!H120:H122)</f>
        <v>0</v>
      </c>
      <c r="C153" s="733"/>
      <c r="D153" s="719">
        <f t="shared" si="21"/>
        <v>0</v>
      </c>
      <c r="E153" s="720"/>
      <c r="F153" s="719">
        <f t="shared" si="22"/>
        <v>0</v>
      </c>
      <c r="G153" s="720"/>
      <c r="H153" s="715">
        <f t="shared" si="23"/>
        <v>0</v>
      </c>
    </row>
    <row r="154" spans="1:16" ht="15.5" x14ac:dyDescent="0.35">
      <c r="A154" s="714" t="s">
        <v>69</v>
      </c>
      <c r="B154" s="732">
        <f>BWv!H126</f>
        <v>661.07541842582486</v>
      </c>
      <c r="C154" s="733"/>
      <c r="D154" s="717">
        <f t="shared" si="21"/>
        <v>6.6107541842582487</v>
      </c>
      <c r="E154" s="718"/>
      <c r="F154" s="717">
        <f t="shared" si="22"/>
        <v>0.44071694561721658</v>
      </c>
      <c r="G154" s="718"/>
      <c r="H154" s="716">
        <f t="shared" si="23"/>
        <v>18.363206067384024</v>
      </c>
    </row>
    <row r="155" spans="1:16" ht="15" x14ac:dyDescent="0.3">
      <c r="A155" s="709" t="s">
        <v>366</v>
      </c>
      <c r="B155" s="735">
        <f>SUM(B97:B154)</f>
        <v>24599.208016916858</v>
      </c>
      <c r="C155" s="736"/>
      <c r="D155" s="737">
        <f>SUM(D97:D154)</f>
        <v>245.99208016916864</v>
      </c>
      <c r="E155" s="737"/>
      <c r="F155" s="737">
        <f>SUM(F97:F154)</f>
        <v>16.399472011277904</v>
      </c>
      <c r="G155" s="737"/>
      <c r="H155" s="737">
        <f>SUM(H97:H154)</f>
        <v>683.31133380324604</v>
      </c>
    </row>
    <row r="156" spans="1:16" ht="15.5" x14ac:dyDescent="0.35">
      <c r="A156" s="738"/>
      <c r="B156" s="732"/>
      <c r="C156" s="733"/>
      <c r="D156" s="739"/>
      <c r="E156" s="740"/>
      <c r="F156" s="740"/>
      <c r="G156" s="740"/>
      <c r="H156" s="740"/>
    </row>
    <row r="157" spans="1:16" ht="15.5" x14ac:dyDescent="0.35">
      <c r="A157" s="709" t="s">
        <v>367</v>
      </c>
      <c r="B157" s="732"/>
      <c r="C157" s="733"/>
      <c r="D157" s="739"/>
      <c r="E157" s="740"/>
      <c r="F157" s="740"/>
      <c r="G157" s="740"/>
      <c r="H157" s="740"/>
    </row>
    <row r="158" spans="1:16" ht="15.5" x14ac:dyDescent="0.35">
      <c r="A158" s="714" t="s">
        <v>29</v>
      </c>
      <c r="B158" s="732"/>
      <c r="C158" s="733"/>
      <c r="D158" s="733"/>
      <c r="E158" s="757"/>
      <c r="F158" s="716"/>
      <c r="G158" s="757"/>
      <c r="H158" s="716"/>
      <c r="J158" s="890" t="s">
        <v>29</v>
      </c>
    </row>
    <row r="159" spans="1:16" ht="15.5" x14ac:dyDescent="0.35">
      <c r="A159" s="734" t="s">
        <v>1240</v>
      </c>
      <c r="B159" s="732">
        <f>SUM(BWf!H8:H24)</f>
        <v>1852.3564128677574</v>
      </c>
      <c r="C159" s="733"/>
      <c r="D159" s="717">
        <f t="shared" ref="D159:D172" si="24">B159/buckwheat</f>
        <v>18.523564128677574</v>
      </c>
      <c r="E159" s="718"/>
      <c r="F159" s="717">
        <f t="shared" ref="F159:F172" si="25">B159/($C$84*buckwheat)</f>
        <v>1.2349042752451715</v>
      </c>
      <c r="G159" s="718"/>
      <c r="H159" s="716">
        <f t="shared" ref="H159:H172" si="26">B159/($E$84*buckwheat)</f>
        <v>51.454344801882151</v>
      </c>
      <c r="J159" s="697" t="s">
        <v>76</v>
      </c>
      <c r="K159" s="697"/>
      <c r="L159" s="697" t="s">
        <v>77</v>
      </c>
      <c r="M159" s="698"/>
      <c r="N159" s="697" t="s">
        <v>1554</v>
      </c>
      <c r="O159" s="698"/>
      <c r="P159" s="697" t="s">
        <v>385</v>
      </c>
    </row>
    <row r="160" spans="1:16" ht="15.5" x14ac:dyDescent="0.35">
      <c r="A160" s="734" t="s">
        <v>1241</v>
      </c>
      <c r="B160" s="732">
        <f>SUM(BWf!H25:H33)</f>
        <v>619.42419103714406</v>
      </c>
      <c r="C160" s="733"/>
      <c r="D160" s="717">
        <f t="shared" si="24"/>
        <v>6.1942419103714403</v>
      </c>
      <c r="E160" s="718"/>
      <c r="F160" s="717">
        <f t="shared" si="25"/>
        <v>0.41294946069142935</v>
      </c>
      <c r="G160" s="718"/>
      <c r="H160" s="716">
        <f t="shared" si="26"/>
        <v>17.206227528809556</v>
      </c>
      <c r="J160" s="763">
        <f>SUM(B159:B171)</f>
        <v>8545.9306606492391</v>
      </c>
      <c r="L160" s="756">
        <f>SUM(D159:D171)</f>
        <v>85.45930660649239</v>
      </c>
      <c r="N160" s="756">
        <f>SUM(F159:F171)</f>
        <v>5.697287107099493</v>
      </c>
      <c r="P160" s="756">
        <f>SUM(H159:H171)</f>
        <v>237.3869627958122</v>
      </c>
    </row>
    <row r="161" spans="1:8" ht="15.5" x14ac:dyDescent="0.35">
      <c r="A161" s="734" t="s">
        <v>1243</v>
      </c>
      <c r="B161" s="732">
        <f>SUM(BWf!H34:H50)</f>
        <v>645.10361200743728</v>
      </c>
      <c r="C161" s="733"/>
      <c r="D161" s="717">
        <f t="shared" si="24"/>
        <v>6.4510361200743729</v>
      </c>
      <c r="E161" s="718"/>
      <c r="F161" s="717">
        <f t="shared" si="25"/>
        <v>0.43006907467162486</v>
      </c>
      <c r="G161" s="718"/>
      <c r="H161" s="716">
        <f t="shared" si="26"/>
        <v>17.91954477798437</v>
      </c>
    </row>
    <row r="162" spans="1:8" ht="15.5" x14ac:dyDescent="0.35">
      <c r="A162" s="734" t="s">
        <v>1242</v>
      </c>
      <c r="B162" s="732">
        <f>SUM(BWf!H51:H62)</f>
        <v>341.83249459789351</v>
      </c>
      <c r="C162" s="733"/>
      <c r="D162" s="717">
        <f t="shared" si="24"/>
        <v>3.4183249459789353</v>
      </c>
      <c r="E162" s="718"/>
      <c r="F162" s="717">
        <f t="shared" si="25"/>
        <v>0.22788832973192902</v>
      </c>
      <c r="G162" s="718"/>
      <c r="H162" s="716">
        <f t="shared" si="26"/>
        <v>9.4953470721637085</v>
      </c>
    </row>
    <row r="163" spans="1:8" ht="15.5" x14ac:dyDescent="0.35">
      <c r="A163" s="734" t="s">
        <v>1244</v>
      </c>
      <c r="B163" s="732">
        <f>SUM(BWf!H63:H67)</f>
        <v>0</v>
      </c>
      <c r="C163" s="733"/>
      <c r="D163" s="719">
        <f t="shared" si="24"/>
        <v>0</v>
      </c>
      <c r="E163" s="720"/>
      <c r="F163" s="719">
        <f t="shared" si="25"/>
        <v>0</v>
      </c>
      <c r="G163" s="720"/>
      <c r="H163" s="715">
        <f t="shared" si="26"/>
        <v>0</v>
      </c>
    </row>
    <row r="164" spans="1:8" ht="15.5" x14ac:dyDescent="0.35">
      <c r="A164" s="734" t="s">
        <v>1245</v>
      </c>
      <c r="B164" s="732">
        <f>0</f>
        <v>0</v>
      </c>
      <c r="C164" s="733"/>
      <c r="D164" s="719">
        <f t="shared" si="24"/>
        <v>0</v>
      </c>
      <c r="E164" s="720"/>
      <c r="F164" s="719">
        <f t="shared" si="25"/>
        <v>0</v>
      </c>
      <c r="G164" s="720"/>
      <c r="H164" s="715">
        <f t="shared" si="26"/>
        <v>0</v>
      </c>
    </row>
    <row r="165" spans="1:8" ht="15.5" x14ac:dyDescent="0.35">
      <c r="A165" s="734" t="s">
        <v>1246</v>
      </c>
      <c r="B165" s="732">
        <f>SUM(BWf!H68:H81)</f>
        <v>2040.4333122260341</v>
      </c>
      <c r="C165" s="733"/>
      <c r="D165" s="717">
        <f t="shared" si="24"/>
        <v>20.40433312226034</v>
      </c>
      <c r="E165" s="718"/>
      <c r="F165" s="717">
        <f t="shared" si="25"/>
        <v>1.3602888748173561</v>
      </c>
      <c r="G165" s="718"/>
      <c r="H165" s="716">
        <f t="shared" si="26"/>
        <v>56.678703117389837</v>
      </c>
    </row>
    <row r="166" spans="1:8" ht="15.5" x14ac:dyDescent="0.35">
      <c r="A166" s="734" t="s">
        <v>1247</v>
      </c>
      <c r="B166" s="732">
        <f>SUM(BWf!H82:H89)</f>
        <v>38.508394116955543</v>
      </c>
      <c r="C166" s="733"/>
      <c r="D166" s="717">
        <f t="shared" si="24"/>
        <v>0.38508394116955541</v>
      </c>
      <c r="E166" s="718"/>
      <c r="F166" s="717">
        <f t="shared" si="25"/>
        <v>2.567226274463703E-2</v>
      </c>
      <c r="G166" s="718"/>
      <c r="H166" s="716">
        <f t="shared" si="26"/>
        <v>1.0696776143598763</v>
      </c>
    </row>
    <row r="167" spans="1:8" ht="15.5" x14ac:dyDescent="0.35">
      <c r="A167" s="734" t="s">
        <v>2148</v>
      </c>
      <c r="B167" s="732">
        <f>SUM(BWf!H90:H94)</f>
        <v>305.66603907009375</v>
      </c>
      <c r="C167" s="733"/>
      <c r="D167" s="717">
        <f t="shared" si="24"/>
        <v>3.0566603907009373</v>
      </c>
      <c r="E167" s="718"/>
      <c r="F167" s="717">
        <f t="shared" si="25"/>
        <v>0.2037773593800625</v>
      </c>
      <c r="G167" s="718"/>
      <c r="H167" s="716">
        <f t="shared" si="26"/>
        <v>8.4907233075026038</v>
      </c>
    </row>
    <row r="168" spans="1:8" ht="15.5" x14ac:dyDescent="0.35">
      <c r="A168" s="734" t="s">
        <v>1250</v>
      </c>
      <c r="B168" s="732">
        <f>SUM(BWf!H95:H106)</f>
        <v>901.51639305879689</v>
      </c>
      <c r="C168" s="733"/>
      <c r="D168" s="717">
        <f t="shared" si="24"/>
        <v>9.0151639305879687</v>
      </c>
      <c r="E168" s="718"/>
      <c r="F168" s="717">
        <f t="shared" si="25"/>
        <v>0.60101092870586459</v>
      </c>
      <c r="G168" s="718"/>
      <c r="H168" s="716">
        <f t="shared" si="26"/>
        <v>25.042122029411026</v>
      </c>
    </row>
    <row r="169" spans="1:8" ht="15.5" x14ac:dyDescent="0.35">
      <c r="A169" s="734" t="s">
        <v>1304</v>
      </c>
      <c r="B169" s="732">
        <f>0</f>
        <v>0</v>
      </c>
      <c r="C169" s="733"/>
      <c r="D169" s="719">
        <f t="shared" si="24"/>
        <v>0</v>
      </c>
      <c r="E169" s="720"/>
      <c r="F169" s="719">
        <f t="shared" si="25"/>
        <v>0</v>
      </c>
      <c r="G169" s="720"/>
      <c r="H169" s="715">
        <f t="shared" si="26"/>
        <v>0</v>
      </c>
    </row>
    <row r="170" spans="1:8" ht="15.5" x14ac:dyDescent="0.35">
      <c r="A170" s="734" t="s">
        <v>1248</v>
      </c>
      <c r="B170" s="732">
        <f>SUM(BWf!H107:H111)</f>
        <v>1350</v>
      </c>
      <c r="C170" s="733"/>
      <c r="D170" s="717">
        <f t="shared" si="24"/>
        <v>13.5</v>
      </c>
      <c r="E170" s="718"/>
      <c r="F170" s="717">
        <f t="shared" si="25"/>
        <v>0.9</v>
      </c>
      <c r="G170" s="718"/>
      <c r="H170" s="716">
        <f t="shared" si="26"/>
        <v>37.5</v>
      </c>
    </row>
    <row r="171" spans="1:8" ht="15.5" x14ac:dyDescent="0.35">
      <c r="A171" s="734" t="s">
        <v>1249</v>
      </c>
      <c r="B171" s="732">
        <f>SUM(BWf!H112:H116)</f>
        <v>451.08981166712641</v>
      </c>
      <c r="C171" s="733"/>
      <c r="D171" s="717">
        <f t="shared" si="24"/>
        <v>4.5108981166712638</v>
      </c>
      <c r="E171" s="718"/>
      <c r="F171" s="717">
        <f t="shared" si="25"/>
        <v>0.30072654111141761</v>
      </c>
      <c r="G171" s="718"/>
      <c r="H171" s="716">
        <f t="shared" si="26"/>
        <v>12.530272546309067</v>
      </c>
    </row>
    <row r="172" spans="1:8" ht="15.5" x14ac:dyDescent="0.35">
      <c r="A172" s="714" t="s">
        <v>79</v>
      </c>
      <c r="B172" s="732">
        <f>BWf!L124</f>
        <v>2143.6534991454109</v>
      </c>
      <c r="C172" s="733"/>
      <c r="D172" s="717">
        <f t="shared" si="24"/>
        <v>21.43653499145411</v>
      </c>
      <c r="E172" s="718"/>
      <c r="F172" s="717">
        <f t="shared" si="25"/>
        <v>1.4291023327636072</v>
      </c>
      <c r="G172" s="718"/>
      <c r="H172" s="716">
        <f t="shared" si="26"/>
        <v>59.545930531816971</v>
      </c>
    </row>
    <row r="173" spans="1:8" ht="15" x14ac:dyDescent="0.3">
      <c r="A173" s="709" t="s">
        <v>368</v>
      </c>
      <c r="B173" s="735">
        <f>SUM(B158:B172)</f>
        <v>10689.584159794649</v>
      </c>
      <c r="C173" s="736"/>
      <c r="D173" s="737">
        <f>SUM(D158:D172)</f>
        <v>106.8958415979465</v>
      </c>
      <c r="E173" s="737"/>
      <c r="F173" s="737">
        <f>SUM(F158:F172)</f>
        <v>7.1263894398631003</v>
      </c>
      <c r="G173" s="737"/>
      <c r="H173" s="737">
        <f>SUM(H158:H172)</f>
        <v>296.93289332762919</v>
      </c>
    </row>
    <row r="174" spans="1:8" ht="15.5" x14ac:dyDescent="0.35">
      <c r="A174" s="699"/>
      <c r="B174" s="735"/>
      <c r="C174" s="736"/>
      <c r="D174" s="737"/>
      <c r="E174" s="741"/>
      <c r="F174" s="741"/>
      <c r="G174" s="741"/>
      <c r="H174" s="741"/>
    </row>
    <row r="175" spans="1:8" ht="15" x14ac:dyDescent="0.3">
      <c r="A175" s="709" t="s">
        <v>80</v>
      </c>
      <c r="B175" s="735">
        <f>B173+B155</f>
        <v>35288.792176711504</v>
      </c>
      <c r="C175" s="736"/>
      <c r="D175" s="737">
        <f>D173+D155</f>
        <v>352.88792176711513</v>
      </c>
      <c r="E175" s="737"/>
      <c r="F175" s="737">
        <f>F173+F155</f>
        <v>23.525861451141004</v>
      </c>
      <c r="G175" s="737"/>
      <c r="H175" s="737">
        <f>H173+H155</f>
        <v>980.24422713087529</v>
      </c>
    </row>
    <row r="176" spans="1:8" ht="15.5" x14ac:dyDescent="0.35">
      <c r="A176" s="742"/>
      <c r="B176" s="735"/>
      <c r="C176" s="736"/>
      <c r="D176" s="737"/>
      <c r="E176" s="737"/>
      <c r="F176" s="737"/>
      <c r="G176" s="737"/>
      <c r="H176" s="737"/>
    </row>
    <row r="177" spans="1:8" ht="15" x14ac:dyDescent="0.3">
      <c r="A177" s="709" t="s">
        <v>355</v>
      </c>
      <c r="B177" s="710">
        <f>B94-B175</f>
        <v>9711.207823288496</v>
      </c>
      <c r="C177" s="736"/>
      <c r="D177" s="712">
        <f>D94-D175</f>
        <v>97.112078232884869</v>
      </c>
      <c r="E177" s="737"/>
      <c r="F177" s="712">
        <f>F94-F175</f>
        <v>6.4741385488589955</v>
      </c>
      <c r="G177" s="737"/>
      <c r="H177" s="712">
        <f>H94-H175</f>
        <v>269.75577286912471</v>
      </c>
    </row>
    <row r="178" spans="1:8" ht="15" x14ac:dyDescent="0.3">
      <c r="A178" s="709" t="s">
        <v>356</v>
      </c>
      <c r="B178" s="735">
        <f>B94-B155</f>
        <v>20400.791983083142</v>
      </c>
      <c r="C178" s="736"/>
      <c r="D178" s="737">
        <f>D94-D155</f>
        <v>204.00791983083136</v>
      </c>
      <c r="E178" s="737"/>
      <c r="F178" s="737">
        <f>F94-F155</f>
        <v>13.600527988722096</v>
      </c>
      <c r="G178" s="737"/>
      <c r="H178" s="737">
        <f>H94-H155</f>
        <v>566.68866619675396</v>
      </c>
    </row>
    <row r="179" spans="1:8" ht="15.5" x14ac:dyDescent="0.35">
      <c r="A179" s="699"/>
      <c r="B179" s="743"/>
      <c r="C179" s="743"/>
      <c r="D179" s="702"/>
      <c r="E179" s="703"/>
      <c r="F179" s="703"/>
      <c r="G179" s="703"/>
      <c r="H179" s="703"/>
    </row>
    <row r="180" spans="1:8" ht="15.5" x14ac:dyDescent="0.35">
      <c r="A180" s="709" t="s">
        <v>234</v>
      </c>
      <c r="B180" s="743"/>
      <c r="C180" s="743"/>
      <c r="D180" s="702"/>
      <c r="E180" s="703"/>
      <c r="F180" s="703"/>
      <c r="G180" s="703"/>
      <c r="H180" s="703"/>
    </row>
    <row r="181" spans="1:8" ht="15.5" x14ac:dyDescent="0.35">
      <c r="A181" s="744" t="s">
        <v>369</v>
      </c>
      <c r="B181" s="703" t="s">
        <v>76</v>
      </c>
      <c r="C181" s="743"/>
      <c r="D181" s="703" t="s">
        <v>393</v>
      </c>
      <c r="E181" s="703"/>
      <c r="F181" s="703" t="s">
        <v>1556</v>
      </c>
      <c r="G181" s="703"/>
      <c r="H181" s="703" t="s">
        <v>396</v>
      </c>
    </row>
    <row r="182" spans="1:8" ht="15.5" x14ac:dyDescent="0.35">
      <c r="A182" s="714" t="s">
        <v>370</v>
      </c>
      <c r="B182" s="745">
        <f>B175</f>
        <v>35288.792176711504</v>
      </c>
      <c r="C182" s="743"/>
      <c r="D182" s="717">
        <f>$B$175/buckwheat</f>
        <v>352.88792176711502</v>
      </c>
      <c r="E182" s="718"/>
      <c r="F182" s="717">
        <f>$B$175/($C$84*buckwheat)</f>
        <v>23.525861451141001</v>
      </c>
      <c r="G182" s="718"/>
      <c r="H182" s="717">
        <f>$B$175/($E$84*buckwheat)</f>
        <v>980.24422713087506</v>
      </c>
    </row>
    <row r="183" spans="1:8" ht="15.5" x14ac:dyDescent="0.35">
      <c r="A183" s="714" t="s">
        <v>371</v>
      </c>
      <c r="B183" s="745">
        <f>B155</f>
        <v>24599.208016916858</v>
      </c>
      <c r="C183" s="743"/>
      <c r="D183" s="717">
        <f>$B$155/buckwheat</f>
        <v>245.99208016916859</v>
      </c>
      <c r="E183" s="718"/>
      <c r="F183" s="717">
        <f>$B$155/($C$84*buckwheat)</f>
        <v>16.399472011277904</v>
      </c>
      <c r="G183" s="718"/>
      <c r="H183" s="717">
        <f>$B$155/($E$84*buckwheat)</f>
        <v>683.31133380324604</v>
      </c>
    </row>
    <row r="184" spans="1:8" ht="15.5" x14ac:dyDescent="0.35">
      <c r="A184" s="714"/>
      <c r="B184" s="743"/>
      <c r="C184" s="743"/>
      <c r="D184" s="717"/>
      <c r="E184" s="718"/>
      <c r="F184" s="717"/>
      <c r="G184" s="718"/>
      <c r="H184" s="717"/>
    </row>
    <row r="185" spans="1:8" ht="15.5" x14ac:dyDescent="0.35">
      <c r="A185" s="744" t="s">
        <v>1099</v>
      </c>
      <c r="B185" s="703" t="s">
        <v>1100</v>
      </c>
      <c r="C185" s="743"/>
      <c r="D185" s="703" t="s">
        <v>1995</v>
      </c>
      <c r="E185" s="752"/>
      <c r="F185" s="717"/>
      <c r="G185" s="718"/>
      <c r="H185" s="717"/>
    </row>
    <row r="186" spans="1:8" ht="15.5" x14ac:dyDescent="0.35">
      <c r="A186" s="714" t="s">
        <v>1101</v>
      </c>
      <c r="B186" s="746">
        <f>B177/SUM(BWv!E19:E52)</f>
        <v>6.1320098501960256</v>
      </c>
      <c r="C186" s="743"/>
      <c r="D186" s="1226">
        <f>SUM(BWv!E19:E52)</f>
        <v>1583.6908388165834</v>
      </c>
      <c r="E186" s="1225" t="s">
        <v>1996</v>
      </c>
      <c r="F186" s="717"/>
      <c r="G186" s="718"/>
      <c r="H186" s="717"/>
    </row>
    <row r="187" spans="1:8" ht="15.5" x14ac:dyDescent="0.35">
      <c r="A187" s="714" t="s">
        <v>1102</v>
      </c>
      <c r="B187" s="746">
        <f>B178/SUM(BWv!E19:E52)</f>
        <v>12.881802106229067</v>
      </c>
      <c r="C187" s="743"/>
      <c r="D187" s="717"/>
      <c r="E187" s="718"/>
      <c r="F187" s="717"/>
      <c r="G187" s="718"/>
      <c r="H187" s="717"/>
    </row>
    <row r="188" spans="1:8" ht="15.5" x14ac:dyDescent="0.35">
      <c r="A188" s="747"/>
      <c r="B188" s="748"/>
      <c r="C188" s="748"/>
      <c r="D188" s="749"/>
      <c r="E188" s="750"/>
      <c r="F188" s="750"/>
      <c r="G188" s="750"/>
      <c r="H188" s="750"/>
    </row>
    <row r="189" spans="1:8" x14ac:dyDescent="0.3">
      <c r="D189" s="59"/>
      <c r="E189" s="55"/>
      <c r="F189" s="55"/>
      <c r="G189" s="55"/>
      <c r="H189" s="55"/>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9"/>
  <sheetViews>
    <sheetView topLeftCell="A174" zoomScaleNormal="100" workbookViewId="0">
      <selection activeCell="A148" sqref="A148"/>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1198</v>
      </c>
      <c r="B3" s="55" t="s">
        <v>92</v>
      </c>
      <c r="C3" s="54">
        <f>spelt</f>
        <v>100</v>
      </c>
      <c r="D3" s="17" t="s">
        <v>93</v>
      </c>
    </row>
    <row r="4" spans="1:8" x14ac:dyDescent="0.3">
      <c r="A4" s="7"/>
      <c r="B4" s="55" t="s">
        <v>750</v>
      </c>
      <c r="C4" s="54">
        <f>(spelt*Data!F35)*Data!$B$35*Data!$C$35</f>
        <v>0</v>
      </c>
      <c r="D4" s="17" t="s">
        <v>93</v>
      </c>
    </row>
    <row r="5" spans="1:8" x14ac:dyDescent="0.3">
      <c r="A5" s="7"/>
      <c r="B5" s="55" t="s">
        <v>751</v>
      </c>
      <c r="C5" s="54">
        <f>(spelt*Data!G35)*Data!$B$35*Data!$D$35</f>
        <v>0</v>
      </c>
      <c r="D5" s="17" t="s">
        <v>93</v>
      </c>
    </row>
    <row r="6" spans="1:8" x14ac:dyDescent="0.3">
      <c r="A6" s="8"/>
      <c r="B6" s="55" t="s">
        <v>727</v>
      </c>
      <c r="C6" s="54">
        <f>Data!B228</f>
        <v>42</v>
      </c>
      <c r="D6" s="17" t="s">
        <v>1567</v>
      </c>
      <c r="E6" s="1190">
        <f>(C6*Data!$K$64)/2000</f>
        <v>1.26</v>
      </c>
      <c r="F6" s="17" t="s">
        <v>235</v>
      </c>
      <c r="G6" s="54"/>
    </row>
    <row r="7" spans="1:8" x14ac:dyDescent="0.3">
      <c r="B7" s="55" t="s">
        <v>728</v>
      </c>
      <c r="C7" s="106">
        <f>IF(FARM!$F$21&gt;0,Data!$B$223,Data!$B$224)</f>
        <v>24</v>
      </c>
      <c r="D7" s="17" t="s">
        <v>1566</v>
      </c>
      <c r="E7" s="153">
        <f>Data!$K$64</f>
        <v>60</v>
      </c>
      <c r="F7" s="17" t="s">
        <v>1560</v>
      </c>
      <c r="G7" s="153"/>
    </row>
    <row r="8" spans="1:8" x14ac:dyDescent="0.3">
      <c r="B8" s="55" t="s">
        <v>729</v>
      </c>
      <c r="C8" s="157">
        <f>Data!E228</f>
        <v>2.8022400000000003</v>
      </c>
      <c r="D8" s="17" t="s">
        <v>731</v>
      </c>
      <c r="E8" s="157">
        <f>Data!H228</f>
        <v>70.056000000000012</v>
      </c>
      <c r="F8" s="17" t="s">
        <v>732</v>
      </c>
      <c r="G8" s="54"/>
    </row>
    <row r="9" spans="1:8" x14ac:dyDescent="0.3">
      <c r="B9" s="55" t="s">
        <v>730</v>
      </c>
      <c r="C9" s="116">
        <f>IF(Straw!$D$15&gt;0,Straw!$D$15,Data!$E$225)</f>
        <v>40</v>
      </c>
      <c r="D9" s="17" t="s">
        <v>733</v>
      </c>
      <c r="E9" s="217">
        <f>IF(Straw!$F$15&gt;0,Straw!$F$15,Data!$H$225)</f>
        <v>5.0833333333333304</v>
      </c>
      <c r="F9" s="17" t="s">
        <v>734</v>
      </c>
      <c r="G9" s="217"/>
    </row>
    <row r="10" spans="1:8" x14ac:dyDescent="0.3">
      <c r="B10" s="55"/>
      <c r="C10" s="54"/>
      <c r="D10" s="17"/>
    </row>
    <row r="11" spans="1:8" ht="15.5" x14ac:dyDescent="0.35">
      <c r="A11" s="751" t="s">
        <v>1198</v>
      </c>
      <c r="B11" s="697" t="s">
        <v>76</v>
      </c>
      <c r="C11" s="697"/>
      <c r="D11" s="697" t="s">
        <v>77</v>
      </c>
      <c r="E11" s="698"/>
      <c r="F11" s="697" t="s">
        <v>1554</v>
      </c>
      <c r="G11" s="698"/>
      <c r="H11" s="697" t="s">
        <v>385</v>
      </c>
    </row>
    <row r="12" spans="1:8" ht="15.65" customHeight="1" x14ac:dyDescent="0.35">
      <c r="A12" s="699" t="s">
        <v>362</v>
      </c>
      <c r="B12" s="700">
        <f>C3</f>
        <v>100</v>
      </c>
      <c r="C12" s="701"/>
      <c r="D12" s="702" t="s">
        <v>363</v>
      </c>
      <c r="E12" s="703"/>
      <c r="F12" s="702" t="s">
        <v>363</v>
      </c>
      <c r="G12" s="703"/>
      <c r="H12" s="702" t="s">
        <v>363</v>
      </c>
    </row>
    <row r="13" spans="1:8" ht="15.65" customHeight="1" x14ac:dyDescent="0.35">
      <c r="A13" s="699" t="s">
        <v>1861</v>
      </c>
      <c r="B13" s="702" t="s">
        <v>363</v>
      </c>
      <c r="C13" s="701"/>
      <c r="D13" s="702" t="s">
        <v>363</v>
      </c>
      <c r="E13" s="703"/>
      <c r="F13" s="702" t="s">
        <v>363</v>
      </c>
      <c r="G13" s="703"/>
      <c r="H13" s="888">
        <f>2000/Data!$K$64</f>
        <v>33.333333333333336</v>
      </c>
    </row>
    <row r="14" spans="1:8" ht="15.65" customHeight="1" x14ac:dyDescent="0.35">
      <c r="A14" s="699" t="s">
        <v>1565</v>
      </c>
      <c r="B14" s="700">
        <f>$C$3*C6</f>
        <v>4200</v>
      </c>
      <c r="C14" s="701"/>
      <c r="D14" s="700">
        <f>C6</f>
        <v>42</v>
      </c>
      <c r="E14" s="703"/>
      <c r="F14" s="702" t="s">
        <v>363</v>
      </c>
      <c r="G14" s="703"/>
      <c r="H14" s="702" t="s">
        <v>363</v>
      </c>
    </row>
    <row r="15" spans="1:8" ht="15.65" customHeight="1" x14ac:dyDescent="0.35">
      <c r="A15" s="699" t="s">
        <v>1862</v>
      </c>
      <c r="B15" s="700">
        <f>$C$3*E6</f>
        <v>126</v>
      </c>
      <c r="C15" s="701"/>
      <c r="D15" s="1191">
        <f>E6</f>
        <v>1.26</v>
      </c>
      <c r="E15" s="703"/>
      <c r="F15" s="702" t="s">
        <v>363</v>
      </c>
      <c r="G15" s="703"/>
      <c r="H15" s="702" t="s">
        <v>363</v>
      </c>
    </row>
    <row r="16" spans="1:8" ht="15.65" customHeight="1" x14ac:dyDescent="0.35">
      <c r="A16" s="699" t="str">
        <f>IF(Data!B225=1,"Spelt Price ($/unit) - Food Grade","Spelt Price ($/unit) - Feed Grade")</f>
        <v>Spelt Price ($/unit) - Food Grade</v>
      </c>
      <c r="B16" s="702" t="s">
        <v>363</v>
      </c>
      <c r="C16" s="701"/>
      <c r="D16" s="702" t="s">
        <v>363</v>
      </c>
      <c r="E16" s="703"/>
      <c r="F16" s="704">
        <f>C7</f>
        <v>24</v>
      </c>
      <c r="G16" s="703"/>
      <c r="H16" s="840">
        <f>F16*H13</f>
        <v>800</v>
      </c>
    </row>
    <row r="17" spans="1:8" ht="15" customHeight="1" x14ac:dyDescent="0.35">
      <c r="A17" s="699" t="s">
        <v>2032</v>
      </c>
      <c r="B17" s="700">
        <f>C8*C4</f>
        <v>0</v>
      </c>
      <c r="C17" s="701"/>
      <c r="D17" s="841">
        <f>C8</f>
        <v>2.8022400000000003</v>
      </c>
      <c r="E17" s="703"/>
      <c r="F17" s="842">
        <f>C8/($C$6*$C$3)</f>
        <v>6.6720000000000006E-4</v>
      </c>
      <c r="G17" s="703"/>
      <c r="H17" s="842">
        <f>C8/($E$6*$C$3)</f>
        <v>2.2240000000000003E-2</v>
      </c>
    </row>
    <row r="18" spans="1:8" ht="15" customHeight="1" x14ac:dyDescent="0.35">
      <c r="A18" s="699" t="s">
        <v>2034</v>
      </c>
      <c r="B18" s="705">
        <f>C9</f>
        <v>40</v>
      </c>
      <c r="C18" s="701"/>
      <c r="D18" s="705">
        <f>C9*C8</f>
        <v>112.08960000000002</v>
      </c>
      <c r="E18" s="703"/>
      <c r="F18" s="840">
        <f>D18/$C$6</f>
        <v>2.6688000000000005</v>
      </c>
      <c r="G18" s="703"/>
      <c r="H18" s="840">
        <f>D18/$E$6</f>
        <v>88.960000000000008</v>
      </c>
    </row>
    <row r="19" spans="1:8" ht="15" customHeight="1" x14ac:dyDescent="0.35">
      <c r="A19" s="699" t="s">
        <v>2031</v>
      </c>
      <c r="B19" s="700">
        <f>E8*C5</f>
        <v>0</v>
      </c>
      <c r="C19" s="701"/>
      <c r="D19" s="841">
        <f>E8</f>
        <v>70.056000000000012</v>
      </c>
      <c r="E19" s="703"/>
      <c r="F19" s="842">
        <f>E8/(C6*C3)</f>
        <v>1.6680000000000004E-2</v>
      </c>
      <c r="G19" s="703"/>
      <c r="H19" s="842">
        <f>E8/(E6*C3)</f>
        <v>0.55600000000000005</v>
      </c>
    </row>
    <row r="20" spans="1:8" ht="15" customHeight="1" x14ac:dyDescent="0.35">
      <c r="A20" s="699" t="s">
        <v>2033</v>
      </c>
      <c r="B20" s="840">
        <f>E9</f>
        <v>5.0833333333333304</v>
      </c>
      <c r="C20" s="701"/>
      <c r="D20" s="705">
        <f>E9*E8</f>
        <v>356.11799999999982</v>
      </c>
      <c r="E20" s="703"/>
      <c r="F20" s="840">
        <f>D20/C6</f>
        <v>8.4789999999999957</v>
      </c>
      <c r="G20" s="703"/>
      <c r="H20" s="840">
        <f>D20/E6</f>
        <v>282.63333333333321</v>
      </c>
    </row>
    <row r="21" spans="1:8" ht="15.65" customHeight="1" x14ac:dyDescent="0.35">
      <c r="A21" s="699"/>
      <c r="B21" s="706"/>
      <c r="C21" s="706"/>
      <c r="D21" s="707"/>
      <c r="E21" s="708"/>
      <c r="F21" s="707"/>
      <c r="G21" s="708"/>
      <c r="H21" s="707"/>
    </row>
    <row r="22" spans="1:8" ht="15" x14ac:dyDescent="0.3">
      <c r="A22" s="709" t="s">
        <v>230</v>
      </c>
      <c r="B22" s="710">
        <f>(C6*C7*spelt)+(C8*C9*C4)+(E8*E9*C5)</f>
        <v>100800</v>
      </c>
      <c r="C22" s="711"/>
      <c r="D22" s="712">
        <f>B22/spelt</f>
        <v>1008</v>
      </c>
      <c r="E22" s="713"/>
      <c r="F22" s="712">
        <f>B22/($C$6*spelt)</f>
        <v>24</v>
      </c>
      <c r="G22" s="713"/>
      <c r="H22" s="711">
        <f>B22/($E$6*spelt)</f>
        <v>800</v>
      </c>
    </row>
    <row r="23" spans="1:8" ht="15.5" x14ac:dyDescent="0.35">
      <c r="A23" s="714" t="s">
        <v>1235</v>
      </c>
      <c r="B23" s="715">
        <f>(C6*C7*spelt)</f>
        <v>100800</v>
      </c>
      <c r="C23" s="716"/>
      <c r="D23" s="717">
        <f>B23/spelt</f>
        <v>1008</v>
      </c>
      <c r="E23" s="718"/>
      <c r="F23" s="717">
        <f>B23/($C$6*spelt)</f>
        <v>24</v>
      </c>
      <c r="G23" s="718"/>
      <c r="H23" s="716">
        <f>B23/($E$6*spelt)</f>
        <v>800</v>
      </c>
    </row>
    <row r="24" spans="1:8" ht="15.5" x14ac:dyDescent="0.35">
      <c r="A24" s="714" t="s">
        <v>1236</v>
      </c>
      <c r="B24" s="715">
        <f>(C8*C9*C4)+(E8*E9*C5)</f>
        <v>0</v>
      </c>
      <c r="C24" s="716"/>
      <c r="D24" s="719">
        <f>B24/spelt</f>
        <v>0</v>
      </c>
      <c r="E24" s="720"/>
      <c r="F24" s="719">
        <f>B24/($C$6*spelt)</f>
        <v>0</v>
      </c>
      <c r="G24" s="720"/>
      <c r="H24" s="715">
        <f>B24/($E$6*spelt)</f>
        <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SUM(Sv!H8:H11)</f>
        <v>9800</v>
      </c>
      <c r="C27" s="716"/>
      <c r="D27" s="717">
        <f>B27/spelt</f>
        <v>98</v>
      </c>
      <c r="E27" s="718"/>
      <c r="F27" s="717">
        <f>B27/($C$6*spelt)</f>
        <v>2.3333333333333335</v>
      </c>
      <c r="G27" s="718"/>
      <c r="H27" s="716">
        <f>B27/($E$6*spelt)</f>
        <v>77.777777777777771</v>
      </c>
    </row>
    <row r="28" spans="1:8" ht="15.5" x14ac:dyDescent="0.35">
      <c r="A28" s="714" t="s">
        <v>1287</v>
      </c>
      <c r="B28" s="715">
        <f>SUM(Sv!H13:H17)</f>
        <v>10500</v>
      </c>
      <c r="C28" s="716"/>
      <c r="D28" s="717">
        <f>B28/spelt</f>
        <v>105</v>
      </c>
      <c r="E28" s="718"/>
      <c r="F28" s="717">
        <f>B28/($C$6*spelt)</f>
        <v>2.5</v>
      </c>
      <c r="G28" s="718"/>
      <c r="H28" s="716">
        <f>B28/($E$6*spelt)</f>
        <v>83.333333333333329</v>
      </c>
    </row>
    <row r="29" spans="1:8" ht="15.5" x14ac:dyDescent="0.35">
      <c r="A29" s="714" t="s">
        <v>2</v>
      </c>
      <c r="B29" s="715">
        <f>Sv!H19</f>
        <v>0</v>
      </c>
      <c r="C29" s="716"/>
      <c r="D29" s="719">
        <f>B29/spelt</f>
        <v>0</v>
      </c>
      <c r="E29" s="720"/>
      <c r="F29" s="719">
        <f>B29/($C$6*spelt)</f>
        <v>0</v>
      </c>
      <c r="G29" s="720"/>
      <c r="H29" s="715">
        <f>B29/($E$6*spelt)</f>
        <v>0</v>
      </c>
    </row>
    <row r="30" spans="1:8" ht="15.5" x14ac:dyDescent="0.35">
      <c r="A30" s="714" t="s">
        <v>1476</v>
      </c>
      <c r="B30" s="699"/>
      <c r="C30" s="699"/>
      <c r="D30" s="699"/>
      <c r="E30" s="699"/>
      <c r="F30" s="699"/>
      <c r="G30" s="699"/>
      <c r="H30" s="699"/>
    </row>
    <row r="31" spans="1:8" ht="15.5" x14ac:dyDescent="0.35">
      <c r="A31" s="714" t="s">
        <v>1121</v>
      </c>
      <c r="B31" s="745">
        <f>SUM(Sv!H20:H21)</f>
        <v>0</v>
      </c>
      <c r="C31" s="746"/>
      <c r="D31" s="719">
        <f t="shared" ref="D31" si="0">B31/spelt</f>
        <v>0</v>
      </c>
      <c r="E31" s="720"/>
      <c r="F31" s="719">
        <f t="shared" ref="F31" si="1">B31/($C$6*spelt)</f>
        <v>0</v>
      </c>
      <c r="G31" s="720"/>
      <c r="H31" s="715">
        <f t="shared" ref="H31:H38" si="2">B31/($E$6*spelt)</f>
        <v>0</v>
      </c>
    </row>
    <row r="32" spans="1:8" ht="15.5" x14ac:dyDescent="0.35">
      <c r="A32" s="714" t="s">
        <v>1119</v>
      </c>
      <c r="B32" s="745">
        <f>SUM(Sv!H22:H22)</f>
        <v>0</v>
      </c>
      <c r="C32" s="746"/>
      <c r="D32" s="719">
        <f t="shared" ref="D32:D38" si="3">B32/spelt</f>
        <v>0</v>
      </c>
      <c r="E32" s="720"/>
      <c r="F32" s="719">
        <f t="shared" ref="F32:F38" si="4">B32/($C$6*spelt)</f>
        <v>0</v>
      </c>
      <c r="G32" s="720"/>
      <c r="H32" s="715">
        <f t="shared" si="2"/>
        <v>0</v>
      </c>
    </row>
    <row r="33" spans="1:8" ht="15.5" x14ac:dyDescent="0.35">
      <c r="A33" s="714" t="s">
        <v>1120</v>
      </c>
      <c r="B33" s="745">
        <f>SUM(Sv!H23:H23)</f>
        <v>0</v>
      </c>
      <c r="C33" s="746"/>
      <c r="D33" s="719">
        <f t="shared" si="3"/>
        <v>0</v>
      </c>
      <c r="E33" s="720"/>
      <c r="F33" s="719">
        <f t="shared" si="4"/>
        <v>0</v>
      </c>
      <c r="G33" s="720"/>
      <c r="H33" s="715">
        <f t="shared" si="2"/>
        <v>0</v>
      </c>
    </row>
    <row r="34" spans="1:8" ht="15.5" x14ac:dyDescent="0.35">
      <c r="A34" s="714" t="s">
        <v>1214</v>
      </c>
      <c r="B34" s="715">
        <f>SUM(Sv!H25:H75)</f>
        <v>3188.7424332012292</v>
      </c>
      <c r="C34" s="716"/>
      <c r="D34" s="717">
        <f t="shared" si="3"/>
        <v>31.887424332012291</v>
      </c>
      <c r="E34" s="718"/>
      <c r="F34" s="717">
        <f t="shared" si="4"/>
        <v>0.75922438885743548</v>
      </c>
      <c r="G34" s="718"/>
      <c r="H34" s="716">
        <f t="shared" si="2"/>
        <v>25.307479628581184</v>
      </c>
    </row>
    <row r="35" spans="1:8" ht="15.5" x14ac:dyDescent="0.35">
      <c r="A35" s="714" t="s">
        <v>1261</v>
      </c>
      <c r="B35" s="715">
        <f>SUM(Sv!H77:H128)</f>
        <v>1449.3409901853984</v>
      </c>
      <c r="C35" s="716"/>
      <c r="D35" s="717">
        <f t="shared" si="3"/>
        <v>14.493409901853983</v>
      </c>
      <c r="E35" s="718"/>
      <c r="F35" s="717">
        <f t="shared" si="4"/>
        <v>0.34508118813938055</v>
      </c>
      <c r="G35" s="718"/>
      <c r="H35" s="716">
        <f t="shared" si="2"/>
        <v>11.502706271312686</v>
      </c>
    </row>
    <row r="36" spans="1:8" ht="15.5" x14ac:dyDescent="0.35">
      <c r="A36" s="714" t="s">
        <v>78</v>
      </c>
      <c r="B36" s="715">
        <f>SUM(Sv!H129:H130)</f>
        <v>7273.7209198926485</v>
      </c>
      <c r="C36" s="716"/>
      <c r="D36" s="717">
        <f t="shared" si="3"/>
        <v>72.737209198926479</v>
      </c>
      <c r="E36" s="718"/>
      <c r="F36" s="717">
        <f t="shared" si="4"/>
        <v>1.7318383142601543</v>
      </c>
      <c r="G36" s="718"/>
      <c r="H36" s="716">
        <f t="shared" si="2"/>
        <v>57.72794380867181</v>
      </c>
    </row>
    <row r="37" spans="1:8" ht="15.5" x14ac:dyDescent="0.35">
      <c r="A37" s="714" t="s">
        <v>170</v>
      </c>
      <c r="B37" s="732">
        <f>Sv!H131</f>
        <v>0</v>
      </c>
      <c r="C37" s="733"/>
      <c r="D37" s="719">
        <f t="shared" si="3"/>
        <v>0</v>
      </c>
      <c r="E37" s="720"/>
      <c r="F37" s="719">
        <f t="shared" si="4"/>
        <v>0</v>
      </c>
      <c r="G37" s="720"/>
      <c r="H37" s="715">
        <f t="shared" si="2"/>
        <v>0</v>
      </c>
    </row>
    <row r="38" spans="1:8" ht="15.5" x14ac:dyDescent="0.35">
      <c r="A38" s="714" t="s">
        <v>171</v>
      </c>
      <c r="B38" s="732">
        <f>SUM(Sv!H132:H133)</f>
        <v>300</v>
      </c>
      <c r="C38" s="733"/>
      <c r="D38" s="717">
        <f t="shared" si="3"/>
        <v>3</v>
      </c>
      <c r="E38" s="718"/>
      <c r="F38" s="717">
        <f t="shared" si="4"/>
        <v>7.1428571428571425E-2</v>
      </c>
      <c r="G38" s="718"/>
      <c r="H38" s="716">
        <f t="shared" si="2"/>
        <v>2.3809523809523809</v>
      </c>
    </row>
    <row r="39" spans="1:8" ht="15.5" x14ac:dyDescent="0.35">
      <c r="A39" s="714" t="s">
        <v>172</v>
      </c>
      <c r="B39" s="732"/>
      <c r="C39" s="733"/>
      <c r="D39" s="717"/>
      <c r="E39" s="718"/>
      <c r="F39" s="717"/>
      <c r="G39" s="718"/>
      <c r="H39" s="717"/>
    </row>
    <row r="40" spans="1:8" ht="15.5" x14ac:dyDescent="0.35">
      <c r="A40" s="734" t="s">
        <v>439</v>
      </c>
      <c r="B40" s="732">
        <f>Sv!H135</f>
        <v>150</v>
      </c>
      <c r="C40" s="733"/>
      <c r="D40" s="717">
        <f t="shared" ref="D40:D54" si="5">B40/spelt</f>
        <v>1.5</v>
      </c>
      <c r="E40" s="718"/>
      <c r="F40" s="717">
        <f t="shared" ref="F40:F54" si="6">B40/($C$6*spelt)</f>
        <v>3.5714285714285712E-2</v>
      </c>
      <c r="G40" s="718"/>
      <c r="H40" s="716">
        <f t="shared" ref="H40:H54" si="7">B40/($E$6*spelt)</f>
        <v>1.1904761904761905</v>
      </c>
    </row>
    <row r="41" spans="1:8" ht="15.5" x14ac:dyDescent="0.35">
      <c r="A41" s="734" t="s">
        <v>1506</v>
      </c>
      <c r="B41" s="732">
        <f>SUM(Sv!H136:H138)</f>
        <v>875</v>
      </c>
      <c r="C41" s="733"/>
      <c r="D41" s="717">
        <f t="shared" si="5"/>
        <v>8.75</v>
      </c>
      <c r="E41" s="718"/>
      <c r="F41" s="717">
        <f t="shared" si="6"/>
        <v>0.20833333333333334</v>
      </c>
      <c r="G41" s="718"/>
      <c r="H41" s="716">
        <f t="shared" si="7"/>
        <v>6.9444444444444446</v>
      </c>
    </row>
    <row r="42" spans="1:8" ht="15.5" x14ac:dyDescent="0.35">
      <c r="A42" s="734" t="s">
        <v>1505</v>
      </c>
      <c r="B42" s="732">
        <f>SUM(Sv!H139:H141)</f>
        <v>450</v>
      </c>
      <c r="C42" s="733"/>
      <c r="D42" s="717">
        <f t="shared" si="5"/>
        <v>4.5</v>
      </c>
      <c r="E42" s="718"/>
      <c r="F42" s="717">
        <f t="shared" si="6"/>
        <v>0.10714285714285714</v>
      </c>
      <c r="G42" s="718"/>
      <c r="H42" s="716">
        <f t="shared" si="7"/>
        <v>3.5714285714285716</v>
      </c>
    </row>
    <row r="43" spans="1:8" ht="15.5" x14ac:dyDescent="0.35">
      <c r="A43" s="734" t="s">
        <v>1237</v>
      </c>
      <c r="B43" s="732">
        <f>Sv!H142</f>
        <v>1500</v>
      </c>
      <c r="C43" s="733"/>
      <c r="D43" s="717">
        <f t="shared" si="5"/>
        <v>15</v>
      </c>
      <c r="E43" s="718"/>
      <c r="F43" s="717">
        <f t="shared" si="6"/>
        <v>0.35714285714285715</v>
      </c>
      <c r="G43" s="718"/>
      <c r="H43" s="716">
        <f t="shared" si="7"/>
        <v>11.904761904761905</v>
      </c>
    </row>
    <row r="44" spans="1:8" ht="15.5" x14ac:dyDescent="0.35">
      <c r="A44" s="734" t="s">
        <v>1212</v>
      </c>
      <c r="B44" s="732">
        <f>SUM(Sv!H143:H145)</f>
        <v>1250</v>
      </c>
      <c r="C44" s="733"/>
      <c r="D44" s="717">
        <f t="shared" si="5"/>
        <v>12.5</v>
      </c>
      <c r="E44" s="718"/>
      <c r="F44" s="717">
        <f t="shared" si="6"/>
        <v>0.29761904761904762</v>
      </c>
      <c r="G44" s="718"/>
      <c r="H44" s="716">
        <f t="shared" si="7"/>
        <v>9.9206349206349209</v>
      </c>
    </row>
    <row r="45" spans="1:8" ht="15.5" x14ac:dyDescent="0.35">
      <c r="A45" s="734" t="s">
        <v>1238</v>
      </c>
      <c r="B45" s="732">
        <f>SUM(Sv!H146:H148)</f>
        <v>2247.9045114694268</v>
      </c>
      <c r="C45" s="733"/>
      <c r="D45" s="717">
        <f t="shared" si="5"/>
        <v>22.479045114694269</v>
      </c>
      <c r="E45" s="720"/>
      <c r="F45" s="717">
        <f t="shared" si="6"/>
        <v>0.53521535987367308</v>
      </c>
      <c r="G45" s="720"/>
      <c r="H45" s="716">
        <f t="shared" si="7"/>
        <v>17.8405119957891</v>
      </c>
    </row>
    <row r="46" spans="1:8" ht="15.5" x14ac:dyDescent="0.35">
      <c r="A46" s="734" t="s">
        <v>2076</v>
      </c>
      <c r="B46" s="753">
        <f>SUM(Sv!H149:H155)</f>
        <v>0</v>
      </c>
      <c r="C46" s="699"/>
      <c r="D46" s="717">
        <f t="shared" si="5"/>
        <v>0</v>
      </c>
      <c r="E46" s="753"/>
      <c r="F46" s="717">
        <f>B46/($C$6*spelt)</f>
        <v>0</v>
      </c>
      <c r="G46" s="753"/>
      <c r="H46" s="716">
        <f t="shared" si="7"/>
        <v>0</v>
      </c>
    </row>
    <row r="47" spans="1:8" ht="15.5" x14ac:dyDescent="0.35">
      <c r="A47" s="734" t="s">
        <v>2029</v>
      </c>
      <c r="B47" s="732">
        <f>SUM(Sv!H156:H158)</f>
        <v>0</v>
      </c>
      <c r="C47" s="733"/>
      <c r="D47" s="719">
        <f>B47/spelt</f>
        <v>0</v>
      </c>
      <c r="E47" s="718"/>
      <c r="F47" s="719">
        <f>B47/($C$6*spelt)</f>
        <v>0</v>
      </c>
      <c r="G47" s="718"/>
      <c r="H47" s="715">
        <f>B47/($E$6*spelt)</f>
        <v>0</v>
      </c>
    </row>
    <row r="48" spans="1:8" ht="15.5" x14ac:dyDescent="0.35">
      <c r="A48" s="734" t="s">
        <v>1532</v>
      </c>
      <c r="B48" s="732">
        <f>SUM(Sv!H159:H163)</f>
        <v>1106.0999999999999</v>
      </c>
      <c r="C48" s="733"/>
      <c r="D48" s="717">
        <f t="shared" si="5"/>
        <v>11.061</v>
      </c>
      <c r="E48" s="720"/>
      <c r="F48" s="717">
        <f t="shared" si="6"/>
        <v>0.26335714285714285</v>
      </c>
      <c r="G48" s="720"/>
      <c r="H48" s="716">
        <f t="shared" si="7"/>
        <v>8.7785714285714285</v>
      </c>
    </row>
    <row r="49" spans="1:16" ht="15.5" x14ac:dyDescent="0.35">
      <c r="A49" s="734" t="s">
        <v>1533</v>
      </c>
      <c r="B49" s="732">
        <f>SUM(Sv!H164:H165)</f>
        <v>0</v>
      </c>
      <c r="C49" s="733"/>
      <c r="D49" s="719">
        <f t="shared" si="5"/>
        <v>0</v>
      </c>
      <c r="E49" s="720"/>
      <c r="F49" s="719">
        <f t="shared" si="6"/>
        <v>0</v>
      </c>
      <c r="G49" s="720"/>
      <c r="H49" s="715">
        <f t="shared" si="7"/>
        <v>0</v>
      </c>
    </row>
    <row r="50" spans="1:16" ht="15.5" x14ac:dyDescent="0.35">
      <c r="A50" s="734" t="s">
        <v>1534</v>
      </c>
      <c r="B50" s="732">
        <f>Sv!H166</f>
        <v>50</v>
      </c>
      <c r="C50" s="733"/>
      <c r="D50" s="717">
        <f t="shared" si="5"/>
        <v>0.5</v>
      </c>
      <c r="E50" s="720"/>
      <c r="F50" s="785">
        <f t="shared" si="6"/>
        <v>1.1904761904761904E-2</v>
      </c>
      <c r="G50" s="720"/>
      <c r="H50" s="716">
        <f t="shared" si="7"/>
        <v>0.3968253968253968</v>
      </c>
    </row>
    <row r="51" spans="1:16" ht="15.5" x14ac:dyDescent="0.35">
      <c r="A51" s="734" t="s">
        <v>1535</v>
      </c>
      <c r="B51" s="732">
        <f>Sv!H167</f>
        <v>125</v>
      </c>
      <c r="C51" s="733"/>
      <c r="D51" s="717">
        <f t="shared" si="5"/>
        <v>1.25</v>
      </c>
      <c r="E51" s="720"/>
      <c r="F51" s="785">
        <f t="shared" si="6"/>
        <v>2.976190476190476E-2</v>
      </c>
      <c r="G51" s="720"/>
      <c r="H51" s="716">
        <f t="shared" si="7"/>
        <v>0.99206349206349209</v>
      </c>
    </row>
    <row r="52" spans="1:16" ht="15.5" x14ac:dyDescent="0.35">
      <c r="A52" s="734" t="s">
        <v>1536</v>
      </c>
      <c r="B52" s="732">
        <f>Sv!H168</f>
        <v>62.5</v>
      </c>
      <c r="C52" s="733"/>
      <c r="D52" s="717">
        <f t="shared" si="5"/>
        <v>0.625</v>
      </c>
      <c r="E52" s="720"/>
      <c r="F52" s="785">
        <f t="shared" si="6"/>
        <v>1.488095238095238E-2</v>
      </c>
      <c r="G52" s="720"/>
      <c r="H52" s="716">
        <f t="shared" si="7"/>
        <v>0.49603174603174605</v>
      </c>
    </row>
    <row r="53" spans="1:16" ht="15.5" x14ac:dyDescent="0.35">
      <c r="A53" s="734" t="s">
        <v>443</v>
      </c>
      <c r="B53" s="732">
        <f>SUM(Sv!H169:H171)</f>
        <v>0</v>
      </c>
      <c r="C53" s="733"/>
      <c r="D53" s="719">
        <f t="shared" si="5"/>
        <v>0</v>
      </c>
      <c r="E53" s="720"/>
      <c r="F53" s="719">
        <f t="shared" si="6"/>
        <v>0</v>
      </c>
      <c r="G53" s="720"/>
      <c r="H53" s="715">
        <f t="shared" si="7"/>
        <v>0</v>
      </c>
    </row>
    <row r="54" spans="1:16" ht="15.5" x14ac:dyDescent="0.35">
      <c r="A54" s="714" t="s">
        <v>69</v>
      </c>
      <c r="B54" s="732">
        <f>Sv!H175</f>
        <v>1113.7064907159652</v>
      </c>
      <c r="C54" s="733"/>
      <c r="D54" s="717">
        <f t="shared" si="5"/>
        <v>11.137064907159651</v>
      </c>
      <c r="E54" s="718"/>
      <c r="F54" s="717">
        <f t="shared" si="6"/>
        <v>0.26516821207522978</v>
      </c>
      <c r="G54" s="718"/>
      <c r="H54" s="716">
        <f t="shared" si="7"/>
        <v>8.8389404025076601</v>
      </c>
    </row>
    <row r="55" spans="1:16" ht="15" x14ac:dyDescent="0.3">
      <c r="A55" s="709" t="s">
        <v>366</v>
      </c>
      <c r="B55" s="735">
        <f>SUM(B27:B54)</f>
        <v>41442.015345464664</v>
      </c>
      <c r="C55" s="736"/>
      <c r="D55" s="737">
        <f>SUM(D27:D54)</f>
        <v>414.42015345464665</v>
      </c>
      <c r="E55" s="737"/>
      <c r="F55" s="737">
        <f>SUM(F27:F54)</f>
        <v>9.8671465108249219</v>
      </c>
      <c r="G55" s="737"/>
      <c r="H55" s="737">
        <f>SUM(H27:H54)</f>
        <v>328.90488369416408</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764" t="s">
        <v>29</v>
      </c>
    </row>
    <row r="59" spans="1:16" ht="15.5" x14ac:dyDescent="0.35">
      <c r="A59" s="734" t="s">
        <v>1240</v>
      </c>
      <c r="B59" s="732">
        <f>SUM(Sf!H8:H24)</f>
        <v>2745.5344913680719</v>
      </c>
      <c r="C59" s="733"/>
      <c r="D59" s="717">
        <f t="shared" ref="D59:D72" si="8">B59/spelt</f>
        <v>27.455344913680719</v>
      </c>
      <c r="E59" s="718"/>
      <c r="F59" s="717">
        <f t="shared" ref="F59:F72" si="9">B59/($C$6*spelt)</f>
        <v>0.65369868842096956</v>
      </c>
      <c r="G59" s="718"/>
      <c r="H59" s="716">
        <f t="shared" ref="H59:H72" si="10">B59/($E$6*spelt)</f>
        <v>21.789956280698984</v>
      </c>
      <c r="J59" s="697" t="s">
        <v>76</v>
      </c>
      <c r="K59" s="697"/>
      <c r="L59" s="697" t="s">
        <v>77</v>
      </c>
      <c r="M59" s="698"/>
      <c r="N59" s="697" t="s">
        <v>1554</v>
      </c>
      <c r="O59" s="698"/>
      <c r="P59" s="697" t="s">
        <v>385</v>
      </c>
    </row>
    <row r="60" spans="1:16" ht="15.5" x14ac:dyDescent="0.35">
      <c r="A60" s="734" t="s">
        <v>1241</v>
      </c>
      <c r="B60" s="732">
        <f>SUM(Sf!H25:H33)</f>
        <v>918.10111135542957</v>
      </c>
      <c r="C60" s="733"/>
      <c r="D60" s="717">
        <f t="shared" si="8"/>
        <v>9.1810111135542964</v>
      </c>
      <c r="E60" s="718"/>
      <c r="F60" s="717">
        <f t="shared" si="9"/>
        <v>0.2185955027036737</v>
      </c>
      <c r="G60" s="718"/>
      <c r="H60" s="716">
        <f t="shared" si="10"/>
        <v>7.2865167567891236</v>
      </c>
      <c r="J60" s="763">
        <f>SUM(B59:B71)</f>
        <v>10949.637435354893</v>
      </c>
      <c r="L60" s="756">
        <f>SUM(D59:D71)</f>
        <v>109.49637435354893</v>
      </c>
      <c r="N60" s="756">
        <f>SUM(F59:F71)</f>
        <v>2.6070565322273551</v>
      </c>
      <c r="P60" s="756">
        <f>SUM(H59:H71)</f>
        <v>86.901884407578507</v>
      </c>
    </row>
    <row r="61" spans="1:16" ht="15.5" x14ac:dyDescent="0.35">
      <c r="A61" s="734" t="s">
        <v>1243</v>
      </c>
      <c r="B61" s="732">
        <f>SUM(Sf!H34:H50)</f>
        <v>956.16275840268929</v>
      </c>
      <c r="C61" s="733"/>
      <c r="D61" s="717">
        <f>B61/spelt</f>
        <v>9.5616275840268923</v>
      </c>
      <c r="E61" s="718"/>
      <c r="F61" s="717">
        <f>B61/($C$6*spelt)</f>
        <v>0.22765779961968793</v>
      </c>
      <c r="G61" s="718"/>
      <c r="H61" s="716">
        <f t="shared" si="10"/>
        <v>7.5885933206562646</v>
      </c>
    </row>
    <row r="62" spans="1:16" ht="15.5" x14ac:dyDescent="0.35">
      <c r="A62" s="734" t="s">
        <v>1242</v>
      </c>
      <c r="B62" s="732">
        <f>SUM(Sf!H51:H62)</f>
        <v>506.65892247806238</v>
      </c>
      <c r="C62" s="733"/>
      <c r="D62" s="717">
        <f t="shared" si="8"/>
        <v>5.0665892247806239</v>
      </c>
      <c r="E62" s="718"/>
      <c r="F62" s="717">
        <f t="shared" si="9"/>
        <v>0.12063307678049104</v>
      </c>
      <c r="G62" s="718"/>
      <c r="H62" s="716">
        <f t="shared" si="10"/>
        <v>4.0211025593497016</v>
      </c>
    </row>
    <row r="63" spans="1:16" ht="15.5" x14ac:dyDescent="0.35">
      <c r="A63" s="734" t="s">
        <v>1244</v>
      </c>
      <c r="B63" s="732">
        <f>SUM(Sf!H63:H67)</f>
        <v>0</v>
      </c>
      <c r="C63" s="733"/>
      <c r="D63" s="719">
        <f t="shared" si="8"/>
        <v>0</v>
      </c>
      <c r="E63" s="720"/>
      <c r="F63" s="719">
        <f t="shared" si="9"/>
        <v>0</v>
      </c>
      <c r="G63" s="720"/>
      <c r="H63" s="715">
        <f t="shared" si="10"/>
        <v>0</v>
      </c>
    </row>
    <row r="64" spans="1:16" ht="15.5" x14ac:dyDescent="0.35">
      <c r="A64" s="734" t="s">
        <v>1245</v>
      </c>
      <c r="B64" s="732">
        <f>0</f>
        <v>0</v>
      </c>
      <c r="C64" s="733"/>
      <c r="D64" s="719">
        <f t="shared" si="8"/>
        <v>0</v>
      </c>
      <c r="E64" s="720"/>
      <c r="F64" s="719">
        <f t="shared" si="9"/>
        <v>0</v>
      </c>
      <c r="G64" s="720"/>
      <c r="H64" s="715">
        <f t="shared" si="10"/>
        <v>0</v>
      </c>
    </row>
    <row r="65" spans="1:8" ht="15.5" x14ac:dyDescent="0.35">
      <c r="A65" s="734" t="s">
        <v>1246</v>
      </c>
      <c r="B65" s="732">
        <f>SUM(Sf!H68:H78)</f>
        <v>2363.4576923323089</v>
      </c>
      <c r="C65" s="733"/>
      <c r="D65" s="717">
        <f t="shared" si="8"/>
        <v>23.634576923323088</v>
      </c>
      <c r="E65" s="718"/>
      <c r="F65" s="717">
        <f t="shared" si="9"/>
        <v>0.56272802198388305</v>
      </c>
      <c r="G65" s="718"/>
      <c r="H65" s="716">
        <f t="shared" si="10"/>
        <v>18.757600732796103</v>
      </c>
    </row>
    <row r="66" spans="1:8" ht="15.5" x14ac:dyDescent="0.35">
      <c r="A66" s="734" t="s">
        <v>1247</v>
      </c>
      <c r="B66" s="732">
        <f>SUM(Sf!H79:H86)</f>
        <v>57.076555851157757</v>
      </c>
      <c r="C66" s="733"/>
      <c r="D66" s="717">
        <f t="shared" si="8"/>
        <v>0.57076555851157762</v>
      </c>
      <c r="E66" s="718"/>
      <c r="F66" s="785">
        <f t="shared" si="9"/>
        <v>1.3589656155037561E-2</v>
      </c>
      <c r="G66" s="718"/>
      <c r="H66" s="716">
        <f t="shared" si="10"/>
        <v>0.45298853850125204</v>
      </c>
    </row>
    <row r="67" spans="1:8" ht="15.5" x14ac:dyDescent="0.35">
      <c r="A67" s="734" t="s">
        <v>2148</v>
      </c>
      <c r="B67" s="732">
        <f>SUM(Sf!H87:H91)</f>
        <v>453.0535523709259</v>
      </c>
      <c r="C67" s="733"/>
      <c r="D67" s="717">
        <f t="shared" ref="D67" si="11">B67/spelt</f>
        <v>4.5305355237092586</v>
      </c>
      <c r="E67" s="718"/>
      <c r="F67" s="717">
        <f t="shared" ref="F67" si="12">B67/($C$6*spelt)</f>
        <v>0.10786989342164903</v>
      </c>
      <c r="G67" s="718"/>
      <c r="H67" s="716">
        <f t="shared" ref="H67" si="13">B67/($E$6*spelt)</f>
        <v>3.5956631140549673</v>
      </c>
    </row>
    <row r="68" spans="1:8" ht="15.5" x14ac:dyDescent="0.35">
      <c r="A68" s="734" t="s">
        <v>1250</v>
      </c>
      <c r="B68" s="732">
        <f>SUM(Sf!H92:H103)</f>
        <v>930.99389571896336</v>
      </c>
      <c r="C68" s="733"/>
      <c r="D68" s="717">
        <f t="shared" si="8"/>
        <v>9.3099389571896332</v>
      </c>
      <c r="E68" s="718"/>
      <c r="F68" s="717">
        <f t="shared" si="9"/>
        <v>0.22166521326641986</v>
      </c>
      <c r="G68" s="718"/>
      <c r="H68" s="716">
        <f t="shared" si="10"/>
        <v>7.3888404422139953</v>
      </c>
    </row>
    <row r="69" spans="1:8" ht="15.5" x14ac:dyDescent="0.35">
      <c r="A69" s="734" t="s">
        <v>1304</v>
      </c>
      <c r="B69" s="732">
        <f>0</f>
        <v>0</v>
      </c>
      <c r="C69" s="733"/>
      <c r="D69" s="719">
        <f t="shared" ref="D69" si="14">B69/spelt</f>
        <v>0</v>
      </c>
      <c r="E69" s="720"/>
      <c r="F69" s="719">
        <f t="shared" ref="F69" si="15">B69/($C$6*spelt)</f>
        <v>0</v>
      </c>
      <c r="G69" s="720"/>
      <c r="H69" s="715">
        <f t="shared" si="10"/>
        <v>0</v>
      </c>
    </row>
    <row r="70" spans="1:8" ht="15.5" x14ac:dyDescent="0.35">
      <c r="A70" s="734" t="s">
        <v>1248</v>
      </c>
      <c r="B70" s="732">
        <f>SUM(Sf!H105:H108)</f>
        <v>1350</v>
      </c>
      <c r="C70" s="733"/>
      <c r="D70" s="717">
        <f t="shared" si="8"/>
        <v>13.5</v>
      </c>
      <c r="E70" s="718"/>
      <c r="F70" s="717">
        <f t="shared" si="9"/>
        <v>0.32142857142857145</v>
      </c>
      <c r="G70" s="718"/>
      <c r="H70" s="716">
        <f t="shared" si="10"/>
        <v>10.714285714285714</v>
      </c>
    </row>
    <row r="71" spans="1:8" ht="15.5" x14ac:dyDescent="0.35">
      <c r="A71" s="734" t="s">
        <v>1249</v>
      </c>
      <c r="B71" s="732">
        <f>SUM(Sf!H109:H113)</f>
        <v>668.59845547728332</v>
      </c>
      <c r="C71" s="733"/>
      <c r="D71" s="717">
        <f t="shared" si="8"/>
        <v>6.6859845547728334</v>
      </c>
      <c r="E71" s="718"/>
      <c r="F71" s="717">
        <f t="shared" si="9"/>
        <v>0.15919010844697221</v>
      </c>
      <c r="G71" s="718"/>
      <c r="H71" s="716">
        <f t="shared" si="10"/>
        <v>5.3063369482324072</v>
      </c>
    </row>
    <row r="72" spans="1:8" ht="15.5" x14ac:dyDescent="0.35">
      <c r="A72" s="714" t="s">
        <v>79</v>
      </c>
      <c r="B72" s="732">
        <f>Sf!L121</f>
        <v>2634.2715617159656</v>
      </c>
      <c r="C72" s="733"/>
      <c r="D72" s="717">
        <f t="shared" si="8"/>
        <v>26.342715617159655</v>
      </c>
      <c r="E72" s="718"/>
      <c r="F72" s="717">
        <f t="shared" si="9"/>
        <v>0.62720751469427749</v>
      </c>
      <c r="G72" s="718"/>
      <c r="H72" s="716">
        <f t="shared" si="10"/>
        <v>20.906917156475917</v>
      </c>
    </row>
    <row r="73" spans="1:8" ht="15" x14ac:dyDescent="0.3">
      <c r="A73" s="709" t="s">
        <v>368</v>
      </c>
      <c r="B73" s="735">
        <f>SUM(B58:B72)</f>
        <v>13583.908997070859</v>
      </c>
      <c r="C73" s="736"/>
      <c r="D73" s="737">
        <f>SUM(D58:D72)</f>
        <v>135.83908997070859</v>
      </c>
      <c r="E73" s="737"/>
      <c r="F73" s="737">
        <f>SUM(F58:F72)</f>
        <v>3.2342640469216324</v>
      </c>
      <c r="G73" s="737"/>
      <c r="H73" s="737">
        <f>SUM(H58:H72)</f>
        <v>107.80880156405442</v>
      </c>
    </row>
    <row r="74" spans="1:8" ht="15.5" x14ac:dyDescent="0.35">
      <c r="A74" s="699"/>
      <c r="B74" s="735"/>
      <c r="C74" s="736"/>
      <c r="D74" s="737"/>
      <c r="E74" s="741"/>
      <c r="F74" s="741"/>
      <c r="G74" s="741"/>
      <c r="H74" s="741"/>
    </row>
    <row r="75" spans="1:8" ht="15" x14ac:dyDescent="0.3">
      <c r="A75" s="709" t="s">
        <v>80</v>
      </c>
      <c r="B75" s="735">
        <f>B73+B55</f>
        <v>55025.924342535523</v>
      </c>
      <c r="C75" s="736"/>
      <c r="D75" s="737">
        <f>D73+D55</f>
        <v>550.25924342535518</v>
      </c>
      <c r="E75" s="737"/>
      <c r="F75" s="737">
        <f>F73+F55</f>
        <v>13.101410557746554</v>
      </c>
      <c r="G75" s="737"/>
      <c r="H75" s="737">
        <f>H73+H55</f>
        <v>436.7136852582185</v>
      </c>
    </row>
    <row r="76" spans="1:8" ht="15.5" x14ac:dyDescent="0.35">
      <c r="A76" s="742"/>
      <c r="B76" s="735"/>
      <c r="C76" s="736"/>
      <c r="D76" s="737"/>
      <c r="E76" s="737"/>
      <c r="F76" s="737"/>
      <c r="G76" s="737"/>
      <c r="H76" s="737"/>
    </row>
    <row r="77" spans="1:8" ht="15" x14ac:dyDescent="0.3">
      <c r="A77" s="709" t="s">
        <v>355</v>
      </c>
      <c r="B77" s="710">
        <f>B22-B75</f>
        <v>45774.075657464477</v>
      </c>
      <c r="C77" s="736"/>
      <c r="D77" s="712">
        <f>D22-D75</f>
        <v>457.74075657464482</v>
      </c>
      <c r="E77" s="737"/>
      <c r="F77" s="712">
        <f>F22-F75</f>
        <v>10.898589442253446</v>
      </c>
      <c r="G77" s="737"/>
      <c r="H77" s="712">
        <f>H22-H75</f>
        <v>363.2863147417815</v>
      </c>
    </row>
    <row r="78" spans="1:8" ht="15" x14ac:dyDescent="0.3">
      <c r="A78" s="709" t="s">
        <v>356</v>
      </c>
      <c r="B78" s="735">
        <f>B22-B55</f>
        <v>59357.984654535336</v>
      </c>
      <c r="C78" s="736"/>
      <c r="D78" s="737">
        <f>D22-D55</f>
        <v>593.57984654535335</v>
      </c>
      <c r="E78" s="737"/>
      <c r="F78" s="737">
        <f>F22-F55</f>
        <v>14.132853489175078</v>
      </c>
      <c r="G78" s="737"/>
      <c r="H78" s="737">
        <f>H22-H55</f>
        <v>471.09511630583592</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2.75" customHeight="1" x14ac:dyDescent="0.35">
      <c r="A81" s="744" t="s">
        <v>369</v>
      </c>
      <c r="B81" s="703" t="s">
        <v>76</v>
      </c>
      <c r="C81" s="743"/>
      <c r="D81" s="703" t="s">
        <v>393</v>
      </c>
      <c r="E81" s="703"/>
      <c r="F81" s="703" t="s">
        <v>1556</v>
      </c>
      <c r="G81" s="703"/>
      <c r="H81" s="703" t="s">
        <v>396</v>
      </c>
    </row>
    <row r="82" spans="1:8" ht="15.5" x14ac:dyDescent="0.35">
      <c r="A82" s="714" t="s">
        <v>370</v>
      </c>
      <c r="B82" s="745">
        <f>B75</f>
        <v>55025.924342535523</v>
      </c>
      <c r="C82" s="743"/>
      <c r="D82" s="717">
        <f>$B$75/spelt</f>
        <v>550.25924342535518</v>
      </c>
      <c r="E82" s="718"/>
      <c r="F82" s="717">
        <f>$B$75/($C$6*spelt)</f>
        <v>13.101410557746552</v>
      </c>
      <c r="G82" s="718"/>
      <c r="H82" s="717">
        <f>$B$75/($E$6*spelt)</f>
        <v>436.71368525821845</v>
      </c>
    </row>
    <row r="83" spans="1:8" ht="15.5" x14ac:dyDescent="0.35">
      <c r="A83" s="714" t="s">
        <v>371</v>
      </c>
      <c r="B83" s="745">
        <f>B55</f>
        <v>41442.015345464664</v>
      </c>
      <c r="C83" s="743"/>
      <c r="D83" s="717">
        <f>$B$55/spelt</f>
        <v>414.42015345464665</v>
      </c>
      <c r="E83" s="718"/>
      <c r="F83" s="717">
        <f>$B$55/($C$6*spelt)</f>
        <v>9.8671465108249201</v>
      </c>
      <c r="G83" s="718"/>
      <c r="H83" s="717">
        <f>$B$55/($E$6*spelt)</f>
        <v>328.90488369416403</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f>B77/SUM(Sv!E25:E76)</f>
        <v>11.802847336353038</v>
      </c>
      <c r="C86" s="743"/>
      <c r="D86" s="1226">
        <f>SUM(Sv!E25:E76)</f>
        <v>3878.2231399773582</v>
      </c>
      <c r="E86" s="1225" t="s">
        <v>1996</v>
      </c>
      <c r="F86" s="717"/>
      <c r="G86" s="718"/>
      <c r="H86" s="717"/>
    </row>
    <row r="87" spans="1:8" ht="15.5" x14ac:dyDescent="0.35">
      <c r="A87" s="714" t="s">
        <v>1102</v>
      </c>
      <c r="B87" s="746">
        <f>B78/SUM(Sv!E25:E76)</f>
        <v>15.305458843423301</v>
      </c>
      <c r="C87" s="743"/>
      <c r="D87" s="717"/>
      <c r="E87" s="718"/>
      <c r="F87" s="717"/>
      <c r="G87" s="718"/>
      <c r="H87" s="717"/>
    </row>
    <row r="88" spans="1:8" ht="15.5" x14ac:dyDescent="0.35">
      <c r="A88" s="747"/>
      <c r="B88" s="748"/>
      <c r="C88" s="748"/>
      <c r="D88" s="749"/>
      <c r="E88" s="750"/>
      <c r="F88" s="750"/>
      <c r="G88" s="750"/>
      <c r="H88" s="750"/>
    </row>
    <row r="89" spans="1:8" x14ac:dyDescent="0.3">
      <c r="D89" s="59"/>
      <c r="E89" s="55"/>
      <c r="F89" s="55"/>
      <c r="G89" s="55"/>
      <c r="H89" s="55"/>
    </row>
    <row r="90" spans="1:8" x14ac:dyDescent="0.3">
      <c r="D90" s="59"/>
      <c r="E90" s="55"/>
      <c r="F90" s="55"/>
      <c r="G90" s="55"/>
      <c r="H90" s="55"/>
    </row>
    <row r="92" spans="1:8" x14ac:dyDescent="0.3">
      <c r="A92" s="61" t="s">
        <v>146</v>
      </c>
      <c r="B92" s="50" t="str">
        <f>model</f>
        <v>ME Grain &amp; Pulse</v>
      </c>
    </row>
    <row r="94" spans="1:8" x14ac:dyDescent="0.3">
      <c r="A94" s="7" t="s">
        <v>1198</v>
      </c>
      <c r="B94" s="55" t="s">
        <v>92</v>
      </c>
      <c r="C94" s="54">
        <f>spelt</f>
        <v>100</v>
      </c>
      <c r="D94" s="17" t="s">
        <v>93</v>
      </c>
    </row>
    <row r="95" spans="1:8" x14ac:dyDescent="0.3">
      <c r="A95" s="7"/>
      <c r="B95" s="55" t="s">
        <v>750</v>
      </c>
      <c r="C95" s="54">
        <f>(spelt*Data!F35)*Data!$B$35*Data!$C$35</f>
        <v>0</v>
      </c>
      <c r="D95" s="17" t="s">
        <v>93</v>
      </c>
    </row>
    <row r="96" spans="1:8" x14ac:dyDescent="0.3">
      <c r="A96" s="7"/>
      <c r="B96" s="55" t="s">
        <v>751</v>
      </c>
      <c r="C96" s="54">
        <f>(spelt*Data!G35)*Data!$B$35*Data!$D$35</f>
        <v>0</v>
      </c>
      <c r="D96" s="17" t="s">
        <v>93</v>
      </c>
    </row>
    <row r="97" spans="1:8" x14ac:dyDescent="0.3">
      <c r="A97" s="8"/>
      <c r="B97" s="55" t="s">
        <v>727</v>
      </c>
      <c r="C97" s="54">
        <f>Data!B228</f>
        <v>42</v>
      </c>
      <c r="D97" s="17" t="s">
        <v>1567</v>
      </c>
      <c r="E97" s="1190">
        <f>(C97*Data!$K$64)/2000</f>
        <v>1.26</v>
      </c>
      <c r="F97" s="17" t="s">
        <v>235</v>
      </c>
      <c r="G97" s="54"/>
    </row>
    <row r="98" spans="1:8" x14ac:dyDescent="0.3">
      <c r="B98" s="55" t="s">
        <v>728</v>
      </c>
      <c r="C98" s="106">
        <f>IF(FARM!$F$21&gt;0,Data!$B$223,Data!$B$224)</f>
        <v>24</v>
      </c>
      <c r="D98" s="17" t="s">
        <v>1566</v>
      </c>
      <c r="E98" s="153">
        <f>Data!$K$64</f>
        <v>60</v>
      </c>
      <c r="F98" s="17" t="s">
        <v>1560</v>
      </c>
      <c r="G98" s="153"/>
    </row>
    <row r="99" spans="1:8" x14ac:dyDescent="0.3">
      <c r="B99" s="55" t="s">
        <v>729</v>
      </c>
      <c r="C99" s="157">
        <f>Data!E228</f>
        <v>2.8022400000000003</v>
      </c>
      <c r="D99" s="17" t="s">
        <v>731</v>
      </c>
      <c r="E99" s="157">
        <f>Data!H228</f>
        <v>70.056000000000012</v>
      </c>
      <c r="F99" s="17" t="s">
        <v>732</v>
      </c>
      <c r="G99" s="54"/>
    </row>
    <row r="100" spans="1:8" x14ac:dyDescent="0.3">
      <c r="B100" s="55" t="s">
        <v>730</v>
      </c>
      <c r="C100" s="116">
        <f>IF(Straw!$D$15&gt;0,Straw!$D$15,Data!$E$225)</f>
        <v>40</v>
      </c>
      <c r="D100" s="17" t="s">
        <v>733</v>
      </c>
      <c r="E100" s="217">
        <f>IF(Straw!$F$15&gt;0,Straw!$F$15,Data!$H$225)</f>
        <v>5.0833333333333304</v>
      </c>
      <c r="F100" s="17" t="s">
        <v>734</v>
      </c>
      <c r="G100" s="217"/>
    </row>
    <row r="101" spans="1:8" x14ac:dyDescent="0.3">
      <c r="B101" s="55"/>
      <c r="C101" s="54"/>
      <c r="D101" s="17"/>
    </row>
    <row r="102" spans="1:8" ht="15.5" x14ac:dyDescent="0.35">
      <c r="A102" s="751" t="s">
        <v>1198</v>
      </c>
      <c r="B102" s="697" t="s">
        <v>76</v>
      </c>
      <c r="C102" s="697"/>
      <c r="D102" s="697" t="s">
        <v>77</v>
      </c>
      <c r="E102" s="698"/>
      <c r="F102" s="697" t="s">
        <v>1554</v>
      </c>
      <c r="G102" s="698"/>
      <c r="H102" s="697" t="s">
        <v>385</v>
      </c>
    </row>
    <row r="103" spans="1:8" ht="15.5" x14ac:dyDescent="0.35">
      <c r="A103" s="699" t="s">
        <v>362</v>
      </c>
      <c r="B103" s="700">
        <f>C94</f>
        <v>100</v>
      </c>
      <c r="C103" s="701"/>
      <c r="D103" s="702" t="s">
        <v>363</v>
      </c>
      <c r="E103" s="703"/>
      <c r="F103" s="702" t="s">
        <v>363</v>
      </c>
      <c r="G103" s="703"/>
      <c r="H103" s="702" t="s">
        <v>363</v>
      </c>
    </row>
    <row r="104" spans="1:8" ht="15.5" x14ac:dyDescent="0.35">
      <c r="A104" s="699" t="s">
        <v>1861</v>
      </c>
      <c r="B104" s="702" t="s">
        <v>363</v>
      </c>
      <c r="C104" s="701"/>
      <c r="D104" s="702" t="s">
        <v>363</v>
      </c>
      <c r="E104" s="703"/>
      <c r="F104" s="702" t="s">
        <v>363</v>
      </c>
      <c r="G104" s="703"/>
      <c r="H104" s="888">
        <f>2000/Data!$K$64</f>
        <v>33.333333333333336</v>
      </c>
    </row>
    <row r="105" spans="1:8" ht="15.5" x14ac:dyDescent="0.35">
      <c r="A105" s="699" t="s">
        <v>1565</v>
      </c>
      <c r="B105" s="700">
        <f>$C$94*C97</f>
        <v>4200</v>
      </c>
      <c r="C105" s="701"/>
      <c r="D105" s="700">
        <f>C97</f>
        <v>42</v>
      </c>
      <c r="E105" s="703"/>
      <c r="F105" s="702" t="s">
        <v>363</v>
      </c>
      <c r="G105" s="703"/>
      <c r="H105" s="702" t="s">
        <v>363</v>
      </c>
    </row>
    <row r="106" spans="1:8" ht="15.5" x14ac:dyDescent="0.35">
      <c r="A106" s="699" t="s">
        <v>1862</v>
      </c>
      <c r="B106" s="700">
        <f>$C$94*E97</f>
        <v>126</v>
      </c>
      <c r="C106" s="701"/>
      <c r="D106" s="1191">
        <f>E97</f>
        <v>1.26</v>
      </c>
      <c r="E106" s="703"/>
      <c r="F106" s="702" t="s">
        <v>363</v>
      </c>
      <c r="G106" s="703"/>
      <c r="H106" s="702" t="s">
        <v>363</v>
      </c>
    </row>
    <row r="107" spans="1:8" ht="15.5" x14ac:dyDescent="0.35">
      <c r="A107" s="699" t="str">
        <f>IF(Data!B225=1,"Spelt Price ($/unit) - Food Grade","Spelt Price ($/unit) - Feed Grade")</f>
        <v>Spelt Price ($/unit) - Food Grade</v>
      </c>
      <c r="B107" s="702" t="s">
        <v>363</v>
      </c>
      <c r="C107" s="701"/>
      <c r="D107" s="702" t="s">
        <v>363</v>
      </c>
      <c r="E107" s="703"/>
      <c r="F107" s="704">
        <f>C98</f>
        <v>24</v>
      </c>
      <c r="G107" s="703"/>
      <c r="H107" s="840">
        <f>F107*H104</f>
        <v>800</v>
      </c>
    </row>
    <row r="108" spans="1:8" ht="15" customHeight="1" x14ac:dyDescent="0.35">
      <c r="A108" s="699" t="s">
        <v>2032</v>
      </c>
      <c r="B108" s="700">
        <f>C99*C95</f>
        <v>0</v>
      </c>
      <c r="C108" s="701"/>
      <c r="D108" s="841">
        <f>C99</f>
        <v>2.8022400000000003</v>
      </c>
      <c r="E108" s="703"/>
      <c r="F108" s="842">
        <f>C99/($C$6*$C$3)</f>
        <v>6.6720000000000006E-4</v>
      </c>
      <c r="G108" s="703"/>
      <c r="H108" s="842">
        <f>C99/($E$6*$C$3)</f>
        <v>2.2240000000000003E-2</v>
      </c>
    </row>
    <row r="109" spans="1:8" ht="15" customHeight="1" x14ac:dyDescent="0.35">
      <c r="A109" s="699" t="s">
        <v>2034</v>
      </c>
      <c r="B109" s="705">
        <f>C100</f>
        <v>40</v>
      </c>
      <c r="C109" s="701"/>
      <c r="D109" s="705">
        <f>C100*C99</f>
        <v>112.08960000000002</v>
      </c>
      <c r="E109" s="703"/>
      <c r="F109" s="840">
        <f>D109/$C$6</f>
        <v>2.6688000000000005</v>
      </c>
      <c r="G109" s="703"/>
      <c r="H109" s="840">
        <f>D109/$E$6</f>
        <v>88.960000000000008</v>
      </c>
    </row>
    <row r="110" spans="1:8" ht="15" customHeight="1" x14ac:dyDescent="0.35">
      <c r="A110" s="699" t="s">
        <v>2031</v>
      </c>
      <c r="B110" s="700">
        <f>E99*C96</f>
        <v>0</v>
      </c>
      <c r="C110" s="701"/>
      <c r="D110" s="841">
        <f>E99</f>
        <v>70.056000000000012</v>
      </c>
      <c r="E110" s="703"/>
      <c r="F110" s="842">
        <f>E99/(C97*C94)</f>
        <v>1.6680000000000004E-2</v>
      </c>
      <c r="G110" s="703"/>
      <c r="H110" s="842">
        <f>E99/(E97*C94)</f>
        <v>0.55600000000000005</v>
      </c>
    </row>
    <row r="111" spans="1:8" ht="15" customHeight="1" x14ac:dyDescent="0.35">
      <c r="A111" s="699" t="s">
        <v>2033</v>
      </c>
      <c r="B111" s="840">
        <f>E100</f>
        <v>5.0833333333333304</v>
      </c>
      <c r="C111" s="701"/>
      <c r="D111" s="705">
        <f>E100*E99</f>
        <v>356.11799999999982</v>
      </c>
      <c r="E111" s="703"/>
      <c r="F111" s="840">
        <f>D111/C97</f>
        <v>8.4789999999999957</v>
      </c>
      <c r="G111" s="703"/>
      <c r="H111" s="840">
        <f>D111/E97</f>
        <v>282.63333333333321</v>
      </c>
    </row>
    <row r="112" spans="1:8" ht="15.5" x14ac:dyDescent="0.35">
      <c r="A112" s="699"/>
      <c r="B112" s="706"/>
      <c r="C112" s="706"/>
      <c r="D112" s="707"/>
      <c r="E112" s="708"/>
      <c r="F112" s="707"/>
      <c r="G112" s="708"/>
      <c r="H112" s="707"/>
    </row>
    <row r="113" spans="1:16" ht="15" x14ac:dyDescent="0.3">
      <c r="A113" s="709" t="s">
        <v>230</v>
      </c>
      <c r="B113" s="710">
        <f>(C97*C98*spelt)+(C99*C100*C95)+(E99*E100*C96)</f>
        <v>100800</v>
      </c>
      <c r="C113" s="711"/>
      <c r="D113" s="712">
        <f>B113/spelt</f>
        <v>1008</v>
      </c>
      <c r="E113" s="713"/>
      <c r="F113" s="712">
        <f>B113/($C$97*spelt)</f>
        <v>24</v>
      </c>
      <c r="G113" s="713"/>
      <c r="H113" s="711">
        <f>B113/($E$97*spelt)</f>
        <v>800</v>
      </c>
    </row>
    <row r="114" spans="1:16" ht="15.5" x14ac:dyDescent="0.35">
      <c r="A114" s="714" t="s">
        <v>1235</v>
      </c>
      <c r="B114" s="715">
        <f>(C97*C98*spelt)</f>
        <v>100800</v>
      </c>
      <c r="C114" s="716"/>
      <c r="D114" s="717">
        <f>B114/spelt</f>
        <v>1008</v>
      </c>
      <c r="E114" s="718"/>
      <c r="F114" s="717">
        <f>B114/($C$97*spelt)</f>
        <v>24</v>
      </c>
      <c r="G114" s="718"/>
      <c r="H114" s="716">
        <f>B114/($E$97*spelt)</f>
        <v>800</v>
      </c>
    </row>
    <row r="115" spans="1:16" ht="15.5" x14ac:dyDescent="0.35">
      <c r="A115" s="714" t="s">
        <v>1236</v>
      </c>
      <c r="B115" s="715">
        <f>(C99*C100*C95)+(E99*E100*C96)</f>
        <v>0</v>
      </c>
      <c r="C115" s="716"/>
      <c r="D115" s="719">
        <f>B115/spelt</f>
        <v>0</v>
      </c>
      <c r="E115" s="720"/>
      <c r="F115" s="719">
        <f>B115/($C$97*spelt)</f>
        <v>0</v>
      </c>
      <c r="G115" s="720"/>
      <c r="H115" s="715">
        <f>B115/($E$97*spelt)</f>
        <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SUM(Sv!H8:H11)</f>
        <v>9800</v>
      </c>
      <c r="C118" s="716"/>
      <c r="D118" s="717">
        <f>B118/spelt</f>
        <v>98</v>
      </c>
      <c r="E118" s="718"/>
      <c r="F118" s="717">
        <f>B118/($C$97*spelt)</f>
        <v>2.3333333333333335</v>
      </c>
      <c r="G118" s="718"/>
      <c r="H118" s="716">
        <f>B118/($E$97*spelt)</f>
        <v>77.777777777777771</v>
      </c>
    </row>
    <row r="119" spans="1:16" ht="15.5" x14ac:dyDescent="0.35">
      <c r="A119" s="714" t="s">
        <v>1287</v>
      </c>
      <c r="B119" s="715">
        <f>SUM(Sv!H13:H17)</f>
        <v>10500</v>
      </c>
      <c r="C119" s="716"/>
      <c r="D119" s="717">
        <f>B119/spelt</f>
        <v>105</v>
      </c>
      <c r="E119" s="718"/>
      <c r="F119" s="717">
        <f>B119/($C$97*spelt)</f>
        <v>2.5</v>
      </c>
      <c r="G119" s="718"/>
      <c r="H119" s="716">
        <f>B119/($E$97*spelt)</f>
        <v>83.333333333333329</v>
      </c>
    </row>
    <row r="120" spans="1:16" ht="15.5" x14ac:dyDescent="0.35">
      <c r="A120" s="714" t="s">
        <v>2</v>
      </c>
      <c r="B120" s="715">
        <f>Sv!H19</f>
        <v>0</v>
      </c>
      <c r="C120" s="716"/>
      <c r="D120" s="719">
        <f>B120/spelt</f>
        <v>0</v>
      </c>
      <c r="E120" s="720"/>
      <c r="F120" s="719">
        <f>B120/($C$97*spelt)</f>
        <v>0</v>
      </c>
      <c r="G120" s="720"/>
      <c r="H120" s="715">
        <f>B120/($E$97*spelt)</f>
        <v>0</v>
      </c>
    </row>
    <row r="121" spans="1:16" ht="15.5" x14ac:dyDescent="0.35">
      <c r="A121" s="714" t="s">
        <v>1476</v>
      </c>
      <c r="B121" s="699"/>
      <c r="C121" s="699"/>
      <c r="D121" s="699"/>
      <c r="E121" s="699"/>
      <c r="F121" s="699"/>
      <c r="G121" s="699"/>
      <c r="H121" s="699"/>
    </row>
    <row r="122" spans="1:16" ht="15.5" x14ac:dyDescent="0.35">
      <c r="A122" s="714" t="s">
        <v>1121</v>
      </c>
      <c r="B122" s="745">
        <f>SUM(Sv!H20:H21)</f>
        <v>0</v>
      </c>
      <c r="C122" s="746"/>
      <c r="D122" s="719">
        <f>B122/spelt</f>
        <v>0</v>
      </c>
      <c r="E122" s="720"/>
      <c r="F122" s="719">
        <f>B122/($C$97*spelt)</f>
        <v>0</v>
      </c>
      <c r="G122" s="720"/>
      <c r="H122" s="715">
        <f>B122/($E$97*spelt)</f>
        <v>0</v>
      </c>
    </row>
    <row r="123" spans="1:16" ht="15.5" x14ac:dyDescent="0.35">
      <c r="A123" s="714" t="s">
        <v>1119</v>
      </c>
      <c r="B123" s="745">
        <f>SUM(Sv!H22:H22)</f>
        <v>0</v>
      </c>
      <c r="C123" s="746"/>
      <c r="D123" s="719">
        <f>B123/spelt</f>
        <v>0</v>
      </c>
      <c r="E123" s="720"/>
      <c r="F123" s="719">
        <f>B123/($C$97*spelt)</f>
        <v>0</v>
      </c>
      <c r="G123" s="720"/>
      <c r="H123" s="715">
        <f>B123/($E$97*spelt)</f>
        <v>0</v>
      </c>
    </row>
    <row r="124" spans="1:16" ht="15.5" x14ac:dyDescent="0.35">
      <c r="A124" s="714" t="s">
        <v>1120</v>
      </c>
      <c r="B124" s="745">
        <f>SUM(Sv!H23:H23)</f>
        <v>0</v>
      </c>
      <c r="C124" s="746"/>
      <c r="D124" s="719">
        <f>B124/spelt</f>
        <v>0</v>
      </c>
      <c r="E124" s="720"/>
      <c r="F124" s="719">
        <f>B124/($C$97*spelt)</f>
        <v>0</v>
      </c>
      <c r="G124" s="720"/>
      <c r="H124" s="715">
        <f>B124/($E$97*spelt)</f>
        <v>0</v>
      </c>
      <c r="J124" s="889" t="s">
        <v>1557</v>
      </c>
    </row>
    <row r="125" spans="1:16" ht="15.5" x14ac:dyDescent="0.35">
      <c r="A125" s="714" t="s">
        <v>1214</v>
      </c>
      <c r="B125" s="715"/>
      <c r="C125" s="716"/>
      <c r="D125" s="717"/>
      <c r="E125" s="718"/>
      <c r="F125" s="717"/>
      <c r="G125" s="718"/>
      <c r="H125" s="717"/>
      <c r="J125" s="756">
        <f>_wage_</f>
        <v>12.29</v>
      </c>
      <c r="K125" s="709" t="s">
        <v>1558</v>
      </c>
    </row>
    <row r="126" spans="1:16" ht="15.5" x14ac:dyDescent="0.35">
      <c r="A126" s="734" t="s">
        <v>1910</v>
      </c>
      <c r="B126" s="715">
        <f>Sv!H26</f>
        <v>0</v>
      </c>
      <c r="C126" s="716"/>
      <c r="D126" s="717">
        <f t="shared" ref="D126:D139" si="16">B126/spelt</f>
        <v>0</v>
      </c>
      <c r="E126" s="718"/>
      <c r="F126" s="717">
        <f t="shared" ref="F126:F139" si="17">B126/($C$97*spelt)</f>
        <v>0</v>
      </c>
      <c r="G126" s="718"/>
      <c r="H126" s="716">
        <f t="shared" ref="H126:H139" si="18">B126/($E$97*spelt)</f>
        <v>0</v>
      </c>
      <c r="J126" s="697" t="s">
        <v>76</v>
      </c>
      <c r="K126" s="697"/>
      <c r="L126" s="697" t="s">
        <v>77</v>
      </c>
      <c r="M126" s="698"/>
      <c r="N126" s="697" t="s">
        <v>1554</v>
      </c>
      <c r="O126" s="698"/>
      <c r="P126" s="697" t="s">
        <v>385</v>
      </c>
    </row>
    <row r="127" spans="1:16" ht="15.5" x14ac:dyDescent="0.35">
      <c r="A127" s="734" t="s">
        <v>1251</v>
      </c>
      <c r="B127" s="715">
        <f>Sv!H27</f>
        <v>307.25</v>
      </c>
      <c r="C127" s="716"/>
      <c r="D127" s="717">
        <f t="shared" si="16"/>
        <v>3.0724999999999998</v>
      </c>
      <c r="E127" s="718"/>
      <c r="F127" s="717">
        <f t="shared" si="17"/>
        <v>7.3154761904761903E-2</v>
      </c>
      <c r="G127" s="718"/>
      <c r="H127" s="716">
        <f t="shared" si="18"/>
        <v>2.4384920634920637</v>
      </c>
      <c r="J127" s="763">
        <f>SUM(B126:B139)</f>
        <v>3188.7424332012292</v>
      </c>
      <c r="L127" s="756">
        <f>SUM(D126:D139)</f>
        <v>31.887424332012298</v>
      </c>
      <c r="N127" s="756">
        <f>SUM(F126:F139)</f>
        <v>0.75922438885743559</v>
      </c>
      <c r="P127" s="756">
        <f>SUM(H126:H139)</f>
        <v>25.307479628581184</v>
      </c>
    </row>
    <row r="128" spans="1:16" ht="15.5" x14ac:dyDescent="0.35">
      <c r="A128" s="734" t="s">
        <v>1256</v>
      </c>
      <c r="B128" s="715">
        <f>Sv!H28</f>
        <v>144.58823529411714</v>
      </c>
      <c r="C128" s="716"/>
      <c r="D128" s="717">
        <f t="shared" si="16"/>
        <v>1.4458823529411715</v>
      </c>
      <c r="E128" s="718"/>
      <c r="F128" s="717">
        <f t="shared" si="17"/>
        <v>3.4425770308123126E-2</v>
      </c>
      <c r="G128" s="718"/>
      <c r="H128" s="716">
        <f t="shared" si="18"/>
        <v>1.1475256769374376</v>
      </c>
    </row>
    <row r="129" spans="1:16" ht="15.5" x14ac:dyDescent="0.35">
      <c r="A129" s="734" t="s">
        <v>1252</v>
      </c>
      <c r="B129" s="715">
        <f>Sv!H29</f>
        <v>100.57283142389524</v>
      </c>
      <c r="C129" s="716"/>
      <c r="D129" s="717">
        <f t="shared" si="16"/>
        <v>1.0057283142389524</v>
      </c>
      <c r="E129" s="718"/>
      <c r="F129" s="717">
        <f t="shared" si="17"/>
        <v>2.3945912243784579E-2</v>
      </c>
      <c r="G129" s="718"/>
      <c r="H129" s="716">
        <f t="shared" si="18"/>
        <v>0.79819707479281932</v>
      </c>
    </row>
    <row r="130" spans="1:16" ht="15.5" x14ac:dyDescent="0.35">
      <c r="A130" s="734" t="s">
        <v>1253</v>
      </c>
      <c r="B130" s="715">
        <f>Sv!H33</f>
        <v>94.684129429892167</v>
      </c>
      <c r="C130" s="716"/>
      <c r="D130" s="717">
        <f t="shared" si="16"/>
        <v>0.94684129429892172</v>
      </c>
      <c r="E130" s="718"/>
      <c r="F130" s="717">
        <f t="shared" si="17"/>
        <v>2.2543840340450517E-2</v>
      </c>
      <c r="G130" s="718"/>
      <c r="H130" s="716">
        <f t="shared" si="18"/>
        <v>0.75146134468168391</v>
      </c>
    </row>
    <row r="131" spans="1:16" ht="15.5" x14ac:dyDescent="0.35">
      <c r="A131" s="734" t="s">
        <v>1254</v>
      </c>
      <c r="B131" s="715">
        <f>Sv!H34</f>
        <v>94.684129429892167</v>
      </c>
      <c r="C131" s="716"/>
      <c r="D131" s="717">
        <f t="shared" si="16"/>
        <v>0.94684129429892172</v>
      </c>
      <c r="E131" s="718"/>
      <c r="F131" s="717">
        <f t="shared" si="17"/>
        <v>2.2543840340450517E-2</v>
      </c>
      <c r="G131" s="718"/>
      <c r="H131" s="716">
        <f t="shared" si="18"/>
        <v>0.75146134468168391</v>
      </c>
    </row>
    <row r="132" spans="1:16" ht="15.5" x14ac:dyDescent="0.35">
      <c r="A132" s="734" t="s">
        <v>2175</v>
      </c>
      <c r="B132" s="715">
        <f>Sv!H35</f>
        <v>0</v>
      </c>
      <c r="C132" s="716"/>
      <c r="D132" s="719">
        <f t="shared" si="16"/>
        <v>0</v>
      </c>
      <c r="E132" s="720"/>
      <c r="F132" s="719">
        <f t="shared" si="17"/>
        <v>0</v>
      </c>
      <c r="G132" s="720"/>
      <c r="H132" s="715">
        <f t="shared" si="18"/>
        <v>0</v>
      </c>
    </row>
    <row r="133" spans="1:16" ht="15.5" x14ac:dyDescent="0.35">
      <c r="A133" s="734" t="s">
        <v>1259</v>
      </c>
      <c r="B133" s="715">
        <f>Sv!H37</f>
        <v>0</v>
      </c>
      <c r="C133" s="716"/>
      <c r="D133" s="717">
        <f t="shared" si="16"/>
        <v>0</v>
      </c>
      <c r="E133" s="718"/>
      <c r="F133" s="717">
        <f t="shared" si="17"/>
        <v>0</v>
      </c>
      <c r="G133" s="718"/>
      <c r="H133" s="716">
        <f t="shared" si="18"/>
        <v>0</v>
      </c>
    </row>
    <row r="134" spans="1:16" ht="15.5" x14ac:dyDescent="0.35">
      <c r="A134" s="734" t="s">
        <v>1255</v>
      </c>
      <c r="B134" s="715">
        <f>SUM(Sv!H40:H41)</f>
        <v>409.66666666666623</v>
      </c>
      <c r="C134" s="716"/>
      <c r="D134" s="717">
        <f t="shared" si="16"/>
        <v>4.0966666666666622</v>
      </c>
      <c r="E134" s="718"/>
      <c r="F134" s="717">
        <f t="shared" si="17"/>
        <v>9.753968253968244E-2</v>
      </c>
      <c r="G134" s="718"/>
      <c r="H134" s="716">
        <f t="shared" si="18"/>
        <v>3.2513227513227481</v>
      </c>
    </row>
    <row r="135" spans="1:16" ht="15.5" x14ac:dyDescent="0.35">
      <c r="A135" s="734" t="s">
        <v>2077</v>
      </c>
      <c r="B135" s="715">
        <f>SUM(Sv!H42:H43)</f>
        <v>96.03415812848381</v>
      </c>
      <c r="C135" s="716"/>
      <c r="D135" s="717">
        <f t="shared" si="16"/>
        <v>0.96034158128483815</v>
      </c>
      <c r="E135" s="720"/>
      <c r="F135" s="717">
        <f t="shared" si="17"/>
        <v>2.2865275744877098E-2</v>
      </c>
      <c r="G135" s="720"/>
      <c r="H135" s="716">
        <f t="shared" si="18"/>
        <v>0.76217585816256994</v>
      </c>
    </row>
    <row r="136" spans="1:16" ht="15.5" x14ac:dyDescent="0.35">
      <c r="A136" s="734" t="s">
        <v>1537</v>
      </c>
      <c r="B136" s="715">
        <f>SUM(Sv!H55:H57)</f>
        <v>1253.58</v>
      </c>
      <c r="C136" s="716"/>
      <c r="D136" s="717">
        <f t="shared" si="16"/>
        <v>12.5358</v>
      </c>
      <c r="E136" s="720"/>
      <c r="F136" s="717">
        <f t="shared" si="17"/>
        <v>0.29847142857142855</v>
      </c>
      <c r="G136" s="720"/>
      <c r="H136" s="716">
        <f t="shared" si="18"/>
        <v>9.9490476190476187</v>
      </c>
    </row>
    <row r="137" spans="1:16" ht="15.5" x14ac:dyDescent="0.35">
      <c r="A137" s="734" t="s">
        <v>1257</v>
      </c>
      <c r="B137" s="715">
        <f>SUM(Sv!H58:H60)</f>
        <v>532.82828282828291</v>
      </c>
      <c r="C137" s="716"/>
      <c r="D137" s="717">
        <f t="shared" si="16"/>
        <v>5.3282828282828287</v>
      </c>
      <c r="E137" s="718"/>
      <c r="F137" s="717">
        <f t="shared" si="17"/>
        <v>0.12686387686387687</v>
      </c>
      <c r="G137" s="718"/>
      <c r="H137" s="716">
        <f t="shared" si="18"/>
        <v>4.2287958954625626</v>
      </c>
    </row>
    <row r="138" spans="1:16" ht="15.5" x14ac:dyDescent="0.35">
      <c r="A138" s="734" t="s">
        <v>2030</v>
      </c>
      <c r="B138" s="715">
        <f>SUM(Sv!H44:H54)</f>
        <v>0</v>
      </c>
      <c r="C138" s="716"/>
      <c r="D138" s="717">
        <f t="shared" si="16"/>
        <v>0</v>
      </c>
      <c r="E138" s="718"/>
      <c r="F138" s="717">
        <f t="shared" si="17"/>
        <v>0</v>
      </c>
      <c r="G138" s="718"/>
      <c r="H138" s="716">
        <f t="shared" si="18"/>
        <v>0</v>
      </c>
    </row>
    <row r="139" spans="1:16" ht="15.5" x14ac:dyDescent="0.35">
      <c r="A139" s="734" t="s">
        <v>2078</v>
      </c>
      <c r="B139" s="715">
        <f>SUM(Sv!H62:H75)</f>
        <v>154.85399999999998</v>
      </c>
      <c r="C139" s="716"/>
      <c r="D139" s="717">
        <f t="shared" si="16"/>
        <v>1.5485399999999998</v>
      </c>
      <c r="E139" s="718"/>
      <c r="F139" s="717">
        <f t="shared" si="17"/>
        <v>3.6869999999999993E-2</v>
      </c>
      <c r="G139" s="718"/>
      <c r="H139" s="716">
        <f t="shared" si="18"/>
        <v>1.2289999999999999</v>
      </c>
      <c r="J139" s="889" t="s">
        <v>1985</v>
      </c>
    </row>
    <row r="140" spans="1:16" ht="15.5" x14ac:dyDescent="0.35">
      <c r="A140" s="714" t="s">
        <v>1260</v>
      </c>
      <c r="B140" s="715"/>
      <c r="C140" s="716"/>
      <c r="D140" s="717"/>
      <c r="E140" s="718"/>
      <c r="F140" s="717"/>
      <c r="G140" s="718"/>
      <c r="H140" s="717"/>
      <c r="J140" s="756">
        <f>diesel_fuel</f>
        <v>2.56</v>
      </c>
      <c r="K140" s="709" t="s">
        <v>1559</v>
      </c>
    </row>
    <row r="141" spans="1:16" ht="15.5" x14ac:dyDescent="0.35">
      <c r="A141" s="734" t="s">
        <v>1910</v>
      </c>
      <c r="B141" s="715">
        <f>Sv!H78</f>
        <v>0</v>
      </c>
      <c r="C141" s="716"/>
      <c r="D141" s="717">
        <f t="shared" ref="D141:D158" si="19">B141/spelt</f>
        <v>0</v>
      </c>
      <c r="E141" s="718"/>
      <c r="F141" s="717">
        <f t="shared" ref="F141:F158" si="20">B141/($C$97*spelt)</f>
        <v>0</v>
      </c>
      <c r="G141" s="718"/>
      <c r="H141" s="716">
        <f t="shared" ref="H141:H158" si="21">B141/($E$97*spelt)</f>
        <v>0</v>
      </c>
      <c r="J141" s="697" t="s">
        <v>76</v>
      </c>
      <c r="K141" s="697"/>
      <c r="L141" s="697" t="s">
        <v>77</v>
      </c>
      <c r="M141" s="698"/>
      <c r="N141" s="697" t="s">
        <v>1554</v>
      </c>
      <c r="O141" s="698"/>
      <c r="P141" s="697" t="s">
        <v>385</v>
      </c>
    </row>
    <row r="142" spans="1:16" ht="15.5" x14ac:dyDescent="0.35">
      <c r="A142" s="734" t="s">
        <v>1251</v>
      </c>
      <c r="B142" s="715">
        <f>Sv!H79</f>
        <v>112.70109002769051</v>
      </c>
      <c r="C142" s="716"/>
      <c r="D142" s="717">
        <f t="shared" si="19"/>
        <v>1.1270109002769051</v>
      </c>
      <c r="E142" s="718"/>
      <c r="F142" s="717">
        <f t="shared" si="20"/>
        <v>2.6833592863735836E-2</v>
      </c>
      <c r="G142" s="718"/>
      <c r="H142" s="716">
        <f t="shared" si="21"/>
        <v>0.89445309545786122</v>
      </c>
      <c r="J142" s="763">
        <f>SUM(B141:B154)</f>
        <v>1288.3031023870208</v>
      </c>
      <c r="L142" s="756">
        <f>SUM(D141:D154)</f>
        <v>12.88303102387021</v>
      </c>
      <c r="N142" s="756">
        <f>SUM(F141:F154)</f>
        <v>0.30673883390167156</v>
      </c>
      <c r="P142" s="756">
        <f>SUM(H141:H154)</f>
        <v>10.224627796722388</v>
      </c>
    </row>
    <row r="143" spans="1:16" ht="15.5" x14ac:dyDescent="0.35">
      <c r="A143" s="734" t="s">
        <v>1256</v>
      </c>
      <c r="B143" s="715">
        <f>Sv!H80</f>
        <v>163.84</v>
      </c>
      <c r="C143" s="716"/>
      <c r="D143" s="717">
        <f t="shared" si="19"/>
        <v>1.6384000000000001</v>
      </c>
      <c r="E143" s="718"/>
      <c r="F143" s="717">
        <f t="shared" si="20"/>
        <v>3.9009523809523813E-2</v>
      </c>
      <c r="G143" s="718"/>
      <c r="H143" s="716">
        <f t="shared" si="21"/>
        <v>1.3003174603174603</v>
      </c>
    </row>
    <row r="144" spans="1:16" ht="15.5" x14ac:dyDescent="0.35">
      <c r="A144" s="734" t="s">
        <v>1252</v>
      </c>
      <c r="B144" s="715">
        <f>Sv!H81</f>
        <v>189.44</v>
      </c>
      <c r="C144" s="716"/>
      <c r="D144" s="717">
        <f t="shared" si="19"/>
        <v>1.8944000000000001</v>
      </c>
      <c r="E144" s="718"/>
      <c r="F144" s="717">
        <f t="shared" si="20"/>
        <v>4.5104761904761904E-2</v>
      </c>
      <c r="G144" s="718"/>
      <c r="H144" s="716">
        <f t="shared" si="21"/>
        <v>1.5034920634920634</v>
      </c>
    </row>
    <row r="145" spans="1:8" ht="15.5" x14ac:dyDescent="0.35">
      <c r="A145" s="734" t="s">
        <v>1253</v>
      </c>
      <c r="B145" s="715">
        <f>Sv!H85</f>
        <v>87.04</v>
      </c>
      <c r="C145" s="716"/>
      <c r="D145" s="717">
        <f t="shared" si="19"/>
        <v>0.87040000000000006</v>
      </c>
      <c r="E145" s="718"/>
      <c r="F145" s="717">
        <f t="shared" si="20"/>
        <v>2.0723809523809526E-2</v>
      </c>
      <c r="G145" s="718"/>
      <c r="H145" s="716">
        <f t="shared" si="21"/>
        <v>0.69079365079365085</v>
      </c>
    </row>
    <row r="146" spans="1:8" ht="15.5" x14ac:dyDescent="0.35">
      <c r="A146" s="734" t="s">
        <v>1254</v>
      </c>
      <c r="B146" s="715">
        <f>Sv!H86</f>
        <v>156.16</v>
      </c>
      <c r="C146" s="716"/>
      <c r="D146" s="717">
        <f t="shared" si="19"/>
        <v>1.5615999999999999</v>
      </c>
      <c r="E146" s="718"/>
      <c r="F146" s="717">
        <f t="shared" si="20"/>
        <v>3.7180952380952377E-2</v>
      </c>
      <c r="G146" s="718"/>
      <c r="H146" s="716">
        <f t="shared" si="21"/>
        <v>1.2393650793650794</v>
      </c>
    </row>
    <row r="147" spans="1:8" ht="15.5" x14ac:dyDescent="0.35">
      <c r="A147" s="734" t="s">
        <v>2175</v>
      </c>
      <c r="B147" s="715">
        <f>Sv!H87</f>
        <v>0</v>
      </c>
      <c r="C147" s="716"/>
      <c r="D147" s="719">
        <f t="shared" si="19"/>
        <v>0</v>
      </c>
      <c r="E147" s="720"/>
      <c r="F147" s="719">
        <f t="shared" si="20"/>
        <v>0</v>
      </c>
      <c r="G147" s="720"/>
      <c r="H147" s="715">
        <f t="shared" si="21"/>
        <v>0</v>
      </c>
    </row>
    <row r="148" spans="1:8" ht="15.5" x14ac:dyDescent="0.35">
      <c r="A148" s="734" t="s">
        <v>1259</v>
      </c>
      <c r="B148" s="715">
        <f>Sv!H89</f>
        <v>0</v>
      </c>
      <c r="C148" s="716"/>
      <c r="D148" s="719">
        <f t="shared" si="19"/>
        <v>0</v>
      </c>
      <c r="E148" s="718"/>
      <c r="F148" s="719">
        <f t="shared" si="20"/>
        <v>0</v>
      </c>
      <c r="G148" s="718"/>
      <c r="H148" s="715">
        <f t="shared" si="21"/>
        <v>0</v>
      </c>
    </row>
    <row r="149" spans="1:8" ht="15.5" x14ac:dyDescent="0.35">
      <c r="A149" s="734" t="s">
        <v>1255</v>
      </c>
      <c r="B149" s="715">
        <f>SUM(Sv!H92:H93)</f>
        <v>512</v>
      </c>
      <c r="C149" s="716"/>
      <c r="D149" s="717">
        <f t="shared" si="19"/>
        <v>5.12</v>
      </c>
      <c r="E149" s="718"/>
      <c r="F149" s="717">
        <f t="shared" si="20"/>
        <v>0.1219047619047619</v>
      </c>
      <c r="G149" s="718"/>
      <c r="H149" s="716">
        <f t="shared" si="21"/>
        <v>4.0634920634920633</v>
      </c>
    </row>
    <row r="150" spans="1:8" ht="15.5" x14ac:dyDescent="0.35">
      <c r="A150" s="734" t="s">
        <v>2077</v>
      </c>
      <c r="B150" s="715">
        <f>SUM(Sv!H94:H95)</f>
        <v>38.450012359330302</v>
      </c>
      <c r="C150" s="716"/>
      <c r="D150" s="717">
        <f t="shared" si="19"/>
        <v>0.38450012359330299</v>
      </c>
      <c r="E150" s="720"/>
      <c r="F150" s="717">
        <f t="shared" si="20"/>
        <v>9.1547648474595948E-3</v>
      </c>
      <c r="G150" s="720"/>
      <c r="H150" s="716">
        <f t="shared" si="21"/>
        <v>0.3051588282486532</v>
      </c>
    </row>
    <row r="151" spans="1:8" ht="15.5" x14ac:dyDescent="0.35">
      <c r="A151" s="734" t="s">
        <v>1537</v>
      </c>
      <c r="B151" s="715">
        <f>SUM(Sv!H107:H109)</f>
        <v>0</v>
      </c>
      <c r="C151" s="716"/>
      <c r="D151" s="719">
        <f t="shared" si="19"/>
        <v>0</v>
      </c>
      <c r="E151" s="720"/>
      <c r="F151" s="719">
        <f t="shared" si="20"/>
        <v>0</v>
      </c>
      <c r="G151" s="720"/>
      <c r="H151" s="715">
        <f t="shared" si="21"/>
        <v>0</v>
      </c>
    </row>
    <row r="152" spans="1:8" ht="15.5" x14ac:dyDescent="0.35">
      <c r="A152" s="734" t="s">
        <v>1257</v>
      </c>
      <c r="B152" s="715">
        <f>SUM(Sv!H110:H112)</f>
        <v>0</v>
      </c>
      <c r="C152" s="716"/>
      <c r="D152" s="719">
        <f t="shared" si="19"/>
        <v>0</v>
      </c>
      <c r="E152" s="720"/>
      <c r="F152" s="719">
        <f t="shared" si="20"/>
        <v>0</v>
      </c>
      <c r="G152" s="720"/>
      <c r="H152" s="715">
        <f t="shared" si="21"/>
        <v>0</v>
      </c>
    </row>
    <row r="153" spans="1:8" ht="15.5" x14ac:dyDescent="0.35">
      <c r="A153" s="734" t="s">
        <v>2030</v>
      </c>
      <c r="B153" s="715">
        <f>SUM(Sv!H96:H106)</f>
        <v>0</v>
      </c>
      <c r="C153" s="716"/>
      <c r="D153" s="717">
        <f t="shared" si="19"/>
        <v>0</v>
      </c>
      <c r="E153" s="720"/>
      <c r="F153" s="717">
        <f t="shared" si="20"/>
        <v>0</v>
      </c>
      <c r="G153" s="720"/>
      <c r="H153" s="716">
        <f t="shared" si="21"/>
        <v>0</v>
      </c>
    </row>
    <row r="154" spans="1:8" ht="15.5" x14ac:dyDescent="0.35">
      <c r="A154" s="734" t="s">
        <v>2078</v>
      </c>
      <c r="B154" s="715">
        <f>SUM(Sv!H114:H127)</f>
        <v>28.671999999999997</v>
      </c>
      <c r="C154" s="716"/>
      <c r="D154" s="717">
        <f t="shared" si="19"/>
        <v>0.28671999999999997</v>
      </c>
      <c r="E154" s="720"/>
      <c r="F154" s="717">
        <f t="shared" si="20"/>
        <v>6.8266666666666658E-3</v>
      </c>
      <c r="G154" s="720"/>
      <c r="H154" s="716">
        <f t="shared" si="21"/>
        <v>0.22755555555555554</v>
      </c>
    </row>
    <row r="155" spans="1:8" ht="15.5" x14ac:dyDescent="0.35">
      <c r="A155" s="714" t="s">
        <v>1258</v>
      </c>
      <c r="B155" s="715">
        <f>Sv!H128</f>
        <v>161.0378877983776</v>
      </c>
      <c r="C155" s="716"/>
      <c r="D155" s="717">
        <f t="shared" si="19"/>
        <v>1.610378877983776</v>
      </c>
      <c r="E155" s="718"/>
      <c r="F155" s="717">
        <f t="shared" si="20"/>
        <v>3.8342354237708952E-2</v>
      </c>
      <c r="G155" s="718"/>
      <c r="H155" s="716">
        <f t="shared" si="21"/>
        <v>1.2780784745902984</v>
      </c>
    </row>
    <row r="156" spans="1:8" ht="15.5" x14ac:dyDescent="0.35">
      <c r="A156" s="714" t="s">
        <v>78</v>
      </c>
      <c r="B156" s="715">
        <f>SUM(Sv!H129:H130)</f>
        <v>7273.7209198926485</v>
      </c>
      <c r="C156" s="716"/>
      <c r="D156" s="717">
        <f t="shared" si="19"/>
        <v>72.737209198926479</v>
      </c>
      <c r="E156" s="718"/>
      <c r="F156" s="717">
        <f t="shared" si="20"/>
        <v>1.7318383142601543</v>
      </c>
      <c r="G156" s="718"/>
      <c r="H156" s="716">
        <f t="shared" si="21"/>
        <v>57.72794380867181</v>
      </c>
    </row>
    <row r="157" spans="1:8" ht="15.5" x14ac:dyDescent="0.35">
      <c r="A157" s="714" t="s">
        <v>170</v>
      </c>
      <c r="B157" s="732">
        <f>Sv!H131</f>
        <v>0</v>
      </c>
      <c r="C157" s="733"/>
      <c r="D157" s="719">
        <f t="shared" si="19"/>
        <v>0</v>
      </c>
      <c r="E157" s="720"/>
      <c r="F157" s="719">
        <f t="shared" si="20"/>
        <v>0</v>
      </c>
      <c r="G157" s="720"/>
      <c r="H157" s="715">
        <f t="shared" si="21"/>
        <v>0</v>
      </c>
    </row>
    <row r="158" spans="1:8" ht="15.5" x14ac:dyDescent="0.35">
      <c r="A158" s="714" t="s">
        <v>171</v>
      </c>
      <c r="B158" s="732">
        <f>SUM(Sv!H132:H133)</f>
        <v>300</v>
      </c>
      <c r="C158" s="733"/>
      <c r="D158" s="717">
        <f t="shared" si="19"/>
        <v>3</v>
      </c>
      <c r="E158" s="718"/>
      <c r="F158" s="717">
        <f t="shared" si="20"/>
        <v>7.1428571428571425E-2</v>
      </c>
      <c r="G158" s="718"/>
      <c r="H158" s="716">
        <f t="shared" si="21"/>
        <v>2.3809523809523809</v>
      </c>
    </row>
    <row r="159" spans="1:8" ht="15.5" x14ac:dyDescent="0.35">
      <c r="A159" s="714" t="s">
        <v>172</v>
      </c>
      <c r="B159" s="732"/>
      <c r="C159" s="733"/>
      <c r="D159" s="717"/>
      <c r="E159" s="718"/>
      <c r="F159" s="717"/>
      <c r="G159" s="718"/>
      <c r="H159" s="717"/>
    </row>
    <row r="160" spans="1:8" ht="15.5" x14ac:dyDescent="0.35">
      <c r="A160" s="734" t="s">
        <v>439</v>
      </c>
      <c r="B160" s="732">
        <f>Sv!H135</f>
        <v>150</v>
      </c>
      <c r="C160" s="733"/>
      <c r="D160" s="717">
        <f t="shared" ref="D160:D174" si="22">B160/spelt</f>
        <v>1.5</v>
      </c>
      <c r="E160" s="718"/>
      <c r="F160" s="717">
        <f t="shared" ref="F160:F174" si="23">B160/($C$97*spelt)</f>
        <v>3.5714285714285712E-2</v>
      </c>
      <c r="G160" s="718"/>
      <c r="H160" s="716">
        <f t="shared" ref="H160:H174" si="24">B160/($E$97*spelt)</f>
        <v>1.1904761904761905</v>
      </c>
    </row>
    <row r="161" spans="1:8" ht="15.5" x14ac:dyDescent="0.35">
      <c r="A161" s="734" t="s">
        <v>1506</v>
      </c>
      <c r="B161" s="732">
        <f>SUM(Sv!H136:H138)</f>
        <v>875</v>
      </c>
      <c r="C161" s="733"/>
      <c r="D161" s="717">
        <f t="shared" si="22"/>
        <v>8.75</v>
      </c>
      <c r="E161" s="718"/>
      <c r="F161" s="717">
        <f t="shared" si="23"/>
        <v>0.20833333333333334</v>
      </c>
      <c r="G161" s="718"/>
      <c r="H161" s="716">
        <f t="shared" si="24"/>
        <v>6.9444444444444446</v>
      </c>
    </row>
    <row r="162" spans="1:8" ht="15.5" x14ac:dyDescent="0.35">
      <c r="A162" s="734" t="s">
        <v>1505</v>
      </c>
      <c r="B162" s="732">
        <f>SUM(Sv!H139:H141)</f>
        <v>450</v>
      </c>
      <c r="C162" s="733"/>
      <c r="D162" s="717">
        <f t="shared" si="22"/>
        <v>4.5</v>
      </c>
      <c r="E162" s="718"/>
      <c r="F162" s="717">
        <f t="shared" si="23"/>
        <v>0.10714285714285714</v>
      </c>
      <c r="G162" s="718"/>
      <c r="H162" s="716">
        <f t="shared" si="24"/>
        <v>3.5714285714285716</v>
      </c>
    </row>
    <row r="163" spans="1:8" ht="15.5" x14ac:dyDescent="0.35">
      <c r="A163" s="734" t="s">
        <v>1237</v>
      </c>
      <c r="B163" s="732">
        <f>Sv!H142</f>
        <v>1500</v>
      </c>
      <c r="C163" s="733"/>
      <c r="D163" s="717">
        <f t="shared" si="22"/>
        <v>15</v>
      </c>
      <c r="E163" s="718"/>
      <c r="F163" s="717">
        <f t="shared" si="23"/>
        <v>0.35714285714285715</v>
      </c>
      <c r="G163" s="718"/>
      <c r="H163" s="716">
        <f t="shared" si="24"/>
        <v>11.904761904761905</v>
      </c>
    </row>
    <row r="164" spans="1:8" ht="15.5" x14ac:dyDescent="0.35">
      <c r="A164" s="734" t="s">
        <v>1212</v>
      </c>
      <c r="B164" s="732">
        <f>SUM(Sv!H143:H145)</f>
        <v>1250</v>
      </c>
      <c r="C164" s="733"/>
      <c r="D164" s="717">
        <f t="shared" si="22"/>
        <v>12.5</v>
      </c>
      <c r="E164" s="718"/>
      <c r="F164" s="717">
        <f t="shared" si="23"/>
        <v>0.29761904761904762</v>
      </c>
      <c r="G164" s="718"/>
      <c r="H164" s="716">
        <f t="shared" si="24"/>
        <v>9.9206349206349209</v>
      </c>
    </row>
    <row r="165" spans="1:8" ht="15.5" x14ac:dyDescent="0.35">
      <c r="A165" s="734" t="s">
        <v>1238</v>
      </c>
      <c r="B165" s="732">
        <f>SUM(Sv!H146:H148)</f>
        <v>2247.9045114694268</v>
      </c>
      <c r="C165" s="733"/>
      <c r="D165" s="717">
        <f t="shared" si="22"/>
        <v>22.479045114694269</v>
      </c>
      <c r="E165" s="720"/>
      <c r="F165" s="717">
        <f t="shared" si="23"/>
        <v>0.53521535987367308</v>
      </c>
      <c r="G165" s="720"/>
      <c r="H165" s="716">
        <f t="shared" si="24"/>
        <v>17.8405119957891</v>
      </c>
    </row>
    <row r="166" spans="1:8" ht="15.5" x14ac:dyDescent="0.35">
      <c r="A166" s="734" t="s">
        <v>2076</v>
      </c>
      <c r="B166" s="753">
        <f>SUM(Sv!H149:H155)</f>
        <v>0</v>
      </c>
      <c r="C166" s="699"/>
      <c r="D166" s="717">
        <f t="shared" si="22"/>
        <v>0</v>
      </c>
      <c r="E166" s="753"/>
      <c r="F166" s="717">
        <f t="shared" si="23"/>
        <v>0</v>
      </c>
      <c r="G166" s="753"/>
      <c r="H166" s="716">
        <f t="shared" si="24"/>
        <v>0</v>
      </c>
    </row>
    <row r="167" spans="1:8" ht="15.5" x14ac:dyDescent="0.35">
      <c r="A167" s="734" t="s">
        <v>2029</v>
      </c>
      <c r="B167" s="732">
        <f>SUM(Sv!H156:H158)</f>
        <v>0</v>
      </c>
      <c r="C167" s="733"/>
      <c r="D167" s="719">
        <f>B167/spelt</f>
        <v>0</v>
      </c>
      <c r="E167" s="718"/>
      <c r="F167" s="719">
        <f>B167/($C$97*spelt)</f>
        <v>0</v>
      </c>
      <c r="G167" s="718"/>
      <c r="H167" s="715">
        <f>B167/($E$97*spelt)</f>
        <v>0</v>
      </c>
    </row>
    <row r="168" spans="1:8" ht="15.5" x14ac:dyDescent="0.35">
      <c r="A168" s="734" t="s">
        <v>1532</v>
      </c>
      <c r="B168" s="732">
        <f>SUM(Sv!H159:H163)</f>
        <v>1106.0999999999999</v>
      </c>
      <c r="C168" s="733"/>
      <c r="D168" s="717">
        <f t="shared" si="22"/>
        <v>11.061</v>
      </c>
      <c r="E168" s="720"/>
      <c r="F168" s="717">
        <f t="shared" si="23"/>
        <v>0.26335714285714285</v>
      </c>
      <c r="G168" s="720"/>
      <c r="H168" s="716">
        <f t="shared" si="24"/>
        <v>8.7785714285714285</v>
      </c>
    </row>
    <row r="169" spans="1:8" ht="15.5" x14ac:dyDescent="0.35">
      <c r="A169" s="734" t="s">
        <v>1533</v>
      </c>
      <c r="B169" s="732">
        <f>SUM(Sv!H164:H165)</f>
        <v>0</v>
      </c>
      <c r="C169" s="733"/>
      <c r="D169" s="719">
        <f t="shared" si="22"/>
        <v>0</v>
      </c>
      <c r="E169" s="720"/>
      <c r="F169" s="719">
        <f t="shared" si="23"/>
        <v>0</v>
      </c>
      <c r="G169" s="720"/>
      <c r="H169" s="715">
        <f t="shared" si="24"/>
        <v>0</v>
      </c>
    </row>
    <row r="170" spans="1:8" ht="15.5" x14ac:dyDescent="0.35">
      <c r="A170" s="734" t="s">
        <v>1534</v>
      </c>
      <c r="B170" s="732">
        <f>Sv!H166</f>
        <v>50</v>
      </c>
      <c r="C170" s="733"/>
      <c r="D170" s="717">
        <f t="shared" si="22"/>
        <v>0.5</v>
      </c>
      <c r="E170" s="720"/>
      <c r="F170" s="785">
        <f t="shared" si="23"/>
        <v>1.1904761904761904E-2</v>
      </c>
      <c r="G170" s="720"/>
      <c r="H170" s="716">
        <f t="shared" si="24"/>
        <v>0.3968253968253968</v>
      </c>
    </row>
    <row r="171" spans="1:8" ht="15.5" x14ac:dyDescent="0.35">
      <c r="A171" s="734" t="s">
        <v>1535</v>
      </c>
      <c r="B171" s="732">
        <f>Sv!H167</f>
        <v>125</v>
      </c>
      <c r="C171" s="733"/>
      <c r="D171" s="717">
        <f t="shared" si="22"/>
        <v>1.25</v>
      </c>
      <c r="E171" s="720"/>
      <c r="F171" s="785">
        <f t="shared" si="23"/>
        <v>2.976190476190476E-2</v>
      </c>
      <c r="G171" s="720"/>
      <c r="H171" s="716">
        <f t="shared" si="24"/>
        <v>0.99206349206349209</v>
      </c>
    </row>
    <row r="172" spans="1:8" ht="15.5" x14ac:dyDescent="0.35">
      <c r="A172" s="734" t="s">
        <v>1536</v>
      </c>
      <c r="B172" s="732">
        <f>Sv!H168</f>
        <v>62.5</v>
      </c>
      <c r="C172" s="733"/>
      <c r="D172" s="717">
        <f t="shared" si="22"/>
        <v>0.625</v>
      </c>
      <c r="E172" s="720"/>
      <c r="F172" s="785">
        <f t="shared" si="23"/>
        <v>1.488095238095238E-2</v>
      </c>
      <c r="G172" s="720"/>
      <c r="H172" s="716">
        <f t="shared" si="24"/>
        <v>0.49603174603174605</v>
      </c>
    </row>
    <row r="173" spans="1:8" ht="15.5" x14ac:dyDescent="0.35">
      <c r="A173" s="734" t="s">
        <v>443</v>
      </c>
      <c r="B173" s="732">
        <f>SUM(Sv!H169:H171)</f>
        <v>0</v>
      </c>
      <c r="C173" s="733"/>
      <c r="D173" s="719">
        <f t="shared" si="22"/>
        <v>0</v>
      </c>
      <c r="E173" s="720"/>
      <c r="F173" s="719">
        <f t="shared" si="23"/>
        <v>0</v>
      </c>
      <c r="G173" s="720"/>
      <c r="H173" s="715">
        <f t="shared" si="24"/>
        <v>0</v>
      </c>
    </row>
    <row r="174" spans="1:8" ht="15.5" x14ac:dyDescent="0.35">
      <c r="A174" s="714" t="s">
        <v>69</v>
      </c>
      <c r="B174" s="732">
        <f>Sv!H175</f>
        <v>1113.7064907159652</v>
      </c>
      <c r="C174" s="733"/>
      <c r="D174" s="717">
        <f t="shared" si="22"/>
        <v>11.137064907159651</v>
      </c>
      <c r="E174" s="718"/>
      <c r="F174" s="717">
        <f t="shared" si="23"/>
        <v>0.26516821207522978</v>
      </c>
      <c r="G174" s="718"/>
      <c r="H174" s="716">
        <f t="shared" si="24"/>
        <v>8.8389404025076601</v>
      </c>
    </row>
    <row r="175" spans="1:8" ht="15" x14ac:dyDescent="0.3">
      <c r="A175" s="709" t="s">
        <v>366</v>
      </c>
      <c r="B175" s="735">
        <f>SUM(B118:B174)</f>
        <v>41442.015345464672</v>
      </c>
      <c r="C175" s="736"/>
      <c r="D175" s="737">
        <f>SUM(D118:D174)</f>
        <v>414.42015345464665</v>
      </c>
      <c r="E175" s="737"/>
      <c r="F175" s="737">
        <f>SUM(F118:F174)</f>
        <v>9.8671465108249219</v>
      </c>
      <c r="G175" s="737"/>
      <c r="H175" s="737">
        <f>SUM(H118:H174)</f>
        <v>328.90488369416414</v>
      </c>
    </row>
    <row r="176" spans="1:8" ht="15.5" x14ac:dyDescent="0.35">
      <c r="A176" s="738"/>
      <c r="B176" s="732"/>
      <c r="C176" s="733"/>
      <c r="D176" s="739"/>
      <c r="E176" s="740"/>
      <c r="F176" s="740"/>
      <c r="G176" s="740"/>
      <c r="H176" s="740"/>
    </row>
    <row r="177" spans="1:16" ht="15.5" x14ac:dyDescent="0.35">
      <c r="A177" s="709" t="s">
        <v>367</v>
      </c>
      <c r="B177" s="732"/>
      <c r="C177" s="733"/>
      <c r="D177" s="739"/>
      <c r="E177" s="740"/>
      <c r="F177" s="740"/>
      <c r="G177" s="740"/>
      <c r="H177" s="740"/>
    </row>
    <row r="178" spans="1:16" ht="15.5" x14ac:dyDescent="0.35">
      <c r="A178" s="714" t="s">
        <v>29</v>
      </c>
      <c r="B178" s="732"/>
      <c r="C178" s="733"/>
      <c r="D178" s="733"/>
      <c r="E178" s="757"/>
      <c r="F178" s="716"/>
      <c r="G178" s="757"/>
      <c r="H178" s="716"/>
      <c r="J178" s="890" t="s">
        <v>29</v>
      </c>
    </row>
    <row r="179" spans="1:16" ht="15.5" x14ac:dyDescent="0.35">
      <c r="A179" s="734" t="s">
        <v>1240</v>
      </c>
      <c r="B179" s="732">
        <f>SUM(Sf!H8:H24)</f>
        <v>2745.5344913680719</v>
      </c>
      <c r="C179" s="733"/>
      <c r="D179" s="717">
        <f t="shared" ref="D179:D192" si="25">B179/spelt</f>
        <v>27.455344913680719</v>
      </c>
      <c r="E179" s="718"/>
      <c r="F179" s="717">
        <f t="shared" ref="F179:F192" si="26">B179/($C$97*spelt)</f>
        <v>0.65369868842096956</v>
      </c>
      <c r="G179" s="718"/>
      <c r="H179" s="716">
        <f t="shared" ref="H179:H192" si="27">B179/($E$97*spelt)</f>
        <v>21.789956280698984</v>
      </c>
      <c r="J179" s="697" t="s">
        <v>76</v>
      </c>
      <c r="K179" s="697"/>
      <c r="L179" s="697" t="s">
        <v>77</v>
      </c>
      <c r="M179" s="698"/>
      <c r="N179" s="697" t="s">
        <v>1554</v>
      </c>
      <c r="O179" s="698"/>
      <c r="P179" s="697" t="s">
        <v>385</v>
      </c>
    </row>
    <row r="180" spans="1:16" ht="15.5" x14ac:dyDescent="0.35">
      <c r="A180" s="734" t="s">
        <v>1241</v>
      </c>
      <c r="B180" s="732">
        <f>SUM(Sf!H25:H33)</f>
        <v>918.10111135542957</v>
      </c>
      <c r="C180" s="733"/>
      <c r="D180" s="717">
        <f t="shared" si="25"/>
        <v>9.1810111135542964</v>
      </c>
      <c r="E180" s="718"/>
      <c r="F180" s="717">
        <f t="shared" si="26"/>
        <v>0.2185955027036737</v>
      </c>
      <c r="G180" s="718"/>
      <c r="H180" s="716">
        <f t="shared" si="27"/>
        <v>7.2865167567891236</v>
      </c>
      <c r="J180" s="763">
        <f>SUM(B179:B191)</f>
        <v>10949.637435354893</v>
      </c>
      <c r="L180" s="756">
        <f>SUM(D179:D191)</f>
        <v>109.49637435354893</v>
      </c>
      <c r="N180" s="756">
        <f>SUM(F179:F191)</f>
        <v>2.6070565322273551</v>
      </c>
      <c r="P180" s="756">
        <f>SUM(H179:H191)</f>
        <v>86.901884407578507</v>
      </c>
    </row>
    <row r="181" spans="1:16" ht="15.5" x14ac:dyDescent="0.35">
      <c r="A181" s="734" t="s">
        <v>1243</v>
      </c>
      <c r="B181" s="732">
        <f>SUM(Sf!H34:H50)</f>
        <v>956.16275840268929</v>
      </c>
      <c r="C181" s="733"/>
      <c r="D181" s="717">
        <f t="shared" si="25"/>
        <v>9.5616275840268923</v>
      </c>
      <c r="E181" s="718"/>
      <c r="F181" s="717">
        <f t="shared" si="26"/>
        <v>0.22765779961968793</v>
      </c>
      <c r="G181" s="718"/>
      <c r="H181" s="716">
        <f t="shared" si="27"/>
        <v>7.5885933206562646</v>
      </c>
    </row>
    <row r="182" spans="1:16" ht="15.5" x14ac:dyDescent="0.35">
      <c r="A182" s="734" t="s">
        <v>1242</v>
      </c>
      <c r="B182" s="732">
        <f>SUM(Sf!H51:H62)</f>
        <v>506.65892247806238</v>
      </c>
      <c r="C182" s="733"/>
      <c r="D182" s="717">
        <f t="shared" si="25"/>
        <v>5.0665892247806239</v>
      </c>
      <c r="E182" s="718"/>
      <c r="F182" s="717">
        <f t="shared" si="26"/>
        <v>0.12063307678049104</v>
      </c>
      <c r="G182" s="718"/>
      <c r="H182" s="716">
        <f t="shared" si="27"/>
        <v>4.0211025593497016</v>
      </c>
    </row>
    <row r="183" spans="1:16" ht="15.5" x14ac:dyDescent="0.35">
      <c r="A183" s="734" t="s">
        <v>1244</v>
      </c>
      <c r="B183" s="732">
        <f>SUM(Sf!H63:H67)</f>
        <v>0</v>
      </c>
      <c r="C183" s="733"/>
      <c r="D183" s="719">
        <f t="shared" si="25"/>
        <v>0</v>
      </c>
      <c r="E183" s="720"/>
      <c r="F183" s="719">
        <f t="shared" si="26"/>
        <v>0</v>
      </c>
      <c r="G183" s="720"/>
      <c r="H183" s="715">
        <f t="shared" si="27"/>
        <v>0</v>
      </c>
    </row>
    <row r="184" spans="1:16" ht="15.5" x14ac:dyDescent="0.35">
      <c r="A184" s="734" t="s">
        <v>1245</v>
      </c>
      <c r="B184" s="732">
        <f>0</f>
        <v>0</v>
      </c>
      <c r="C184" s="733"/>
      <c r="D184" s="719">
        <f t="shared" si="25"/>
        <v>0</v>
      </c>
      <c r="E184" s="720"/>
      <c r="F184" s="719">
        <f t="shared" si="26"/>
        <v>0</v>
      </c>
      <c r="G184" s="720"/>
      <c r="H184" s="715">
        <f t="shared" si="27"/>
        <v>0</v>
      </c>
    </row>
    <row r="185" spans="1:16" ht="15.5" x14ac:dyDescent="0.35">
      <c r="A185" s="734" t="s">
        <v>1246</v>
      </c>
      <c r="B185" s="732">
        <f>SUM(Sf!H68:H78)</f>
        <v>2363.4576923323089</v>
      </c>
      <c r="C185" s="733"/>
      <c r="D185" s="717">
        <f t="shared" si="25"/>
        <v>23.634576923323088</v>
      </c>
      <c r="E185" s="718"/>
      <c r="F185" s="717">
        <f t="shared" si="26"/>
        <v>0.56272802198388305</v>
      </c>
      <c r="G185" s="718"/>
      <c r="H185" s="716">
        <f t="shared" si="27"/>
        <v>18.757600732796103</v>
      </c>
    </row>
    <row r="186" spans="1:16" ht="15.5" x14ac:dyDescent="0.35">
      <c r="A186" s="734" t="s">
        <v>1247</v>
      </c>
      <c r="B186" s="732">
        <f>SUM(Sf!H79:H86)</f>
        <v>57.076555851157757</v>
      </c>
      <c r="C186" s="733"/>
      <c r="D186" s="717">
        <f t="shared" si="25"/>
        <v>0.57076555851157762</v>
      </c>
      <c r="E186" s="718"/>
      <c r="F186" s="785">
        <f t="shared" si="26"/>
        <v>1.3589656155037561E-2</v>
      </c>
      <c r="G186" s="718"/>
      <c r="H186" s="716">
        <f t="shared" si="27"/>
        <v>0.45298853850125204</v>
      </c>
    </row>
    <row r="187" spans="1:16" ht="15.5" x14ac:dyDescent="0.35">
      <c r="A187" s="734" t="s">
        <v>2148</v>
      </c>
      <c r="B187" s="732">
        <f>SUM(Sf!H87:H91)</f>
        <v>453.0535523709259</v>
      </c>
      <c r="C187" s="733"/>
      <c r="D187" s="717">
        <f t="shared" ref="D187" si="28">B187/spelt</f>
        <v>4.5305355237092586</v>
      </c>
      <c r="E187" s="718"/>
      <c r="F187" s="717">
        <f t="shared" ref="F187" si="29">B187/($C$97*spelt)</f>
        <v>0.10786989342164903</v>
      </c>
      <c r="G187" s="718"/>
      <c r="H187" s="716">
        <f t="shared" ref="H187" si="30">B187/($E$97*spelt)</f>
        <v>3.5956631140549673</v>
      </c>
    </row>
    <row r="188" spans="1:16" ht="15.5" x14ac:dyDescent="0.35">
      <c r="A188" s="734" t="s">
        <v>1250</v>
      </c>
      <c r="B188" s="732">
        <f>SUM(Sf!H92:H103)</f>
        <v>930.99389571896336</v>
      </c>
      <c r="C188" s="733"/>
      <c r="D188" s="717">
        <f t="shared" si="25"/>
        <v>9.3099389571896332</v>
      </c>
      <c r="E188" s="718"/>
      <c r="F188" s="717">
        <f t="shared" si="26"/>
        <v>0.22166521326641986</v>
      </c>
      <c r="G188" s="718"/>
      <c r="H188" s="716">
        <f t="shared" si="27"/>
        <v>7.3888404422139953</v>
      </c>
    </row>
    <row r="189" spans="1:16" ht="15.5" x14ac:dyDescent="0.35">
      <c r="A189" s="734" t="s">
        <v>1304</v>
      </c>
      <c r="B189" s="732">
        <f>0</f>
        <v>0</v>
      </c>
      <c r="C189" s="733"/>
      <c r="D189" s="719">
        <f t="shared" si="25"/>
        <v>0</v>
      </c>
      <c r="E189" s="720"/>
      <c r="F189" s="719">
        <f t="shared" si="26"/>
        <v>0</v>
      </c>
      <c r="G189" s="720"/>
      <c r="H189" s="715">
        <f t="shared" si="27"/>
        <v>0</v>
      </c>
    </row>
    <row r="190" spans="1:16" ht="15.5" x14ac:dyDescent="0.35">
      <c r="A190" s="734" t="s">
        <v>1248</v>
      </c>
      <c r="B190" s="732">
        <f>SUM(Sf!H105:H108)</f>
        <v>1350</v>
      </c>
      <c r="C190" s="733"/>
      <c r="D190" s="717">
        <f t="shared" si="25"/>
        <v>13.5</v>
      </c>
      <c r="E190" s="718"/>
      <c r="F190" s="717">
        <f t="shared" si="26"/>
        <v>0.32142857142857145</v>
      </c>
      <c r="G190" s="718"/>
      <c r="H190" s="716">
        <f t="shared" si="27"/>
        <v>10.714285714285714</v>
      </c>
    </row>
    <row r="191" spans="1:16" ht="15.5" x14ac:dyDescent="0.35">
      <c r="A191" s="734" t="s">
        <v>1249</v>
      </c>
      <c r="B191" s="732">
        <f>SUM(Sf!H109:H113)</f>
        <v>668.59845547728332</v>
      </c>
      <c r="C191" s="733"/>
      <c r="D191" s="717">
        <f t="shared" si="25"/>
        <v>6.6859845547728334</v>
      </c>
      <c r="E191" s="718"/>
      <c r="F191" s="717">
        <f t="shared" si="26"/>
        <v>0.15919010844697221</v>
      </c>
      <c r="G191" s="718"/>
      <c r="H191" s="716">
        <f t="shared" si="27"/>
        <v>5.3063369482324072</v>
      </c>
    </row>
    <row r="192" spans="1:16" ht="15.5" x14ac:dyDescent="0.35">
      <c r="A192" s="714" t="s">
        <v>79</v>
      </c>
      <c r="B192" s="732">
        <f>Sf!L121</f>
        <v>2634.2715617159656</v>
      </c>
      <c r="C192" s="733"/>
      <c r="D192" s="717">
        <f t="shared" si="25"/>
        <v>26.342715617159655</v>
      </c>
      <c r="E192" s="718"/>
      <c r="F192" s="717">
        <f t="shared" si="26"/>
        <v>0.62720751469427749</v>
      </c>
      <c r="G192" s="718"/>
      <c r="H192" s="716">
        <f t="shared" si="27"/>
        <v>20.906917156475917</v>
      </c>
    </row>
    <row r="193" spans="1:8" ht="15" x14ac:dyDescent="0.3">
      <c r="A193" s="709" t="s">
        <v>368</v>
      </c>
      <c r="B193" s="735">
        <f>SUM(B178:B192)</f>
        <v>13583.908997070859</v>
      </c>
      <c r="C193" s="736"/>
      <c r="D193" s="737">
        <f>SUM(D178:D192)</f>
        <v>135.83908997070859</v>
      </c>
      <c r="E193" s="737"/>
      <c r="F193" s="737">
        <f>SUM(F178:F192)</f>
        <v>3.2342640469216324</v>
      </c>
      <c r="G193" s="737"/>
      <c r="H193" s="737">
        <f>SUM(H178:H192)</f>
        <v>107.80880156405442</v>
      </c>
    </row>
    <row r="194" spans="1:8" ht="15.5" x14ac:dyDescent="0.35">
      <c r="A194" s="699"/>
      <c r="B194" s="735"/>
      <c r="C194" s="736"/>
      <c r="D194" s="737"/>
      <c r="E194" s="741"/>
      <c r="F194" s="741"/>
      <c r="G194" s="741"/>
      <c r="H194" s="741"/>
    </row>
    <row r="195" spans="1:8" ht="15" x14ac:dyDescent="0.3">
      <c r="A195" s="709" t="s">
        <v>80</v>
      </c>
      <c r="B195" s="735">
        <f>B193+B175</f>
        <v>55025.924342535531</v>
      </c>
      <c r="C195" s="736"/>
      <c r="D195" s="737">
        <f>D193+D175</f>
        <v>550.25924342535518</v>
      </c>
      <c r="E195" s="737"/>
      <c r="F195" s="737">
        <f>F193+F175</f>
        <v>13.101410557746554</v>
      </c>
      <c r="G195" s="737"/>
      <c r="H195" s="737">
        <f>H193+H175</f>
        <v>436.71368525821856</v>
      </c>
    </row>
    <row r="196" spans="1:8" ht="15.5" x14ac:dyDescent="0.35">
      <c r="A196" s="742"/>
      <c r="B196" s="735"/>
      <c r="C196" s="736"/>
      <c r="D196" s="737"/>
      <c r="E196" s="737"/>
      <c r="F196" s="737"/>
      <c r="G196" s="737"/>
      <c r="H196" s="737"/>
    </row>
    <row r="197" spans="1:8" ht="15" x14ac:dyDescent="0.3">
      <c r="A197" s="709" t="s">
        <v>355</v>
      </c>
      <c r="B197" s="710">
        <f>B113-B195</f>
        <v>45774.075657464469</v>
      </c>
      <c r="C197" s="736"/>
      <c r="D197" s="712">
        <f>D113-D195</f>
        <v>457.74075657464482</v>
      </c>
      <c r="E197" s="737"/>
      <c r="F197" s="712">
        <f>F113-F195</f>
        <v>10.898589442253446</v>
      </c>
      <c r="G197" s="737"/>
      <c r="H197" s="712">
        <f>H113-H195</f>
        <v>363.28631474178144</v>
      </c>
    </row>
    <row r="198" spans="1:8" ht="15" x14ac:dyDescent="0.3">
      <c r="A198" s="709" t="s">
        <v>356</v>
      </c>
      <c r="B198" s="735">
        <f>B113-B175</f>
        <v>59357.984654535328</v>
      </c>
      <c r="C198" s="736"/>
      <c r="D198" s="737">
        <f>D113-D175</f>
        <v>593.57984654535335</v>
      </c>
      <c r="E198" s="737"/>
      <c r="F198" s="737">
        <f>F113-F175</f>
        <v>14.132853489175078</v>
      </c>
      <c r="G198" s="737"/>
      <c r="H198" s="737">
        <f>H113-H175</f>
        <v>471.09511630583586</v>
      </c>
    </row>
    <row r="199" spans="1:8" ht="15.5" x14ac:dyDescent="0.35">
      <c r="A199" s="699"/>
      <c r="B199" s="743"/>
      <c r="C199" s="743"/>
      <c r="D199" s="702"/>
      <c r="E199" s="703"/>
      <c r="F199" s="703"/>
      <c r="G199" s="703"/>
      <c r="H199" s="703"/>
    </row>
    <row r="200" spans="1:8" ht="15.5" x14ac:dyDescent="0.35">
      <c r="A200" s="709" t="s">
        <v>234</v>
      </c>
      <c r="B200" s="743"/>
      <c r="C200" s="743"/>
      <c r="D200" s="702"/>
      <c r="E200" s="703"/>
      <c r="F200" s="703"/>
      <c r="G200" s="703"/>
      <c r="H200" s="703"/>
    </row>
    <row r="201" spans="1:8" ht="15.5" x14ac:dyDescent="0.35">
      <c r="A201" s="744" t="s">
        <v>369</v>
      </c>
      <c r="B201" s="703" t="s">
        <v>76</v>
      </c>
      <c r="C201" s="743"/>
      <c r="D201" s="703" t="s">
        <v>393</v>
      </c>
      <c r="E201" s="703"/>
      <c r="F201" s="703" t="s">
        <v>1556</v>
      </c>
      <c r="G201" s="703"/>
      <c r="H201" s="703" t="s">
        <v>396</v>
      </c>
    </row>
    <row r="202" spans="1:8" ht="15.5" x14ac:dyDescent="0.35">
      <c r="A202" s="714" t="s">
        <v>370</v>
      </c>
      <c r="B202" s="745">
        <f>B195</f>
        <v>55025.924342535531</v>
      </c>
      <c r="C202" s="743"/>
      <c r="D202" s="717">
        <f>$B$195/spelt</f>
        <v>550.25924342535529</v>
      </c>
      <c r="E202" s="718"/>
      <c r="F202" s="717">
        <f>$B$195/($C$97*spelt)</f>
        <v>13.101410557746554</v>
      </c>
      <c r="G202" s="718"/>
      <c r="H202" s="717">
        <f>$B$195/($E$97*spelt)</f>
        <v>436.7136852582185</v>
      </c>
    </row>
    <row r="203" spans="1:8" ht="15.5" x14ac:dyDescent="0.35">
      <c r="A203" s="714" t="s">
        <v>371</v>
      </c>
      <c r="B203" s="745">
        <f>B175</f>
        <v>41442.015345464672</v>
      </c>
      <c r="C203" s="743"/>
      <c r="D203" s="717">
        <f>$B$175/spelt</f>
        <v>414.42015345464671</v>
      </c>
      <c r="E203" s="718"/>
      <c r="F203" s="717">
        <f>$B$175/($C$97*spelt)</f>
        <v>9.8671465108249219</v>
      </c>
      <c r="G203" s="718"/>
      <c r="H203" s="717">
        <f>$B$175/($E$97*spelt)</f>
        <v>328.90488369416408</v>
      </c>
    </row>
    <row r="204" spans="1:8" ht="15.5" x14ac:dyDescent="0.35">
      <c r="A204" s="714"/>
      <c r="B204" s="743"/>
      <c r="C204" s="743"/>
      <c r="D204" s="717"/>
      <c r="E204" s="718"/>
      <c r="F204" s="717"/>
      <c r="G204" s="718"/>
      <c r="H204" s="717"/>
    </row>
    <row r="205" spans="1:8" ht="15.5" x14ac:dyDescent="0.35">
      <c r="A205" s="744" t="s">
        <v>1099</v>
      </c>
      <c r="B205" s="703" t="s">
        <v>1100</v>
      </c>
      <c r="C205" s="743"/>
      <c r="D205" s="703" t="s">
        <v>1995</v>
      </c>
      <c r="E205" s="752"/>
      <c r="F205" s="717"/>
      <c r="G205" s="718"/>
      <c r="H205" s="717"/>
    </row>
    <row r="206" spans="1:8" ht="15.5" x14ac:dyDescent="0.35">
      <c r="A206" s="714" t="s">
        <v>1101</v>
      </c>
      <c r="B206" s="746">
        <f>B197/SUM(Sv!E25:E76)</f>
        <v>11.802847336353036</v>
      </c>
      <c r="C206" s="743"/>
      <c r="D206" s="1226">
        <f>SUM(Sv!E25:E76)</f>
        <v>3878.2231399773582</v>
      </c>
      <c r="E206" s="1225" t="s">
        <v>1996</v>
      </c>
      <c r="F206" s="717"/>
      <c r="G206" s="718"/>
      <c r="H206" s="717"/>
    </row>
    <row r="207" spans="1:8" ht="15.5" x14ac:dyDescent="0.35">
      <c r="A207" s="714" t="s">
        <v>1102</v>
      </c>
      <c r="B207" s="746">
        <f>B198/SUM(Sv!E25:E76)</f>
        <v>15.305458843423299</v>
      </c>
      <c r="C207" s="743"/>
      <c r="D207" s="717"/>
      <c r="E207" s="718"/>
      <c r="F207" s="717"/>
      <c r="G207" s="718"/>
      <c r="H207" s="717"/>
    </row>
    <row r="208" spans="1:8" ht="15.5" x14ac:dyDescent="0.35">
      <c r="A208" s="747"/>
      <c r="B208" s="748"/>
      <c r="C208" s="748"/>
      <c r="D208" s="749"/>
      <c r="E208" s="750"/>
      <c r="F208" s="750"/>
      <c r="G208" s="750"/>
      <c r="H208" s="750"/>
    </row>
    <row r="209" spans="4:8" x14ac:dyDescent="0.3">
      <c r="D209" s="59"/>
      <c r="E209" s="55"/>
      <c r="F209" s="55"/>
      <c r="G209" s="55"/>
      <c r="H209" s="55"/>
    </row>
  </sheetData>
  <pageMargins left="0.7" right="0.7" top="0.75" bottom="0.75" header="0.3" footer="0.3"/>
  <pageSetup scale="56" orientation="portrait" r:id="rId1"/>
  <rowBreaks count="2" manualBreakCount="2">
    <brk id="90" max="16383" man="1"/>
    <brk id="155" max="16383" man="1"/>
  </rowBreaks>
  <colBreaks count="1" manualBreakCount="1">
    <brk id="8"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9"/>
  <sheetViews>
    <sheetView topLeftCell="A175" zoomScaleNormal="100" workbookViewId="0">
      <selection activeCell="A148" sqref="A148"/>
    </sheetView>
  </sheetViews>
  <sheetFormatPr defaultColWidth="9.08984375" defaultRowHeight="13" x14ac:dyDescent="0.3"/>
  <cols>
    <col min="1" max="1" width="41.63281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1148</v>
      </c>
      <c r="B3" s="55" t="s">
        <v>92</v>
      </c>
      <c r="C3" s="54">
        <f>triticale</f>
        <v>0</v>
      </c>
      <c r="D3" s="17" t="s">
        <v>93</v>
      </c>
    </row>
    <row r="4" spans="1:8" x14ac:dyDescent="0.3">
      <c r="A4" s="7"/>
      <c r="B4" s="55" t="s">
        <v>750</v>
      </c>
      <c r="C4" s="54">
        <f>(triticale*Data!F34)*Data!$B$34*Data!$C$34</f>
        <v>0</v>
      </c>
      <c r="D4" s="17" t="s">
        <v>93</v>
      </c>
    </row>
    <row r="5" spans="1:8" x14ac:dyDescent="0.3">
      <c r="A5" s="7"/>
      <c r="B5" s="55" t="s">
        <v>751</v>
      </c>
      <c r="C5" s="54">
        <f>(triticale*Data!G34)*Data!$B$34*Data!$D$34</f>
        <v>0</v>
      </c>
      <c r="D5" s="17" t="s">
        <v>93</v>
      </c>
    </row>
    <row r="6" spans="1:8" x14ac:dyDescent="0.3">
      <c r="A6" s="8"/>
      <c r="B6" s="55" t="s">
        <v>727</v>
      </c>
      <c r="C6" s="54">
        <f>Data!B220</f>
        <v>0</v>
      </c>
      <c r="D6" s="17" t="s">
        <v>1567</v>
      </c>
      <c r="E6" s="1190">
        <f>(C6*Data!$K$63)/2000</f>
        <v>0</v>
      </c>
      <c r="F6" s="17" t="s">
        <v>235</v>
      </c>
      <c r="G6" s="54"/>
    </row>
    <row r="7" spans="1:8" x14ac:dyDescent="0.3">
      <c r="B7" s="55" t="s">
        <v>728</v>
      </c>
      <c r="C7" s="106">
        <f>IF(FARM!$F$20&gt;0,Data!$B$215,Data!$B$216)</f>
        <v>16.8</v>
      </c>
      <c r="D7" s="17" t="s">
        <v>1566</v>
      </c>
      <c r="E7" s="153">
        <f>Data!$K$63</f>
        <v>56</v>
      </c>
      <c r="F7" s="17" t="s">
        <v>1560</v>
      </c>
      <c r="G7" s="153"/>
    </row>
    <row r="8" spans="1:8" x14ac:dyDescent="0.3">
      <c r="B8" s="55" t="s">
        <v>729</v>
      </c>
      <c r="C8" s="157">
        <f>Data!E220</f>
        <v>0</v>
      </c>
      <c r="D8" s="17" t="s">
        <v>731</v>
      </c>
      <c r="E8" s="157">
        <f>Data!H220</f>
        <v>0</v>
      </c>
      <c r="F8" s="17" t="s">
        <v>732</v>
      </c>
      <c r="G8" s="54"/>
    </row>
    <row r="9" spans="1:8" x14ac:dyDescent="0.3">
      <c r="B9" s="55" t="s">
        <v>730</v>
      </c>
      <c r="C9" s="116">
        <f>IF(Straw!$D$14&gt;0,Straw!$D$14,Data!$E$217)</f>
        <v>40</v>
      </c>
      <c r="D9" s="17" t="s">
        <v>733</v>
      </c>
      <c r="E9" s="217">
        <f>IF(Straw!$F$14&gt;0,Straw!$F$14,Data!$H$217)</f>
        <v>5.0833333333333304</v>
      </c>
      <c r="F9" s="17" t="s">
        <v>734</v>
      </c>
      <c r="G9" s="217"/>
    </row>
    <row r="10" spans="1:8" x14ac:dyDescent="0.3">
      <c r="B10" s="55"/>
      <c r="C10" s="54"/>
      <c r="D10" s="17"/>
    </row>
    <row r="11" spans="1:8" ht="15.5" x14ac:dyDescent="0.35">
      <c r="A11" s="751" t="s">
        <v>1148</v>
      </c>
      <c r="B11" s="697" t="s">
        <v>76</v>
      </c>
      <c r="C11" s="697"/>
      <c r="D11" s="697" t="s">
        <v>77</v>
      </c>
      <c r="E11" s="698"/>
      <c r="F11" s="697" t="s">
        <v>1554</v>
      </c>
      <c r="G11" s="698"/>
      <c r="H11" s="697" t="s">
        <v>385</v>
      </c>
    </row>
    <row r="12" spans="1:8" ht="15.65" customHeight="1" x14ac:dyDescent="0.35">
      <c r="A12" s="699" t="s">
        <v>362</v>
      </c>
      <c r="B12" s="700">
        <f>C3</f>
        <v>0</v>
      </c>
      <c r="C12" s="701"/>
      <c r="D12" s="702" t="s">
        <v>363</v>
      </c>
      <c r="E12" s="703"/>
      <c r="F12" s="702" t="s">
        <v>363</v>
      </c>
      <c r="G12" s="703"/>
      <c r="H12" s="702" t="s">
        <v>363</v>
      </c>
    </row>
    <row r="13" spans="1:8" ht="15.65" customHeight="1" x14ac:dyDescent="0.35">
      <c r="A13" s="699" t="s">
        <v>1859</v>
      </c>
      <c r="B13" s="702" t="s">
        <v>363</v>
      </c>
      <c r="C13" s="701"/>
      <c r="D13" s="702" t="s">
        <v>363</v>
      </c>
      <c r="E13" s="703"/>
      <c r="F13" s="702" t="s">
        <v>363</v>
      </c>
      <c r="G13" s="703"/>
      <c r="H13" s="888">
        <f>2000/Data!$K$63</f>
        <v>35.714285714285715</v>
      </c>
    </row>
    <row r="14" spans="1:8" ht="15.65" customHeight="1" x14ac:dyDescent="0.35">
      <c r="A14" s="699" t="s">
        <v>1564</v>
      </c>
      <c r="B14" s="700">
        <f>$C$3*C6</f>
        <v>0</v>
      </c>
      <c r="C14" s="701"/>
      <c r="D14" s="700">
        <f>C6</f>
        <v>0</v>
      </c>
      <c r="E14" s="703"/>
      <c r="F14" s="702" t="s">
        <v>363</v>
      </c>
      <c r="G14" s="703"/>
      <c r="H14" s="702" t="s">
        <v>363</v>
      </c>
    </row>
    <row r="15" spans="1:8" ht="15.65" customHeight="1" x14ac:dyDescent="0.35">
      <c r="A15" s="699" t="s">
        <v>1860</v>
      </c>
      <c r="B15" s="700">
        <f>$C$3*E6</f>
        <v>0</v>
      </c>
      <c r="C15" s="701"/>
      <c r="D15" s="1191">
        <f>E6</f>
        <v>0</v>
      </c>
      <c r="E15" s="703"/>
      <c r="F15" s="702" t="s">
        <v>363</v>
      </c>
      <c r="G15" s="703"/>
      <c r="H15" s="702" t="s">
        <v>363</v>
      </c>
    </row>
    <row r="16" spans="1:8" ht="15.65" customHeight="1" x14ac:dyDescent="0.35">
      <c r="A16" s="699" t="str">
        <f>IF(Data!B217=1,"Triticale Price ($/unit) - Food Grade","Triticale Price ($/unit) - Feed Grade")</f>
        <v>Triticale Price ($/unit) - Food Grade</v>
      </c>
      <c r="B16" s="702" t="s">
        <v>363</v>
      </c>
      <c r="C16" s="701"/>
      <c r="D16" s="702" t="s">
        <v>363</v>
      </c>
      <c r="E16" s="703"/>
      <c r="F16" s="704">
        <f>C7</f>
        <v>16.8</v>
      </c>
      <c r="G16" s="703"/>
      <c r="H16" s="840">
        <f>F16*H13</f>
        <v>600</v>
      </c>
    </row>
    <row r="17" spans="1:8" ht="15" customHeight="1" x14ac:dyDescent="0.35">
      <c r="A17" s="699" t="s">
        <v>2032</v>
      </c>
      <c r="B17" s="700">
        <f>C8*C4</f>
        <v>0</v>
      </c>
      <c r="C17" s="701"/>
      <c r="D17" s="841">
        <f>C8</f>
        <v>0</v>
      </c>
      <c r="E17" s="703"/>
      <c r="F17" s="842" t="e">
        <f>C8/($C$6*$C$3)</f>
        <v>#DIV/0!</v>
      </c>
      <c r="G17" s="703"/>
      <c r="H17" s="842" t="e">
        <f>C8/($E$6*$C$3)</f>
        <v>#DIV/0!</v>
      </c>
    </row>
    <row r="18" spans="1:8" ht="15" customHeight="1" x14ac:dyDescent="0.35">
      <c r="A18" s="699" t="s">
        <v>2034</v>
      </c>
      <c r="B18" s="705">
        <f>C9</f>
        <v>40</v>
      </c>
      <c r="C18" s="701"/>
      <c r="D18" s="705">
        <f>C9*C8</f>
        <v>0</v>
      </c>
      <c r="E18" s="703"/>
      <c r="F18" s="840" t="e">
        <f>D18/$C$6</f>
        <v>#DIV/0!</v>
      </c>
      <c r="G18" s="703"/>
      <c r="H18" s="840" t="e">
        <f>D18/$E$6</f>
        <v>#DIV/0!</v>
      </c>
    </row>
    <row r="19" spans="1:8" ht="15" customHeight="1" x14ac:dyDescent="0.35">
      <c r="A19" s="699" t="s">
        <v>2031</v>
      </c>
      <c r="B19" s="700">
        <f>E8*C5</f>
        <v>0</v>
      </c>
      <c r="C19" s="701"/>
      <c r="D19" s="841">
        <f>E8</f>
        <v>0</v>
      </c>
      <c r="E19" s="703"/>
      <c r="F19" s="842" t="e">
        <f>E8/(C6*C3)</f>
        <v>#DIV/0!</v>
      </c>
      <c r="G19" s="703"/>
      <c r="H19" s="842" t="e">
        <f>E8/(E6*C3)</f>
        <v>#DIV/0!</v>
      </c>
    </row>
    <row r="20" spans="1:8" ht="15" customHeight="1" x14ac:dyDescent="0.35">
      <c r="A20" s="699" t="s">
        <v>2033</v>
      </c>
      <c r="B20" s="840">
        <f>E9</f>
        <v>5.0833333333333304</v>
      </c>
      <c r="C20" s="701"/>
      <c r="D20" s="705">
        <f>E9*E8</f>
        <v>0</v>
      </c>
      <c r="E20" s="703"/>
      <c r="F20" s="840" t="e">
        <f>D20/C6</f>
        <v>#DIV/0!</v>
      </c>
      <c r="G20" s="703"/>
      <c r="H20" s="840" t="e">
        <f>D20/E6</f>
        <v>#DIV/0!</v>
      </c>
    </row>
    <row r="21" spans="1:8" ht="15.65" customHeight="1" x14ac:dyDescent="0.35">
      <c r="A21" s="699"/>
      <c r="B21" s="706"/>
      <c r="C21" s="706"/>
      <c r="D21" s="707"/>
      <c r="E21" s="708"/>
      <c r="F21" s="707"/>
      <c r="G21" s="708"/>
      <c r="H21" s="707"/>
    </row>
    <row r="22" spans="1:8" ht="15" x14ac:dyDescent="0.3">
      <c r="A22" s="709" t="s">
        <v>230</v>
      </c>
      <c r="B22" s="710">
        <f>(C6*C7*triticale)+(C8*C9*C4)+(E8*E9*C5)</f>
        <v>0</v>
      </c>
      <c r="C22" s="711"/>
      <c r="D22" s="712" t="e">
        <f>B22/triticale</f>
        <v>#DIV/0!</v>
      </c>
      <c r="E22" s="713"/>
      <c r="F22" s="712" t="e">
        <f>B22/($C$6*triticale)</f>
        <v>#DIV/0!</v>
      </c>
      <c r="G22" s="713"/>
      <c r="H22" s="711" t="e">
        <f>B22/($E$6*triticale)</f>
        <v>#DIV/0!</v>
      </c>
    </row>
    <row r="23" spans="1:8" ht="15.5" x14ac:dyDescent="0.35">
      <c r="A23" s="714" t="s">
        <v>1235</v>
      </c>
      <c r="B23" s="715">
        <f>(C6*C7*triticale)</f>
        <v>0</v>
      </c>
      <c r="C23" s="716"/>
      <c r="D23" s="717" t="e">
        <f>B23/triticale</f>
        <v>#DIV/0!</v>
      </c>
      <c r="E23" s="718"/>
      <c r="F23" s="717" t="e">
        <f>B23/($C$6*triticale)</f>
        <v>#DIV/0!</v>
      </c>
      <c r="G23" s="718"/>
      <c r="H23" s="716" t="e">
        <f>B23/($E$6*triticale)</f>
        <v>#DIV/0!</v>
      </c>
    </row>
    <row r="24" spans="1:8" ht="15.5" x14ac:dyDescent="0.35">
      <c r="A24" s="714" t="s">
        <v>1236</v>
      </c>
      <c r="B24" s="715">
        <f>(C8*C9*C4)+(E8*E9*C5)</f>
        <v>0</v>
      </c>
      <c r="C24" s="716"/>
      <c r="D24" s="719" t="e">
        <f>B24/triticale</f>
        <v>#DIV/0!</v>
      </c>
      <c r="E24" s="720"/>
      <c r="F24" s="719" t="e">
        <f>B24/($C$6*triticale)</f>
        <v>#DIV/0!</v>
      </c>
      <c r="G24" s="720"/>
      <c r="H24" s="715" t="e">
        <f>B24/($E$6*triticale)</f>
        <v>#DIV/0!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SUM(Tv!H8:H11)</f>
        <v>0</v>
      </c>
      <c r="C27" s="716"/>
      <c r="D27" s="717" t="e">
        <f>B27/triticale</f>
        <v>#DIV/0!</v>
      </c>
      <c r="E27" s="718"/>
      <c r="F27" s="717" t="e">
        <f>B27/($C$6*triticale)</f>
        <v>#DIV/0!</v>
      </c>
      <c r="G27" s="718"/>
      <c r="H27" s="716" t="e">
        <f>B27/($E$6*triticale)</f>
        <v>#DIV/0!</v>
      </c>
    </row>
    <row r="28" spans="1:8" ht="15.5" x14ac:dyDescent="0.35">
      <c r="A28" s="714" t="s">
        <v>1287</v>
      </c>
      <c r="B28" s="715">
        <f>SUM(Tv!H13:H17)</f>
        <v>0</v>
      </c>
      <c r="C28" s="716"/>
      <c r="D28" s="717" t="e">
        <f>B28/triticale</f>
        <v>#DIV/0!</v>
      </c>
      <c r="E28" s="718"/>
      <c r="F28" s="717" t="e">
        <f>B28/($C$6*triticale)</f>
        <v>#DIV/0!</v>
      </c>
      <c r="G28" s="718"/>
      <c r="H28" s="716" t="e">
        <f>B28/($E$6*triticale)</f>
        <v>#DIV/0!</v>
      </c>
    </row>
    <row r="29" spans="1:8" ht="15.5" x14ac:dyDescent="0.35">
      <c r="A29" s="714" t="s">
        <v>2</v>
      </c>
      <c r="B29" s="715">
        <f>Tv!H19</f>
        <v>0</v>
      </c>
      <c r="C29" s="716"/>
      <c r="D29" s="719" t="e">
        <f>B29/triticale</f>
        <v>#DIV/0!</v>
      </c>
      <c r="E29" s="720"/>
      <c r="F29" s="719" t="e">
        <f>B29/($C$6*triticale)</f>
        <v>#DIV/0!</v>
      </c>
      <c r="G29" s="720"/>
      <c r="H29" s="715" t="e">
        <f>B29/($E$6*triticale)</f>
        <v>#DIV/0!</v>
      </c>
    </row>
    <row r="30" spans="1:8" ht="15.5" x14ac:dyDescent="0.35">
      <c r="A30" s="714" t="s">
        <v>1476</v>
      </c>
      <c r="B30" s="699"/>
      <c r="C30" s="699"/>
      <c r="D30" s="699"/>
      <c r="E30" s="699"/>
      <c r="F30" s="699"/>
      <c r="G30" s="699"/>
      <c r="H30" s="699"/>
    </row>
    <row r="31" spans="1:8" ht="15.5" x14ac:dyDescent="0.35">
      <c r="A31" s="714" t="s">
        <v>1121</v>
      </c>
      <c r="B31" s="745">
        <f>SUM(Tv!H20:H21)</f>
        <v>0</v>
      </c>
      <c r="C31" s="746"/>
      <c r="D31" s="719" t="e">
        <f t="shared" ref="D31" si="0">B31/triticale</f>
        <v>#DIV/0!</v>
      </c>
      <c r="E31" s="720"/>
      <c r="F31" s="719" t="e">
        <f t="shared" ref="F31" si="1">B31/($C$6*triticale)</f>
        <v>#DIV/0!</v>
      </c>
      <c r="G31" s="720"/>
      <c r="H31" s="715" t="e">
        <f t="shared" ref="H31:H38" si="2">B31/($E$6*triticale)</f>
        <v>#DIV/0!</v>
      </c>
    </row>
    <row r="32" spans="1:8" ht="15.5" x14ac:dyDescent="0.35">
      <c r="A32" s="714" t="s">
        <v>1119</v>
      </c>
      <c r="B32" s="745">
        <f>SUM(Tv!H22:H22)</f>
        <v>0</v>
      </c>
      <c r="C32" s="746"/>
      <c r="D32" s="719" t="e">
        <f t="shared" ref="D32:D38" si="3">B32/triticale</f>
        <v>#DIV/0!</v>
      </c>
      <c r="E32" s="720"/>
      <c r="F32" s="719" t="e">
        <f t="shared" ref="F32:F38" si="4">B32/($C$6*triticale)</f>
        <v>#DIV/0!</v>
      </c>
      <c r="G32" s="720"/>
      <c r="H32" s="715" t="e">
        <f t="shared" si="2"/>
        <v>#DIV/0!</v>
      </c>
    </row>
    <row r="33" spans="1:8" ht="15.5" x14ac:dyDescent="0.35">
      <c r="A33" s="714" t="s">
        <v>1120</v>
      </c>
      <c r="B33" s="745">
        <f>SUM(Tv!H23:H23)</f>
        <v>0</v>
      </c>
      <c r="C33" s="746"/>
      <c r="D33" s="719" t="e">
        <f t="shared" si="3"/>
        <v>#DIV/0!</v>
      </c>
      <c r="E33" s="720"/>
      <c r="F33" s="719" t="e">
        <f t="shared" si="4"/>
        <v>#DIV/0!</v>
      </c>
      <c r="G33" s="720"/>
      <c r="H33" s="715" t="e">
        <f t="shared" si="2"/>
        <v>#DIV/0!</v>
      </c>
    </row>
    <row r="34" spans="1:8" ht="15.5" x14ac:dyDescent="0.35">
      <c r="A34" s="714" t="s">
        <v>1214</v>
      </c>
      <c r="B34" s="715">
        <f>SUM(Tv!H25:H75)</f>
        <v>0</v>
      </c>
      <c r="C34" s="716"/>
      <c r="D34" s="717" t="e">
        <f t="shared" si="3"/>
        <v>#DIV/0!</v>
      </c>
      <c r="E34" s="718"/>
      <c r="F34" s="717" t="e">
        <f t="shared" si="4"/>
        <v>#DIV/0!</v>
      </c>
      <c r="G34" s="718"/>
      <c r="H34" s="716" t="e">
        <f t="shared" si="2"/>
        <v>#DIV/0!</v>
      </c>
    </row>
    <row r="35" spans="1:8" ht="15.5" x14ac:dyDescent="0.35">
      <c r="A35" s="714" t="s">
        <v>1261</v>
      </c>
      <c r="B35" s="715">
        <f>SUM(Tv!H77:H128)</f>
        <v>0</v>
      </c>
      <c r="C35" s="716"/>
      <c r="D35" s="717" t="e">
        <f t="shared" si="3"/>
        <v>#DIV/0!</v>
      </c>
      <c r="E35" s="718"/>
      <c r="F35" s="717" t="e">
        <f t="shared" si="4"/>
        <v>#DIV/0!</v>
      </c>
      <c r="G35" s="718"/>
      <c r="H35" s="716" t="e">
        <f t="shared" si="2"/>
        <v>#DIV/0!</v>
      </c>
    </row>
    <row r="36" spans="1:8" ht="15.5" x14ac:dyDescent="0.35">
      <c r="A36" s="714" t="s">
        <v>78</v>
      </c>
      <c r="B36" s="715">
        <f>SUM(Tv!H129:H130)</f>
        <v>0</v>
      </c>
      <c r="C36" s="716"/>
      <c r="D36" s="717" t="e">
        <f t="shared" si="3"/>
        <v>#DIV/0!</v>
      </c>
      <c r="E36" s="718"/>
      <c r="F36" s="717" t="e">
        <f t="shared" si="4"/>
        <v>#DIV/0!</v>
      </c>
      <c r="G36" s="718"/>
      <c r="H36" s="716" t="e">
        <f t="shared" si="2"/>
        <v>#DIV/0!</v>
      </c>
    </row>
    <row r="37" spans="1:8" ht="15.5" x14ac:dyDescent="0.35">
      <c r="A37" s="714" t="s">
        <v>170</v>
      </c>
      <c r="B37" s="732">
        <f>Tv!H131</f>
        <v>0</v>
      </c>
      <c r="C37" s="733"/>
      <c r="D37" s="719" t="e">
        <f t="shared" si="3"/>
        <v>#DIV/0!</v>
      </c>
      <c r="E37" s="720"/>
      <c r="F37" s="719" t="e">
        <f t="shared" si="4"/>
        <v>#DIV/0!</v>
      </c>
      <c r="G37" s="720"/>
      <c r="H37" s="715" t="e">
        <f t="shared" si="2"/>
        <v>#DIV/0!</v>
      </c>
    </row>
    <row r="38" spans="1:8" ht="15.5" x14ac:dyDescent="0.35">
      <c r="A38" s="714" t="s">
        <v>171</v>
      </c>
      <c r="B38" s="732">
        <f>SUM(Tv!H132:H133)</f>
        <v>0</v>
      </c>
      <c r="C38" s="733"/>
      <c r="D38" s="717" t="e">
        <f t="shared" si="3"/>
        <v>#DIV/0!</v>
      </c>
      <c r="E38" s="718"/>
      <c r="F38" s="717" t="e">
        <f t="shared" si="4"/>
        <v>#DIV/0!</v>
      </c>
      <c r="G38" s="718"/>
      <c r="H38" s="716" t="e">
        <f t="shared" si="2"/>
        <v>#DIV/0!</v>
      </c>
    </row>
    <row r="39" spans="1:8" ht="15.5" x14ac:dyDescent="0.35">
      <c r="A39" s="714" t="s">
        <v>172</v>
      </c>
      <c r="B39" s="732"/>
      <c r="C39" s="733"/>
      <c r="D39" s="717"/>
      <c r="E39" s="718"/>
      <c r="F39" s="717"/>
      <c r="G39" s="718"/>
      <c r="H39" s="717"/>
    </row>
    <row r="40" spans="1:8" ht="15.5" x14ac:dyDescent="0.35">
      <c r="A40" s="734" t="s">
        <v>439</v>
      </c>
      <c r="B40" s="732">
        <f>Tv!H135</f>
        <v>0</v>
      </c>
      <c r="C40" s="733"/>
      <c r="D40" s="717" t="e">
        <f t="shared" ref="D40:D54" si="5">B40/triticale</f>
        <v>#DIV/0!</v>
      </c>
      <c r="E40" s="718"/>
      <c r="F40" s="717" t="e">
        <f t="shared" ref="F40:F54" si="6">B40/($C$6*triticale)</f>
        <v>#DIV/0!</v>
      </c>
      <c r="G40" s="718"/>
      <c r="H40" s="716" t="e">
        <f t="shared" ref="H40:H54" si="7">B40/($E$6*triticale)</f>
        <v>#DIV/0!</v>
      </c>
    </row>
    <row r="41" spans="1:8" ht="15.5" x14ac:dyDescent="0.35">
      <c r="A41" s="734" t="s">
        <v>1506</v>
      </c>
      <c r="B41" s="732">
        <f>SUM(Tv!H136:H138)</f>
        <v>0</v>
      </c>
      <c r="C41" s="733"/>
      <c r="D41" s="717" t="e">
        <f t="shared" si="5"/>
        <v>#DIV/0!</v>
      </c>
      <c r="E41" s="718"/>
      <c r="F41" s="717" t="e">
        <f t="shared" si="6"/>
        <v>#DIV/0!</v>
      </c>
      <c r="G41" s="718"/>
      <c r="H41" s="716" t="e">
        <f t="shared" si="7"/>
        <v>#DIV/0!</v>
      </c>
    </row>
    <row r="42" spans="1:8" ht="15.5" x14ac:dyDescent="0.35">
      <c r="A42" s="734" t="s">
        <v>1505</v>
      </c>
      <c r="B42" s="732">
        <f>SUM(Tv!H139:H141)</f>
        <v>0</v>
      </c>
      <c r="C42" s="733"/>
      <c r="D42" s="717" t="e">
        <f t="shared" si="5"/>
        <v>#DIV/0!</v>
      </c>
      <c r="E42" s="718"/>
      <c r="F42" s="717" t="e">
        <f t="shared" si="6"/>
        <v>#DIV/0!</v>
      </c>
      <c r="G42" s="718"/>
      <c r="H42" s="716" t="e">
        <f t="shared" si="7"/>
        <v>#DIV/0!</v>
      </c>
    </row>
    <row r="43" spans="1:8" ht="15.5" x14ac:dyDescent="0.35">
      <c r="A43" s="734" t="s">
        <v>1237</v>
      </c>
      <c r="B43" s="732">
        <f>Tv!H142</f>
        <v>0</v>
      </c>
      <c r="C43" s="733"/>
      <c r="D43" s="717" t="e">
        <f t="shared" si="5"/>
        <v>#DIV/0!</v>
      </c>
      <c r="E43" s="718"/>
      <c r="F43" s="717" t="e">
        <f t="shared" si="6"/>
        <v>#DIV/0!</v>
      </c>
      <c r="G43" s="718"/>
      <c r="H43" s="716" t="e">
        <f t="shared" si="7"/>
        <v>#DIV/0!</v>
      </c>
    </row>
    <row r="44" spans="1:8" ht="15.5" x14ac:dyDescent="0.35">
      <c r="A44" s="734" t="s">
        <v>1212</v>
      </c>
      <c r="B44" s="732">
        <f>SUM(Tv!H143:H145)</f>
        <v>0</v>
      </c>
      <c r="C44" s="733"/>
      <c r="D44" s="717" t="e">
        <f t="shared" si="5"/>
        <v>#DIV/0!</v>
      </c>
      <c r="E44" s="718"/>
      <c r="F44" s="717" t="e">
        <f t="shared" si="6"/>
        <v>#DIV/0!</v>
      </c>
      <c r="G44" s="718"/>
      <c r="H44" s="716" t="e">
        <f t="shared" si="7"/>
        <v>#DIV/0!</v>
      </c>
    </row>
    <row r="45" spans="1:8" ht="15.5" x14ac:dyDescent="0.35">
      <c r="A45" s="734" t="s">
        <v>1238</v>
      </c>
      <c r="B45" s="732">
        <f>SUM(Tv!H146:H148)</f>
        <v>0</v>
      </c>
      <c r="C45" s="733"/>
      <c r="D45" s="717" t="e">
        <f t="shared" si="5"/>
        <v>#DIV/0!</v>
      </c>
      <c r="E45" s="720"/>
      <c r="F45" s="717" t="e">
        <f t="shared" si="6"/>
        <v>#DIV/0!</v>
      </c>
      <c r="G45" s="720"/>
      <c r="H45" s="716" t="e">
        <f t="shared" si="7"/>
        <v>#DIV/0!</v>
      </c>
    </row>
    <row r="46" spans="1:8" ht="15.5" x14ac:dyDescent="0.35">
      <c r="A46" s="734" t="s">
        <v>2076</v>
      </c>
      <c r="B46" s="753">
        <f>SUM(Tv!H149:H155)</f>
        <v>0</v>
      </c>
      <c r="C46" s="699"/>
      <c r="D46" s="717" t="e">
        <f t="shared" si="5"/>
        <v>#DIV/0!</v>
      </c>
      <c r="E46" s="753"/>
      <c r="F46" s="717" t="e">
        <f>B46/($C$6*triticale)</f>
        <v>#DIV/0!</v>
      </c>
      <c r="G46" s="753"/>
      <c r="H46" s="716" t="e">
        <f t="shared" si="7"/>
        <v>#DIV/0!</v>
      </c>
    </row>
    <row r="47" spans="1:8" ht="15.5" x14ac:dyDescent="0.35">
      <c r="A47" s="734" t="s">
        <v>2029</v>
      </c>
      <c r="B47" s="732">
        <f>SUM(Tv!H156:H158)</f>
        <v>0</v>
      </c>
      <c r="C47" s="733"/>
      <c r="D47" s="719" t="e">
        <f>B47/triticale</f>
        <v>#DIV/0!</v>
      </c>
      <c r="E47" s="718"/>
      <c r="F47" s="719" t="e">
        <f>B47/($C$6*triticale)</f>
        <v>#DIV/0!</v>
      </c>
      <c r="G47" s="718"/>
      <c r="H47" s="715" t="e">
        <f>B47/($E$6*triticale)</f>
        <v>#DIV/0!</v>
      </c>
    </row>
    <row r="48" spans="1:8" ht="15.5" x14ac:dyDescent="0.35">
      <c r="A48" s="734" t="s">
        <v>1532</v>
      </c>
      <c r="B48" s="732">
        <f>SUM(Tv!H159:H163)</f>
        <v>0</v>
      </c>
      <c r="C48" s="733"/>
      <c r="D48" s="717" t="e">
        <f t="shared" si="5"/>
        <v>#DIV/0!</v>
      </c>
      <c r="E48" s="720"/>
      <c r="F48" s="717" t="e">
        <f t="shared" si="6"/>
        <v>#DIV/0!</v>
      </c>
      <c r="G48" s="720"/>
      <c r="H48" s="716" t="e">
        <f t="shared" si="7"/>
        <v>#DIV/0!</v>
      </c>
    </row>
    <row r="49" spans="1:16" ht="15.5" x14ac:dyDescent="0.35">
      <c r="A49" s="734" t="s">
        <v>1533</v>
      </c>
      <c r="B49" s="732">
        <f>SUM(Tv!H164:H165)</f>
        <v>0</v>
      </c>
      <c r="C49" s="733"/>
      <c r="D49" s="719" t="e">
        <f t="shared" si="5"/>
        <v>#DIV/0!</v>
      </c>
      <c r="E49" s="720"/>
      <c r="F49" s="719" t="e">
        <f t="shared" si="6"/>
        <v>#DIV/0!</v>
      </c>
      <c r="G49" s="720"/>
      <c r="H49" s="715" t="e">
        <f t="shared" si="7"/>
        <v>#DIV/0!</v>
      </c>
    </row>
    <row r="50" spans="1:16" ht="15.5" x14ac:dyDescent="0.35">
      <c r="A50" s="734" t="s">
        <v>1534</v>
      </c>
      <c r="B50" s="732">
        <f>Tv!H166</f>
        <v>0</v>
      </c>
      <c r="C50" s="733"/>
      <c r="D50" s="717" t="e">
        <f t="shared" si="5"/>
        <v>#DIV/0!</v>
      </c>
      <c r="E50" s="720"/>
      <c r="F50" s="785" t="e">
        <f t="shared" si="6"/>
        <v>#DIV/0!</v>
      </c>
      <c r="G50" s="720"/>
      <c r="H50" s="716" t="e">
        <f t="shared" si="7"/>
        <v>#DIV/0!</v>
      </c>
    </row>
    <row r="51" spans="1:16" ht="15.5" x14ac:dyDescent="0.35">
      <c r="A51" s="734" t="s">
        <v>1535</v>
      </c>
      <c r="B51" s="732">
        <f>Tv!H167</f>
        <v>0</v>
      </c>
      <c r="C51" s="733"/>
      <c r="D51" s="717" t="e">
        <f t="shared" si="5"/>
        <v>#DIV/0!</v>
      </c>
      <c r="E51" s="720"/>
      <c r="F51" s="785" t="e">
        <f t="shared" si="6"/>
        <v>#DIV/0!</v>
      </c>
      <c r="G51" s="720"/>
      <c r="H51" s="716" t="e">
        <f t="shared" si="7"/>
        <v>#DIV/0!</v>
      </c>
    </row>
    <row r="52" spans="1:16" ht="15.5" x14ac:dyDescent="0.35">
      <c r="A52" s="734" t="s">
        <v>1536</v>
      </c>
      <c r="B52" s="732">
        <f>Tv!H168</f>
        <v>0</v>
      </c>
      <c r="C52" s="733"/>
      <c r="D52" s="717" t="e">
        <f t="shared" si="5"/>
        <v>#DIV/0!</v>
      </c>
      <c r="E52" s="720"/>
      <c r="F52" s="785" t="e">
        <f t="shared" si="6"/>
        <v>#DIV/0!</v>
      </c>
      <c r="G52" s="720"/>
      <c r="H52" s="716" t="e">
        <f t="shared" si="7"/>
        <v>#DIV/0!</v>
      </c>
    </row>
    <row r="53" spans="1:16" ht="15.5" x14ac:dyDescent="0.35">
      <c r="A53" s="734" t="s">
        <v>443</v>
      </c>
      <c r="B53" s="732">
        <f>SUM(Tv!H169:H171)</f>
        <v>0</v>
      </c>
      <c r="C53" s="733"/>
      <c r="D53" s="719" t="e">
        <f t="shared" si="5"/>
        <v>#DIV/0!</v>
      </c>
      <c r="E53" s="720"/>
      <c r="F53" s="719" t="e">
        <f t="shared" si="6"/>
        <v>#DIV/0!</v>
      </c>
      <c r="G53" s="720"/>
      <c r="H53" s="715" t="e">
        <f t="shared" si="7"/>
        <v>#DIV/0!</v>
      </c>
    </row>
    <row r="54" spans="1:16" ht="15.5" x14ac:dyDescent="0.35">
      <c r="A54" s="714" t="s">
        <v>69</v>
      </c>
      <c r="B54" s="732">
        <f>Tv!H175</f>
        <v>0</v>
      </c>
      <c r="C54" s="733"/>
      <c r="D54" s="717" t="e">
        <f t="shared" si="5"/>
        <v>#DIV/0!</v>
      </c>
      <c r="E54" s="718"/>
      <c r="F54" s="717" t="e">
        <f t="shared" si="6"/>
        <v>#DIV/0!</v>
      </c>
      <c r="G54" s="718"/>
      <c r="H54" s="716" t="e">
        <f t="shared" si="7"/>
        <v>#DIV/0!</v>
      </c>
    </row>
    <row r="55" spans="1:16" ht="15" x14ac:dyDescent="0.3">
      <c r="A55" s="709" t="s">
        <v>366</v>
      </c>
      <c r="B55" s="735">
        <f>SUM(B27:B54)</f>
        <v>0</v>
      </c>
      <c r="C55" s="736"/>
      <c r="D55" s="737" t="e">
        <f>SUM(D27:D54)</f>
        <v>#DIV/0!</v>
      </c>
      <c r="E55" s="737"/>
      <c r="F55" s="737" t="e">
        <f>SUM(F27:F54)</f>
        <v>#DIV/0!</v>
      </c>
      <c r="G55" s="737"/>
      <c r="H55" s="737" t="e">
        <f>SUM(H27:H54)</f>
        <v>#DIV/0!</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764" t="s">
        <v>29</v>
      </c>
    </row>
    <row r="59" spans="1:16" ht="15.5" x14ac:dyDescent="0.35">
      <c r="A59" s="734" t="s">
        <v>1240</v>
      </c>
      <c r="B59" s="732">
        <f>SUM(Tf!H8:H24)</f>
        <v>0</v>
      </c>
      <c r="C59" s="733"/>
      <c r="D59" s="717" t="e">
        <f t="shared" ref="D59:D72" si="8">B59/triticale</f>
        <v>#DIV/0!</v>
      </c>
      <c r="E59" s="757"/>
      <c r="F59" s="717" t="e">
        <f t="shared" ref="F59:F72" si="9">B59/($C$6*triticale)</f>
        <v>#DIV/0!</v>
      </c>
      <c r="G59" s="757"/>
      <c r="H59" s="716" t="e">
        <f t="shared" ref="H59:H72" si="10">B59/($E$6*triticale)</f>
        <v>#DIV/0!</v>
      </c>
      <c r="J59" s="697" t="s">
        <v>76</v>
      </c>
      <c r="K59" s="697"/>
      <c r="L59" s="697" t="s">
        <v>77</v>
      </c>
      <c r="M59" s="698"/>
      <c r="N59" s="697" t="s">
        <v>1554</v>
      </c>
      <c r="O59" s="698"/>
      <c r="P59" s="697" t="s">
        <v>385</v>
      </c>
    </row>
    <row r="60" spans="1:16" ht="15.5" x14ac:dyDescent="0.35">
      <c r="A60" s="734" t="s">
        <v>1241</v>
      </c>
      <c r="B60" s="732">
        <f>SUM(Tf!H25:H33)</f>
        <v>0</v>
      </c>
      <c r="C60" s="733"/>
      <c r="D60" s="717" t="e">
        <f t="shared" si="8"/>
        <v>#DIV/0!</v>
      </c>
      <c r="E60" s="757"/>
      <c r="F60" s="717" t="e">
        <f t="shared" si="9"/>
        <v>#DIV/0!</v>
      </c>
      <c r="G60" s="757"/>
      <c r="H60" s="716" t="e">
        <f t="shared" si="10"/>
        <v>#DIV/0!</v>
      </c>
      <c r="J60" s="763">
        <f>SUM(B59:B71)</f>
        <v>0</v>
      </c>
      <c r="L60" s="756" t="e">
        <f>SUM(D59:D71)</f>
        <v>#DIV/0!</v>
      </c>
      <c r="N60" s="756" t="e">
        <f>SUM(F59:F71)</f>
        <v>#DIV/0!</v>
      </c>
      <c r="P60" s="756" t="e">
        <f>SUM(H59:H71)</f>
        <v>#DIV/0!</v>
      </c>
    </row>
    <row r="61" spans="1:16" ht="15.5" x14ac:dyDescent="0.35">
      <c r="A61" s="734" t="s">
        <v>1243</v>
      </c>
      <c r="B61" s="732">
        <f>SUM(Tf!H34:H50)</f>
        <v>0</v>
      </c>
      <c r="C61" s="733"/>
      <c r="D61" s="717" t="e">
        <f>B61/triticale</f>
        <v>#DIV/0!</v>
      </c>
      <c r="E61" s="757"/>
      <c r="F61" s="717" t="e">
        <f>B61/($C$6*triticale)</f>
        <v>#DIV/0!</v>
      </c>
      <c r="G61" s="757"/>
      <c r="H61" s="716" t="e">
        <f t="shared" si="10"/>
        <v>#DIV/0!</v>
      </c>
    </row>
    <row r="62" spans="1:16" ht="15.5" x14ac:dyDescent="0.35">
      <c r="A62" s="734" t="s">
        <v>1242</v>
      </c>
      <c r="B62" s="732">
        <f>SUM(Tf!H51:H62)</f>
        <v>0</v>
      </c>
      <c r="C62" s="733"/>
      <c r="D62" s="717" t="e">
        <f t="shared" si="8"/>
        <v>#DIV/0!</v>
      </c>
      <c r="E62" s="757"/>
      <c r="F62" s="717" t="e">
        <f t="shared" si="9"/>
        <v>#DIV/0!</v>
      </c>
      <c r="G62" s="757"/>
      <c r="H62" s="716" t="e">
        <f t="shared" si="10"/>
        <v>#DIV/0!</v>
      </c>
    </row>
    <row r="63" spans="1:16" ht="15.5" x14ac:dyDescent="0.35">
      <c r="A63" s="734" t="s">
        <v>1244</v>
      </c>
      <c r="B63" s="732">
        <f>SUM(Tf!H63:H67)</f>
        <v>0</v>
      </c>
      <c r="C63" s="733"/>
      <c r="D63" s="719" t="e">
        <f t="shared" si="8"/>
        <v>#DIV/0!</v>
      </c>
      <c r="E63" s="762"/>
      <c r="F63" s="719" t="e">
        <f t="shared" si="9"/>
        <v>#DIV/0!</v>
      </c>
      <c r="G63" s="762"/>
      <c r="H63" s="715" t="e">
        <f t="shared" si="10"/>
        <v>#DIV/0!</v>
      </c>
    </row>
    <row r="64" spans="1:16" ht="15.5" x14ac:dyDescent="0.35">
      <c r="A64" s="734" t="s">
        <v>1245</v>
      </c>
      <c r="B64" s="732">
        <f>0</f>
        <v>0</v>
      </c>
      <c r="C64" s="733"/>
      <c r="D64" s="719" t="e">
        <f t="shared" si="8"/>
        <v>#DIV/0!</v>
      </c>
      <c r="E64" s="762"/>
      <c r="F64" s="719" t="e">
        <f t="shared" si="9"/>
        <v>#DIV/0!</v>
      </c>
      <c r="G64" s="762"/>
      <c r="H64" s="715" t="e">
        <f t="shared" si="10"/>
        <v>#DIV/0!</v>
      </c>
    </row>
    <row r="65" spans="1:8" ht="15.5" x14ac:dyDescent="0.35">
      <c r="A65" s="734" t="s">
        <v>1246</v>
      </c>
      <c r="B65" s="732">
        <f>SUM(Tf!H68:H78)</f>
        <v>0</v>
      </c>
      <c r="C65" s="733"/>
      <c r="D65" s="717" t="e">
        <f t="shared" si="8"/>
        <v>#DIV/0!</v>
      </c>
      <c r="E65" s="757"/>
      <c r="F65" s="717" t="e">
        <f t="shared" si="9"/>
        <v>#DIV/0!</v>
      </c>
      <c r="G65" s="757"/>
      <c r="H65" s="716" t="e">
        <f t="shared" si="10"/>
        <v>#DIV/0!</v>
      </c>
    </row>
    <row r="66" spans="1:8" ht="15.5" x14ac:dyDescent="0.35">
      <c r="A66" s="734" t="s">
        <v>1247</v>
      </c>
      <c r="B66" s="732">
        <f>SUM(Tf!H79:H86)</f>
        <v>0</v>
      </c>
      <c r="C66" s="733"/>
      <c r="D66" s="717" t="e">
        <f t="shared" si="8"/>
        <v>#DIV/0!</v>
      </c>
      <c r="E66" s="757"/>
      <c r="F66" s="785" t="e">
        <f t="shared" si="9"/>
        <v>#DIV/0!</v>
      </c>
      <c r="G66" s="757"/>
      <c r="H66" s="716" t="e">
        <f t="shared" si="10"/>
        <v>#DIV/0!</v>
      </c>
    </row>
    <row r="67" spans="1:8" ht="15.5" x14ac:dyDescent="0.35">
      <c r="A67" s="734" t="s">
        <v>2148</v>
      </c>
      <c r="B67" s="732">
        <f>SUM(Tf!H87:H91)</f>
        <v>0</v>
      </c>
      <c r="C67" s="733"/>
      <c r="D67" s="717" t="e">
        <f t="shared" ref="D67" si="11">B67/triticale</f>
        <v>#DIV/0!</v>
      </c>
      <c r="E67" s="757"/>
      <c r="F67" s="717" t="e">
        <f t="shared" ref="F67" si="12">B67/($C$6*triticale)</f>
        <v>#DIV/0!</v>
      </c>
      <c r="G67" s="757"/>
      <c r="H67" s="716" t="e">
        <f t="shared" ref="H67" si="13">B67/($E$6*triticale)</f>
        <v>#DIV/0!</v>
      </c>
    </row>
    <row r="68" spans="1:8" ht="15.5" x14ac:dyDescent="0.35">
      <c r="A68" s="734" t="s">
        <v>1250</v>
      </c>
      <c r="B68" s="732">
        <f>SUM(Tf!H92:H103)</f>
        <v>0</v>
      </c>
      <c r="C68" s="733"/>
      <c r="D68" s="717" t="e">
        <f t="shared" si="8"/>
        <v>#DIV/0!</v>
      </c>
      <c r="E68" s="757"/>
      <c r="F68" s="717" t="e">
        <f t="shared" si="9"/>
        <v>#DIV/0!</v>
      </c>
      <c r="G68" s="757"/>
      <c r="H68" s="716" t="e">
        <f t="shared" si="10"/>
        <v>#DIV/0!</v>
      </c>
    </row>
    <row r="69" spans="1:8" ht="15.5" x14ac:dyDescent="0.35">
      <c r="A69" s="734" t="s">
        <v>1304</v>
      </c>
      <c r="B69" s="732">
        <f>0</f>
        <v>0</v>
      </c>
      <c r="C69" s="733"/>
      <c r="D69" s="719" t="e">
        <f t="shared" ref="D69" si="14">B69/triticale</f>
        <v>#DIV/0!</v>
      </c>
      <c r="E69" s="762"/>
      <c r="F69" s="719" t="e">
        <f t="shared" ref="F69" si="15">B69/($C$6*triticale)</f>
        <v>#DIV/0!</v>
      </c>
      <c r="G69" s="762"/>
      <c r="H69" s="715" t="e">
        <f t="shared" si="10"/>
        <v>#DIV/0!</v>
      </c>
    </row>
    <row r="70" spans="1:8" ht="15.5" x14ac:dyDescent="0.35">
      <c r="A70" s="734" t="s">
        <v>1248</v>
      </c>
      <c r="B70" s="732">
        <f>SUM(Tf!H105:H108)</f>
        <v>0</v>
      </c>
      <c r="C70" s="733"/>
      <c r="D70" s="717" t="e">
        <f t="shared" si="8"/>
        <v>#DIV/0!</v>
      </c>
      <c r="E70" s="757"/>
      <c r="F70" s="717" t="e">
        <f t="shared" si="9"/>
        <v>#DIV/0!</v>
      </c>
      <c r="G70" s="757"/>
      <c r="H70" s="716" t="e">
        <f t="shared" si="10"/>
        <v>#DIV/0!</v>
      </c>
    </row>
    <row r="71" spans="1:8" ht="15.5" x14ac:dyDescent="0.35">
      <c r="A71" s="734" t="s">
        <v>1249</v>
      </c>
      <c r="B71" s="732">
        <f>SUM(Tf!H109:H113)</f>
        <v>0</v>
      </c>
      <c r="C71" s="733"/>
      <c r="D71" s="717" t="e">
        <f t="shared" si="8"/>
        <v>#DIV/0!</v>
      </c>
      <c r="E71" s="757"/>
      <c r="F71" s="717" t="e">
        <f t="shared" si="9"/>
        <v>#DIV/0!</v>
      </c>
      <c r="G71" s="757"/>
      <c r="H71" s="716" t="e">
        <f t="shared" si="10"/>
        <v>#DIV/0!</v>
      </c>
    </row>
    <row r="72" spans="1:8" ht="15.5" x14ac:dyDescent="0.35">
      <c r="A72" s="714" t="s">
        <v>79</v>
      </c>
      <c r="B72" s="732">
        <f>Tf!L121</f>
        <v>0</v>
      </c>
      <c r="C72" s="733"/>
      <c r="D72" s="717" t="e">
        <f t="shared" si="8"/>
        <v>#DIV/0!</v>
      </c>
      <c r="E72" s="718"/>
      <c r="F72" s="717" t="e">
        <f t="shared" si="9"/>
        <v>#DIV/0!</v>
      </c>
      <c r="G72" s="718"/>
      <c r="H72" s="716" t="e">
        <f t="shared" si="10"/>
        <v>#DIV/0!</v>
      </c>
    </row>
    <row r="73" spans="1:8" ht="15" x14ac:dyDescent="0.3">
      <c r="A73" s="709" t="s">
        <v>368</v>
      </c>
      <c r="B73" s="735">
        <f>SUM(B58:B72)</f>
        <v>0</v>
      </c>
      <c r="C73" s="736"/>
      <c r="D73" s="737" t="e">
        <f>SUM(D58:D72)</f>
        <v>#DIV/0!</v>
      </c>
      <c r="E73" s="737"/>
      <c r="F73" s="737" t="e">
        <f>SUM(F58:F72)</f>
        <v>#DIV/0!</v>
      </c>
      <c r="G73" s="737"/>
      <c r="H73" s="737" t="e">
        <f>SUM(H58:H72)</f>
        <v>#DIV/0!</v>
      </c>
    </row>
    <row r="74" spans="1:8" ht="15.5" x14ac:dyDescent="0.35">
      <c r="A74" s="699"/>
      <c r="B74" s="735"/>
      <c r="C74" s="736"/>
      <c r="D74" s="737"/>
      <c r="E74" s="741"/>
      <c r="F74" s="741"/>
      <c r="G74" s="741"/>
      <c r="H74" s="741"/>
    </row>
    <row r="75" spans="1:8" ht="15" x14ac:dyDescent="0.3">
      <c r="A75" s="709" t="s">
        <v>80</v>
      </c>
      <c r="B75" s="735">
        <f>B73+B55</f>
        <v>0</v>
      </c>
      <c r="C75" s="736"/>
      <c r="D75" s="737" t="e">
        <f>D73+D55</f>
        <v>#DIV/0!</v>
      </c>
      <c r="E75" s="737"/>
      <c r="F75" s="737" t="e">
        <f>F73+F55</f>
        <v>#DIV/0!</v>
      </c>
      <c r="G75" s="737"/>
      <c r="H75" s="737" t="e">
        <f>H73+H55</f>
        <v>#DIV/0!</v>
      </c>
    </row>
    <row r="76" spans="1:8" ht="15.5" x14ac:dyDescent="0.35">
      <c r="A76" s="742"/>
      <c r="B76" s="735"/>
      <c r="C76" s="736"/>
      <c r="D76" s="737"/>
      <c r="E76" s="737"/>
      <c r="F76" s="737"/>
      <c r="G76" s="737"/>
      <c r="H76" s="737"/>
    </row>
    <row r="77" spans="1:8" ht="15" x14ac:dyDescent="0.3">
      <c r="A77" s="709" t="s">
        <v>355</v>
      </c>
      <c r="B77" s="710">
        <f>B22-B75</f>
        <v>0</v>
      </c>
      <c r="C77" s="736"/>
      <c r="D77" s="712" t="e">
        <f>D22-D75</f>
        <v>#DIV/0!</v>
      </c>
      <c r="E77" s="737"/>
      <c r="F77" s="712" t="e">
        <f>F22-F75</f>
        <v>#DIV/0!</v>
      </c>
      <c r="G77" s="737"/>
      <c r="H77" s="712" t="e">
        <f>H22-H75</f>
        <v>#DIV/0!</v>
      </c>
    </row>
    <row r="78" spans="1:8" ht="15" x14ac:dyDescent="0.3">
      <c r="A78" s="709" t="s">
        <v>356</v>
      </c>
      <c r="B78" s="735">
        <f>B22-B55</f>
        <v>0</v>
      </c>
      <c r="C78" s="736"/>
      <c r="D78" s="737" t="e">
        <f>D22-D55</f>
        <v>#DIV/0!</v>
      </c>
      <c r="E78" s="737"/>
      <c r="F78" s="737" t="e">
        <f>F22-F55</f>
        <v>#DIV/0!</v>
      </c>
      <c r="G78" s="737"/>
      <c r="H78" s="737" t="e">
        <f>H22-H55</f>
        <v>#DIV/0!</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2.75" customHeight="1" x14ac:dyDescent="0.35">
      <c r="A81" s="744" t="s">
        <v>369</v>
      </c>
      <c r="B81" s="703" t="s">
        <v>76</v>
      </c>
      <c r="C81" s="743"/>
      <c r="D81" s="703" t="s">
        <v>393</v>
      </c>
      <c r="E81" s="703"/>
      <c r="F81" s="703" t="s">
        <v>1556</v>
      </c>
      <c r="G81" s="703"/>
      <c r="H81" s="703" t="s">
        <v>396</v>
      </c>
    </row>
    <row r="82" spans="1:8" ht="15.5" x14ac:dyDescent="0.35">
      <c r="A82" s="714" t="s">
        <v>370</v>
      </c>
      <c r="B82" s="745">
        <f>B75</f>
        <v>0</v>
      </c>
      <c r="C82" s="743"/>
      <c r="D82" s="717" t="e">
        <f>$B$75/triticale</f>
        <v>#DIV/0!</v>
      </c>
      <c r="E82" s="718"/>
      <c r="F82" s="717" t="e">
        <f>$B$75/($C$6*triticale)</f>
        <v>#DIV/0!</v>
      </c>
      <c r="G82" s="718"/>
      <c r="H82" s="717" t="e">
        <f>$B$75/($E$6*triticale)</f>
        <v>#DIV/0!</v>
      </c>
    </row>
    <row r="83" spans="1:8" ht="15.5" x14ac:dyDescent="0.35">
      <c r="A83" s="714" t="s">
        <v>371</v>
      </c>
      <c r="B83" s="745">
        <f>B55</f>
        <v>0</v>
      </c>
      <c r="C83" s="743"/>
      <c r="D83" s="717" t="e">
        <f>$B$55/triticale</f>
        <v>#DIV/0!</v>
      </c>
      <c r="E83" s="718"/>
      <c r="F83" s="717" t="e">
        <f>$B$55/($C$6*triticale)</f>
        <v>#DIV/0!</v>
      </c>
      <c r="G83" s="718"/>
      <c r="H83" s="717" t="e">
        <f>$B$55/($E$6*triticale)</f>
        <v>#DIV/0!</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t="e">
        <f>B77/SUM(Tv!E25:E76)</f>
        <v>#DIV/0!</v>
      </c>
      <c r="C86" s="743"/>
      <c r="D86" s="1226">
        <f>SUM(Tv!E25:E76)</f>
        <v>0</v>
      </c>
      <c r="E86" s="1225" t="s">
        <v>1996</v>
      </c>
      <c r="F86" s="717"/>
      <c r="G86" s="718"/>
      <c r="H86" s="717"/>
    </row>
    <row r="87" spans="1:8" ht="15.5" x14ac:dyDescent="0.35">
      <c r="A87" s="714" t="s">
        <v>1102</v>
      </c>
      <c r="B87" s="746" t="e">
        <f>B78/SUM(Tv!E25:E76)</f>
        <v>#DIV/0!</v>
      </c>
      <c r="C87" s="743"/>
      <c r="D87" s="717"/>
      <c r="E87" s="718"/>
      <c r="F87" s="717"/>
      <c r="G87" s="718"/>
      <c r="H87" s="717"/>
    </row>
    <row r="88" spans="1:8" ht="15.5" x14ac:dyDescent="0.35">
      <c r="A88" s="747"/>
      <c r="B88" s="748"/>
      <c r="C88" s="748"/>
      <c r="D88" s="749"/>
      <c r="E88" s="750"/>
      <c r="F88" s="750"/>
      <c r="G88" s="750"/>
      <c r="H88" s="750"/>
    </row>
    <row r="89" spans="1:8" x14ac:dyDescent="0.3">
      <c r="D89" s="59"/>
      <c r="E89" s="55"/>
      <c r="F89" s="55"/>
      <c r="G89" s="55"/>
      <c r="H89" s="55"/>
    </row>
    <row r="90" spans="1:8" x14ac:dyDescent="0.3">
      <c r="D90" s="59"/>
      <c r="E90" s="55"/>
      <c r="F90" s="55"/>
      <c r="G90" s="55"/>
      <c r="H90" s="55"/>
    </row>
    <row r="92" spans="1:8" x14ac:dyDescent="0.3">
      <c r="A92" s="61" t="s">
        <v>146</v>
      </c>
      <c r="B92" s="50" t="str">
        <f>model</f>
        <v>ME Grain &amp; Pulse</v>
      </c>
    </row>
    <row r="94" spans="1:8" x14ac:dyDescent="0.3">
      <c r="A94" s="7" t="s">
        <v>1148</v>
      </c>
      <c r="B94" s="55" t="s">
        <v>92</v>
      </c>
      <c r="C94" s="54">
        <f>triticale</f>
        <v>0</v>
      </c>
      <c r="D94" s="17" t="s">
        <v>93</v>
      </c>
    </row>
    <row r="95" spans="1:8" x14ac:dyDescent="0.3">
      <c r="A95" s="7"/>
      <c r="B95" s="55" t="s">
        <v>750</v>
      </c>
      <c r="C95" s="54">
        <f>(triticale*Data!F34)*Data!$B$34*Data!$C$34</f>
        <v>0</v>
      </c>
      <c r="D95" s="17" t="s">
        <v>93</v>
      </c>
    </row>
    <row r="96" spans="1:8" x14ac:dyDescent="0.3">
      <c r="A96" s="7"/>
      <c r="B96" s="55" t="s">
        <v>751</v>
      </c>
      <c r="C96" s="54">
        <f>(triticale*Data!G34)*Data!$B$34*Data!$D$34</f>
        <v>0</v>
      </c>
      <c r="D96" s="17" t="s">
        <v>93</v>
      </c>
    </row>
    <row r="97" spans="1:8" x14ac:dyDescent="0.3">
      <c r="A97" s="8"/>
      <c r="B97" s="55" t="s">
        <v>727</v>
      </c>
      <c r="C97" s="54">
        <f>Data!B220</f>
        <v>0</v>
      </c>
      <c r="D97" s="17" t="s">
        <v>1567</v>
      </c>
      <c r="E97" s="1190">
        <f>(C97*Data!$K$63)/2000</f>
        <v>0</v>
      </c>
      <c r="F97" s="17" t="s">
        <v>235</v>
      </c>
      <c r="G97" s="54"/>
    </row>
    <row r="98" spans="1:8" x14ac:dyDescent="0.3">
      <c r="B98" s="55" t="s">
        <v>728</v>
      </c>
      <c r="C98" s="106">
        <f>IF(FARM!$F$20&gt;0,Data!$B$215,Data!$B$216)</f>
        <v>16.8</v>
      </c>
      <c r="D98" s="17" t="s">
        <v>1566</v>
      </c>
      <c r="E98" s="153">
        <f>Data!$K$63</f>
        <v>56</v>
      </c>
      <c r="F98" s="17" t="s">
        <v>1560</v>
      </c>
      <c r="G98" s="153"/>
    </row>
    <row r="99" spans="1:8" x14ac:dyDescent="0.3">
      <c r="B99" s="55" t="s">
        <v>729</v>
      </c>
      <c r="C99" s="157">
        <f>Data!E220</f>
        <v>0</v>
      </c>
      <c r="D99" s="17" t="s">
        <v>731</v>
      </c>
      <c r="E99" s="157">
        <f>Data!H220</f>
        <v>0</v>
      </c>
      <c r="F99" s="17" t="s">
        <v>732</v>
      </c>
      <c r="G99" s="54"/>
    </row>
    <row r="100" spans="1:8" x14ac:dyDescent="0.3">
      <c r="B100" s="55" t="s">
        <v>730</v>
      </c>
      <c r="C100" s="116">
        <f>IF(Straw!$D$14&gt;0,Straw!$D$14,Data!$E$217)</f>
        <v>40</v>
      </c>
      <c r="D100" s="17" t="s">
        <v>733</v>
      </c>
      <c r="E100" s="217">
        <f>IF(Straw!$F$14&gt;0,Straw!$F$14,Data!$H$217)</f>
        <v>5.0833333333333304</v>
      </c>
      <c r="F100" s="17" t="s">
        <v>734</v>
      </c>
      <c r="G100" s="217"/>
    </row>
    <row r="101" spans="1:8" x14ac:dyDescent="0.3">
      <c r="B101" s="55"/>
      <c r="C101" s="54"/>
      <c r="D101" s="17"/>
    </row>
    <row r="102" spans="1:8" ht="15.5" x14ac:dyDescent="0.35">
      <c r="A102" s="751" t="s">
        <v>1148</v>
      </c>
      <c r="B102" s="697" t="s">
        <v>76</v>
      </c>
      <c r="C102" s="697"/>
      <c r="D102" s="697" t="s">
        <v>77</v>
      </c>
      <c r="E102" s="698"/>
      <c r="F102" s="697" t="s">
        <v>1554</v>
      </c>
      <c r="G102" s="698"/>
      <c r="H102" s="697" t="s">
        <v>385</v>
      </c>
    </row>
    <row r="103" spans="1:8" ht="15.5" x14ac:dyDescent="0.35">
      <c r="A103" s="699" t="s">
        <v>362</v>
      </c>
      <c r="B103" s="700">
        <f>C94</f>
        <v>0</v>
      </c>
      <c r="C103" s="701"/>
      <c r="D103" s="702" t="s">
        <v>363</v>
      </c>
      <c r="E103" s="703"/>
      <c r="F103" s="702" t="s">
        <v>363</v>
      </c>
      <c r="G103" s="703"/>
      <c r="H103" s="702" t="s">
        <v>363</v>
      </c>
    </row>
    <row r="104" spans="1:8" ht="15.5" x14ac:dyDescent="0.35">
      <c r="A104" s="699" t="s">
        <v>1859</v>
      </c>
      <c r="B104" s="702" t="s">
        <v>363</v>
      </c>
      <c r="C104" s="701"/>
      <c r="D104" s="702" t="s">
        <v>363</v>
      </c>
      <c r="E104" s="703"/>
      <c r="F104" s="702" t="s">
        <v>363</v>
      </c>
      <c r="G104" s="703"/>
      <c r="H104" s="888">
        <f>2000/Data!$K$63</f>
        <v>35.714285714285715</v>
      </c>
    </row>
    <row r="105" spans="1:8" ht="15.5" x14ac:dyDescent="0.35">
      <c r="A105" s="699" t="s">
        <v>1564</v>
      </c>
      <c r="B105" s="700">
        <f>$C$94*C97</f>
        <v>0</v>
      </c>
      <c r="C105" s="701"/>
      <c r="D105" s="700">
        <f>C97</f>
        <v>0</v>
      </c>
      <c r="E105" s="703"/>
      <c r="F105" s="702" t="s">
        <v>363</v>
      </c>
      <c r="G105" s="703"/>
      <c r="H105" s="702" t="s">
        <v>363</v>
      </c>
    </row>
    <row r="106" spans="1:8" ht="15.5" x14ac:dyDescent="0.35">
      <c r="A106" s="699" t="s">
        <v>1860</v>
      </c>
      <c r="B106" s="700">
        <f>$C$94*E97</f>
        <v>0</v>
      </c>
      <c r="C106" s="701"/>
      <c r="D106" s="1191">
        <f>E97</f>
        <v>0</v>
      </c>
      <c r="E106" s="703"/>
      <c r="F106" s="702" t="s">
        <v>363</v>
      </c>
      <c r="G106" s="703"/>
      <c r="H106" s="702" t="s">
        <v>363</v>
      </c>
    </row>
    <row r="107" spans="1:8" ht="15.5" x14ac:dyDescent="0.35">
      <c r="A107" s="699" t="str">
        <f>IF(Data!B217=1,"Triticale Price ($/unit) - Food Grade","Triticale Price ($/unit) - Feed Grade")</f>
        <v>Triticale Price ($/unit) - Food Grade</v>
      </c>
      <c r="B107" s="702" t="s">
        <v>363</v>
      </c>
      <c r="C107" s="701"/>
      <c r="D107" s="702" t="s">
        <v>363</v>
      </c>
      <c r="E107" s="703"/>
      <c r="F107" s="704">
        <f>C98</f>
        <v>16.8</v>
      </c>
      <c r="G107" s="703"/>
      <c r="H107" s="840">
        <f>F107*H104</f>
        <v>600</v>
      </c>
    </row>
    <row r="108" spans="1:8" ht="15" customHeight="1" x14ac:dyDescent="0.35">
      <c r="A108" s="699" t="s">
        <v>2032</v>
      </c>
      <c r="B108" s="700">
        <f>C99*C95</f>
        <v>0</v>
      </c>
      <c r="C108" s="701"/>
      <c r="D108" s="841">
        <f>C99</f>
        <v>0</v>
      </c>
      <c r="E108" s="703"/>
      <c r="F108" s="842" t="e">
        <f>C99/($C$6*$C$3)</f>
        <v>#DIV/0!</v>
      </c>
      <c r="G108" s="703"/>
      <c r="H108" s="842" t="e">
        <f>C99/($E$6*$C$3)</f>
        <v>#DIV/0!</v>
      </c>
    </row>
    <row r="109" spans="1:8" ht="15" customHeight="1" x14ac:dyDescent="0.35">
      <c r="A109" s="699" t="s">
        <v>2034</v>
      </c>
      <c r="B109" s="705">
        <f>C100</f>
        <v>40</v>
      </c>
      <c r="C109" s="701"/>
      <c r="D109" s="705">
        <f>C100*C99</f>
        <v>0</v>
      </c>
      <c r="E109" s="703"/>
      <c r="F109" s="840" t="e">
        <f>D109/$C$6</f>
        <v>#DIV/0!</v>
      </c>
      <c r="G109" s="703"/>
      <c r="H109" s="840" t="e">
        <f>D109/$E$6</f>
        <v>#DIV/0!</v>
      </c>
    </row>
    <row r="110" spans="1:8" ht="15" customHeight="1" x14ac:dyDescent="0.35">
      <c r="A110" s="699" t="s">
        <v>2031</v>
      </c>
      <c r="B110" s="700">
        <f>E99*C96</f>
        <v>0</v>
      </c>
      <c r="C110" s="701"/>
      <c r="D110" s="841">
        <f>E99</f>
        <v>0</v>
      </c>
      <c r="E110" s="703"/>
      <c r="F110" s="842" t="e">
        <f>E99/(C97*C94)</f>
        <v>#DIV/0!</v>
      </c>
      <c r="G110" s="703"/>
      <c r="H110" s="842" t="e">
        <f>E99/(E97*C94)</f>
        <v>#DIV/0!</v>
      </c>
    </row>
    <row r="111" spans="1:8" ht="15" customHeight="1" x14ac:dyDescent="0.35">
      <c r="A111" s="699" t="s">
        <v>2033</v>
      </c>
      <c r="B111" s="840">
        <f>E100</f>
        <v>5.0833333333333304</v>
      </c>
      <c r="C111" s="701"/>
      <c r="D111" s="705">
        <f>E100*E99</f>
        <v>0</v>
      </c>
      <c r="E111" s="703"/>
      <c r="F111" s="840" t="e">
        <f>D111/C97</f>
        <v>#DIV/0!</v>
      </c>
      <c r="G111" s="703"/>
      <c r="H111" s="840" t="e">
        <f>D111/E97</f>
        <v>#DIV/0!</v>
      </c>
    </row>
    <row r="112" spans="1:8" ht="15.5" x14ac:dyDescent="0.35">
      <c r="A112" s="699"/>
      <c r="B112" s="706"/>
      <c r="C112" s="706"/>
      <c r="D112" s="707"/>
      <c r="E112" s="708"/>
      <c r="F112" s="707"/>
      <c r="G112" s="708"/>
      <c r="H112" s="707"/>
    </row>
    <row r="113" spans="1:16" ht="15" x14ac:dyDescent="0.3">
      <c r="A113" s="709" t="s">
        <v>230</v>
      </c>
      <c r="B113" s="710">
        <f>(C97*C98*triticale)+(C99*C100*C95)+(E99*E100*C96)</f>
        <v>0</v>
      </c>
      <c r="C113" s="711"/>
      <c r="D113" s="712" t="e">
        <f>B113/triticale</f>
        <v>#DIV/0!</v>
      </c>
      <c r="E113" s="713"/>
      <c r="F113" s="712" t="e">
        <f>B113/($C$97*triticale)</f>
        <v>#DIV/0!</v>
      </c>
      <c r="G113" s="713"/>
      <c r="H113" s="711" t="e">
        <f>B113/($E$97*triticale)</f>
        <v>#DIV/0!</v>
      </c>
    </row>
    <row r="114" spans="1:16" ht="15.5" x14ac:dyDescent="0.35">
      <c r="A114" s="714" t="s">
        <v>1235</v>
      </c>
      <c r="B114" s="715">
        <f>(C97*C98*triticale)</f>
        <v>0</v>
      </c>
      <c r="C114" s="716"/>
      <c r="D114" s="717" t="e">
        <f>B114/triticale</f>
        <v>#DIV/0!</v>
      </c>
      <c r="E114" s="718"/>
      <c r="F114" s="717" t="e">
        <f>B114/($C$97*triticale)</f>
        <v>#DIV/0!</v>
      </c>
      <c r="G114" s="718"/>
      <c r="H114" s="716" t="e">
        <f>B114/($E$97*triticale)</f>
        <v>#DIV/0!</v>
      </c>
    </row>
    <row r="115" spans="1:16" ht="15.5" x14ac:dyDescent="0.35">
      <c r="A115" s="714" t="s">
        <v>1236</v>
      </c>
      <c r="B115" s="715">
        <f>(C99*C100*C95)+(E99*E100*C96)</f>
        <v>0</v>
      </c>
      <c r="C115" s="716"/>
      <c r="D115" s="719" t="e">
        <f>B115/triticale</f>
        <v>#DIV/0!</v>
      </c>
      <c r="E115" s="720"/>
      <c r="F115" s="719" t="e">
        <f>B115/($C$97*triticale)</f>
        <v>#DIV/0!</v>
      </c>
      <c r="G115" s="720"/>
      <c r="H115" s="715" t="e">
        <f>B115/($E$97*triticale)</f>
        <v>#DIV/0!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SUM(Tv!H8:H11)</f>
        <v>0</v>
      </c>
      <c r="C118" s="716"/>
      <c r="D118" s="717" t="e">
        <f>B118/triticale</f>
        <v>#DIV/0!</v>
      </c>
      <c r="E118" s="718"/>
      <c r="F118" s="717" t="e">
        <f>B118/($C$97*triticale)</f>
        <v>#DIV/0!</v>
      </c>
      <c r="G118" s="718"/>
      <c r="H118" s="716" t="e">
        <f>B118/($E$97*triticale)</f>
        <v>#DIV/0!</v>
      </c>
    </row>
    <row r="119" spans="1:16" ht="15.5" x14ac:dyDescent="0.35">
      <c r="A119" s="714" t="s">
        <v>1287</v>
      </c>
      <c r="B119" s="715">
        <f>SUM(Tv!H13:H17)</f>
        <v>0</v>
      </c>
      <c r="C119" s="716"/>
      <c r="D119" s="717" t="e">
        <f>B119/triticale</f>
        <v>#DIV/0!</v>
      </c>
      <c r="E119" s="718"/>
      <c r="F119" s="717" t="e">
        <f>B119/($C$97*triticale)</f>
        <v>#DIV/0!</v>
      </c>
      <c r="G119" s="718"/>
      <c r="H119" s="716" t="e">
        <f>B119/($E$97*triticale)</f>
        <v>#DIV/0!</v>
      </c>
    </row>
    <row r="120" spans="1:16" ht="15.5" x14ac:dyDescent="0.35">
      <c r="A120" s="714" t="s">
        <v>2</v>
      </c>
      <c r="B120" s="715">
        <f>Tv!H19</f>
        <v>0</v>
      </c>
      <c r="C120" s="716"/>
      <c r="D120" s="719" t="e">
        <f>B120/triticale</f>
        <v>#DIV/0!</v>
      </c>
      <c r="E120" s="720"/>
      <c r="F120" s="719" t="e">
        <f>B120/($C$97*triticale)</f>
        <v>#DIV/0!</v>
      </c>
      <c r="G120" s="720"/>
      <c r="H120" s="715" t="e">
        <f>B120/($E$97*triticale)</f>
        <v>#DIV/0!</v>
      </c>
    </row>
    <row r="121" spans="1:16" ht="15.5" x14ac:dyDescent="0.35">
      <c r="A121" s="714" t="s">
        <v>1476</v>
      </c>
      <c r="B121" s="699"/>
      <c r="C121" s="699"/>
      <c r="D121" s="699"/>
      <c r="E121" s="699"/>
      <c r="F121" s="699"/>
      <c r="G121" s="699"/>
      <c r="H121" s="699"/>
    </row>
    <row r="122" spans="1:16" ht="15.5" x14ac:dyDescent="0.35">
      <c r="A122" s="714" t="s">
        <v>1121</v>
      </c>
      <c r="B122" s="729">
        <f>SUM(Wv!H20:H21)</f>
        <v>0</v>
      </c>
      <c r="C122" s="730"/>
      <c r="D122" s="719" t="e">
        <f>B122/triticale</f>
        <v>#DIV/0!</v>
      </c>
      <c r="E122" s="727"/>
      <c r="F122" s="719" t="e">
        <f>B122/($C$97*triticale)</f>
        <v>#DIV/0!</v>
      </c>
      <c r="G122" s="727"/>
      <c r="H122" s="715" t="e">
        <f>B122/($E$97*triticale)</f>
        <v>#DIV/0!</v>
      </c>
    </row>
    <row r="123" spans="1:16" ht="15.5" x14ac:dyDescent="0.35">
      <c r="A123" s="714" t="s">
        <v>1119</v>
      </c>
      <c r="B123" s="745">
        <f>SUM(Tv!H22:H22)</f>
        <v>0</v>
      </c>
      <c r="C123" s="746"/>
      <c r="D123" s="719" t="e">
        <f>B123/triticale</f>
        <v>#DIV/0!</v>
      </c>
      <c r="E123" s="720"/>
      <c r="F123" s="719" t="e">
        <f>B123/($C$97*triticale)</f>
        <v>#DIV/0!</v>
      </c>
      <c r="G123" s="720"/>
      <c r="H123" s="715" t="e">
        <f>B123/($E$97*triticale)</f>
        <v>#DIV/0!</v>
      </c>
    </row>
    <row r="124" spans="1:16" ht="15.5" x14ac:dyDescent="0.35">
      <c r="A124" s="714" t="s">
        <v>1120</v>
      </c>
      <c r="B124" s="745">
        <f>SUM(Tv!H23:H23)</f>
        <v>0</v>
      </c>
      <c r="C124" s="746"/>
      <c r="D124" s="719" t="e">
        <f>B124/triticale</f>
        <v>#DIV/0!</v>
      </c>
      <c r="E124" s="720"/>
      <c r="F124" s="719" t="e">
        <f>B124/($C$97*triticale)</f>
        <v>#DIV/0!</v>
      </c>
      <c r="G124" s="720"/>
      <c r="H124" s="715" t="e">
        <f>B124/($E$97*triticale)</f>
        <v>#DIV/0!</v>
      </c>
      <c r="J124" s="889" t="s">
        <v>1557</v>
      </c>
    </row>
    <row r="125" spans="1:16" ht="15.5" x14ac:dyDescent="0.35">
      <c r="A125" s="714" t="s">
        <v>1214</v>
      </c>
      <c r="B125" s="715"/>
      <c r="C125" s="716"/>
      <c r="D125" s="717"/>
      <c r="E125" s="718"/>
      <c r="F125" s="717"/>
      <c r="G125" s="718"/>
      <c r="H125" s="717"/>
      <c r="J125" s="756">
        <f>_wage_</f>
        <v>12.29</v>
      </c>
      <c r="K125" s="709" t="s">
        <v>1558</v>
      </c>
    </row>
    <row r="126" spans="1:16" ht="15.5" x14ac:dyDescent="0.35">
      <c r="A126" s="734" t="s">
        <v>1910</v>
      </c>
      <c r="B126" s="715">
        <f>Tv!H26</f>
        <v>0</v>
      </c>
      <c r="C126" s="716"/>
      <c r="D126" s="717" t="e">
        <f t="shared" ref="D126:D139" si="16">B126/triticale</f>
        <v>#DIV/0!</v>
      </c>
      <c r="E126" s="718"/>
      <c r="F126" s="717" t="e">
        <f t="shared" ref="F126:F139" si="17">B126/($C$97*triticale)</f>
        <v>#DIV/0!</v>
      </c>
      <c r="G126" s="718"/>
      <c r="H126" s="716" t="e">
        <f t="shared" ref="H126:H139" si="18">B126/($E$97*triticale)</f>
        <v>#DIV/0!</v>
      </c>
      <c r="J126" s="697" t="s">
        <v>76</v>
      </c>
      <c r="K126" s="697"/>
      <c r="L126" s="697" t="s">
        <v>77</v>
      </c>
      <c r="M126" s="698"/>
      <c r="N126" s="697" t="s">
        <v>1554</v>
      </c>
      <c r="O126" s="698"/>
      <c r="P126" s="697" t="s">
        <v>385</v>
      </c>
    </row>
    <row r="127" spans="1:16" ht="15.5" x14ac:dyDescent="0.35">
      <c r="A127" s="734" t="s">
        <v>1251</v>
      </c>
      <c r="B127" s="715">
        <f>Tv!H27</f>
        <v>0</v>
      </c>
      <c r="C127" s="716"/>
      <c r="D127" s="717" t="e">
        <f t="shared" si="16"/>
        <v>#DIV/0!</v>
      </c>
      <c r="E127" s="718"/>
      <c r="F127" s="717" t="e">
        <f t="shared" si="17"/>
        <v>#DIV/0!</v>
      </c>
      <c r="G127" s="718"/>
      <c r="H127" s="716" t="e">
        <f t="shared" si="18"/>
        <v>#DIV/0!</v>
      </c>
      <c r="J127" s="763">
        <f>SUM(B126:B139)</f>
        <v>0</v>
      </c>
      <c r="L127" s="756" t="e">
        <f>SUM(D126:D139)</f>
        <v>#DIV/0!</v>
      </c>
      <c r="N127" s="756" t="e">
        <f>SUM(F126:F139)</f>
        <v>#DIV/0!</v>
      </c>
      <c r="P127" s="756" t="e">
        <f>SUM(H126:H139)</f>
        <v>#DIV/0!</v>
      </c>
    </row>
    <row r="128" spans="1:16" ht="15.5" x14ac:dyDescent="0.35">
      <c r="A128" s="734" t="s">
        <v>1256</v>
      </c>
      <c r="B128" s="715">
        <f>Tv!H28</f>
        <v>0</v>
      </c>
      <c r="C128" s="716"/>
      <c r="D128" s="717" t="e">
        <f t="shared" si="16"/>
        <v>#DIV/0!</v>
      </c>
      <c r="E128" s="718"/>
      <c r="F128" s="717" t="e">
        <f t="shared" si="17"/>
        <v>#DIV/0!</v>
      </c>
      <c r="G128" s="718"/>
      <c r="H128" s="716" t="e">
        <f t="shared" si="18"/>
        <v>#DIV/0!</v>
      </c>
    </row>
    <row r="129" spans="1:16" ht="15.5" x14ac:dyDescent="0.35">
      <c r="A129" s="734" t="s">
        <v>1252</v>
      </c>
      <c r="B129" s="715">
        <f>Tv!H29</f>
        <v>0</v>
      </c>
      <c r="C129" s="716"/>
      <c r="D129" s="717" t="e">
        <f t="shared" si="16"/>
        <v>#DIV/0!</v>
      </c>
      <c r="E129" s="718"/>
      <c r="F129" s="717" t="e">
        <f t="shared" si="17"/>
        <v>#DIV/0!</v>
      </c>
      <c r="G129" s="718"/>
      <c r="H129" s="716" t="e">
        <f t="shared" si="18"/>
        <v>#DIV/0!</v>
      </c>
    </row>
    <row r="130" spans="1:16" ht="15.5" x14ac:dyDescent="0.35">
      <c r="A130" s="734" t="s">
        <v>1253</v>
      </c>
      <c r="B130" s="715">
        <f>Tv!H33</f>
        <v>0</v>
      </c>
      <c r="C130" s="716"/>
      <c r="D130" s="717" t="e">
        <f t="shared" si="16"/>
        <v>#DIV/0!</v>
      </c>
      <c r="E130" s="718"/>
      <c r="F130" s="717" t="e">
        <f t="shared" si="17"/>
        <v>#DIV/0!</v>
      </c>
      <c r="G130" s="718"/>
      <c r="H130" s="716" t="e">
        <f t="shared" si="18"/>
        <v>#DIV/0!</v>
      </c>
    </row>
    <row r="131" spans="1:16" ht="15.5" x14ac:dyDescent="0.35">
      <c r="A131" s="734" t="s">
        <v>1254</v>
      </c>
      <c r="B131" s="715">
        <f>Tv!H34</f>
        <v>0</v>
      </c>
      <c r="C131" s="716"/>
      <c r="D131" s="717" t="e">
        <f t="shared" si="16"/>
        <v>#DIV/0!</v>
      </c>
      <c r="E131" s="718"/>
      <c r="F131" s="717" t="e">
        <f t="shared" si="17"/>
        <v>#DIV/0!</v>
      </c>
      <c r="G131" s="718"/>
      <c r="H131" s="716" t="e">
        <f t="shared" si="18"/>
        <v>#DIV/0!</v>
      </c>
    </row>
    <row r="132" spans="1:16" ht="15.5" x14ac:dyDescent="0.35">
      <c r="A132" s="734" t="s">
        <v>2175</v>
      </c>
      <c r="B132" s="715">
        <f>Tv!H35</f>
        <v>0</v>
      </c>
      <c r="C132" s="716"/>
      <c r="D132" s="719" t="e">
        <f t="shared" si="16"/>
        <v>#DIV/0!</v>
      </c>
      <c r="E132" s="718"/>
      <c r="F132" s="719" t="e">
        <f t="shared" si="17"/>
        <v>#DIV/0!</v>
      </c>
      <c r="G132" s="718"/>
      <c r="H132" s="715" t="e">
        <f t="shared" si="18"/>
        <v>#DIV/0!</v>
      </c>
    </row>
    <row r="133" spans="1:16" ht="15.5" x14ac:dyDescent="0.35">
      <c r="A133" s="734" t="s">
        <v>1259</v>
      </c>
      <c r="B133" s="715">
        <f>Tv!H37</f>
        <v>0</v>
      </c>
      <c r="C133" s="716"/>
      <c r="D133" s="719" t="e">
        <f t="shared" si="16"/>
        <v>#DIV/0!</v>
      </c>
      <c r="E133" s="718"/>
      <c r="F133" s="719" t="e">
        <f t="shared" si="17"/>
        <v>#DIV/0!</v>
      </c>
      <c r="G133" s="718"/>
      <c r="H133" s="715" t="e">
        <f t="shared" si="18"/>
        <v>#DIV/0!</v>
      </c>
    </row>
    <row r="134" spans="1:16" ht="15.5" x14ac:dyDescent="0.35">
      <c r="A134" s="734" t="s">
        <v>1255</v>
      </c>
      <c r="B134" s="715">
        <f>SUM(Tv!H40:H41)</f>
        <v>0</v>
      </c>
      <c r="C134" s="716"/>
      <c r="D134" s="717" t="e">
        <f t="shared" si="16"/>
        <v>#DIV/0!</v>
      </c>
      <c r="E134" s="718"/>
      <c r="F134" s="717" t="e">
        <f t="shared" si="17"/>
        <v>#DIV/0!</v>
      </c>
      <c r="G134" s="718"/>
      <c r="H134" s="716" t="e">
        <f t="shared" si="18"/>
        <v>#DIV/0!</v>
      </c>
    </row>
    <row r="135" spans="1:16" ht="15.5" x14ac:dyDescent="0.35">
      <c r="A135" s="734" t="s">
        <v>2077</v>
      </c>
      <c r="B135" s="715">
        <f>SUM(Tv!H42:H43)</f>
        <v>0</v>
      </c>
      <c r="C135" s="716"/>
      <c r="D135" s="717" t="e">
        <f t="shared" si="16"/>
        <v>#DIV/0!</v>
      </c>
      <c r="E135" s="720"/>
      <c r="F135" s="717" t="e">
        <f t="shared" si="17"/>
        <v>#DIV/0!</v>
      </c>
      <c r="G135" s="720"/>
      <c r="H135" s="716" t="e">
        <f t="shared" si="18"/>
        <v>#DIV/0!</v>
      </c>
    </row>
    <row r="136" spans="1:16" ht="15.5" x14ac:dyDescent="0.35">
      <c r="A136" s="734" t="s">
        <v>1537</v>
      </c>
      <c r="B136" s="715">
        <f>SUM(Tv!H55:H57)</f>
        <v>0</v>
      </c>
      <c r="C136" s="716"/>
      <c r="D136" s="717" t="e">
        <f t="shared" si="16"/>
        <v>#DIV/0!</v>
      </c>
      <c r="E136" s="720"/>
      <c r="F136" s="717" t="e">
        <f t="shared" si="17"/>
        <v>#DIV/0!</v>
      </c>
      <c r="G136" s="720"/>
      <c r="H136" s="716" t="e">
        <f t="shared" si="18"/>
        <v>#DIV/0!</v>
      </c>
    </row>
    <row r="137" spans="1:16" ht="15.5" x14ac:dyDescent="0.35">
      <c r="A137" s="734" t="s">
        <v>1257</v>
      </c>
      <c r="B137" s="715">
        <f>SUM(Tv!H58:H60)</f>
        <v>0</v>
      </c>
      <c r="C137" s="716"/>
      <c r="D137" s="717" t="e">
        <f t="shared" si="16"/>
        <v>#DIV/0!</v>
      </c>
      <c r="E137" s="718"/>
      <c r="F137" s="717" t="e">
        <f t="shared" si="17"/>
        <v>#DIV/0!</v>
      </c>
      <c r="G137" s="718"/>
      <c r="H137" s="716" t="e">
        <f t="shared" si="18"/>
        <v>#DIV/0!</v>
      </c>
    </row>
    <row r="138" spans="1:16" ht="15.5" x14ac:dyDescent="0.35">
      <c r="A138" s="734" t="s">
        <v>2030</v>
      </c>
      <c r="B138" s="715">
        <f>SUM(Tv!H44:H54)</f>
        <v>0</v>
      </c>
      <c r="C138" s="716"/>
      <c r="D138" s="717" t="e">
        <f t="shared" si="16"/>
        <v>#DIV/0!</v>
      </c>
      <c r="E138" s="718"/>
      <c r="F138" s="717" t="e">
        <f t="shared" si="17"/>
        <v>#DIV/0!</v>
      </c>
      <c r="G138" s="718"/>
      <c r="H138" s="716" t="e">
        <f t="shared" si="18"/>
        <v>#DIV/0!</v>
      </c>
    </row>
    <row r="139" spans="1:16" ht="15.5" x14ac:dyDescent="0.35">
      <c r="A139" s="734" t="s">
        <v>2078</v>
      </c>
      <c r="B139" s="715">
        <f>SUM(Tv!H62:H75)</f>
        <v>0</v>
      </c>
      <c r="C139" s="716"/>
      <c r="D139" s="717" t="e">
        <f t="shared" si="16"/>
        <v>#DIV/0!</v>
      </c>
      <c r="E139" s="718"/>
      <c r="F139" s="717" t="e">
        <f t="shared" si="17"/>
        <v>#DIV/0!</v>
      </c>
      <c r="G139" s="718"/>
      <c r="H139" s="716" t="e">
        <f t="shared" si="18"/>
        <v>#DIV/0!</v>
      </c>
      <c r="J139" s="889" t="s">
        <v>1985</v>
      </c>
    </row>
    <row r="140" spans="1:16" ht="15.5" x14ac:dyDescent="0.35">
      <c r="A140" s="714" t="s">
        <v>1260</v>
      </c>
      <c r="B140" s="715"/>
      <c r="C140" s="716"/>
      <c r="D140" s="717"/>
      <c r="E140" s="718"/>
      <c r="F140" s="717"/>
      <c r="G140" s="718"/>
      <c r="H140" s="717"/>
      <c r="J140" s="756">
        <f>diesel_fuel</f>
        <v>2.56</v>
      </c>
      <c r="K140" s="709" t="s">
        <v>1559</v>
      </c>
    </row>
    <row r="141" spans="1:16" ht="15.5" x14ac:dyDescent="0.35">
      <c r="A141" s="734" t="s">
        <v>1910</v>
      </c>
      <c r="B141" s="715">
        <f>Tv!H78</f>
        <v>0</v>
      </c>
      <c r="C141" s="716"/>
      <c r="D141" s="717" t="e">
        <f t="shared" ref="D141:D158" si="19">B141/triticale</f>
        <v>#DIV/0!</v>
      </c>
      <c r="E141" s="718"/>
      <c r="F141" s="717" t="e">
        <f t="shared" ref="F141:F158" si="20">B141/($C$97*triticale)</f>
        <v>#DIV/0!</v>
      </c>
      <c r="G141" s="718"/>
      <c r="H141" s="716" t="e">
        <f t="shared" ref="H141:H158" si="21">B141/($E$97*triticale)</f>
        <v>#DIV/0!</v>
      </c>
      <c r="J141" s="697" t="s">
        <v>76</v>
      </c>
      <c r="K141" s="697"/>
      <c r="L141" s="697" t="s">
        <v>77</v>
      </c>
      <c r="M141" s="698"/>
      <c r="N141" s="697" t="s">
        <v>1554</v>
      </c>
      <c r="O141" s="698"/>
      <c r="P141" s="697" t="s">
        <v>385</v>
      </c>
    </row>
    <row r="142" spans="1:16" ht="15.5" x14ac:dyDescent="0.35">
      <c r="A142" s="734" t="s">
        <v>1251</v>
      </c>
      <c r="B142" s="715">
        <f>Tv!H79</f>
        <v>0</v>
      </c>
      <c r="C142" s="716"/>
      <c r="D142" s="717" t="e">
        <f t="shared" si="19"/>
        <v>#DIV/0!</v>
      </c>
      <c r="E142" s="718"/>
      <c r="F142" s="717" t="e">
        <f t="shared" si="20"/>
        <v>#DIV/0!</v>
      </c>
      <c r="G142" s="718"/>
      <c r="H142" s="716" t="e">
        <f t="shared" si="21"/>
        <v>#DIV/0!</v>
      </c>
      <c r="J142" s="763">
        <f>SUM(B141:B154)</f>
        <v>0</v>
      </c>
      <c r="L142" s="756" t="e">
        <f>SUM(D141:D154)</f>
        <v>#DIV/0!</v>
      </c>
      <c r="N142" s="756" t="e">
        <f>SUM(F141:F154)</f>
        <v>#DIV/0!</v>
      </c>
      <c r="P142" s="756" t="e">
        <f>SUM(H141:H154)</f>
        <v>#DIV/0!</v>
      </c>
    </row>
    <row r="143" spans="1:16" ht="15.5" x14ac:dyDescent="0.35">
      <c r="A143" s="734" t="s">
        <v>1256</v>
      </c>
      <c r="B143" s="715">
        <f>Tv!H80</f>
        <v>0</v>
      </c>
      <c r="C143" s="716"/>
      <c r="D143" s="717" t="e">
        <f t="shared" si="19"/>
        <v>#DIV/0!</v>
      </c>
      <c r="E143" s="718"/>
      <c r="F143" s="717" t="e">
        <f t="shared" si="20"/>
        <v>#DIV/0!</v>
      </c>
      <c r="G143" s="718"/>
      <c r="H143" s="716" t="e">
        <f t="shared" si="21"/>
        <v>#DIV/0!</v>
      </c>
    </row>
    <row r="144" spans="1:16" ht="15.5" x14ac:dyDescent="0.35">
      <c r="A144" s="734" t="s">
        <v>1252</v>
      </c>
      <c r="B144" s="715">
        <f>Tv!H81</f>
        <v>0</v>
      </c>
      <c r="C144" s="716"/>
      <c r="D144" s="717" t="e">
        <f t="shared" si="19"/>
        <v>#DIV/0!</v>
      </c>
      <c r="E144" s="718"/>
      <c r="F144" s="717" t="e">
        <f t="shared" si="20"/>
        <v>#DIV/0!</v>
      </c>
      <c r="G144" s="718"/>
      <c r="H144" s="716" t="e">
        <f t="shared" si="21"/>
        <v>#DIV/0!</v>
      </c>
    </row>
    <row r="145" spans="1:8" ht="15.5" x14ac:dyDescent="0.35">
      <c r="A145" s="734" t="s">
        <v>1253</v>
      </c>
      <c r="B145" s="715">
        <f>Tv!H85</f>
        <v>0</v>
      </c>
      <c r="C145" s="716"/>
      <c r="D145" s="717" t="e">
        <f t="shared" si="19"/>
        <v>#DIV/0!</v>
      </c>
      <c r="E145" s="718"/>
      <c r="F145" s="717" t="e">
        <f t="shared" si="20"/>
        <v>#DIV/0!</v>
      </c>
      <c r="G145" s="718"/>
      <c r="H145" s="716" t="e">
        <f t="shared" si="21"/>
        <v>#DIV/0!</v>
      </c>
    </row>
    <row r="146" spans="1:8" ht="15.5" x14ac:dyDescent="0.35">
      <c r="A146" s="734" t="s">
        <v>1254</v>
      </c>
      <c r="B146" s="715">
        <f>Tv!H86</f>
        <v>0</v>
      </c>
      <c r="C146" s="716"/>
      <c r="D146" s="717" t="e">
        <f t="shared" si="19"/>
        <v>#DIV/0!</v>
      </c>
      <c r="E146" s="718"/>
      <c r="F146" s="717" t="e">
        <f t="shared" si="20"/>
        <v>#DIV/0!</v>
      </c>
      <c r="G146" s="718"/>
      <c r="H146" s="716" t="e">
        <f t="shared" si="21"/>
        <v>#DIV/0!</v>
      </c>
    </row>
    <row r="147" spans="1:8" ht="15.5" x14ac:dyDescent="0.35">
      <c r="A147" s="734" t="s">
        <v>2175</v>
      </c>
      <c r="B147" s="715">
        <f>Tv!H87</f>
        <v>0</v>
      </c>
      <c r="C147" s="716"/>
      <c r="D147" s="719" t="e">
        <f t="shared" si="19"/>
        <v>#DIV/0!</v>
      </c>
      <c r="E147" s="720"/>
      <c r="F147" s="719" t="e">
        <f t="shared" si="20"/>
        <v>#DIV/0!</v>
      </c>
      <c r="G147" s="720"/>
      <c r="H147" s="715" t="e">
        <f t="shared" si="21"/>
        <v>#DIV/0!</v>
      </c>
    </row>
    <row r="148" spans="1:8" ht="15.5" x14ac:dyDescent="0.35">
      <c r="A148" s="734" t="s">
        <v>1259</v>
      </c>
      <c r="B148" s="715">
        <f>Tv!H89</f>
        <v>0</v>
      </c>
      <c r="C148" s="716"/>
      <c r="D148" s="719" t="e">
        <f t="shared" si="19"/>
        <v>#DIV/0!</v>
      </c>
      <c r="E148" s="718"/>
      <c r="F148" s="719" t="e">
        <f t="shared" si="20"/>
        <v>#DIV/0!</v>
      </c>
      <c r="G148" s="718"/>
      <c r="H148" s="715" t="e">
        <f t="shared" si="21"/>
        <v>#DIV/0!</v>
      </c>
    </row>
    <row r="149" spans="1:8" ht="15.5" x14ac:dyDescent="0.35">
      <c r="A149" s="734" t="s">
        <v>1255</v>
      </c>
      <c r="B149" s="715">
        <f>SUM(Tv!H92:H93)</f>
        <v>0</v>
      </c>
      <c r="C149" s="716"/>
      <c r="D149" s="717" t="e">
        <f t="shared" si="19"/>
        <v>#DIV/0!</v>
      </c>
      <c r="E149" s="718"/>
      <c r="F149" s="717" t="e">
        <f t="shared" si="20"/>
        <v>#DIV/0!</v>
      </c>
      <c r="G149" s="718"/>
      <c r="H149" s="716" t="e">
        <f t="shared" si="21"/>
        <v>#DIV/0!</v>
      </c>
    </row>
    <row r="150" spans="1:8" ht="15.5" x14ac:dyDescent="0.35">
      <c r="A150" s="734" t="s">
        <v>2077</v>
      </c>
      <c r="B150" s="715">
        <f>SUM(Tv!H94:H95)</f>
        <v>0</v>
      </c>
      <c r="C150" s="716"/>
      <c r="D150" s="717" t="e">
        <f t="shared" si="19"/>
        <v>#DIV/0!</v>
      </c>
      <c r="E150" s="718"/>
      <c r="F150" s="717" t="e">
        <f t="shared" si="20"/>
        <v>#DIV/0!</v>
      </c>
      <c r="G150" s="718"/>
      <c r="H150" s="716" t="e">
        <f t="shared" si="21"/>
        <v>#DIV/0!</v>
      </c>
    </row>
    <row r="151" spans="1:8" ht="15.5" x14ac:dyDescent="0.35">
      <c r="A151" s="734" t="s">
        <v>1537</v>
      </c>
      <c r="B151" s="715">
        <f>SUM(Tv!H107:H109)</f>
        <v>0</v>
      </c>
      <c r="C151" s="716"/>
      <c r="D151" s="719" t="e">
        <f t="shared" si="19"/>
        <v>#DIV/0!</v>
      </c>
      <c r="E151" s="718"/>
      <c r="F151" s="719" t="e">
        <f t="shared" si="20"/>
        <v>#DIV/0!</v>
      </c>
      <c r="G151" s="718"/>
      <c r="H151" s="715" t="e">
        <f t="shared" si="21"/>
        <v>#DIV/0!</v>
      </c>
    </row>
    <row r="152" spans="1:8" ht="15.5" x14ac:dyDescent="0.35">
      <c r="A152" s="734" t="s">
        <v>1257</v>
      </c>
      <c r="B152" s="715">
        <f>SUM(Tv!H110:H112)</f>
        <v>0</v>
      </c>
      <c r="C152" s="716"/>
      <c r="D152" s="719" t="e">
        <f t="shared" si="19"/>
        <v>#DIV/0!</v>
      </c>
      <c r="E152" s="720"/>
      <c r="F152" s="719" t="e">
        <f t="shared" si="20"/>
        <v>#DIV/0!</v>
      </c>
      <c r="G152" s="720"/>
      <c r="H152" s="715" t="e">
        <f t="shared" si="21"/>
        <v>#DIV/0!</v>
      </c>
    </row>
    <row r="153" spans="1:8" ht="15.5" x14ac:dyDescent="0.35">
      <c r="A153" s="734" t="s">
        <v>2030</v>
      </c>
      <c r="B153" s="715">
        <f>SUM(Tv!H96:H106)</f>
        <v>0</v>
      </c>
      <c r="C153" s="716"/>
      <c r="D153" s="717" t="e">
        <f t="shared" si="19"/>
        <v>#DIV/0!</v>
      </c>
      <c r="E153" s="720"/>
      <c r="F153" s="717" t="e">
        <f t="shared" si="20"/>
        <v>#DIV/0!</v>
      </c>
      <c r="G153" s="720"/>
      <c r="H153" s="716" t="e">
        <f t="shared" si="21"/>
        <v>#DIV/0!</v>
      </c>
    </row>
    <row r="154" spans="1:8" ht="15.5" x14ac:dyDescent="0.35">
      <c r="A154" s="734" t="s">
        <v>2078</v>
      </c>
      <c r="B154" s="715">
        <f>SUM(Tv!H114:H127)</f>
        <v>0</v>
      </c>
      <c r="C154" s="716"/>
      <c r="D154" s="717" t="e">
        <f t="shared" si="19"/>
        <v>#DIV/0!</v>
      </c>
      <c r="E154" s="720"/>
      <c r="F154" s="717" t="e">
        <f t="shared" si="20"/>
        <v>#DIV/0!</v>
      </c>
      <c r="G154" s="720"/>
      <c r="H154" s="716" t="e">
        <f t="shared" si="21"/>
        <v>#DIV/0!</v>
      </c>
    </row>
    <row r="155" spans="1:8" ht="15.5" x14ac:dyDescent="0.35">
      <c r="A155" s="714" t="s">
        <v>1258</v>
      </c>
      <c r="B155" s="715">
        <f>Tv!H128</f>
        <v>0</v>
      </c>
      <c r="C155" s="716"/>
      <c r="D155" s="717" t="e">
        <f t="shared" si="19"/>
        <v>#DIV/0!</v>
      </c>
      <c r="E155" s="718"/>
      <c r="F155" s="717" t="e">
        <f t="shared" si="20"/>
        <v>#DIV/0!</v>
      </c>
      <c r="G155" s="718"/>
      <c r="H155" s="716" t="e">
        <f t="shared" si="21"/>
        <v>#DIV/0!</v>
      </c>
    </row>
    <row r="156" spans="1:8" ht="15.5" x14ac:dyDescent="0.35">
      <c r="A156" s="714" t="s">
        <v>78</v>
      </c>
      <c r="B156" s="715">
        <f>SUM(Tv!H129:H130)</f>
        <v>0</v>
      </c>
      <c r="C156" s="716"/>
      <c r="D156" s="717" t="e">
        <f t="shared" si="19"/>
        <v>#DIV/0!</v>
      </c>
      <c r="E156" s="718"/>
      <c r="F156" s="717" t="e">
        <f t="shared" si="20"/>
        <v>#DIV/0!</v>
      </c>
      <c r="G156" s="718"/>
      <c r="H156" s="716" t="e">
        <f t="shared" si="21"/>
        <v>#DIV/0!</v>
      </c>
    </row>
    <row r="157" spans="1:8" ht="15.5" x14ac:dyDescent="0.35">
      <c r="A157" s="714" t="s">
        <v>170</v>
      </c>
      <c r="B157" s="732">
        <f>Tv!H131</f>
        <v>0</v>
      </c>
      <c r="C157" s="733"/>
      <c r="D157" s="719" t="e">
        <f t="shared" si="19"/>
        <v>#DIV/0!</v>
      </c>
      <c r="E157" s="720"/>
      <c r="F157" s="719" t="e">
        <f t="shared" si="20"/>
        <v>#DIV/0!</v>
      </c>
      <c r="G157" s="720"/>
      <c r="H157" s="715" t="e">
        <f t="shared" si="21"/>
        <v>#DIV/0!</v>
      </c>
    </row>
    <row r="158" spans="1:8" ht="15.5" x14ac:dyDescent="0.35">
      <c r="A158" s="714" t="s">
        <v>171</v>
      </c>
      <c r="B158" s="732">
        <f>SUM(Tv!H132:H133)</f>
        <v>0</v>
      </c>
      <c r="C158" s="733"/>
      <c r="D158" s="717" t="e">
        <f t="shared" si="19"/>
        <v>#DIV/0!</v>
      </c>
      <c r="E158" s="718"/>
      <c r="F158" s="717" t="e">
        <f t="shared" si="20"/>
        <v>#DIV/0!</v>
      </c>
      <c r="G158" s="718"/>
      <c r="H158" s="716" t="e">
        <f t="shared" si="21"/>
        <v>#DIV/0!</v>
      </c>
    </row>
    <row r="159" spans="1:8" ht="15.5" x14ac:dyDescent="0.35">
      <c r="A159" s="714" t="s">
        <v>172</v>
      </c>
      <c r="B159" s="732"/>
      <c r="C159" s="733"/>
      <c r="D159" s="717"/>
      <c r="E159" s="718"/>
      <c r="F159" s="717"/>
      <c r="G159" s="718"/>
      <c r="H159" s="717"/>
    </row>
    <row r="160" spans="1:8" ht="15.5" x14ac:dyDescent="0.35">
      <c r="A160" s="734" t="s">
        <v>439</v>
      </c>
      <c r="B160" s="732">
        <f>Tv!H135</f>
        <v>0</v>
      </c>
      <c r="C160" s="733"/>
      <c r="D160" s="717" t="e">
        <f t="shared" ref="D160:D174" si="22">B160/triticale</f>
        <v>#DIV/0!</v>
      </c>
      <c r="E160" s="718"/>
      <c r="F160" s="717" t="e">
        <f t="shared" ref="F160:F174" si="23">B160/($C$97*triticale)</f>
        <v>#DIV/0!</v>
      </c>
      <c r="G160" s="718"/>
      <c r="H160" s="716" t="e">
        <f t="shared" ref="H160:H174" si="24">B160/($E$97*triticale)</f>
        <v>#DIV/0!</v>
      </c>
    </row>
    <row r="161" spans="1:8" ht="15.5" x14ac:dyDescent="0.35">
      <c r="A161" s="734" t="s">
        <v>1506</v>
      </c>
      <c r="B161" s="732">
        <f>SUM(Tv!H136:H138)</f>
        <v>0</v>
      </c>
      <c r="C161" s="733"/>
      <c r="D161" s="717" t="e">
        <f t="shared" si="22"/>
        <v>#DIV/0!</v>
      </c>
      <c r="E161" s="718"/>
      <c r="F161" s="717" t="e">
        <f t="shared" si="23"/>
        <v>#DIV/0!</v>
      </c>
      <c r="G161" s="718"/>
      <c r="H161" s="716" t="e">
        <f t="shared" si="24"/>
        <v>#DIV/0!</v>
      </c>
    </row>
    <row r="162" spans="1:8" ht="15.5" x14ac:dyDescent="0.35">
      <c r="A162" s="734" t="s">
        <v>1505</v>
      </c>
      <c r="B162" s="732">
        <f>SUM(Tv!H139:H141)</f>
        <v>0</v>
      </c>
      <c r="C162" s="733"/>
      <c r="D162" s="717" t="e">
        <f t="shared" si="22"/>
        <v>#DIV/0!</v>
      </c>
      <c r="E162" s="718"/>
      <c r="F162" s="717" t="e">
        <f t="shared" si="23"/>
        <v>#DIV/0!</v>
      </c>
      <c r="G162" s="718"/>
      <c r="H162" s="716" t="e">
        <f t="shared" si="24"/>
        <v>#DIV/0!</v>
      </c>
    </row>
    <row r="163" spans="1:8" ht="15.5" x14ac:dyDescent="0.35">
      <c r="A163" s="734" t="s">
        <v>1237</v>
      </c>
      <c r="B163" s="732">
        <f>Tv!H142</f>
        <v>0</v>
      </c>
      <c r="C163" s="733"/>
      <c r="D163" s="717" t="e">
        <f t="shared" si="22"/>
        <v>#DIV/0!</v>
      </c>
      <c r="E163" s="718"/>
      <c r="F163" s="717" t="e">
        <f t="shared" si="23"/>
        <v>#DIV/0!</v>
      </c>
      <c r="G163" s="718"/>
      <c r="H163" s="716" t="e">
        <f t="shared" si="24"/>
        <v>#DIV/0!</v>
      </c>
    </row>
    <row r="164" spans="1:8" ht="15.5" x14ac:dyDescent="0.35">
      <c r="A164" s="734" t="s">
        <v>1212</v>
      </c>
      <c r="B164" s="732">
        <f>SUM(Tv!H143:H145)</f>
        <v>0</v>
      </c>
      <c r="C164" s="733"/>
      <c r="D164" s="717" t="e">
        <f t="shared" si="22"/>
        <v>#DIV/0!</v>
      </c>
      <c r="E164" s="718"/>
      <c r="F164" s="717" t="e">
        <f t="shared" si="23"/>
        <v>#DIV/0!</v>
      </c>
      <c r="G164" s="718"/>
      <c r="H164" s="716" t="e">
        <f t="shared" si="24"/>
        <v>#DIV/0!</v>
      </c>
    </row>
    <row r="165" spans="1:8" ht="15.5" x14ac:dyDescent="0.35">
      <c r="A165" s="734" t="s">
        <v>1238</v>
      </c>
      <c r="B165" s="732">
        <f>SUM(Tv!H146:H148)</f>
        <v>0</v>
      </c>
      <c r="C165" s="733"/>
      <c r="D165" s="717" t="e">
        <f t="shared" si="22"/>
        <v>#DIV/0!</v>
      </c>
      <c r="E165" s="720"/>
      <c r="F165" s="717" t="e">
        <f t="shared" si="23"/>
        <v>#DIV/0!</v>
      </c>
      <c r="G165" s="720"/>
      <c r="H165" s="716" t="e">
        <f t="shared" si="24"/>
        <v>#DIV/0!</v>
      </c>
    </row>
    <row r="166" spans="1:8" ht="15.5" x14ac:dyDescent="0.35">
      <c r="A166" s="734" t="s">
        <v>2076</v>
      </c>
      <c r="B166" s="753">
        <f>SUM(Tv!H149:H155)</f>
        <v>0</v>
      </c>
      <c r="C166" s="699"/>
      <c r="D166" s="717" t="e">
        <f t="shared" si="22"/>
        <v>#DIV/0!</v>
      </c>
      <c r="E166" s="753"/>
      <c r="F166" s="717" t="e">
        <f t="shared" si="23"/>
        <v>#DIV/0!</v>
      </c>
      <c r="G166" s="753"/>
      <c r="H166" s="716" t="e">
        <f t="shared" si="24"/>
        <v>#DIV/0!</v>
      </c>
    </row>
    <row r="167" spans="1:8" ht="15.5" x14ac:dyDescent="0.35">
      <c r="A167" s="734" t="s">
        <v>2029</v>
      </c>
      <c r="B167" s="732">
        <f>SUM(Tv!H156:H158)</f>
        <v>0</v>
      </c>
      <c r="C167" s="733"/>
      <c r="D167" s="719" t="e">
        <f>B167/triticale</f>
        <v>#DIV/0!</v>
      </c>
      <c r="E167" s="718"/>
      <c r="F167" s="719" t="e">
        <f>B167/($C$97*triticale)</f>
        <v>#DIV/0!</v>
      </c>
      <c r="G167" s="718"/>
      <c r="H167" s="715" t="e">
        <f>B167/($E$97*triticale)</f>
        <v>#DIV/0!</v>
      </c>
    </row>
    <row r="168" spans="1:8" ht="15.5" x14ac:dyDescent="0.35">
      <c r="A168" s="734" t="s">
        <v>1532</v>
      </c>
      <c r="B168" s="732">
        <f>SUM(Tv!H159:H163)</f>
        <v>0</v>
      </c>
      <c r="C168" s="733"/>
      <c r="D168" s="717" t="e">
        <f t="shared" si="22"/>
        <v>#DIV/0!</v>
      </c>
      <c r="E168" s="720"/>
      <c r="F168" s="717" t="e">
        <f t="shared" si="23"/>
        <v>#DIV/0!</v>
      </c>
      <c r="G168" s="720"/>
      <c r="H168" s="716" t="e">
        <f t="shared" si="24"/>
        <v>#DIV/0!</v>
      </c>
    </row>
    <row r="169" spans="1:8" ht="15.5" x14ac:dyDescent="0.35">
      <c r="A169" s="734" t="s">
        <v>1533</v>
      </c>
      <c r="B169" s="732">
        <f>SUM(Tv!H164:H165)</f>
        <v>0</v>
      </c>
      <c r="C169" s="733"/>
      <c r="D169" s="719" t="e">
        <f t="shared" si="22"/>
        <v>#DIV/0!</v>
      </c>
      <c r="E169" s="720"/>
      <c r="F169" s="719" t="e">
        <f t="shared" si="23"/>
        <v>#DIV/0!</v>
      </c>
      <c r="G169" s="720"/>
      <c r="H169" s="715" t="e">
        <f t="shared" si="24"/>
        <v>#DIV/0!</v>
      </c>
    </row>
    <row r="170" spans="1:8" ht="15.5" x14ac:dyDescent="0.35">
      <c r="A170" s="734" t="s">
        <v>1534</v>
      </c>
      <c r="B170" s="732">
        <f>Tv!H166</f>
        <v>0</v>
      </c>
      <c r="C170" s="733"/>
      <c r="D170" s="717" t="e">
        <f t="shared" si="22"/>
        <v>#DIV/0!</v>
      </c>
      <c r="E170" s="720"/>
      <c r="F170" s="785" t="e">
        <f t="shared" si="23"/>
        <v>#DIV/0!</v>
      </c>
      <c r="G170" s="720"/>
      <c r="H170" s="716" t="e">
        <f t="shared" si="24"/>
        <v>#DIV/0!</v>
      </c>
    </row>
    <row r="171" spans="1:8" ht="15.5" x14ac:dyDescent="0.35">
      <c r="A171" s="734" t="s">
        <v>1535</v>
      </c>
      <c r="B171" s="732">
        <f>Tv!H167</f>
        <v>0</v>
      </c>
      <c r="C171" s="733"/>
      <c r="D171" s="717" t="e">
        <f t="shared" si="22"/>
        <v>#DIV/0!</v>
      </c>
      <c r="E171" s="720"/>
      <c r="F171" s="785" t="e">
        <f t="shared" si="23"/>
        <v>#DIV/0!</v>
      </c>
      <c r="G171" s="720"/>
      <c r="H171" s="716" t="e">
        <f t="shared" si="24"/>
        <v>#DIV/0!</v>
      </c>
    </row>
    <row r="172" spans="1:8" ht="15.5" x14ac:dyDescent="0.35">
      <c r="A172" s="734" t="s">
        <v>1536</v>
      </c>
      <c r="B172" s="732">
        <f>Tv!H168</f>
        <v>0</v>
      </c>
      <c r="C172" s="733"/>
      <c r="D172" s="717" t="e">
        <f t="shared" si="22"/>
        <v>#DIV/0!</v>
      </c>
      <c r="E172" s="720"/>
      <c r="F172" s="785" t="e">
        <f t="shared" si="23"/>
        <v>#DIV/0!</v>
      </c>
      <c r="G172" s="720"/>
      <c r="H172" s="716" t="e">
        <f t="shared" si="24"/>
        <v>#DIV/0!</v>
      </c>
    </row>
    <row r="173" spans="1:8" ht="15.5" x14ac:dyDescent="0.35">
      <c r="A173" s="734" t="s">
        <v>443</v>
      </c>
      <c r="B173" s="732">
        <f>SUM(Tv!H169:H171)</f>
        <v>0</v>
      </c>
      <c r="C173" s="733"/>
      <c r="D173" s="719" t="e">
        <f t="shared" si="22"/>
        <v>#DIV/0!</v>
      </c>
      <c r="E173" s="720"/>
      <c r="F173" s="719" t="e">
        <f t="shared" si="23"/>
        <v>#DIV/0!</v>
      </c>
      <c r="G173" s="720"/>
      <c r="H173" s="715" t="e">
        <f t="shared" si="24"/>
        <v>#DIV/0!</v>
      </c>
    </row>
    <row r="174" spans="1:8" ht="15.5" x14ac:dyDescent="0.35">
      <c r="A174" s="714" t="s">
        <v>69</v>
      </c>
      <c r="B174" s="732">
        <f>Tv!H175</f>
        <v>0</v>
      </c>
      <c r="C174" s="733"/>
      <c r="D174" s="717" t="e">
        <f t="shared" si="22"/>
        <v>#DIV/0!</v>
      </c>
      <c r="E174" s="718"/>
      <c r="F174" s="717" t="e">
        <f t="shared" si="23"/>
        <v>#DIV/0!</v>
      </c>
      <c r="G174" s="718"/>
      <c r="H174" s="716" t="e">
        <f t="shared" si="24"/>
        <v>#DIV/0!</v>
      </c>
    </row>
    <row r="175" spans="1:8" ht="15" x14ac:dyDescent="0.3">
      <c r="A175" s="709" t="s">
        <v>366</v>
      </c>
      <c r="B175" s="735">
        <f>SUM(B118:B174)</f>
        <v>0</v>
      </c>
      <c r="C175" s="736"/>
      <c r="D175" s="737" t="e">
        <f>SUM(D118:D174)</f>
        <v>#DIV/0!</v>
      </c>
      <c r="E175" s="737"/>
      <c r="F175" s="737" t="e">
        <f>SUM(F118:F174)</f>
        <v>#DIV/0!</v>
      </c>
      <c r="G175" s="737"/>
      <c r="H175" s="737" t="e">
        <f>SUM(H118:H174)</f>
        <v>#DIV/0!</v>
      </c>
    </row>
    <row r="176" spans="1:8" ht="15.5" x14ac:dyDescent="0.35">
      <c r="A176" s="738"/>
      <c r="B176" s="732"/>
      <c r="C176" s="733"/>
      <c r="D176" s="739"/>
      <c r="E176" s="740"/>
      <c r="F176" s="740"/>
      <c r="G176" s="740"/>
      <c r="H176" s="740"/>
    </row>
    <row r="177" spans="1:16" ht="15.5" x14ac:dyDescent="0.35">
      <c r="A177" s="709" t="s">
        <v>367</v>
      </c>
      <c r="B177" s="732"/>
      <c r="C177" s="733"/>
      <c r="D177" s="739"/>
      <c r="E177" s="740"/>
      <c r="F177" s="740"/>
      <c r="G177" s="740"/>
      <c r="H177" s="740"/>
    </row>
    <row r="178" spans="1:16" ht="15.5" x14ac:dyDescent="0.35">
      <c r="A178" s="714" t="s">
        <v>29</v>
      </c>
      <c r="B178" s="732"/>
      <c r="C178" s="733"/>
      <c r="D178" s="733"/>
      <c r="E178" s="757"/>
      <c r="F178" s="716"/>
      <c r="G178" s="757"/>
      <c r="H178" s="716"/>
      <c r="J178" s="890" t="s">
        <v>29</v>
      </c>
    </row>
    <row r="179" spans="1:16" ht="15.5" x14ac:dyDescent="0.35">
      <c r="A179" s="734" t="s">
        <v>1240</v>
      </c>
      <c r="B179" s="732">
        <f>SUM(Tf!H8:H24)</f>
        <v>0</v>
      </c>
      <c r="C179" s="733"/>
      <c r="D179" s="717" t="e">
        <f t="shared" ref="D179:D192" si="25">B179/triticale</f>
        <v>#DIV/0!</v>
      </c>
      <c r="E179" s="757"/>
      <c r="F179" s="717" t="e">
        <f t="shared" ref="F179:F192" si="26">B179/($C$97*triticale)</f>
        <v>#DIV/0!</v>
      </c>
      <c r="G179" s="757"/>
      <c r="H179" s="716" t="e">
        <f t="shared" ref="H179:H192" si="27">B179/($E$97*triticale)</f>
        <v>#DIV/0!</v>
      </c>
      <c r="J179" s="697" t="s">
        <v>76</v>
      </c>
      <c r="K179" s="697"/>
      <c r="L179" s="697" t="s">
        <v>77</v>
      </c>
      <c r="M179" s="698"/>
      <c r="N179" s="697" t="s">
        <v>1554</v>
      </c>
      <c r="O179" s="698"/>
      <c r="P179" s="697" t="s">
        <v>385</v>
      </c>
    </row>
    <row r="180" spans="1:16" ht="15.5" x14ac:dyDescent="0.35">
      <c r="A180" s="734" t="s">
        <v>1241</v>
      </c>
      <c r="B180" s="732">
        <f>SUM(Tf!H25:H33)</f>
        <v>0</v>
      </c>
      <c r="C180" s="733"/>
      <c r="D180" s="717" t="e">
        <f t="shared" si="25"/>
        <v>#DIV/0!</v>
      </c>
      <c r="E180" s="757"/>
      <c r="F180" s="717" t="e">
        <f t="shared" si="26"/>
        <v>#DIV/0!</v>
      </c>
      <c r="G180" s="757"/>
      <c r="H180" s="716" t="e">
        <f t="shared" si="27"/>
        <v>#DIV/0!</v>
      </c>
      <c r="J180" s="763">
        <f>SUM(B179:B191)</f>
        <v>0</v>
      </c>
      <c r="L180" s="756" t="e">
        <f>SUM(D179:D191)</f>
        <v>#DIV/0!</v>
      </c>
      <c r="N180" s="756" t="e">
        <f>SUM(F179:F191)</f>
        <v>#DIV/0!</v>
      </c>
      <c r="P180" s="756" t="e">
        <f>SUM(H179:H191)</f>
        <v>#DIV/0!</v>
      </c>
    </row>
    <row r="181" spans="1:16" ht="15.5" x14ac:dyDescent="0.35">
      <c r="A181" s="734" t="s">
        <v>1243</v>
      </c>
      <c r="B181" s="732">
        <f>SUM(Tf!H34:H50)</f>
        <v>0</v>
      </c>
      <c r="C181" s="733"/>
      <c r="D181" s="717" t="e">
        <f t="shared" si="25"/>
        <v>#DIV/0!</v>
      </c>
      <c r="E181" s="757"/>
      <c r="F181" s="717" t="e">
        <f t="shared" si="26"/>
        <v>#DIV/0!</v>
      </c>
      <c r="G181" s="757"/>
      <c r="H181" s="716" t="e">
        <f t="shared" si="27"/>
        <v>#DIV/0!</v>
      </c>
    </row>
    <row r="182" spans="1:16" ht="15.5" x14ac:dyDescent="0.35">
      <c r="A182" s="734" t="s">
        <v>1242</v>
      </c>
      <c r="B182" s="732">
        <f>SUM(Tf!H51:H62)</f>
        <v>0</v>
      </c>
      <c r="C182" s="733"/>
      <c r="D182" s="717" t="e">
        <f t="shared" si="25"/>
        <v>#DIV/0!</v>
      </c>
      <c r="E182" s="757"/>
      <c r="F182" s="717" t="e">
        <f t="shared" si="26"/>
        <v>#DIV/0!</v>
      </c>
      <c r="G182" s="757"/>
      <c r="H182" s="716" t="e">
        <f t="shared" si="27"/>
        <v>#DIV/0!</v>
      </c>
    </row>
    <row r="183" spans="1:16" ht="15.5" x14ac:dyDescent="0.35">
      <c r="A183" s="734" t="s">
        <v>1244</v>
      </c>
      <c r="B183" s="732">
        <f>SUM(Tf!H63:H67)</f>
        <v>0</v>
      </c>
      <c r="C183" s="733"/>
      <c r="D183" s="719" t="e">
        <f t="shared" si="25"/>
        <v>#DIV/0!</v>
      </c>
      <c r="E183" s="762"/>
      <c r="F183" s="719" t="e">
        <f t="shared" si="26"/>
        <v>#DIV/0!</v>
      </c>
      <c r="G183" s="762"/>
      <c r="H183" s="715" t="e">
        <f t="shared" si="27"/>
        <v>#DIV/0!</v>
      </c>
    </row>
    <row r="184" spans="1:16" ht="15.5" x14ac:dyDescent="0.35">
      <c r="A184" s="734" t="s">
        <v>1245</v>
      </c>
      <c r="B184" s="732">
        <f>0</f>
        <v>0</v>
      </c>
      <c r="C184" s="733"/>
      <c r="D184" s="719" t="e">
        <f t="shared" si="25"/>
        <v>#DIV/0!</v>
      </c>
      <c r="E184" s="762"/>
      <c r="F184" s="719" t="e">
        <f t="shared" si="26"/>
        <v>#DIV/0!</v>
      </c>
      <c r="G184" s="762"/>
      <c r="H184" s="715" t="e">
        <f t="shared" si="27"/>
        <v>#DIV/0!</v>
      </c>
    </row>
    <row r="185" spans="1:16" ht="15.5" x14ac:dyDescent="0.35">
      <c r="A185" s="734" t="s">
        <v>1246</v>
      </c>
      <c r="B185" s="732">
        <f>SUM(Tf!H68:H78)</f>
        <v>0</v>
      </c>
      <c r="C185" s="733"/>
      <c r="D185" s="717" t="e">
        <f t="shared" si="25"/>
        <v>#DIV/0!</v>
      </c>
      <c r="E185" s="757"/>
      <c r="F185" s="717" t="e">
        <f t="shared" si="26"/>
        <v>#DIV/0!</v>
      </c>
      <c r="G185" s="757"/>
      <c r="H185" s="716" t="e">
        <f t="shared" si="27"/>
        <v>#DIV/0!</v>
      </c>
    </row>
    <row r="186" spans="1:16" ht="15.5" x14ac:dyDescent="0.35">
      <c r="A186" s="734" t="s">
        <v>1247</v>
      </c>
      <c r="B186" s="732">
        <f>SUM(Tf!H79:H86)</f>
        <v>0</v>
      </c>
      <c r="C186" s="733"/>
      <c r="D186" s="717" t="e">
        <f t="shared" si="25"/>
        <v>#DIV/0!</v>
      </c>
      <c r="E186" s="757"/>
      <c r="F186" s="785" t="e">
        <f t="shared" si="26"/>
        <v>#DIV/0!</v>
      </c>
      <c r="G186" s="757"/>
      <c r="H186" s="716" t="e">
        <f t="shared" si="27"/>
        <v>#DIV/0!</v>
      </c>
    </row>
    <row r="187" spans="1:16" ht="15.5" x14ac:dyDescent="0.35">
      <c r="A187" s="734" t="s">
        <v>2148</v>
      </c>
      <c r="B187" s="732">
        <f>SUM(Tf!H87:H91)</f>
        <v>0</v>
      </c>
      <c r="C187" s="733"/>
      <c r="D187" s="717" t="e">
        <f t="shared" ref="D187" si="28">B187/triticale</f>
        <v>#DIV/0!</v>
      </c>
      <c r="E187" s="757"/>
      <c r="F187" s="717" t="e">
        <f t="shared" ref="F187" si="29">B187/($C$97*triticale)</f>
        <v>#DIV/0!</v>
      </c>
      <c r="G187" s="757"/>
      <c r="H187" s="716" t="e">
        <f t="shared" ref="H187" si="30">B187/($E$97*triticale)</f>
        <v>#DIV/0!</v>
      </c>
    </row>
    <row r="188" spans="1:16" ht="15.5" x14ac:dyDescent="0.35">
      <c r="A188" s="734" t="s">
        <v>1250</v>
      </c>
      <c r="B188" s="732">
        <f>SUM(Tf!H92:H103)</f>
        <v>0</v>
      </c>
      <c r="C188" s="733"/>
      <c r="D188" s="717" t="e">
        <f t="shared" si="25"/>
        <v>#DIV/0!</v>
      </c>
      <c r="E188" s="757"/>
      <c r="F188" s="717" t="e">
        <f t="shared" si="26"/>
        <v>#DIV/0!</v>
      </c>
      <c r="G188" s="757"/>
      <c r="H188" s="716" t="e">
        <f t="shared" si="27"/>
        <v>#DIV/0!</v>
      </c>
    </row>
    <row r="189" spans="1:16" ht="15.5" x14ac:dyDescent="0.35">
      <c r="A189" s="734" t="s">
        <v>1304</v>
      </c>
      <c r="B189" s="732">
        <f>0</f>
        <v>0</v>
      </c>
      <c r="C189" s="733"/>
      <c r="D189" s="719" t="e">
        <f t="shared" si="25"/>
        <v>#DIV/0!</v>
      </c>
      <c r="E189" s="762"/>
      <c r="F189" s="719" t="e">
        <f t="shared" si="26"/>
        <v>#DIV/0!</v>
      </c>
      <c r="G189" s="762"/>
      <c r="H189" s="715" t="e">
        <f t="shared" si="27"/>
        <v>#DIV/0!</v>
      </c>
    </row>
    <row r="190" spans="1:16" ht="15.5" x14ac:dyDescent="0.35">
      <c r="A190" s="734" t="s">
        <v>1248</v>
      </c>
      <c r="B190" s="732">
        <f>SUM(Tf!H105:H108)</f>
        <v>0</v>
      </c>
      <c r="C190" s="733"/>
      <c r="D190" s="717" t="e">
        <f t="shared" si="25"/>
        <v>#DIV/0!</v>
      </c>
      <c r="E190" s="757"/>
      <c r="F190" s="717" t="e">
        <f t="shared" si="26"/>
        <v>#DIV/0!</v>
      </c>
      <c r="G190" s="757"/>
      <c r="H190" s="716" t="e">
        <f t="shared" si="27"/>
        <v>#DIV/0!</v>
      </c>
    </row>
    <row r="191" spans="1:16" ht="15.5" x14ac:dyDescent="0.35">
      <c r="A191" s="734" t="s">
        <v>1249</v>
      </c>
      <c r="B191" s="732">
        <f>SUM(Tf!H109:H113)</f>
        <v>0</v>
      </c>
      <c r="C191" s="733"/>
      <c r="D191" s="717" t="e">
        <f t="shared" si="25"/>
        <v>#DIV/0!</v>
      </c>
      <c r="E191" s="757"/>
      <c r="F191" s="717" t="e">
        <f t="shared" si="26"/>
        <v>#DIV/0!</v>
      </c>
      <c r="G191" s="757"/>
      <c r="H191" s="716" t="e">
        <f t="shared" si="27"/>
        <v>#DIV/0!</v>
      </c>
    </row>
    <row r="192" spans="1:16" ht="15.5" x14ac:dyDescent="0.35">
      <c r="A192" s="714" t="s">
        <v>79</v>
      </c>
      <c r="B192" s="732">
        <f>Tf!L121</f>
        <v>0</v>
      </c>
      <c r="C192" s="733"/>
      <c r="D192" s="717" t="e">
        <f t="shared" si="25"/>
        <v>#DIV/0!</v>
      </c>
      <c r="E192" s="718"/>
      <c r="F192" s="717" t="e">
        <f t="shared" si="26"/>
        <v>#DIV/0!</v>
      </c>
      <c r="G192" s="718"/>
      <c r="H192" s="716" t="e">
        <f t="shared" si="27"/>
        <v>#DIV/0!</v>
      </c>
    </row>
    <row r="193" spans="1:8" ht="15" x14ac:dyDescent="0.3">
      <c r="A193" s="709" t="s">
        <v>368</v>
      </c>
      <c r="B193" s="735">
        <f>SUM(B178:B192)</f>
        <v>0</v>
      </c>
      <c r="C193" s="736"/>
      <c r="D193" s="737" t="e">
        <f>SUM(D178:D192)</f>
        <v>#DIV/0!</v>
      </c>
      <c r="E193" s="737"/>
      <c r="F193" s="737" t="e">
        <f>SUM(F178:F192)</f>
        <v>#DIV/0!</v>
      </c>
      <c r="G193" s="737"/>
      <c r="H193" s="737" t="e">
        <f>SUM(H178:H192)</f>
        <v>#DIV/0!</v>
      </c>
    </row>
    <row r="194" spans="1:8" ht="15.5" x14ac:dyDescent="0.35">
      <c r="A194" s="699"/>
      <c r="B194" s="735"/>
      <c r="C194" s="736"/>
      <c r="D194" s="737"/>
      <c r="E194" s="741"/>
      <c r="F194" s="741"/>
      <c r="G194" s="741"/>
      <c r="H194" s="741"/>
    </row>
    <row r="195" spans="1:8" ht="15" x14ac:dyDescent="0.3">
      <c r="A195" s="709" t="s">
        <v>80</v>
      </c>
      <c r="B195" s="735">
        <f>B193+B175</f>
        <v>0</v>
      </c>
      <c r="C195" s="736"/>
      <c r="D195" s="737" t="e">
        <f>D193+D175</f>
        <v>#DIV/0!</v>
      </c>
      <c r="E195" s="737"/>
      <c r="F195" s="737" t="e">
        <f>F193+F175</f>
        <v>#DIV/0!</v>
      </c>
      <c r="G195" s="737"/>
      <c r="H195" s="737" t="e">
        <f>H193+H175</f>
        <v>#DIV/0!</v>
      </c>
    </row>
    <row r="196" spans="1:8" ht="15.5" x14ac:dyDescent="0.35">
      <c r="A196" s="742"/>
      <c r="B196" s="735"/>
      <c r="C196" s="736"/>
      <c r="D196" s="737"/>
      <c r="E196" s="737"/>
      <c r="F196" s="737"/>
      <c r="G196" s="737"/>
      <c r="H196" s="737"/>
    </row>
    <row r="197" spans="1:8" ht="15" x14ac:dyDescent="0.3">
      <c r="A197" s="709" t="s">
        <v>355</v>
      </c>
      <c r="B197" s="710">
        <f>B113-B195</f>
        <v>0</v>
      </c>
      <c r="C197" s="736"/>
      <c r="D197" s="712" t="e">
        <f>D113-D195</f>
        <v>#DIV/0!</v>
      </c>
      <c r="E197" s="737"/>
      <c r="F197" s="712" t="e">
        <f>F113-F195</f>
        <v>#DIV/0!</v>
      </c>
      <c r="G197" s="737"/>
      <c r="H197" s="712" t="e">
        <f>H113-H195</f>
        <v>#DIV/0!</v>
      </c>
    </row>
    <row r="198" spans="1:8" ht="15" x14ac:dyDescent="0.3">
      <c r="A198" s="709" t="s">
        <v>356</v>
      </c>
      <c r="B198" s="735">
        <f>B113-B175</f>
        <v>0</v>
      </c>
      <c r="C198" s="736"/>
      <c r="D198" s="737" t="e">
        <f>D113-D175</f>
        <v>#DIV/0!</v>
      </c>
      <c r="E198" s="737"/>
      <c r="F198" s="737" t="e">
        <f>F113-F175</f>
        <v>#DIV/0!</v>
      </c>
      <c r="G198" s="737"/>
      <c r="H198" s="737" t="e">
        <f>H113-H175</f>
        <v>#DIV/0!</v>
      </c>
    </row>
    <row r="199" spans="1:8" ht="15.5" x14ac:dyDescent="0.35">
      <c r="A199" s="699"/>
      <c r="B199" s="743"/>
      <c r="C199" s="743"/>
      <c r="D199" s="702"/>
      <c r="E199" s="703"/>
      <c r="F199" s="703"/>
      <c r="G199" s="703"/>
      <c r="H199" s="703"/>
    </row>
    <row r="200" spans="1:8" ht="15.5" x14ac:dyDescent="0.35">
      <c r="A200" s="709" t="s">
        <v>234</v>
      </c>
      <c r="B200" s="743"/>
      <c r="C200" s="743"/>
      <c r="D200" s="702"/>
      <c r="E200" s="703"/>
      <c r="F200" s="703"/>
      <c r="G200" s="703"/>
      <c r="H200" s="703"/>
    </row>
    <row r="201" spans="1:8" ht="15.5" x14ac:dyDescent="0.35">
      <c r="A201" s="744" t="s">
        <v>369</v>
      </c>
      <c r="B201" s="703" t="s">
        <v>76</v>
      </c>
      <c r="C201" s="743"/>
      <c r="D201" s="703" t="s">
        <v>393</v>
      </c>
      <c r="E201" s="703"/>
      <c r="F201" s="703" t="s">
        <v>1556</v>
      </c>
      <c r="G201" s="703"/>
      <c r="H201" s="703" t="s">
        <v>396</v>
      </c>
    </row>
    <row r="202" spans="1:8" ht="15.5" x14ac:dyDescent="0.35">
      <c r="A202" s="714" t="s">
        <v>370</v>
      </c>
      <c r="B202" s="745">
        <f>B195</f>
        <v>0</v>
      </c>
      <c r="C202" s="743"/>
      <c r="D202" s="717" t="e">
        <f>$B$195/triticale</f>
        <v>#DIV/0!</v>
      </c>
      <c r="E202" s="718"/>
      <c r="F202" s="717" t="e">
        <f>$B$195/($C$97*triticale)</f>
        <v>#DIV/0!</v>
      </c>
      <c r="G202" s="718"/>
      <c r="H202" s="717" t="e">
        <f>$B$195/($E$97*triticale)</f>
        <v>#DIV/0!</v>
      </c>
    </row>
    <row r="203" spans="1:8" ht="15.5" x14ac:dyDescent="0.35">
      <c r="A203" s="714" t="s">
        <v>371</v>
      </c>
      <c r="B203" s="745">
        <f>B175</f>
        <v>0</v>
      </c>
      <c r="C203" s="743"/>
      <c r="D203" s="717" t="e">
        <f>$B$175/triticale</f>
        <v>#DIV/0!</v>
      </c>
      <c r="E203" s="718"/>
      <c r="F203" s="717" t="e">
        <f>$B$175/($C$97*triticale)</f>
        <v>#DIV/0!</v>
      </c>
      <c r="G203" s="718"/>
      <c r="H203" s="717" t="e">
        <f>$B$175/($E$97*triticale)</f>
        <v>#DIV/0!</v>
      </c>
    </row>
    <row r="204" spans="1:8" ht="15.5" x14ac:dyDescent="0.35">
      <c r="A204" s="714"/>
      <c r="B204" s="743"/>
      <c r="C204" s="743"/>
      <c r="D204" s="717"/>
      <c r="E204" s="718"/>
      <c r="F204" s="717"/>
      <c r="G204" s="718"/>
      <c r="H204" s="717"/>
    </row>
    <row r="205" spans="1:8" ht="15.5" x14ac:dyDescent="0.35">
      <c r="A205" s="744" t="s">
        <v>1099</v>
      </c>
      <c r="B205" s="703" t="s">
        <v>1100</v>
      </c>
      <c r="C205" s="743"/>
      <c r="D205" s="703" t="s">
        <v>1995</v>
      </c>
      <c r="E205" s="752"/>
      <c r="F205" s="717"/>
      <c r="G205" s="718"/>
      <c r="H205" s="717"/>
    </row>
    <row r="206" spans="1:8" ht="15.5" x14ac:dyDescent="0.35">
      <c r="A206" s="714" t="s">
        <v>1101</v>
      </c>
      <c r="B206" s="746" t="e">
        <f>B197/SUM(Tv!E25:E76)</f>
        <v>#DIV/0!</v>
      </c>
      <c r="C206" s="743"/>
      <c r="D206" s="1226">
        <f>SUM(Tv!E25:E76)</f>
        <v>0</v>
      </c>
      <c r="E206" s="1225" t="s">
        <v>1996</v>
      </c>
      <c r="F206" s="717"/>
      <c r="G206" s="718"/>
      <c r="H206" s="717"/>
    </row>
    <row r="207" spans="1:8" ht="15.5" x14ac:dyDescent="0.35">
      <c r="A207" s="714" t="s">
        <v>1102</v>
      </c>
      <c r="B207" s="746" t="e">
        <f>B198/SUM(Tv!E25:E76)</f>
        <v>#DIV/0!</v>
      </c>
      <c r="C207" s="743"/>
      <c r="D207" s="717"/>
      <c r="E207" s="718"/>
      <c r="F207" s="717"/>
      <c r="G207" s="718"/>
      <c r="H207" s="717"/>
    </row>
    <row r="208" spans="1:8" ht="15.5" x14ac:dyDescent="0.35">
      <c r="A208" s="747"/>
      <c r="B208" s="748"/>
      <c r="C208" s="748"/>
      <c r="D208" s="749"/>
      <c r="E208" s="750"/>
      <c r="F208" s="750"/>
      <c r="G208" s="750"/>
      <c r="H208" s="750"/>
    </row>
    <row r="209" spans="4:8" x14ac:dyDescent="0.3">
      <c r="D209" s="59"/>
      <c r="E209" s="55"/>
      <c r="F209" s="55"/>
      <c r="G209" s="55"/>
      <c r="H209" s="55"/>
    </row>
  </sheetData>
  <pageMargins left="0.7" right="0.7" top="0.75" bottom="0.75" header="0.3" footer="0.3"/>
  <pageSetup scale="56" orientation="portrait" r:id="rId1"/>
  <rowBreaks count="2" manualBreakCount="2">
    <brk id="90" max="16383" man="1"/>
    <brk id="155" max="16383" man="1"/>
  </rowBreaks>
  <colBreaks count="1" manualBreakCount="1">
    <brk id="8"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12"/>
  <sheetViews>
    <sheetView topLeftCell="A177" workbookViewId="0">
      <selection activeCell="B149" sqref="B149"/>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1942</v>
      </c>
      <c r="B3" s="55" t="s">
        <v>92</v>
      </c>
      <c r="C3" s="54">
        <f>wwheat</f>
        <v>0</v>
      </c>
      <c r="D3" s="17" t="s">
        <v>93</v>
      </c>
    </row>
    <row r="4" spans="1:8" x14ac:dyDescent="0.3">
      <c r="A4" s="7"/>
      <c r="B4" s="55" t="s">
        <v>750</v>
      </c>
      <c r="C4" s="54">
        <f>(wwheat*Data!F33)*Data!$B$33*Data!$C$33</f>
        <v>0</v>
      </c>
      <c r="D4" s="17" t="s">
        <v>93</v>
      </c>
    </row>
    <row r="5" spans="1:8" x14ac:dyDescent="0.3">
      <c r="A5" s="7"/>
      <c r="B5" s="55" t="s">
        <v>751</v>
      </c>
      <c r="C5" s="54">
        <f>(wwheat*Data!G33)*Data!$B$33*Data!$D$33</f>
        <v>0</v>
      </c>
      <c r="D5" s="17" t="s">
        <v>93</v>
      </c>
    </row>
    <row r="6" spans="1:8" x14ac:dyDescent="0.3">
      <c r="A6" s="8"/>
      <c r="B6" s="55" t="s">
        <v>727</v>
      </c>
      <c r="C6" s="54">
        <f>Data!B212</f>
        <v>0</v>
      </c>
      <c r="D6" s="17" t="s">
        <v>1567</v>
      </c>
      <c r="E6" s="1190">
        <f>(C6*Data!$K$61)/2000</f>
        <v>0</v>
      </c>
      <c r="F6" s="17" t="s">
        <v>235</v>
      </c>
      <c r="G6" s="54"/>
    </row>
    <row r="7" spans="1:8" x14ac:dyDescent="0.3">
      <c r="B7" s="55" t="s">
        <v>728</v>
      </c>
      <c r="C7" s="106">
        <f>IF(FARM!$F$19&gt;0,Data!$B$207,Data!$B$208)</f>
        <v>10.32</v>
      </c>
      <c r="D7" s="17" t="s">
        <v>1566</v>
      </c>
      <c r="E7" s="153">
        <f>Data!$K$61</f>
        <v>60</v>
      </c>
      <c r="F7" s="17" t="s">
        <v>1560</v>
      </c>
      <c r="G7" s="153"/>
    </row>
    <row r="8" spans="1:8" x14ac:dyDescent="0.3">
      <c r="B8" s="55" t="s">
        <v>729</v>
      </c>
      <c r="C8" s="671">
        <f>Data!E212</f>
        <v>0</v>
      </c>
      <c r="D8" s="374" t="s">
        <v>731</v>
      </c>
      <c r="E8" s="671">
        <f>Data!H212</f>
        <v>0</v>
      </c>
      <c r="F8" s="17" t="s">
        <v>732</v>
      </c>
      <c r="G8" s="672"/>
    </row>
    <row r="9" spans="1:8" x14ac:dyDescent="0.3">
      <c r="B9" s="55" t="s">
        <v>730</v>
      </c>
      <c r="C9" s="673">
        <f>IF(Straw!$D$13&gt;0,Straw!$D$13,Data!$E$209)</f>
        <v>40</v>
      </c>
      <c r="D9" s="374" t="s">
        <v>733</v>
      </c>
      <c r="E9" s="674">
        <f>IF(Straw!$F$13&gt;0,Straw!$F$13,Data!$H$209)</f>
        <v>5.0833333333333304</v>
      </c>
      <c r="F9" s="17" t="s">
        <v>734</v>
      </c>
      <c r="G9" s="674"/>
    </row>
    <row r="10" spans="1:8" x14ac:dyDescent="0.3">
      <c r="B10" s="55"/>
      <c r="C10" s="54"/>
      <c r="D10" s="17"/>
    </row>
    <row r="11" spans="1:8" ht="15.5" x14ac:dyDescent="0.35">
      <c r="A11" s="751" t="s">
        <v>1942</v>
      </c>
      <c r="B11" s="697" t="s">
        <v>76</v>
      </c>
      <c r="C11" s="697"/>
      <c r="D11" s="697" t="s">
        <v>77</v>
      </c>
      <c r="E11" s="698"/>
      <c r="F11" s="697" t="s">
        <v>1554</v>
      </c>
      <c r="G11" s="698"/>
      <c r="H11" s="697" t="s">
        <v>385</v>
      </c>
    </row>
    <row r="12" spans="1:8" ht="15.65" customHeight="1" x14ac:dyDescent="0.35">
      <c r="A12" s="699" t="s">
        <v>362</v>
      </c>
      <c r="B12" s="700">
        <f>C3</f>
        <v>0</v>
      </c>
      <c r="C12" s="701"/>
      <c r="D12" s="702" t="s">
        <v>363</v>
      </c>
      <c r="E12" s="703"/>
      <c r="F12" s="702" t="s">
        <v>363</v>
      </c>
      <c r="G12" s="703"/>
      <c r="H12" s="702" t="s">
        <v>363</v>
      </c>
    </row>
    <row r="13" spans="1:8" ht="15.65" customHeight="1" x14ac:dyDescent="0.35">
      <c r="A13" s="699" t="s">
        <v>1982</v>
      </c>
      <c r="B13" s="702" t="s">
        <v>363</v>
      </c>
      <c r="C13" s="701"/>
      <c r="D13" s="702" t="s">
        <v>363</v>
      </c>
      <c r="E13" s="703"/>
      <c r="F13" s="702" t="s">
        <v>363</v>
      </c>
      <c r="G13" s="703"/>
      <c r="H13" s="888">
        <f>2000/Data!$K$61</f>
        <v>33.333333333333336</v>
      </c>
    </row>
    <row r="14" spans="1:8" ht="15.65" customHeight="1" x14ac:dyDescent="0.35">
      <c r="A14" s="699" t="s">
        <v>1983</v>
      </c>
      <c r="B14" s="700">
        <f>$C$3*C6</f>
        <v>0</v>
      </c>
      <c r="C14" s="701"/>
      <c r="D14" s="700">
        <f>C6</f>
        <v>0</v>
      </c>
      <c r="E14" s="703"/>
      <c r="F14" s="702" t="s">
        <v>363</v>
      </c>
      <c r="G14" s="703"/>
      <c r="H14" s="702" t="s">
        <v>363</v>
      </c>
    </row>
    <row r="15" spans="1:8" ht="15.65" customHeight="1" x14ac:dyDescent="0.35">
      <c r="A15" s="699" t="s">
        <v>1984</v>
      </c>
      <c r="B15" s="700">
        <f>$C$3*E6</f>
        <v>0</v>
      </c>
      <c r="C15" s="701"/>
      <c r="D15" s="1191">
        <f>E6</f>
        <v>0</v>
      </c>
      <c r="E15" s="703"/>
      <c r="F15" s="702" t="s">
        <v>363</v>
      </c>
      <c r="G15" s="703"/>
      <c r="H15" s="702" t="s">
        <v>363</v>
      </c>
    </row>
    <row r="16" spans="1:8" ht="15.65" customHeight="1" x14ac:dyDescent="0.35">
      <c r="A16" s="699" t="str">
        <f>IF(Data!B209=1,"Winter Wheat Price ($/unit) - Food Grade","Winter Wheat Price ($/unit) - Feed Grade")</f>
        <v>Winter Wheat Price ($/unit) - Feed Grade</v>
      </c>
      <c r="B16" s="702" t="s">
        <v>363</v>
      </c>
      <c r="C16" s="701"/>
      <c r="D16" s="702" t="s">
        <v>363</v>
      </c>
      <c r="E16" s="703"/>
      <c r="F16" s="704">
        <f>C7</f>
        <v>10.32</v>
      </c>
      <c r="G16" s="703"/>
      <c r="H16" s="840">
        <f>F16*H13</f>
        <v>344.00000000000006</v>
      </c>
    </row>
    <row r="17" spans="1:8" ht="15" customHeight="1" x14ac:dyDescent="0.35">
      <c r="A17" s="699" t="s">
        <v>2032</v>
      </c>
      <c r="B17" s="700">
        <f>C8*C4</f>
        <v>0</v>
      </c>
      <c r="C17" s="701"/>
      <c r="D17" s="841">
        <f>C8</f>
        <v>0</v>
      </c>
      <c r="E17" s="703"/>
      <c r="F17" s="842" t="e">
        <f>C8/($C$6*$C$3)</f>
        <v>#DIV/0!</v>
      </c>
      <c r="G17" s="703"/>
      <c r="H17" s="842" t="e">
        <f>C8/($E$6*$C$3)</f>
        <v>#DIV/0!</v>
      </c>
    </row>
    <row r="18" spans="1:8" ht="15" customHeight="1" x14ac:dyDescent="0.35">
      <c r="A18" s="699" t="s">
        <v>2034</v>
      </c>
      <c r="B18" s="705">
        <f>C9</f>
        <v>40</v>
      </c>
      <c r="C18" s="701"/>
      <c r="D18" s="705">
        <f>C9*C8</f>
        <v>0</v>
      </c>
      <c r="E18" s="703"/>
      <c r="F18" s="840" t="e">
        <f>D18/$C$6</f>
        <v>#DIV/0!</v>
      </c>
      <c r="G18" s="703"/>
      <c r="H18" s="840" t="e">
        <f>D18/$E$6</f>
        <v>#DIV/0!</v>
      </c>
    </row>
    <row r="19" spans="1:8" ht="15" customHeight="1" x14ac:dyDescent="0.35">
      <c r="A19" s="699" t="s">
        <v>2031</v>
      </c>
      <c r="B19" s="700">
        <f>E8*C5</f>
        <v>0</v>
      </c>
      <c r="C19" s="701"/>
      <c r="D19" s="841">
        <f>E8</f>
        <v>0</v>
      </c>
      <c r="E19" s="703"/>
      <c r="F19" s="842" t="e">
        <f>E8/(C6*C3)</f>
        <v>#DIV/0!</v>
      </c>
      <c r="G19" s="703"/>
      <c r="H19" s="842" t="e">
        <f>E8/(E6*C3)</f>
        <v>#DIV/0!</v>
      </c>
    </row>
    <row r="20" spans="1:8" ht="15" customHeight="1" x14ac:dyDescent="0.35">
      <c r="A20" s="699" t="s">
        <v>2033</v>
      </c>
      <c r="B20" s="840">
        <f>E9</f>
        <v>5.0833333333333304</v>
      </c>
      <c r="C20" s="701"/>
      <c r="D20" s="705">
        <f>E9*E8</f>
        <v>0</v>
      </c>
      <c r="E20" s="703"/>
      <c r="F20" s="840" t="e">
        <f>D20/C6</f>
        <v>#DIV/0!</v>
      </c>
      <c r="G20" s="703"/>
      <c r="H20" s="840" t="e">
        <f>D20/E6</f>
        <v>#DIV/0!</v>
      </c>
    </row>
    <row r="21" spans="1:8" ht="15.65" customHeight="1" x14ac:dyDescent="0.35">
      <c r="A21" s="699"/>
      <c r="B21" s="706"/>
      <c r="C21" s="706"/>
      <c r="D21" s="707"/>
      <c r="E21" s="708"/>
      <c r="F21" s="707"/>
      <c r="G21" s="708"/>
      <c r="H21" s="707"/>
    </row>
    <row r="22" spans="1:8" ht="15" x14ac:dyDescent="0.3">
      <c r="A22" s="709" t="s">
        <v>230</v>
      </c>
      <c r="B22" s="710">
        <f>(C6*C7*wwheat)+(C8*C9*C4)+(E8*E9*C5)</f>
        <v>0</v>
      </c>
      <c r="C22" s="711"/>
      <c r="D22" s="712" t="e">
        <f>B22/wwheat</f>
        <v>#DIV/0!</v>
      </c>
      <c r="E22" s="713"/>
      <c r="F22" s="712" t="e">
        <f>B22/($C$6*wwheat)</f>
        <v>#DIV/0!</v>
      </c>
      <c r="G22" s="713"/>
      <c r="H22" s="711" t="e">
        <f>B22/($E$6*wwheat)</f>
        <v>#DIV/0!</v>
      </c>
    </row>
    <row r="23" spans="1:8" ht="15.5" x14ac:dyDescent="0.35">
      <c r="A23" s="714" t="s">
        <v>1235</v>
      </c>
      <c r="B23" s="715">
        <f>(C6*C7*wwheat)</f>
        <v>0</v>
      </c>
      <c r="C23" s="716"/>
      <c r="D23" s="717" t="e">
        <f>B23/wwheat</f>
        <v>#DIV/0!</v>
      </c>
      <c r="E23" s="718"/>
      <c r="F23" s="717" t="e">
        <f>B23/($C$6*wwheat)</f>
        <v>#DIV/0!</v>
      </c>
      <c r="G23" s="718"/>
      <c r="H23" s="716" t="e">
        <f>B23/($E$6*wwheat)</f>
        <v>#DIV/0!</v>
      </c>
    </row>
    <row r="24" spans="1:8" ht="15.5" x14ac:dyDescent="0.35">
      <c r="A24" s="714" t="s">
        <v>1236</v>
      </c>
      <c r="B24" s="715">
        <f>(C8*C9*C4)+(E8*E9*C5)</f>
        <v>0</v>
      </c>
      <c r="C24" s="716"/>
      <c r="D24" s="719" t="e">
        <f>B24/wwheat</f>
        <v>#DIV/0!</v>
      </c>
      <c r="E24" s="720"/>
      <c r="F24" s="719" t="e">
        <f>B24/($C$6*wwheat)</f>
        <v>#DIV/0!</v>
      </c>
      <c r="G24" s="720"/>
      <c r="H24" s="715" t="e">
        <f>B24/($E$6*wwheat)</f>
        <v>#DIV/0!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SUM(wWv!H8:H11)</f>
        <v>0</v>
      </c>
      <c r="C27" s="716"/>
      <c r="D27" s="717" t="e">
        <f>B27/wwheat</f>
        <v>#DIV/0!</v>
      </c>
      <c r="E27" s="718"/>
      <c r="F27" s="717" t="e">
        <f>B27/($C$6*wwheat)</f>
        <v>#DIV/0!</v>
      </c>
      <c r="G27" s="718"/>
      <c r="H27" s="716" t="e">
        <f>B27/($E$6*wwheat)</f>
        <v>#DIV/0!</v>
      </c>
    </row>
    <row r="28" spans="1:8" ht="15.5" x14ac:dyDescent="0.35">
      <c r="A28" s="714" t="s">
        <v>1</v>
      </c>
      <c r="B28" s="715">
        <f>SUM(wWv!H13:H17)</f>
        <v>0</v>
      </c>
      <c r="C28" s="716"/>
      <c r="D28" s="717" t="e">
        <f>B28/wwheat</f>
        <v>#DIV/0!</v>
      </c>
      <c r="E28" s="718"/>
      <c r="F28" s="717" t="e">
        <f>B28/($C$6*wwheat)</f>
        <v>#DIV/0!</v>
      </c>
      <c r="G28" s="718"/>
      <c r="H28" s="716" t="e">
        <f>B28/($E$6*wwheat)</f>
        <v>#DIV/0!</v>
      </c>
    </row>
    <row r="29" spans="1:8" ht="15.5" x14ac:dyDescent="0.35">
      <c r="A29" s="723" t="s">
        <v>2</v>
      </c>
      <c r="B29" s="724">
        <f>wWv!H19</f>
        <v>0</v>
      </c>
      <c r="C29" s="725"/>
      <c r="D29" s="719" t="e">
        <f>B29/wwheat</f>
        <v>#DIV/0!</v>
      </c>
      <c r="E29" s="727"/>
      <c r="F29" s="726" t="e">
        <f>B29/($C$6*wwheat)</f>
        <v>#DIV/0!</v>
      </c>
      <c r="G29" s="727"/>
      <c r="H29" s="715" t="e">
        <f>B29/($E$6*wwheat)</f>
        <v>#DIV/0!</v>
      </c>
    </row>
    <row r="30" spans="1:8" ht="15.5" x14ac:dyDescent="0.35">
      <c r="A30" s="714" t="s">
        <v>1476</v>
      </c>
      <c r="B30" s="728"/>
      <c r="C30" s="728"/>
      <c r="D30" s="728"/>
      <c r="E30" s="728"/>
      <c r="F30" s="728"/>
      <c r="G30" s="728"/>
      <c r="H30" s="715"/>
    </row>
    <row r="31" spans="1:8" ht="15.5" x14ac:dyDescent="0.35">
      <c r="A31" s="714" t="s">
        <v>1121</v>
      </c>
      <c r="B31" s="729">
        <f>SUM(wWv!H20:H21)</f>
        <v>0</v>
      </c>
      <c r="C31" s="730"/>
      <c r="D31" s="731" t="e">
        <f t="shared" ref="D31:D38" si="0">B31/wwheat</f>
        <v>#DIV/0!</v>
      </c>
      <c r="E31" s="727"/>
      <c r="F31" s="731" t="e">
        <f t="shared" ref="F31:F38" si="1">B31/($C$6*wwheat)</f>
        <v>#DIV/0!</v>
      </c>
      <c r="G31" s="727"/>
      <c r="H31" s="715" t="e">
        <f t="shared" ref="H31:H38" si="2">B31/($E$6*wwheat)</f>
        <v>#DIV/0!</v>
      </c>
    </row>
    <row r="32" spans="1:8" ht="15.5" x14ac:dyDescent="0.35">
      <c r="A32" s="723" t="s">
        <v>1119</v>
      </c>
      <c r="B32" s="729">
        <f>SUM(wWv!H22:H22)</f>
        <v>0</v>
      </c>
      <c r="C32" s="730"/>
      <c r="D32" s="731" t="e">
        <f t="shared" si="0"/>
        <v>#DIV/0!</v>
      </c>
      <c r="E32" s="727"/>
      <c r="F32" s="731" t="e">
        <f t="shared" si="1"/>
        <v>#DIV/0!</v>
      </c>
      <c r="G32" s="727"/>
      <c r="H32" s="715" t="e">
        <f t="shared" si="2"/>
        <v>#DIV/0!</v>
      </c>
    </row>
    <row r="33" spans="1:8" ht="15.5" x14ac:dyDescent="0.35">
      <c r="A33" s="723" t="s">
        <v>1120</v>
      </c>
      <c r="B33" s="729">
        <f>SUM(wWv!H23:H23)</f>
        <v>0</v>
      </c>
      <c r="C33" s="730"/>
      <c r="D33" s="731" t="e">
        <f t="shared" si="0"/>
        <v>#DIV/0!</v>
      </c>
      <c r="E33" s="727"/>
      <c r="F33" s="731" t="e">
        <f t="shared" si="1"/>
        <v>#DIV/0!</v>
      </c>
      <c r="G33" s="727"/>
      <c r="H33" s="715" t="e">
        <f t="shared" si="2"/>
        <v>#DIV/0!</v>
      </c>
    </row>
    <row r="34" spans="1:8" ht="15.5" x14ac:dyDescent="0.35">
      <c r="A34" s="714" t="s">
        <v>1214</v>
      </c>
      <c r="B34" s="715">
        <f>SUM(wWv!H24:H75)</f>
        <v>0</v>
      </c>
      <c r="C34" s="716"/>
      <c r="D34" s="717" t="e">
        <f t="shared" si="0"/>
        <v>#DIV/0!</v>
      </c>
      <c r="E34" s="718"/>
      <c r="F34" s="717" t="e">
        <f t="shared" si="1"/>
        <v>#DIV/0!</v>
      </c>
      <c r="G34" s="718"/>
      <c r="H34" s="716" t="e">
        <f t="shared" si="2"/>
        <v>#DIV/0!</v>
      </c>
    </row>
    <row r="35" spans="1:8" ht="15.5" x14ac:dyDescent="0.35">
      <c r="A35" s="714" t="s">
        <v>1261</v>
      </c>
      <c r="B35" s="715">
        <f>SUM(wWv!H76:H128)</f>
        <v>0</v>
      </c>
      <c r="C35" s="716"/>
      <c r="D35" s="717" t="e">
        <f t="shared" si="0"/>
        <v>#DIV/0!</v>
      </c>
      <c r="E35" s="718"/>
      <c r="F35" s="717" t="e">
        <f t="shared" si="1"/>
        <v>#DIV/0!</v>
      </c>
      <c r="G35" s="718"/>
      <c r="H35" s="716" t="e">
        <f t="shared" si="2"/>
        <v>#DIV/0!</v>
      </c>
    </row>
    <row r="36" spans="1:8" ht="15.5" x14ac:dyDescent="0.35">
      <c r="A36" s="714" t="s">
        <v>78</v>
      </c>
      <c r="B36" s="715">
        <f>SUM(wWv!H129:H130)</f>
        <v>0</v>
      </c>
      <c r="C36" s="716"/>
      <c r="D36" s="717" t="e">
        <f t="shared" si="0"/>
        <v>#DIV/0!</v>
      </c>
      <c r="E36" s="718"/>
      <c r="F36" s="717" t="e">
        <f t="shared" si="1"/>
        <v>#DIV/0!</v>
      </c>
      <c r="G36" s="718"/>
      <c r="H36" s="716" t="e">
        <f t="shared" si="2"/>
        <v>#DIV/0!</v>
      </c>
    </row>
    <row r="37" spans="1:8" ht="15.5" x14ac:dyDescent="0.35">
      <c r="A37" s="714" t="s">
        <v>170</v>
      </c>
      <c r="B37" s="732">
        <f>wWv!H131</f>
        <v>0</v>
      </c>
      <c r="C37" s="733"/>
      <c r="D37" s="719" t="e">
        <f t="shared" si="0"/>
        <v>#DIV/0!</v>
      </c>
      <c r="E37" s="720"/>
      <c r="F37" s="719" t="e">
        <f t="shared" si="1"/>
        <v>#DIV/0!</v>
      </c>
      <c r="G37" s="720"/>
      <c r="H37" s="715" t="e">
        <f t="shared" si="2"/>
        <v>#DIV/0!</v>
      </c>
    </row>
    <row r="38" spans="1:8" ht="15.5" x14ac:dyDescent="0.35">
      <c r="A38" s="714" t="s">
        <v>1213</v>
      </c>
      <c r="B38" s="732">
        <f>SUM(wWv!H132:H133)</f>
        <v>0</v>
      </c>
      <c r="C38" s="733"/>
      <c r="D38" s="717" t="e">
        <f t="shared" si="0"/>
        <v>#DIV/0!</v>
      </c>
      <c r="E38" s="718"/>
      <c r="F38" s="717" t="e">
        <f t="shared" si="1"/>
        <v>#DIV/0!</v>
      </c>
      <c r="G38" s="718"/>
      <c r="H38" s="716" t="e">
        <f t="shared" si="2"/>
        <v>#DIV/0!</v>
      </c>
    </row>
    <row r="39" spans="1:8" ht="15.5" x14ac:dyDescent="0.35">
      <c r="A39" s="714" t="s">
        <v>172</v>
      </c>
      <c r="B39" s="732"/>
      <c r="C39" s="733"/>
      <c r="D39" s="717"/>
      <c r="E39" s="718"/>
      <c r="F39" s="717"/>
      <c r="G39" s="718"/>
      <c r="H39" s="717"/>
    </row>
    <row r="40" spans="1:8" ht="15.5" x14ac:dyDescent="0.35">
      <c r="A40" s="734" t="s">
        <v>439</v>
      </c>
      <c r="B40" s="732">
        <f>wWv!H135</f>
        <v>0</v>
      </c>
      <c r="C40" s="733"/>
      <c r="D40" s="717" t="e">
        <f t="shared" ref="D40:D54" si="3">B40/wwheat</f>
        <v>#DIV/0!</v>
      </c>
      <c r="E40" s="720"/>
      <c r="F40" s="717" t="e">
        <f t="shared" ref="F40:F54" si="4">B40/($C$6*wwheat)</f>
        <v>#DIV/0!</v>
      </c>
      <c r="G40" s="720"/>
      <c r="H40" s="716" t="e">
        <f t="shared" ref="H40:H54" si="5">B40/($E$6*wwheat)</f>
        <v>#DIV/0!</v>
      </c>
    </row>
    <row r="41" spans="1:8" ht="15.5" x14ac:dyDescent="0.35">
      <c r="A41" s="734" t="s">
        <v>1506</v>
      </c>
      <c r="B41" s="732">
        <f>SUM(wWv!H136:H138)</f>
        <v>0</v>
      </c>
      <c r="C41" s="733"/>
      <c r="D41" s="717" t="e">
        <f t="shared" si="3"/>
        <v>#DIV/0!</v>
      </c>
      <c r="E41" s="720"/>
      <c r="F41" s="717" t="e">
        <f t="shared" si="4"/>
        <v>#DIV/0!</v>
      </c>
      <c r="G41" s="720"/>
      <c r="H41" s="716" t="e">
        <f t="shared" si="5"/>
        <v>#DIV/0!</v>
      </c>
    </row>
    <row r="42" spans="1:8" ht="15.5" x14ac:dyDescent="0.35">
      <c r="A42" s="734" t="s">
        <v>1505</v>
      </c>
      <c r="B42" s="732">
        <f>SUM(wWv!H139:H141)</f>
        <v>0</v>
      </c>
      <c r="C42" s="733"/>
      <c r="D42" s="717" t="e">
        <f t="shared" si="3"/>
        <v>#DIV/0!</v>
      </c>
      <c r="E42" s="720"/>
      <c r="F42" s="717" t="e">
        <f t="shared" si="4"/>
        <v>#DIV/0!</v>
      </c>
      <c r="G42" s="720"/>
      <c r="H42" s="716" t="e">
        <f t="shared" si="5"/>
        <v>#DIV/0!</v>
      </c>
    </row>
    <row r="43" spans="1:8" ht="15.5" x14ac:dyDescent="0.35">
      <c r="A43" s="734" t="s">
        <v>1237</v>
      </c>
      <c r="B43" s="732">
        <f>wWv!H142</f>
        <v>0</v>
      </c>
      <c r="C43" s="733"/>
      <c r="D43" s="717" t="e">
        <f t="shared" si="3"/>
        <v>#DIV/0!</v>
      </c>
      <c r="E43" s="720"/>
      <c r="F43" s="717" t="e">
        <f t="shared" si="4"/>
        <v>#DIV/0!</v>
      </c>
      <c r="G43" s="720"/>
      <c r="H43" s="716" t="e">
        <f t="shared" si="5"/>
        <v>#DIV/0!</v>
      </c>
    </row>
    <row r="44" spans="1:8" ht="15.5" x14ac:dyDescent="0.35">
      <c r="A44" s="734" t="s">
        <v>1212</v>
      </c>
      <c r="B44" s="732">
        <f>SUM(wWv!H143:H145)</f>
        <v>0</v>
      </c>
      <c r="C44" s="733"/>
      <c r="D44" s="717" t="e">
        <f t="shared" si="3"/>
        <v>#DIV/0!</v>
      </c>
      <c r="E44" s="718"/>
      <c r="F44" s="717" t="e">
        <f t="shared" si="4"/>
        <v>#DIV/0!</v>
      </c>
      <c r="G44" s="718"/>
      <c r="H44" s="716" t="e">
        <f t="shared" si="5"/>
        <v>#DIV/0!</v>
      </c>
    </row>
    <row r="45" spans="1:8" ht="15.5" x14ac:dyDescent="0.35">
      <c r="A45" s="734" t="s">
        <v>1238</v>
      </c>
      <c r="B45" s="732">
        <f>SUM(wWv!H146:H148)</f>
        <v>0</v>
      </c>
      <c r="C45" s="733"/>
      <c r="D45" s="717" t="e">
        <f t="shared" si="3"/>
        <v>#DIV/0!</v>
      </c>
      <c r="E45" s="720"/>
      <c r="F45" s="717" t="e">
        <f t="shared" si="4"/>
        <v>#DIV/0!</v>
      </c>
      <c r="G45" s="720"/>
      <c r="H45" s="716" t="e">
        <f t="shared" si="5"/>
        <v>#DIV/0!</v>
      </c>
    </row>
    <row r="46" spans="1:8" ht="15.5" x14ac:dyDescent="0.35">
      <c r="A46" s="734" t="s">
        <v>2076</v>
      </c>
      <c r="B46" s="753">
        <f>SUM(wWv!H149:H155)</f>
        <v>0</v>
      </c>
      <c r="C46" s="699"/>
      <c r="D46" s="717" t="e">
        <f t="shared" si="3"/>
        <v>#DIV/0!</v>
      </c>
      <c r="E46" s="753"/>
      <c r="F46" s="717" t="e">
        <f t="shared" si="4"/>
        <v>#DIV/0!</v>
      </c>
      <c r="G46" s="753"/>
      <c r="H46" s="716" t="e">
        <f t="shared" si="5"/>
        <v>#DIV/0!</v>
      </c>
    </row>
    <row r="47" spans="1:8" ht="15.5" x14ac:dyDescent="0.35">
      <c r="A47" s="734" t="s">
        <v>2029</v>
      </c>
      <c r="B47" s="732">
        <f>SUM(wWv!H156:H158)</f>
        <v>0</v>
      </c>
      <c r="C47" s="733"/>
      <c r="D47" s="719" t="e">
        <f>B47/wwheat</f>
        <v>#DIV/0!</v>
      </c>
      <c r="E47" s="720"/>
      <c r="F47" s="719" t="e">
        <f>B47/($C$6*wwheat)</f>
        <v>#DIV/0!</v>
      </c>
      <c r="G47" s="720"/>
      <c r="H47" s="715" t="e">
        <f>B47/($E$6*wwheat)</f>
        <v>#DIV/0!</v>
      </c>
    </row>
    <row r="48" spans="1:8" ht="15.5" x14ac:dyDescent="0.35">
      <c r="A48" s="734" t="s">
        <v>1532</v>
      </c>
      <c r="B48" s="732">
        <f>SUM(wWv!H159:H163)</f>
        <v>0</v>
      </c>
      <c r="C48" s="733"/>
      <c r="D48" s="717" t="e">
        <f t="shared" si="3"/>
        <v>#DIV/0!</v>
      </c>
      <c r="E48" s="720"/>
      <c r="F48" s="717" t="e">
        <f t="shared" si="4"/>
        <v>#DIV/0!</v>
      </c>
      <c r="G48" s="720"/>
      <c r="H48" s="716" t="e">
        <f t="shared" si="5"/>
        <v>#DIV/0!</v>
      </c>
    </row>
    <row r="49" spans="1:16" ht="15.5" x14ac:dyDescent="0.35">
      <c r="A49" s="734" t="s">
        <v>1533</v>
      </c>
      <c r="B49" s="732">
        <f>SUM(wWv!H164:H165)</f>
        <v>0</v>
      </c>
      <c r="C49" s="733"/>
      <c r="D49" s="719" t="e">
        <f t="shared" si="3"/>
        <v>#DIV/0!</v>
      </c>
      <c r="E49" s="720"/>
      <c r="F49" s="719" t="e">
        <f t="shared" si="4"/>
        <v>#DIV/0!</v>
      </c>
      <c r="G49" s="720"/>
      <c r="H49" s="715" t="e">
        <f t="shared" si="5"/>
        <v>#DIV/0!</v>
      </c>
    </row>
    <row r="50" spans="1:16" ht="15.5" x14ac:dyDescent="0.35">
      <c r="A50" s="734" t="s">
        <v>1534</v>
      </c>
      <c r="B50" s="732">
        <f>wWv!H166</f>
        <v>0</v>
      </c>
      <c r="C50" s="733"/>
      <c r="D50" s="717" t="e">
        <f t="shared" si="3"/>
        <v>#DIV/0!</v>
      </c>
      <c r="E50" s="720"/>
      <c r="F50" s="785" t="e">
        <f t="shared" si="4"/>
        <v>#DIV/0!</v>
      </c>
      <c r="G50" s="720"/>
      <c r="H50" s="716" t="e">
        <f t="shared" si="5"/>
        <v>#DIV/0!</v>
      </c>
    </row>
    <row r="51" spans="1:16" ht="15.5" x14ac:dyDescent="0.35">
      <c r="A51" s="734" t="s">
        <v>1535</v>
      </c>
      <c r="B51" s="732">
        <f>wWv!H167</f>
        <v>0</v>
      </c>
      <c r="C51" s="733"/>
      <c r="D51" s="717" t="e">
        <f t="shared" si="3"/>
        <v>#DIV/0!</v>
      </c>
      <c r="E51" s="720"/>
      <c r="F51" s="785" t="e">
        <f t="shared" si="4"/>
        <v>#DIV/0!</v>
      </c>
      <c r="G51" s="720"/>
      <c r="H51" s="716" t="e">
        <f t="shared" si="5"/>
        <v>#DIV/0!</v>
      </c>
    </row>
    <row r="52" spans="1:16" ht="15.5" x14ac:dyDescent="0.35">
      <c r="A52" s="734" t="s">
        <v>1536</v>
      </c>
      <c r="B52" s="732">
        <f>wWv!H168</f>
        <v>0</v>
      </c>
      <c r="C52" s="733"/>
      <c r="D52" s="717" t="e">
        <f t="shared" si="3"/>
        <v>#DIV/0!</v>
      </c>
      <c r="E52" s="720"/>
      <c r="F52" s="785" t="e">
        <f t="shared" si="4"/>
        <v>#DIV/0!</v>
      </c>
      <c r="G52" s="720"/>
      <c r="H52" s="716" t="e">
        <f t="shared" si="5"/>
        <v>#DIV/0!</v>
      </c>
    </row>
    <row r="53" spans="1:16" ht="15.5" x14ac:dyDescent="0.35">
      <c r="A53" s="734" t="s">
        <v>443</v>
      </c>
      <c r="B53" s="732">
        <f>SUM(wWv!H169:H171)</f>
        <v>0</v>
      </c>
      <c r="C53" s="733"/>
      <c r="D53" s="719" t="e">
        <f t="shared" si="3"/>
        <v>#DIV/0!</v>
      </c>
      <c r="E53" s="720"/>
      <c r="F53" s="719" t="e">
        <f t="shared" si="4"/>
        <v>#DIV/0!</v>
      </c>
      <c r="G53" s="720"/>
      <c r="H53" s="715" t="e">
        <f t="shared" si="5"/>
        <v>#DIV/0!</v>
      </c>
    </row>
    <row r="54" spans="1:16" ht="15.5" x14ac:dyDescent="0.35">
      <c r="A54" s="714" t="s">
        <v>69</v>
      </c>
      <c r="B54" s="732">
        <f>wWv!H175</f>
        <v>0</v>
      </c>
      <c r="C54" s="733"/>
      <c r="D54" s="717" t="e">
        <f t="shared" si="3"/>
        <v>#DIV/0!</v>
      </c>
      <c r="E54" s="718"/>
      <c r="F54" s="717" t="e">
        <f t="shared" si="4"/>
        <v>#DIV/0!</v>
      </c>
      <c r="G54" s="718"/>
      <c r="H54" s="716" t="e">
        <f t="shared" si="5"/>
        <v>#DIV/0!</v>
      </c>
    </row>
    <row r="55" spans="1:16" ht="15" x14ac:dyDescent="0.3">
      <c r="A55" s="709" t="s">
        <v>366</v>
      </c>
      <c r="B55" s="735">
        <f>SUM(B27:B54)</f>
        <v>0</v>
      </c>
      <c r="C55" s="736"/>
      <c r="D55" s="737" t="e">
        <f>SUM(D27:D54)</f>
        <v>#DIV/0!</v>
      </c>
      <c r="E55" s="737"/>
      <c r="F55" s="737" t="e">
        <f>SUM(F27:F54)</f>
        <v>#DIV/0!</v>
      </c>
      <c r="G55" s="737"/>
      <c r="H55" s="737" t="e">
        <f>SUM(H27:H54)</f>
        <v>#DIV/0!</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890" t="s">
        <v>29</v>
      </c>
    </row>
    <row r="59" spans="1:16" ht="15.5" x14ac:dyDescent="0.35">
      <c r="A59" s="734" t="s">
        <v>1240</v>
      </c>
      <c r="B59" s="732">
        <f>SUM(wWf!H8:H24)</f>
        <v>0</v>
      </c>
      <c r="C59" s="733"/>
      <c r="D59" s="717" t="e">
        <f t="shared" ref="D59:D72" si="6">B59/wwheat</f>
        <v>#DIV/0!</v>
      </c>
      <c r="E59" s="757"/>
      <c r="F59" s="717" t="e">
        <f t="shared" ref="F59:F72" si="7">B59/($C$6*wwheat)</f>
        <v>#DIV/0!</v>
      </c>
      <c r="G59" s="757"/>
      <c r="H59" s="716" t="e">
        <f t="shared" ref="H59:H72" si="8">B59/($E$6*wwheat)</f>
        <v>#DIV/0!</v>
      </c>
      <c r="J59" s="697" t="s">
        <v>76</v>
      </c>
      <c r="K59" s="697"/>
      <c r="L59" s="697" t="s">
        <v>77</v>
      </c>
      <c r="M59" s="698"/>
      <c r="N59" s="697" t="s">
        <v>1554</v>
      </c>
      <c r="O59" s="698"/>
      <c r="P59" s="697" t="s">
        <v>385</v>
      </c>
    </row>
    <row r="60" spans="1:16" ht="15.5" x14ac:dyDescent="0.35">
      <c r="A60" s="734" t="s">
        <v>1241</v>
      </c>
      <c r="B60" s="732">
        <f>SUM(wWf!H25:H33)</f>
        <v>0</v>
      </c>
      <c r="C60" s="733"/>
      <c r="D60" s="717" t="e">
        <f t="shared" si="6"/>
        <v>#DIV/0!</v>
      </c>
      <c r="E60" s="757"/>
      <c r="F60" s="717" t="e">
        <f t="shared" si="7"/>
        <v>#DIV/0!</v>
      </c>
      <c r="G60" s="757"/>
      <c r="H60" s="716" t="e">
        <f t="shared" si="8"/>
        <v>#DIV/0!</v>
      </c>
      <c r="J60" s="763">
        <f>SUM(B59:B71)</f>
        <v>0</v>
      </c>
      <c r="L60" s="756" t="e">
        <f>SUM(D59:D71)</f>
        <v>#DIV/0!</v>
      </c>
      <c r="N60" s="756" t="e">
        <f>SUM(F59:F71)</f>
        <v>#DIV/0!</v>
      </c>
      <c r="P60" s="756" t="e">
        <f>SUM(H59:H71)</f>
        <v>#DIV/0!</v>
      </c>
    </row>
    <row r="61" spans="1:16" ht="15.5" x14ac:dyDescent="0.35">
      <c r="A61" s="734" t="s">
        <v>1243</v>
      </c>
      <c r="B61" s="732">
        <f>SUM(wWf!H34:H50)</f>
        <v>0</v>
      </c>
      <c r="C61" s="733"/>
      <c r="D61" s="717" t="e">
        <f t="shared" si="6"/>
        <v>#DIV/0!</v>
      </c>
      <c r="E61" s="757"/>
      <c r="F61" s="717" t="e">
        <f t="shared" si="7"/>
        <v>#DIV/0!</v>
      </c>
      <c r="G61" s="757"/>
      <c r="H61" s="716" t="e">
        <f t="shared" si="8"/>
        <v>#DIV/0!</v>
      </c>
    </row>
    <row r="62" spans="1:16" ht="15.5" x14ac:dyDescent="0.35">
      <c r="A62" s="734" t="s">
        <v>1242</v>
      </c>
      <c r="B62" s="732">
        <f>SUM(wWf!H51:H62)</f>
        <v>0</v>
      </c>
      <c r="C62" s="733"/>
      <c r="D62" s="717" t="e">
        <f t="shared" si="6"/>
        <v>#DIV/0!</v>
      </c>
      <c r="E62" s="757"/>
      <c r="F62" s="717" t="e">
        <f t="shared" si="7"/>
        <v>#DIV/0!</v>
      </c>
      <c r="G62" s="757"/>
      <c r="H62" s="716" t="e">
        <f t="shared" si="8"/>
        <v>#DIV/0!</v>
      </c>
    </row>
    <row r="63" spans="1:16" ht="15.5" x14ac:dyDescent="0.35">
      <c r="A63" s="734" t="s">
        <v>1244</v>
      </c>
      <c r="B63" s="732">
        <f>SUM(wWf!H63:H67)</f>
        <v>0</v>
      </c>
      <c r="C63" s="733"/>
      <c r="D63" s="719" t="e">
        <f t="shared" si="6"/>
        <v>#DIV/0!</v>
      </c>
      <c r="E63" s="762"/>
      <c r="F63" s="719" t="e">
        <f t="shared" si="7"/>
        <v>#DIV/0!</v>
      </c>
      <c r="G63" s="762"/>
      <c r="H63" s="715" t="e">
        <f t="shared" si="8"/>
        <v>#DIV/0!</v>
      </c>
    </row>
    <row r="64" spans="1:16" ht="15.5" x14ac:dyDescent="0.35">
      <c r="A64" s="734" t="s">
        <v>1245</v>
      </c>
      <c r="B64" s="732">
        <f>0</f>
        <v>0</v>
      </c>
      <c r="C64" s="733"/>
      <c r="D64" s="719" t="e">
        <f t="shared" si="6"/>
        <v>#DIV/0!</v>
      </c>
      <c r="E64" s="762"/>
      <c r="F64" s="719" t="e">
        <f t="shared" si="7"/>
        <v>#DIV/0!</v>
      </c>
      <c r="G64" s="762"/>
      <c r="H64" s="715" t="e">
        <f t="shared" si="8"/>
        <v>#DIV/0!</v>
      </c>
    </row>
    <row r="65" spans="1:8" ht="15.5" x14ac:dyDescent="0.35">
      <c r="A65" s="734" t="s">
        <v>1246</v>
      </c>
      <c r="B65" s="732">
        <f>SUM(wWf!H68:H78)</f>
        <v>0</v>
      </c>
      <c r="C65" s="733"/>
      <c r="D65" s="717" t="e">
        <f t="shared" si="6"/>
        <v>#DIV/0!</v>
      </c>
      <c r="E65" s="757"/>
      <c r="F65" s="717" t="e">
        <f t="shared" si="7"/>
        <v>#DIV/0!</v>
      </c>
      <c r="G65" s="757"/>
      <c r="H65" s="716" t="e">
        <f t="shared" si="8"/>
        <v>#DIV/0!</v>
      </c>
    </row>
    <row r="66" spans="1:8" ht="15.5" x14ac:dyDescent="0.35">
      <c r="A66" s="734" t="s">
        <v>1247</v>
      </c>
      <c r="B66" s="732">
        <f>SUM(wWf!H79:H86)</f>
        <v>0</v>
      </c>
      <c r="C66" s="733"/>
      <c r="D66" s="717" t="e">
        <f t="shared" si="6"/>
        <v>#DIV/0!</v>
      </c>
      <c r="E66" s="757"/>
      <c r="F66" s="785" t="e">
        <f t="shared" si="7"/>
        <v>#DIV/0!</v>
      </c>
      <c r="G66" s="757"/>
      <c r="H66" s="716" t="e">
        <f t="shared" si="8"/>
        <v>#DIV/0!</v>
      </c>
    </row>
    <row r="67" spans="1:8" ht="15.5" x14ac:dyDescent="0.35">
      <c r="A67" s="734" t="s">
        <v>2148</v>
      </c>
      <c r="B67" s="732">
        <f>SUM(wWf!H87:H91)</f>
        <v>0</v>
      </c>
      <c r="C67" s="733"/>
      <c r="D67" s="717" t="e">
        <f t="shared" ref="D67" si="9">B67/wwheat</f>
        <v>#DIV/0!</v>
      </c>
      <c r="E67" s="757"/>
      <c r="F67" s="717" t="e">
        <f t="shared" ref="F67" si="10">B67/($C$6*wwheat)</f>
        <v>#DIV/0!</v>
      </c>
      <c r="G67" s="757"/>
      <c r="H67" s="716" t="e">
        <f t="shared" ref="H67" si="11">B67/($E$6*wwheat)</f>
        <v>#DIV/0!</v>
      </c>
    </row>
    <row r="68" spans="1:8" ht="15.5" x14ac:dyDescent="0.35">
      <c r="A68" s="734" t="s">
        <v>1250</v>
      </c>
      <c r="B68" s="732">
        <f>SUM(wWf!H92:H103)</f>
        <v>0</v>
      </c>
      <c r="C68" s="733"/>
      <c r="D68" s="717" t="e">
        <f t="shared" si="6"/>
        <v>#DIV/0!</v>
      </c>
      <c r="E68" s="757"/>
      <c r="F68" s="717" t="e">
        <f t="shared" si="7"/>
        <v>#DIV/0!</v>
      </c>
      <c r="G68" s="757"/>
      <c r="H68" s="716" t="e">
        <f t="shared" si="8"/>
        <v>#DIV/0!</v>
      </c>
    </row>
    <row r="69" spans="1:8" ht="15.5" x14ac:dyDescent="0.35">
      <c r="A69" s="734" t="s">
        <v>1304</v>
      </c>
      <c r="B69" s="732">
        <f>0</f>
        <v>0</v>
      </c>
      <c r="C69" s="733"/>
      <c r="D69" s="719" t="e">
        <f t="shared" si="6"/>
        <v>#DIV/0!</v>
      </c>
      <c r="E69" s="762"/>
      <c r="F69" s="719" t="e">
        <f t="shared" si="7"/>
        <v>#DIV/0!</v>
      </c>
      <c r="G69" s="762"/>
      <c r="H69" s="715" t="e">
        <f t="shared" si="8"/>
        <v>#DIV/0!</v>
      </c>
    </row>
    <row r="70" spans="1:8" ht="15.5" x14ac:dyDescent="0.35">
      <c r="A70" s="734" t="s">
        <v>1248</v>
      </c>
      <c r="B70" s="732">
        <f>SUM(wWf!H105:H108)</f>
        <v>0</v>
      </c>
      <c r="C70" s="733"/>
      <c r="D70" s="717" t="e">
        <f t="shared" si="6"/>
        <v>#DIV/0!</v>
      </c>
      <c r="E70" s="757"/>
      <c r="F70" s="717" t="e">
        <f t="shared" si="7"/>
        <v>#DIV/0!</v>
      </c>
      <c r="G70" s="757"/>
      <c r="H70" s="716" t="e">
        <f t="shared" si="8"/>
        <v>#DIV/0!</v>
      </c>
    </row>
    <row r="71" spans="1:8" ht="15.5" x14ac:dyDescent="0.35">
      <c r="A71" s="734" t="s">
        <v>1249</v>
      </c>
      <c r="B71" s="732">
        <f>SUM(wWf!H109:H113)</f>
        <v>0</v>
      </c>
      <c r="C71" s="733"/>
      <c r="D71" s="717" t="e">
        <f t="shared" si="6"/>
        <v>#DIV/0!</v>
      </c>
      <c r="E71" s="757"/>
      <c r="F71" s="717" t="e">
        <f t="shared" si="7"/>
        <v>#DIV/0!</v>
      </c>
      <c r="G71" s="757"/>
      <c r="H71" s="716" t="e">
        <f t="shared" si="8"/>
        <v>#DIV/0!</v>
      </c>
    </row>
    <row r="72" spans="1:8" ht="15.5" x14ac:dyDescent="0.35">
      <c r="A72" s="714" t="s">
        <v>79</v>
      </c>
      <c r="B72" s="732">
        <f>wWf!L121</f>
        <v>0</v>
      </c>
      <c r="C72" s="733"/>
      <c r="D72" s="717" t="e">
        <f t="shared" si="6"/>
        <v>#DIV/0!</v>
      </c>
      <c r="E72" s="718"/>
      <c r="F72" s="717" t="e">
        <f t="shared" si="7"/>
        <v>#DIV/0!</v>
      </c>
      <c r="G72" s="718"/>
      <c r="H72" s="716" t="e">
        <f t="shared" si="8"/>
        <v>#DIV/0!</v>
      </c>
    </row>
    <row r="73" spans="1:8" ht="15" x14ac:dyDescent="0.3">
      <c r="A73" s="709" t="s">
        <v>368</v>
      </c>
      <c r="B73" s="735">
        <f>SUM(B58:B72)</f>
        <v>0</v>
      </c>
      <c r="C73" s="736"/>
      <c r="D73" s="737" t="e">
        <f>SUM(D58:D72)</f>
        <v>#DIV/0!</v>
      </c>
      <c r="E73" s="737"/>
      <c r="F73" s="737" t="e">
        <f>SUM(F58:F72)</f>
        <v>#DIV/0!</v>
      </c>
      <c r="G73" s="737"/>
      <c r="H73" s="737" t="e">
        <f>SUM(H58:H72)</f>
        <v>#DIV/0!</v>
      </c>
    </row>
    <row r="74" spans="1:8" ht="15.5" x14ac:dyDescent="0.35">
      <c r="A74" s="699"/>
      <c r="B74" s="735"/>
      <c r="C74" s="736"/>
      <c r="D74" s="737"/>
      <c r="E74" s="741"/>
      <c r="F74" s="741"/>
      <c r="G74" s="741"/>
      <c r="H74" s="741"/>
    </row>
    <row r="75" spans="1:8" ht="15" x14ac:dyDescent="0.3">
      <c r="A75" s="709" t="s">
        <v>80</v>
      </c>
      <c r="B75" s="735">
        <f>B73+B55</f>
        <v>0</v>
      </c>
      <c r="C75" s="736"/>
      <c r="D75" s="737" t="e">
        <f>D73+D55</f>
        <v>#DIV/0!</v>
      </c>
      <c r="E75" s="737"/>
      <c r="F75" s="737" t="e">
        <f>F73+F55</f>
        <v>#DIV/0!</v>
      </c>
      <c r="G75" s="737"/>
      <c r="H75" s="737" t="e">
        <f>H73+H55</f>
        <v>#DIV/0!</v>
      </c>
    </row>
    <row r="76" spans="1:8" ht="15.5" x14ac:dyDescent="0.35">
      <c r="A76" s="742"/>
      <c r="B76" s="735"/>
      <c r="C76" s="736"/>
      <c r="D76" s="737"/>
      <c r="E76" s="737"/>
      <c r="F76" s="737"/>
      <c r="G76" s="737"/>
      <c r="H76" s="737"/>
    </row>
    <row r="77" spans="1:8" ht="15" x14ac:dyDescent="0.3">
      <c r="A77" s="709" t="s">
        <v>355</v>
      </c>
      <c r="B77" s="710">
        <f>B22-B75</f>
        <v>0</v>
      </c>
      <c r="C77" s="736"/>
      <c r="D77" s="712" t="e">
        <f>D22-D75</f>
        <v>#DIV/0!</v>
      </c>
      <c r="E77" s="737"/>
      <c r="F77" s="712" t="e">
        <f>F22-F75</f>
        <v>#DIV/0!</v>
      </c>
      <c r="G77" s="737"/>
      <c r="H77" s="712" t="e">
        <f>H22-H75</f>
        <v>#DIV/0!</v>
      </c>
    </row>
    <row r="78" spans="1:8" ht="15" x14ac:dyDescent="0.3">
      <c r="A78" s="709" t="s">
        <v>356</v>
      </c>
      <c r="B78" s="735">
        <f>B22-B55</f>
        <v>0</v>
      </c>
      <c r="C78" s="736"/>
      <c r="D78" s="737" t="e">
        <f>D22-D55</f>
        <v>#DIV/0!</v>
      </c>
      <c r="E78" s="737"/>
      <c r="F78" s="737" t="e">
        <f>F22-F55</f>
        <v>#DIV/0!</v>
      </c>
      <c r="G78" s="737"/>
      <c r="H78" s="737" t="e">
        <f>H22-H55</f>
        <v>#DIV/0!</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2.75" customHeight="1" x14ac:dyDescent="0.35">
      <c r="A81" s="744" t="s">
        <v>369</v>
      </c>
      <c r="B81" s="703" t="s">
        <v>76</v>
      </c>
      <c r="C81" s="743"/>
      <c r="D81" s="703" t="s">
        <v>393</v>
      </c>
      <c r="E81" s="703"/>
      <c r="F81" s="703" t="s">
        <v>1556</v>
      </c>
      <c r="G81" s="703"/>
      <c r="H81" s="703" t="s">
        <v>396</v>
      </c>
    </row>
    <row r="82" spans="1:8" ht="15.5" x14ac:dyDescent="0.35">
      <c r="A82" s="714" t="s">
        <v>370</v>
      </c>
      <c r="B82" s="745">
        <f>B75</f>
        <v>0</v>
      </c>
      <c r="C82" s="743"/>
      <c r="D82" s="717" t="e">
        <f>$B$75/wwheat</f>
        <v>#DIV/0!</v>
      </c>
      <c r="E82" s="718"/>
      <c r="F82" s="717" t="e">
        <f>$B$75/($C$6*wwheat)</f>
        <v>#DIV/0!</v>
      </c>
      <c r="G82" s="718"/>
      <c r="H82" s="717" t="e">
        <f>$B$75/($E$6*wwheat)</f>
        <v>#DIV/0!</v>
      </c>
    </row>
    <row r="83" spans="1:8" ht="15.5" x14ac:dyDescent="0.35">
      <c r="A83" s="714" t="s">
        <v>371</v>
      </c>
      <c r="B83" s="745">
        <f>B55</f>
        <v>0</v>
      </c>
      <c r="C83" s="743"/>
      <c r="D83" s="717" t="e">
        <f>$B$55/wwheat</f>
        <v>#DIV/0!</v>
      </c>
      <c r="E83" s="718"/>
      <c r="F83" s="717" t="e">
        <f>$B$55/($C$6*wwheat)</f>
        <v>#DIV/0!</v>
      </c>
      <c r="G83" s="718"/>
      <c r="H83" s="717" t="e">
        <f>$B$55/($E$6*wwheat)</f>
        <v>#DIV/0!</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t="e">
        <f>B77/SUM(wWv!E25:E76)</f>
        <v>#DIV/0!</v>
      </c>
      <c r="C86" s="743"/>
      <c r="D86" s="1226">
        <f>SUM(wWv!E25:E76)</f>
        <v>0</v>
      </c>
      <c r="E86" s="1225" t="s">
        <v>1996</v>
      </c>
      <c r="F86" s="717"/>
      <c r="G86" s="718"/>
      <c r="H86" s="717"/>
    </row>
    <row r="87" spans="1:8" ht="15.5" x14ac:dyDescent="0.35">
      <c r="A87" s="714" t="s">
        <v>1102</v>
      </c>
      <c r="B87" s="746" t="e">
        <f>B78/SUM(wWv!E25:E76)</f>
        <v>#DIV/0!</v>
      </c>
      <c r="C87" s="743"/>
      <c r="D87" s="717"/>
      <c r="E87" s="718"/>
      <c r="F87" s="717"/>
      <c r="G87" s="718"/>
      <c r="H87" s="717"/>
    </row>
    <row r="88" spans="1:8" ht="15.5" x14ac:dyDescent="0.35">
      <c r="A88" s="747"/>
      <c r="B88" s="748"/>
      <c r="C88" s="748"/>
      <c r="D88" s="749"/>
      <c r="E88" s="750"/>
      <c r="F88" s="750"/>
      <c r="G88" s="750"/>
      <c r="H88" s="750"/>
    </row>
    <row r="89" spans="1:8" x14ac:dyDescent="0.3">
      <c r="D89" s="59"/>
      <c r="E89" s="55"/>
      <c r="F89" s="55"/>
      <c r="G89" s="55"/>
      <c r="H89" s="55"/>
    </row>
    <row r="90" spans="1:8" x14ac:dyDescent="0.3">
      <c r="D90" s="59"/>
      <c r="E90" s="55"/>
      <c r="F90" s="55"/>
      <c r="G90" s="55"/>
      <c r="H90" s="55"/>
    </row>
    <row r="92" spans="1:8" x14ac:dyDescent="0.3">
      <c r="A92" s="61" t="s">
        <v>146</v>
      </c>
      <c r="B92" s="50" t="str">
        <f>model</f>
        <v>ME Grain &amp; Pulse</v>
      </c>
    </row>
    <row r="94" spans="1:8" x14ac:dyDescent="0.3">
      <c r="A94" s="7" t="s">
        <v>1942</v>
      </c>
      <c r="B94" s="55" t="s">
        <v>92</v>
      </c>
      <c r="C94" s="54">
        <f>wwheat</f>
        <v>0</v>
      </c>
      <c r="D94" s="17" t="s">
        <v>93</v>
      </c>
    </row>
    <row r="95" spans="1:8" x14ac:dyDescent="0.3">
      <c r="A95" s="7"/>
      <c r="B95" s="55" t="s">
        <v>750</v>
      </c>
      <c r="C95" s="54">
        <f>(wwheat*Data!F33)*Data!$B$33*Data!$C$33</f>
        <v>0</v>
      </c>
      <c r="D95" s="17" t="s">
        <v>93</v>
      </c>
    </row>
    <row r="96" spans="1:8" x14ac:dyDescent="0.3">
      <c r="A96" s="7"/>
      <c r="B96" s="55" t="s">
        <v>751</v>
      </c>
      <c r="C96" s="54">
        <f>(wwheat*Data!G33)*Data!$B$33*Data!$D$33</f>
        <v>0</v>
      </c>
      <c r="D96" s="17" t="s">
        <v>93</v>
      </c>
    </row>
    <row r="97" spans="1:8" x14ac:dyDescent="0.3">
      <c r="A97" s="8"/>
      <c r="B97" s="55" t="s">
        <v>727</v>
      </c>
      <c r="C97" s="54">
        <f>Data!B212</f>
        <v>0</v>
      </c>
      <c r="D97" s="17" t="s">
        <v>1567</v>
      </c>
      <c r="E97" s="1190">
        <f>(C97*Data!$K$61)/2000</f>
        <v>0</v>
      </c>
      <c r="F97" s="17" t="s">
        <v>235</v>
      </c>
      <c r="G97" s="54"/>
    </row>
    <row r="98" spans="1:8" x14ac:dyDescent="0.3">
      <c r="B98" s="55" t="s">
        <v>728</v>
      </c>
      <c r="C98" s="106">
        <f>IF(FARM!$F$19&gt;0,Data!$B$207,Data!$B$208)</f>
        <v>10.32</v>
      </c>
      <c r="D98" s="17" t="s">
        <v>1566</v>
      </c>
      <c r="E98" s="153">
        <f>Data!$K$61</f>
        <v>60</v>
      </c>
      <c r="F98" s="17" t="s">
        <v>1560</v>
      </c>
      <c r="G98" s="153"/>
    </row>
    <row r="99" spans="1:8" x14ac:dyDescent="0.3">
      <c r="B99" s="55" t="s">
        <v>729</v>
      </c>
      <c r="C99" s="671">
        <f>Data!E212</f>
        <v>0</v>
      </c>
      <c r="D99" s="374" t="s">
        <v>731</v>
      </c>
      <c r="E99" s="671">
        <f>Data!H212</f>
        <v>0</v>
      </c>
      <c r="F99" s="17" t="s">
        <v>732</v>
      </c>
      <c r="G99" s="672"/>
    </row>
    <row r="100" spans="1:8" x14ac:dyDescent="0.3">
      <c r="B100" s="55" t="s">
        <v>730</v>
      </c>
      <c r="C100" s="673">
        <f>IF(Straw!$D$13&gt;0,Straw!$D$13,Data!$E$209)</f>
        <v>40</v>
      </c>
      <c r="D100" s="374" t="s">
        <v>733</v>
      </c>
      <c r="E100" s="674">
        <f>IF(Straw!$F$13&gt;0,Straw!$F$13,Data!$H$209)</f>
        <v>5.0833333333333304</v>
      </c>
      <c r="F100" s="17" t="s">
        <v>734</v>
      </c>
      <c r="G100" s="674"/>
    </row>
    <row r="101" spans="1:8" x14ac:dyDescent="0.3">
      <c r="B101" s="55"/>
      <c r="C101" s="54"/>
      <c r="D101" s="17"/>
    </row>
    <row r="102" spans="1:8" ht="15.5" x14ac:dyDescent="0.35">
      <c r="A102" s="751" t="s">
        <v>1942</v>
      </c>
      <c r="B102" s="697" t="s">
        <v>76</v>
      </c>
      <c r="C102" s="697"/>
      <c r="D102" s="697" t="s">
        <v>77</v>
      </c>
      <c r="E102" s="698"/>
      <c r="F102" s="697" t="s">
        <v>1554</v>
      </c>
      <c r="G102" s="698"/>
      <c r="H102" s="697" t="s">
        <v>385</v>
      </c>
    </row>
    <row r="103" spans="1:8" ht="15.5" x14ac:dyDescent="0.35">
      <c r="A103" s="699" t="s">
        <v>362</v>
      </c>
      <c r="B103" s="700">
        <f>C94</f>
        <v>0</v>
      </c>
      <c r="C103" s="701"/>
      <c r="D103" s="702" t="s">
        <v>363</v>
      </c>
      <c r="E103" s="703"/>
      <c r="F103" s="702" t="s">
        <v>363</v>
      </c>
      <c r="G103" s="703"/>
      <c r="H103" s="702" t="s">
        <v>363</v>
      </c>
    </row>
    <row r="104" spans="1:8" ht="15.5" x14ac:dyDescent="0.35">
      <c r="A104" s="699" t="s">
        <v>1982</v>
      </c>
      <c r="B104" s="702" t="s">
        <v>363</v>
      </c>
      <c r="C104" s="701"/>
      <c r="D104" s="702" t="s">
        <v>363</v>
      </c>
      <c r="E104" s="703"/>
      <c r="F104" s="702" t="s">
        <v>363</v>
      </c>
      <c r="G104" s="703"/>
      <c r="H104" s="888">
        <f>2000/Data!$K$61</f>
        <v>33.333333333333336</v>
      </c>
    </row>
    <row r="105" spans="1:8" ht="15.5" x14ac:dyDescent="0.35">
      <c r="A105" s="699" t="s">
        <v>1983</v>
      </c>
      <c r="B105" s="700">
        <f>$C$94*C97</f>
        <v>0</v>
      </c>
      <c r="C105" s="701"/>
      <c r="D105" s="700">
        <f>C97</f>
        <v>0</v>
      </c>
      <c r="E105" s="703"/>
      <c r="F105" s="702" t="s">
        <v>363</v>
      </c>
      <c r="G105" s="703"/>
      <c r="H105" s="702" t="s">
        <v>363</v>
      </c>
    </row>
    <row r="106" spans="1:8" ht="15.5" x14ac:dyDescent="0.35">
      <c r="A106" s="699" t="s">
        <v>1984</v>
      </c>
      <c r="B106" s="700">
        <f>$C$94*E97</f>
        <v>0</v>
      </c>
      <c r="C106" s="701"/>
      <c r="D106" s="1191">
        <f>E97</f>
        <v>0</v>
      </c>
      <c r="E106" s="703"/>
      <c r="F106" s="702" t="s">
        <v>363</v>
      </c>
      <c r="G106" s="703"/>
      <c r="H106" s="702" t="s">
        <v>363</v>
      </c>
    </row>
    <row r="107" spans="1:8" ht="15.5" x14ac:dyDescent="0.35">
      <c r="A107" s="699" t="str">
        <f>IF(Data!B209=1,"Winter Wheat Price ($/unit) - Food Grade","Winter Wheat Price ($/unit) - Feed Grade")</f>
        <v>Winter Wheat Price ($/unit) - Feed Grade</v>
      </c>
      <c r="B107" s="702" t="s">
        <v>363</v>
      </c>
      <c r="C107" s="701"/>
      <c r="D107" s="702" t="s">
        <v>363</v>
      </c>
      <c r="E107" s="703"/>
      <c r="F107" s="704">
        <f>C98</f>
        <v>10.32</v>
      </c>
      <c r="G107" s="703"/>
      <c r="H107" s="840">
        <f>F107*H104</f>
        <v>344.00000000000006</v>
      </c>
    </row>
    <row r="108" spans="1:8" ht="15" customHeight="1" x14ac:dyDescent="0.35">
      <c r="A108" s="699" t="s">
        <v>2032</v>
      </c>
      <c r="B108" s="700">
        <f>C99*C95</f>
        <v>0</v>
      </c>
      <c r="C108" s="701"/>
      <c r="D108" s="841">
        <f>C99</f>
        <v>0</v>
      </c>
      <c r="E108" s="703"/>
      <c r="F108" s="842" t="e">
        <f>C99/($C$6*$C$3)</f>
        <v>#DIV/0!</v>
      </c>
      <c r="G108" s="703"/>
      <c r="H108" s="842" t="e">
        <f>C99/($E$6*$C$3)</f>
        <v>#DIV/0!</v>
      </c>
    </row>
    <row r="109" spans="1:8" ht="15" customHeight="1" x14ac:dyDescent="0.35">
      <c r="A109" s="699" t="s">
        <v>2034</v>
      </c>
      <c r="B109" s="705">
        <f>C100</f>
        <v>40</v>
      </c>
      <c r="C109" s="701"/>
      <c r="D109" s="705">
        <f>C100*C99</f>
        <v>0</v>
      </c>
      <c r="E109" s="703"/>
      <c r="F109" s="840" t="e">
        <f>D109/$C$6</f>
        <v>#DIV/0!</v>
      </c>
      <c r="G109" s="703"/>
      <c r="H109" s="840" t="e">
        <f>D109/$E$6</f>
        <v>#DIV/0!</v>
      </c>
    </row>
    <row r="110" spans="1:8" ht="15" customHeight="1" x14ac:dyDescent="0.35">
      <c r="A110" s="699" t="s">
        <v>2031</v>
      </c>
      <c r="B110" s="700">
        <f>E99*C96</f>
        <v>0</v>
      </c>
      <c r="C110" s="701"/>
      <c r="D110" s="841">
        <f>E99</f>
        <v>0</v>
      </c>
      <c r="E110" s="703"/>
      <c r="F110" s="842" t="e">
        <f>E99/(C97*C94)</f>
        <v>#DIV/0!</v>
      </c>
      <c r="G110" s="703"/>
      <c r="H110" s="842" t="e">
        <f>E99/(E97*C94)</f>
        <v>#DIV/0!</v>
      </c>
    </row>
    <row r="111" spans="1:8" ht="15" customHeight="1" x14ac:dyDescent="0.35">
      <c r="A111" s="699" t="s">
        <v>2033</v>
      </c>
      <c r="B111" s="840">
        <f>E100</f>
        <v>5.0833333333333304</v>
      </c>
      <c r="C111" s="701"/>
      <c r="D111" s="705">
        <f>E100*E99</f>
        <v>0</v>
      </c>
      <c r="E111" s="703"/>
      <c r="F111" s="840" t="e">
        <f>D111/C97</f>
        <v>#DIV/0!</v>
      </c>
      <c r="G111" s="703"/>
      <c r="H111" s="840" t="e">
        <f>D111/E97</f>
        <v>#DIV/0!</v>
      </c>
    </row>
    <row r="112" spans="1:8" ht="15.5" x14ac:dyDescent="0.35">
      <c r="A112" s="699"/>
      <c r="B112" s="706"/>
      <c r="C112" s="706"/>
      <c r="D112" s="707"/>
      <c r="E112" s="708"/>
      <c r="F112" s="707"/>
      <c r="G112" s="708"/>
      <c r="H112" s="707"/>
    </row>
    <row r="113" spans="1:16" ht="15" x14ac:dyDescent="0.3">
      <c r="A113" s="709" t="s">
        <v>230</v>
      </c>
      <c r="B113" s="710">
        <f>(C97*C98*wwheat)+(C99*C100*C95)+(E99*E100*C96)</f>
        <v>0</v>
      </c>
      <c r="C113" s="711"/>
      <c r="D113" s="712" t="e">
        <f>B113/wwheat</f>
        <v>#DIV/0!</v>
      </c>
      <c r="E113" s="713"/>
      <c r="F113" s="712" t="e">
        <f>B113/($C$97*wwheat)</f>
        <v>#DIV/0!</v>
      </c>
      <c r="G113" s="713"/>
      <c r="H113" s="711" t="e">
        <f>B113/($E$97*wwheat)</f>
        <v>#DIV/0!</v>
      </c>
    </row>
    <row r="114" spans="1:16" ht="15.5" x14ac:dyDescent="0.35">
      <c r="A114" s="714" t="s">
        <v>1235</v>
      </c>
      <c r="B114" s="715">
        <f>(C97*C98*wwheat)</f>
        <v>0</v>
      </c>
      <c r="C114" s="716"/>
      <c r="D114" s="717" t="e">
        <f>B114/wwheat</f>
        <v>#DIV/0!</v>
      </c>
      <c r="E114" s="718"/>
      <c r="F114" s="717" t="e">
        <f>B114/($C$97*wwheat)</f>
        <v>#DIV/0!</v>
      </c>
      <c r="G114" s="718"/>
      <c r="H114" s="716" t="e">
        <f>B114/($E$97*wwheat)</f>
        <v>#DIV/0!</v>
      </c>
    </row>
    <row r="115" spans="1:16" ht="15.5" x14ac:dyDescent="0.35">
      <c r="A115" s="714" t="s">
        <v>1236</v>
      </c>
      <c r="B115" s="715">
        <f>(C99*C100*C95)+(E99*E100*C96)</f>
        <v>0</v>
      </c>
      <c r="C115" s="716"/>
      <c r="D115" s="719" t="e">
        <f>B115/wwheat</f>
        <v>#DIV/0!</v>
      </c>
      <c r="E115" s="720"/>
      <c r="F115" s="719" t="e">
        <f>B115/($C$97*wwheat)</f>
        <v>#DIV/0!</v>
      </c>
      <c r="G115" s="720"/>
      <c r="H115" s="715" t="e">
        <f>B115/($E$97*wwheat)</f>
        <v>#DIV/0!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SUM(wWv!H8:H11)</f>
        <v>0</v>
      </c>
      <c r="C118" s="716"/>
      <c r="D118" s="717" t="e">
        <f>B118/wwheat</f>
        <v>#DIV/0!</v>
      </c>
      <c r="E118" s="718"/>
      <c r="F118" s="717" t="e">
        <f>B118/($C$97*wwheat)</f>
        <v>#DIV/0!</v>
      </c>
      <c r="G118" s="718"/>
      <c r="H118" s="716" t="e">
        <f>B118/($E$97*wwheat)</f>
        <v>#DIV/0!</v>
      </c>
    </row>
    <row r="119" spans="1:16" ht="15.5" x14ac:dyDescent="0.35">
      <c r="A119" s="714" t="s">
        <v>1</v>
      </c>
      <c r="B119" s="715"/>
      <c r="C119" s="716"/>
      <c r="D119" s="717"/>
      <c r="E119" s="718"/>
      <c r="F119" s="717"/>
      <c r="G119" s="718"/>
      <c r="J119" s="890" t="s">
        <v>1</v>
      </c>
    </row>
    <row r="120" spans="1:16" ht="15.5" x14ac:dyDescent="0.35">
      <c r="A120" s="723" t="s">
        <v>1289</v>
      </c>
      <c r="B120" s="729">
        <f>wWv!H16</f>
        <v>0</v>
      </c>
      <c r="C120" s="730"/>
      <c r="D120" s="717" t="e">
        <f>B120/wwheat</f>
        <v>#DIV/0!</v>
      </c>
      <c r="E120" s="727"/>
      <c r="F120" s="717" t="e">
        <f>B120/($C$97*wwheat)</f>
        <v>#DIV/0!</v>
      </c>
      <c r="G120" s="727"/>
      <c r="H120" s="716" t="e">
        <f>B120/($E$97*wwheat)</f>
        <v>#DIV/0!</v>
      </c>
      <c r="J120" s="697" t="s">
        <v>76</v>
      </c>
      <c r="K120" s="697"/>
      <c r="L120" s="697" t="s">
        <v>77</v>
      </c>
      <c r="M120" s="698"/>
      <c r="N120" s="697" t="s">
        <v>1554</v>
      </c>
      <c r="O120" s="698"/>
      <c r="P120" s="697" t="s">
        <v>385</v>
      </c>
    </row>
    <row r="121" spans="1:16" ht="15.5" x14ac:dyDescent="0.35">
      <c r="A121" s="723" t="s">
        <v>1290</v>
      </c>
      <c r="B121" s="729">
        <f>SUM(wWv!H17:H18)</f>
        <v>0</v>
      </c>
      <c r="C121" s="730"/>
      <c r="D121" s="717" t="e">
        <f>B121/wwheat</f>
        <v>#DIV/0!</v>
      </c>
      <c r="E121" s="727"/>
      <c r="F121" s="717" t="e">
        <f>B121/($C$97*wwheat)</f>
        <v>#DIV/0!</v>
      </c>
      <c r="G121" s="727"/>
      <c r="H121" s="716" t="e">
        <f>B121/($E$97*wwheat)</f>
        <v>#DIV/0!</v>
      </c>
      <c r="J121" s="763">
        <f>SUM(B120:B121)</f>
        <v>0</v>
      </c>
      <c r="L121" s="756" t="e">
        <f>SUM(D120:D121)</f>
        <v>#DIV/0!</v>
      </c>
      <c r="N121" s="756" t="e">
        <f>SUM(F120:F121)</f>
        <v>#DIV/0!</v>
      </c>
      <c r="P121" s="756" t="e">
        <f>SUM(H120:H121)</f>
        <v>#DIV/0!</v>
      </c>
    </row>
    <row r="122" spans="1:16" ht="15.5" x14ac:dyDescent="0.35">
      <c r="A122" s="723" t="s">
        <v>2</v>
      </c>
      <c r="B122" s="724">
        <f>wWv!H19</f>
        <v>0</v>
      </c>
      <c r="C122" s="725"/>
      <c r="D122" s="726" t="e">
        <f>B122/wwheat</f>
        <v>#DIV/0!</v>
      </c>
      <c r="E122" s="727"/>
      <c r="F122" s="726" t="e">
        <f>B122/($C$97*wwheat)</f>
        <v>#DIV/0!</v>
      </c>
      <c r="G122" s="727"/>
      <c r="H122" s="715" t="e">
        <f>B122/($E$97*wwheat)</f>
        <v>#DIV/0!</v>
      </c>
    </row>
    <row r="123" spans="1:16" ht="15.5" x14ac:dyDescent="0.35">
      <c r="A123" s="714" t="s">
        <v>1476</v>
      </c>
      <c r="B123" s="728"/>
      <c r="C123" s="728"/>
      <c r="D123" s="728"/>
      <c r="E123" s="728"/>
      <c r="F123" s="728"/>
      <c r="G123" s="728"/>
      <c r="H123" s="728"/>
    </row>
    <row r="124" spans="1:16" ht="15.5" x14ac:dyDescent="0.35">
      <c r="A124" s="714" t="s">
        <v>1121</v>
      </c>
      <c r="B124" s="729">
        <f>SUM(wWv!H20:H21)</f>
        <v>0</v>
      </c>
      <c r="C124" s="730"/>
      <c r="D124" s="731" t="e">
        <f>B124/wwheat</f>
        <v>#DIV/0!</v>
      </c>
      <c r="E124" s="727"/>
      <c r="F124" s="731" t="e">
        <f>B124/($C$97*wwheat)</f>
        <v>#DIV/0!</v>
      </c>
      <c r="G124" s="727"/>
      <c r="H124" s="715" t="e">
        <f>B124/($E$97*wwheat)</f>
        <v>#DIV/0!</v>
      </c>
    </row>
    <row r="125" spans="1:16" ht="15.5" x14ac:dyDescent="0.35">
      <c r="A125" s="723" t="s">
        <v>1119</v>
      </c>
      <c r="B125" s="729">
        <f>SUM(wWv!H22:H22)</f>
        <v>0</v>
      </c>
      <c r="C125" s="730"/>
      <c r="D125" s="731" t="e">
        <f>B125/wwheat</f>
        <v>#DIV/0!</v>
      </c>
      <c r="E125" s="727"/>
      <c r="F125" s="731" t="e">
        <f>B125/($C$97*wwheat)</f>
        <v>#DIV/0!</v>
      </c>
      <c r="G125" s="727"/>
      <c r="H125" s="715" t="e">
        <f>B125/($E$97*wwheat)</f>
        <v>#DIV/0!</v>
      </c>
    </row>
    <row r="126" spans="1:16" ht="15.5" x14ac:dyDescent="0.35">
      <c r="A126" s="723" t="s">
        <v>1120</v>
      </c>
      <c r="B126" s="729">
        <f>SUM(wWv!H23:H23)</f>
        <v>0</v>
      </c>
      <c r="C126" s="730"/>
      <c r="D126" s="731" t="e">
        <f>B126/wwheat</f>
        <v>#DIV/0!</v>
      </c>
      <c r="E126" s="727"/>
      <c r="F126" s="731" t="e">
        <f>B126/($C$97*wwheat)</f>
        <v>#DIV/0!</v>
      </c>
      <c r="G126" s="727"/>
      <c r="H126" s="715" t="e">
        <f>B126/($E$97*wwheat)</f>
        <v>#DIV/0!</v>
      </c>
      <c r="J126" s="889" t="s">
        <v>1557</v>
      </c>
    </row>
    <row r="127" spans="1:16" ht="15.5" x14ac:dyDescent="0.35">
      <c r="A127" s="714" t="s">
        <v>1214</v>
      </c>
      <c r="B127" s="715"/>
      <c r="C127" s="716"/>
      <c r="D127" s="717"/>
      <c r="E127" s="718"/>
      <c r="F127" s="717"/>
      <c r="G127" s="718"/>
      <c r="H127" s="717"/>
      <c r="J127" s="756">
        <f>_wage_</f>
        <v>12.29</v>
      </c>
      <c r="K127" s="709" t="s">
        <v>1558</v>
      </c>
    </row>
    <row r="128" spans="1:16" ht="15.5" x14ac:dyDescent="0.35">
      <c r="A128" s="734" t="s">
        <v>1910</v>
      </c>
      <c r="B128" s="715">
        <f>wWv!H26</f>
        <v>0</v>
      </c>
      <c r="C128" s="716"/>
      <c r="D128" s="717" t="e">
        <f t="shared" ref="D128:D141" si="12">B128/wwheat</f>
        <v>#DIV/0!</v>
      </c>
      <c r="E128" s="718"/>
      <c r="F128" s="717" t="e">
        <f t="shared" ref="F128:F141" si="13">B128/($C$97*wwheat)</f>
        <v>#DIV/0!</v>
      </c>
      <c r="G128" s="718"/>
      <c r="H128" s="716" t="e">
        <f t="shared" ref="H128:H141" si="14">B128/($E$97*wwheat)</f>
        <v>#DIV/0!</v>
      </c>
      <c r="J128" s="697" t="s">
        <v>76</v>
      </c>
      <c r="K128" s="697"/>
      <c r="L128" s="697" t="s">
        <v>77</v>
      </c>
      <c r="M128" s="698"/>
      <c r="N128" s="697" t="s">
        <v>1554</v>
      </c>
      <c r="O128" s="698"/>
      <c r="P128" s="697" t="s">
        <v>385</v>
      </c>
    </row>
    <row r="129" spans="1:16" ht="15.5" x14ac:dyDescent="0.35">
      <c r="A129" s="734" t="s">
        <v>1251</v>
      </c>
      <c r="B129" s="715">
        <f>wWv!H27</f>
        <v>0</v>
      </c>
      <c r="C129" s="716"/>
      <c r="D129" s="717" t="e">
        <f t="shared" si="12"/>
        <v>#DIV/0!</v>
      </c>
      <c r="E129" s="718"/>
      <c r="F129" s="717" t="e">
        <f t="shared" si="13"/>
        <v>#DIV/0!</v>
      </c>
      <c r="G129" s="718"/>
      <c r="H129" s="716" t="e">
        <f t="shared" si="14"/>
        <v>#DIV/0!</v>
      </c>
      <c r="J129" s="763">
        <f>SUM(B128:B141)</f>
        <v>0</v>
      </c>
      <c r="L129" s="756" t="e">
        <f>SUM(D128:D141)</f>
        <v>#DIV/0!</v>
      </c>
      <c r="N129" s="756" t="e">
        <f>SUM(F128:F141)</f>
        <v>#DIV/0!</v>
      </c>
      <c r="P129" s="756" t="e">
        <f>SUM(H128:H141)</f>
        <v>#DIV/0!</v>
      </c>
    </row>
    <row r="130" spans="1:16" ht="15.5" x14ac:dyDescent="0.35">
      <c r="A130" s="734" t="s">
        <v>1256</v>
      </c>
      <c r="B130" s="715">
        <f>wWv!H28</f>
        <v>0</v>
      </c>
      <c r="C130" s="716"/>
      <c r="D130" s="717" t="e">
        <f t="shared" si="12"/>
        <v>#DIV/0!</v>
      </c>
      <c r="E130" s="718"/>
      <c r="F130" s="717" t="e">
        <f t="shared" si="13"/>
        <v>#DIV/0!</v>
      </c>
      <c r="G130" s="718"/>
      <c r="H130" s="716" t="e">
        <f t="shared" si="14"/>
        <v>#DIV/0!</v>
      </c>
    </row>
    <row r="131" spans="1:16" ht="15.5" x14ac:dyDescent="0.35">
      <c r="A131" s="734" t="s">
        <v>1252</v>
      </c>
      <c r="B131" s="715">
        <f>wWv!H29</f>
        <v>0</v>
      </c>
      <c r="C131" s="716"/>
      <c r="D131" s="717" t="e">
        <f t="shared" si="12"/>
        <v>#DIV/0!</v>
      </c>
      <c r="E131" s="718"/>
      <c r="F131" s="717" t="e">
        <f t="shared" si="13"/>
        <v>#DIV/0!</v>
      </c>
      <c r="G131" s="718"/>
      <c r="H131" s="716" t="e">
        <f t="shared" si="14"/>
        <v>#DIV/0!</v>
      </c>
    </row>
    <row r="132" spans="1:16" ht="15.5" x14ac:dyDescent="0.35">
      <c r="A132" s="734" t="s">
        <v>1253</v>
      </c>
      <c r="B132" s="715">
        <f>wWv!H33</f>
        <v>0</v>
      </c>
      <c r="C132" s="716"/>
      <c r="D132" s="717" t="e">
        <f t="shared" si="12"/>
        <v>#DIV/0!</v>
      </c>
      <c r="E132" s="718"/>
      <c r="F132" s="717" t="e">
        <f t="shared" si="13"/>
        <v>#DIV/0!</v>
      </c>
      <c r="G132" s="718"/>
      <c r="H132" s="716" t="e">
        <f t="shared" si="14"/>
        <v>#DIV/0!</v>
      </c>
    </row>
    <row r="133" spans="1:16" ht="15.5" x14ac:dyDescent="0.35">
      <c r="A133" s="734" t="s">
        <v>1254</v>
      </c>
      <c r="B133" s="715">
        <f>wWv!H34</f>
        <v>0</v>
      </c>
      <c r="C133" s="716"/>
      <c r="D133" s="717" t="e">
        <f t="shared" si="12"/>
        <v>#DIV/0!</v>
      </c>
      <c r="E133" s="718"/>
      <c r="F133" s="717" t="e">
        <f t="shared" si="13"/>
        <v>#DIV/0!</v>
      </c>
      <c r="G133" s="718"/>
      <c r="H133" s="716" t="e">
        <f t="shared" si="14"/>
        <v>#DIV/0!</v>
      </c>
    </row>
    <row r="134" spans="1:16" ht="15.5" x14ac:dyDescent="0.35">
      <c r="A134" s="734" t="s">
        <v>2175</v>
      </c>
      <c r="B134" s="715">
        <f>wWv!H35</f>
        <v>0</v>
      </c>
      <c r="C134" s="716"/>
      <c r="D134" s="719" t="e">
        <f t="shared" si="12"/>
        <v>#DIV/0!</v>
      </c>
      <c r="E134" s="718"/>
      <c r="F134" s="719" t="e">
        <f t="shared" si="13"/>
        <v>#DIV/0!</v>
      </c>
      <c r="G134" s="718"/>
      <c r="H134" s="715" t="e">
        <f t="shared" si="14"/>
        <v>#DIV/0!</v>
      </c>
    </row>
    <row r="135" spans="1:16" ht="15.5" x14ac:dyDescent="0.35">
      <c r="A135" s="734" t="s">
        <v>1259</v>
      </c>
      <c r="B135" s="715">
        <f>wWv!H37</f>
        <v>0</v>
      </c>
      <c r="C135" s="716"/>
      <c r="D135" s="717" t="e">
        <f t="shared" si="12"/>
        <v>#DIV/0!</v>
      </c>
      <c r="E135" s="718"/>
      <c r="F135" s="717" t="e">
        <f t="shared" si="13"/>
        <v>#DIV/0!</v>
      </c>
      <c r="G135" s="718"/>
      <c r="H135" s="716" t="e">
        <f t="shared" si="14"/>
        <v>#DIV/0!</v>
      </c>
    </row>
    <row r="136" spans="1:16" ht="15.5" x14ac:dyDescent="0.35">
      <c r="A136" s="734" t="s">
        <v>1255</v>
      </c>
      <c r="B136" s="715">
        <f>SUM(wWv!H40:H41)</f>
        <v>0</v>
      </c>
      <c r="C136" s="716"/>
      <c r="D136" s="717" t="e">
        <f t="shared" si="12"/>
        <v>#DIV/0!</v>
      </c>
      <c r="E136" s="718"/>
      <c r="F136" s="717" t="e">
        <f t="shared" si="13"/>
        <v>#DIV/0!</v>
      </c>
      <c r="G136" s="718"/>
      <c r="H136" s="716" t="e">
        <f t="shared" si="14"/>
        <v>#DIV/0!</v>
      </c>
    </row>
    <row r="137" spans="1:16" ht="15.5" x14ac:dyDescent="0.35">
      <c r="A137" s="734" t="s">
        <v>2077</v>
      </c>
      <c r="B137" s="715">
        <f>SUM(wWv!H42:H43)</f>
        <v>0</v>
      </c>
      <c r="C137" s="716"/>
      <c r="D137" s="717" t="e">
        <f t="shared" si="12"/>
        <v>#DIV/0!</v>
      </c>
      <c r="E137" s="718"/>
      <c r="F137" s="717" t="e">
        <f t="shared" si="13"/>
        <v>#DIV/0!</v>
      </c>
      <c r="G137" s="718"/>
      <c r="H137" s="716" t="e">
        <f t="shared" si="14"/>
        <v>#DIV/0!</v>
      </c>
    </row>
    <row r="138" spans="1:16" ht="15.5" x14ac:dyDescent="0.35">
      <c r="A138" s="734" t="s">
        <v>1537</v>
      </c>
      <c r="B138" s="715">
        <f>SUM(wWv!H55:H57)</f>
        <v>0</v>
      </c>
      <c r="C138" s="716"/>
      <c r="D138" s="717" t="e">
        <f t="shared" si="12"/>
        <v>#DIV/0!</v>
      </c>
      <c r="E138" s="718"/>
      <c r="F138" s="717" t="e">
        <f t="shared" si="13"/>
        <v>#DIV/0!</v>
      </c>
      <c r="G138" s="718"/>
      <c r="H138" s="716" t="e">
        <f t="shared" si="14"/>
        <v>#DIV/0!</v>
      </c>
    </row>
    <row r="139" spans="1:16" ht="15.5" x14ac:dyDescent="0.35">
      <c r="A139" s="734" t="s">
        <v>1257</v>
      </c>
      <c r="B139" s="715">
        <f>SUM(wWv!H58:H60)</f>
        <v>0</v>
      </c>
      <c r="C139" s="716"/>
      <c r="D139" s="717" t="e">
        <f t="shared" si="12"/>
        <v>#DIV/0!</v>
      </c>
      <c r="E139" s="718"/>
      <c r="F139" s="717" t="e">
        <f t="shared" si="13"/>
        <v>#DIV/0!</v>
      </c>
      <c r="G139" s="718"/>
      <c r="H139" s="716" t="e">
        <f t="shared" si="14"/>
        <v>#DIV/0!</v>
      </c>
    </row>
    <row r="140" spans="1:16" ht="15.5" x14ac:dyDescent="0.35">
      <c r="A140" s="734" t="s">
        <v>2030</v>
      </c>
      <c r="B140" s="715">
        <f>SUM(wWv!H44:H54)</f>
        <v>0</v>
      </c>
      <c r="C140" s="716"/>
      <c r="D140" s="717" t="e">
        <f t="shared" si="12"/>
        <v>#DIV/0!</v>
      </c>
      <c r="E140" s="718"/>
      <c r="F140" s="717" t="e">
        <f t="shared" si="13"/>
        <v>#DIV/0!</v>
      </c>
      <c r="G140" s="718"/>
      <c r="H140" s="716" t="e">
        <f t="shared" si="14"/>
        <v>#DIV/0!</v>
      </c>
    </row>
    <row r="141" spans="1:16" ht="15.5" x14ac:dyDescent="0.35">
      <c r="A141" s="734" t="s">
        <v>2078</v>
      </c>
      <c r="B141" s="715">
        <f>SUM(wWv!H62:H75)</f>
        <v>0</v>
      </c>
      <c r="C141" s="716"/>
      <c r="D141" s="717" t="e">
        <f t="shared" si="12"/>
        <v>#DIV/0!</v>
      </c>
      <c r="E141" s="718"/>
      <c r="F141" s="717" t="e">
        <f t="shared" si="13"/>
        <v>#DIV/0!</v>
      </c>
      <c r="G141" s="718"/>
      <c r="H141" s="716" t="e">
        <f t="shared" si="14"/>
        <v>#DIV/0!</v>
      </c>
      <c r="J141" s="889" t="s">
        <v>1985</v>
      </c>
    </row>
    <row r="142" spans="1:16" ht="15.5" x14ac:dyDescent="0.35">
      <c r="A142" s="714" t="s">
        <v>1260</v>
      </c>
      <c r="B142" s="715"/>
      <c r="C142" s="716"/>
      <c r="D142" s="717"/>
      <c r="E142" s="718"/>
      <c r="F142" s="717"/>
      <c r="G142" s="718"/>
      <c r="H142" s="717"/>
      <c r="J142" s="756">
        <f>diesel_fuel</f>
        <v>2.56</v>
      </c>
      <c r="K142" s="709" t="s">
        <v>1559</v>
      </c>
    </row>
    <row r="143" spans="1:16" ht="15.5" x14ac:dyDescent="0.35">
      <c r="A143" s="734" t="s">
        <v>1910</v>
      </c>
      <c r="B143" s="715">
        <f>wWv!H78</f>
        <v>0</v>
      </c>
      <c r="C143" s="716"/>
      <c r="D143" s="717" t="e">
        <f t="shared" ref="D143:D160" si="15">B143/wwheat</f>
        <v>#DIV/0!</v>
      </c>
      <c r="E143" s="718"/>
      <c r="F143" s="717" t="e">
        <f t="shared" ref="F143:F160" si="16">B143/($C$97*wwheat)</f>
        <v>#DIV/0!</v>
      </c>
      <c r="G143" s="718"/>
      <c r="H143" s="716" t="e">
        <f t="shared" ref="H143:H160" si="17">B143/($E$97*wwheat)</f>
        <v>#DIV/0!</v>
      </c>
      <c r="J143" s="697" t="s">
        <v>76</v>
      </c>
      <c r="K143" s="697"/>
      <c r="L143" s="697" t="s">
        <v>77</v>
      </c>
      <c r="M143" s="698"/>
      <c r="N143" s="697" t="s">
        <v>1554</v>
      </c>
      <c r="O143" s="698"/>
      <c r="P143" s="697" t="s">
        <v>385</v>
      </c>
    </row>
    <row r="144" spans="1:16" ht="15.5" x14ac:dyDescent="0.35">
      <c r="A144" s="734" t="s">
        <v>1251</v>
      </c>
      <c r="B144" s="715">
        <f>wWv!H79</f>
        <v>0</v>
      </c>
      <c r="C144" s="716"/>
      <c r="D144" s="717" t="e">
        <f t="shared" si="15"/>
        <v>#DIV/0!</v>
      </c>
      <c r="E144" s="718"/>
      <c r="F144" s="717" t="e">
        <f t="shared" si="16"/>
        <v>#DIV/0!</v>
      </c>
      <c r="G144" s="718"/>
      <c r="H144" s="716" t="e">
        <f t="shared" si="17"/>
        <v>#DIV/0!</v>
      </c>
      <c r="J144" s="763">
        <f>SUM(B143:B156)</f>
        <v>0</v>
      </c>
      <c r="L144" s="756" t="e">
        <f>SUM(D143:D156)</f>
        <v>#DIV/0!</v>
      </c>
      <c r="N144" s="756" t="e">
        <f>SUM(F143:F156)</f>
        <v>#DIV/0!</v>
      </c>
      <c r="P144" s="756" t="e">
        <f>SUM(H143:H156)</f>
        <v>#DIV/0!</v>
      </c>
    </row>
    <row r="145" spans="1:8" ht="15.5" x14ac:dyDescent="0.35">
      <c r="A145" s="734" t="s">
        <v>1256</v>
      </c>
      <c r="B145" s="715">
        <f>wWv!H80</f>
        <v>0</v>
      </c>
      <c r="C145" s="716"/>
      <c r="D145" s="717" t="e">
        <f t="shared" si="15"/>
        <v>#DIV/0!</v>
      </c>
      <c r="E145" s="718"/>
      <c r="F145" s="717" t="e">
        <f t="shared" si="16"/>
        <v>#DIV/0!</v>
      </c>
      <c r="G145" s="718"/>
      <c r="H145" s="716" t="e">
        <f t="shared" si="17"/>
        <v>#DIV/0!</v>
      </c>
    </row>
    <row r="146" spans="1:8" ht="15.5" x14ac:dyDescent="0.35">
      <c r="A146" s="734" t="s">
        <v>1252</v>
      </c>
      <c r="B146" s="715">
        <f>wWv!H81</f>
        <v>0</v>
      </c>
      <c r="C146" s="716"/>
      <c r="D146" s="717" t="e">
        <f t="shared" si="15"/>
        <v>#DIV/0!</v>
      </c>
      <c r="E146" s="718"/>
      <c r="F146" s="717" t="e">
        <f t="shared" si="16"/>
        <v>#DIV/0!</v>
      </c>
      <c r="G146" s="718"/>
      <c r="H146" s="716" t="e">
        <f t="shared" si="17"/>
        <v>#DIV/0!</v>
      </c>
    </row>
    <row r="147" spans="1:8" ht="15.5" x14ac:dyDescent="0.35">
      <c r="A147" s="734" t="s">
        <v>1253</v>
      </c>
      <c r="B147" s="715">
        <f>wWv!H85</f>
        <v>0</v>
      </c>
      <c r="C147" s="716"/>
      <c r="D147" s="717" t="e">
        <f t="shared" si="15"/>
        <v>#DIV/0!</v>
      </c>
      <c r="E147" s="718"/>
      <c r="F147" s="717" t="e">
        <f t="shared" si="16"/>
        <v>#DIV/0!</v>
      </c>
      <c r="G147" s="718"/>
      <c r="H147" s="716" t="e">
        <f t="shared" si="17"/>
        <v>#DIV/0!</v>
      </c>
    </row>
    <row r="148" spans="1:8" ht="15.5" x14ac:dyDescent="0.35">
      <c r="A148" s="734" t="s">
        <v>1254</v>
      </c>
      <c r="B148" s="715">
        <f>wWv!H86</f>
        <v>0</v>
      </c>
      <c r="C148" s="716"/>
      <c r="D148" s="717" t="e">
        <f t="shared" si="15"/>
        <v>#DIV/0!</v>
      </c>
      <c r="E148" s="718"/>
      <c r="F148" s="717" t="e">
        <f t="shared" si="16"/>
        <v>#DIV/0!</v>
      </c>
      <c r="G148" s="718"/>
      <c r="H148" s="716" t="e">
        <f t="shared" si="17"/>
        <v>#DIV/0!</v>
      </c>
    </row>
    <row r="149" spans="1:8" ht="15.5" x14ac:dyDescent="0.35">
      <c r="A149" s="734" t="s">
        <v>2175</v>
      </c>
      <c r="B149" s="715">
        <f>wWv!H87</f>
        <v>0</v>
      </c>
      <c r="C149" s="716"/>
      <c r="D149" s="719" t="e">
        <f t="shared" si="15"/>
        <v>#DIV/0!</v>
      </c>
      <c r="E149" s="718"/>
      <c r="F149" s="719" t="e">
        <f t="shared" si="16"/>
        <v>#DIV/0!</v>
      </c>
      <c r="G149" s="718"/>
      <c r="H149" s="715" t="e">
        <f t="shared" si="17"/>
        <v>#DIV/0!</v>
      </c>
    </row>
    <row r="150" spans="1:8" ht="15.5" x14ac:dyDescent="0.35">
      <c r="A150" s="734" t="s">
        <v>1259</v>
      </c>
      <c r="B150" s="715">
        <f>wWv!H89</f>
        <v>0</v>
      </c>
      <c r="C150" s="716"/>
      <c r="D150" s="717" t="e">
        <f t="shared" si="15"/>
        <v>#DIV/0!</v>
      </c>
      <c r="E150" s="718"/>
      <c r="F150" s="717" t="e">
        <f t="shared" si="16"/>
        <v>#DIV/0!</v>
      </c>
      <c r="G150" s="718"/>
      <c r="H150" s="716" t="e">
        <f t="shared" si="17"/>
        <v>#DIV/0!</v>
      </c>
    </row>
    <row r="151" spans="1:8" ht="15.5" x14ac:dyDescent="0.35">
      <c r="A151" s="734" t="s">
        <v>1255</v>
      </c>
      <c r="B151" s="715">
        <f>SUM(wWv!H92:H93)</f>
        <v>0</v>
      </c>
      <c r="C151" s="716"/>
      <c r="D151" s="717" t="e">
        <f t="shared" si="15"/>
        <v>#DIV/0!</v>
      </c>
      <c r="E151" s="718"/>
      <c r="F151" s="717" t="e">
        <f t="shared" si="16"/>
        <v>#DIV/0!</v>
      </c>
      <c r="G151" s="718"/>
      <c r="H151" s="716" t="e">
        <f t="shared" si="17"/>
        <v>#DIV/0!</v>
      </c>
    </row>
    <row r="152" spans="1:8" ht="15.5" x14ac:dyDescent="0.35">
      <c r="A152" s="734" t="s">
        <v>2077</v>
      </c>
      <c r="B152" s="715">
        <f>SUM(wWv!H94:H95)</f>
        <v>0</v>
      </c>
      <c r="C152" s="716"/>
      <c r="D152" s="717" t="e">
        <f t="shared" si="15"/>
        <v>#DIV/0!</v>
      </c>
      <c r="E152" s="718"/>
      <c r="F152" s="717" t="e">
        <f t="shared" si="16"/>
        <v>#DIV/0!</v>
      </c>
      <c r="G152" s="718"/>
      <c r="H152" s="716" t="e">
        <f t="shared" si="17"/>
        <v>#DIV/0!</v>
      </c>
    </row>
    <row r="153" spans="1:8" ht="15.5" x14ac:dyDescent="0.35">
      <c r="A153" s="734" t="s">
        <v>1537</v>
      </c>
      <c r="B153" s="715">
        <f>SUM(wWv!H107:H109)</f>
        <v>0</v>
      </c>
      <c r="C153" s="716"/>
      <c r="D153" s="719" t="e">
        <f t="shared" si="15"/>
        <v>#DIV/0!</v>
      </c>
      <c r="E153" s="718"/>
      <c r="F153" s="719" t="e">
        <f t="shared" si="16"/>
        <v>#DIV/0!</v>
      </c>
      <c r="G153" s="718"/>
      <c r="H153" s="715" t="e">
        <f t="shared" si="17"/>
        <v>#DIV/0!</v>
      </c>
    </row>
    <row r="154" spans="1:8" ht="15.5" x14ac:dyDescent="0.35">
      <c r="A154" s="734" t="s">
        <v>1257</v>
      </c>
      <c r="B154" s="715">
        <f>SUM(wWv!H111:H112)</f>
        <v>0</v>
      </c>
      <c r="C154" s="716"/>
      <c r="D154" s="719" t="e">
        <f t="shared" si="15"/>
        <v>#DIV/0!</v>
      </c>
      <c r="E154" s="720"/>
      <c r="F154" s="719" t="e">
        <f t="shared" si="16"/>
        <v>#DIV/0!</v>
      </c>
      <c r="G154" s="720"/>
      <c r="H154" s="715" t="e">
        <f t="shared" si="17"/>
        <v>#DIV/0!</v>
      </c>
    </row>
    <row r="155" spans="1:8" ht="15.5" x14ac:dyDescent="0.35">
      <c r="A155" s="734" t="s">
        <v>2030</v>
      </c>
      <c r="B155" s="715">
        <f>SUM(wWv!H96:H106)</f>
        <v>0</v>
      </c>
      <c r="C155" s="716"/>
      <c r="D155" s="717" t="e">
        <f t="shared" si="15"/>
        <v>#DIV/0!</v>
      </c>
      <c r="E155" s="720"/>
      <c r="F155" s="717" t="e">
        <f t="shared" si="16"/>
        <v>#DIV/0!</v>
      </c>
      <c r="G155" s="720"/>
      <c r="H155" s="716" t="e">
        <f t="shared" si="17"/>
        <v>#DIV/0!</v>
      </c>
    </row>
    <row r="156" spans="1:8" ht="15.5" x14ac:dyDescent="0.35">
      <c r="A156" s="734" t="s">
        <v>2078</v>
      </c>
      <c r="B156" s="715">
        <f>SUM(wWv!H114:H127)</f>
        <v>0</v>
      </c>
      <c r="C156" s="716"/>
      <c r="D156" s="717" t="e">
        <f t="shared" si="15"/>
        <v>#DIV/0!</v>
      </c>
      <c r="E156" s="720"/>
      <c r="F156" s="717" t="e">
        <f t="shared" si="16"/>
        <v>#DIV/0!</v>
      </c>
      <c r="G156" s="720"/>
      <c r="H156" s="716" t="e">
        <f t="shared" si="17"/>
        <v>#DIV/0!</v>
      </c>
    </row>
    <row r="157" spans="1:8" ht="15.5" x14ac:dyDescent="0.35">
      <c r="A157" s="714" t="s">
        <v>1258</v>
      </c>
      <c r="B157" s="715">
        <f>wWv!H128</f>
        <v>0</v>
      </c>
      <c r="C157" s="716"/>
      <c r="D157" s="717" t="e">
        <f t="shared" si="15"/>
        <v>#DIV/0!</v>
      </c>
      <c r="E157" s="718"/>
      <c r="F157" s="717" t="e">
        <f t="shared" si="16"/>
        <v>#DIV/0!</v>
      </c>
      <c r="G157" s="718"/>
      <c r="H157" s="716" t="e">
        <f t="shared" si="17"/>
        <v>#DIV/0!</v>
      </c>
    </row>
    <row r="158" spans="1:8" ht="15.5" x14ac:dyDescent="0.35">
      <c r="A158" s="714" t="s">
        <v>78</v>
      </c>
      <c r="B158" s="715">
        <f>SUM(wWv!H129:H130)</f>
        <v>0</v>
      </c>
      <c r="C158" s="716"/>
      <c r="D158" s="717" t="e">
        <f t="shared" si="15"/>
        <v>#DIV/0!</v>
      </c>
      <c r="E158" s="718"/>
      <c r="F158" s="717" t="e">
        <f t="shared" si="16"/>
        <v>#DIV/0!</v>
      </c>
      <c r="G158" s="718"/>
      <c r="H158" s="716" t="e">
        <f t="shared" si="17"/>
        <v>#DIV/0!</v>
      </c>
    </row>
    <row r="159" spans="1:8" ht="15.5" x14ac:dyDescent="0.35">
      <c r="A159" s="714" t="s">
        <v>170</v>
      </c>
      <c r="B159" s="732">
        <f>wWv!H131</f>
        <v>0</v>
      </c>
      <c r="C159" s="733"/>
      <c r="D159" s="719" t="e">
        <f t="shared" si="15"/>
        <v>#DIV/0!</v>
      </c>
      <c r="E159" s="720"/>
      <c r="F159" s="719" t="e">
        <f t="shared" si="16"/>
        <v>#DIV/0!</v>
      </c>
      <c r="G159" s="720"/>
      <c r="H159" s="715" t="e">
        <f t="shared" si="17"/>
        <v>#DIV/0!</v>
      </c>
    </row>
    <row r="160" spans="1:8" ht="15.5" x14ac:dyDescent="0.35">
      <c r="A160" s="714" t="s">
        <v>1213</v>
      </c>
      <c r="B160" s="732">
        <f>SUM(wWv!H132:H133)</f>
        <v>0</v>
      </c>
      <c r="C160" s="733"/>
      <c r="D160" s="717" t="e">
        <f t="shared" si="15"/>
        <v>#DIV/0!</v>
      </c>
      <c r="E160" s="718"/>
      <c r="F160" s="717" t="e">
        <f t="shared" si="16"/>
        <v>#DIV/0!</v>
      </c>
      <c r="G160" s="718"/>
      <c r="H160" s="716" t="e">
        <f t="shared" si="17"/>
        <v>#DIV/0!</v>
      </c>
    </row>
    <row r="161" spans="1:8" ht="15.5" x14ac:dyDescent="0.35">
      <c r="A161" s="714" t="s">
        <v>172</v>
      </c>
      <c r="B161" s="732"/>
      <c r="C161" s="733"/>
      <c r="D161" s="717"/>
      <c r="E161" s="718"/>
      <c r="F161" s="717"/>
      <c r="G161" s="718"/>
      <c r="H161" s="717"/>
    </row>
    <row r="162" spans="1:8" ht="15.5" x14ac:dyDescent="0.35">
      <c r="A162" s="734" t="s">
        <v>439</v>
      </c>
      <c r="B162" s="732">
        <f>wWv!H135</f>
        <v>0</v>
      </c>
      <c r="C162" s="733"/>
      <c r="D162" s="717" t="e">
        <f t="shared" ref="D162:D176" si="18">B162/wwheat</f>
        <v>#DIV/0!</v>
      </c>
      <c r="E162" s="720"/>
      <c r="F162" s="717" t="e">
        <f t="shared" ref="F162:F176" si="19">B162/($C$97*wwheat)</f>
        <v>#DIV/0!</v>
      </c>
      <c r="G162" s="720"/>
      <c r="H162" s="716" t="e">
        <f t="shared" ref="H162:H176" si="20">B162/($E$97*wwheat)</f>
        <v>#DIV/0!</v>
      </c>
    </row>
    <row r="163" spans="1:8" ht="15.5" x14ac:dyDescent="0.35">
      <c r="A163" s="734" t="s">
        <v>1506</v>
      </c>
      <c r="B163" s="732">
        <f>SUM(wWv!H136:H138)</f>
        <v>0</v>
      </c>
      <c r="C163" s="733"/>
      <c r="D163" s="717" t="e">
        <f t="shared" si="18"/>
        <v>#DIV/0!</v>
      </c>
      <c r="E163" s="720"/>
      <c r="F163" s="717" t="e">
        <f t="shared" si="19"/>
        <v>#DIV/0!</v>
      </c>
      <c r="G163" s="720"/>
      <c r="H163" s="716" t="e">
        <f t="shared" si="20"/>
        <v>#DIV/0!</v>
      </c>
    </row>
    <row r="164" spans="1:8" ht="15.5" x14ac:dyDescent="0.35">
      <c r="A164" s="734" t="s">
        <v>1505</v>
      </c>
      <c r="B164" s="732">
        <f>SUM(wWv!H139:H141)</f>
        <v>0</v>
      </c>
      <c r="C164" s="733"/>
      <c r="D164" s="717" t="e">
        <f t="shared" si="18"/>
        <v>#DIV/0!</v>
      </c>
      <c r="E164" s="720"/>
      <c r="F164" s="717" t="e">
        <f t="shared" si="19"/>
        <v>#DIV/0!</v>
      </c>
      <c r="G164" s="720"/>
      <c r="H164" s="716" t="e">
        <f t="shared" si="20"/>
        <v>#DIV/0!</v>
      </c>
    </row>
    <row r="165" spans="1:8" ht="15.5" x14ac:dyDescent="0.35">
      <c r="A165" s="734" t="s">
        <v>1237</v>
      </c>
      <c r="B165" s="732">
        <f>wWv!H142</f>
        <v>0</v>
      </c>
      <c r="C165" s="733"/>
      <c r="D165" s="717" t="e">
        <f t="shared" si="18"/>
        <v>#DIV/0!</v>
      </c>
      <c r="E165" s="720"/>
      <c r="F165" s="717" t="e">
        <f t="shared" si="19"/>
        <v>#DIV/0!</v>
      </c>
      <c r="G165" s="720"/>
      <c r="H165" s="716" t="e">
        <f t="shared" si="20"/>
        <v>#DIV/0!</v>
      </c>
    </row>
    <row r="166" spans="1:8" ht="15.5" x14ac:dyDescent="0.35">
      <c r="A166" s="734" t="s">
        <v>1212</v>
      </c>
      <c r="B166" s="732">
        <f>SUM(wWv!H143:H145)</f>
        <v>0</v>
      </c>
      <c r="C166" s="733"/>
      <c r="D166" s="717" t="e">
        <f t="shared" si="18"/>
        <v>#DIV/0!</v>
      </c>
      <c r="E166" s="718"/>
      <c r="F166" s="717" t="e">
        <f t="shared" si="19"/>
        <v>#DIV/0!</v>
      </c>
      <c r="G166" s="718"/>
      <c r="H166" s="716" t="e">
        <f t="shared" si="20"/>
        <v>#DIV/0!</v>
      </c>
    </row>
    <row r="167" spans="1:8" ht="15.5" x14ac:dyDescent="0.35">
      <c r="A167" s="734" t="s">
        <v>1238</v>
      </c>
      <c r="B167" s="732">
        <f>SUM(wWv!H146:H148)</f>
        <v>0</v>
      </c>
      <c r="C167" s="733"/>
      <c r="D167" s="717" t="e">
        <f t="shared" si="18"/>
        <v>#DIV/0!</v>
      </c>
      <c r="E167" s="720"/>
      <c r="F167" s="717" t="e">
        <f t="shared" si="19"/>
        <v>#DIV/0!</v>
      </c>
      <c r="G167" s="720"/>
      <c r="H167" s="716" t="e">
        <f t="shared" si="20"/>
        <v>#DIV/0!</v>
      </c>
    </row>
    <row r="168" spans="1:8" ht="15.5" x14ac:dyDescent="0.35">
      <c r="A168" s="734" t="s">
        <v>2076</v>
      </c>
      <c r="B168" s="753">
        <f>SUM(wWv!H149:H155)</f>
        <v>0</v>
      </c>
      <c r="C168" s="699"/>
      <c r="D168" s="717" t="e">
        <f t="shared" si="18"/>
        <v>#DIV/0!</v>
      </c>
      <c r="E168" s="753"/>
      <c r="F168" s="717" t="e">
        <f t="shared" si="19"/>
        <v>#DIV/0!</v>
      </c>
      <c r="G168" s="753"/>
      <c r="H168" s="716" t="e">
        <f t="shared" si="20"/>
        <v>#DIV/0!</v>
      </c>
    </row>
    <row r="169" spans="1:8" ht="15.5" x14ac:dyDescent="0.35">
      <c r="A169" s="734" t="s">
        <v>2029</v>
      </c>
      <c r="B169" s="732">
        <f>SUM(wWv!H156:H158)</f>
        <v>0</v>
      </c>
      <c r="C169" s="733"/>
      <c r="D169" s="719" t="e">
        <f>B169/wwheat</f>
        <v>#DIV/0!</v>
      </c>
      <c r="E169" s="720"/>
      <c r="F169" s="719" t="e">
        <f>B169/($C$97*wwheat)</f>
        <v>#DIV/0!</v>
      </c>
      <c r="G169" s="720"/>
      <c r="H169" s="715" t="e">
        <f>B169/($E$97*wwheat)</f>
        <v>#DIV/0!</v>
      </c>
    </row>
    <row r="170" spans="1:8" ht="15.5" x14ac:dyDescent="0.35">
      <c r="A170" s="734" t="s">
        <v>1532</v>
      </c>
      <c r="B170" s="732">
        <f>SUM(wWv!H159:H163)</f>
        <v>0</v>
      </c>
      <c r="C170" s="733"/>
      <c r="D170" s="717" t="e">
        <f t="shared" si="18"/>
        <v>#DIV/0!</v>
      </c>
      <c r="E170" s="720"/>
      <c r="F170" s="717" t="e">
        <f t="shared" si="19"/>
        <v>#DIV/0!</v>
      </c>
      <c r="G170" s="720"/>
      <c r="H170" s="716" t="e">
        <f t="shared" si="20"/>
        <v>#DIV/0!</v>
      </c>
    </row>
    <row r="171" spans="1:8" ht="15.5" x14ac:dyDescent="0.35">
      <c r="A171" s="734" t="s">
        <v>1533</v>
      </c>
      <c r="B171" s="732">
        <f>SUM(wWv!H164:H165)</f>
        <v>0</v>
      </c>
      <c r="C171" s="733"/>
      <c r="D171" s="719" t="e">
        <f t="shared" si="18"/>
        <v>#DIV/0!</v>
      </c>
      <c r="E171" s="720"/>
      <c r="F171" s="719" t="e">
        <f t="shared" si="19"/>
        <v>#DIV/0!</v>
      </c>
      <c r="G171" s="720"/>
      <c r="H171" s="715" t="e">
        <f t="shared" si="20"/>
        <v>#DIV/0!</v>
      </c>
    </row>
    <row r="172" spans="1:8" ht="15.5" x14ac:dyDescent="0.35">
      <c r="A172" s="734" t="s">
        <v>1534</v>
      </c>
      <c r="B172" s="732">
        <f>wWv!H166</f>
        <v>0</v>
      </c>
      <c r="C172" s="733"/>
      <c r="D172" s="717" t="e">
        <f t="shared" si="18"/>
        <v>#DIV/0!</v>
      </c>
      <c r="E172" s="720"/>
      <c r="F172" s="785" t="e">
        <f t="shared" si="19"/>
        <v>#DIV/0!</v>
      </c>
      <c r="G172" s="720"/>
      <c r="H172" s="716" t="e">
        <f t="shared" si="20"/>
        <v>#DIV/0!</v>
      </c>
    </row>
    <row r="173" spans="1:8" ht="15.5" x14ac:dyDescent="0.35">
      <c r="A173" s="734" t="s">
        <v>1535</v>
      </c>
      <c r="B173" s="732">
        <f>wWv!H167</f>
        <v>0</v>
      </c>
      <c r="C173" s="733"/>
      <c r="D173" s="717" t="e">
        <f t="shared" si="18"/>
        <v>#DIV/0!</v>
      </c>
      <c r="E173" s="720"/>
      <c r="F173" s="785" t="e">
        <f t="shared" si="19"/>
        <v>#DIV/0!</v>
      </c>
      <c r="G173" s="720"/>
      <c r="H173" s="716" t="e">
        <f t="shared" si="20"/>
        <v>#DIV/0!</v>
      </c>
    </row>
    <row r="174" spans="1:8" ht="15.5" x14ac:dyDescent="0.35">
      <c r="A174" s="734" t="s">
        <v>1536</v>
      </c>
      <c r="B174" s="732">
        <f>wWv!H168</f>
        <v>0</v>
      </c>
      <c r="C174" s="733"/>
      <c r="D174" s="717" t="e">
        <f t="shared" si="18"/>
        <v>#DIV/0!</v>
      </c>
      <c r="E174" s="720"/>
      <c r="F174" s="785" t="e">
        <f t="shared" si="19"/>
        <v>#DIV/0!</v>
      </c>
      <c r="G174" s="720"/>
      <c r="H174" s="716" t="e">
        <f t="shared" si="20"/>
        <v>#DIV/0!</v>
      </c>
    </row>
    <row r="175" spans="1:8" ht="15.5" x14ac:dyDescent="0.35">
      <c r="A175" s="734" t="s">
        <v>443</v>
      </c>
      <c r="B175" s="732">
        <f>SUM(wWv!H169:H171)</f>
        <v>0</v>
      </c>
      <c r="C175" s="733"/>
      <c r="D175" s="719" t="e">
        <f t="shared" si="18"/>
        <v>#DIV/0!</v>
      </c>
      <c r="E175" s="720"/>
      <c r="F175" s="719" t="e">
        <f t="shared" si="19"/>
        <v>#DIV/0!</v>
      </c>
      <c r="G175" s="720"/>
      <c r="H175" s="715" t="e">
        <f t="shared" si="20"/>
        <v>#DIV/0!</v>
      </c>
    </row>
    <row r="176" spans="1:8" ht="15.5" x14ac:dyDescent="0.35">
      <c r="A176" s="714" t="s">
        <v>69</v>
      </c>
      <c r="B176" s="732">
        <f>wWv!H175</f>
        <v>0</v>
      </c>
      <c r="C176" s="733"/>
      <c r="D176" s="717" t="e">
        <f t="shared" si="18"/>
        <v>#DIV/0!</v>
      </c>
      <c r="E176" s="718"/>
      <c r="F176" s="717" t="e">
        <f t="shared" si="19"/>
        <v>#DIV/0!</v>
      </c>
      <c r="G176" s="718"/>
      <c r="H176" s="716" t="e">
        <f t="shared" si="20"/>
        <v>#DIV/0!</v>
      </c>
    </row>
    <row r="177" spans="1:16" ht="15" x14ac:dyDescent="0.3">
      <c r="A177" s="709" t="s">
        <v>366</v>
      </c>
      <c r="B177" s="735">
        <f>SUM(B118:B176)</f>
        <v>0</v>
      </c>
      <c r="C177" s="736"/>
      <c r="D177" s="737" t="e">
        <f>SUM(D118:D176)</f>
        <v>#DIV/0!</v>
      </c>
      <c r="E177" s="737"/>
      <c r="F177" s="737" t="e">
        <f>SUM(F118:F176)</f>
        <v>#DIV/0!</v>
      </c>
      <c r="G177" s="737"/>
      <c r="H177" s="737" t="e">
        <f>SUM(H118:H176)</f>
        <v>#DIV/0!</v>
      </c>
    </row>
    <row r="178" spans="1:16" ht="15.5" x14ac:dyDescent="0.35">
      <c r="A178" s="738"/>
      <c r="B178" s="732"/>
      <c r="C178" s="733"/>
      <c r="D178" s="739"/>
      <c r="E178" s="740"/>
      <c r="F178" s="740"/>
      <c r="G178" s="740"/>
      <c r="H178" s="740"/>
    </row>
    <row r="179" spans="1:16" ht="15.5" x14ac:dyDescent="0.35">
      <c r="A179" s="709" t="s">
        <v>367</v>
      </c>
      <c r="B179" s="732"/>
      <c r="C179" s="733"/>
      <c r="D179" s="739"/>
      <c r="E179" s="740"/>
      <c r="F179" s="740"/>
      <c r="G179" s="740"/>
      <c r="H179" s="740"/>
    </row>
    <row r="180" spans="1:16" ht="15.5" x14ac:dyDescent="0.35">
      <c r="A180" s="714" t="s">
        <v>29</v>
      </c>
      <c r="B180" s="732"/>
      <c r="C180" s="733"/>
      <c r="D180" s="733"/>
      <c r="E180" s="757"/>
      <c r="F180" s="716"/>
      <c r="G180" s="757"/>
      <c r="H180" s="716"/>
      <c r="J180" s="890" t="s">
        <v>29</v>
      </c>
    </row>
    <row r="181" spans="1:16" ht="15.5" x14ac:dyDescent="0.35">
      <c r="A181" s="734" t="s">
        <v>1240</v>
      </c>
      <c r="B181" s="732">
        <f>SUM(wWf!H8:H24)</f>
        <v>0</v>
      </c>
      <c r="C181" s="733"/>
      <c r="D181" s="717" t="e">
        <f t="shared" ref="D181:D194" si="21">B181/wwheat</f>
        <v>#DIV/0!</v>
      </c>
      <c r="E181" s="757"/>
      <c r="F181" s="717" t="e">
        <f t="shared" ref="F181:F194" si="22">B181/($C$97*wwheat)</f>
        <v>#DIV/0!</v>
      </c>
      <c r="G181" s="757"/>
      <c r="H181" s="716" t="e">
        <f t="shared" ref="H181:H194" si="23">B181/($E$97*wwheat)</f>
        <v>#DIV/0!</v>
      </c>
      <c r="J181" s="697" t="s">
        <v>76</v>
      </c>
      <c r="K181" s="697"/>
      <c r="L181" s="697" t="s">
        <v>77</v>
      </c>
      <c r="M181" s="698"/>
      <c r="N181" s="697" t="s">
        <v>1554</v>
      </c>
      <c r="O181" s="698"/>
      <c r="P181" s="697" t="s">
        <v>385</v>
      </c>
    </row>
    <row r="182" spans="1:16" ht="15.5" x14ac:dyDescent="0.35">
      <c r="A182" s="734" t="s">
        <v>1241</v>
      </c>
      <c r="B182" s="732">
        <f>SUM(wWf!H25:H33)</f>
        <v>0</v>
      </c>
      <c r="C182" s="733"/>
      <c r="D182" s="717" t="e">
        <f t="shared" si="21"/>
        <v>#DIV/0!</v>
      </c>
      <c r="E182" s="757"/>
      <c r="F182" s="717" t="e">
        <f t="shared" si="22"/>
        <v>#DIV/0!</v>
      </c>
      <c r="G182" s="757"/>
      <c r="H182" s="716" t="e">
        <f t="shared" si="23"/>
        <v>#DIV/0!</v>
      </c>
      <c r="J182" s="763">
        <f>SUM(B181:B193)</f>
        <v>0</v>
      </c>
      <c r="L182" s="756" t="e">
        <f>SUM(D181:D193)</f>
        <v>#DIV/0!</v>
      </c>
      <c r="N182" s="756" t="e">
        <f>SUM(F181:F193)</f>
        <v>#DIV/0!</v>
      </c>
      <c r="P182" s="756" t="e">
        <f>SUM(H181:H193)</f>
        <v>#DIV/0!</v>
      </c>
    </row>
    <row r="183" spans="1:16" ht="15.5" x14ac:dyDescent="0.35">
      <c r="A183" s="734" t="s">
        <v>1243</v>
      </c>
      <c r="B183" s="732">
        <f>SUM(wWf!H34:H50)</f>
        <v>0</v>
      </c>
      <c r="C183" s="733"/>
      <c r="D183" s="717" t="e">
        <f t="shared" si="21"/>
        <v>#DIV/0!</v>
      </c>
      <c r="E183" s="757"/>
      <c r="F183" s="717" t="e">
        <f t="shared" si="22"/>
        <v>#DIV/0!</v>
      </c>
      <c r="G183" s="757"/>
      <c r="H183" s="716" t="e">
        <f t="shared" si="23"/>
        <v>#DIV/0!</v>
      </c>
    </row>
    <row r="184" spans="1:16" ht="15.5" x14ac:dyDescent="0.35">
      <c r="A184" s="734" t="s">
        <v>1242</v>
      </c>
      <c r="B184" s="732">
        <f>SUM(wWf!H51:H62)</f>
        <v>0</v>
      </c>
      <c r="C184" s="733"/>
      <c r="D184" s="717" t="e">
        <f t="shared" si="21"/>
        <v>#DIV/0!</v>
      </c>
      <c r="E184" s="757"/>
      <c r="F184" s="717" t="e">
        <f t="shared" si="22"/>
        <v>#DIV/0!</v>
      </c>
      <c r="G184" s="757"/>
      <c r="H184" s="716" t="e">
        <f t="shared" si="23"/>
        <v>#DIV/0!</v>
      </c>
    </row>
    <row r="185" spans="1:16" ht="15.5" x14ac:dyDescent="0.35">
      <c r="A185" s="734" t="s">
        <v>1244</v>
      </c>
      <c r="B185" s="732">
        <f>SUM(wWf!H63:H67)</f>
        <v>0</v>
      </c>
      <c r="C185" s="733"/>
      <c r="D185" s="719" t="e">
        <f t="shared" si="21"/>
        <v>#DIV/0!</v>
      </c>
      <c r="E185" s="762"/>
      <c r="F185" s="719" t="e">
        <f t="shared" si="22"/>
        <v>#DIV/0!</v>
      </c>
      <c r="G185" s="762"/>
      <c r="H185" s="715" t="e">
        <f t="shared" si="23"/>
        <v>#DIV/0!</v>
      </c>
    </row>
    <row r="186" spans="1:16" ht="15.5" x14ac:dyDescent="0.35">
      <c r="A186" s="734" t="s">
        <v>1245</v>
      </c>
      <c r="B186" s="732">
        <f>0</f>
        <v>0</v>
      </c>
      <c r="C186" s="733"/>
      <c r="D186" s="719" t="e">
        <f t="shared" si="21"/>
        <v>#DIV/0!</v>
      </c>
      <c r="E186" s="762"/>
      <c r="F186" s="719" t="e">
        <f t="shared" si="22"/>
        <v>#DIV/0!</v>
      </c>
      <c r="G186" s="762"/>
      <c r="H186" s="715" t="e">
        <f t="shared" si="23"/>
        <v>#DIV/0!</v>
      </c>
    </row>
    <row r="187" spans="1:16" ht="15.5" x14ac:dyDescent="0.35">
      <c r="A187" s="734" t="s">
        <v>1246</v>
      </c>
      <c r="B187" s="732">
        <f>SUM(wWf!H68:H78)</f>
        <v>0</v>
      </c>
      <c r="C187" s="733"/>
      <c r="D187" s="717" t="e">
        <f t="shared" si="21"/>
        <v>#DIV/0!</v>
      </c>
      <c r="E187" s="757"/>
      <c r="F187" s="717" t="e">
        <f t="shared" si="22"/>
        <v>#DIV/0!</v>
      </c>
      <c r="G187" s="757"/>
      <c r="H187" s="716" t="e">
        <f t="shared" si="23"/>
        <v>#DIV/0!</v>
      </c>
    </row>
    <row r="188" spans="1:16" ht="15.5" x14ac:dyDescent="0.35">
      <c r="A188" s="734" t="s">
        <v>1247</v>
      </c>
      <c r="B188" s="732">
        <f>SUM(wWf!H79:H86)</f>
        <v>0</v>
      </c>
      <c r="C188" s="733"/>
      <c r="D188" s="717" t="e">
        <f t="shared" si="21"/>
        <v>#DIV/0!</v>
      </c>
      <c r="E188" s="757"/>
      <c r="F188" s="785" t="e">
        <f t="shared" si="22"/>
        <v>#DIV/0!</v>
      </c>
      <c r="G188" s="757"/>
      <c r="H188" s="716" t="e">
        <f t="shared" si="23"/>
        <v>#DIV/0!</v>
      </c>
    </row>
    <row r="189" spans="1:16" ht="15.5" x14ac:dyDescent="0.35">
      <c r="A189" s="734" t="s">
        <v>2148</v>
      </c>
      <c r="B189" s="732">
        <f>SUM(wWf!H87:H91)</f>
        <v>0</v>
      </c>
      <c r="C189" s="733"/>
      <c r="D189" s="717" t="e">
        <f t="shared" ref="D189" si="24">B189/wwheat</f>
        <v>#DIV/0!</v>
      </c>
      <c r="E189" s="757"/>
      <c r="F189" s="717" t="e">
        <f t="shared" ref="F189" si="25">B189/($C$97*wwheat)</f>
        <v>#DIV/0!</v>
      </c>
      <c r="G189" s="757"/>
      <c r="H189" s="716" t="e">
        <f t="shared" ref="H189" si="26">B189/($E$97*wwheat)</f>
        <v>#DIV/0!</v>
      </c>
    </row>
    <row r="190" spans="1:16" ht="15.5" x14ac:dyDescent="0.35">
      <c r="A190" s="734" t="s">
        <v>1250</v>
      </c>
      <c r="B190" s="732">
        <f>SUM(wWf!H92:H103)</f>
        <v>0</v>
      </c>
      <c r="C190" s="733"/>
      <c r="D190" s="717" t="e">
        <f t="shared" si="21"/>
        <v>#DIV/0!</v>
      </c>
      <c r="E190" s="757"/>
      <c r="F190" s="717" t="e">
        <f t="shared" si="22"/>
        <v>#DIV/0!</v>
      </c>
      <c r="G190" s="757"/>
      <c r="H190" s="716" t="e">
        <f t="shared" si="23"/>
        <v>#DIV/0!</v>
      </c>
    </row>
    <row r="191" spans="1:16" ht="15.5" x14ac:dyDescent="0.35">
      <c r="A191" s="734" t="s">
        <v>1304</v>
      </c>
      <c r="B191" s="732">
        <f>0</f>
        <v>0</v>
      </c>
      <c r="C191" s="733"/>
      <c r="D191" s="719" t="e">
        <f t="shared" si="21"/>
        <v>#DIV/0!</v>
      </c>
      <c r="E191" s="762"/>
      <c r="F191" s="719" t="e">
        <f t="shared" si="22"/>
        <v>#DIV/0!</v>
      </c>
      <c r="G191" s="762"/>
      <c r="H191" s="715" t="e">
        <f t="shared" si="23"/>
        <v>#DIV/0!</v>
      </c>
    </row>
    <row r="192" spans="1:16" ht="15.5" x14ac:dyDescent="0.35">
      <c r="A192" s="734" t="s">
        <v>1248</v>
      </c>
      <c r="B192" s="732">
        <f>SUM(wWf!H105:H108)</f>
        <v>0</v>
      </c>
      <c r="C192" s="733"/>
      <c r="D192" s="717" t="e">
        <f t="shared" si="21"/>
        <v>#DIV/0!</v>
      </c>
      <c r="E192" s="757"/>
      <c r="F192" s="717" t="e">
        <f t="shared" si="22"/>
        <v>#DIV/0!</v>
      </c>
      <c r="G192" s="757"/>
      <c r="H192" s="716" t="e">
        <f t="shared" si="23"/>
        <v>#DIV/0!</v>
      </c>
    </row>
    <row r="193" spans="1:8" ht="15.5" x14ac:dyDescent="0.35">
      <c r="A193" s="734" t="s">
        <v>1249</v>
      </c>
      <c r="B193" s="732">
        <f>SUM(wWf!H109:H113)</f>
        <v>0</v>
      </c>
      <c r="C193" s="733"/>
      <c r="D193" s="717" t="e">
        <f t="shared" si="21"/>
        <v>#DIV/0!</v>
      </c>
      <c r="E193" s="757"/>
      <c r="F193" s="717" t="e">
        <f t="shared" si="22"/>
        <v>#DIV/0!</v>
      </c>
      <c r="G193" s="757"/>
      <c r="H193" s="716" t="e">
        <f t="shared" si="23"/>
        <v>#DIV/0!</v>
      </c>
    </row>
    <row r="194" spans="1:8" ht="15.5" x14ac:dyDescent="0.35">
      <c r="A194" s="714" t="s">
        <v>79</v>
      </c>
      <c r="B194" s="732">
        <f>wWf!L121</f>
        <v>0</v>
      </c>
      <c r="C194" s="733"/>
      <c r="D194" s="717" t="e">
        <f t="shared" si="21"/>
        <v>#DIV/0!</v>
      </c>
      <c r="E194" s="718"/>
      <c r="F194" s="717" t="e">
        <f t="shared" si="22"/>
        <v>#DIV/0!</v>
      </c>
      <c r="G194" s="718"/>
      <c r="H194" s="716" t="e">
        <f t="shared" si="23"/>
        <v>#DIV/0!</v>
      </c>
    </row>
    <row r="195" spans="1:8" ht="15" x14ac:dyDescent="0.3">
      <c r="A195" s="709" t="s">
        <v>368</v>
      </c>
      <c r="B195" s="735">
        <f>SUM(B180:B194)</f>
        <v>0</v>
      </c>
      <c r="C195" s="736"/>
      <c r="D195" s="737" t="e">
        <f>SUM(D180:D194)</f>
        <v>#DIV/0!</v>
      </c>
      <c r="E195" s="737"/>
      <c r="F195" s="737" t="e">
        <f>SUM(F180:F194)</f>
        <v>#DIV/0!</v>
      </c>
      <c r="G195" s="737"/>
      <c r="H195" s="737" t="e">
        <f>SUM(H180:H194)</f>
        <v>#DIV/0!</v>
      </c>
    </row>
    <row r="196" spans="1:8" ht="15.5" x14ac:dyDescent="0.35">
      <c r="A196" s="699"/>
      <c r="B196" s="735"/>
      <c r="C196" s="736"/>
      <c r="D196" s="737"/>
      <c r="E196" s="741"/>
      <c r="F196" s="741"/>
      <c r="G196" s="741"/>
      <c r="H196" s="741"/>
    </row>
    <row r="197" spans="1:8" ht="15" x14ac:dyDescent="0.3">
      <c r="A197" s="709" t="s">
        <v>80</v>
      </c>
      <c r="B197" s="735">
        <f>B195+B177</f>
        <v>0</v>
      </c>
      <c r="C197" s="736"/>
      <c r="D197" s="737" t="e">
        <f>D195+D177</f>
        <v>#DIV/0!</v>
      </c>
      <c r="E197" s="737"/>
      <c r="F197" s="737" t="e">
        <f>F195+F177</f>
        <v>#DIV/0!</v>
      </c>
      <c r="G197" s="737"/>
      <c r="H197" s="737" t="e">
        <f>H195+H177</f>
        <v>#DIV/0!</v>
      </c>
    </row>
    <row r="198" spans="1:8" ht="15.5" x14ac:dyDescent="0.35">
      <c r="A198" s="742"/>
      <c r="B198" s="735"/>
      <c r="C198" s="736"/>
      <c r="D198" s="737"/>
      <c r="E198" s="737"/>
      <c r="F198" s="737"/>
      <c r="G198" s="737"/>
      <c r="H198" s="737"/>
    </row>
    <row r="199" spans="1:8" ht="15" x14ac:dyDescent="0.3">
      <c r="A199" s="709" t="s">
        <v>355</v>
      </c>
      <c r="B199" s="710">
        <f>B113-B197</f>
        <v>0</v>
      </c>
      <c r="C199" s="736"/>
      <c r="D199" s="712" t="e">
        <f>D113-D197</f>
        <v>#DIV/0!</v>
      </c>
      <c r="E199" s="737"/>
      <c r="F199" s="712" t="e">
        <f>F113-F197</f>
        <v>#DIV/0!</v>
      </c>
      <c r="G199" s="737"/>
      <c r="H199" s="712" t="e">
        <f>H113-H197</f>
        <v>#DIV/0!</v>
      </c>
    </row>
    <row r="200" spans="1:8" ht="15" x14ac:dyDescent="0.3">
      <c r="A200" s="709" t="s">
        <v>356</v>
      </c>
      <c r="B200" s="735">
        <f>B113-B177</f>
        <v>0</v>
      </c>
      <c r="C200" s="736"/>
      <c r="D200" s="737" t="e">
        <f>D113-D177</f>
        <v>#DIV/0!</v>
      </c>
      <c r="E200" s="737"/>
      <c r="F200" s="737" t="e">
        <f>F113-F177</f>
        <v>#DIV/0!</v>
      </c>
      <c r="G200" s="737"/>
      <c r="H200" s="737" t="e">
        <f>H113-H177</f>
        <v>#DIV/0!</v>
      </c>
    </row>
    <row r="201" spans="1:8" ht="15.5" x14ac:dyDescent="0.35">
      <c r="A201" s="699"/>
      <c r="B201" s="743"/>
      <c r="C201" s="743"/>
      <c r="D201" s="702"/>
      <c r="E201" s="703"/>
      <c r="F201" s="703"/>
      <c r="G201" s="703"/>
      <c r="H201" s="703"/>
    </row>
    <row r="202" spans="1:8" ht="15.5" x14ac:dyDescent="0.35">
      <c r="A202" s="709" t="s">
        <v>234</v>
      </c>
      <c r="B202" s="743"/>
      <c r="C202" s="743"/>
      <c r="D202" s="702"/>
      <c r="E202" s="703"/>
      <c r="F202" s="703"/>
      <c r="G202" s="703"/>
      <c r="H202" s="703"/>
    </row>
    <row r="203" spans="1:8" ht="15.5" x14ac:dyDescent="0.35">
      <c r="A203" s="744" t="s">
        <v>369</v>
      </c>
      <c r="B203" s="703" t="s">
        <v>76</v>
      </c>
      <c r="C203" s="743"/>
      <c r="D203" s="703" t="s">
        <v>393</v>
      </c>
      <c r="E203" s="703"/>
      <c r="F203" s="703" t="s">
        <v>1556</v>
      </c>
      <c r="G203" s="703"/>
      <c r="H203" s="703" t="s">
        <v>396</v>
      </c>
    </row>
    <row r="204" spans="1:8" ht="15.5" x14ac:dyDescent="0.35">
      <c r="A204" s="714" t="s">
        <v>370</v>
      </c>
      <c r="B204" s="745">
        <f>B197</f>
        <v>0</v>
      </c>
      <c r="C204" s="743"/>
      <c r="D204" s="717" t="e">
        <f>$B$197/wwheat</f>
        <v>#DIV/0!</v>
      </c>
      <c r="E204" s="718"/>
      <c r="F204" s="717" t="e">
        <f>$B$197/($C$97*wwheat)</f>
        <v>#DIV/0!</v>
      </c>
      <c r="G204" s="718"/>
      <c r="H204" s="717" t="e">
        <f>$B$197/($E$97*wwheat)</f>
        <v>#DIV/0!</v>
      </c>
    </row>
    <row r="205" spans="1:8" ht="15.5" x14ac:dyDescent="0.35">
      <c r="A205" s="714" t="s">
        <v>371</v>
      </c>
      <c r="B205" s="745">
        <f>B177</f>
        <v>0</v>
      </c>
      <c r="C205" s="743"/>
      <c r="D205" s="717" t="e">
        <f>$B$177/wwheat</f>
        <v>#DIV/0!</v>
      </c>
      <c r="E205" s="718"/>
      <c r="F205" s="717" t="e">
        <f>$B$177/($C$97*wwheat)</f>
        <v>#DIV/0!</v>
      </c>
      <c r="G205" s="718"/>
      <c r="H205" s="717" t="e">
        <f>$B$177/($E$97*wwheat)</f>
        <v>#DIV/0!</v>
      </c>
    </row>
    <row r="206" spans="1:8" ht="15.5" x14ac:dyDescent="0.35">
      <c r="A206" s="714"/>
      <c r="B206" s="743"/>
      <c r="C206" s="743"/>
      <c r="D206" s="717"/>
      <c r="E206" s="718"/>
      <c r="F206" s="717"/>
      <c r="G206" s="718"/>
      <c r="H206" s="717"/>
    </row>
    <row r="207" spans="1:8" ht="15.5" x14ac:dyDescent="0.35">
      <c r="A207" s="744" t="s">
        <v>1099</v>
      </c>
      <c r="B207" s="703" t="s">
        <v>1100</v>
      </c>
      <c r="C207" s="743"/>
      <c r="D207" s="703" t="s">
        <v>1995</v>
      </c>
      <c r="E207" s="752"/>
      <c r="F207" s="717"/>
      <c r="G207" s="718"/>
      <c r="H207" s="717"/>
    </row>
    <row r="208" spans="1:8" ht="15.5" x14ac:dyDescent="0.35">
      <c r="A208" s="714" t="s">
        <v>1101</v>
      </c>
      <c r="B208" s="746" t="e">
        <f>B199/SUM(wWv!E25:E76)</f>
        <v>#DIV/0!</v>
      </c>
      <c r="C208" s="743"/>
      <c r="D208" s="1226">
        <f>SUM(wWv!E25:E76)</f>
        <v>0</v>
      </c>
      <c r="E208" s="1225" t="s">
        <v>1996</v>
      </c>
      <c r="F208" s="717"/>
      <c r="G208" s="718"/>
      <c r="H208" s="717"/>
    </row>
    <row r="209" spans="1:8" ht="15.5" x14ac:dyDescent="0.35">
      <c r="A209" s="714" t="s">
        <v>1102</v>
      </c>
      <c r="B209" s="746" t="e">
        <f>B200/SUM(wWv!E25:E76)</f>
        <v>#DIV/0!</v>
      </c>
      <c r="C209" s="743"/>
      <c r="D209" s="717"/>
      <c r="E209" s="718"/>
      <c r="F209" s="717"/>
      <c r="G209" s="718"/>
      <c r="H209" s="717"/>
    </row>
    <row r="210" spans="1:8" ht="15.5" x14ac:dyDescent="0.35">
      <c r="A210" s="747"/>
      <c r="B210" s="748"/>
      <c r="C210" s="748"/>
      <c r="D210" s="749"/>
      <c r="E210" s="750"/>
      <c r="F210" s="750"/>
      <c r="G210" s="750"/>
      <c r="H210" s="750"/>
    </row>
    <row r="211" spans="1:8" x14ac:dyDescent="0.3">
      <c r="D211" s="59"/>
      <c r="E211" s="55"/>
      <c r="F211" s="55"/>
      <c r="G211" s="55"/>
      <c r="H211" s="55"/>
    </row>
    <row r="212" spans="1:8" x14ac:dyDescent="0.3">
      <c r="D212" s="59"/>
      <c r="E212" s="55"/>
      <c r="F212" s="55"/>
      <c r="G212" s="55"/>
      <c r="H212" s="55"/>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12"/>
  <sheetViews>
    <sheetView topLeftCell="A176" zoomScaleNormal="100" workbookViewId="0">
      <selection activeCell="A150" sqref="A150"/>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1855</v>
      </c>
      <c r="B3" s="55" t="s">
        <v>92</v>
      </c>
      <c r="C3" s="54">
        <f>wheat</f>
        <v>0</v>
      </c>
      <c r="D3" s="17" t="s">
        <v>93</v>
      </c>
    </row>
    <row r="4" spans="1:8" x14ac:dyDescent="0.3">
      <c r="A4" s="7"/>
      <c r="B4" s="55" t="s">
        <v>750</v>
      </c>
      <c r="C4" s="54">
        <f>(wheat*Data!F32)*Data!$B$32*Data!$C$32</f>
        <v>0</v>
      </c>
      <c r="D4" s="17" t="s">
        <v>93</v>
      </c>
    </row>
    <row r="5" spans="1:8" x14ac:dyDescent="0.3">
      <c r="A5" s="7"/>
      <c r="B5" s="55" t="s">
        <v>751</v>
      </c>
      <c r="C5" s="54">
        <f>(wheat*Data!G32)*Data!$B$32*Data!$D$32</f>
        <v>0</v>
      </c>
      <c r="D5" s="17" t="s">
        <v>93</v>
      </c>
    </row>
    <row r="6" spans="1:8" x14ac:dyDescent="0.3">
      <c r="A6" s="8"/>
      <c r="B6" s="55" t="s">
        <v>727</v>
      </c>
      <c r="C6" s="54">
        <f>Data!B204</f>
        <v>0</v>
      </c>
      <c r="D6" s="17" t="s">
        <v>1567</v>
      </c>
      <c r="E6" s="1190">
        <f>(C6*Data!$K$61)/2000</f>
        <v>0</v>
      </c>
      <c r="F6" s="17" t="s">
        <v>235</v>
      </c>
      <c r="G6" s="54"/>
    </row>
    <row r="7" spans="1:8" x14ac:dyDescent="0.3">
      <c r="B7" s="55" t="s">
        <v>728</v>
      </c>
      <c r="C7" s="106">
        <f>IF(FARM!$F$18&gt;0,Data!$B$199,Data!$B$200)</f>
        <v>10.32</v>
      </c>
      <c r="D7" s="17" t="s">
        <v>1566</v>
      </c>
      <c r="E7" s="153">
        <f>Data!$K$61</f>
        <v>60</v>
      </c>
      <c r="F7" s="17" t="s">
        <v>1560</v>
      </c>
      <c r="G7" s="153"/>
    </row>
    <row r="8" spans="1:8" x14ac:dyDescent="0.3">
      <c r="B8" s="55" t="s">
        <v>729</v>
      </c>
      <c r="C8" s="671">
        <f>Data!E204</f>
        <v>0</v>
      </c>
      <c r="D8" s="374" t="s">
        <v>731</v>
      </c>
      <c r="E8" s="671">
        <f>Data!H204</f>
        <v>0</v>
      </c>
      <c r="F8" s="17" t="s">
        <v>732</v>
      </c>
      <c r="G8" s="672"/>
    </row>
    <row r="9" spans="1:8" x14ac:dyDescent="0.3">
      <c r="B9" s="55" t="s">
        <v>730</v>
      </c>
      <c r="C9" s="673">
        <f>IF(Straw!$D$12&gt;0,Straw!$D$12,Data!$E$201)</f>
        <v>40</v>
      </c>
      <c r="D9" s="374" t="s">
        <v>733</v>
      </c>
      <c r="E9" s="674">
        <f>IF(Straw!$F$12&gt;0,Straw!$F$12,Data!$H$201)</f>
        <v>5.0833333333333304</v>
      </c>
      <c r="F9" s="17" t="s">
        <v>734</v>
      </c>
      <c r="G9" s="674"/>
    </row>
    <row r="10" spans="1:8" x14ac:dyDescent="0.3">
      <c r="B10" s="55"/>
      <c r="C10" s="54"/>
      <c r="D10" s="17"/>
    </row>
    <row r="11" spans="1:8" ht="15.5" x14ac:dyDescent="0.35">
      <c r="A11" s="751" t="s">
        <v>1855</v>
      </c>
      <c r="B11" s="697" t="s">
        <v>76</v>
      </c>
      <c r="C11" s="697"/>
      <c r="D11" s="697" t="s">
        <v>77</v>
      </c>
      <c r="E11" s="698"/>
      <c r="F11" s="697" t="s">
        <v>1554</v>
      </c>
      <c r="G11" s="698"/>
      <c r="H11" s="697" t="s">
        <v>385</v>
      </c>
    </row>
    <row r="12" spans="1:8" ht="15.65" customHeight="1" x14ac:dyDescent="0.35">
      <c r="A12" s="699" t="s">
        <v>362</v>
      </c>
      <c r="B12" s="700">
        <f>C3</f>
        <v>0</v>
      </c>
      <c r="C12" s="701"/>
      <c r="D12" s="702" t="s">
        <v>363</v>
      </c>
      <c r="E12" s="703"/>
      <c r="F12" s="702" t="s">
        <v>363</v>
      </c>
      <c r="G12" s="703"/>
      <c r="H12" s="702" t="s">
        <v>363</v>
      </c>
    </row>
    <row r="13" spans="1:8" ht="15.65" customHeight="1" x14ac:dyDescent="0.35">
      <c r="A13" s="699" t="s">
        <v>1856</v>
      </c>
      <c r="B13" s="702" t="s">
        <v>363</v>
      </c>
      <c r="C13" s="701"/>
      <c r="D13" s="702" t="s">
        <v>363</v>
      </c>
      <c r="E13" s="703"/>
      <c r="F13" s="702" t="s">
        <v>363</v>
      </c>
      <c r="G13" s="703"/>
      <c r="H13" s="888">
        <f>2000/Data!$K$61</f>
        <v>33.333333333333336</v>
      </c>
    </row>
    <row r="14" spans="1:8" ht="15.65" customHeight="1" x14ac:dyDescent="0.35">
      <c r="A14" s="699" t="s">
        <v>1857</v>
      </c>
      <c r="B14" s="700">
        <f>$C$3*C6</f>
        <v>0</v>
      </c>
      <c r="C14" s="701"/>
      <c r="D14" s="700">
        <f>C6</f>
        <v>0</v>
      </c>
      <c r="E14" s="703"/>
      <c r="F14" s="702" t="s">
        <v>363</v>
      </c>
      <c r="G14" s="703"/>
      <c r="H14" s="702" t="s">
        <v>363</v>
      </c>
    </row>
    <row r="15" spans="1:8" ht="15.65" customHeight="1" x14ac:dyDescent="0.35">
      <c r="A15" s="699" t="s">
        <v>1858</v>
      </c>
      <c r="B15" s="700">
        <f>$C$3*E6</f>
        <v>0</v>
      </c>
      <c r="C15" s="701"/>
      <c r="D15" s="1191">
        <f>E6</f>
        <v>0</v>
      </c>
      <c r="E15" s="703"/>
      <c r="F15" s="702" t="s">
        <v>363</v>
      </c>
      <c r="G15" s="703"/>
      <c r="H15" s="702" t="s">
        <v>363</v>
      </c>
    </row>
    <row r="16" spans="1:8" ht="15.65" customHeight="1" x14ac:dyDescent="0.35">
      <c r="A16" s="699" t="str">
        <f>IF(Data!B201=1,"Spring Wheat Price ($/unit) - Food Grade","Spring Wheat Price ($/unit) - Feed Grade")</f>
        <v>Spring Wheat Price ($/unit) - Feed Grade</v>
      </c>
      <c r="B16" s="702" t="s">
        <v>363</v>
      </c>
      <c r="C16" s="701"/>
      <c r="D16" s="702" t="s">
        <v>363</v>
      </c>
      <c r="E16" s="703"/>
      <c r="F16" s="704">
        <f>C7</f>
        <v>10.32</v>
      </c>
      <c r="G16" s="703"/>
      <c r="H16" s="840">
        <f>F16*H13</f>
        <v>344.00000000000006</v>
      </c>
    </row>
    <row r="17" spans="1:8" ht="15" customHeight="1" x14ac:dyDescent="0.35">
      <c r="A17" s="699" t="s">
        <v>2032</v>
      </c>
      <c r="B17" s="700">
        <f>C8*C4</f>
        <v>0</v>
      </c>
      <c r="C17" s="701"/>
      <c r="D17" s="841">
        <f>C8</f>
        <v>0</v>
      </c>
      <c r="E17" s="703"/>
      <c r="F17" s="842" t="e">
        <f>C8/($C$6*$C$3)</f>
        <v>#DIV/0!</v>
      </c>
      <c r="G17" s="703"/>
      <c r="H17" s="842" t="e">
        <f>C8/($E$6*$C$3)</f>
        <v>#DIV/0!</v>
      </c>
    </row>
    <row r="18" spans="1:8" ht="15" customHeight="1" x14ac:dyDescent="0.35">
      <c r="A18" s="699" t="s">
        <v>2034</v>
      </c>
      <c r="B18" s="705">
        <f>C9</f>
        <v>40</v>
      </c>
      <c r="C18" s="701"/>
      <c r="D18" s="705">
        <f>C9*C8</f>
        <v>0</v>
      </c>
      <c r="E18" s="703"/>
      <c r="F18" s="840" t="e">
        <f>D18/$C$6</f>
        <v>#DIV/0!</v>
      </c>
      <c r="G18" s="703"/>
      <c r="H18" s="840" t="e">
        <f>D18/$E$6</f>
        <v>#DIV/0!</v>
      </c>
    </row>
    <row r="19" spans="1:8" ht="15" customHeight="1" x14ac:dyDescent="0.35">
      <c r="A19" s="699" t="s">
        <v>2031</v>
      </c>
      <c r="B19" s="700">
        <f>E8*C5</f>
        <v>0</v>
      </c>
      <c r="C19" s="701"/>
      <c r="D19" s="841">
        <f>E8</f>
        <v>0</v>
      </c>
      <c r="E19" s="703"/>
      <c r="F19" s="842" t="e">
        <f>E8/(C6*C3)</f>
        <v>#DIV/0!</v>
      </c>
      <c r="G19" s="703"/>
      <c r="H19" s="842" t="e">
        <f>E8/(E6*C3)</f>
        <v>#DIV/0!</v>
      </c>
    </row>
    <row r="20" spans="1:8" ht="15" customHeight="1" x14ac:dyDescent="0.35">
      <c r="A20" s="699" t="s">
        <v>2033</v>
      </c>
      <c r="B20" s="840">
        <f>E9</f>
        <v>5.0833333333333304</v>
      </c>
      <c r="C20" s="701"/>
      <c r="D20" s="705">
        <f>E9*E8</f>
        <v>0</v>
      </c>
      <c r="E20" s="703"/>
      <c r="F20" s="840" t="e">
        <f>D20/C6</f>
        <v>#DIV/0!</v>
      </c>
      <c r="G20" s="703"/>
      <c r="H20" s="840" t="e">
        <f>D20/E6</f>
        <v>#DIV/0!</v>
      </c>
    </row>
    <row r="21" spans="1:8" ht="15.65" customHeight="1" x14ac:dyDescent="0.35">
      <c r="A21" s="699"/>
      <c r="B21" s="706"/>
      <c r="C21" s="706"/>
      <c r="D21" s="707"/>
      <c r="E21" s="708"/>
      <c r="F21" s="707"/>
      <c r="G21" s="708"/>
      <c r="H21" s="707"/>
    </row>
    <row r="22" spans="1:8" ht="15" x14ac:dyDescent="0.3">
      <c r="A22" s="709" t="s">
        <v>230</v>
      </c>
      <c r="B22" s="710">
        <f>(C6*C7*wheat)+(C8*C9*C4)+(E8*E9*C5)</f>
        <v>0</v>
      </c>
      <c r="C22" s="711"/>
      <c r="D22" s="712" t="e">
        <f>B22/wheat</f>
        <v>#DIV/0!</v>
      </c>
      <c r="E22" s="713"/>
      <c r="F22" s="712" t="e">
        <f>B22/($C$6*wheat)</f>
        <v>#DIV/0!</v>
      </c>
      <c r="G22" s="713"/>
      <c r="H22" s="711" t="e">
        <f>B22/($E$6*wheat)</f>
        <v>#DIV/0!</v>
      </c>
    </row>
    <row r="23" spans="1:8" ht="15.5" x14ac:dyDescent="0.35">
      <c r="A23" s="714" t="s">
        <v>1235</v>
      </c>
      <c r="B23" s="715">
        <f>(C6*C7*wheat)</f>
        <v>0</v>
      </c>
      <c r="C23" s="716"/>
      <c r="D23" s="717" t="e">
        <f>B23/wheat</f>
        <v>#DIV/0!</v>
      </c>
      <c r="E23" s="718"/>
      <c r="F23" s="717" t="e">
        <f>B23/($C$6*wheat)</f>
        <v>#DIV/0!</v>
      </c>
      <c r="G23" s="718"/>
      <c r="H23" s="716" t="e">
        <f>B23/($E$6*wheat)</f>
        <v>#DIV/0!</v>
      </c>
    </row>
    <row r="24" spans="1:8" ht="15.5" x14ac:dyDescent="0.35">
      <c r="A24" s="714" t="s">
        <v>1236</v>
      </c>
      <c r="B24" s="715">
        <f>(C8*C9*C4)+(E8*E9*C5)</f>
        <v>0</v>
      </c>
      <c r="C24" s="716"/>
      <c r="D24" s="719" t="e">
        <f t="shared" ref="D24" si="0">B24/wheat</f>
        <v>#DIV/0!</v>
      </c>
      <c r="E24" s="720"/>
      <c r="F24" s="719" t="e">
        <f t="shared" ref="F24" si="1">B24/($C$6*wheat)</f>
        <v>#DIV/0!</v>
      </c>
      <c r="G24" s="720"/>
      <c r="H24" s="715" t="e">
        <f>B24/($E$6*wheat)</f>
        <v>#DIV/0!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SUM(Wv!H8:H11)</f>
        <v>0</v>
      </c>
      <c r="C27" s="716"/>
      <c r="D27" s="717" t="e">
        <f>B27/wheat</f>
        <v>#DIV/0!</v>
      </c>
      <c r="E27" s="718"/>
      <c r="F27" s="717" t="e">
        <f>B27/($C$6*wheat)</f>
        <v>#DIV/0!</v>
      </c>
      <c r="G27" s="718"/>
      <c r="H27" s="716" t="e">
        <f>B27/($E$6*wheat)</f>
        <v>#DIV/0!</v>
      </c>
    </row>
    <row r="28" spans="1:8" ht="15.5" x14ac:dyDescent="0.35">
      <c r="A28" s="714" t="s">
        <v>1</v>
      </c>
      <c r="B28" s="715">
        <f>SUM(Wv!H13:H17)</f>
        <v>0</v>
      </c>
      <c r="C28" s="716"/>
      <c r="D28" s="717" t="e">
        <f t="shared" ref="D28:D38" si="2">B28/wheat</f>
        <v>#DIV/0!</v>
      </c>
      <c r="E28" s="718"/>
      <c r="F28" s="717" t="e">
        <f t="shared" ref="F28:F38" si="3">B28/($C$6*wheat)</f>
        <v>#DIV/0!</v>
      </c>
      <c r="G28" s="718"/>
      <c r="H28" s="716" t="e">
        <f>B28/($E$6*wheat)</f>
        <v>#DIV/0!</v>
      </c>
    </row>
    <row r="29" spans="1:8" ht="15.5" x14ac:dyDescent="0.35">
      <c r="A29" s="723" t="s">
        <v>2</v>
      </c>
      <c r="B29" s="724">
        <f>Wv!H19</f>
        <v>0</v>
      </c>
      <c r="C29" s="725"/>
      <c r="D29" s="726" t="e">
        <f t="shared" si="2"/>
        <v>#DIV/0!</v>
      </c>
      <c r="E29" s="727"/>
      <c r="F29" s="726" t="e">
        <f t="shared" si="3"/>
        <v>#DIV/0!</v>
      </c>
      <c r="G29" s="727"/>
      <c r="H29" s="715" t="e">
        <f>B29/($E$6*wheat)</f>
        <v>#DIV/0!</v>
      </c>
    </row>
    <row r="30" spans="1:8" ht="15.5" x14ac:dyDescent="0.35">
      <c r="A30" s="714" t="s">
        <v>1476</v>
      </c>
      <c r="B30" s="728"/>
      <c r="C30" s="728"/>
      <c r="D30" s="728"/>
      <c r="E30" s="728"/>
      <c r="F30" s="728"/>
      <c r="G30" s="728"/>
      <c r="H30" s="715"/>
    </row>
    <row r="31" spans="1:8" ht="15.5" x14ac:dyDescent="0.35">
      <c r="A31" s="714" t="s">
        <v>1121</v>
      </c>
      <c r="B31" s="729">
        <f>SUM(Wv!H20:H21)</f>
        <v>0</v>
      </c>
      <c r="C31" s="730"/>
      <c r="D31" s="731" t="e">
        <f>B31/wheat</f>
        <v>#DIV/0!</v>
      </c>
      <c r="E31" s="727"/>
      <c r="F31" s="731" t="e">
        <f>B31/($C$6*wheat)</f>
        <v>#DIV/0!</v>
      </c>
      <c r="G31" s="727"/>
      <c r="H31" s="715" t="e">
        <f t="shared" ref="H31:H38" si="4">B31/($E$6*wheat)</f>
        <v>#DIV/0!</v>
      </c>
    </row>
    <row r="32" spans="1:8" ht="15.5" x14ac:dyDescent="0.35">
      <c r="A32" s="723" t="s">
        <v>1119</v>
      </c>
      <c r="B32" s="729">
        <f>SUM(Wv!H22:H22)</f>
        <v>0</v>
      </c>
      <c r="C32" s="730"/>
      <c r="D32" s="731" t="e">
        <f>B32/wheat</f>
        <v>#DIV/0!</v>
      </c>
      <c r="E32" s="727"/>
      <c r="F32" s="731" t="e">
        <f>B32/($C$6*wheat)</f>
        <v>#DIV/0!</v>
      </c>
      <c r="G32" s="727"/>
      <c r="H32" s="715" t="e">
        <f t="shared" si="4"/>
        <v>#DIV/0!</v>
      </c>
    </row>
    <row r="33" spans="1:8" ht="15.5" x14ac:dyDescent="0.35">
      <c r="A33" s="723" t="s">
        <v>1120</v>
      </c>
      <c r="B33" s="729">
        <f>SUM(Wv!H23:H23)</f>
        <v>0</v>
      </c>
      <c r="C33" s="730"/>
      <c r="D33" s="731" t="e">
        <f>B33/wheat</f>
        <v>#DIV/0!</v>
      </c>
      <c r="E33" s="727"/>
      <c r="F33" s="731" t="e">
        <f>B33/($C$6*wheat)</f>
        <v>#DIV/0!</v>
      </c>
      <c r="G33" s="727"/>
      <c r="H33" s="715" t="e">
        <f t="shared" si="4"/>
        <v>#DIV/0!</v>
      </c>
    </row>
    <row r="34" spans="1:8" ht="15.5" x14ac:dyDescent="0.35">
      <c r="A34" s="714" t="s">
        <v>1214</v>
      </c>
      <c r="B34" s="715">
        <f>SUM(Wv!H24:H75)</f>
        <v>0</v>
      </c>
      <c r="C34" s="716"/>
      <c r="D34" s="717" t="e">
        <f t="shared" si="2"/>
        <v>#DIV/0!</v>
      </c>
      <c r="E34" s="718"/>
      <c r="F34" s="717" t="e">
        <f t="shared" si="3"/>
        <v>#DIV/0!</v>
      </c>
      <c r="G34" s="718"/>
      <c r="H34" s="716" t="e">
        <f t="shared" si="4"/>
        <v>#DIV/0!</v>
      </c>
    </row>
    <row r="35" spans="1:8" ht="15.5" x14ac:dyDescent="0.35">
      <c r="A35" s="714" t="s">
        <v>1261</v>
      </c>
      <c r="B35" s="715">
        <f>SUM(Wv!H76:H128)</f>
        <v>0</v>
      </c>
      <c r="C35" s="716"/>
      <c r="D35" s="717" t="e">
        <f t="shared" si="2"/>
        <v>#DIV/0!</v>
      </c>
      <c r="E35" s="718"/>
      <c r="F35" s="717" t="e">
        <f t="shared" si="3"/>
        <v>#DIV/0!</v>
      </c>
      <c r="G35" s="718"/>
      <c r="H35" s="716" t="e">
        <f t="shared" si="4"/>
        <v>#DIV/0!</v>
      </c>
    </row>
    <row r="36" spans="1:8" ht="15.5" x14ac:dyDescent="0.35">
      <c r="A36" s="714" t="s">
        <v>78</v>
      </c>
      <c r="B36" s="715">
        <f>SUM(Wv!H129:H130)</f>
        <v>0</v>
      </c>
      <c r="C36" s="716"/>
      <c r="D36" s="717" t="e">
        <f t="shared" si="2"/>
        <v>#DIV/0!</v>
      </c>
      <c r="E36" s="718"/>
      <c r="F36" s="717" t="e">
        <f t="shared" si="3"/>
        <v>#DIV/0!</v>
      </c>
      <c r="G36" s="718"/>
      <c r="H36" s="716" t="e">
        <f t="shared" si="4"/>
        <v>#DIV/0!</v>
      </c>
    </row>
    <row r="37" spans="1:8" ht="15.5" x14ac:dyDescent="0.35">
      <c r="A37" s="714" t="s">
        <v>170</v>
      </c>
      <c r="B37" s="732">
        <f>Wv!H131</f>
        <v>0</v>
      </c>
      <c r="C37" s="733"/>
      <c r="D37" s="719" t="e">
        <f t="shared" si="2"/>
        <v>#DIV/0!</v>
      </c>
      <c r="E37" s="720"/>
      <c r="F37" s="719" t="e">
        <f t="shared" si="3"/>
        <v>#DIV/0!</v>
      </c>
      <c r="G37" s="720"/>
      <c r="H37" s="715" t="e">
        <f t="shared" si="4"/>
        <v>#DIV/0!</v>
      </c>
    </row>
    <row r="38" spans="1:8" ht="15.5" x14ac:dyDescent="0.35">
      <c r="A38" s="714" t="s">
        <v>1213</v>
      </c>
      <c r="B38" s="732">
        <f>SUM(Wv!H132:H133)</f>
        <v>0</v>
      </c>
      <c r="C38" s="733"/>
      <c r="D38" s="717" t="e">
        <f t="shared" si="2"/>
        <v>#DIV/0!</v>
      </c>
      <c r="E38" s="718"/>
      <c r="F38" s="717" t="e">
        <f t="shared" si="3"/>
        <v>#DIV/0!</v>
      </c>
      <c r="G38" s="718"/>
      <c r="H38" s="716" t="e">
        <f t="shared" si="4"/>
        <v>#DIV/0!</v>
      </c>
    </row>
    <row r="39" spans="1:8" ht="15.5" x14ac:dyDescent="0.35">
      <c r="A39" s="714" t="s">
        <v>172</v>
      </c>
      <c r="B39" s="732"/>
      <c r="C39" s="733"/>
      <c r="D39" s="717"/>
      <c r="E39" s="718"/>
      <c r="F39" s="717"/>
      <c r="G39" s="718"/>
      <c r="H39" s="717"/>
    </row>
    <row r="40" spans="1:8" ht="15.5" x14ac:dyDescent="0.35">
      <c r="A40" s="734" t="s">
        <v>439</v>
      </c>
      <c r="B40" s="732">
        <f>Wv!H135</f>
        <v>0</v>
      </c>
      <c r="C40" s="733"/>
      <c r="D40" s="717" t="e">
        <f t="shared" ref="D40:D54" si="5">B40/wheat</f>
        <v>#DIV/0!</v>
      </c>
      <c r="E40" s="720"/>
      <c r="F40" s="717" t="e">
        <f t="shared" ref="F40:F54" si="6">B40/($C$6*wheat)</f>
        <v>#DIV/0!</v>
      </c>
      <c r="G40" s="720"/>
      <c r="H40" s="716" t="e">
        <f t="shared" ref="H40:H54" si="7">B40/($E$6*wheat)</f>
        <v>#DIV/0!</v>
      </c>
    </row>
    <row r="41" spans="1:8" ht="15.5" x14ac:dyDescent="0.35">
      <c r="A41" s="734" t="s">
        <v>1506</v>
      </c>
      <c r="B41" s="732">
        <f>SUM(Wv!H136:H138)</f>
        <v>0</v>
      </c>
      <c r="C41" s="733"/>
      <c r="D41" s="717" t="e">
        <f t="shared" si="5"/>
        <v>#DIV/0!</v>
      </c>
      <c r="E41" s="720"/>
      <c r="F41" s="717" t="e">
        <f t="shared" si="6"/>
        <v>#DIV/0!</v>
      </c>
      <c r="G41" s="720"/>
      <c r="H41" s="716" t="e">
        <f t="shared" si="7"/>
        <v>#DIV/0!</v>
      </c>
    </row>
    <row r="42" spans="1:8" ht="15.5" x14ac:dyDescent="0.35">
      <c r="A42" s="734" t="s">
        <v>1505</v>
      </c>
      <c r="B42" s="732">
        <f>SUM(Wv!H139:H141)</f>
        <v>0</v>
      </c>
      <c r="C42" s="733"/>
      <c r="D42" s="717" t="e">
        <f t="shared" si="5"/>
        <v>#DIV/0!</v>
      </c>
      <c r="E42" s="720"/>
      <c r="F42" s="717" t="e">
        <f t="shared" si="6"/>
        <v>#DIV/0!</v>
      </c>
      <c r="G42" s="720"/>
      <c r="H42" s="716" t="e">
        <f t="shared" si="7"/>
        <v>#DIV/0!</v>
      </c>
    </row>
    <row r="43" spans="1:8" ht="15.5" x14ac:dyDescent="0.35">
      <c r="A43" s="734" t="s">
        <v>1237</v>
      </c>
      <c r="B43" s="732">
        <f>Wv!H142</f>
        <v>0</v>
      </c>
      <c r="C43" s="733"/>
      <c r="D43" s="717" t="e">
        <f t="shared" si="5"/>
        <v>#DIV/0!</v>
      </c>
      <c r="E43" s="720"/>
      <c r="F43" s="717" t="e">
        <f t="shared" si="6"/>
        <v>#DIV/0!</v>
      </c>
      <c r="G43" s="720"/>
      <c r="H43" s="716" t="e">
        <f t="shared" si="7"/>
        <v>#DIV/0!</v>
      </c>
    </row>
    <row r="44" spans="1:8" ht="15.5" x14ac:dyDescent="0.35">
      <c r="A44" s="734" t="s">
        <v>1212</v>
      </c>
      <c r="B44" s="732">
        <f>SUM(Wv!H143:H145)</f>
        <v>0</v>
      </c>
      <c r="C44" s="733"/>
      <c r="D44" s="717" t="e">
        <f t="shared" si="5"/>
        <v>#DIV/0!</v>
      </c>
      <c r="E44" s="718"/>
      <c r="F44" s="717" t="e">
        <f t="shared" si="6"/>
        <v>#DIV/0!</v>
      </c>
      <c r="G44" s="718"/>
      <c r="H44" s="716" t="e">
        <f t="shared" si="7"/>
        <v>#DIV/0!</v>
      </c>
    </row>
    <row r="45" spans="1:8" ht="15.5" x14ac:dyDescent="0.35">
      <c r="A45" s="734" t="s">
        <v>1238</v>
      </c>
      <c r="B45" s="732">
        <f>SUM(Wv!H146:H148)</f>
        <v>0</v>
      </c>
      <c r="C45" s="733"/>
      <c r="D45" s="717" t="e">
        <f t="shared" si="5"/>
        <v>#DIV/0!</v>
      </c>
      <c r="E45" s="720"/>
      <c r="F45" s="717" t="e">
        <f t="shared" si="6"/>
        <v>#DIV/0!</v>
      </c>
      <c r="G45" s="720"/>
      <c r="H45" s="716" t="e">
        <f t="shared" si="7"/>
        <v>#DIV/0!</v>
      </c>
    </row>
    <row r="46" spans="1:8" ht="15.5" x14ac:dyDescent="0.35">
      <c r="A46" s="734" t="s">
        <v>2076</v>
      </c>
      <c r="B46" s="753">
        <f>SUM(Wv!H149:H155)</f>
        <v>0</v>
      </c>
      <c r="C46" s="699"/>
      <c r="D46" s="717" t="e">
        <f t="shared" si="5"/>
        <v>#DIV/0!</v>
      </c>
      <c r="E46" s="753"/>
      <c r="F46" s="717" t="e">
        <f t="shared" si="6"/>
        <v>#DIV/0!</v>
      </c>
      <c r="G46" s="753"/>
      <c r="H46" s="716" t="e">
        <f t="shared" si="7"/>
        <v>#DIV/0!</v>
      </c>
    </row>
    <row r="47" spans="1:8" ht="15.5" x14ac:dyDescent="0.35">
      <c r="A47" s="734" t="s">
        <v>2029</v>
      </c>
      <c r="B47" s="732">
        <f>SUM(Wv!H156:H158)</f>
        <v>0</v>
      </c>
      <c r="C47" s="733"/>
      <c r="D47" s="719" t="e">
        <f>B47/wheat</f>
        <v>#DIV/0!</v>
      </c>
      <c r="E47" s="720"/>
      <c r="F47" s="719" t="e">
        <f>B47/($C$6*wheat)</f>
        <v>#DIV/0!</v>
      </c>
      <c r="G47" s="720"/>
      <c r="H47" s="715" t="e">
        <f>B47/($E$6*wheat)</f>
        <v>#DIV/0!</v>
      </c>
    </row>
    <row r="48" spans="1:8" ht="15.5" x14ac:dyDescent="0.35">
      <c r="A48" s="734" t="s">
        <v>1532</v>
      </c>
      <c r="B48" s="732">
        <f>SUM(Wv!H159:H163)</f>
        <v>0</v>
      </c>
      <c r="C48" s="733"/>
      <c r="D48" s="717" t="e">
        <f t="shared" si="5"/>
        <v>#DIV/0!</v>
      </c>
      <c r="E48" s="720"/>
      <c r="F48" s="717" t="e">
        <f t="shared" si="6"/>
        <v>#DIV/0!</v>
      </c>
      <c r="G48" s="720"/>
      <c r="H48" s="716" t="e">
        <f t="shared" si="7"/>
        <v>#DIV/0!</v>
      </c>
    </row>
    <row r="49" spans="1:16" ht="15.5" x14ac:dyDescent="0.35">
      <c r="A49" s="734" t="s">
        <v>1533</v>
      </c>
      <c r="B49" s="732">
        <f>SUM(Wv!H164:H165)</f>
        <v>0</v>
      </c>
      <c r="C49" s="733"/>
      <c r="D49" s="719" t="e">
        <f t="shared" si="5"/>
        <v>#DIV/0!</v>
      </c>
      <c r="E49" s="720"/>
      <c r="F49" s="719" t="e">
        <f t="shared" si="6"/>
        <v>#DIV/0!</v>
      </c>
      <c r="G49" s="720"/>
      <c r="H49" s="715" t="e">
        <f t="shared" si="7"/>
        <v>#DIV/0!</v>
      </c>
    </row>
    <row r="50" spans="1:16" ht="15.5" x14ac:dyDescent="0.35">
      <c r="A50" s="734" t="s">
        <v>1534</v>
      </c>
      <c r="B50" s="732">
        <f>Wv!H166</f>
        <v>0</v>
      </c>
      <c r="C50" s="733"/>
      <c r="D50" s="717" t="e">
        <f t="shared" si="5"/>
        <v>#DIV/0!</v>
      </c>
      <c r="E50" s="720"/>
      <c r="F50" s="785" t="e">
        <f t="shared" si="6"/>
        <v>#DIV/0!</v>
      </c>
      <c r="G50" s="720"/>
      <c r="H50" s="716" t="e">
        <f t="shared" si="7"/>
        <v>#DIV/0!</v>
      </c>
    </row>
    <row r="51" spans="1:16" ht="15.5" x14ac:dyDescent="0.35">
      <c r="A51" s="734" t="s">
        <v>1535</v>
      </c>
      <c r="B51" s="732">
        <f>Wv!H167</f>
        <v>0</v>
      </c>
      <c r="C51" s="733"/>
      <c r="D51" s="717" t="e">
        <f t="shared" si="5"/>
        <v>#DIV/0!</v>
      </c>
      <c r="E51" s="720"/>
      <c r="F51" s="785" t="e">
        <f t="shared" si="6"/>
        <v>#DIV/0!</v>
      </c>
      <c r="G51" s="720"/>
      <c r="H51" s="716" t="e">
        <f t="shared" si="7"/>
        <v>#DIV/0!</v>
      </c>
    </row>
    <row r="52" spans="1:16" ht="15.5" x14ac:dyDescent="0.35">
      <c r="A52" s="734" t="s">
        <v>1536</v>
      </c>
      <c r="B52" s="732">
        <f>Wv!H168</f>
        <v>0</v>
      </c>
      <c r="C52" s="733"/>
      <c r="D52" s="717" t="e">
        <f t="shared" si="5"/>
        <v>#DIV/0!</v>
      </c>
      <c r="E52" s="720"/>
      <c r="F52" s="785" t="e">
        <f t="shared" si="6"/>
        <v>#DIV/0!</v>
      </c>
      <c r="G52" s="720"/>
      <c r="H52" s="716" t="e">
        <f t="shared" si="7"/>
        <v>#DIV/0!</v>
      </c>
    </row>
    <row r="53" spans="1:16" ht="15.5" x14ac:dyDescent="0.35">
      <c r="A53" s="734" t="s">
        <v>443</v>
      </c>
      <c r="B53" s="732">
        <f>SUM(Wv!H169:H171)</f>
        <v>0</v>
      </c>
      <c r="C53" s="733"/>
      <c r="D53" s="719" t="e">
        <f t="shared" si="5"/>
        <v>#DIV/0!</v>
      </c>
      <c r="E53" s="720"/>
      <c r="F53" s="719" t="e">
        <f t="shared" si="6"/>
        <v>#DIV/0!</v>
      </c>
      <c r="G53" s="720"/>
      <c r="H53" s="715" t="e">
        <f t="shared" si="7"/>
        <v>#DIV/0!</v>
      </c>
    </row>
    <row r="54" spans="1:16" ht="15.5" x14ac:dyDescent="0.35">
      <c r="A54" s="714" t="s">
        <v>69</v>
      </c>
      <c r="B54" s="732">
        <f>Wv!H175</f>
        <v>0</v>
      </c>
      <c r="C54" s="733"/>
      <c r="D54" s="717" t="e">
        <f t="shared" si="5"/>
        <v>#DIV/0!</v>
      </c>
      <c r="E54" s="718"/>
      <c r="F54" s="717" t="e">
        <f t="shared" si="6"/>
        <v>#DIV/0!</v>
      </c>
      <c r="G54" s="718"/>
      <c r="H54" s="716" t="e">
        <f t="shared" si="7"/>
        <v>#DIV/0!</v>
      </c>
    </row>
    <row r="55" spans="1:16" ht="15" x14ac:dyDescent="0.3">
      <c r="A55" s="709" t="s">
        <v>366</v>
      </c>
      <c r="B55" s="735">
        <f>SUM(B27:B54)</f>
        <v>0</v>
      </c>
      <c r="C55" s="736"/>
      <c r="D55" s="737" t="e">
        <f>SUM(D27:D54)</f>
        <v>#DIV/0!</v>
      </c>
      <c r="E55" s="737"/>
      <c r="F55" s="737" t="e">
        <f>SUM(F27:F54)</f>
        <v>#DIV/0!</v>
      </c>
      <c r="G55" s="737"/>
      <c r="H55" s="737" t="e">
        <f>SUM(H27:H54)</f>
        <v>#DIV/0!</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890" t="s">
        <v>29</v>
      </c>
    </row>
    <row r="59" spans="1:16" ht="15.5" x14ac:dyDescent="0.35">
      <c r="A59" s="734" t="s">
        <v>1240</v>
      </c>
      <c r="B59" s="732">
        <f>SUM(Wf!H8:H24)</f>
        <v>0</v>
      </c>
      <c r="C59" s="733"/>
      <c r="D59" s="717" t="e">
        <f t="shared" ref="D59:D72" si="8">B59/wheat</f>
        <v>#DIV/0!</v>
      </c>
      <c r="E59" s="757"/>
      <c r="F59" s="717" t="e">
        <f t="shared" ref="F59:F72" si="9">B59/($C$6*wheat)</f>
        <v>#DIV/0!</v>
      </c>
      <c r="G59" s="757"/>
      <c r="H59" s="716" t="e">
        <f t="shared" ref="H59:H72" si="10">B59/($E$6*wheat)</f>
        <v>#DIV/0!</v>
      </c>
      <c r="J59" s="697" t="s">
        <v>76</v>
      </c>
      <c r="K59" s="697"/>
      <c r="L59" s="697" t="s">
        <v>77</v>
      </c>
      <c r="M59" s="698"/>
      <c r="N59" s="697" t="s">
        <v>1554</v>
      </c>
      <c r="O59" s="698"/>
      <c r="P59" s="697" t="s">
        <v>385</v>
      </c>
    </row>
    <row r="60" spans="1:16" ht="15.5" x14ac:dyDescent="0.35">
      <c r="A60" s="734" t="s">
        <v>1241</v>
      </c>
      <c r="B60" s="732">
        <f>SUM(Wf!H25:H33)</f>
        <v>0</v>
      </c>
      <c r="C60" s="733"/>
      <c r="D60" s="717" t="e">
        <f t="shared" si="8"/>
        <v>#DIV/0!</v>
      </c>
      <c r="E60" s="757"/>
      <c r="F60" s="717" t="e">
        <f t="shared" si="9"/>
        <v>#DIV/0!</v>
      </c>
      <c r="G60" s="757"/>
      <c r="H60" s="716" t="e">
        <f t="shared" si="10"/>
        <v>#DIV/0!</v>
      </c>
      <c r="J60" s="763">
        <f>SUM(B59:B71)</f>
        <v>0</v>
      </c>
      <c r="L60" s="756" t="e">
        <f>SUM(D59:D71)</f>
        <v>#DIV/0!</v>
      </c>
      <c r="N60" s="756" t="e">
        <f>SUM(F59:F71)</f>
        <v>#DIV/0!</v>
      </c>
      <c r="P60" s="756" t="e">
        <f>SUM(H59:H71)</f>
        <v>#DIV/0!</v>
      </c>
    </row>
    <row r="61" spans="1:16" ht="15.5" x14ac:dyDescent="0.35">
      <c r="A61" s="734" t="s">
        <v>1243</v>
      </c>
      <c r="B61" s="732">
        <f>SUM(Wf!H34:H50)</f>
        <v>0</v>
      </c>
      <c r="C61" s="733"/>
      <c r="D61" s="717" t="e">
        <f>B61/wheat</f>
        <v>#DIV/0!</v>
      </c>
      <c r="E61" s="757"/>
      <c r="F61" s="717" t="e">
        <f>B61/($C$6*wheat)</f>
        <v>#DIV/0!</v>
      </c>
      <c r="G61" s="757"/>
      <c r="H61" s="716" t="e">
        <f t="shared" si="10"/>
        <v>#DIV/0!</v>
      </c>
    </row>
    <row r="62" spans="1:16" ht="15.5" x14ac:dyDescent="0.35">
      <c r="A62" s="734" t="s">
        <v>1242</v>
      </c>
      <c r="B62" s="732">
        <f>SUM(Wf!H51:H62)</f>
        <v>0</v>
      </c>
      <c r="C62" s="733"/>
      <c r="D62" s="717" t="e">
        <f t="shared" si="8"/>
        <v>#DIV/0!</v>
      </c>
      <c r="E62" s="757"/>
      <c r="F62" s="717" t="e">
        <f t="shared" si="9"/>
        <v>#DIV/0!</v>
      </c>
      <c r="G62" s="757"/>
      <c r="H62" s="716" t="e">
        <f t="shared" si="10"/>
        <v>#DIV/0!</v>
      </c>
    </row>
    <row r="63" spans="1:16" ht="15.5" x14ac:dyDescent="0.35">
      <c r="A63" s="734" t="s">
        <v>1244</v>
      </c>
      <c r="B63" s="732">
        <f>SUM(Wf!H63:H67)</f>
        <v>0</v>
      </c>
      <c r="C63" s="733"/>
      <c r="D63" s="719" t="e">
        <f t="shared" si="8"/>
        <v>#DIV/0!</v>
      </c>
      <c r="E63" s="762"/>
      <c r="F63" s="719" t="e">
        <f t="shared" si="9"/>
        <v>#DIV/0!</v>
      </c>
      <c r="G63" s="762"/>
      <c r="H63" s="715" t="e">
        <f t="shared" si="10"/>
        <v>#DIV/0!</v>
      </c>
    </row>
    <row r="64" spans="1:16" ht="15.5" x14ac:dyDescent="0.35">
      <c r="A64" s="734" t="s">
        <v>1245</v>
      </c>
      <c r="B64" s="732">
        <f>0</f>
        <v>0</v>
      </c>
      <c r="C64" s="733"/>
      <c r="D64" s="719" t="e">
        <f t="shared" si="8"/>
        <v>#DIV/0!</v>
      </c>
      <c r="E64" s="762"/>
      <c r="F64" s="719" t="e">
        <f t="shared" si="9"/>
        <v>#DIV/0!</v>
      </c>
      <c r="G64" s="762"/>
      <c r="H64" s="715" t="e">
        <f t="shared" si="10"/>
        <v>#DIV/0!</v>
      </c>
    </row>
    <row r="65" spans="1:8" ht="15.5" x14ac:dyDescent="0.35">
      <c r="A65" s="734" t="s">
        <v>1246</v>
      </c>
      <c r="B65" s="732">
        <f>SUM(Wf!H68:H78)</f>
        <v>0</v>
      </c>
      <c r="C65" s="733"/>
      <c r="D65" s="717" t="e">
        <f t="shared" si="8"/>
        <v>#DIV/0!</v>
      </c>
      <c r="E65" s="757"/>
      <c r="F65" s="717" t="e">
        <f t="shared" si="9"/>
        <v>#DIV/0!</v>
      </c>
      <c r="G65" s="757"/>
      <c r="H65" s="716" t="e">
        <f t="shared" si="10"/>
        <v>#DIV/0!</v>
      </c>
    </row>
    <row r="66" spans="1:8" ht="15.5" x14ac:dyDescent="0.35">
      <c r="A66" s="734" t="s">
        <v>1247</v>
      </c>
      <c r="B66" s="732">
        <f>SUM(Wf!H79:H86)</f>
        <v>0</v>
      </c>
      <c r="C66" s="733"/>
      <c r="D66" s="717" t="e">
        <f t="shared" si="8"/>
        <v>#DIV/0!</v>
      </c>
      <c r="E66" s="757"/>
      <c r="F66" s="785" t="e">
        <f t="shared" si="9"/>
        <v>#DIV/0!</v>
      </c>
      <c r="G66" s="757"/>
      <c r="H66" s="716" t="e">
        <f t="shared" si="10"/>
        <v>#DIV/0!</v>
      </c>
    </row>
    <row r="67" spans="1:8" ht="15.5" x14ac:dyDescent="0.35">
      <c r="A67" s="734" t="s">
        <v>2148</v>
      </c>
      <c r="B67" s="732">
        <f>SUM(Wf!H87:H91)</f>
        <v>0</v>
      </c>
      <c r="C67" s="733"/>
      <c r="D67" s="717" t="e">
        <f t="shared" ref="D67" si="11">B67/wheat</f>
        <v>#DIV/0!</v>
      </c>
      <c r="E67" s="757"/>
      <c r="F67" s="717" t="e">
        <f t="shared" ref="F67" si="12">B67/($C$6*wheat)</f>
        <v>#DIV/0!</v>
      </c>
      <c r="G67" s="757"/>
      <c r="H67" s="716" t="e">
        <f t="shared" ref="H67" si="13">B67/($E$6*wheat)</f>
        <v>#DIV/0!</v>
      </c>
    </row>
    <row r="68" spans="1:8" ht="15.5" x14ac:dyDescent="0.35">
      <c r="A68" s="734" t="s">
        <v>1250</v>
      </c>
      <c r="B68" s="732">
        <f>SUM(Wf!H92:H103)</f>
        <v>0</v>
      </c>
      <c r="C68" s="733"/>
      <c r="D68" s="717" t="e">
        <f t="shared" si="8"/>
        <v>#DIV/0!</v>
      </c>
      <c r="E68" s="757"/>
      <c r="F68" s="717" t="e">
        <f t="shared" si="9"/>
        <v>#DIV/0!</v>
      </c>
      <c r="G68" s="757"/>
      <c r="H68" s="716" t="e">
        <f t="shared" si="10"/>
        <v>#DIV/0!</v>
      </c>
    </row>
    <row r="69" spans="1:8" ht="15.5" x14ac:dyDescent="0.35">
      <c r="A69" s="734" t="s">
        <v>1304</v>
      </c>
      <c r="B69" s="732">
        <f>0</f>
        <v>0</v>
      </c>
      <c r="C69" s="733"/>
      <c r="D69" s="719" t="e">
        <f t="shared" ref="D69" si="14">B69/wheat</f>
        <v>#DIV/0!</v>
      </c>
      <c r="E69" s="762"/>
      <c r="F69" s="719" t="e">
        <f t="shared" ref="F69" si="15">B69/($C$6*wheat)</f>
        <v>#DIV/0!</v>
      </c>
      <c r="G69" s="762"/>
      <c r="H69" s="715" t="e">
        <f t="shared" si="10"/>
        <v>#DIV/0!</v>
      </c>
    </row>
    <row r="70" spans="1:8" ht="15.5" x14ac:dyDescent="0.35">
      <c r="A70" s="734" t="s">
        <v>1248</v>
      </c>
      <c r="B70" s="732">
        <f>SUM(Wf!H105:H108)</f>
        <v>0</v>
      </c>
      <c r="C70" s="733"/>
      <c r="D70" s="717" t="e">
        <f t="shared" si="8"/>
        <v>#DIV/0!</v>
      </c>
      <c r="E70" s="757"/>
      <c r="F70" s="717" t="e">
        <f t="shared" si="9"/>
        <v>#DIV/0!</v>
      </c>
      <c r="G70" s="757"/>
      <c r="H70" s="716" t="e">
        <f t="shared" si="10"/>
        <v>#DIV/0!</v>
      </c>
    </row>
    <row r="71" spans="1:8" ht="15.5" x14ac:dyDescent="0.35">
      <c r="A71" s="734" t="s">
        <v>1249</v>
      </c>
      <c r="B71" s="732">
        <f>SUM(Wf!H109:H113)</f>
        <v>0</v>
      </c>
      <c r="C71" s="733"/>
      <c r="D71" s="717" t="e">
        <f t="shared" si="8"/>
        <v>#DIV/0!</v>
      </c>
      <c r="E71" s="757"/>
      <c r="F71" s="717" t="e">
        <f t="shared" si="9"/>
        <v>#DIV/0!</v>
      </c>
      <c r="G71" s="757"/>
      <c r="H71" s="716" t="e">
        <f t="shared" si="10"/>
        <v>#DIV/0!</v>
      </c>
    </row>
    <row r="72" spans="1:8" ht="15.5" x14ac:dyDescent="0.35">
      <c r="A72" s="714" t="s">
        <v>79</v>
      </c>
      <c r="B72" s="732">
        <f>Wf!L121</f>
        <v>0</v>
      </c>
      <c r="C72" s="733"/>
      <c r="D72" s="717" t="e">
        <f t="shared" si="8"/>
        <v>#DIV/0!</v>
      </c>
      <c r="E72" s="718"/>
      <c r="F72" s="717" t="e">
        <f t="shared" si="9"/>
        <v>#DIV/0!</v>
      </c>
      <c r="G72" s="718"/>
      <c r="H72" s="716" t="e">
        <f t="shared" si="10"/>
        <v>#DIV/0!</v>
      </c>
    </row>
    <row r="73" spans="1:8" ht="15" x14ac:dyDescent="0.3">
      <c r="A73" s="709" t="s">
        <v>368</v>
      </c>
      <c r="B73" s="735">
        <f>SUM(B58:B72)</f>
        <v>0</v>
      </c>
      <c r="C73" s="736"/>
      <c r="D73" s="737" t="e">
        <f>SUM(D58:D72)</f>
        <v>#DIV/0!</v>
      </c>
      <c r="E73" s="737"/>
      <c r="F73" s="737" t="e">
        <f>SUM(F58:F72)</f>
        <v>#DIV/0!</v>
      </c>
      <c r="G73" s="737"/>
      <c r="H73" s="737" t="e">
        <f>SUM(H58:H72)</f>
        <v>#DIV/0!</v>
      </c>
    </row>
    <row r="74" spans="1:8" ht="15.5" x14ac:dyDescent="0.35">
      <c r="A74" s="699"/>
      <c r="B74" s="735"/>
      <c r="C74" s="736"/>
      <c r="D74" s="737"/>
      <c r="E74" s="741"/>
      <c r="F74" s="741"/>
      <c r="G74" s="741"/>
      <c r="H74" s="741"/>
    </row>
    <row r="75" spans="1:8" ht="15" x14ac:dyDescent="0.3">
      <c r="A75" s="709" t="s">
        <v>80</v>
      </c>
      <c r="B75" s="735">
        <f>B73+B55</f>
        <v>0</v>
      </c>
      <c r="C75" s="736"/>
      <c r="D75" s="737" t="e">
        <f>D73+D55</f>
        <v>#DIV/0!</v>
      </c>
      <c r="E75" s="737"/>
      <c r="F75" s="737" t="e">
        <f>F73+F55</f>
        <v>#DIV/0!</v>
      </c>
      <c r="G75" s="737"/>
      <c r="H75" s="737" t="e">
        <f>H73+H55</f>
        <v>#DIV/0!</v>
      </c>
    </row>
    <row r="76" spans="1:8" ht="15.5" x14ac:dyDescent="0.35">
      <c r="A76" s="742"/>
      <c r="B76" s="735"/>
      <c r="C76" s="736"/>
      <c r="D76" s="737"/>
      <c r="E76" s="737"/>
      <c r="F76" s="737"/>
      <c r="G76" s="737"/>
      <c r="H76" s="737"/>
    </row>
    <row r="77" spans="1:8" ht="15" x14ac:dyDescent="0.3">
      <c r="A77" s="709" t="s">
        <v>355</v>
      </c>
      <c r="B77" s="710">
        <f>B22-B75</f>
        <v>0</v>
      </c>
      <c r="C77" s="736"/>
      <c r="D77" s="712" t="e">
        <f>D22-D75</f>
        <v>#DIV/0!</v>
      </c>
      <c r="E77" s="737"/>
      <c r="F77" s="712" t="e">
        <f>F22-F75</f>
        <v>#DIV/0!</v>
      </c>
      <c r="G77" s="737"/>
      <c r="H77" s="712" t="e">
        <f>H22-H75</f>
        <v>#DIV/0!</v>
      </c>
    </row>
    <row r="78" spans="1:8" ht="15" x14ac:dyDescent="0.3">
      <c r="A78" s="709" t="s">
        <v>356</v>
      </c>
      <c r="B78" s="735">
        <f>B22-B55</f>
        <v>0</v>
      </c>
      <c r="C78" s="736"/>
      <c r="D78" s="737" t="e">
        <f>D22-D55</f>
        <v>#DIV/0!</v>
      </c>
      <c r="E78" s="737"/>
      <c r="F78" s="737" t="e">
        <f>F22-F55</f>
        <v>#DIV/0!</v>
      </c>
      <c r="G78" s="737"/>
      <c r="H78" s="737" t="e">
        <f>H22-H55</f>
        <v>#DIV/0!</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2.75" customHeight="1" x14ac:dyDescent="0.35">
      <c r="A81" s="744" t="s">
        <v>369</v>
      </c>
      <c r="B81" s="703" t="s">
        <v>76</v>
      </c>
      <c r="C81" s="743"/>
      <c r="D81" s="703" t="s">
        <v>393</v>
      </c>
      <c r="E81" s="703"/>
      <c r="F81" s="703" t="s">
        <v>1556</v>
      </c>
      <c r="G81" s="703"/>
      <c r="H81" s="703" t="s">
        <v>396</v>
      </c>
    </row>
    <row r="82" spans="1:8" ht="15.5" x14ac:dyDescent="0.35">
      <c r="A82" s="714" t="s">
        <v>370</v>
      </c>
      <c r="B82" s="745">
        <f>B75</f>
        <v>0</v>
      </c>
      <c r="C82" s="743"/>
      <c r="D82" s="717" t="e">
        <f>$B$75/wheat</f>
        <v>#DIV/0!</v>
      </c>
      <c r="E82" s="718"/>
      <c r="F82" s="717" t="e">
        <f>$B$75/($C$6*wheat)</f>
        <v>#DIV/0!</v>
      </c>
      <c r="G82" s="718"/>
      <c r="H82" s="717" t="e">
        <f>$B$75/($E$6*wheat)</f>
        <v>#DIV/0!</v>
      </c>
    </row>
    <row r="83" spans="1:8" ht="15.5" x14ac:dyDescent="0.35">
      <c r="A83" s="714" t="s">
        <v>371</v>
      </c>
      <c r="B83" s="745">
        <f>B55</f>
        <v>0</v>
      </c>
      <c r="C83" s="743"/>
      <c r="D83" s="717" t="e">
        <f>$B$55/wheat</f>
        <v>#DIV/0!</v>
      </c>
      <c r="E83" s="718"/>
      <c r="F83" s="717" t="e">
        <f>$B$55/($C$6*wheat)</f>
        <v>#DIV/0!</v>
      </c>
      <c r="G83" s="718"/>
      <c r="H83" s="717" t="e">
        <f>$B$55/($E$6*wheat)</f>
        <v>#DIV/0!</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t="e">
        <f>B77/SUM(Wv!E25:E76)</f>
        <v>#DIV/0!</v>
      </c>
      <c r="C86" s="743"/>
      <c r="D86" s="1226">
        <f>SUM(Wv!E25:E76)</f>
        <v>0</v>
      </c>
      <c r="E86" s="1225" t="s">
        <v>1996</v>
      </c>
      <c r="F86" s="717"/>
      <c r="G86" s="718"/>
      <c r="H86" s="717"/>
    </row>
    <row r="87" spans="1:8" ht="15.5" x14ac:dyDescent="0.35">
      <c r="A87" s="714" t="s">
        <v>1102</v>
      </c>
      <c r="B87" s="746" t="e">
        <f>B78/SUM(Wv!E25:E76)</f>
        <v>#DIV/0!</v>
      </c>
      <c r="C87" s="743"/>
      <c r="D87" s="717"/>
      <c r="E87" s="718"/>
      <c r="F87" s="717"/>
      <c r="G87" s="718"/>
      <c r="H87" s="717"/>
    </row>
    <row r="88" spans="1:8" ht="15.5" x14ac:dyDescent="0.35">
      <c r="A88" s="747"/>
      <c r="B88" s="748"/>
      <c r="C88" s="748"/>
      <c r="D88" s="749"/>
      <c r="E88" s="750"/>
      <c r="F88" s="750"/>
      <c r="G88" s="750"/>
      <c r="H88" s="750"/>
    </row>
    <row r="89" spans="1:8" x14ac:dyDescent="0.3">
      <c r="D89" s="59"/>
      <c r="E89" s="55"/>
      <c r="F89" s="55"/>
      <c r="G89" s="55"/>
      <c r="H89" s="55"/>
    </row>
    <row r="90" spans="1:8" x14ac:dyDescent="0.3">
      <c r="D90" s="59"/>
      <c r="E90" s="55"/>
      <c r="F90" s="55"/>
      <c r="G90" s="55"/>
      <c r="H90" s="55"/>
    </row>
    <row r="92" spans="1:8" x14ac:dyDescent="0.3">
      <c r="A92" s="61" t="s">
        <v>146</v>
      </c>
      <c r="B92" s="50" t="str">
        <f>model</f>
        <v>ME Grain &amp; Pulse</v>
      </c>
    </row>
    <row r="94" spans="1:8" x14ac:dyDescent="0.3">
      <c r="A94" s="7" t="s">
        <v>1855</v>
      </c>
      <c r="B94" s="55" t="s">
        <v>92</v>
      </c>
      <c r="C94" s="54">
        <f>wheat</f>
        <v>0</v>
      </c>
      <c r="D94" s="17" t="s">
        <v>93</v>
      </c>
    </row>
    <row r="95" spans="1:8" x14ac:dyDescent="0.3">
      <c r="A95" s="7"/>
      <c r="B95" s="55" t="s">
        <v>750</v>
      </c>
      <c r="C95" s="54">
        <f>(wheat*Data!F32)*Data!$B$32*Data!$C$32</f>
        <v>0</v>
      </c>
      <c r="D95" s="17" t="s">
        <v>93</v>
      </c>
    </row>
    <row r="96" spans="1:8" x14ac:dyDescent="0.3">
      <c r="A96" s="7"/>
      <c r="B96" s="55" t="s">
        <v>751</v>
      </c>
      <c r="C96" s="54">
        <f>(wheat*Data!G32)*Data!$B$32*Data!$D$32</f>
        <v>0</v>
      </c>
      <c r="D96" s="17" t="s">
        <v>93</v>
      </c>
    </row>
    <row r="97" spans="1:8" x14ac:dyDescent="0.3">
      <c r="A97" s="8"/>
      <c r="B97" s="55" t="s">
        <v>727</v>
      </c>
      <c r="C97" s="54">
        <f>Data!B204</f>
        <v>0</v>
      </c>
      <c r="D97" s="17" t="s">
        <v>1567</v>
      </c>
      <c r="E97" s="1190">
        <f>(C97*Data!$K$61)/2000</f>
        <v>0</v>
      </c>
      <c r="F97" s="17" t="s">
        <v>235</v>
      </c>
      <c r="G97" s="54"/>
    </row>
    <row r="98" spans="1:8" x14ac:dyDescent="0.3">
      <c r="B98" s="55" t="s">
        <v>728</v>
      </c>
      <c r="C98" s="106">
        <f>IF(FARM!$F$18&gt;0,Data!$B$199,Data!$B$200)</f>
        <v>10.32</v>
      </c>
      <c r="D98" s="17" t="s">
        <v>1566</v>
      </c>
      <c r="E98" s="153">
        <f>Data!$K$61</f>
        <v>60</v>
      </c>
      <c r="F98" s="17" t="s">
        <v>1560</v>
      </c>
      <c r="G98" s="153"/>
    </row>
    <row r="99" spans="1:8" x14ac:dyDescent="0.3">
      <c r="B99" s="55" t="s">
        <v>729</v>
      </c>
      <c r="C99" s="671">
        <f>Data!E204</f>
        <v>0</v>
      </c>
      <c r="D99" s="374" t="s">
        <v>731</v>
      </c>
      <c r="E99" s="671">
        <f>Data!H204</f>
        <v>0</v>
      </c>
      <c r="F99" s="17" t="s">
        <v>732</v>
      </c>
      <c r="G99" s="672"/>
    </row>
    <row r="100" spans="1:8" x14ac:dyDescent="0.3">
      <c r="B100" s="55" t="s">
        <v>730</v>
      </c>
      <c r="C100" s="673">
        <f>IF(Straw!$D$12&gt;0,Straw!$D$12,Data!$E$201)</f>
        <v>40</v>
      </c>
      <c r="D100" s="374" t="s">
        <v>733</v>
      </c>
      <c r="E100" s="674">
        <f>IF(Straw!$F$12&gt;0,Straw!$F$12,Data!$H$201)</f>
        <v>5.0833333333333304</v>
      </c>
      <c r="F100" s="17" t="s">
        <v>734</v>
      </c>
      <c r="G100" s="674"/>
    </row>
    <row r="101" spans="1:8" x14ac:dyDescent="0.3">
      <c r="B101" s="55"/>
      <c r="C101" s="54"/>
      <c r="D101" s="17"/>
    </row>
    <row r="102" spans="1:8" ht="15.5" x14ac:dyDescent="0.35">
      <c r="A102" s="751" t="s">
        <v>1855</v>
      </c>
      <c r="B102" s="697" t="s">
        <v>76</v>
      </c>
      <c r="C102" s="697"/>
      <c r="D102" s="697" t="s">
        <v>77</v>
      </c>
      <c r="E102" s="698"/>
      <c r="F102" s="697" t="s">
        <v>1554</v>
      </c>
      <c r="G102" s="698"/>
      <c r="H102" s="697" t="s">
        <v>385</v>
      </c>
    </row>
    <row r="103" spans="1:8" ht="15.5" x14ac:dyDescent="0.35">
      <c r="A103" s="699" t="s">
        <v>362</v>
      </c>
      <c r="B103" s="700">
        <f>C94</f>
        <v>0</v>
      </c>
      <c r="C103" s="701"/>
      <c r="D103" s="702" t="s">
        <v>363</v>
      </c>
      <c r="E103" s="703"/>
      <c r="F103" s="702" t="s">
        <v>363</v>
      </c>
      <c r="G103" s="703"/>
      <c r="H103" s="702" t="s">
        <v>363</v>
      </c>
    </row>
    <row r="104" spans="1:8" ht="15.5" x14ac:dyDescent="0.35">
      <c r="A104" s="699" t="s">
        <v>1856</v>
      </c>
      <c r="B104" s="702" t="s">
        <v>363</v>
      </c>
      <c r="C104" s="701"/>
      <c r="D104" s="702" t="s">
        <v>363</v>
      </c>
      <c r="E104" s="703"/>
      <c r="F104" s="702" t="s">
        <v>363</v>
      </c>
      <c r="G104" s="703"/>
      <c r="H104" s="888">
        <f>2000/Data!$K$61</f>
        <v>33.333333333333336</v>
      </c>
    </row>
    <row r="105" spans="1:8" ht="15.5" x14ac:dyDescent="0.35">
      <c r="A105" s="699" t="s">
        <v>1857</v>
      </c>
      <c r="B105" s="700">
        <f>$C$94*C97</f>
        <v>0</v>
      </c>
      <c r="C105" s="701"/>
      <c r="D105" s="700">
        <f>C97</f>
        <v>0</v>
      </c>
      <c r="E105" s="703"/>
      <c r="F105" s="702" t="s">
        <v>363</v>
      </c>
      <c r="G105" s="703"/>
      <c r="H105" s="702" t="s">
        <v>363</v>
      </c>
    </row>
    <row r="106" spans="1:8" ht="15.5" x14ac:dyDescent="0.35">
      <c r="A106" s="699" t="s">
        <v>1858</v>
      </c>
      <c r="B106" s="700">
        <f>$C$94*E97</f>
        <v>0</v>
      </c>
      <c r="C106" s="701"/>
      <c r="D106" s="1191">
        <f>E97</f>
        <v>0</v>
      </c>
      <c r="E106" s="703"/>
      <c r="F106" s="702" t="s">
        <v>363</v>
      </c>
      <c r="G106" s="703"/>
      <c r="H106" s="702" t="s">
        <v>363</v>
      </c>
    </row>
    <row r="107" spans="1:8" ht="15.5" x14ac:dyDescent="0.35">
      <c r="A107" s="699" t="str">
        <f>IF(Data!B201=1,"Spring Wheat Price ($/unit) - Food Grade","Spring Wheat Price ($/unit) - Feed Grade")</f>
        <v>Spring Wheat Price ($/unit) - Feed Grade</v>
      </c>
      <c r="B107" s="702" t="s">
        <v>363</v>
      </c>
      <c r="C107" s="701"/>
      <c r="D107" s="702" t="s">
        <v>363</v>
      </c>
      <c r="E107" s="703"/>
      <c r="F107" s="704">
        <f>C98</f>
        <v>10.32</v>
      </c>
      <c r="G107" s="703"/>
      <c r="H107" s="840">
        <f>F107*H104</f>
        <v>344.00000000000006</v>
      </c>
    </row>
    <row r="108" spans="1:8" ht="15" customHeight="1" x14ac:dyDescent="0.35">
      <c r="A108" s="699" t="s">
        <v>2032</v>
      </c>
      <c r="B108" s="700">
        <f>C99*C95</f>
        <v>0</v>
      </c>
      <c r="C108" s="701"/>
      <c r="D108" s="841">
        <f>C99</f>
        <v>0</v>
      </c>
      <c r="E108" s="703"/>
      <c r="F108" s="842" t="e">
        <f>C99/($C$6*$C$3)</f>
        <v>#DIV/0!</v>
      </c>
      <c r="G108" s="703"/>
      <c r="H108" s="842" t="e">
        <f>C99/($E$6*$C$3)</f>
        <v>#DIV/0!</v>
      </c>
    </row>
    <row r="109" spans="1:8" ht="15" customHeight="1" x14ac:dyDescent="0.35">
      <c r="A109" s="699" t="s">
        <v>2034</v>
      </c>
      <c r="B109" s="705">
        <f>C100</f>
        <v>40</v>
      </c>
      <c r="C109" s="701"/>
      <c r="D109" s="705">
        <f>C100*C99</f>
        <v>0</v>
      </c>
      <c r="E109" s="703"/>
      <c r="F109" s="840" t="e">
        <f>D109/$C$6</f>
        <v>#DIV/0!</v>
      </c>
      <c r="G109" s="703"/>
      <c r="H109" s="840" t="e">
        <f>D109/$E$6</f>
        <v>#DIV/0!</v>
      </c>
    </row>
    <row r="110" spans="1:8" ht="15" customHeight="1" x14ac:dyDescent="0.35">
      <c r="A110" s="699" t="s">
        <v>2031</v>
      </c>
      <c r="B110" s="700">
        <f>E99*C96</f>
        <v>0</v>
      </c>
      <c r="C110" s="701"/>
      <c r="D110" s="841">
        <f>E99</f>
        <v>0</v>
      </c>
      <c r="E110" s="703"/>
      <c r="F110" s="842" t="e">
        <f>E99/(C97*C94)</f>
        <v>#DIV/0!</v>
      </c>
      <c r="G110" s="703"/>
      <c r="H110" s="842" t="e">
        <f>E99/(E97*C94)</f>
        <v>#DIV/0!</v>
      </c>
    </row>
    <row r="111" spans="1:8" ht="15" customHeight="1" x14ac:dyDescent="0.35">
      <c r="A111" s="699" t="s">
        <v>2033</v>
      </c>
      <c r="B111" s="840">
        <f>E100</f>
        <v>5.0833333333333304</v>
      </c>
      <c r="C111" s="701"/>
      <c r="D111" s="705">
        <f>E100*E99</f>
        <v>0</v>
      </c>
      <c r="E111" s="703"/>
      <c r="F111" s="840" t="e">
        <f>D111/C97</f>
        <v>#DIV/0!</v>
      </c>
      <c r="G111" s="703"/>
      <c r="H111" s="840" t="e">
        <f>D111/E97</f>
        <v>#DIV/0!</v>
      </c>
    </row>
    <row r="112" spans="1:8" ht="15.5" x14ac:dyDescent="0.35">
      <c r="A112" s="699"/>
      <c r="B112" s="706"/>
      <c r="C112" s="706"/>
      <c r="D112" s="707"/>
      <c r="E112" s="708"/>
      <c r="F112" s="707"/>
      <c r="G112" s="708"/>
      <c r="H112" s="707"/>
    </row>
    <row r="113" spans="1:16" ht="15" x14ac:dyDescent="0.3">
      <c r="A113" s="709" t="s">
        <v>230</v>
      </c>
      <c r="B113" s="710">
        <f>(C97*C98*wheat)+(C99*C100*C95)+(E99*E100*C96)</f>
        <v>0</v>
      </c>
      <c r="C113" s="711"/>
      <c r="D113" s="712" t="e">
        <f>B113/wheat</f>
        <v>#DIV/0!</v>
      </c>
      <c r="E113" s="713"/>
      <c r="F113" s="712" t="e">
        <f>B113/($C$97*wheat)</f>
        <v>#DIV/0!</v>
      </c>
      <c r="G113" s="713"/>
      <c r="H113" s="711" t="e">
        <f>B113/($E$97*wheat)</f>
        <v>#DIV/0!</v>
      </c>
    </row>
    <row r="114" spans="1:16" ht="15.5" x14ac:dyDescent="0.35">
      <c r="A114" s="714" t="s">
        <v>1235</v>
      </c>
      <c r="B114" s="715">
        <f>(C97*C98*wheat)</f>
        <v>0</v>
      </c>
      <c r="C114" s="716"/>
      <c r="D114" s="717" t="e">
        <f>B114/wheat</f>
        <v>#DIV/0!</v>
      </c>
      <c r="E114" s="718"/>
      <c r="F114" s="717" t="e">
        <f>B114/($C$97*wheat)</f>
        <v>#DIV/0!</v>
      </c>
      <c r="G114" s="718"/>
      <c r="H114" s="716" t="e">
        <f>B114/($E$97*wheat)</f>
        <v>#DIV/0!</v>
      </c>
    </row>
    <row r="115" spans="1:16" ht="15.5" x14ac:dyDescent="0.35">
      <c r="A115" s="714" t="s">
        <v>1236</v>
      </c>
      <c r="B115" s="715">
        <f>(C99*C100*C95)+(E99*E100*C96)</f>
        <v>0</v>
      </c>
      <c r="C115" s="716"/>
      <c r="D115" s="719" t="e">
        <f>B115/wheat</f>
        <v>#DIV/0!</v>
      </c>
      <c r="E115" s="720"/>
      <c r="F115" s="719" t="e">
        <f>B115/($C$97*wheat)</f>
        <v>#DIV/0!</v>
      </c>
      <c r="G115" s="720"/>
      <c r="H115" s="715" t="e">
        <f>B115/($E$97*wheat)</f>
        <v>#DIV/0!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SUM(Wv!H8:H11)</f>
        <v>0</v>
      </c>
      <c r="C118" s="716"/>
      <c r="D118" s="717" t="e">
        <f>B118/wheat</f>
        <v>#DIV/0!</v>
      </c>
      <c r="E118" s="718"/>
      <c r="F118" s="717" t="e">
        <f>B118/($C$97*wheat)</f>
        <v>#DIV/0!</v>
      </c>
      <c r="G118" s="718"/>
      <c r="H118" s="716" t="e">
        <f>B118/($E$97*wheat)</f>
        <v>#DIV/0!</v>
      </c>
    </row>
    <row r="119" spans="1:16" ht="15.5" x14ac:dyDescent="0.35">
      <c r="A119" s="714" t="s">
        <v>1</v>
      </c>
      <c r="B119" s="715"/>
      <c r="C119" s="716"/>
      <c r="D119" s="717"/>
      <c r="E119" s="718"/>
      <c r="F119" s="717"/>
      <c r="G119" s="718"/>
      <c r="J119" s="890" t="s">
        <v>1</v>
      </c>
    </row>
    <row r="120" spans="1:16" ht="15.5" x14ac:dyDescent="0.35">
      <c r="A120" s="723" t="s">
        <v>1289</v>
      </c>
      <c r="B120" s="729">
        <f>Wv!H16</f>
        <v>0</v>
      </c>
      <c r="C120" s="730"/>
      <c r="D120" s="717" t="e">
        <f>B120/wheat</f>
        <v>#DIV/0!</v>
      </c>
      <c r="E120" s="727"/>
      <c r="F120" s="717" t="e">
        <f>B120/($C$97*wheat)</f>
        <v>#DIV/0!</v>
      </c>
      <c r="G120" s="727"/>
      <c r="H120" s="716" t="e">
        <f>B120/($E$97*wheat)</f>
        <v>#DIV/0!</v>
      </c>
      <c r="J120" s="697" t="s">
        <v>76</v>
      </c>
      <c r="K120" s="697"/>
      <c r="L120" s="697" t="s">
        <v>77</v>
      </c>
      <c r="M120" s="698"/>
      <c r="N120" s="697" t="s">
        <v>1554</v>
      </c>
      <c r="O120" s="698"/>
      <c r="P120" s="697" t="s">
        <v>385</v>
      </c>
    </row>
    <row r="121" spans="1:16" ht="15.5" x14ac:dyDescent="0.35">
      <c r="A121" s="723" t="s">
        <v>1290</v>
      </c>
      <c r="B121" s="729">
        <f>SUM(Wv!H17:H18)</f>
        <v>0</v>
      </c>
      <c r="C121" s="730"/>
      <c r="D121" s="719" t="e">
        <f>B121/wheat</f>
        <v>#DIV/0!</v>
      </c>
      <c r="E121" s="727"/>
      <c r="F121" s="719" t="e">
        <f>B121/($C$97*wheat)</f>
        <v>#DIV/0!</v>
      </c>
      <c r="G121" s="727"/>
      <c r="H121" s="715" t="e">
        <f>B121/($E$97*wheat)</f>
        <v>#DIV/0!</v>
      </c>
      <c r="J121" s="763">
        <f>SUM(B120:B121)</f>
        <v>0</v>
      </c>
      <c r="L121" s="756" t="e">
        <f>SUM(D120:D121)</f>
        <v>#DIV/0!</v>
      </c>
      <c r="N121" s="756" t="e">
        <f>SUM(F120:F121)</f>
        <v>#DIV/0!</v>
      </c>
      <c r="P121" s="756" t="e">
        <f>SUM(H120:H121)</f>
        <v>#DIV/0!</v>
      </c>
    </row>
    <row r="122" spans="1:16" ht="15.5" x14ac:dyDescent="0.35">
      <c r="A122" s="723" t="s">
        <v>2</v>
      </c>
      <c r="B122" s="724">
        <f>Wv!H19</f>
        <v>0</v>
      </c>
      <c r="C122" s="725"/>
      <c r="D122" s="726" t="e">
        <f>B122/wheat</f>
        <v>#DIV/0!</v>
      </c>
      <c r="E122" s="727"/>
      <c r="F122" s="726" t="e">
        <f>B122/($C$97*wheat)</f>
        <v>#DIV/0!</v>
      </c>
      <c r="G122" s="727"/>
      <c r="H122" s="715" t="e">
        <f>B122/($E$97*wheat)</f>
        <v>#DIV/0!</v>
      </c>
    </row>
    <row r="123" spans="1:16" ht="15.5" x14ac:dyDescent="0.35">
      <c r="A123" s="714" t="s">
        <v>1476</v>
      </c>
      <c r="B123" s="728"/>
      <c r="C123" s="728"/>
      <c r="D123" s="728"/>
      <c r="E123" s="728"/>
      <c r="F123" s="728"/>
      <c r="G123" s="728"/>
      <c r="H123" s="728"/>
    </row>
    <row r="124" spans="1:16" ht="15.5" x14ac:dyDescent="0.35">
      <c r="A124" s="714" t="s">
        <v>1121</v>
      </c>
      <c r="B124" s="729">
        <f>SUM(Wv!H20:H21)</f>
        <v>0</v>
      </c>
      <c r="C124" s="730"/>
      <c r="D124" s="731" t="e">
        <f>B124/wheat</f>
        <v>#DIV/0!</v>
      </c>
      <c r="E124" s="727"/>
      <c r="F124" s="731" t="e">
        <f>B124/($C$97*wheat)</f>
        <v>#DIV/0!</v>
      </c>
      <c r="G124" s="727"/>
      <c r="H124" s="715" t="e">
        <f>B124/($E$97*wheat)</f>
        <v>#DIV/0!</v>
      </c>
    </row>
    <row r="125" spans="1:16" ht="15.5" x14ac:dyDescent="0.35">
      <c r="A125" s="723" t="s">
        <v>1119</v>
      </c>
      <c r="B125" s="729">
        <f>SUM(Wv!H22:H22)</f>
        <v>0</v>
      </c>
      <c r="C125" s="730"/>
      <c r="D125" s="731" t="e">
        <f>B125/wheat</f>
        <v>#DIV/0!</v>
      </c>
      <c r="E125" s="727"/>
      <c r="F125" s="731" t="e">
        <f>B125/($C$97*wheat)</f>
        <v>#DIV/0!</v>
      </c>
      <c r="G125" s="727"/>
      <c r="H125" s="715" t="e">
        <f>B125/($E$97*wheat)</f>
        <v>#DIV/0!</v>
      </c>
    </row>
    <row r="126" spans="1:16" ht="15.5" x14ac:dyDescent="0.35">
      <c r="A126" s="723" t="s">
        <v>1120</v>
      </c>
      <c r="B126" s="729">
        <f>SUM(Wv!H23:H23)</f>
        <v>0</v>
      </c>
      <c r="C126" s="730"/>
      <c r="D126" s="731" t="e">
        <f>B126/wheat</f>
        <v>#DIV/0!</v>
      </c>
      <c r="E126" s="727"/>
      <c r="F126" s="731" t="e">
        <f>B126/($C$97*wheat)</f>
        <v>#DIV/0!</v>
      </c>
      <c r="G126" s="727"/>
      <c r="H126" s="715" t="e">
        <f>B126/($E$97*wheat)</f>
        <v>#DIV/0!</v>
      </c>
      <c r="J126" s="889" t="s">
        <v>1557</v>
      </c>
    </row>
    <row r="127" spans="1:16" ht="15.5" x14ac:dyDescent="0.35">
      <c r="A127" s="714" t="s">
        <v>1214</v>
      </c>
      <c r="B127" s="715"/>
      <c r="C127" s="716"/>
      <c r="D127" s="717"/>
      <c r="E127" s="718"/>
      <c r="F127" s="717"/>
      <c r="G127" s="718"/>
      <c r="H127" s="717"/>
      <c r="J127" s="756">
        <f>_wage_</f>
        <v>12.29</v>
      </c>
      <c r="K127" s="709" t="s">
        <v>1558</v>
      </c>
    </row>
    <row r="128" spans="1:16" ht="15.5" x14ac:dyDescent="0.35">
      <c r="A128" s="734" t="s">
        <v>1910</v>
      </c>
      <c r="B128" s="715">
        <f>Wv!H26</f>
        <v>0</v>
      </c>
      <c r="C128" s="716"/>
      <c r="D128" s="717" t="e">
        <f t="shared" ref="D128:D141" si="16">B128/wheat</f>
        <v>#DIV/0!</v>
      </c>
      <c r="E128" s="718"/>
      <c r="F128" s="717" t="e">
        <f t="shared" ref="F128:F141" si="17">B128/($C$97*wheat)</f>
        <v>#DIV/0!</v>
      </c>
      <c r="G128" s="718"/>
      <c r="H128" s="716" t="e">
        <f t="shared" ref="H128:H141" si="18">B128/($E$97*wheat)</f>
        <v>#DIV/0!</v>
      </c>
      <c r="J128" s="697" t="s">
        <v>76</v>
      </c>
      <c r="K128" s="697"/>
      <c r="L128" s="697" t="s">
        <v>77</v>
      </c>
      <c r="M128" s="698"/>
      <c r="N128" s="697" t="s">
        <v>1554</v>
      </c>
      <c r="O128" s="698"/>
      <c r="P128" s="697" t="s">
        <v>385</v>
      </c>
    </row>
    <row r="129" spans="1:16" ht="15.5" x14ac:dyDescent="0.35">
      <c r="A129" s="734" t="s">
        <v>1251</v>
      </c>
      <c r="B129" s="715">
        <f>Wv!H27</f>
        <v>0</v>
      </c>
      <c r="C129" s="716"/>
      <c r="D129" s="717" t="e">
        <f t="shared" si="16"/>
        <v>#DIV/0!</v>
      </c>
      <c r="E129" s="718"/>
      <c r="F129" s="717" t="e">
        <f t="shared" si="17"/>
        <v>#DIV/0!</v>
      </c>
      <c r="G129" s="718"/>
      <c r="H129" s="716" t="e">
        <f t="shared" si="18"/>
        <v>#DIV/0!</v>
      </c>
      <c r="J129" s="763">
        <f>SUM(B128:B141)</f>
        <v>0</v>
      </c>
      <c r="L129" s="756" t="e">
        <f>SUM(D128:D141)</f>
        <v>#DIV/0!</v>
      </c>
      <c r="N129" s="756" t="e">
        <f>SUM(F128:F141)</f>
        <v>#DIV/0!</v>
      </c>
      <c r="P129" s="756" t="e">
        <f>SUM(H128:H141)</f>
        <v>#DIV/0!</v>
      </c>
    </row>
    <row r="130" spans="1:16" ht="15.5" x14ac:dyDescent="0.35">
      <c r="A130" s="734" t="s">
        <v>1256</v>
      </c>
      <c r="B130" s="715">
        <f>Wv!H28</f>
        <v>0</v>
      </c>
      <c r="C130" s="716"/>
      <c r="D130" s="717" t="e">
        <f t="shared" si="16"/>
        <v>#DIV/0!</v>
      </c>
      <c r="E130" s="718"/>
      <c r="F130" s="717" t="e">
        <f t="shared" si="17"/>
        <v>#DIV/0!</v>
      </c>
      <c r="G130" s="718"/>
      <c r="H130" s="716" t="e">
        <f t="shared" si="18"/>
        <v>#DIV/0!</v>
      </c>
    </row>
    <row r="131" spans="1:16" ht="15.5" x14ac:dyDescent="0.35">
      <c r="A131" s="734" t="s">
        <v>1252</v>
      </c>
      <c r="B131" s="715">
        <f>Wv!H29</f>
        <v>0</v>
      </c>
      <c r="C131" s="716"/>
      <c r="D131" s="717" t="e">
        <f t="shared" si="16"/>
        <v>#DIV/0!</v>
      </c>
      <c r="E131" s="718"/>
      <c r="F131" s="717" t="e">
        <f t="shared" si="17"/>
        <v>#DIV/0!</v>
      </c>
      <c r="G131" s="718"/>
      <c r="H131" s="716" t="e">
        <f t="shared" si="18"/>
        <v>#DIV/0!</v>
      </c>
    </row>
    <row r="132" spans="1:16" ht="15.5" x14ac:dyDescent="0.35">
      <c r="A132" s="734" t="s">
        <v>1253</v>
      </c>
      <c r="B132" s="715">
        <f>Wv!H33</f>
        <v>0</v>
      </c>
      <c r="C132" s="716"/>
      <c r="D132" s="717" t="e">
        <f t="shared" si="16"/>
        <v>#DIV/0!</v>
      </c>
      <c r="E132" s="718"/>
      <c r="F132" s="717" t="e">
        <f t="shared" si="17"/>
        <v>#DIV/0!</v>
      </c>
      <c r="G132" s="718"/>
      <c r="H132" s="716" t="e">
        <f t="shared" si="18"/>
        <v>#DIV/0!</v>
      </c>
    </row>
    <row r="133" spans="1:16" ht="15.5" x14ac:dyDescent="0.35">
      <c r="A133" s="734" t="s">
        <v>1254</v>
      </c>
      <c r="B133" s="715">
        <f>Wv!H34</f>
        <v>0</v>
      </c>
      <c r="C133" s="716"/>
      <c r="D133" s="717" t="e">
        <f t="shared" si="16"/>
        <v>#DIV/0!</v>
      </c>
      <c r="E133" s="718"/>
      <c r="F133" s="717" t="e">
        <f t="shared" si="17"/>
        <v>#DIV/0!</v>
      </c>
      <c r="G133" s="718"/>
      <c r="H133" s="716" t="e">
        <f t="shared" si="18"/>
        <v>#DIV/0!</v>
      </c>
    </row>
    <row r="134" spans="1:16" ht="15.5" x14ac:dyDescent="0.35">
      <c r="A134" s="734" t="s">
        <v>2175</v>
      </c>
      <c r="B134" s="715">
        <f>Wv!H35</f>
        <v>0</v>
      </c>
      <c r="C134" s="716"/>
      <c r="D134" s="717" t="e">
        <f t="shared" si="16"/>
        <v>#DIV/0!</v>
      </c>
      <c r="E134" s="718"/>
      <c r="F134" s="717" t="e">
        <f t="shared" si="17"/>
        <v>#DIV/0!</v>
      </c>
      <c r="G134" s="718"/>
      <c r="H134" s="716" t="e">
        <f t="shared" si="18"/>
        <v>#DIV/0!</v>
      </c>
    </row>
    <row r="135" spans="1:16" ht="15.5" x14ac:dyDescent="0.35">
      <c r="A135" s="734" t="s">
        <v>1259</v>
      </c>
      <c r="B135" s="715">
        <f>Wv!H37</f>
        <v>0</v>
      </c>
      <c r="C135" s="716"/>
      <c r="D135" s="719" t="e">
        <f t="shared" si="16"/>
        <v>#DIV/0!</v>
      </c>
      <c r="E135" s="718"/>
      <c r="F135" s="719" t="e">
        <f t="shared" si="17"/>
        <v>#DIV/0!</v>
      </c>
      <c r="G135" s="718"/>
      <c r="H135" s="715" t="e">
        <f t="shared" si="18"/>
        <v>#DIV/0!</v>
      </c>
    </row>
    <row r="136" spans="1:16" ht="15.5" x14ac:dyDescent="0.35">
      <c r="A136" s="734" t="s">
        <v>1255</v>
      </c>
      <c r="B136" s="715">
        <f>SUM(Wv!H40:H41)</f>
        <v>0</v>
      </c>
      <c r="C136" s="716"/>
      <c r="D136" s="717" t="e">
        <f t="shared" si="16"/>
        <v>#DIV/0!</v>
      </c>
      <c r="E136" s="718"/>
      <c r="F136" s="717" t="e">
        <f t="shared" si="17"/>
        <v>#DIV/0!</v>
      </c>
      <c r="G136" s="718"/>
      <c r="H136" s="716" t="e">
        <f t="shared" si="18"/>
        <v>#DIV/0!</v>
      </c>
    </row>
    <row r="137" spans="1:16" ht="15.5" x14ac:dyDescent="0.35">
      <c r="A137" s="734" t="s">
        <v>2077</v>
      </c>
      <c r="B137" s="715">
        <f>SUM(Wv!H42:H43)</f>
        <v>0</v>
      </c>
      <c r="C137" s="716"/>
      <c r="D137" s="717" t="e">
        <f t="shared" si="16"/>
        <v>#DIV/0!</v>
      </c>
      <c r="E137" s="718"/>
      <c r="F137" s="717" t="e">
        <f t="shared" si="17"/>
        <v>#DIV/0!</v>
      </c>
      <c r="G137" s="718"/>
      <c r="H137" s="716" t="e">
        <f t="shared" si="18"/>
        <v>#DIV/0!</v>
      </c>
    </row>
    <row r="138" spans="1:16" ht="15.5" x14ac:dyDescent="0.35">
      <c r="A138" s="734" t="s">
        <v>1537</v>
      </c>
      <c r="B138" s="715">
        <f>SUM(Wv!H55:H57)</f>
        <v>0</v>
      </c>
      <c r="C138" s="716"/>
      <c r="D138" s="717" t="e">
        <f t="shared" si="16"/>
        <v>#DIV/0!</v>
      </c>
      <c r="E138" s="718"/>
      <c r="F138" s="717" t="e">
        <f t="shared" si="17"/>
        <v>#DIV/0!</v>
      </c>
      <c r="G138" s="718"/>
      <c r="H138" s="716" t="e">
        <f t="shared" si="18"/>
        <v>#DIV/0!</v>
      </c>
    </row>
    <row r="139" spans="1:16" ht="15.5" x14ac:dyDescent="0.35">
      <c r="A139" s="734" t="s">
        <v>1257</v>
      </c>
      <c r="B139" s="715">
        <f>SUM(Wv!H58:H60)</f>
        <v>0</v>
      </c>
      <c r="C139" s="716"/>
      <c r="D139" s="717" t="e">
        <f t="shared" si="16"/>
        <v>#DIV/0!</v>
      </c>
      <c r="E139" s="718"/>
      <c r="F139" s="717" t="e">
        <f t="shared" si="17"/>
        <v>#DIV/0!</v>
      </c>
      <c r="G139" s="718"/>
      <c r="H139" s="716" t="e">
        <f t="shared" si="18"/>
        <v>#DIV/0!</v>
      </c>
    </row>
    <row r="140" spans="1:16" ht="15.5" x14ac:dyDescent="0.35">
      <c r="A140" s="734" t="s">
        <v>2030</v>
      </c>
      <c r="B140" s="715">
        <f>SUM(Wv!H44:H54)</f>
        <v>0</v>
      </c>
      <c r="C140" s="716"/>
      <c r="D140" s="717" t="e">
        <f t="shared" si="16"/>
        <v>#DIV/0!</v>
      </c>
      <c r="E140" s="718"/>
      <c r="F140" s="717" t="e">
        <f t="shared" si="17"/>
        <v>#DIV/0!</v>
      </c>
      <c r="G140" s="718"/>
      <c r="H140" s="716" t="e">
        <f t="shared" si="18"/>
        <v>#DIV/0!</v>
      </c>
    </row>
    <row r="141" spans="1:16" ht="15.5" x14ac:dyDescent="0.35">
      <c r="A141" s="734" t="s">
        <v>2078</v>
      </c>
      <c r="B141" s="715">
        <f>SUM(Wv!H62:H75)</f>
        <v>0</v>
      </c>
      <c r="C141" s="716"/>
      <c r="D141" s="717" t="e">
        <f t="shared" si="16"/>
        <v>#DIV/0!</v>
      </c>
      <c r="E141" s="718"/>
      <c r="F141" s="717" t="e">
        <f t="shared" si="17"/>
        <v>#DIV/0!</v>
      </c>
      <c r="G141" s="718"/>
      <c r="H141" s="716" t="e">
        <f t="shared" si="18"/>
        <v>#DIV/0!</v>
      </c>
      <c r="J141" s="889" t="s">
        <v>1985</v>
      </c>
    </row>
    <row r="142" spans="1:16" ht="15.5" x14ac:dyDescent="0.35">
      <c r="A142" s="714" t="s">
        <v>1260</v>
      </c>
      <c r="B142" s="715"/>
      <c r="C142" s="716"/>
      <c r="D142" s="717"/>
      <c r="E142" s="718"/>
      <c r="F142" s="717"/>
      <c r="G142" s="718"/>
      <c r="H142" s="717"/>
      <c r="J142" s="756">
        <f>diesel_fuel</f>
        <v>2.56</v>
      </c>
      <c r="K142" s="709" t="s">
        <v>1559</v>
      </c>
    </row>
    <row r="143" spans="1:16" ht="15.5" x14ac:dyDescent="0.35">
      <c r="A143" s="734" t="s">
        <v>1910</v>
      </c>
      <c r="B143" s="715">
        <f>Wv!H78</f>
        <v>0</v>
      </c>
      <c r="C143" s="716"/>
      <c r="D143" s="717" t="e">
        <f t="shared" ref="D143:D160" si="19">B143/wheat</f>
        <v>#DIV/0!</v>
      </c>
      <c r="E143" s="718"/>
      <c r="F143" s="717" t="e">
        <f t="shared" ref="F143:F160" si="20">B143/($C$97*wheat)</f>
        <v>#DIV/0!</v>
      </c>
      <c r="G143" s="718"/>
      <c r="H143" s="716" t="e">
        <f t="shared" ref="H143:H160" si="21">B143/($E$97*wheat)</f>
        <v>#DIV/0!</v>
      </c>
      <c r="J143" s="697" t="s">
        <v>76</v>
      </c>
      <c r="K143" s="697"/>
      <c r="L143" s="697" t="s">
        <v>77</v>
      </c>
      <c r="M143" s="698"/>
      <c r="N143" s="697" t="s">
        <v>1554</v>
      </c>
      <c r="O143" s="698"/>
      <c r="P143" s="697" t="s">
        <v>385</v>
      </c>
    </row>
    <row r="144" spans="1:16" ht="15.5" x14ac:dyDescent="0.35">
      <c r="A144" s="734" t="s">
        <v>1251</v>
      </c>
      <c r="B144" s="715">
        <f>Wv!H79</f>
        <v>0</v>
      </c>
      <c r="C144" s="716"/>
      <c r="D144" s="717" t="e">
        <f t="shared" si="19"/>
        <v>#DIV/0!</v>
      </c>
      <c r="E144" s="718"/>
      <c r="F144" s="717" t="e">
        <f t="shared" si="20"/>
        <v>#DIV/0!</v>
      </c>
      <c r="G144" s="718"/>
      <c r="H144" s="716" t="e">
        <f t="shared" si="21"/>
        <v>#DIV/0!</v>
      </c>
      <c r="J144" s="763">
        <f>SUM(B143:B156)</f>
        <v>0</v>
      </c>
      <c r="L144" s="756" t="e">
        <f>SUM(D143:D156)</f>
        <v>#DIV/0!</v>
      </c>
      <c r="N144" s="756" t="e">
        <f>SUM(F143:F156)</f>
        <v>#DIV/0!</v>
      </c>
      <c r="P144" s="756" t="e">
        <f>SUM(H143:H156)</f>
        <v>#DIV/0!</v>
      </c>
    </row>
    <row r="145" spans="1:8" ht="15.5" x14ac:dyDescent="0.35">
      <c r="A145" s="734" t="s">
        <v>1256</v>
      </c>
      <c r="B145" s="715">
        <f>Wv!H80</f>
        <v>0</v>
      </c>
      <c r="C145" s="716"/>
      <c r="D145" s="717" t="e">
        <f t="shared" si="19"/>
        <v>#DIV/0!</v>
      </c>
      <c r="E145" s="718"/>
      <c r="F145" s="717" t="e">
        <f t="shared" si="20"/>
        <v>#DIV/0!</v>
      </c>
      <c r="G145" s="718"/>
      <c r="H145" s="716" t="e">
        <f t="shared" si="21"/>
        <v>#DIV/0!</v>
      </c>
    </row>
    <row r="146" spans="1:8" ht="15.5" x14ac:dyDescent="0.35">
      <c r="A146" s="734" t="s">
        <v>1252</v>
      </c>
      <c r="B146" s="715">
        <f>Wv!H81</f>
        <v>0</v>
      </c>
      <c r="C146" s="716"/>
      <c r="D146" s="717" t="e">
        <f t="shared" si="19"/>
        <v>#DIV/0!</v>
      </c>
      <c r="E146" s="718"/>
      <c r="F146" s="717" t="e">
        <f t="shared" si="20"/>
        <v>#DIV/0!</v>
      </c>
      <c r="G146" s="718"/>
      <c r="H146" s="716" t="e">
        <f t="shared" si="21"/>
        <v>#DIV/0!</v>
      </c>
    </row>
    <row r="147" spans="1:8" ht="15.5" x14ac:dyDescent="0.35">
      <c r="A147" s="734" t="s">
        <v>1253</v>
      </c>
      <c r="B147" s="715">
        <f>Wv!H85</f>
        <v>0</v>
      </c>
      <c r="C147" s="716"/>
      <c r="D147" s="717" t="e">
        <f t="shared" si="19"/>
        <v>#DIV/0!</v>
      </c>
      <c r="E147" s="718"/>
      <c r="F147" s="717" t="e">
        <f t="shared" si="20"/>
        <v>#DIV/0!</v>
      </c>
      <c r="G147" s="718"/>
      <c r="H147" s="716" t="e">
        <f t="shared" si="21"/>
        <v>#DIV/0!</v>
      </c>
    </row>
    <row r="148" spans="1:8" ht="15.5" x14ac:dyDescent="0.35">
      <c r="A148" s="734" t="s">
        <v>1254</v>
      </c>
      <c r="B148" s="715">
        <f>Wv!H86</f>
        <v>0</v>
      </c>
      <c r="C148" s="716"/>
      <c r="D148" s="717" t="e">
        <f t="shared" si="19"/>
        <v>#DIV/0!</v>
      </c>
      <c r="E148" s="718"/>
      <c r="F148" s="717" t="e">
        <f t="shared" si="20"/>
        <v>#DIV/0!</v>
      </c>
      <c r="G148" s="718"/>
      <c r="H148" s="716" t="e">
        <f t="shared" si="21"/>
        <v>#DIV/0!</v>
      </c>
    </row>
    <row r="149" spans="1:8" ht="15.5" x14ac:dyDescent="0.35">
      <c r="A149" s="734" t="s">
        <v>2175</v>
      </c>
      <c r="B149" s="715">
        <f>Wv!H87</f>
        <v>0</v>
      </c>
      <c r="C149" s="716"/>
      <c r="D149" s="717" t="e">
        <f t="shared" si="19"/>
        <v>#DIV/0!</v>
      </c>
      <c r="E149" s="718"/>
      <c r="F149" s="717" t="e">
        <f t="shared" si="20"/>
        <v>#DIV/0!</v>
      </c>
      <c r="G149" s="718"/>
      <c r="H149" s="716" t="e">
        <f t="shared" si="21"/>
        <v>#DIV/0!</v>
      </c>
    </row>
    <row r="150" spans="1:8" ht="15.5" x14ac:dyDescent="0.35">
      <c r="A150" s="734" t="s">
        <v>1259</v>
      </c>
      <c r="B150" s="715">
        <f>Wv!H89</f>
        <v>0</v>
      </c>
      <c r="C150" s="716"/>
      <c r="D150" s="719" t="e">
        <f t="shared" si="19"/>
        <v>#DIV/0!</v>
      </c>
      <c r="E150" s="718"/>
      <c r="F150" s="719" t="e">
        <f t="shared" si="20"/>
        <v>#DIV/0!</v>
      </c>
      <c r="G150" s="718"/>
      <c r="H150" s="715" t="e">
        <f t="shared" si="21"/>
        <v>#DIV/0!</v>
      </c>
    </row>
    <row r="151" spans="1:8" ht="15.5" x14ac:dyDescent="0.35">
      <c r="A151" s="734" t="s">
        <v>1255</v>
      </c>
      <c r="B151" s="715">
        <f>SUM(Wv!H92:H93)</f>
        <v>0</v>
      </c>
      <c r="C151" s="716"/>
      <c r="D151" s="717" t="e">
        <f t="shared" si="19"/>
        <v>#DIV/0!</v>
      </c>
      <c r="E151" s="718"/>
      <c r="F151" s="717" t="e">
        <f t="shared" si="20"/>
        <v>#DIV/0!</v>
      </c>
      <c r="G151" s="718"/>
      <c r="H151" s="716" t="e">
        <f t="shared" si="21"/>
        <v>#DIV/0!</v>
      </c>
    </row>
    <row r="152" spans="1:8" ht="15.5" x14ac:dyDescent="0.35">
      <c r="A152" s="734" t="s">
        <v>2077</v>
      </c>
      <c r="B152" s="715">
        <f>SUM(Wv!H94:H95)</f>
        <v>0</v>
      </c>
      <c r="C152" s="716"/>
      <c r="D152" s="717" t="e">
        <f t="shared" si="19"/>
        <v>#DIV/0!</v>
      </c>
      <c r="E152" s="718"/>
      <c r="F152" s="717" t="e">
        <f t="shared" si="20"/>
        <v>#DIV/0!</v>
      </c>
      <c r="G152" s="718"/>
      <c r="H152" s="716" t="e">
        <f t="shared" si="21"/>
        <v>#DIV/0!</v>
      </c>
    </row>
    <row r="153" spans="1:8" ht="15.5" x14ac:dyDescent="0.35">
      <c r="A153" s="734" t="s">
        <v>1537</v>
      </c>
      <c r="B153" s="715">
        <f>SUM(Wv!H107:H109)</f>
        <v>0</v>
      </c>
      <c r="C153" s="716"/>
      <c r="D153" s="719" t="e">
        <f t="shared" si="19"/>
        <v>#DIV/0!</v>
      </c>
      <c r="E153" s="718"/>
      <c r="F153" s="719" t="e">
        <f t="shared" si="20"/>
        <v>#DIV/0!</v>
      </c>
      <c r="G153" s="718"/>
      <c r="H153" s="715" t="e">
        <f t="shared" si="21"/>
        <v>#DIV/0!</v>
      </c>
    </row>
    <row r="154" spans="1:8" ht="15.5" x14ac:dyDescent="0.35">
      <c r="A154" s="734" t="s">
        <v>1257</v>
      </c>
      <c r="B154" s="715">
        <f>SUM(Wv!H110:H112)</f>
        <v>0</v>
      </c>
      <c r="C154" s="716"/>
      <c r="D154" s="719" t="e">
        <f t="shared" si="19"/>
        <v>#DIV/0!</v>
      </c>
      <c r="E154" s="720"/>
      <c r="F154" s="719" t="e">
        <f t="shared" si="20"/>
        <v>#DIV/0!</v>
      </c>
      <c r="G154" s="720"/>
      <c r="H154" s="715" t="e">
        <f t="shared" si="21"/>
        <v>#DIV/0!</v>
      </c>
    </row>
    <row r="155" spans="1:8" ht="15.5" x14ac:dyDescent="0.35">
      <c r="A155" s="734" t="s">
        <v>2030</v>
      </c>
      <c r="B155" s="715">
        <f>SUM(Wv!H96:H106)</f>
        <v>0</v>
      </c>
      <c r="C155" s="716"/>
      <c r="D155" s="717" t="e">
        <f t="shared" si="19"/>
        <v>#DIV/0!</v>
      </c>
      <c r="E155" s="720"/>
      <c r="F155" s="717" t="e">
        <f t="shared" si="20"/>
        <v>#DIV/0!</v>
      </c>
      <c r="G155" s="720"/>
      <c r="H155" s="716" t="e">
        <f t="shared" si="21"/>
        <v>#DIV/0!</v>
      </c>
    </row>
    <row r="156" spans="1:8" ht="15.5" x14ac:dyDescent="0.35">
      <c r="A156" s="734" t="s">
        <v>2078</v>
      </c>
      <c r="B156" s="715">
        <f>SUM(Wv!H114:H127)</f>
        <v>0</v>
      </c>
      <c r="C156" s="716"/>
      <c r="D156" s="717" t="e">
        <f t="shared" si="19"/>
        <v>#DIV/0!</v>
      </c>
      <c r="E156" s="720"/>
      <c r="F156" s="717" t="e">
        <f t="shared" si="20"/>
        <v>#DIV/0!</v>
      </c>
      <c r="G156" s="720"/>
      <c r="H156" s="716" t="e">
        <f t="shared" si="21"/>
        <v>#DIV/0!</v>
      </c>
    </row>
    <row r="157" spans="1:8" ht="15.5" x14ac:dyDescent="0.35">
      <c r="A157" s="714" t="s">
        <v>1258</v>
      </c>
      <c r="B157" s="715">
        <f>Wv!H128</f>
        <v>0</v>
      </c>
      <c r="C157" s="716"/>
      <c r="D157" s="717" t="e">
        <f t="shared" si="19"/>
        <v>#DIV/0!</v>
      </c>
      <c r="E157" s="718"/>
      <c r="F157" s="717" t="e">
        <f t="shared" si="20"/>
        <v>#DIV/0!</v>
      </c>
      <c r="G157" s="718"/>
      <c r="H157" s="716" t="e">
        <f t="shared" si="21"/>
        <v>#DIV/0!</v>
      </c>
    </row>
    <row r="158" spans="1:8" ht="15.5" x14ac:dyDescent="0.35">
      <c r="A158" s="714" t="s">
        <v>78</v>
      </c>
      <c r="B158" s="715">
        <f>SUM(Wv!H129:H130)</f>
        <v>0</v>
      </c>
      <c r="C158" s="716"/>
      <c r="D158" s="717" t="e">
        <f t="shared" si="19"/>
        <v>#DIV/0!</v>
      </c>
      <c r="E158" s="718"/>
      <c r="F158" s="717" t="e">
        <f t="shared" si="20"/>
        <v>#DIV/0!</v>
      </c>
      <c r="G158" s="718"/>
      <c r="H158" s="716" t="e">
        <f t="shared" si="21"/>
        <v>#DIV/0!</v>
      </c>
    </row>
    <row r="159" spans="1:8" ht="15.5" x14ac:dyDescent="0.35">
      <c r="A159" s="714" t="s">
        <v>170</v>
      </c>
      <c r="B159" s="732">
        <f>Wv!H131</f>
        <v>0</v>
      </c>
      <c r="C159" s="733"/>
      <c r="D159" s="719" t="e">
        <f t="shared" si="19"/>
        <v>#DIV/0!</v>
      </c>
      <c r="E159" s="720"/>
      <c r="F159" s="719" t="e">
        <f t="shared" si="20"/>
        <v>#DIV/0!</v>
      </c>
      <c r="G159" s="720"/>
      <c r="H159" s="715" t="e">
        <f t="shared" si="21"/>
        <v>#DIV/0!</v>
      </c>
    </row>
    <row r="160" spans="1:8" ht="15.5" x14ac:dyDescent="0.35">
      <c r="A160" s="714" t="s">
        <v>1213</v>
      </c>
      <c r="B160" s="732">
        <f>SUM(Wv!H132:H133)</f>
        <v>0</v>
      </c>
      <c r="C160" s="733"/>
      <c r="D160" s="717" t="e">
        <f t="shared" si="19"/>
        <v>#DIV/0!</v>
      </c>
      <c r="E160" s="718"/>
      <c r="F160" s="717" t="e">
        <f t="shared" si="20"/>
        <v>#DIV/0!</v>
      </c>
      <c r="G160" s="718"/>
      <c r="H160" s="716" t="e">
        <f t="shared" si="21"/>
        <v>#DIV/0!</v>
      </c>
    </row>
    <row r="161" spans="1:8" ht="15.5" x14ac:dyDescent="0.35">
      <c r="A161" s="714" t="s">
        <v>172</v>
      </c>
      <c r="B161" s="732"/>
      <c r="C161" s="733"/>
      <c r="D161" s="717"/>
      <c r="E161" s="718"/>
      <c r="F161" s="717"/>
      <c r="G161" s="718"/>
      <c r="H161" s="717"/>
    </row>
    <row r="162" spans="1:8" ht="15.5" x14ac:dyDescent="0.35">
      <c r="A162" s="734" t="s">
        <v>439</v>
      </c>
      <c r="B162" s="732">
        <f>Wv!H135</f>
        <v>0</v>
      </c>
      <c r="C162" s="733"/>
      <c r="D162" s="717" t="e">
        <f t="shared" ref="D162:D176" si="22">B162/wheat</f>
        <v>#DIV/0!</v>
      </c>
      <c r="E162" s="720"/>
      <c r="F162" s="717" t="e">
        <f t="shared" ref="F162:F176" si="23">B162/($C$97*wheat)</f>
        <v>#DIV/0!</v>
      </c>
      <c r="G162" s="720"/>
      <c r="H162" s="716" t="e">
        <f t="shared" ref="H162:H176" si="24">B162/($E$97*wheat)</f>
        <v>#DIV/0!</v>
      </c>
    </row>
    <row r="163" spans="1:8" ht="15.5" x14ac:dyDescent="0.35">
      <c r="A163" s="734" t="s">
        <v>1506</v>
      </c>
      <c r="B163" s="732">
        <f>SUM(Wv!H136:H138)</f>
        <v>0</v>
      </c>
      <c r="C163" s="733"/>
      <c r="D163" s="717" t="e">
        <f t="shared" si="22"/>
        <v>#DIV/0!</v>
      </c>
      <c r="E163" s="720"/>
      <c r="F163" s="717" t="e">
        <f t="shared" si="23"/>
        <v>#DIV/0!</v>
      </c>
      <c r="G163" s="720"/>
      <c r="H163" s="716" t="e">
        <f t="shared" si="24"/>
        <v>#DIV/0!</v>
      </c>
    </row>
    <row r="164" spans="1:8" ht="15.5" x14ac:dyDescent="0.35">
      <c r="A164" s="734" t="s">
        <v>1505</v>
      </c>
      <c r="B164" s="732">
        <f>SUM(Wv!H139:H141)</f>
        <v>0</v>
      </c>
      <c r="C164" s="733"/>
      <c r="D164" s="717" t="e">
        <f t="shared" si="22"/>
        <v>#DIV/0!</v>
      </c>
      <c r="E164" s="720"/>
      <c r="F164" s="717" t="e">
        <f t="shared" si="23"/>
        <v>#DIV/0!</v>
      </c>
      <c r="G164" s="720"/>
      <c r="H164" s="716" t="e">
        <f t="shared" si="24"/>
        <v>#DIV/0!</v>
      </c>
    </row>
    <row r="165" spans="1:8" ht="15.5" x14ac:dyDescent="0.35">
      <c r="A165" s="734" t="s">
        <v>1237</v>
      </c>
      <c r="B165" s="732">
        <f>Wv!H142</f>
        <v>0</v>
      </c>
      <c r="C165" s="733"/>
      <c r="D165" s="717" t="e">
        <f t="shared" si="22"/>
        <v>#DIV/0!</v>
      </c>
      <c r="E165" s="720"/>
      <c r="F165" s="717" t="e">
        <f t="shared" si="23"/>
        <v>#DIV/0!</v>
      </c>
      <c r="G165" s="720"/>
      <c r="H165" s="716" t="e">
        <f t="shared" si="24"/>
        <v>#DIV/0!</v>
      </c>
    </row>
    <row r="166" spans="1:8" ht="15.5" x14ac:dyDescent="0.35">
      <c r="A166" s="734" t="s">
        <v>1212</v>
      </c>
      <c r="B166" s="732">
        <f>SUM(Wv!H143:H145)</f>
        <v>0</v>
      </c>
      <c r="C166" s="733"/>
      <c r="D166" s="717" t="e">
        <f t="shared" si="22"/>
        <v>#DIV/0!</v>
      </c>
      <c r="E166" s="718"/>
      <c r="F166" s="717" t="e">
        <f t="shared" si="23"/>
        <v>#DIV/0!</v>
      </c>
      <c r="G166" s="718"/>
      <c r="H166" s="716" t="e">
        <f t="shared" si="24"/>
        <v>#DIV/0!</v>
      </c>
    </row>
    <row r="167" spans="1:8" ht="15.5" x14ac:dyDescent="0.35">
      <c r="A167" s="734" t="s">
        <v>1238</v>
      </c>
      <c r="B167" s="732">
        <f>SUM(Wv!H146:H148)</f>
        <v>0</v>
      </c>
      <c r="C167" s="733"/>
      <c r="D167" s="717" t="e">
        <f t="shared" si="22"/>
        <v>#DIV/0!</v>
      </c>
      <c r="E167" s="720"/>
      <c r="F167" s="717" t="e">
        <f t="shared" si="23"/>
        <v>#DIV/0!</v>
      </c>
      <c r="G167" s="720"/>
      <c r="H167" s="716" t="e">
        <f t="shared" si="24"/>
        <v>#DIV/0!</v>
      </c>
    </row>
    <row r="168" spans="1:8" ht="15.5" x14ac:dyDescent="0.35">
      <c r="A168" s="734" t="s">
        <v>2076</v>
      </c>
      <c r="B168" s="753">
        <f>SUM(Wv!H149:H155)</f>
        <v>0</v>
      </c>
      <c r="C168" s="699"/>
      <c r="D168" s="717" t="e">
        <f t="shared" si="22"/>
        <v>#DIV/0!</v>
      </c>
      <c r="E168" s="753"/>
      <c r="F168" s="717" t="e">
        <f t="shared" si="23"/>
        <v>#DIV/0!</v>
      </c>
      <c r="G168" s="753"/>
      <c r="H168" s="716" t="e">
        <f t="shared" si="24"/>
        <v>#DIV/0!</v>
      </c>
    </row>
    <row r="169" spans="1:8" ht="15.5" x14ac:dyDescent="0.35">
      <c r="A169" s="734" t="s">
        <v>2029</v>
      </c>
      <c r="B169" s="732">
        <f>SUM(Wv!H156:H158)</f>
        <v>0</v>
      </c>
      <c r="C169" s="733"/>
      <c r="D169" s="719" t="e">
        <f>B169/wheat</f>
        <v>#DIV/0!</v>
      </c>
      <c r="E169" s="720"/>
      <c r="F169" s="719" t="e">
        <f>B169/($C$97*wheat)</f>
        <v>#DIV/0!</v>
      </c>
      <c r="G169" s="720"/>
      <c r="H169" s="715" t="e">
        <f>B169/($E$97*wheat)</f>
        <v>#DIV/0!</v>
      </c>
    </row>
    <row r="170" spans="1:8" ht="15.5" x14ac:dyDescent="0.35">
      <c r="A170" s="734" t="s">
        <v>1532</v>
      </c>
      <c r="B170" s="732">
        <f>SUM(Wv!H159:H163)</f>
        <v>0</v>
      </c>
      <c r="C170" s="733"/>
      <c r="D170" s="717" t="e">
        <f t="shared" si="22"/>
        <v>#DIV/0!</v>
      </c>
      <c r="E170" s="720"/>
      <c r="F170" s="717" t="e">
        <f t="shared" si="23"/>
        <v>#DIV/0!</v>
      </c>
      <c r="G170" s="720"/>
      <c r="H170" s="716" t="e">
        <f t="shared" si="24"/>
        <v>#DIV/0!</v>
      </c>
    </row>
    <row r="171" spans="1:8" ht="15.5" x14ac:dyDescent="0.35">
      <c r="A171" s="734" t="s">
        <v>1533</v>
      </c>
      <c r="B171" s="732">
        <f>SUM(Wv!H164:H165)</f>
        <v>0</v>
      </c>
      <c r="C171" s="733"/>
      <c r="D171" s="719" t="e">
        <f t="shared" si="22"/>
        <v>#DIV/0!</v>
      </c>
      <c r="E171" s="720"/>
      <c r="F171" s="719" t="e">
        <f t="shared" si="23"/>
        <v>#DIV/0!</v>
      </c>
      <c r="G171" s="720"/>
      <c r="H171" s="715" t="e">
        <f t="shared" si="24"/>
        <v>#DIV/0!</v>
      </c>
    </row>
    <row r="172" spans="1:8" ht="15.5" x14ac:dyDescent="0.35">
      <c r="A172" s="734" t="s">
        <v>1534</v>
      </c>
      <c r="B172" s="732">
        <f>Wv!H166</f>
        <v>0</v>
      </c>
      <c r="C172" s="733"/>
      <c r="D172" s="717" t="e">
        <f t="shared" si="22"/>
        <v>#DIV/0!</v>
      </c>
      <c r="E172" s="720"/>
      <c r="F172" s="785" t="e">
        <f t="shared" si="23"/>
        <v>#DIV/0!</v>
      </c>
      <c r="G172" s="720"/>
      <c r="H172" s="716" t="e">
        <f t="shared" si="24"/>
        <v>#DIV/0!</v>
      </c>
    </row>
    <row r="173" spans="1:8" ht="15.5" x14ac:dyDescent="0.35">
      <c r="A173" s="734" t="s">
        <v>1535</v>
      </c>
      <c r="B173" s="732">
        <f>Wv!H167</f>
        <v>0</v>
      </c>
      <c r="C173" s="733"/>
      <c r="D173" s="717" t="e">
        <f t="shared" si="22"/>
        <v>#DIV/0!</v>
      </c>
      <c r="E173" s="720"/>
      <c r="F173" s="785" t="e">
        <f t="shared" si="23"/>
        <v>#DIV/0!</v>
      </c>
      <c r="G173" s="720"/>
      <c r="H173" s="716" t="e">
        <f t="shared" si="24"/>
        <v>#DIV/0!</v>
      </c>
    </row>
    <row r="174" spans="1:8" ht="15.5" x14ac:dyDescent="0.35">
      <c r="A174" s="734" t="s">
        <v>1536</v>
      </c>
      <c r="B174" s="732">
        <f>Wv!H168</f>
        <v>0</v>
      </c>
      <c r="C174" s="733"/>
      <c r="D174" s="717" t="e">
        <f t="shared" si="22"/>
        <v>#DIV/0!</v>
      </c>
      <c r="E174" s="720"/>
      <c r="F174" s="785" t="e">
        <f t="shared" si="23"/>
        <v>#DIV/0!</v>
      </c>
      <c r="G174" s="720"/>
      <c r="H174" s="716" t="e">
        <f t="shared" si="24"/>
        <v>#DIV/0!</v>
      </c>
    </row>
    <row r="175" spans="1:8" ht="15.5" x14ac:dyDescent="0.35">
      <c r="A175" s="734" t="s">
        <v>443</v>
      </c>
      <c r="B175" s="732">
        <f>SUM(Wv!H169:H171)</f>
        <v>0</v>
      </c>
      <c r="C175" s="733"/>
      <c r="D175" s="719" t="e">
        <f t="shared" si="22"/>
        <v>#DIV/0!</v>
      </c>
      <c r="E175" s="720"/>
      <c r="F175" s="719" t="e">
        <f t="shared" si="23"/>
        <v>#DIV/0!</v>
      </c>
      <c r="G175" s="720"/>
      <c r="H175" s="715" t="e">
        <f t="shared" si="24"/>
        <v>#DIV/0!</v>
      </c>
    </row>
    <row r="176" spans="1:8" ht="15.5" x14ac:dyDescent="0.35">
      <c r="A176" s="714" t="s">
        <v>69</v>
      </c>
      <c r="B176" s="732">
        <f>Wv!H175</f>
        <v>0</v>
      </c>
      <c r="C176" s="733"/>
      <c r="D176" s="717" t="e">
        <f t="shared" si="22"/>
        <v>#DIV/0!</v>
      </c>
      <c r="E176" s="718"/>
      <c r="F176" s="717" t="e">
        <f t="shared" si="23"/>
        <v>#DIV/0!</v>
      </c>
      <c r="G176" s="718"/>
      <c r="H176" s="716" t="e">
        <f t="shared" si="24"/>
        <v>#DIV/0!</v>
      </c>
    </row>
    <row r="177" spans="1:16" ht="15" x14ac:dyDescent="0.3">
      <c r="A177" s="709" t="s">
        <v>366</v>
      </c>
      <c r="B177" s="735">
        <f>SUM(B118:B176)</f>
        <v>0</v>
      </c>
      <c r="C177" s="736"/>
      <c r="D177" s="737" t="e">
        <f>SUM(D118:D176)</f>
        <v>#DIV/0!</v>
      </c>
      <c r="E177" s="737"/>
      <c r="F177" s="737" t="e">
        <f>SUM(F118:F176)</f>
        <v>#DIV/0!</v>
      </c>
      <c r="G177" s="737"/>
      <c r="H177" s="737" t="e">
        <f>SUM(H118:H176)</f>
        <v>#DIV/0!</v>
      </c>
    </row>
    <row r="178" spans="1:16" ht="15.5" x14ac:dyDescent="0.35">
      <c r="A178" s="738"/>
      <c r="B178" s="732"/>
      <c r="C178" s="733"/>
      <c r="D178" s="739"/>
      <c r="E178" s="740"/>
      <c r="F178" s="740"/>
      <c r="G178" s="740"/>
      <c r="H178" s="740"/>
    </row>
    <row r="179" spans="1:16" ht="15.5" x14ac:dyDescent="0.35">
      <c r="A179" s="709" t="s">
        <v>367</v>
      </c>
      <c r="B179" s="732"/>
      <c r="C179" s="733"/>
      <c r="D179" s="739"/>
      <c r="E179" s="740"/>
      <c r="F179" s="740"/>
      <c r="G179" s="740"/>
      <c r="H179" s="740"/>
    </row>
    <row r="180" spans="1:16" ht="15.5" x14ac:dyDescent="0.35">
      <c r="A180" s="714" t="s">
        <v>29</v>
      </c>
      <c r="B180" s="732"/>
      <c r="C180" s="733"/>
      <c r="D180" s="733"/>
      <c r="E180" s="757"/>
      <c r="F180" s="716"/>
      <c r="G180" s="757"/>
      <c r="H180" s="716"/>
      <c r="J180" s="890" t="s">
        <v>29</v>
      </c>
    </row>
    <row r="181" spans="1:16" ht="15.5" x14ac:dyDescent="0.35">
      <c r="A181" s="734" t="s">
        <v>1240</v>
      </c>
      <c r="B181" s="732">
        <f>SUM(Wf!H8:H24)</f>
        <v>0</v>
      </c>
      <c r="C181" s="733"/>
      <c r="D181" s="717" t="e">
        <f t="shared" ref="D181:D194" si="25">B181/wheat</f>
        <v>#DIV/0!</v>
      </c>
      <c r="E181" s="757"/>
      <c r="F181" s="717" t="e">
        <f t="shared" ref="F181:F194" si="26">B181/($C$97*wheat)</f>
        <v>#DIV/0!</v>
      </c>
      <c r="G181" s="757"/>
      <c r="H181" s="716" t="e">
        <f t="shared" ref="H181:H194" si="27">B181/($E$97*wheat)</f>
        <v>#DIV/0!</v>
      </c>
      <c r="J181" s="697" t="s">
        <v>76</v>
      </c>
      <c r="K181" s="697"/>
      <c r="L181" s="697" t="s">
        <v>77</v>
      </c>
      <c r="M181" s="698"/>
      <c r="N181" s="697" t="s">
        <v>1554</v>
      </c>
      <c r="O181" s="698"/>
      <c r="P181" s="697" t="s">
        <v>385</v>
      </c>
    </row>
    <row r="182" spans="1:16" ht="15.5" x14ac:dyDescent="0.35">
      <c r="A182" s="734" t="s">
        <v>1241</v>
      </c>
      <c r="B182" s="732">
        <f>SUM(Wf!H25:H33)</f>
        <v>0</v>
      </c>
      <c r="C182" s="733"/>
      <c r="D182" s="717" t="e">
        <f t="shared" si="25"/>
        <v>#DIV/0!</v>
      </c>
      <c r="E182" s="757"/>
      <c r="F182" s="717" t="e">
        <f t="shared" si="26"/>
        <v>#DIV/0!</v>
      </c>
      <c r="G182" s="757"/>
      <c r="H182" s="716" t="e">
        <f t="shared" si="27"/>
        <v>#DIV/0!</v>
      </c>
      <c r="J182" s="763">
        <f>SUM(B181:B193)</f>
        <v>0</v>
      </c>
      <c r="L182" s="756" t="e">
        <f>SUM(D181:D193)</f>
        <v>#DIV/0!</v>
      </c>
      <c r="N182" s="756" t="e">
        <f>SUM(F181:F193)</f>
        <v>#DIV/0!</v>
      </c>
      <c r="P182" s="756" t="e">
        <f>SUM(H181:H193)</f>
        <v>#DIV/0!</v>
      </c>
    </row>
    <row r="183" spans="1:16" ht="15.5" x14ac:dyDescent="0.35">
      <c r="A183" s="734" t="s">
        <v>1243</v>
      </c>
      <c r="B183" s="732">
        <f>SUM(Wf!H34:H50)</f>
        <v>0</v>
      </c>
      <c r="C183" s="733"/>
      <c r="D183" s="717" t="e">
        <f t="shared" si="25"/>
        <v>#DIV/0!</v>
      </c>
      <c r="E183" s="757"/>
      <c r="F183" s="717" t="e">
        <f t="shared" si="26"/>
        <v>#DIV/0!</v>
      </c>
      <c r="G183" s="757"/>
      <c r="H183" s="716" t="e">
        <f t="shared" si="27"/>
        <v>#DIV/0!</v>
      </c>
    </row>
    <row r="184" spans="1:16" ht="15.5" x14ac:dyDescent="0.35">
      <c r="A184" s="734" t="s">
        <v>1242</v>
      </c>
      <c r="B184" s="732">
        <f>SUM(Wf!H51:H62)</f>
        <v>0</v>
      </c>
      <c r="C184" s="733"/>
      <c r="D184" s="717" t="e">
        <f t="shared" si="25"/>
        <v>#DIV/0!</v>
      </c>
      <c r="E184" s="757"/>
      <c r="F184" s="717" t="e">
        <f t="shared" si="26"/>
        <v>#DIV/0!</v>
      </c>
      <c r="G184" s="757"/>
      <c r="H184" s="716" t="e">
        <f t="shared" si="27"/>
        <v>#DIV/0!</v>
      </c>
    </row>
    <row r="185" spans="1:16" ht="15.5" x14ac:dyDescent="0.35">
      <c r="A185" s="734" t="s">
        <v>1244</v>
      </c>
      <c r="B185" s="732">
        <f>SUM(Wf!H63:H67)</f>
        <v>0</v>
      </c>
      <c r="C185" s="733"/>
      <c r="D185" s="719" t="e">
        <f t="shared" si="25"/>
        <v>#DIV/0!</v>
      </c>
      <c r="E185" s="762"/>
      <c r="F185" s="719" t="e">
        <f t="shared" si="26"/>
        <v>#DIV/0!</v>
      </c>
      <c r="G185" s="762"/>
      <c r="H185" s="715" t="e">
        <f t="shared" si="27"/>
        <v>#DIV/0!</v>
      </c>
    </row>
    <row r="186" spans="1:16" ht="15.5" x14ac:dyDescent="0.35">
      <c r="A186" s="734" t="s">
        <v>1245</v>
      </c>
      <c r="B186" s="732">
        <f>0</f>
        <v>0</v>
      </c>
      <c r="C186" s="733"/>
      <c r="D186" s="719" t="e">
        <f t="shared" si="25"/>
        <v>#DIV/0!</v>
      </c>
      <c r="E186" s="762"/>
      <c r="F186" s="719" t="e">
        <f t="shared" si="26"/>
        <v>#DIV/0!</v>
      </c>
      <c r="G186" s="762"/>
      <c r="H186" s="715" t="e">
        <f t="shared" si="27"/>
        <v>#DIV/0!</v>
      </c>
    </row>
    <row r="187" spans="1:16" ht="15.5" x14ac:dyDescent="0.35">
      <c r="A187" s="734" t="s">
        <v>1246</v>
      </c>
      <c r="B187" s="732">
        <f>SUM(Wf!H68:H78)</f>
        <v>0</v>
      </c>
      <c r="C187" s="733"/>
      <c r="D187" s="717" t="e">
        <f t="shared" si="25"/>
        <v>#DIV/0!</v>
      </c>
      <c r="E187" s="757"/>
      <c r="F187" s="717" t="e">
        <f t="shared" si="26"/>
        <v>#DIV/0!</v>
      </c>
      <c r="G187" s="757"/>
      <c r="H187" s="716" t="e">
        <f t="shared" si="27"/>
        <v>#DIV/0!</v>
      </c>
    </row>
    <row r="188" spans="1:16" ht="15.5" x14ac:dyDescent="0.35">
      <c r="A188" s="734" t="s">
        <v>1247</v>
      </c>
      <c r="B188" s="732">
        <f>SUM(Wf!H79:H86)</f>
        <v>0</v>
      </c>
      <c r="C188" s="733"/>
      <c r="D188" s="717" t="e">
        <f t="shared" si="25"/>
        <v>#DIV/0!</v>
      </c>
      <c r="E188" s="757"/>
      <c r="F188" s="785" t="e">
        <f t="shared" si="26"/>
        <v>#DIV/0!</v>
      </c>
      <c r="G188" s="757"/>
      <c r="H188" s="716" t="e">
        <f t="shared" si="27"/>
        <v>#DIV/0!</v>
      </c>
    </row>
    <row r="189" spans="1:16" ht="15.5" x14ac:dyDescent="0.35">
      <c r="A189" s="734" t="s">
        <v>2148</v>
      </c>
      <c r="B189" s="732">
        <f>SUM(Wf!H87:H91)</f>
        <v>0</v>
      </c>
      <c r="C189" s="733"/>
      <c r="D189" s="717" t="e">
        <f t="shared" ref="D189" si="28">B189/wheat</f>
        <v>#DIV/0!</v>
      </c>
      <c r="E189" s="757"/>
      <c r="F189" s="717" t="e">
        <f t="shared" ref="F189" si="29">B189/($C$97*wheat)</f>
        <v>#DIV/0!</v>
      </c>
      <c r="G189" s="757"/>
      <c r="H189" s="716" t="e">
        <f t="shared" ref="H189" si="30">B189/($E$97*wheat)</f>
        <v>#DIV/0!</v>
      </c>
    </row>
    <row r="190" spans="1:16" ht="15.5" x14ac:dyDescent="0.35">
      <c r="A190" s="734" t="s">
        <v>1250</v>
      </c>
      <c r="B190" s="732">
        <f>SUM(Wf!H92:H103)</f>
        <v>0</v>
      </c>
      <c r="C190" s="733"/>
      <c r="D190" s="717" t="e">
        <f t="shared" si="25"/>
        <v>#DIV/0!</v>
      </c>
      <c r="E190" s="757"/>
      <c r="F190" s="717" t="e">
        <f t="shared" si="26"/>
        <v>#DIV/0!</v>
      </c>
      <c r="G190" s="757"/>
      <c r="H190" s="716" t="e">
        <f t="shared" si="27"/>
        <v>#DIV/0!</v>
      </c>
    </row>
    <row r="191" spans="1:16" ht="15.5" x14ac:dyDescent="0.35">
      <c r="A191" s="734" t="s">
        <v>1304</v>
      </c>
      <c r="B191" s="732">
        <f>0</f>
        <v>0</v>
      </c>
      <c r="C191" s="733"/>
      <c r="D191" s="719" t="e">
        <f t="shared" si="25"/>
        <v>#DIV/0!</v>
      </c>
      <c r="E191" s="762"/>
      <c r="F191" s="719" t="e">
        <f t="shared" si="26"/>
        <v>#DIV/0!</v>
      </c>
      <c r="G191" s="762"/>
      <c r="H191" s="715" t="e">
        <f t="shared" si="27"/>
        <v>#DIV/0!</v>
      </c>
    </row>
    <row r="192" spans="1:16" ht="15.5" x14ac:dyDescent="0.35">
      <c r="A192" s="734" t="s">
        <v>1248</v>
      </c>
      <c r="B192" s="732">
        <f>SUM(Wf!H105:H108)</f>
        <v>0</v>
      </c>
      <c r="C192" s="733"/>
      <c r="D192" s="717" t="e">
        <f t="shared" si="25"/>
        <v>#DIV/0!</v>
      </c>
      <c r="E192" s="757"/>
      <c r="F192" s="717" t="e">
        <f t="shared" si="26"/>
        <v>#DIV/0!</v>
      </c>
      <c r="G192" s="757"/>
      <c r="H192" s="716" t="e">
        <f t="shared" si="27"/>
        <v>#DIV/0!</v>
      </c>
    </row>
    <row r="193" spans="1:8" ht="15.5" x14ac:dyDescent="0.35">
      <c r="A193" s="734" t="s">
        <v>1249</v>
      </c>
      <c r="B193" s="732">
        <f>SUM(Wf!H109:H113)</f>
        <v>0</v>
      </c>
      <c r="C193" s="733"/>
      <c r="D193" s="717" t="e">
        <f t="shared" si="25"/>
        <v>#DIV/0!</v>
      </c>
      <c r="E193" s="757"/>
      <c r="F193" s="717" t="e">
        <f t="shared" si="26"/>
        <v>#DIV/0!</v>
      </c>
      <c r="G193" s="757"/>
      <c r="H193" s="716" t="e">
        <f t="shared" si="27"/>
        <v>#DIV/0!</v>
      </c>
    </row>
    <row r="194" spans="1:8" ht="15.5" x14ac:dyDescent="0.35">
      <c r="A194" s="714" t="s">
        <v>79</v>
      </c>
      <c r="B194" s="732">
        <f>Wf!L121</f>
        <v>0</v>
      </c>
      <c r="C194" s="733"/>
      <c r="D194" s="717" t="e">
        <f t="shared" si="25"/>
        <v>#DIV/0!</v>
      </c>
      <c r="E194" s="718"/>
      <c r="F194" s="717" t="e">
        <f t="shared" si="26"/>
        <v>#DIV/0!</v>
      </c>
      <c r="G194" s="718"/>
      <c r="H194" s="716" t="e">
        <f t="shared" si="27"/>
        <v>#DIV/0!</v>
      </c>
    </row>
    <row r="195" spans="1:8" ht="15" x14ac:dyDescent="0.3">
      <c r="A195" s="709" t="s">
        <v>368</v>
      </c>
      <c r="B195" s="735">
        <f>SUM(B180:B194)</f>
        <v>0</v>
      </c>
      <c r="C195" s="736"/>
      <c r="D195" s="737" t="e">
        <f>SUM(D180:D194)</f>
        <v>#DIV/0!</v>
      </c>
      <c r="E195" s="737"/>
      <c r="F195" s="737" t="e">
        <f>SUM(F180:F194)</f>
        <v>#DIV/0!</v>
      </c>
      <c r="G195" s="737"/>
      <c r="H195" s="737" t="e">
        <f>SUM(H180:H194)</f>
        <v>#DIV/0!</v>
      </c>
    </row>
    <row r="196" spans="1:8" ht="15.5" x14ac:dyDescent="0.35">
      <c r="A196" s="699"/>
      <c r="B196" s="735"/>
      <c r="C196" s="736"/>
      <c r="D196" s="737"/>
      <c r="E196" s="741"/>
      <c r="F196" s="741"/>
      <c r="G196" s="741"/>
      <c r="H196" s="741"/>
    </row>
    <row r="197" spans="1:8" ht="15" x14ac:dyDescent="0.3">
      <c r="A197" s="709" t="s">
        <v>80</v>
      </c>
      <c r="B197" s="735">
        <f>B195+B177</f>
        <v>0</v>
      </c>
      <c r="C197" s="736"/>
      <c r="D197" s="737" t="e">
        <f>D195+D177</f>
        <v>#DIV/0!</v>
      </c>
      <c r="E197" s="737"/>
      <c r="F197" s="737" t="e">
        <f>F195+F177</f>
        <v>#DIV/0!</v>
      </c>
      <c r="G197" s="737"/>
      <c r="H197" s="737" t="e">
        <f>H195+H177</f>
        <v>#DIV/0!</v>
      </c>
    </row>
    <row r="198" spans="1:8" ht="15.5" x14ac:dyDescent="0.35">
      <c r="A198" s="742"/>
      <c r="B198" s="735"/>
      <c r="C198" s="736"/>
      <c r="D198" s="737"/>
      <c r="E198" s="737"/>
      <c r="F198" s="737"/>
      <c r="G198" s="737"/>
      <c r="H198" s="737"/>
    </row>
    <row r="199" spans="1:8" ht="15" x14ac:dyDescent="0.3">
      <c r="A199" s="709" t="s">
        <v>355</v>
      </c>
      <c r="B199" s="710">
        <f>B113-B197</f>
        <v>0</v>
      </c>
      <c r="C199" s="736"/>
      <c r="D199" s="712" t="e">
        <f>D113-D197</f>
        <v>#DIV/0!</v>
      </c>
      <c r="E199" s="737"/>
      <c r="F199" s="712" t="e">
        <f>F113-F197</f>
        <v>#DIV/0!</v>
      </c>
      <c r="G199" s="737"/>
      <c r="H199" s="712" t="e">
        <f>H113-H197</f>
        <v>#DIV/0!</v>
      </c>
    </row>
    <row r="200" spans="1:8" ht="15" x14ac:dyDescent="0.3">
      <c r="A200" s="709" t="s">
        <v>356</v>
      </c>
      <c r="B200" s="735">
        <f>B113-B177</f>
        <v>0</v>
      </c>
      <c r="C200" s="736"/>
      <c r="D200" s="737" t="e">
        <f>D113-D177</f>
        <v>#DIV/0!</v>
      </c>
      <c r="E200" s="737"/>
      <c r="F200" s="737" t="e">
        <f>F113-F177</f>
        <v>#DIV/0!</v>
      </c>
      <c r="G200" s="737"/>
      <c r="H200" s="737" t="e">
        <f>H113-H177</f>
        <v>#DIV/0!</v>
      </c>
    </row>
    <row r="201" spans="1:8" ht="15.5" x14ac:dyDescent="0.35">
      <c r="A201" s="699"/>
      <c r="B201" s="743"/>
      <c r="C201" s="743"/>
      <c r="D201" s="702"/>
      <c r="E201" s="703"/>
      <c r="F201" s="703"/>
      <c r="G201" s="703"/>
      <c r="H201" s="703"/>
    </row>
    <row r="202" spans="1:8" ht="15.5" x14ac:dyDescent="0.35">
      <c r="A202" s="709" t="s">
        <v>234</v>
      </c>
      <c r="B202" s="743"/>
      <c r="C202" s="743"/>
      <c r="D202" s="702"/>
      <c r="E202" s="703"/>
      <c r="F202" s="703"/>
      <c r="G202" s="703"/>
      <c r="H202" s="703"/>
    </row>
    <row r="203" spans="1:8" ht="15.5" x14ac:dyDescent="0.35">
      <c r="A203" s="744" t="s">
        <v>369</v>
      </c>
      <c r="B203" s="703" t="s">
        <v>76</v>
      </c>
      <c r="C203" s="743"/>
      <c r="D203" s="703" t="s">
        <v>393</v>
      </c>
      <c r="E203" s="703"/>
      <c r="F203" s="703" t="s">
        <v>1556</v>
      </c>
      <c r="G203" s="703"/>
      <c r="H203" s="703" t="s">
        <v>396</v>
      </c>
    </row>
    <row r="204" spans="1:8" ht="15.5" x14ac:dyDescent="0.35">
      <c r="A204" s="714" t="s">
        <v>370</v>
      </c>
      <c r="B204" s="745">
        <f>B197</f>
        <v>0</v>
      </c>
      <c r="C204" s="743"/>
      <c r="D204" s="717" t="e">
        <f>$B$197/wheat</f>
        <v>#DIV/0!</v>
      </c>
      <c r="E204" s="718"/>
      <c r="F204" s="717" t="e">
        <f>$B$197/($C$97*wheat)</f>
        <v>#DIV/0!</v>
      </c>
      <c r="G204" s="718"/>
      <c r="H204" s="717" t="e">
        <f>$B$197/($E$97*wheat)</f>
        <v>#DIV/0!</v>
      </c>
    </row>
    <row r="205" spans="1:8" ht="15.5" x14ac:dyDescent="0.35">
      <c r="A205" s="714" t="s">
        <v>371</v>
      </c>
      <c r="B205" s="745">
        <f>B177</f>
        <v>0</v>
      </c>
      <c r="C205" s="743"/>
      <c r="D205" s="717" t="e">
        <f>$B$177/wheat</f>
        <v>#DIV/0!</v>
      </c>
      <c r="E205" s="718"/>
      <c r="F205" s="717" t="e">
        <f>$B$177/($C$97*wheat)</f>
        <v>#DIV/0!</v>
      </c>
      <c r="G205" s="718"/>
      <c r="H205" s="717" t="e">
        <f>$B$177/($E$97*wheat)</f>
        <v>#DIV/0!</v>
      </c>
    </row>
    <row r="206" spans="1:8" ht="15.5" x14ac:dyDescent="0.35">
      <c r="A206" s="714"/>
      <c r="B206" s="743"/>
      <c r="C206" s="743"/>
      <c r="D206" s="717"/>
      <c r="E206" s="718"/>
      <c r="F206" s="717"/>
      <c r="G206" s="718"/>
      <c r="H206" s="717"/>
    </row>
    <row r="207" spans="1:8" ht="15.5" x14ac:dyDescent="0.35">
      <c r="A207" s="744" t="s">
        <v>1099</v>
      </c>
      <c r="B207" s="703" t="s">
        <v>1100</v>
      </c>
      <c r="C207" s="743"/>
      <c r="D207" s="703" t="s">
        <v>1995</v>
      </c>
      <c r="E207" s="752"/>
      <c r="F207" s="717"/>
      <c r="G207" s="718"/>
      <c r="H207" s="717"/>
    </row>
    <row r="208" spans="1:8" ht="15.5" x14ac:dyDescent="0.35">
      <c r="A208" s="714" t="s">
        <v>1101</v>
      </c>
      <c r="B208" s="746" t="e">
        <f>B199/SUM(Wv!E25:E76)</f>
        <v>#DIV/0!</v>
      </c>
      <c r="C208" s="743"/>
      <c r="D208" s="1226">
        <f>SUM(Wv!E25:E76)</f>
        <v>0</v>
      </c>
      <c r="E208" s="1225" t="s">
        <v>1996</v>
      </c>
      <c r="F208" s="717"/>
      <c r="G208" s="718"/>
      <c r="H208" s="717"/>
    </row>
    <row r="209" spans="1:8" ht="15.5" x14ac:dyDescent="0.35">
      <c r="A209" s="714" t="s">
        <v>1102</v>
      </c>
      <c r="B209" s="746" t="e">
        <f>B200/SUM(Wv!E25:E76)</f>
        <v>#DIV/0!</v>
      </c>
      <c r="C209" s="743"/>
      <c r="D209" s="717"/>
      <c r="E209" s="718"/>
      <c r="F209" s="717"/>
      <c r="G209" s="718"/>
      <c r="H209" s="717"/>
    </row>
    <row r="210" spans="1:8" ht="15.5" x14ac:dyDescent="0.35">
      <c r="A210" s="747"/>
      <c r="B210" s="748"/>
      <c r="C210" s="748"/>
      <c r="D210" s="749"/>
      <c r="E210" s="750"/>
      <c r="F210" s="750"/>
      <c r="G210" s="750"/>
      <c r="H210" s="750"/>
    </row>
    <row r="211" spans="1:8" x14ac:dyDescent="0.3">
      <c r="D211" s="59"/>
      <c r="E211" s="55"/>
      <c r="F211" s="55"/>
      <c r="G211" s="55"/>
      <c r="H211" s="55"/>
    </row>
    <row r="212" spans="1:8" x14ac:dyDescent="0.3">
      <c r="D212" s="59"/>
      <c r="E212" s="55"/>
      <c r="F212" s="55"/>
      <c r="G212" s="55"/>
      <c r="H212" s="55"/>
    </row>
  </sheetData>
  <phoneticPr fontId="16" type="noConversion"/>
  <pageMargins left="0.7" right="0.7" top="0.75" bottom="0.75" header="0.3" footer="0.3"/>
  <pageSetup scale="56" orientation="portrait" r:id="rId1"/>
  <rowBreaks count="2" manualBreakCount="2">
    <brk id="90" max="16383" man="1"/>
    <brk id="157" max="16383" man="1"/>
  </rowBreaks>
  <colBreaks count="1" manualBreakCount="1">
    <brk id="8"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6"/>
  <sheetViews>
    <sheetView topLeftCell="A178" zoomScaleNormal="100" workbookViewId="0">
      <selection activeCell="A147" sqref="A147"/>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510</v>
      </c>
      <c r="B3" s="55" t="s">
        <v>92</v>
      </c>
      <c r="C3" s="54">
        <f>rye</f>
        <v>0</v>
      </c>
      <c r="D3" s="17" t="s">
        <v>93</v>
      </c>
    </row>
    <row r="4" spans="1:8" x14ac:dyDescent="0.3">
      <c r="A4" s="7"/>
      <c r="B4" s="55" t="s">
        <v>750</v>
      </c>
      <c r="C4" s="54">
        <f>(rye*Data!F31)*Data!$B$31*Data!$C$31</f>
        <v>0</v>
      </c>
      <c r="D4" s="17" t="s">
        <v>93</v>
      </c>
    </row>
    <row r="5" spans="1:8" x14ac:dyDescent="0.3">
      <c r="A5" s="7"/>
      <c r="B5" s="55" t="s">
        <v>751</v>
      </c>
      <c r="C5" s="54">
        <f>(rye*Data!G31)*Data!$B$31*Data!$D$31</f>
        <v>0</v>
      </c>
      <c r="D5" s="17" t="s">
        <v>93</v>
      </c>
    </row>
    <row r="6" spans="1:8" x14ac:dyDescent="0.3">
      <c r="A6" s="8"/>
      <c r="B6" s="55" t="s">
        <v>727</v>
      </c>
      <c r="C6" s="54">
        <f>Data!B196</f>
        <v>0</v>
      </c>
      <c r="D6" s="17" t="s">
        <v>1567</v>
      </c>
      <c r="E6" s="1190">
        <f>(C6*Data!$K$60)/2000</f>
        <v>0</v>
      </c>
      <c r="F6" s="17" t="s">
        <v>235</v>
      </c>
      <c r="G6" s="54"/>
    </row>
    <row r="7" spans="1:8" x14ac:dyDescent="0.3">
      <c r="B7" s="55" t="s">
        <v>728</v>
      </c>
      <c r="C7" s="106">
        <f>IF(FARM!$F$17&gt;0,Data!$B$191,Data!$B$192)</f>
        <v>11.2</v>
      </c>
      <c r="D7" s="17" t="s">
        <v>1566</v>
      </c>
      <c r="E7" s="153">
        <f>Data!$K$60</f>
        <v>56</v>
      </c>
      <c r="F7" s="17" t="s">
        <v>1560</v>
      </c>
      <c r="G7" s="153"/>
    </row>
    <row r="8" spans="1:8" x14ac:dyDescent="0.3">
      <c r="B8" s="55" t="s">
        <v>729</v>
      </c>
      <c r="C8" s="157">
        <f>Data!E196</f>
        <v>0</v>
      </c>
      <c r="D8" s="17" t="s">
        <v>731</v>
      </c>
      <c r="E8" s="157">
        <f>Data!H196</f>
        <v>0</v>
      </c>
      <c r="F8" s="17" t="s">
        <v>732</v>
      </c>
      <c r="G8" s="54"/>
    </row>
    <row r="9" spans="1:8" x14ac:dyDescent="0.3">
      <c r="B9" s="55" t="s">
        <v>730</v>
      </c>
      <c r="C9" s="116">
        <f>IF(Straw!$D$11&gt;0,Straw!$D$11,Data!$E$193)</f>
        <v>40</v>
      </c>
      <c r="D9" s="17" t="s">
        <v>733</v>
      </c>
      <c r="E9" s="217">
        <f>IF(Straw!$F$11&gt;0,Straw!$F$11,Data!$H$193)</f>
        <v>5.0833333333333304</v>
      </c>
      <c r="F9" s="17" t="s">
        <v>734</v>
      </c>
      <c r="G9" s="217"/>
    </row>
    <row r="10" spans="1:8" x14ac:dyDescent="0.3">
      <c r="B10" s="55"/>
      <c r="C10" s="54"/>
      <c r="D10" s="17"/>
    </row>
    <row r="11" spans="1:8" ht="15.5" x14ac:dyDescent="0.35">
      <c r="A11" s="751" t="s">
        <v>510</v>
      </c>
      <c r="B11" s="697" t="s">
        <v>76</v>
      </c>
      <c r="C11" s="697"/>
      <c r="D11" s="697" t="s">
        <v>77</v>
      </c>
      <c r="E11" s="698"/>
      <c r="F11" s="697" t="s">
        <v>1554</v>
      </c>
      <c r="G11" s="698"/>
      <c r="H11" s="697" t="s">
        <v>385</v>
      </c>
    </row>
    <row r="12" spans="1:8" ht="15.65" customHeight="1" x14ac:dyDescent="0.35">
      <c r="A12" s="699" t="s">
        <v>362</v>
      </c>
      <c r="B12" s="700">
        <f>C3</f>
        <v>0</v>
      </c>
      <c r="C12" s="701"/>
      <c r="D12" s="702" t="s">
        <v>363</v>
      </c>
      <c r="E12" s="703"/>
      <c r="F12" s="702" t="s">
        <v>363</v>
      </c>
      <c r="G12" s="703"/>
      <c r="H12" s="702" t="s">
        <v>363</v>
      </c>
    </row>
    <row r="13" spans="1:8" ht="15.65" customHeight="1" x14ac:dyDescent="0.35">
      <c r="A13" s="699" t="s">
        <v>1853</v>
      </c>
      <c r="B13" s="702" t="s">
        <v>363</v>
      </c>
      <c r="C13" s="701"/>
      <c r="D13" s="702" t="s">
        <v>363</v>
      </c>
      <c r="E13" s="703"/>
      <c r="F13" s="702" t="s">
        <v>363</v>
      </c>
      <c r="G13" s="703"/>
      <c r="H13" s="888">
        <f>2000/Data!$K$60</f>
        <v>35.714285714285715</v>
      </c>
    </row>
    <row r="14" spans="1:8" ht="15.65" customHeight="1" x14ac:dyDescent="0.35">
      <c r="A14" s="699" t="s">
        <v>1563</v>
      </c>
      <c r="B14" s="700">
        <f>$C$3*C6</f>
        <v>0</v>
      </c>
      <c r="C14" s="701"/>
      <c r="D14" s="700">
        <f>C6</f>
        <v>0</v>
      </c>
      <c r="E14" s="703"/>
      <c r="F14" s="702" t="s">
        <v>363</v>
      </c>
      <c r="G14" s="703"/>
      <c r="H14" s="702" t="s">
        <v>363</v>
      </c>
    </row>
    <row r="15" spans="1:8" ht="15.65" customHeight="1" x14ac:dyDescent="0.35">
      <c r="A15" s="699" t="s">
        <v>1854</v>
      </c>
      <c r="B15" s="700">
        <f>$C$3*E6</f>
        <v>0</v>
      </c>
      <c r="C15" s="701"/>
      <c r="D15" s="1191">
        <f>E6</f>
        <v>0</v>
      </c>
      <c r="E15" s="703"/>
      <c r="F15" s="702" t="s">
        <v>363</v>
      </c>
      <c r="G15" s="703"/>
      <c r="H15" s="702" t="s">
        <v>363</v>
      </c>
    </row>
    <row r="16" spans="1:8" ht="15.65" customHeight="1" x14ac:dyDescent="0.35">
      <c r="A16" s="699" t="str">
        <f>IF(Data!B193=1,"Rye Price ($/unit) - Food Grade","Rye Price ($/unit) - Feed Grade")</f>
        <v>Rye Price ($/unit) - Feed Grade</v>
      </c>
      <c r="B16" s="702" t="s">
        <v>363</v>
      </c>
      <c r="C16" s="701"/>
      <c r="D16" s="702" t="s">
        <v>363</v>
      </c>
      <c r="E16" s="703"/>
      <c r="F16" s="704">
        <f>C7</f>
        <v>11.2</v>
      </c>
      <c r="G16" s="703"/>
      <c r="H16" s="840">
        <f>F16*H13</f>
        <v>400</v>
      </c>
    </row>
    <row r="17" spans="1:8" ht="15" customHeight="1" x14ac:dyDescent="0.35">
      <c r="A17" s="699" t="s">
        <v>2032</v>
      </c>
      <c r="B17" s="700">
        <f>C8*C4</f>
        <v>0</v>
      </c>
      <c r="C17" s="701"/>
      <c r="D17" s="841">
        <f>C8</f>
        <v>0</v>
      </c>
      <c r="E17" s="703"/>
      <c r="F17" s="842" t="e">
        <f>C8/($C$6*$C$3)</f>
        <v>#DIV/0!</v>
      </c>
      <c r="G17" s="703"/>
      <c r="H17" s="842" t="e">
        <f>C8/($E$6*$C$3)</f>
        <v>#DIV/0!</v>
      </c>
    </row>
    <row r="18" spans="1:8" ht="15" customHeight="1" x14ac:dyDescent="0.35">
      <c r="A18" s="699" t="s">
        <v>2034</v>
      </c>
      <c r="B18" s="705">
        <f>C9</f>
        <v>40</v>
      </c>
      <c r="C18" s="701"/>
      <c r="D18" s="705">
        <f>C9*C8</f>
        <v>0</v>
      </c>
      <c r="E18" s="703"/>
      <c r="F18" s="840" t="e">
        <f>D18/$C$6</f>
        <v>#DIV/0!</v>
      </c>
      <c r="G18" s="703"/>
      <c r="H18" s="840" t="e">
        <f>D18/$E$6</f>
        <v>#DIV/0!</v>
      </c>
    </row>
    <row r="19" spans="1:8" ht="15" customHeight="1" x14ac:dyDescent="0.35">
      <c r="A19" s="699" t="s">
        <v>2031</v>
      </c>
      <c r="B19" s="700">
        <f>E8*C5</f>
        <v>0</v>
      </c>
      <c r="C19" s="701"/>
      <c r="D19" s="841">
        <f>E8</f>
        <v>0</v>
      </c>
      <c r="E19" s="703"/>
      <c r="F19" s="842" t="e">
        <f>E8/(C6*C3)</f>
        <v>#DIV/0!</v>
      </c>
      <c r="G19" s="703"/>
      <c r="H19" s="842" t="e">
        <f>E8/(E6*C3)</f>
        <v>#DIV/0!</v>
      </c>
    </row>
    <row r="20" spans="1:8" ht="15" customHeight="1" x14ac:dyDescent="0.35">
      <c r="A20" s="699" t="s">
        <v>2033</v>
      </c>
      <c r="B20" s="840">
        <f>E9</f>
        <v>5.0833333333333304</v>
      </c>
      <c r="C20" s="701"/>
      <c r="D20" s="705">
        <f>E9*E8</f>
        <v>0</v>
      </c>
      <c r="E20" s="703"/>
      <c r="F20" s="840" t="e">
        <f>D20/C6</f>
        <v>#DIV/0!</v>
      </c>
      <c r="G20" s="703"/>
      <c r="H20" s="840" t="e">
        <f>D20/E6</f>
        <v>#DIV/0!</v>
      </c>
    </row>
    <row r="21" spans="1:8" ht="15.5" x14ac:dyDescent="0.35">
      <c r="A21" s="699"/>
      <c r="B21" s="706"/>
      <c r="C21" s="706"/>
      <c r="D21" s="707"/>
      <c r="E21" s="708"/>
      <c r="F21" s="707"/>
      <c r="G21" s="708"/>
      <c r="H21" s="707"/>
    </row>
    <row r="22" spans="1:8" ht="15" x14ac:dyDescent="0.3">
      <c r="A22" s="709" t="s">
        <v>230</v>
      </c>
      <c r="B22" s="710">
        <f>(C6*C7*rye)+(C8*C9*C4)+(E8*E9*C5)</f>
        <v>0</v>
      </c>
      <c r="C22" s="711"/>
      <c r="D22" s="712" t="e">
        <f>B22/rye</f>
        <v>#DIV/0!</v>
      </c>
      <c r="E22" s="713"/>
      <c r="F22" s="712" t="e">
        <f>B22/($C$6*rye)</f>
        <v>#DIV/0!</v>
      </c>
      <c r="G22" s="713"/>
      <c r="H22" s="711" t="e">
        <f>B22/($E$6*rye)</f>
        <v>#DIV/0!</v>
      </c>
    </row>
    <row r="23" spans="1:8" ht="15.5" x14ac:dyDescent="0.35">
      <c r="A23" s="714" t="s">
        <v>1235</v>
      </c>
      <c r="B23" s="715">
        <f>(C6*C7*rye)</f>
        <v>0</v>
      </c>
      <c r="C23" s="716"/>
      <c r="D23" s="717" t="e">
        <f>B23/rye</f>
        <v>#DIV/0!</v>
      </c>
      <c r="E23" s="752"/>
      <c r="F23" s="717" t="e">
        <f t="shared" ref="F23" si="0">B23/($C$6*rye)</f>
        <v>#DIV/0!</v>
      </c>
      <c r="G23" s="752"/>
      <c r="H23" s="716" t="e">
        <f>B23/($E$6*rye)</f>
        <v>#DIV/0!</v>
      </c>
    </row>
    <row r="24" spans="1:8" ht="15.5" x14ac:dyDescent="0.35">
      <c r="A24" s="714" t="s">
        <v>1236</v>
      </c>
      <c r="B24" s="715">
        <f>(C8*C9*C4)+(E8*E9*C5)</f>
        <v>0</v>
      </c>
      <c r="C24" s="716"/>
      <c r="D24" s="719" t="e">
        <f>B24/rye</f>
        <v>#DIV/0!</v>
      </c>
      <c r="E24" s="753"/>
      <c r="F24" s="719" t="e">
        <f t="shared" ref="F24" si="1">B24/($C$6*rye)</f>
        <v>#DIV/0!</v>
      </c>
      <c r="G24" s="753"/>
      <c r="H24" s="715" t="e">
        <f>B24/($E$6*rye)</f>
        <v>#DIV/0!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SUM(Rv!H9:H11)</f>
        <v>0</v>
      </c>
      <c r="C27" s="716"/>
      <c r="D27" s="717" t="e">
        <f t="shared" ref="D27:D38" si="2">B27/rye</f>
        <v>#DIV/0!</v>
      </c>
      <c r="E27" s="718"/>
      <c r="F27" s="717" t="e">
        <f t="shared" ref="F27:F38" si="3">B27/($C$6*rye)</f>
        <v>#DIV/0!</v>
      </c>
      <c r="G27" s="718"/>
      <c r="H27" s="716" t="e">
        <f>B27/($E$6*rye)</f>
        <v>#DIV/0!</v>
      </c>
    </row>
    <row r="28" spans="1:8" ht="15.5" x14ac:dyDescent="0.35">
      <c r="A28" s="714" t="s">
        <v>1287</v>
      </c>
      <c r="B28" s="715">
        <f>SUM(Rv!H14:H16)</f>
        <v>0</v>
      </c>
      <c r="C28" s="716"/>
      <c r="D28" s="717" t="e">
        <f t="shared" si="2"/>
        <v>#DIV/0!</v>
      </c>
      <c r="E28" s="718"/>
      <c r="F28" s="717" t="e">
        <f t="shared" si="3"/>
        <v>#DIV/0!</v>
      </c>
      <c r="G28" s="718"/>
      <c r="H28" s="716" t="e">
        <f>B28/($E$6*rye)</f>
        <v>#DIV/0!</v>
      </c>
    </row>
    <row r="29" spans="1:8" ht="15.5" x14ac:dyDescent="0.35">
      <c r="A29" s="714" t="s">
        <v>2</v>
      </c>
      <c r="B29" s="715">
        <f>Rv!H19</f>
        <v>0</v>
      </c>
      <c r="C29" s="716"/>
      <c r="D29" s="719" t="e">
        <f t="shared" si="2"/>
        <v>#DIV/0!</v>
      </c>
      <c r="E29" s="720"/>
      <c r="F29" s="719" t="e">
        <f t="shared" si="3"/>
        <v>#DIV/0!</v>
      </c>
      <c r="G29" s="720"/>
      <c r="H29" s="715" t="e">
        <f>B29/($E$6*rye)</f>
        <v>#DIV/0!</v>
      </c>
    </row>
    <row r="30" spans="1:8" ht="15.5" x14ac:dyDescent="0.35">
      <c r="A30" s="714" t="s">
        <v>1476</v>
      </c>
      <c r="B30" s="699"/>
      <c r="C30" s="699"/>
      <c r="D30" s="753"/>
      <c r="E30" s="753"/>
      <c r="F30" s="753"/>
      <c r="G30" s="753"/>
      <c r="H30" s="699"/>
    </row>
    <row r="31" spans="1:8" ht="15.5" x14ac:dyDescent="0.35">
      <c r="A31" s="714" t="s">
        <v>1121</v>
      </c>
      <c r="B31" s="745">
        <f>SUM(Rv!H20:H21)</f>
        <v>0</v>
      </c>
      <c r="C31" s="746"/>
      <c r="D31" s="755" t="e">
        <f>B31/rye</f>
        <v>#DIV/0!</v>
      </c>
      <c r="E31" s="720"/>
      <c r="F31" s="755" t="e">
        <f>B31/($C$6*rye)</f>
        <v>#DIV/0!</v>
      </c>
      <c r="G31" s="720"/>
      <c r="H31" s="715" t="e">
        <f t="shared" ref="H31:H38" si="4">B31/($E$6*rye)</f>
        <v>#DIV/0!</v>
      </c>
    </row>
    <row r="32" spans="1:8" ht="15.5" x14ac:dyDescent="0.35">
      <c r="A32" s="714" t="s">
        <v>1119</v>
      </c>
      <c r="B32" s="745">
        <f>SUM(Rv!H22:H22)</f>
        <v>0</v>
      </c>
      <c r="C32" s="746"/>
      <c r="D32" s="755" t="e">
        <f>B32/rye</f>
        <v>#DIV/0!</v>
      </c>
      <c r="E32" s="720"/>
      <c r="F32" s="755" t="e">
        <f>B32/($C$6*rye)</f>
        <v>#DIV/0!</v>
      </c>
      <c r="G32" s="720"/>
      <c r="H32" s="715" t="e">
        <f t="shared" si="4"/>
        <v>#DIV/0!</v>
      </c>
    </row>
    <row r="33" spans="1:8" ht="15.5" x14ac:dyDescent="0.35">
      <c r="A33" s="714" t="s">
        <v>1120</v>
      </c>
      <c r="B33" s="745">
        <f>SUM(Rv!H23:H23)</f>
        <v>0</v>
      </c>
      <c r="C33" s="746"/>
      <c r="D33" s="755" t="e">
        <f>B33/rye</f>
        <v>#DIV/0!</v>
      </c>
      <c r="E33" s="720"/>
      <c r="F33" s="755" t="e">
        <f>B33/($C$6*rye)</f>
        <v>#DIV/0!</v>
      </c>
      <c r="G33" s="720"/>
      <c r="H33" s="715" t="e">
        <f t="shared" si="4"/>
        <v>#DIV/0!</v>
      </c>
    </row>
    <row r="34" spans="1:8" ht="15.5" x14ac:dyDescent="0.35">
      <c r="A34" s="714" t="s">
        <v>1214</v>
      </c>
      <c r="B34" s="715">
        <f>SUM(Rv!H25:H76)</f>
        <v>0</v>
      </c>
      <c r="C34" s="716"/>
      <c r="D34" s="717" t="e">
        <f t="shared" si="2"/>
        <v>#DIV/0!</v>
      </c>
      <c r="E34" s="718"/>
      <c r="F34" s="717" t="e">
        <f t="shared" si="3"/>
        <v>#DIV/0!</v>
      </c>
      <c r="G34" s="718"/>
      <c r="H34" s="716" t="e">
        <f t="shared" si="4"/>
        <v>#DIV/0!</v>
      </c>
    </row>
    <row r="35" spans="1:8" ht="15.5" x14ac:dyDescent="0.35">
      <c r="A35" s="714" t="s">
        <v>1261</v>
      </c>
      <c r="B35" s="715">
        <f>SUM(Rv!H77:H128)</f>
        <v>0</v>
      </c>
      <c r="C35" s="716"/>
      <c r="D35" s="717" t="e">
        <f>B35/rye</f>
        <v>#DIV/0!</v>
      </c>
      <c r="E35" s="718"/>
      <c r="F35" s="717" t="e">
        <f t="shared" si="3"/>
        <v>#DIV/0!</v>
      </c>
      <c r="G35" s="718"/>
      <c r="H35" s="716" t="e">
        <f t="shared" si="4"/>
        <v>#DIV/0!</v>
      </c>
    </row>
    <row r="36" spans="1:8" ht="15.5" x14ac:dyDescent="0.35">
      <c r="A36" s="714" t="s">
        <v>78</v>
      </c>
      <c r="B36" s="715">
        <f>SUM(Rv!H129:H130)</f>
        <v>0</v>
      </c>
      <c r="C36" s="716"/>
      <c r="D36" s="717" t="e">
        <f t="shared" si="2"/>
        <v>#DIV/0!</v>
      </c>
      <c r="E36" s="718"/>
      <c r="F36" s="717" t="e">
        <f t="shared" si="3"/>
        <v>#DIV/0!</v>
      </c>
      <c r="G36" s="718"/>
      <c r="H36" s="716" t="e">
        <f t="shared" si="4"/>
        <v>#DIV/0!</v>
      </c>
    </row>
    <row r="37" spans="1:8" ht="15.5" x14ac:dyDescent="0.35">
      <c r="A37" s="714" t="s">
        <v>170</v>
      </c>
      <c r="B37" s="732">
        <f>Rv!H131</f>
        <v>0</v>
      </c>
      <c r="C37" s="733"/>
      <c r="D37" s="719" t="e">
        <f t="shared" si="2"/>
        <v>#DIV/0!</v>
      </c>
      <c r="E37" s="720"/>
      <c r="F37" s="719" t="e">
        <f t="shared" si="3"/>
        <v>#DIV/0!</v>
      </c>
      <c r="G37" s="720"/>
      <c r="H37" s="715" t="e">
        <f t="shared" si="4"/>
        <v>#DIV/0!</v>
      </c>
    </row>
    <row r="38" spans="1:8" ht="15.5" x14ac:dyDescent="0.35">
      <c r="A38" s="714" t="s">
        <v>171</v>
      </c>
      <c r="B38" s="732">
        <f>SUM(Rv!H132:H134)</f>
        <v>0</v>
      </c>
      <c r="C38" s="733"/>
      <c r="D38" s="717" t="e">
        <f t="shared" si="2"/>
        <v>#DIV/0!</v>
      </c>
      <c r="E38" s="718"/>
      <c r="F38" s="717" t="e">
        <f t="shared" si="3"/>
        <v>#DIV/0!</v>
      </c>
      <c r="G38" s="718"/>
      <c r="H38" s="716" t="e">
        <f t="shared" si="4"/>
        <v>#DIV/0!</v>
      </c>
    </row>
    <row r="39" spans="1:8" ht="15.5" x14ac:dyDescent="0.35">
      <c r="A39" s="714" t="s">
        <v>172</v>
      </c>
      <c r="B39" s="732"/>
      <c r="C39" s="733"/>
      <c r="D39" s="717"/>
      <c r="E39" s="718"/>
      <c r="F39" s="717"/>
      <c r="G39" s="718"/>
      <c r="H39" s="717"/>
    </row>
    <row r="40" spans="1:8" ht="15.5" x14ac:dyDescent="0.35">
      <c r="A40" s="734" t="s">
        <v>439</v>
      </c>
      <c r="B40" s="732">
        <f>Rv!H135</f>
        <v>0</v>
      </c>
      <c r="C40" s="733"/>
      <c r="D40" s="717" t="e">
        <f t="shared" ref="D40:D54" si="5">B40/rye</f>
        <v>#DIV/0!</v>
      </c>
      <c r="E40" s="718"/>
      <c r="F40" s="717" t="e">
        <f t="shared" ref="F40:F54" si="6">B40/($C$6*rye)</f>
        <v>#DIV/0!</v>
      </c>
      <c r="G40" s="718"/>
      <c r="H40" s="716" t="e">
        <f t="shared" ref="H40:H54" si="7">B40/($E$6*rye)</f>
        <v>#DIV/0!</v>
      </c>
    </row>
    <row r="41" spans="1:8" ht="15.5" x14ac:dyDescent="0.35">
      <c r="A41" s="734" t="s">
        <v>1506</v>
      </c>
      <c r="B41" s="732">
        <f>SUM(Rv!H136:H138)</f>
        <v>0</v>
      </c>
      <c r="C41" s="733"/>
      <c r="D41" s="717" t="e">
        <f t="shared" si="5"/>
        <v>#DIV/0!</v>
      </c>
      <c r="E41" s="718"/>
      <c r="F41" s="717" t="e">
        <f t="shared" si="6"/>
        <v>#DIV/0!</v>
      </c>
      <c r="G41" s="718"/>
      <c r="H41" s="716" t="e">
        <f t="shared" si="7"/>
        <v>#DIV/0!</v>
      </c>
    </row>
    <row r="42" spans="1:8" ht="15.5" x14ac:dyDescent="0.35">
      <c r="A42" s="734" t="s">
        <v>1505</v>
      </c>
      <c r="B42" s="732">
        <f>SUM(Rv!H139:H141)</f>
        <v>0</v>
      </c>
      <c r="C42" s="733"/>
      <c r="D42" s="717" t="e">
        <f t="shared" si="5"/>
        <v>#DIV/0!</v>
      </c>
      <c r="E42" s="718"/>
      <c r="F42" s="717" t="e">
        <f t="shared" si="6"/>
        <v>#DIV/0!</v>
      </c>
      <c r="G42" s="718"/>
      <c r="H42" s="716" t="e">
        <f t="shared" si="7"/>
        <v>#DIV/0!</v>
      </c>
    </row>
    <row r="43" spans="1:8" ht="15.5" x14ac:dyDescent="0.35">
      <c r="A43" s="734" t="s">
        <v>1237</v>
      </c>
      <c r="B43" s="732">
        <f>Rv!H142</f>
        <v>0</v>
      </c>
      <c r="C43" s="733"/>
      <c r="D43" s="717" t="e">
        <f t="shared" si="5"/>
        <v>#DIV/0!</v>
      </c>
      <c r="E43" s="718"/>
      <c r="F43" s="717" t="e">
        <f t="shared" si="6"/>
        <v>#DIV/0!</v>
      </c>
      <c r="G43" s="718"/>
      <c r="H43" s="716" t="e">
        <f t="shared" si="7"/>
        <v>#DIV/0!</v>
      </c>
    </row>
    <row r="44" spans="1:8" ht="15.5" x14ac:dyDescent="0.35">
      <c r="A44" s="734" t="s">
        <v>1212</v>
      </c>
      <c r="B44" s="732">
        <f>SUM(Rv!H143:H145)</f>
        <v>0</v>
      </c>
      <c r="C44" s="733"/>
      <c r="D44" s="717" t="e">
        <f t="shared" si="5"/>
        <v>#DIV/0!</v>
      </c>
      <c r="E44" s="720"/>
      <c r="F44" s="717" t="e">
        <f t="shared" si="6"/>
        <v>#DIV/0!</v>
      </c>
      <c r="G44" s="720"/>
      <c r="H44" s="716" t="e">
        <f t="shared" si="7"/>
        <v>#DIV/0!</v>
      </c>
    </row>
    <row r="45" spans="1:8" ht="15.5" x14ac:dyDescent="0.35">
      <c r="A45" s="734" t="s">
        <v>1238</v>
      </c>
      <c r="B45" s="732">
        <f>SUM(Rv!H146:H148)</f>
        <v>0</v>
      </c>
      <c r="C45" s="733"/>
      <c r="D45" s="717" t="e">
        <f t="shared" si="5"/>
        <v>#DIV/0!</v>
      </c>
      <c r="E45" s="718"/>
      <c r="F45" s="717" t="e">
        <f t="shared" si="6"/>
        <v>#DIV/0!</v>
      </c>
      <c r="G45" s="718"/>
      <c r="H45" s="716" t="e">
        <f t="shared" si="7"/>
        <v>#DIV/0!</v>
      </c>
    </row>
    <row r="46" spans="1:8" ht="15.5" x14ac:dyDescent="0.35">
      <c r="A46" s="734" t="s">
        <v>2076</v>
      </c>
      <c r="B46" s="753">
        <f>SUM(Rv!H149:H155)</f>
        <v>0</v>
      </c>
      <c r="C46" s="699"/>
      <c r="D46" s="717" t="e">
        <f t="shared" si="5"/>
        <v>#DIV/0!</v>
      </c>
      <c r="E46" s="753"/>
      <c r="F46" s="717" t="e">
        <f>B46/($C$6*rye)</f>
        <v>#DIV/0!</v>
      </c>
      <c r="G46" s="753"/>
      <c r="H46" s="716" t="e">
        <f t="shared" si="7"/>
        <v>#DIV/0!</v>
      </c>
    </row>
    <row r="47" spans="1:8" ht="15.5" x14ac:dyDescent="0.35">
      <c r="A47" s="734" t="s">
        <v>2029</v>
      </c>
      <c r="B47" s="732">
        <f>SUM(Rv!H156:H158)</f>
        <v>0</v>
      </c>
      <c r="C47" s="733"/>
      <c r="D47" s="719" t="e">
        <f>B47/rye</f>
        <v>#DIV/0!</v>
      </c>
      <c r="E47" s="718"/>
      <c r="F47" s="719" t="e">
        <f>B47/($C$6*rye)</f>
        <v>#DIV/0!</v>
      </c>
      <c r="G47" s="718"/>
      <c r="H47" s="715" t="e">
        <f>B47/($E$6*rye)</f>
        <v>#DIV/0!</v>
      </c>
    </row>
    <row r="48" spans="1:8" ht="15.5" x14ac:dyDescent="0.35">
      <c r="A48" s="734" t="s">
        <v>1532</v>
      </c>
      <c r="B48" s="732">
        <f>SUM(Rv!H159:H163)</f>
        <v>0</v>
      </c>
      <c r="C48" s="733"/>
      <c r="D48" s="717" t="e">
        <f t="shared" si="5"/>
        <v>#DIV/0!</v>
      </c>
      <c r="E48" s="718"/>
      <c r="F48" s="717" t="e">
        <f t="shared" si="6"/>
        <v>#DIV/0!</v>
      </c>
      <c r="G48" s="718"/>
      <c r="H48" s="716" t="e">
        <f t="shared" si="7"/>
        <v>#DIV/0!</v>
      </c>
    </row>
    <row r="49" spans="1:16" ht="15.5" x14ac:dyDescent="0.35">
      <c r="A49" s="734" t="s">
        <v>1533</v>
      </c>
      <c r="B49" s="732">
        <f>SUM(Rv!H164:H165)</f>
        <v>0</v>
      </c>
      <c r="C49" s="733"/>
      <c r="D49" s="719" t="e">
        <f t="shared" si="5"/>
        <v>#DIV/0!</v>
      </c>
      <c r="E49" s="718"/>
      <c r="F49" s="719" t="e">
        <f t="shared" si="6"/>
        <v>#DIV/0!</v>
      </c>
      <c r="G49" s="718"/>
      <c r="H49" s="715" t="e">
        <f t="shared" si="7"/>
        <v>#DIV/0!</v>
      </c>
    </row>
    <row r="50" spans="1:16" ht="15.5" x14ac:dyDescent="0.35">
      <c r="A50" s="734" t="s">
        <v>1534</v>
      </c>
      <c r="B50" s="732">
        <f>Rv!H166</f>
        <v>0</v>
      </c>
      <c r="C50" s="733"/>
      <c r="D50" s="717" t="e">
        <f t="shared" si="5"/>
        <v>#DIV/0!</v>
      </c>
      <c r="E50" s="718"/>
      <c r="F50" s="785" t="e">
        <f t="shared" si="6"/>
        <v>#DIV/0!</v>
      </c>
      <c r="G50" s="718"/>
      <c r="H50" s="716" t="e">
        <f t="shared" si="7"/>
        <v>#DIV/0!</v>
      </c>
    </row>
    <row r="51" spans="1:16" ht="15.5" x14ac:dyDescent="0.35">
      <c r="A51" s="734" t="s">
        <v>1535</v>
      </c>
      <c r="B51" s="732">
        <f>Rv!H167</f>
        <v>0</v>
      </c>
      <c r="C51" s="733"/>
      <c r="D51" s="717" t="e">
        <f t="shared" si="5"/>
        <v>#DIV/0!</v>
      </c>
      <c r="E51" s="718"/>
      <c r="F51" s="785" t="e">
        <f t="shared" si="6"/>
        <v>#DIV/0!</v>
      </c>
      <c r="G51" s="718"/>
      <c r="H51" s="716" t="e">
        <f t="shared" si="7"/>
        <v>#DIV/0!</v>
      </c>
    </row>
    <row r="52" spans="1:16" ht="15.5" x14ac:dyDescent="0.35">
      <c r="A52" s="734" t="s">
        <v>1536</v>
      </c>
      <c r="B52" s="732">
        <f>Rv!H168</f>
        <v>0</v>
      </c>
      <c r="C52" s="733"/>
      <c r="D52" s="717" t="e">
        <f t="shared" si="5"/>
        <v>#DIV/0!</v>
      </c>
      <c r="E52" s="718"/>
      <c r="F52" s="785" t="e">
        <f t="shared" si="6"/>
        <v>#DIV/0!</v>
      </c>
      <c r="G52" s="718"/>
      <c r="H52" s="716" t="e">
        <f t="shared" si="7"/>
        <v>#DIV/0!</v>
      </c>
    </row>
    <row r="53" spans="1:16" ht="15.5" x14ac:dyDescent="0.35">
      <c r="A53" s="734" t="s">
        <v>443</v>
      </c>
      <c r="B53" s="732">
        <f>SUM(Rv!H169:H171)</f>
        <v>0</v>
      </c>
      <c r="C53" s="733"/>
      <c r="D53" s="719" t="e">
        <f t="shared" si="5"/>
        <v>#DIV/0!</v>
      </c>
      <c r="E53" s="720"/>
      <c r="F53" s="719" t="e">
        <f t="shared" si="6"/>
        <v>#DIV/0!</v>
      </c>
      <c r="G53" s="720"/>
      <c r="H53" s="715" t="e">
        <f t="shared" si="7"/>
        <v>#DIV/0!</v>
      </c>
    </row>
    <row r="54" spans="1:16" ht="15.5" x14ac:dyDescent="0.35">
      <c r="A54" s="714" t="s">
        <v>69</v>
      </c>
      <c r="B54" s="732">
        <f>Rv!H175</f>
        <v>0</v>
      </c>
      <c r="C54" s="733"/>
      <c r="D54" s="717" t="e">
        <f t="shared" si="5"/>
        <v>#DIV/0!</v>
      </c>
      <c r="E54" s="718"/>
      <c r="F54" s="717" t="e">
        <f t="shared" si="6"/>
        <v>#DIV/0!</v>
      </c>
      <c r="G54" s="718"/>
      <c r="H54" s="716" t="e">
        <f t="shared" si="7"/>
        <v>#DIV/0!</v>
      </c>
    </row>
    <row r="55" spans="1:16" ht="15" x14ac:dyDescent="0.3">
      <c r="A55" s="709" t="s">
        <v>366</v>
      </c>
      <c r="B55" s="735">
        <f>SUM(B27:B54)</f>
        <v>0</v>
      </c>
      <c r="C55" s="736"/>
      <c r="D55" s="737" t="e">
        <f>SUM(D27:D54)</f>
        <v>#DIV/0!</v>
      </c>
      <c r="E55" s="737"/>
      <c r="F55" s="737" t="e">
        <f>SUM(F27:F54)</f>
        <v>#DIV/0!</v>
      </c>
      <c r="G55" s="737"/>
      <c r="H55" s="737" t="e">
        <f>SUM(H27:H54)</f>
        <v>#DIV/0!</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890" t="s">
        <v>29</v>
      </c>
    </row>
    <row r="59" spans="1:16" ht="15.5" x14ac:dyDescent="0.35">
      <c r="A59" s="734" t="s">
        <v>1240</v>
      </c>
      <c r="B59" s="732">
        <f>SUM(Rf!H8:H24)</f>
        <v>0</v>
      </c>
      <c r="C59" s="733"/>
      <c r="D59" s="717" t="e">
        <f t="shared" ref="D59:D72" si="8">B59/rye</f>
        <v>#DIV/0!</v>
      </c>
      <c r="E59" s="757"/>
      <c r="F59" s="717" t="e">
        <f t="shared" ref="F59:F72" si="9">B59/($C$6*rye)</f>
        <v>#DIV/0!</v>
      </c>
      <c r="G59" s="757"/>
      <c r="H59" s="716" t="e">
        <f t="shared" ref="H59:H72" si="10">B59/($E$6*rye)</f>
        <v>#DIV/0!</v>
      </c>
      <c r="J59" s="697" t="s">
        <v>76</v>
      </c>
      <c r="K59" s="697"/>
      <c r="L59" s="697" t="s">
        <v>77</v>
      </c>
      <c r="M59" s="698"/>
      <c r="N59" s="697" t="s">
        <v>1554</v>
      </c>
      <c r="O59" s="698"/>
      <c r="P59" s="697" t="s">
        <v>385</v>
      </c>
    </row>
    <row r="60" spans="1:16" ht="15.5" x14ac:dyDescent="0.35">
      <c r="A60" s="734" t="s">
        <v>1241</v>
      </c>
      <c r="B60" s="732">
        <f>SUM(Rf!H25:H33)</f>
        <v>0</v>
      </c>
      <c r="C60" s="733"/>
      <c r="D60" s="717" t="e">
        <f t="shared" si="8"/>
        <v>#DIV/0!</v>
      </c>
      <c r="E60" s="757"/>
      <c r="F60" s="717" t="e">
        <f t="shared" si="9"/>
        <v>#DIV/0!</v>
      </c>
      <c r="G60" s="757"/>
      <c r="H60" s="716" t="e">
        <f t="shared" si="10"/>
        <v>#DIV/0!</v>
      </c>
      <c r="J60" s="763">
        <f>SUM(B59:B71)</f>
        <v>0</v>
      </c>
      <c r="L60" s="756" t="e">
        <f>SUM(D59:D71)</f>
        <v>#DIV/0!</v>
      </c>
      <c r="N60" s="756" t="e">
        <f>SUM(F59:F71)</f>
        <v>#DIV/0!</v>
      </c>
      <c r="P60" s="756" t="e">
        <f>SUM(H59:H71)</f>
        <v>#DIV/0!</v>
      </c>
    </row>
    <row r="61" spans="1:16" ht="15.5" x14ac:dyDescent="0.35">
      <c r="A61" s="734" t="s">
        <v>1243</v>
      </c>
      <c r="B61" s="732">
        <f>SUM(Rf!H34:H50)</f>
        <v>0</v>
      </c>
      <c r="C61" s="733"/>
      <c r="D61" s="717" t="e">
        <f>B61/rye</f>
        <v>#DIV/0!</v>
      </c>
      <c r="E61" s="757"/>
      <c r="F61" s="717" t="e">
        <f>B61/($C$6*rye)</f>
        <v>#DIV/0!</v>
      </c>
      <c r="G61" s="757"/>
      <c r="H61" s="716" t="e">
        <f t="shared" si="10"/>
        <v>#DIV/0!</v>
      </c>
    </row>
    <row r="62" spans="1:16" ht="15.5" x14ac:dyDescent="0.35">
      <c r="A62" s="734" t="s">
        <v>1242</v>
      </c>
      <c r="B62" s="732">
        <f>SUM(Rf!H51:H62)</f>
        <v>0</v>
      </c>
      <c r="C62" s="733"/>
      <c r="D62" s="717" t="e">
        <f t="shared" si="8"/>
        <v>#DIV/0!</v>
      </c>
      <c r="E62" s="757"/>
      <c r="F62" s="717" t="e">
        <f t="shared" si="9"/>
        <v>#DIV/0!</v>
      </c>
      <c r="G62" s="757"/>
      <c r="H62" s="716" t="e">
        <f t="shared" si="10"/>
        <v>#DIV/0!</v>
      </c>
    </row>
    <row r="63" spans="1:16" ht="15.5" x14ac:dyDescent="0.35">
      <c r="A63" s="734" t="s">
        <v>1244</v>
      </c>
      <c r="B63" s="732">
        <f>SUM(Rf!H63:H67)</f>
        <v>0</v>
      </c>
      <c r="C63" s="733"/>
      <c r="D63" s="719" t="e">
        <f t="shared" si="8"/>
        <v>#DIV/0!</v>
      </c>
      <c r="E63" s="762"/>
      <c r="F63" s="719" t="e">
        <f t="shared" si="9"/>
        <v>#DIV/0!</v>
      </c>
      <c r="G63" s="762"/>
      <c r="H63" s="715" t="e">
        <f t="shared" si="10"/>
        <v>#DIV/0!</v>
      </c>
    </row>
    <row r="64" spans="1:16" ht="15.5" x14ac:dyDescent="0.35">
      <c r="A64" s="734" t="s">
        <v>1245</v>
      </c>
      <c r="B64" s="732">
        <f>0</f>
        <v>0</v>
      </c>
      <c r="C64" s="733"/>
      <c r="D64" s="719" t="e">
        <f t="shared" si="8"/>
        <v>#DIV/0!</v>
      </c>
      <c r="E64" s="762"/>
      <c r="F64" s="719" t="e">
        <f t="shared" si="9"/>
        <v>#DIV/0!</v>
      </c>
      <c r="G64" s="762"/>
      <c r="H64" s="715" t="e">
        <f t="shared" si="10"/>
        <v>#DIV/0!</v>
      </c>
    </row>
    <row r="65" spans="1:8" ht="15.5" x14ac:dyDescent="0.35">
      <c r="A65" s="734" t="s">
        <v>1246</v>
      </c>
      <c r="B65" s="732">
        <f>SUM(Rf!H68:H78)</f>
        <v>0</v>
      </c>
      <c r="C65" s="733"/>
      <c r="D65" s="717" t="e">
        <f t="shared" si="8"/>
        <v>#DIV/0!</v>
      </c>
      <c r="E65" s="757"/>
      <c r="F65" s="717" t="e">
        <f t="shared" si="9"/>
        <v>#DIV/0!</v>
      </c>
      <c r="G65" s="757"/>
      <c r="H65" s="716" t="e">
        <f t="shared" si="10"/>
        <v>#DIV/0!</v>
      </c>
    </row>
    <row r="66" spans="1:8" ht="15.5" x14ac:dyDescent="0.35">
      <c r="A66" s="734" t="s">
        <v>1247</v>
      </c>
      <c r="B66" s="732">
        <f>SUM(Rf!H79:H86)</f>
        <v>0</v>
      </c>
      <c r="C66" s="733"/>
      <c r="D66" s="717" t="e">
        <f t="shared" si="8"/>
        <v>#DIV/0!</v>
      </c>
      <c r="E66" s="757"/>
      <c r="F66" s="785" t="e">
        <f t="shared" si="9"/>
        <v>#DIV/0!</v>
      </c>
      <c r="G66" s="757"/>
      <c r="H66" s="716" t="e">
        <f t="shared" si="10"/>
        <v>#DIV/0!</v>
      </c>
    </row>
    <row r="67" spans="1:8" ht="15.5" x14ac:dyDescent="0.35">
      <c r="A67" s="734" t="s">
        <v>2148</v>
      </c>
      <c r="B67" s="732">
        <f>SUM(Rf!H87:H91)</f>
        <v>0</v>
      </c>
      <c r="C67" s="733"/>
      <c r="D67" s="717" t="e">
        <f t="shared" ref="D67" si="11">B67/rye</f>
        <v>#DIV/0!</v>
      </c>
      <c r="E67" s="757"/>
      <c r="F67" s="717" t="e">
        <f t="shared" ref="F67" si="12">B67/($C$6*rye)</f>
        <v>#DIV/0!</v>
      </c>
      <c r="G67" s="757"/>
      <c r="H67" s="716" t="e">
        <f t="shared" ref="H67" si="13">B67/($E$6*rye)</f>
        <v>#DIV/0!</v>
      </c>
    </row>
    <row r="68" spans="1:8" ht="15.5" x14ac:dyDescent="0.35">
      <c r="A68" s="734" t="s">
        <v>1250</v>
      </c>
      <c r="B68" s="732">
        <f>SUM(Rf!H92:H103)</f>
        <v>0</v>
      </c>
      <c r="C68" s="733"/>
      <c r="D68" s="717" t="e">
        <f t="shared" si="8"/>
        <v>#DIV/0!</v>
      </c>
      <c r="E68" s="757"/>
      <c r="F68" s="717" t="e">
        <f t="shared" si="9"/>
        <v>#DIV/0!</v>
      </c>
      <c r="G68" s="757"/>
      <c r="H68" s="716" t="e">
        <f t="shared" si="10"/>
        <v>#DIV/0!</v>
      </c>
    </row>
    <row r="69" spans="1:8" ht="15.5" x14ac:dyDescent="0.35">
      <c r="A69" s="734" t="s">
        <v>1304</v>
      </c>
      <c r="B69" s="732">
        <f>0</f>
        <v>0</v>
      </c>
      <c r="C69" s="733"/>
      <c r="D69" s="719" t="e">
        <f t="shared" ref="D69" si="14">B69/rye</f>
        <v>#DIV/0!</v>
      </c>
      <c r="E69" s="762"/>
      <c r="F69" s="719" t="e">
        <f t="shared" ref="F69" si="15">B69/($C$6*rye)</f>
        <v>#DIV/0!</v>
      </c>
      <c r="G69" s="762"/>
      <c r="H69" s="715" t="e">
        <f t="shared" si="10"/>
        <v>#DIV/0!</v>
      </c>
    </row>
    <row r="70" spans="1:8" ht="15.5" x14ac:dyDescent="0.35">
      <c r="A70" s="734" t="s">
        <v>1248</v>
      </c>
      <c r="B70" s="732">
        <f>SUM(Rf!H105:H108)</f>
        <v>0</v>
      </c>
      <c r="C70" s="733"/>
      <c r="D70" s="717" t="e">
        <f t="shared" si="8"/>
        <v>#DIV/0!</v>
      </c>
      <c r="E70" s="757"/>
      <c r="F70" s="717" t="e">
        <f t="shared" si="9"/>
        <v>#DIV/0!</v>
      </c>
      <c r="G70" s="757"/>
      <c r="H70" s="716" t="e">
        <f t="shared" si="10"/>
        <v>#DIV/0!</v>
      </c>
    </row>
    <row r="71" spans="1:8" ht="15.5" x14ac:dyDescent="0.35">
      <c r="A71" s="734" t="s">
        <v>1249</v>
      </c>
      <c r="B71" s="732">
        <f>SUM(Rf!H109:H113)</f>
        <v>0</v>
      </c>
      <c r="C71" s="733"/>
      <c r="D71" s="717" t="e">
        <f t="shared" si="8"/>
        <v>#DIV/0!</v>
      </c>
      <c r="E71" s="757"/>
      <c r="F71" s="717" t="e">
        <f t="shared" si="9"/>
        <v>#DIV/0!</v>
      </c>
      <c r="G71" s="757"/>
      <c r="H71" s="716" t="e">
        <f t="shared" si="10"/>
        <v>#DIV/0!</v>
      </c>
    </row>
    <row r="72" spans="1:8" ht="15.5" x14ac:dyDescent="0.35">
      <c r="A72" s="714" t="s">
        <v>79</v>
      </c>
      <c r="B72" s="732">
        <f>Rf!L121</f>
        <v>0</v>
      </c>
      <c r="C72" s="733"/>
      <c r="D72" s="717" t="e">
        <f t="shared" si="8"/>
        <v>#DIV/0!</v>
      </c>
      <c r="E72" s="740"/>
      <c r="F72" s="717" t="e">
        <f t="shared" si="9"/>
        <v>#DIV/0!</v>
      </c>
      <c r="G72" s="740"/>
      <c r="H72" s="716" t="e">
        <f t="shared" si="10"/>
        <v>#DIV/0!</v>
      </c>
    </row>
    <row r="73" spans="1:8" ht="15" x14ac:dyDescent="0.3">
      <c r="A73" s="709" t="s">
        <v>368</v>
      </c>
      <c r="B73" s="735">
        <f>SUM(B58:B72)</f>
        <v>0</v>
      </c>
      <c r="C73" s="736"/>
      <c r="D73" s="737" t="e">
        <f>SUM(D58:D72)</f>
        <v>#DIV/0!</v>
      </c>
      <c r="E73" s="737"/>
      <c r="F73" s="737" t="e">
        <f>SUM(F58:F72)</f>
        <v>#DIV/0!</v>
      </c>
      <c r="G73" s="737"/>
      <c r="H73" s="737" t="e">
        <f>SUM(H58:H72)</f>
        <v>#DIV/0!</v>
      </c>
    </row>
    <row r="74" spans="1:8" ht="15.5" x14ac:dyDescent="0.35">
      <c r="A74" s="699"/>
      <c r="B74" s="735"/>
      <c r="C74" s="736"/>
      <c r="D74" s="737"/>
      <c r="E74" s="741"/>
      <c r="F74" s="741"/>
      <c r="G74" s="741"/>
      <c r="H74" s="741"/>
    </row>
    <row r="75" spans="1:8" ht="15" x14ac:dyDescent="0.3">
      <c r="A75" s="709" t="s">
        <v>80</v>
      </c>
      <c r="B75" s="735">
        <f>B73+B55</f>
        <v>0</v>
      </c>
      <c r="C75" s="736"/>
      <c r="D75" s="737" t="e">
        <f>D73+D55</f>
        <v>#DIV/0!</v>
      </c>
      <c r="E75" s="737"/>
      <c r="F75" s="737" t="e">
        <f>F73+F55</f>
        <v>#DIV/0!</v>
      </c>
      <c r="G75" s="737"/>
      <c r="H75" s="737" t="e">
        <f>H73+H55</f>
        <v>#DIV/0!</v>
      </c>
    </row>
    <row r="76" spans="1:8" ht="15.5" x14ac:dyDescent="0.35">
      <c r="A76" s="742"/>
      <c r="B76" s="735"/>
      <c r="C76" s="736"/>
      <c r="D76" s="737"/>
      <c r="E76" s="737"/>
      <c r="F76" s="737"/>
      <c r="G76" s="737"/>
      <c r="H76" s="737"/>
    </row>
    <row r="77" spans="1:8" ht="15" x14ac:dyDescent="0.3">
      <c r="A77" s="709" t="s">
        <v>355</v>
      </c>
      <c r="B77" s="710">
        <f>B22-B75</f>
        <v>0</v>
      </c>
      <c r="C77" s="736"/>
      <c r="D77" s="712" t="e">
        <f>D22-D75</f>
        <v>#DIV/0!</v>
      </c>
      <c r="E77" s="737"/>
      <c r="F77" s="712" t="e">
        <f>F22-F75</f>
        <v>#DIV/0!</v>
      </c>
      <c r="G77" s="737"/>
      <c r="H77" s="712" t="e">
        <f>H22-H75</f>
        <v>#DIV/0!</v>
      </c>
    </row>
    <row r="78" spans="1:8" ht="15" x14ac:dyDescent="0.3">
      <c r="A78" s="709" t="s">
        <v>356</v>
      </c>
      <c r="B78" s="735">
        <f>B22-B55</f>
        <v>0</v>
      </c>
      <c r="C78" s="736"/>
      <c r="D78" s="737" t="e">
        <f>D22-D55</f>
        <v>#DIV/0!</v>
      </c>
      <c r="E78" s="737"/>
      <c r="F78" s="737" t="e">
        <f>F22-F55</f>
        <v>#DIV/0!</v>
      </c>
      <c r="G78" s="737"/>
      <c r="H78" s="737" t="e">
        <f>H22-H55</f>
        <v>#DIV/0!</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2.75" customHeight="1" x14ac:dyDescent="0.35">
      <c r="A81" s="744" t="s">
        <v>369</v>
      </c>
      <c r="B81" s="703" t="s">
        <v>76</v>
      </c>
      <c r="C81" s="743"/>
      <c r="D81" s="703" t="s">
        <v>393</v>
      </c>
      <c r="E81" s="703"/>
      <c r="F81" s="703" t="s">
        <v>1556</v>
      </c>
      <c r="G81" s="703"/>
      <c r="H81" s="703" t="s">
        <v>396</v>
      </c>
    </row>
    <row r="82" spans="1:8" ht="15.5" x14ac:dyDescent="0.35">
      <c r="A82" s="714" t="s">
        <v>370</v>
      </c>
      <c r="B82" s="745">
        <f>B75</f>
        <v>0</v>
      </c>
      <c r="C82" s="743"/>
      <c r="D82" s="717" t="e">
        <f>$B$75/rye</f>
        <v>#DIV/0!</v>
      </c>
      <c r="E82" s="718"/>
      <c r="F82" s="717" t="e">
        <f>$B$75/($C$6*rye)</f>
        <v>#DIV/0!</v>
      </c>
      <c r="G82" s="718"/>
      <c r="H82" s="717" t="e">
        <f>$B$75/($E$6*rye)</f>
        <v>#DIV/0!</v>
      </c>
    </row>
    <row r="83" spans="1:8" ht="15.5" x14ac:dyDescent="0.35">
      <c r="A83" s="714" t="s">
        <v>371</v>
      </c>
      <c r="B83" s="745">
        <f>B55</f>
        <v>0</v>
      </c>
      <c r="C83" s="743"/>
      <c r="D83" s="717" t="e">
        <f>$B$55/rye</f>
        <v>#DIV/0!</v>
      </c>
      <c r="E83" s="718"/>
      <c r="F83" s="717" t="e">
        <f>$B$55/($C$6*rye)</f>
        <v>#DIV/0!</v>
      </c>
      <c r="G83" s="718"/>
      <c r="H83" s="717" t="e">
        <f>$B$55/($E$6*rye)</f>
        <v>#DIV/0!</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t="e">
        <f>B77/SUM(Rv!E25:E76)</f>
        <v>#DIV/0!</v>
      </c>
      <c r="C86" s="743"/>
      <c r="D86" s="1226">
        <f>SUM(Rv!E25:E76)</f>
        <v>0</v>
      </c>
      <c r="E86" s="1225" t="s">
        <v>1996</v>
      </c>
      <c r="F86" s="717"/>
      <c r="G86" s="718"/>
      <c r="H86" s="717"/>
    </row>
    <row r="87" spans="1:8" ht="15.5" x14ac:dyDescent="0.35">
      <c r="A87" s="714" t="s">
        <v>1102</v>
      </c>
      <c r="B87" s="746" t="e">
        <f>B78/SUM(Rv!E25:E76)</f>
        <v>#DIV/0!</v>
      </c>
      <c r="C87" s="743"/>
      <c r="D87" s="717"/>
      <c r="E87" s="718"/>
      <c r="F87" s="717"/>
      <c r="G87" s="718"/>
      <c r="H87" s="717"/>
    </row>
    <row r="88" spans="1:8" ht="15.5" x14ac:dyDescent="0.35">
      <c r="A88" s="747"/>
      <c r="B88" s="748"/>
      <c r="C88" s="748"/>
      <c r="D88" s="749"/>
      <c r="E88" s="750"/>
      <c r="F88" s="750"/>
      <c r="G88" s="750"/>
      <c r="H88" s="750"/>
    </row>
    <row r="92" spans="1:8" x14ac:dyDescent="0.3">
      <c r="A92" s="61" t="s">
        <v>146</v>
      </c>
      <c r="B92" s="50" t="str">
        <f>model</f>
        <v>ME Grain &amp; Pulse</v>
      </c>
    </row>
    <row r="94" spans="1:8" x14ac:dyDescent="0.3">
      <c r="A94" s="7" t="s">
        <v>510</v>
      </c>
      <c r="B94" s="55" t="s">
        <v>92</v>
      </c>
      <c r="C94" s="54">
        <f>rye</f>
        <v>0</v>
      </c>
      <c r="D94" s="17" t="s">
        <v>93</v>
      </c>
    </row>
    <row r="95" spans="1:8" x14ac:dyDescent="0.3">
      <c r="A95" s="7"/>
      <c r="B95" s="55" t="s">
        <v>750</v>
      </c>
      <c r="C95" s="54">
        <f>(rye*Data!F31)*Data!$B$31*Data!$C$31</f>
        <v>0</v>
      </c>
      <c r="D95" s="17" t="s">
        <v>93</v>
      </c>
    </row>
    <row r="96" spans="1:8" x14ac:dyDescent="0.3">
      <c r="A96" s="7"/>
      <c r="B96" s="55" t="s">
        <v>751</v>
      </c>
      <c r="C96" s="54">
        <f>(rye*Data!G31)*Data!$B$31*Data!$D$31</f>
        <v>0</v>
      </c>
      <c r="D96" s="17" t="s">
        <v>93</v>
      </c>
    </row>
    <row r="97" spans="1:8" x14ac:dyDescent="0.3">
      <c r="A97" s="8"/>
      <c r="B97" s="55" t="s">
        <v>727</v>
      </c>
      <c r="C97" s="54">
        <f>Data!B196</f>
        <v>0</v>
      </c>
      <c r="D97" s="17" t="s">
        <v>1567</v>
      </c>
      <c r="E97" s="1190">
        <f>(C97*Data!$K$60)/2000</f>
        <v>0</v>
      </c>
      <c r="F97" s="17" t="s">
        <v>235</v>
      </c>
      <c r="G97" s="54"/>
    </row>
    <row r="98" spans="1:8" x14ac:dyDescent="0.3">
      <c r="B98" s="55" t="s">
        <v>728</v>
      </c>
      <c r="C98" s="106">
        <f>IF(FARM!$F$17&gt;0,Data!$B$191,Data!$B$192)</f>
        <v>11.2</v>
      </c>
      <c r="D98" s="17" t="s">
        <v>1566</v>
      </c>
      <c r="E98" s="153">
        <f>Data!$K$60</f>
        <v>56</v>
      </c>
      <c r="F98" s="17" t="s">
        <v>1560</v>
      </c>
      <c r="G98" s="153"/>
    </row>
    <row r="99" spans="1:8" x14ac:dyDescent="0.3">
      <c r="B99" s="55" t="s">
        <v>729</v>
      </c>
      <c r="C99" s="157">
        <f>Data!E196</f>
        <v>0</v>
      </c>
      <c r="D99" s="17" t="s">
        <v>731</v>
      </c>
      <c r="E99" s="157">
        <f>Data!H196</f>
        <v>0</v>
      </c>
      <c r="F99" s="17" t="s">
        <v>732</v>
      </c>
      <c r="G99" s="54"/>
    </row>
    <row r="100" spans="1:8" x14ac:dyDescent="0.3">
      <c r="B100" s="55" t="s">
        <v>730</v>
      </c>
      <c r="C100" s="116">
        <f>IF(Straw!$D$11&gt;0,Straw!$D$11,Data!$E$193)</f>
        <v>40</v>
      </c>
      <c r="D100" s="17" t="s">
        <v>733</v>
      </c>
      <c r="E100" s="217">
        <f>IF(Straw!$F$11&gt;0,Straw!$F$11,Data!$H$193)</f>
        <v>5.0833333333333304</v>
      </c>
      <c r="F100" s="17" t="s">
        <v>734</v>
      </c>
      <c r="G100" s="217"/>
    </row>
    <row r="101" spans="1:8" x14ac:dyDescent="0.3">
      <c r="B101" s="55"/>
      <c r="C101" s="54"/>
      <c r="D101" s="17"/>
    </row>
    <row r="102" spans="1:8" ht="15.5" x14ac:dyDescent="0.35">
      <c r="A102" s="751" t="s">
        <v>510</v>
      </c>
      <c r="B102" s="697" t="s">
        <v>76</v>
      </c>
      <c r="C102" s="697"/>
      <c r="D102" s="697" t="s">
        <v>77</v>
      </c>
      <c r="E102" s="698"/>
      <c r="F102" s="697" t="s">
        <v>1554</v>
      </c>
      <c r="G102" s="698"/>
      <c r="H102" s="697" t="s">
        <v>385</v>
      </c>
    </row>
    <row r="103" spans="1:8" ht="15.5" x14ac:dyDescent="0.35">
      <c r="A103" s="699" t="s">
        <v>362</v>
      </c>
      <c r="B103" s="700">
        <f>C94</f>
        <v>0</v>
      </c>
      <c r="C103" s="701"/>
      <c r="D103" s="702" t="s">
        <v>363</v>
      </c>
      <c r="E103" s="703"/>
      <c r="F103" s="702" t="s">
        <v>363</v>
      </c>
      <c r="G103" s="703"/>
      <c r="H103" s="702" t="s">
        <v>363</v>
      </c>
    </row>
    <row r="104" spans="1:8" ht="15.5" x14ac:dyDescent="0.35">
      <c r="A104" s="699" t="s">
        <v>1853</v>
      </c>
      <c r="B104" s="702" t="s">
        <v>363</v>
      </c>
      <c r="C104" s="701"/>
      <c r="D104" s="702" t="s">
        <v>363</v>
      </c>
      <c r="E104" s="703"/>
      <c r="F104" s="702" t="s">
        <v>363</v>
      </c>
      <c r="G104" s="703"/>
      <c r="H104" s="888">
        <f>2000/Data!$K$60</f>
        <v>35.714285714285715</v>
      </c>
    </row>
    <row r="105" spans="1:8" ht="15.5" x14ac:dyDescent="0.35">
      <c r="A105" s="699" t="s">
        <v>1563</v>
      </c>
      <c r="B105" s="700">
        <f>$C$94*C97</f>
        <v>0</v>
      </c>
      <c r="C105" s="701"/>
      <c r="D105" s="700">
        <f>C97</f>
        <v>0</v>
      </c>
      <c r="E105" s="703"/>
      <c r="F105" s="702" t="s">
        <v>363</v>
      </c>
      <c r="G105" s="703"/>
      <c r="H105" s="702" t="s">
        <v>363</v>
      </c>
    </row>
    <row r="106" spans="1:8" ht="15.5" x14ac:dyDescent="0.35">
      <c r="A106" s="699" t="s">
        <v>1854</v>
      </c>
      <c r="B106" s="700">
        <f>$C$94*E97</f>
        <v>0</v>
      </c>
      <c r="C106" s="701"/>
      <c r="D106" s="1191">
        <f>E97</f>
        <v>0</v>
      </c>
      <c r="E106" s="703"/>
      <c r="F106" s="702" t="s">
        <v>363</v>
      </c>
      <c r="G106" s="703"/>
      <c r="H106" s="702" t="s">
        <v>363</v>
      </c>
    </row>
    <row r="107" spans="1:8" ht="15.5" x14ac:dyDescent="0.35">
      <c r="A107" s="699" t="str">
        <f>IF(Data!B193=1,"Rye Price ($/unit) - Food Grade","Rye Price ($/unit) - Feed Grade")</f>
        <v>Rye Price ($/unit) - Feed Grade</v>
      </c>
      <c r="B107" s="702" t="s">
        <v>363</v>
      </c>
      <c r="C107" s="701"/>
      <c r="D107" s="702" t="s">
        <v>363</v>
      </c>
      <c r="E107" s="703"/>
      <c r="F107" s="704">
        <f>C98</f>
        <v>11.2</v>
      </c>
      <c r="G107" s="703"/>
      <c r="H107" s="840">
        <f>F107*H104</f>
        <v>400</v>
      </c>
    </row>
    <row r="108" spans="1:8" ht="15" customHeight="1" x14ac:dyDescent="0.35">
      <c r="A108" s="699" t="s">
        <v>2032</v>
      </c>
      <c r="B108" s="700">
        <f>C99*C95</f>
        <v>0</v>
      </c>
      <c r="C108" s="701"/>
      <c r="D108" s="841">
        <f>C99</f>
        <v>0</v>
      </c>
      <c r="E108" s="703"/>
      <c r="F108" s="842" t="e">
        <f>C99/($C$6*$C$3)</f>
        <v>#DIV/0!</v>
      </c>
      <c r="G108" s="703"/>
      <c r="H108" s="842" t="e">
        <f>C99/($E$6*$C$3)</f>
        <v>#DIV/0!</v>
      </c>
    </row>
    <row r="109" spans="1:8" ht="15" customHeight="1" x14ac:dyDescent="0.35">
      <c r="A109" s="699" t="s">
        <v>2034</v>
      </c>
      <c r="B109" s="705">
        <f>C100</f>
        <v>40</v>
      </c>
      <c r="C109" s="701"/>
      <c r="D109" s="705">
        <f>C100*C99</f>
        <v>0</v>
      </c>
      <c r="E109" s="703"/>
      <c r="F109" s="840" t="e">
        <f>D109/$C$6</f>
        <v>#DIV/0!</v>
      </c>
      <c r="G109" s="703"/>
      <c r="H109" s="840" t="e">
        <f>D109/$E$6</f>
        <v>#DIV/0!</v>
      </c>
    </row>
    <row r="110" spans="1:8" ht="15" customHeight="1" x14ac:dyDescent="0.35">
      <c r="A110" s="699" t="s">
        <v>2031</v>
      </c>
      <c r="B110" s="700">
        <f>E99*C96</f>
        <v>0</v>
      </c>
      <c r="C110" s="701"/>
      <c r="D110" s="841">
        <f>E99</f>
        <v>0</v>
      </c>
      <c r="E110" s="703"/>
      <c r="F110" s="842" t="e">
        <f>E99/(C97*C94)</f>
        <v>#DIV/0!</v>
      </c>
      <c r="G110" s="703"/>
      <c r="H110" s="842" t="e">
        <f>E99/(E97*C94)</f>
        <v>#DIV/0!</v>
      </c>
    </row>
    <row r="111" spans="1:8" ht="15" customHeight="1" x14ac:dyDescent="0.35">
      <c r="A111" s="699" t="s">
        <v>2033</v>
      </c>
      <c r="B111" s="840">
        <f>E100</f>
        <v>5.0833333333333304</v>
      </c>
      <c r="C111" s="701"/>
      <c r="D111" s="705">
        <f>E100*E99</f>
        <v>0</v>
      </c>
      <c r="E111" s="703"/>
      <c r="F111" s="840" t="e">
        <f>D111/C97</f>
        <v>#DIV/0!</v>
      </c>
      <c r="G111" s="703"/>
      <c r="H111" s="840" t="e">
        <f>D111/E97</f>
        <v>#DIV/0!</v>
      </c>
    </row>
    <row r="112" spans="1:8" ht="15.5" x14ac:dyDescent="0.35">
      <c r="A112" s="699"/>
      <c r="B112" s="706"/>
      <c r="C112" s="706"/>
      <c r="D112" s="707"/>
      <c r="E112" s="708"/>
      <c r="F112" s="707"/>
      <c r="G112" s="708"/>
      <c r="H112" s="707"/>
    </row>
    <row r="113" spans="1:16" ht="15" x14ac:dyDescent="0.3">
      <c r="A113" s="709" t="s">
        <v>230</v>
      </c>
      <c r="B113" s="710">
        <f>(C97*C98*rye)+(C99*C100*C95)+(E99*E100*C96)</f>
        <v>0</v>
      </c>
      <c r="C113" s="711"/>
      <c r="D113" s="712" t="e">
        <f>B113/rye</f>
        <v>#DIV/0!</v>
      </c>
      <c r="E113" s="713"/>
      <c r="F113" s="712" t="e">
        <f>B113/($C$97*rye)</f>
        <v>#DIV/0!</v>
      </c>
      <c r="G113" s="713"/>
      <c r="H113" s="711" t="e">
        <f>B113/($E$97*rye)</f>
        <v>#DIV/0!</v>
      </c>
    </row>
    <row r="114" spans="1:16" ht="15.5" x14ac:dyDescent="0.35">
      <c r="A114" s="714" t="s">
        <v>1235</v>
      </c>
      <c r="B114" s="715">
        <f>(C97*C98*rye)</f>
        <v>0</v>
      </c>
      <c r="C114" s="716"/>
      <c r="D114" s="717" t="e">
        <f>B114/rye</f>
        <v>#DIV/0!</v>
      </c>
      <c r="E114" s="752"/>
      <c r="F114" s="717" t="e">
        <f>B114/($C$97*rye)</f>
        <v>#DIV/0!</v>
      </c>
      <c r="G114" s="752"/>
      <c r="H114" s="716" t="e">
        <f>B114/($E$97*rye)</f>
        <v>#DIV/0!</v>
      </c>
    </row>
    <row r="115" spans="1:16" ht="15.5" x14ac:dyDescent="0.35">
      <c r="A115" s="714" t="s">
        <v>1236</v>
      </c>
      <c r="B115" s="715">
        <f>(C99*C100*C95)+(E99*E100*C96)</f>
        <v>0</v>
      </c>
      <c r="C115" s="716"/>
      <c r="D115" s="719" t="e">
        <f>B115/rye</f>
        <v>#DIV/0!</v>
      </c>
      <c r="E115" s="753"/>
      <c r="F115" s="719" t="e">
        <f>B115/($C$97*rye)</f>
        <v>#DIV/0!</v>
      </c>
      <c r="G115" s="753"/>
      <c r="H115" s="715" t="e">
        <f>B115/($E$97*rye)</f>
        <v>#DIV/0!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SUM(Rv!H9:H11)</f>
        <v>0</v>
      </c>
      <c r="C118" s="716"/>
      <c r="D118" s="717" t="e">
        <f>B118/rye</f>
        <v>#DIV/0!</v>
      </c>
      <c r="E118" s="718"/>
      <c r="F118" s="717" t="e">
        <f>B118/($C$97*rye)</f>
        <v>#DIV/0!</v>
      </c>
      <c r="G118" s="718"/>
      <c r="H118" s="716" t="e">
        <f>B118/($E$97*rye)</f>
        <v>#DIV/0!</v>
      </c>
    </row>
    <row r="119" spans="1:16" ht="15.5" x14ac:dyDescent="0.35">
      <c r="A119" s="714" t="s">
        <v>1287</v>
      </c>
      <c r="B119" s="715">
        <f>SUM(Rv!H14:H16)</f>
        <v>0</v>
      </c>
      <c r="C119" s="716"/>
      <c r="D119" s="717" t="e">
        <f>B119/rye</f>
        <v>#DIV/0!</v>
      </c>
      <c r="E119" s="718"/>
      <c r="F119" s="717" t="e">
        <f>B119/($C$97*rye)</f>
        <v>#DIV/0!</v>
      </c>
      <c r="G119" s="718"/>
      <c r="H119" s="716" t="e">
        <f>B119/($E$97*rye)</f>
        <v>#DIV/0!</v>
      </c>
    </row>
    <row r="120" spans="1:16" ht="15.5" x14ac:dyDescent="0.35">
      <c r="A120" s="714" t="s">
        <v>2</v>
      </c>
      <c r="B120" s="715">
        <f>Rv!H19</f>
        <v>0</v>
      </c>
      <c r="C120" s="716"/>
      <c r="D120" s="719" t="e">
        <f>B120/rye</f>
        <v>#DIV/0!</v>
      </c>
      <c r="E120" s="720"/>
      <c r="F120" s="719" t="e">
        <f>B120/($C$97*rye)</f>
        <v>#DIV/0!</v>
      </c>
      <c r="G120" s="720"/>
      <c r="H120" s="715" t="e">
        <f>B120/($E$97*rye)</f>
        <v>#DIV/0!</v>
      </c>
    </row>
    <row r="121" spans="1:16" ht="15.5" x14ac:dyDescent="0.35">
      <c r="A121" s="714" t="s">
        <v>1476</v>
      </c>
      <c r="B121" s="699"/>
      <c r="C121" s="699"/>
      <c r="D121" s="699"/>
      <c r="E121" s="699"/>
      <c r="F121" s="699"/>
      <c r="G121" s="699"/>
      <c r="H121" s="699"/>
    </row>
    <row r="122" spans="1:16" ht="15.5" x14ac:dyDescent="0.35">
      <c r="A122" s="714" t="s">
        <v>1121</v>
      </c>
      <c r="B122" s="745">
        <f>SUM(Rv!H20:H21)</f>
        <v>0</v>
      </c>
      <c r="C122" s="746"/>
      <c r="D122" s="755" t="e">
        <f>B122/rye</f>
        <v>#DIV/0!</v>
      </c>
      <c r="E122" s="720"/>
      <c r="F122" s="755" t="e">
        <f>B122/($C$97*rye)</f>
        <v>#DIV/0!</v>
      </c>
      <c r="G122" s="720"/>
      <c r="H122" s="715" t="e">
        <f>B122/($E$97*rye)</f>
        <v>#DIV/0!</v>
      </c>
    </row>
    <row r="123" spans="1:16" ht="15.5" x14ac:dyDescent="0.35">
      <c r="A123" s="714" t="s">
        <v>1119</v>
      </c>
      <c r="B123" s="745">
        <f>SUM(Rv!H22:H22)</f>
        <v>0</v>
      </c>
      <c r="C123" s="746"/>
      <c r="D123" s="755" t="e">
        <f>B123/rye</f>
        <v>#DIV/0!</v>
      </c>
      <c r="E123" s="720"/>
      <c r="F123" s="755" t="e">
        <f>B123/($C$97*rye)</f>
        <v>#DIV/0!</v>
      </c>
      <c r="G123" s="720"/>
      <c r="H123" s="715" t="e">
        <f>B123/($E$97*rye)</f>
        <v>#DIV/0!</v>
      </c>
    </row>
    <row r="124" spans="1:16" ht="15.5" x14ac:dyDescent="0.35">
      <c r="A124" s="714" t="s">
        <v>1120</v>
      </c>
      <c r="B124" s="745">
        <f>SUM(Rv!H23:H23)</f>
        <v>0</v>
      </c>
      <c r="C124" s="746"/>
      <c r="D124" s="755" t="e">
        <f>B124/rye</f>
        <v>#DIV/0!</v>
      </c>
      <c r="E124" s="720"/>
      <c r="F124" s="755" t="e">
        <f>B124/($C$97*rye)</f>
        <v>#DIV/0!</v>
      </c>
      <c r="G124" s="720"/>
      <c r="H124" s="715" t="e">
        <f>B124/($E$97*rye)</f>
        <v>#DIV/0!</v>
      </c>
      <c r="J124" s="889" t="s">
        <v>1557</v>
      </c>
    </row>
    <row r="125" spans="1:16" ht="15.5" x14ac:dyDescent="0.35">
      <c r="A125" s="714" t="s">
        <v>1214</v>
      </c>
      <c r="B125" s="715"/>
      <c r="C125" s="716"/>
      <c r="D125" s="717"/>
      <c r="E125" s="718"/>
      <c r="F125" s="717"/>
      <c r="G125" s="718"/>
      <c r="H125" s="717"/>
      <c r="J125" s="756">
        <f>_wage_</f>
        <v>12.29</v>
      </c>
      <c r="K125" s="709" t="s">
        <v>1558</v>
      </c>
    </row>
    <row r="126" spans="1:16" ht="15.5" x14ac:dyDescent="0.35">
      <c r="A126" s="734" t="s">
        <v>1910</v>
      </c>
      <c r="B126" s="715">
        <f>Rv!H26</f>
        <v>0</v>
      </c>
      <c r="C126" s="716"/>
      <c r="D126" s="717" t="e">
        <f t="shared" ref="D126:D138" si="16">B126/rye</f>
        <v>#DIV/0!</v>
      </c>
      <c r="E126" s="718"/>
      <c r="F126" s="717" t="e">
        <f t="shared" ref="F126:F138" si="17">B126/($C$97*rye)</f>
        <v>#DIV/0!</v>
      </c>
      <c r="G126" s="718"/>
      <c r="H126" s="716" t="e">
        <f t="shared" ref="H126:H138" si="18">B126/($E$97*rye)</f>
        <v>#DIV/0!</v>
      </c>
      <c r="J126" s="697" t="s">
        <v>76</v>
      </c>
      <c r="K126" s="697"/>
      <c r="L126" s="697" t="s">
        <v>77</v>
      </c>
      <c r="M126" s="698"/>
      <c r="N126" s="697" t="s">
        <v>1554</v>
      </c>
      <c r="O126" s="698"/>
      <c r="P126" s="697" t="s">
        <v>385</v>
      </c>
    </row>
    <row r="127" spans="1:16" ht="15.5" x14ac:dyDescent="0.35">
      <c r="A127" s="734" t="s">
        <v>1251</v>
      </c>
      <c r="B127" s="715">
        <f>Rv!H27</f>
        <v>0</v>
      </c>
      <c r="C127" s="716"/>
      <c r="D127" s="717" t="e">
        <f t="shared" si="16"/>
        <v>#DIV/0!</v>
      </c>
      <c r="E127" s="718"/>
      <c r="F127" s="717" t="e">
        <f t="shared" si="17"/>
        <v>#DIV/0!</v>
      </c>
      <c r="G127" s="718"/>
      <c r="H127" s="716" t="e">
        <f t="shared" si="18"/>
        <v>#DIV/0!</v>
      </c>
      <c r="J127" s="763">
        <f>SUM(B126:B138)</f>
        <v>0</v>
      </c>
      <c r="L127" s="756" t="e">
        <f>SUM(D126:D138)</f>
        <v>#DIV/0!</v>
      </c>
      <c r="N127" s="756" t="e">
        <f>SUM(F126:F138)</f>
        <v>#DIV/0!</v>
      </c>
      <c r="P127" s="756" t="e">
        <f>SUM(H126:H138)</f>
        <v>#DIV/0!</v>
      </c>
    </row>
    <row r="128" spans="1:16" ht="15.5" x14ac:dyDescent="0.35">
      <c r="A128" s="734" t="s">
        <v>1256</v>
      </c>
      <c r="B128" s="715">
        <f>Rv!H28</f>
        <v>0</v>
      </c>
      <c r="C128" s="716"/>
      <c r="D128" s="717" t="e">
        <f t="shared" si="16"/>
        <v>#DIV/0!</v>
      </c>
      <c r="E128" s="718"/>
      <c r="F128" s="717" t="e">
        <f t="shared" si="17"/>
        <v>#DIV/0!</v>
      </c>
      <c r="G128" s="718"/>
      <c r="H128" s="716" t="e">
        <f t="shared" si="18"/>
        <v>#DIV/0!</v>
      </c>
    </row>
    <row r="129" spans="1:16" ht="15.5" x14ac:dyDescent="0.35">
      <c r="A129" s="734" t="s">
        <v>1252</v>
      </c>
      <c r="B129" s="715">
        <f>Rv!H29</f>
        <v>0</v>
      </c>
      <c r="C129" s="716"/>
      <c r="D129" s="717" t="e">
        <f t="shared" si="16"/>
        <v>#DIV/0!</v>
      </c>
      <c r="E129" s="718"/>
      <c r="F129" s="717" t="e">
        <f t="shared" si="17"/>
        <v>#DIV/0!</v>
      </c>
      <c r="G129" s="718"/>
      <c r="H129" s="716" t="e">
        <f t="shared" si="18"/>
        <v>#DIV/0!</v>
      </c>
    </row>
    <row r="130" spans="1:16" ht="15.5" x14ac:dyDescent="0.35">
      <c r="A130" s="734" t="s">
        <v>1253</v>
      </c>
      <c r="B130" s="715">
        <f>Rv!H33</f>
        <v>0</v>
      </c>
      <c r="C130" s="716"/>
      <c r="D130" s="717" t="e">
        <f t="shared" si="16"/>
        <v>#DIV/0!</v>
      </c>
      <c r="E130" s="718"/>
      <c r="F130" s="717" t="e">
        <f t="shared" si="17"/>
        <v>#DIV/0!</v>
      </c>
      <c r="G130" s="718"/>
      <c r="H130" s="716" t="e">
        <f t="shared" si="18"/>
        <v>#DIV/0!</v>
      </c>
    </row>
    <row r="131" spans="1:16" ht="15.5" x14ac:dyDescent="0.35">
      <c r="A131" s="734" t="s">
        <v>1254</v>
      </c>
      <c r="B131" s="715">
        <f>Rv!H34</f>
        <v>0</v>
      </c>
      <c r="C131" s="716"/>
      <c r="D131" s="717" t="e">
        <f t="shared" si="16"/>
        <v>#DIV/0!</v>
      </c>
      <c r="E131" s="718"/>
      <c r="F131" s="717" t="e">
        <f t="shared" si="17"/>
        <v>#DIV/0!</v>
      </c>
      <c r="G131" s="718"/>
      <c r="H131" s="716" t="e">
        <f t="shared" si="18"/>
        <v>#DIV/0!</v>
      </c>
    </row>
    <row r="132" spans="1:16" ht="15.5" x14ac:dyDescent="0.35">
      <c r="A132" s="734" t="s">
        <v>2175</v>
      </c>
      <c r="B132" s="715">
        <f>Rv!H35</f>
        <v>0</v>
      </c>
      <c r="C132" s="716"/>
      <c r="D132" s="719" t="e">
        <f t="shared" si="16"/>
        <v>#DIV/0!</v>
      </c>
      <c r="E132" s="718"/>
      <c r="F132" s="719" t="e">
        <f t="shared" si="17"/>
        <v>#DIV/0!</v>
      </c>
      <c r="G132" s="718"/>
      <c r="H132" s="715" t="e">
        <f t="shared" si="18"/>
        <v>#DIV/0!</v>
      </c>
    </row>
    <row r="133" spans="1:16" ht="15.5" x14ac:dyDescent="0.35">
      <c r="A133" s="734" t="s">
        <v>1255</v>
      </c>
      <c r="B133" s="715">
        <f>SUM(Rv!H40:H41)</f>
        <v>0</v>
      </c>
      <c r="C133" s="716"/>
      <c r="D133" s="717" t="e">
        <f t="shared" si="16"/>
        <v>#DIV/0!</v>
      </c>
      <c r="E133" s="718"/>
      <c r="F133" s="717" t="e">
        <f t="shared" si="17"/>
        <v>#DIV/0!</v>
      </c>
      <c r="G133" s="718"/>
      <c r="H133" s="716" t="e">
        <f t="shared" si="18"/>
        <v>#DIV/0!</v>
      </c>
    </row>
    <row r="134" spans="1:16" ht="15.5" x14ac:dyDescent="0.35">
      <c r="A134" s="734" t="s">
        <v>2077</v>
      </c>
      <c r="B134" s="715">
        <f>SUM(Rv!H42:H43)</f>
        <v>0</v>
      </c>
      <c r="C134" s="716"/>
      <c r="D134" s="717" t="e">
        <f t="shared" si="16"/>
        <v>#DIV/0!</v>
      </c>
      <c r="E134" s="718"/>
      <c r="F134" s="717" t="e">
        <f t="shared" si="17"/>
        <v>#DIV/0!</v>
      </c>
      <c r="G134" s="718"/>
      <c r="H134" s="716" t="e">
        <f t="shared" si="18"/>
        <v>#DIV/0!</v>
      </c>
    </row>
    <row r="135" spans="1:16" ht="15.5" x14ac:dyDescent="0.35">
      <c r="A135" s="734" t="s">
        <v>1537</v>
      </c>
      <c r="B135" s="715">
        <f>SUM(Rv!H55:H57)</f>
        <v>0</v>
      </c>
      <c r="C135" s="716"/>
      <c r="D135" s="717" t="e">
        <f t="shared" si="16"/>
        <v>#DIV/0!</v>
      </c>
      <c r="E135" s="718"/>
      <c r="F135" s="717" t="e">
        <f t="shared" si="17"/>
        <v>#DIV/0!</v>
      </c>
      <c r="G135" s="718"/>
      <c r="H135" s="716" t="e">
        <f t="shared" si="18"/>
        <v>#DIV/0!</v>
      </c>
    </row>
    <row r="136" spans="1:16" ht="15.5" x14ac:dyDescent="0.35">
      <c r="A136" s="734" t="s">
        <v>1257</v>
      </c>
      <c r="B136" s="715">
        <f>SUM(Rv!H58:H60)</f>
        <v>0</v>
      </c>
      <c r="C136" s="716"/>
      <c r="D136" s="717" t="e">
        <f t="shared" si="16"/>
        <v>#DIV/0!</v>
      </c>
      <c r="E136" s="718"/>
      <c r="F136" s="717" t="e">
        <f t="shared" si="17"/>
        <v>#DIV/0!</v>
      </c>
      <c r="G136" s="718"/>
      <c r="H136" s="716" t="e">
        <f t="shared" si="18"/>
        <v>#DIV/0!</v>
      </c>
    </row>
    <row r="137" spans="1:16" ht="15.5" x14ac:dyDescent="0.35">
      <c r="A137" s="734" t="s">
        <v>2030</v>
      </c>
      <c r="B137" s="715">
        <f>SUM(Rv!H44:H54)</f>
        <v>0</v>
      </c>
      <c r="C137" s="716"/>
      <c r="D137" s="717" t="e">
        <f t="shared" si="16"/>
        <v>#DIV/0!</v>
      </c>
      <c r="E137" s="718"/>
      <c r="F137" s="717" t="e">
        <f t="shared" si="17"/>
        <v>#DIV/0!</v>
      </c>
      <c r="G137" s="718"/>
      <c r="H137" s="716" t="e">
        <f t="shared" si="18"/>
        <v>#DIV/0!</v>
      </c>
    </row>
    <row r="138" spans="1:16" ht="15.5" x14ac:dyDescent="0.35">
      <c r="A138" s="734" t="s">
        <v>2078</v>
      </c>
      <c r="B138" s="715">
        <f>SUM(Rv!H62:H75)</f>
        <v>0</v>
      </c>
      <c r="C138" s="716"/>
      <c r="D138" s="717" t="e">
        <f t="shared" si="16"/>
        <v>#DIV/0!</v>
      </c>
      <c r="E138" s="718"/>
      <c r="F138" s="717" t="e">
        <f t="shared" si="17"/>
        <v>#DIV/0!</v>
      </c>
      <c r="G138" s="718"/>
      <c r="H138" s="716" t="e">
        <f t="shared" si="18"/>
        <v>#DIV/0!</v>
      </c>
      <c r="J138" s="889" t="s">
        <v>1985</v>
      </c>
    </row>
    <row r="139" spans="1:16" ht="15.5" x14ac:dyDescent="0.35">
      <c r="A139" s="714" t="s">
        <v>1260</v>
      </c>
      <c r="B139" s="715"/>
      <c r="C139" s="716"/>
      <c r="D139" s="717"/>
      <c r="E139" s="718"/>
      <c r="F139" s="717"/>
      <c r="G139" s="718"/>
      <c r="H139" s="717"/>
      <c r="J139" s="756">
        <f>diesel_fuel</f>
        <v>2.56</v>
      </c>
      <c r="K139" s="709" t="s">
        <v>1559</v>
      </c>
    </row>
    <row r="140" spans="1:16" ht="15.5" x14ac:dyDescent="0.35">
      <c r="A140" s="734" t="s">
        <v>1910</v>
      </c>
      <c r="B140" s="715">
        <f>Rv!H78</f>
        <v>0</v>
      </c>
      <c r="C140" s="716"/>
      <c r="D140" s="717" t="e">
        <f t="shared" ref="D140:D156" si="19">B140/rye</f>
        <v>#DIV/0!</v>
      </c>
      <c r="E140" s="718"/>
      <c r="F140" s="717" t="e">
        <f t="shared" ref="F140:F156" si="20">B140/($C$97*rye)</f>
        <v>#DIV/0!</v>
      </c>
      <c r="G140" s="718"/>
      <c r="H140" s="716" t="e">
        <f t="shared" ref="H140:H156" si="21">B140/($E$97*rye)</f>
        <v>#DIV/0!</v>
      </c>
      <c r="J140" s="697" t="s">
        <v>76</v>
      </c>
      <c r="K140" s="697"/>
      <c r="L140" s="697" t="s">
        <v>77</v>
      </c>
      <c r="M140" s="698"/>
      <c r="N140" s="697" t="s">
        <v>1554</v>
      </c>
      <c r="O140" s="698"/>
      <c r="P140" s="697" t="s">
        <v>385</v>
      </c>
    </row>
    <row r="141" spans="1:16" ht="15.5" x14ac:dyDescent="0.35">
      <c r="A141" s="734" t="s">
        <v>1251</v>
      </c>
      <c r="B141" s="715">
        <f>Rv!H79</f>
        <v>0</v>
      </c>
      <c r="C141" s="716"/>
      <c r="D141" s="717" t="e">
        <f t="shared" si="19"/>
        <v>#DIV/0!</v>
      </c>
      <c r="E141" s="718"/>
      <c r="F141" s="717" t="e">
        <f t="shared" si="20"/>
        <v>#DIV/0!</v>
      </c>
      <c r="G141" s="718"/>
      <c r="H141" s="716" t="e">
        <f t="shared" si="21"/>
        <v>#DIV/0!</v>
      </c>
      <c r="J141" s="763">
        <f>SUM(B140:B152)</f>
        <v>0</v>
      </c>
      <c r="L141" s="756" t="e">
        <f>SUM(D140:D152)</f>
        <v>#DIV/0!</v>
      </c>
      <c r="N141" s="756" t="e">
        <f>SUM(F140:F152)</f>
        <v>#DIV/0!</v>
      </c>
      <c r="P141" s="756" t="e">
        <f>SUM(H140:H152)</f>
        <v>#DIV/0!</v>
      </c>
    </row>
    <row r="142" spans="1:16" ht="15.5" x14ac:dyDescent="0.35">
      <c r="A142" s="734" t="s">
        <v>1256</v>
      </c>
      <c r="B142" s="715">
        <f>Rv!H80</f>
        <v>0</v>
      </c>
      <c r="C142" s="716"/>
      <c r="D142" s="717" t="e">
        <f t="shared" si="19"/>
        <v>#DIV/0!</v>
      </c>
      <c r="E142" s="718"/>
      <c r="F142" s="717" t="e">
        <f t="shared" si="20"/>
        <v>#DIV/0!</v>
      </c>
      <c r="G142" s="718"/>
      <c r="H142" s="716" t="e">
        <f t="shared" si="21"/>
        <v>#DIV/0!</v>
      </c>
    </row>
    <row r="143" spans="1:16" ht="15.5" x14ac:dyDescent="0.35">
      <c r="A143" s="734" t="s">
        <v>1252</v>
      </c>
      <c r="B143" s="715">
        <f>Rv!H81</f>
        <v>0</v>
      </c>
      <c r="C143" s="716"/>
      <c r="D143" s="717" t="e">
        <f t="shared" si="19"/>
        <v>#DIV/0!</v>
      </c>
      <c r="E143" s="718"/>
      <c r="F143" s="717" t="e">
        <f t="shared" si="20"/>
        <v>#DIV/0!</v>
      </c>
      <c r="G143" s="718"/>
      <c r="H143" s="716" t="e">
        <f t="shared" si="21"/>
        <v>#DIV/0!</v>
      </c>
    </row>
    <row r="144" spans="1:16" ht="15.5" x14ac:dyDescent="0.35">
      <c r="A144" s="734" t="s">
        <v>1253</v>
      </c>
      <c r="B144" s="715">
        <f>Rv!H85</f>
        <v>0</v>
      </c>
      <c r="C144" s="716"/>
      <c r="D144" s="717" t="e">
        <f t="shared" si="19"/>
        <v>#DIV/0!</v>
      </c>
      <c r="E144" s="718"/>
      <c r="F144" s="717" t="e">
        <f t="shared" si="20"/>
        <v>#DIV/0!</v>
      </c>
      <c r="G144" s="718"/>
      <c r="H144" s="716" t="e">
        <f t="shared" si="21"/>
        <v>#DIV/0!</v>
      </c>
    </row>
    <row r="145" spans="1:10" ht="15.5" x14ac:dyDescent="0.35">
      <c r="A145" s="734" t="s">
        <v>1254</v>
      </c>
      <c r="B145" s="715">
        <f>Rv!H86</f>
        <v>0</v>
      </c>
      <c r="C145" s="716"/>
      <c r="D145" s="717" t="e">
        <f t="shared" si="19"/>
        <v>#DIV/0!</v>
      </c>
      <c r="E145" s="718"/>
      <c r="F145" s="717" t="e">
        <f t="shared" si="20"/>
        <v>#DIV/0!</v>
      </c>
      <c r="G145" s="718"/>
      <c r="H145" s="716" t="e">
        <f t="shared" si="21"/>
        <v>#DIV/0!</v>
      </c>
    </row>
    <row r="146" spans="1:10" ht="15.5" x14ac:dyDescent="0.35">
      <c r="A146" s="734" t="s">
        <v>2175</v>
      </c>
      <c r="B146" s="715">
        <f>Rv!H87</f>
        <v>0</v>
      </c>
      <c r="C146" s="716"/>
      <c r="D146" s="719" t="e">
        <f t="shared" si="19"/>
        <v>#DIV/0!</v>
      </c>
      <c r="E146" s="718"/>
      <c r="F146" s="719" t="e">
        <f t="shared" si="20"/>
        <v>#DIV/0!</v>
      </c>
      <c r="G146" s="718"/>
      <c r="H146" s="715" t="e">
        <f t="shared" si="21"/>
        <v>#DIV/0!</v>
      </c>
      <c r="J146" s="108"/>
    </row>
    <row r="147" spans="1:10" ht="15.5" x14ac:dyDescent="0.35">
      <c r="A147" s="734" t="s">
        <v>1255</v>
      </c>
      <c r="B147" s="715">
        <f>SUM(Rv!H92:H93)</f>
        <v>0</v>
      </c>
      <c r="C147" s="716"/>
      <c r="D147" s="717" t="e">
        <f t="shared" si="19"/>
        <v>#DIV/0!</v>
      </c>
      <c r="E147" s="718"/>
      <c r="F147" s="717" t="e">
        <f t="shared" si="20"/>
        <v>#DIV/0!</v>
      </c>
      <c r="G147" s="718"/>
      <c r="H147" s="716" t="e">
        <f t="shared" si="21"/>
        <v>#DIV/0!</v>
      </c>
    </row>
    <row r="148" spans="1:10" ht="15.5" x14ac:dyDescent="0.35">
      <c r="A148" s="734" t="s">
        <v>2077</v>
      </c>
      <c r="B148" s="715">
        <f>SUM(Rv!H94:H95)</f>
        <v>0</v>
      </c>
      <c r="C148" s="716"/>
      <c r="D148" s="717" t="e">
        <f t="shared" si="19"/>
        <v>#DIV/0!</v>
      </c>
      <c r="E148" s="718"/>
      <c r="F148" s="717" t="e">
        <f t="shared" si="20"/>
        <v>#DIV/0!</v>
      </c>
      <c r="G148" s="718"/>
      <c r="H148" s="716" t="e">
        <f t="shared" si="21"/>
        <v>#DIV/0!</v>
      </c>
    </row>
    <row r="149" spans="1:10" ht="15.5" x14ac:dyDescent="0.35">
      <c r="A149" s="734" t="s">
        <v>1537</v>
      </c>
      <c r="B149" s="715">
        <f>SUM(Rv!H107:H109)</f>
        <v>0</v>
      </c>
      <c r="C149" s="716"/>
      <c r="D149" s="719" t="e">
        <f t="shared" si="19"/>
        <v>#DIV/0!</v>
      </c>
      <c r="E149" s="718"/>
      <c r="F149" s="719" t="e">
        <f t="shared" si="20"/>
        <v>#DIV/0!</v>
      </c>
      <c r="G149" s="718"/>
      <c r="H149" s="715" t="e">
        <f t="shared" si="21"/>
        <v>#DIV/0!</v>
      </c>
    </row>
    <row r="150" spans="1:10" ht="15.5" x14ac:dyDescent="0.35">
      <c r="A150" s="734" t="s">
        <v>1257</v>
      </c>
      <c r="B150" s="715">
        <f>SUM(Rv!H111:H112)</f>
        <v>0</v>
      </c>
      <c r="C150" s="716"/>
      <c r="D150" s="719" t="e">
        <f t="shared" si="19"/>
        <v>#DIV/0!</v>
      </c>
      <c r="E150" s="720"/>
      <c r="F150" s="719" t="e">
        <f t="shared" si="20"/>
        <v>#DIV/0!</v>
      </c>
      <c r="G150" s="720"/>
      <c r="H150" s="715" t="e">
        <f t="shared" si="21"/>
        <v>#DIV/0!</v>
      </c>
    </row>
    <row r="151" spans="1:10" ht="15.5" x14ac:dyDescent="0.35">
      <c r="A151" s="734" t="s">
        <v>2030</v>
      </c>
      <c r="B151" s="715">
        <f>SUM(Rv!H96:H106)</f>
        <v>0</v>
      </c>
      <c r="C151" s="716"/>
      <c r="D151" s="717" t="e">
        <f t="shared" si="19"/>
        <v>#DIV/0!</v>
      </c>
      <c r="E151" s="720"/>
      <c r="F151" s="717" t="e">
        <f t="shared" si="20"/>
        <v>#DIV/0!</v>
      </c>
      <c r="G151" s="720"/>
      <c r="H151" s="716" t="e">
        <f t="shared" si="21"/>
        <v>#DIV/0!</v>
      </c>
    </row>
    <row r="152" spans="1:10" ht="15.5" x14ac:dyDescent="0.35">
      <c r="A152" s="734" t="s">
        <v>2078</v>
      </c>
      <c r="B152" s="715">
        <f>SUM(Rv!H114:H127)</f>
        <v>0</v>
      </c>
      <c r="C152" s="716"/>
      <c r="D152" s="717" t="e">
        <f t="shared" si="19"/>
        <v>#DIV/0!</v>
      </c>
      <c r="E152" s="720"/>
      <c r="F152" s="717" t="e">
        <f t="shared" si="20"/>
        <v>#DIV/0!</v>
      </c>
      <c r="G152" s="720"/>
      <c r="H152" s="716" t="e">
        <f t="shared" si="21"/>
        <v>#DIV/0!</v>
      </c>
    </row>
    <row r="153" spans="1:10" ht="15.5" x14ac:dyDescent="0.35">
      <c r="A153" s="714" t="s">
        <v>1258</v>
      </c>
      <c r="B153" s="715">
        <f>Rv!H128</f>
        <v>0</v>
      </c>
      <c r="C153" s="716"/>
      <c r="D153" s="717" t="e">
        <f t="shared" si="19"/>
        <v>#DIV/0!</v>
      </c>
      <c r="E153" s="718"/>
      <c r="F153" s="717" t="e">
        <f t="shared" si="20"/>
        <v>#DIV/0!</v>
      </c>
      <c r="G153" s="718"/>
      <c r="H153" s="716" t="e">
        <f t="shared" si="21"/>
        <v>#DIV/0!</v>
      </c>
    </row>
    <row r="154" spans="1:10" ht="15.5" x14ac:dyDescent="0.35">
      <c r="A154" s="714" t="s">
        <v>78</v>
      </c>
      <c r="B154" s="715">
        <f>SUM(Rv!H129:H130)</f>
        <v>0</v>
      </c>
      <c r="C154" s="716"/>
      <c r="D154" s="717" t="e">
        <f t="shared" si="19"/>
        <v>#DIV/0!</v>
      </c>
      <c r="E154" s="718"/>
      <c r="F154" s="717" t="e">
        <f t="shared" si="20"/>
        <v>#DIV/0!</v>
      </c>
      <c r="G154" s="718"/>
      <c r="H154" s="716" t="e">
        <f t="shared" si="21"/>
        <v>#DIV/0!</v>
      </c>
    </row>
    <row r="155" spans="1:10" ht="15.5" x14ac:dyDescent="0.35">
      <c r="A155" s="714" t="s">
        <v>170</v>
      </c>
      <c r="B155" s="732">
        <f>Rv!H131</f>
        <v>0</v>
      </c>
      <c r="C155" s="733"/>
      <c r="D155" s="719" t="e">
        <f t="shared" si="19"/>
        <v>#DIV/0!</v>
      </c>
      <c r="E155" s="720"/>
      <c r="F155" s="719" t="e">
        <f t="shared" si="20"/>
        <v>#DIV/0!</v>
      </c>
      <c r="G155" s="720"/>
      <c r="H155" s="715" t="e">
        <f t="shared" si="21"/>
        <v>#DIV/0!</v>
      </c>
    </row>
    <row r="156" spans="1:10" ht="15.5" x14ac:dyDescent="0.35">
      <c r="A156" s="714" t="s">
        <v>171</v>
      </c>
      <c r="B156" s="732">
        <f>SUM(Rv!H132:H134)</f>
        <v>0</v>
      </c>
      <c r="C156" s="733"/>
      <c r="D156" s="717" t="e">
        <f t="shared" si="19"/>
        <v>#DIV/0!</v>
      </c>
      <c r="E156" s="718"/>
      <c r="F156" s="717" t="e">
        <f t="shared" si="20"/>
        <v>#DIV/0!</v>
      </c>
      <c r="G156" s="718"/>
      <c r="H156" s="716" t="e">
        <f t="shared" si="21"/>
        <v>#DIV/0!</v>
      </c>
    </row>
    <row r="157" spans="1:10" ht="15.5" x14ac:dyDescent="0.35">
      <c r="A157" s="714" t="s">
        <v>172</v>
      </c>
      <c r="B157" s="732"/>
      <c r="C157" s="733"/>
      <c r="D157" s="717"/>
      <c r="E157" s="718"/>
      <c r="F157" s="717"/>
      <c r="G157" s="718"/>
      <c r="H157" s="717"/>
    </row>
    <row r="158" spans="1:10" ht="15.5" x14ac:dyDescent="0.35">
      <c r="A158" s="734" t="s">
        <v>439</v>
      </c>
      <c r="B158" s="732">
        <f>Rv!H135</f>
        <v>0</v>
      </c>
      <c r="C158" s="733"/>
      <c r="D158" s="717" t="e">
        <f t="shared" ref="D158:D172" si="22">B158/rye</f>
        <v>#DIV/0!</v>
      </c>
      <c r="E158" s="718"/>
      <c r="F158" s="717" t="e">
        <f t="shared" ref="F158:F172" si="23">B158/($C$97*rye)</f>
        <v>#DIV/0!</v>
      </c>
      <c r="G158" s="718"/>
      <c r="H158" s="716" t="e">
        <f t="shared" ref="H158:H172" si="24">B158/($E$97*rye)</f>
        <v>#DIV/0!</v>
      </c>
    </row>
    <row r="159" spans="1:10" ht="15.5" x14ac:dyDescent="0.35">
      <c r="A159" s="734" t="s">
        <v>1506</v>
      </c>
      <c r="B159" s="732">
        <f>SUM(Rv!H136:H138)</f>
        <v>0</v>
      </c>
      <c r="C159" s="733"/>
      <c r="D159" s="717" t="e">
        <f t="shared" si="22"/>
        <v>#DIV/0!</v>
      </c>
      <c r="E159" s="718"/>
      <c r="F159" s="717" t="e">
        <f t="shared" si="23"/>
        <v>#DIV/0!</v>
      </c>
      <c r="G159" s="718"/>
      <c r="H159" s="716" t="e">
        <f t="shared" si="24"/>
        <v>#DIV/0!</v>
      </c>
    </row>
    <row r="160" spans="1:10" ht="15.5" x14ac:dyDescent="0.35">
      <c r="A160" s="734" t="s">
        <v>1505</v>
      </c>
      <c r="B160" s="732">
        <f>SUM(Rv!H139:H141)</f>
        <v>0</v>
      </c>
      <c r="C160" s="733"/>
      <c r="D160" s="717" t="e">
        <f t="shared" si="22"/>
        <v>#DIV/0!</v>
      </c>
      <c r="E160" s="718"/>
      <c r="F160" s="717" t="e">
        <f t="shared" si="23"/>
        <v>#DIV/0!</v>
      </c>
      <c r="G160" s="718"/>
      <c r="H160" s="716" t="e">
        <f t="shared" si="24"/>
        <v>#DIV/0!</v>
      </c>
    </row>
    <row r="161" spans="1:10" ht="15.5" x14ac:dyDescent="0.35">
      <c r="A161" s="734" t="s">
        <v>1237</v>
      </c>
      <c r="B161" s="732">
        <f>Rv!H142</f>
        <v>0</v>
      </c>
      <c r="C161" s="733"/>
      <c r="D161" s="717" t="e">
        <f t="shared" si="22"/>
        <v>#DIV/0!</v>
      </c>
      <c r="E161" s="718"/>
      <c r="F161" s="717" t="e">
        <f t="shared" si="23"/>
        <v>#DIV/0!</v>
      </c>
      <c r="G161" s="718"/>
      <c r="H161" s="716" t="e">
        <f t="shared" si="24"/>
        <v>#DIV/0!</v>
      </c>
    </row>
    <row r="162" spans="1:10" ht="15.5" x14ac:dyDescent="0.35">
      <c r="A162" s="734" t="s">
        <v>1212</v>
      </c>
      <c r="B162" s="732">
        <f>SUM(Rv!H143:H145)</f>
        <v>0</v>
      </c>
      <c r="C162" s="733"/>
      <c r="D162" s="717" t="e">
        <f t="shared" si="22"/>
        <v>#DIV/0!</v>
      </c>
      <c r="E162" s="720"/>
      <c r="F162" s="717" t="e">
        <f t="shared" si="23"/>
        <v>#DIV/0!</v>
      </c>
      <c r="G162" s="720"/>
      <c r="H162" s="716" t="e">
        <f t="shared" si="24"/>
        <v>#DIV/0!</v>
      </c>
    </row>
    <row r="163" spans="1:10" ht="15.5" x14ac:dyDescent="0.35">
      <c r="A163" s="734" t="s">
        <v>1238</v>
      </c>
      <c r="B163" s="732">
        <f>SUM(Rv!H146:H148)</f>
        <v>0</v>
      </c>
      <c r="C163" s="733"/>
      <c r="D163" s="717" t="e">
        <f>B163/rye</f>
        <v>#DIV/0!</v>
      </c>
      <c r="E163" s="718"/>
      <c r="F163" s="717" t="e">
        <f t="shared" si="23"/>
        <v>#DIV/0!</v>
      </c>
      <c r="G163" s="718"/>
      <c r="H163" s="716" t="e">
        <f t="shared" si="24"/>
        <v>#DIV/0!</v>
      </c>
    </row>
    <row r="164" spans="1:10" ht="15.5" x14ac:dyDescent="0.35">
      <c r="A164" s="734" t="s">
        <v>2076</v>
      </c>
      <c r="B164" s="753">
        <f>SUM(Rv!H149:H155)</f>
        <v>0</v>
      </c>
      <c r="C164" s="699"/>
      <c r="D164" s="717" t="e">
        <f>B164/rye</f>
        <v>#DIV/0!</v>
      </c>
      <c r="E164" s="753"/>
      <c r="F164" s="717" t="e">
        <f t="shared" si="23"/>
        <v>#DIV/0!</v>
      </c>
      <c r="G164" s="753"/>
      <c r="H164" s="716" t="e">
        <f t="shared" si="24"/>
        <v>#DIV/0!</v>
      </c>
    </row>
    <row r="165" spans="1:10" ht="15.5" x14ac:dyDescent="0.35">
      <c r="A165" s="734" t="s">
        <v>2029</v>
      </c>
      <c r="B165" s="732">
        <f>SUM(Rv!H156:H158)</f>
        <v>0</v>
      </c>
      <c r="C165" s="733"/>
      <c r="D165" s="719" t="e">
        <f>B165/rye</f>
        <v>#DIV/0!</v>
      </c>
      <c r="E165" s="718"/>
      <c r="F165" s="719" t="e">
        <f>B165/($C$97*rye)</f>
        <v>#DIV/0!</v>
      </c>
      <c r="G165" s="718"/>
      <c r="H165" s="715" t="e">
        <f>B165/($E$97*rye)</f>
        <v>#DIV/0!</v>
      </c>
    </row>
    <row r="166" spans="1:10" ht="15.5" x14ac:dyDescent="0.35">
      <c r="A166" s="734" t="s">
        <v>1532</v>
      </c>
      <c r="B166" s="732">
        <f>SUM(Rv!H159:H163)</f>
        <v>0</v>
      </c>
      <c r="C166" s="733"/>
      <c r="D166" s="717" t="e">
        <f t="shared" si="22"/>
        <v>#DIV/0!</v>
      </c>
      <c r="E166" s="718"/>
      <c r="F166" s="717" t="e">
        <f t="shared" si="23"/>
        <v>#DIV/0!</v>
      </c>
      <c r="G166" s="718"/>
      <c r="H166" s="716" t="e">
        <f t="shared" si="24"/>
        <v>#DIV/0!</v>
      </c>
    </row>
    <row r="167" spans="1:10" ht="15.5" x14ac:dyDescent="0.35">
      <c r="A167" s="734" t="s">
        <v>1533</v>
      </c>
      <c r="B167" s="732">
        <f>SUM(Rv!H164:H165)</f>
        <v>0</v>
      </c>
      <c r="C167" s="733"/>
      <c r="D167" s="719" t="e">
        <f t="shared" si="22"/>
        <v>#DIV/0!</v>
      </c>
      <c r="E167" s="718"/>
      <c r="F167" s="719" t="e">
        <f t="shared" si="23"/>
        <v>#DIV/0!</v>
      </c>
      <c r="G167" s="718"/>
      <c r="H167" s="715" t="e">
        <f t="shared" si="24"/>
        <v>#DIV/0!</v>
      </c>
    </row>
    <row r="168" spans="1:10" ht="15.5" x14ac:dyDescent="0.35">
      <c r="A168" s="734" t="s">
        <v>1534</v>
      </c>
      <c r="B168" s="732">
        <f>Rv!H166</f>
        <v>0</v>
      </c>
      <c r="C168" s="733"/>
      <c r="D168" s="717" t="e">
        <f t="shared" si="22"/>
        <v>#DIV/0!</v>
      </c>
      <c r="E168" s="718"/>
      <c r="F168" s="785" t="e">
        <f t="shared" si="23"/>
        <v>#DIV/0!</v>
      </c>
      <c r="G168" s="718"/>
      <c r="H168" s="716" t="e">
        <f t="shared" si="24"/>
        <v>#DIV/0!</v>
      </c>
    </row>
    <row r="169" spans="1:10" ht="15.5" x14ac:dyDescent="0.35">
      <c r="A169" s="734" t="s">
        <v>1535</v>
      </c>
      <c r="B169" s="732">
        <f>Rv!H167</f>
        <v>0</v>
      </c>
      <c r="C169" s="733"/>
      <c r="D169" s="717" t="e">
        <f t="shared" si="22"/>
        <v>#DIV/0!</v>
      </c>
      <c r="E169" s="718"/>
      <c r="F169" s="785" t="e">
        <f t="shared" si="23"/>
        <v>#DIV/0!</v>
      </c>
      <c r="G169" s="718"/>
      <c r="H169" s="716" t="e">
        <f t="shared" si="24"/>
        <v>#DIV/0!</v>
      </c>
    </row>
    <row r="170" spans="1:10" ht="15.5" x14ac:dyDescent="0.35">
      <c r="A170" s="734" t="s">
        <v>1536</v>
      </c>
      <c r="B170" s="732">
        <f>Rv!H168</f>
        <v>0</v>
      </c>
      <c r="C170" s="733"/>
      <c r="D170" s="717" t="e">
        <f t="shared" si="22"/>
        <v>#DIV/0!</v>
      </c>
      <c r="E170" s="718"/>
      <c r="F170" s="785" t="e">
        <f t="shared" si="23"/>
        <v>#DIV/0!</v>
      </c>
      <c r="G170" s="718"/>
      <c r="H170" s="716" t="e">
        <f t="shared" si="24"/>
        <v>#DIV/0!</v>
      </c>
    </row>
    <row r="171" spans="1:10" ht="15.5" x14ac:dyDescent="0.35">
      <c r="A171" s="734" t="s">
        <v>443</v>
      </c>
      <c r="B171" s="732">
        <f>SUM(Rv!H169:H171)</f>
        <v>0</v>
      </c>
      <c r="C171" s="733"/>
      <c r="D171" s="719" t="e">
        <f t="shared" si="22"/>
        <v>#DIV/0!</v>
      </c>
      <c r="E171" s="720"/>
      <c r="F171" s="719" t="e">
        <f t="shared" si="23"/>
        <v>#DIV/0!</v>
      </c>
      <c r="G171" s="720"/>
      <c r="H171" s="715" t="e">
        <f t="shared" si="24"/>
        <v>#DIV/0!</v>
      </c>
    </row>
    <row r="172" spans="1:10" ht="15.5" x14ac:dyDescent="0.35">
      <c r="A172" s="714" t="s">
        <v>69</v>
      </c>
      <c r="B172" s="732">
        <f>Rv!H175</f>
        <v>0</v>
      </c>
      <c r="C172" s="733"/>
      <c r="D172" s="717" t="e">
        <f t="shared" si="22"/>
        <v>#DIV/0!</v>
      </c>
      <c r="E172" s="718"/>
      <c r="F172" s="717" t="e">
        <f t="shared" si="23"/>
        <v>#DIV/0!</v>
      </c>
      <c r="G172" s="718"/>
      <c r="H172" s="716" t="e">
        <f t="shared" si="24"/>
        <v>#DIV/0!</v>
      </c>
    </row>
    <row r="173" spans="1:10" ht="15" x14ac:dyDescent="0.3">
      <c r="A173" s="709" t="s">
        <v>366</v>
      </c>
      <c r="B173" s="735">
        <f>SUM(B118:B172)</f>
        <v>0</v>
      </c>
      <c r="C173" s="736"/>
      <c r="D173" s="737" t="e">
        <f>SUM(D118:D172)</f>
        <v>#DIV/0!</v>
      </c>
      <c r="E173" s="737"/>
      <c r="F173" s="737" t="e">
        <f>SUM(F118:F172)</f>
        <v>#DIV/0!</v>
      </c>
      <c r="G173" s="737"/>
      <c r="H173" s="737" t="e">
        <f>SUM(H118:H172)</f>
        <v>#DIV/0!</v>
      </c>
    </row>
    <row r="174" spans="1:10" ht="15.5" x14ac:dyDescent="0.35">
      <c r="A174" s="738"/>
      <c r="B174" s="732"/>
      <c r="C174" s="733"/>
      <c r="D174" s="739"/>
      <c r="E174" s="740"/>
      <c r="F174" s="740"/>
      <c r="G174" s="740"/>
      <c r="H174" s="740"/>
    </row>
    <row r="175" spans="1:10" ht="15.5" x14ac:dyDescent="0.35">
      <c r="A175" s="709" t="s">
        <v>367</v>
      </c>
      <c r="B175" s="732"/>
      <c r="C175" s="733"/>
      <c r="D175" s="739"/>
      <c r="E175" s="740"/>
      <c r="F175" s="740"/>
      <c r="G175" s="740"/>
      <c r="H175" s="740"/>
    </row>
    <row r="176" spans="1:10" ht="15.5" x14ac:dyDescent="0.35">
      <c r="A176" s="714" t="s">
        <v>29</v>
      </c>
      <c r="B176" s="732"/>
      <c r="C176" s="733"/>
      <c r="D176" s="733"/>
      <c r="E176" s="757"/>
      <c r="F176" s="716"/>
      <c r="G176" s="757"/>
      <c r="H176" s="716"/>
      <c r="J176" s="890" t="s">
        <v>29</v>
      </c>
    </row>
    <row r="177" spans="1:16" ht="15.5" x14ac:dyDescent="0.35">
      <c r="A177" s="734" t="s">
        <v>1240</v>
      </c>
      <c r="B177" s="732">
        <f>SUM(Rf!H8:H24)</f>
        <v>0</v>
      </c>
      <c r="C177" s="733"/>
      <c r="D177" s="717" t="e">
        <f t="shared" ref="D177:D190" si="25">B177/rye</f>
        <v>#DIV/0!</v>
      </c>
      <c r="E177" s="757"/>
      <c r="F177" s="717" t="e">
        <f t="shared" ref="F177:F190" si="26">B177/($C$97*rye)</f>
        <v>#DIV/0!</v>
      </c>
      <c r="G177" s="757"/>
      <c r="H177" s="716" t="e">
        <f t="shared" ref="H177:H190" si="27">B177/($E$97*rye)</f>
        <v>#DIV/0!</v>
      </c>
      <c r="J177" s="697" t="s">
        <v>76</v>
      </c>
      <c r="K177" s="697"/>
      <c r="L177" s="697" t="s">
        <v>77</v>
      </c>
      <c r="M177" s="698"/>
      <c r="N177" s="697" t="s">
        <v>1554</v>
      </c>
      <c r="O177" s="698"/>
      <c r="P177" s="697" t="s">
        <v>385</v>
      </c>
    </row>
    <row r="178" spans="1:16" ht="15.5" x14ac:dyDescent="0.35">
      <c r="A178" s="734" t="s">
        <v>1241</v>
      </c>
      <c r="B178" s="732">
        <f>SUM(Rf!H25:H33)</f>
        <v>0</v>
      </c>
      <c r="C178" s="733"/>
      <c r="D178" s="717" t="e">
        <f t="shared" si="25"/>
        <v>#DIV/0!</v>
      </c>
      <c r="E178" s="757"/>
      <c r="F178" s="717" t="e">
        <f t="shared" si="26"/>
        <v>#DIV/0!</v>
      </c>
      <c r="G178" s="757"/>
      <c r="H178" s="716" t="e">
        <f t="shared" si="27"/>
        <v>#DIV/0!</v>
      </c>
      <c r="J178" s="763">
        <f>SUM(B177:B189)</f>
        <v>0</v>
      </c>
      <c r="L178" s="756" t="e">
        <f>SUM(D177:D189)</f>
        <v>#DIV/0!</v>
      </c>
      <c r="N178" s="756" t="e">
        <f>SUM(F177:F189)</f>
        <v>#DIV/0!</v>
      </c>
      <c r="P178" s="756" t="e">
        <f>SUM(H177:H189)</f>
        <v>#DIV/0!</v>
      </c>
    </row>
    <row r="179" spans="1:16" ht="15.5" x14ac:dyDescent="0.35">
      <c r="A179" s="734" t="s">
        <v>1243</v>
      </c>
      <c r="B179" s="732">
        <f>SUM(Rf!H34:H50)</f>
        <v>0</v>
      </c>
      <c r="C179" s="733"/>
      <c r="D179" s="717" t="e">
        <f t="shared" si="25"/>
        <v>#DIV/0!</v>
      </c>
      <c r="E179" s="757"/>
      <c r="F179" s="717" t="e">
        <f t="shared" si="26"/>
        <v>#DIV/0!</v>
      </c>
      <c r="G179" s="757"/>
      <c r="H179" s="716" t="e">
        <f t="shared" si="27"/>
        <v>#DIV/0!</v>
      </c>
    </row>
    <row r="180" spans="1:16" ht="15.5" x14ac:dyDescent="0.35">
      <c r="A180" s="734" t="s">
        <v>1242</v>
      </c>
      <c r="B180" s="732">
        <f>SUM(Rf!H51:H62)</f>
        <v>0</v>
      </c>
      <c r="C180" s="733"/>
      <c r="D180" s="717" t="e">
        <f t="shared" si="25"/>
        <v>#DIV/0!</v>
      </c>
      <c r="E180" s="757"/>
      <c r="F180" s="717" t="e">
        <f t="shared" si="26"/>
        <v>#DIV/0!</v>
      </c>
      <c r="G180" s="757"/>
      <c r="H180" s="716" t="e">
        <f t="shared" si="27"/>
        <v>#DIV/0!</v>
      </c>
    </row>
    <row r="181" spans="1:16" ht="15.5" x14ac:dyDescent="0.35">
      <c r="A181" s="734" t="s">
        <v>1244</v>
      </c>
      <c r="B181" s="732">
        <f>SUM(Rf!H63:H67)</f>
        <v>0</v>
      </c>
      <c r="C181" s="733"/>
      <c r="D181" s="719" t="e">
        <f t="shared" si="25"/>
        <v>#DIV/0!</v>
      </c>
      <c r="E181" s="762"/>
      <c r="F181" s="719" t="e">
        <f t="shared" si="26"/>
        <v>#DIV/0!</v>
      </c>
      <c r="G181" s="762"/>
      <c r="H181" s="715" t="e">
        <f t="shared" si="27"/>
        <v>#DIV/0!</v>
      </c>
    </row>
    <row r="182" spans="1:16" ht="15.5" x14ac:dyDescent="0.35">
      <c r="A182" s="734" t="s">
        <v>1245</v>
      </c>
      <c r="B182" s="732">
        <f>0</f>
        <v>0</v>
      </c>
      <c r="C182" s="733"/>
      <c r="D182" s="719" t="e">
        <f t="shared" si="25"/>
        <v>#DIV/0!</v>
      </c>
      <c r="E182" s="762"/>
      <c r="F182" s="719" t="e">
        <f t="shared" si="26"/>
        <v>#DIV/0!</v>
      </c>
      <c r="G182" s="762"/>
      <c r="H182" s="715" t="e">
        <f t="shared" si="27"/>
        <v>#DIV/0!</v>
      </c>
    </row>
    <row r="183" spans="1:16" ht="15.5" x14ac:dyDescent="0.35">
      <c r="A183" s="734" t="s">
        <v>1246</v>
      </c>
      <c r="B183" s="732">
        <f>SUM(Rf!H68:H78)</f>
        <v>0</v>
      </c>
      <c r="C183" s="733"/>
      <c r="D183" s="717" t="e">
        <f t="shared" si="25"/>
        <v>#DIV/0!</v>
      </c>
      <c r="E183" s="757"/>
      <c r="F183" s="717" t="e">
        <f t="shared" si="26"/>
        <v>#DIV/0!</v>
      </c>
      <c r="G183" s="757"/>
      <c r="H183" s="716" t="e">
        <f t="shared" si="27"/>
        <v>#DIV/0!</v>
      </c>
    </row>
    <row r="184" spans="1:16" ht="15.5" x14ac:dyDescent="0.35">
      <c r="A184" s="734" t="s">
        <v>1247</v>
      </c>
      <c r="B184" s="732">
        <f>SUM(Rf!H79:H86)</f>
        <v>0</v>
      </c>
      <c r="C184" s="733"/>
      <c r="D184" s="717" t="e">
        <f t="shared" si="25"/>
        <v>#DIV/0!</v>
      </c>
      <c r="E184" s="757"/>
      <c r="F184" s="785" t="e">
        <f t="shared" si="26"/>
        <v>#DIV/0!</v>
      </c>
      <c r="G184" s="757"/>
      <c r="H184" s="716" t="e">
        <f t="shared" si="27"/>
        <v>#DIV/0!</v>
      </c>
    </row>
    <row r="185" spans="1:16" ht="15.5" x14ac:dyDescent="0.35">
      <c r="A185" s="734" t="s">
        <v>2148</v>
      </c>
      <c r="B185" s="732">
        <f>SUM(Rf!H87:H91)</f>
        <v>0</v>
      </c>
      <c r="C185" s="733"/>
      <c r="D185" s="717" t="e">
        <f t="shared" ref="D185" si="28">B185/rye</f>
        <v>#DIV/0!</v>
      </c>
      <c r="E185" s="757"/>
      <c r="F185" s="717" t="e">
        <f t="shared" ref="F185" si="29">B185/($C$97*rye)</f>
        <v>#DIV/0!</v>
      </c>
      <c r="G185" s="757"/>
      <c r="H185" s="716" t="e">
        <f t="shared" ref="H185" si="30">B185/($E$97*rye)</f>
        <v>#DIV/0!</v>
      </c>
    </row>
    <row r="186" spans="1:16" ht="15.5" x14ac:dyDescent="0.35">
      <c r="A186" s="734" t="s">
        <v>1250</v>
      </c>
      <c r="B186" s="732">
        <f>SUM(Rf!H92:H103)</f>
        <v>0</v>
      </c>
      <c r="C186" s="733"/>
      <c r="D186" s="717" t="e">
        <f t="shared" si="25"/>
        <v>#DIV/0!</v>
      </c>
      <c r="E186" s="757"/>
      <c r="F186" s="717" t="e">
        <f t="shared" si="26"/>
        <v>#DIV/0!</v>
      </c>
      <c r="G186" s="757"/>
      <c r="H186" s="716" t="e">
        <f t="shared" si="27"/>
        <v>#DIV/0!</v>
      </c>
    </row>
    <row r="187" spans="1:16" ht="15.5" x14ac:dyDescent="0.35">
      <c r="A187" s="734" t="s">
        <v>1304</v>
      </c>
      <c r="B187" s="732">
        <f>0</f>
        <v>0</v>
      </c>
      <c r="C187" s="733"/>
      <c r="D187" s="719" t="e">
        <f t="shared" si="25"/>
        <v>#DIV/0!</v>
      </c>
      <c r="E187" s="762"/>
      <c r="F187" s="719" t="e">
        <f t="shared" si="26"/>
        <v>#DIV/0!</v>
      </c>
      <c r="G187" s="762"/>
      <c r="H187" s="715" t="e">
        <f t="shared" si="27"/>
        <v>#DIV/0!</v>
      </c>
    </row>
    <row r="188" spans="1:16" ht="15.5" x14ac:dyDescent="0.35">
      <c r="A188" s="734" t="s">
        <v>1248</v>
      </c>
      <c r="B188" s="732">
        <f>SUM(Rf!H105:H108)</f>
        <v>0</v>
      </c>
      <c r="C188" s="733"/>
      <c r="D188" s="717" t="e">
        <f t="shared" si="25"/>
        <v>#DIV/0!</v>
      </c>
      <c r="E188" s="757"/>
      <c r="F188" s="717" t="e">
        <f t="shared" si="26"/>
        <v>#DIV/0!</v>
      </c>
      <c r="G188" s="757"/>
      <c r="H188" s="716" t="e">
        <f t="shared" si="27"/>
        <v>#DIV/0!</v>
      </c>
    </row>
    <row r="189" spans="1:16" ht="15.5" x14ac:dyDescent="0.35">
      <c r="A189" s="734" t="s">
        <v>1249</v>
      </c>
      <c r="B189" s="732">
        <f>SUM(Rf!H109:H113)</f>
        <v>0</v>
      </c>
      <c r="C189" s="733"/>
      <c r="D189" s="717" t="e">
        <f t="shared" si="25"/>
        <v>#DIV/0!</v>
      </c>
      <c r="E189" s="757"/>
      <c r="F189" s="717" t="e">
        <f t="shared" si="26"/>
        <v>#DIV/0!</v>
      </c>
      <c r="G189" s="757"/>
      <c r="H189" s="716" t="e">
        <f t="shared" si="27"/>
        <v>#DIV/0!</v>
      </c>
    </row>
    <row r="190" spans="1:16" ht="15.5" x14ac:dyDescent="0.35">
      <c r="A190" s="714" t="s">
        <v>79</v>
      </c>
      <c r="B190" s="732">
        <f>Rf!L121</f>
        <v>0</v>
      </c>
      <c r="C190" s="733"/>
      <c r="D190" s="717" t="e">
        <f t="shared" si="25"/>
        <v>#DIV/0!</v>
      </c>
      <c r="E190" s="740"/>
      <c r="F190" s="717" t="e">
        <f t="shared" si="26"/>
        <v>#DIV/0!</v>
      </c>
      <c r="G190" s="740"/>
      <c r="H190" s="716" t="e">
        <f t="shared" si="27"/>
        <v>#DIV/0!</v>
      </c>
    </row>
    <row r="191" spans="1:16" ht="15" x14ac:dyDescent="0.3">
      <c r="A191" s="709" t="s">
        <v>368</v>
      </c>
      <c r="B191" s="735">
        <f>SUM(B176:B190)</f>
        <v>0</v>
      </c>
      <c r="C191" s="736"/>
      <c r="D191" s="737" t="e">
        <f>SUM(D176:D190)</f>
        <v>#DIV/0!</v>
      </c>
      <c r="E191" s="737"/>
      <c r="F191" s="737" t="e">
        <f>SUM(F176:F190)</f>
        <v>#DIV/0!</v>
      </c>
      <c r="G191" s="737"/>
      <c r="H191" s="737" t="e">
        <f>SUM(H176:H190)</f>
        <v>#DIV/0!</v>
      </c>
    </row>
    <row r="192" spans="1:16" ht="15.5" x14ac:dyDescent="0.35">
      <c r="A192" s="699"/>
      <c r="B192" s="735"/>
      <c r="C192" s="736"/>
      <c r="D192" s="737"/>
      <c r="E192" s="741"/>
      <c r="F192" s="741"/>
      <c r="G192" s="741"/>
      <c r="H192" s="741"/>
    </row>
    <row r="193" spans="1:8" ht="15" x14ac:dyDescent="0.3">
      <c r="A193" s="709" t="s">
        <v>80</v>
      </c>
      <c r="B193" s="735">
        <f>B191+B173</f>
        <v>0</v>
      </c>
      <c r="C193" s="736"/>
      <c r="D193" s="737" t="e">
        <f>D191+D173</f>
        <v>#DIV/0!</v>
      </c>
      <c r="E193" s="737"/>
      <c r="F193" s="737" t="e">
        <f>F191+F173</f>
        <v>#DIV/0!</v>
      </c>
      <c r="G193" s="737"/>
      <c r="H193" s="737" t="e">
        <f>H191+H173</f>
        <v>#DIV/0!</v>
      </c>
    </row>
    <row r="194" spans="1:8" ht="15.5" x14ac:dyDescent="0.35">
      <c r="A194" s="742"/>
      <c r="B194" s="735"/>
      <c r="C194" s="736"/>
      <c r="D194" s="737"/>
      <c r="E194" s="737"/>
      <c r="F194" s="737"/>
      <c r="G194" s="737"/>
      <c r="H194" s="737"/>
    </row>
    <row r="195" spans="1:8" ht="15" x14ac:dyDescent="0.3">
      <c r="A195" s="709" t="s">
        <v>355</v>
      </c>
      <c r="B195" s="710">
        <f>B113-B193</f>
        <v>0</v>
      </c>
      <c r="C195" s="736"/>
      <c r="D195" s="712" t="e">
        <f>D113-D193</f>
        <v>#DIV/0!</v>
      </c>
      <c r="E195" s="737"/>
      <c r="F195" s="712" t="e">
        <f>F113-F193</f>
        <v>#DIV/0!</v>
      </c>
      <c r="G195" s="737"/>
      <c r="H195" s="712" t="e">
        <f>H113-H193</f>
        <v>#DIV/0!</v>
      </c>
    </row>
    <row r="196" spans="1:8" ht="15" x14ac:dyDescent="0.3">
      <c r="A196" s="709" t="s">
        <v>356</v>
      </c>
      <c r="B196" s="735">
        <f>B113-B173</f>
        <v>0</v>
      </c>
      <c r="C196" s="736"/>
      <c r="D196" s="737" t="e">
        <f>D113-D173</f>
        <v>#DIV/0!</v>
      </c>
      <c r="E196" s="737"/>
      <c r="F196" s="737" t="e">
        <f>F113-F173</f>
        <v>#DIV/0!</v>
      </c>
      <c r="G196" s="737"/>
      <c r="H196" s="737" t="e">
        <f>H113-H173</f>
        <v>#DIV/0!</v>
      </c>
    </row>
    <row r="197" spans="1:8" ht="15.5" x14ac:dyDescent="0.35">
      <c r="A197" s="699"/>
      <c r="B197" s="743"/>
      <c r="C197" s="743"/>
      <c r="D197" s="702"/>
      <c r="E197" s="703"/>
      <c r="F197" s="703"/>
      <c r="G197" s="703"/>
      <c r="H197" s="703"/>
    </row>
    <row r="198" spans="1:8" ht="15.5" x14ac:dyDescent="0.35">
      <c r="A198" s="709" t="s">
        <v>234</v>
      </c>
      <c r="B198" s="743"/>
      <c r="C198" s="743"/>
      <c r="D198" s="702"/>
      <c r="E198" s="703"/>
      <c r="F198" s="703"/>
      <c r="G198" s="703"/>
      <c r="H198" s="703"/>
    </row>
    <row r="199" spans="1:8" ht="15.5" x14ac:dyDescent="0.35">
      <c r="A199" s="744" t="s">
        <v>369</v>
      </c>
      <c r="B199" s="703" t="s">
        <v>76</v>
      </c>
      <c r="C199" s="743"/>
      <c r="D199" s="703" t="s">
        <v>393</v>
      </c>
      <c r="E199" s="703"/>
      <c r="F199" s="703" t="s">
        <v>1556</v>
      </c>
      <c r="G199" s="703"/>
      <c r="H199" s="703" t="s">
        <v>396</v>
      </c>
    </row>
    <row r="200" spans="1:8" ht="15.5" x14ac:dyDescent="0.35">
      <c r="A200" s="714" t="s">
        <v>370</v>
      </c>
      <c r="B200" s="745">
        <f>B193</f>
        <v>0</v>
      </c>
      <c r="C200" s="743"/>
      <c r="D200" s="717" t="e">
        <f>$B$193/rye</f>
        <v>#DIV/0!</v>
      </c>
      <c r="E200" s="718"/>
      <c r="F200" s="717" t="e">
        <f>$B$193/($C$97*rye)</f>
        <v>#DIV/0!</v>
      </c>
      <c r="G200" s="718"/>
      <c r="H200" s="717" t="e">
        <f>$B$193/($E$97*rye)</f>
        <v>#DIV/0!</v>
      </c>
    </row>
    <row r="201" spans="1:8" ht="15.5" x14ac:dyDescent="0.35">
      <c r="A201" s="714" t="s">
        <v>371</v>
      </c>
      <c r="B201" s="745">
        <f>B173</f>
        <v>0</v>
      </c>
      <c r="C201" s="743"/>
      <c r="D201" s="717" t="e">
        <f>$B$173/rye</f>
        <v>#DIV/0!</v>
      </c>
      <c r="E201" s="718"/>
      <c r="F201" s="717" t="e">
        <f>$B$173/($C$97*rye)</f>
        <v>#DIV/0!</v>
      </c>
      <c r="G201" s="718"/>
      <c r="H201" s="717" t="e">
        <f>$B$173/($E$97*rye)</f>
        <v>#DIV/0!</v>
      </c>
    </row>
    <row r="202" spans="1:8" ht="15.5" x14ac:dyDescent="0.35">
      <c r="A202" s="714"/>
      <c r="B202" s="743"/>
      <c r="C202" s="743"/>
      <c r="D202" s="717"/>
      <c r="E202" s="718"/>
      <c r="F202" s="717"/>
      <c r="G202" s="718"/>
      <c r="H202" s="717"/>
    </row>
    <row r="203" spans="1:8" ht="15.5" x14ac:dyDescent="0.35">
      <c r="A203" s="744" t="s">
        <v>1099</v>
      </c>
      <c r="B203" s="703" t="s">
        <v>1100</v>
      </c>
      <c r="C203" s="743"/>
      <c r="D203" s="703" t="s">
        <v>1995</v>
      </c>
      <c r="E203" s="752"/>
      <c r="F203" s="717"/>
      <c r="G203" s="718"/>
      <c r="H203" s="717"/>
    </row>
    <row r="204" spans="1:8" ht="15.5" x14ac:dyDescent="0.35">
      <c r="A204" s="714" t="s">
        <v>1101</v>
      </c>
      <c r="B204" s="746" t="e">
        <f>B195/SUM(Rv!E25:E76)</f>
        <v>#DIV/0!</v>
      </c>
      <c r="C204" s="743"/>
      <c r="D204" s="1226">
        <f>SUM(Rv!E25:E76)</f>
        <v>0</v>
      </c>
      <c r="E204" s="1225" t="s">
        <v>1996</v>
      </c>
      <c r="F204" s="717"/>
      <c r="G204" s="718"/>
      <c r="H204" s="717"/>
    </row>
    <row r="205" spans="1:8" ht="15.5" x14ac:dyDescent="0.35">
      <c r="A205" s="714" t="s">
        <v>1102</v>
      </c>
      <c r="B205" s="746" t="e">
        <f>B196/SUM(Rv!E25:E76)</f>
        <v>#DIV/0!</v>
      </c>
      <c r="C205" s="743"/>
      <c r="D205" s="717"/>
      <c r="E205" s="718"/>
      <c r="F205" s="717"/>
      <c r="G205" s="718"/>
      <c r="H205" s="717"/>
    </row>
    <row r="206" spans="1:8" ht="15.5" x14ac:dyDescent="0.35">
      <c r="A206" s="747"/>
      <c r="B206" s="748"/>
      <c r="C206" s="748"/>
      <c r="D206" s="749"/>
      <c r="E206" s="750"/>
      <c r="F206" s="750"/>
      <c r="G206" s="750"/>
      <c r="H206" s="750"/>
    </row>
  </sheetData>
  <phoneticPr fontId="16" type="noConversion"/>
  <pageMargins left="0.7" right="0.7" top="0.75" bottom="0.75" header="0.3" footer="0.3"/>
  <pageSetup scale="56" orientation="portrait" r:id="rId1"/>
  <rowBreaks count="2" manualBreakCount="2">
    <brk id="90" max="16383" man="1"/>
    <brk id="153" max="16383" man="1"/>
  </rowBreaks>
  <colBreaks count="1" manualBreakCount="1">
    <brk id="8"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6"/>
  <sheetViews>
    <sheetView topLeftCell="A57" zoomScaleNormal="100" workbookViewId="0">
      <selection activeCell="M32" sqref="M32"/>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438</v>
      </c>
      <c r="B3" s="55" t="s">
        <v>92</v>
      </c>
      <c r="C3" s="54">
        <f>oats</f>
        <v>0</v>
      </c>
      <c r="D3" s="17" t="s">
        <v>93</v>
      </c>
    </row>
    <row r="4" spans="1:8" x14ac:dyDescent="0.3">
      <c r="A4" s="7"/>
      <c r="B4" s="55" t="s">
        <v>750</v>
      </c>
      <c r="C4" s="54">
        <f>(oats*Data!F30)*Data!$B$30*Data!$C$30</f>
        <v>0</v>
      </c>
      <c r="D4" s="17" t="s">
        <v>93</v>
      </c>
    </row>
    <row r="5" spans="1:8" x14ac:dyDescent="0.3">
      <c r="A5" s="7"/>
      <c r="B5" s="55" t="s">
        <v>751</v>
      </c>
      <c r="C5" s="54">
        <f>(oats*Data!G30)*Data!$B$30*Data!$D$30</f>
        <v>0</v>
      </c>
      <c r="D5" s="17" t="s">
        <v>93</v>
      </c>
    </row>
    <row r="6" spans="1:8" x14ac:dyDescent="0.3">
      <c r="A6" s="8"/>
      <c r="B6" s="55" t="s">
        <v>727</v>
      </c>
      <c r="C6" s="54">
        <f>Data!B188</f>
        <v>0</v>
      </c>
      <c r="D6" s="17" t="s">
        <v>1567</v>
      </c>
      <c r="E6" s="1190">
        <f>(C6*Data!$K$59)/2000</f>
        <v>0</v>
      </c>
      <c r="F6" s="17" t="s">
        <v>235</v>
      </c>
      <c r="G6" s="54"/>
    </row>
    <row r="7" spans="1:8" x14ac:dyDescent="0.3">
      <c r="B7" s="55" t="s">
        <v>728</v>
      </c>
      <c r="C7" s="106">
        <f>IF(FARM!$F$16&gt;0,Data!$B$183,Data!$B$184)</f>
        <v>5.875</v>
      </c>
      <c r="D7" s="17" t="s">
        <v>1566</v>
      </c>
      <c r="E7" s="153">
        <f>Data!$K$59</f>
        <v>32</v>
      </c>
      <c r="F7" s="17" t="s">
        <v>1560</v>
      </c>
    </row>
    <row r="8" spans="1:8" x14ac:dyDescent="0.3">
      <c r="B8" s="55" t="s">
        <v>729</v>
      </c>
      <c r="C8" s="157">
        <f>Data!E188</f>
        <v>0</v>
      </c>
      <c r="D8" s="17" t="s">
        <v>731</v>
      </c>
      <c r="E8" s="157">
        <f>Data!H188</f>
        <v>0</v>
      </c>
      <c r="F8" s="17" t="s">
        <v>732</v>
      </c>
      <c r="G8" s="54"/>
    </row>
    <row r="9" spans="1:8" x14ac:dyDescent="0.3">
      <c r="B9" s="55" t="s">
        <v>730</v>
      </c>
      <c r="C9" s="116">
        <f>IF(Straw!$D$10&gt;0,Straw!$D$10,Data!$E$185)</f>
        <v>40</v>
      </c>
      <c r="D9" s="17" t="s">
        <v>733</v>
      </c>
      <c r="E9" s="217">
        <f>IF(Straw!$F$10&gt;0,Straw!$F$10,Data!$H$185)</f>
        <v>5.0833333333333304</v>
      </c>
      <c r="F9" s="17" t="s">
        <v>734</v>
      </c>
      <c r="G9" s="217"/>
    </row>
    <row r="10" spans="1:8" x14ac:dyDescent="0.3">
      <c r="B10" s="55"/>
      <c r="C10" s="54"/>
      <c r="D10" s="17"/>
    </row>
    <row r="11" spans="1:8" ht="15.5" x14ac:dyDescent="0.35">
      <c r="A11" s="751" t="s">
        <v>438</v>
      </c>
      <c r="B11" s="697" t="s">
        <v>76</v>
      </c>
      <c r="C11" s="697"/>
      <c r="D11" s="697" t="s">
        <v>77</v>
      </c>
      <c r="E11" s="698"/>
      <c r="F11" s="697" t="s">
        <v>1554</v>
      </c>
      <c r="G11" s="698"/>
      <c r="H11" s="697" t="s">
        <v>385</v>
      </c>
    </row>
    <row r="12" spans="1:8" ht="15.65" customHeight="1" x14ac:dyDescent="0.35">
      <c r="A12" s="699" t="s">
        <v>362</v>
      </c>
      <c r="B12" s="700">
        <f>C3</f>
        <v>0</v>
      </c>
      <c r="C12" s="701"/>
      <c r="D12" s="702" t="s">
        <v>363</v>
      </c>
      <c r="E12" s="703"/>
      <c r="F12" s="702" t="s">
        <v>363</v>
      </c>
      <c r="G12" s="703"/>
      <c r="H12" s="702" t="s">
        <v>363</v>
      </c>
    </row>
    <row r="13" spans="1:8" ht="15.65" customHeight="1" x14ac:dyDescent="0.35">
      <c r="A13" s="699" t="s">
        <v>1850</v>
      </c>
      <c r="B13" s="702" t="s">
        <v>363</v>
      </c>
      <c r="C13" s="701"/>
      <c r="D13" s="702" t="s">
        <v>363</v>
      </c>
      <c r="E13" s="703"/>
      <c r="F13" s="702" t="s">
        <v>363</v>
      </c>
      <c r="G13" s="703"/>
      <c r="H13" s="888">
        <f>2000/Data!$K$59</f>
        <v>62.5</v>
      </c>
    </row>
    <row r="14" spans="1:8" ht="15.65" customHeight="1" x14ac:dyDescent="0.35">
      <c r="A14" s="699" t="s">
        <v>1562</v>
      </c>
      <c r="B14" s="700">
        <f>$C$3*C6</f>
        <v>0</v>
      </c>
      <c r="C14" s="701"/>
      <c r="D14" s="700">
        <f>C6</f>
        <v>0</v>
      </c>
      <c r="E14" s="703"/>
      <c r="F14" s="702" t="s">
        <v>363</v>
      </c>
      <c r="G14" s="703"/>
      <c r="H14" s="702" t="s">
        <v>363</v>
      </c>
    </row>
    <row r="15" spans="1:8" ht="15.65" customHeight="1" x14ac:dyDescent="0.35">
      <c r="A15" s="699" t="s">
        <v>1852</v>
      </c>
      <c r="B15" s="700">
        <f>$C$3*E6</f>
        <v>0</v>
      </c>
      <c r="C15" s="701"/>
      <c r="D15" s="1191">
        <f>E6</f>
        <v>0</v>
      </c>
      <c r="E15" s="703"/>
      <c r="F15" s="702" t="s">
        <v>363</v>
      </c>
      <c r="G15" s="703"/>
      <c r="H15" s="702" t="s">
        <v>363</v>
      </c>
    </row>
    <row r="16" spans="1:8" ht="15.65" customHeight="1" x14ac:dyDescent="0.35">
      <c r="A16" s="699" t="str">
        <f>IF(Data!B185=1,"Oat Price ($/unit) - Food Grade","Oat Price ($/unit) - Feed Grade")</f>
        <v>Oat Price ($/unit) - Feed Grade</v>
      </c>
      <c r="B16" s="702" t="s">
        <v>363</v>
      </c>
      <c r="C16" s="701"/>
      <c r="D16" s="702" t="s">
        <v>363</v>
      </c>
      <c r="E16" s="703"/>
      <c r="F16" s="704">
        <f>C7</f>
        <v>5.875</v>
      </c>
      <c r="G16" s="703"/>
      <c r="H16" s="840">
        <f>F16*H13</f>
        <v>367.1875</v>
      </c>
    </row>
    <row r="17" spans="1:8" ht="15" customHeight="1" x14ac:dyDescent="0.35">
      <c r="A17" s="699" t="s">
        <v>2032</v>
      </c>
      <c r="B17" s="700">
        <f>C8*C4</f>
        <v>0</v>
      </c>
      <c r="C17" s="701"/>
      <c r="D17" s="841">
        <f>C8</f>
        <v>0</v>
      </c>
      <c r="E17" s="703"/>
      <c r="F17" s="842" t="e">
        <f>C8/($C$6*$C$3)</f>
        <v>#DIV/0!</v>
      </c>
      <c r="G17" s="703"/>
      <c r="H17" s="842" t="e">
        <f>C8/($E$6*$C$3)</f>
        <v>#DIV/0!</v>
      </c>
    </row>
    <row r="18" spans="1:8" ht="15" customHeight="1" x14ac:dyDescent="0.35">
      <c r="A18" s="699" t="s">
        <v>2034</v>
      </c>
      <c r="B18" s="705">
        <f>C9</f>
        <v>40</v>
      </c>
      <c r="C18" s="701"/>
      <c r="D18" s="705">
        <f>C9*C8</f>
        <v>0</v>
      </c>
      <c r="E18" s="703"/>
      <c r="F18" s="840" t="e">
        <f>D18/$C$6</f>
        <v>#DIV/0!</v>
      </c>
      <c r="G18" s="703"/>
      <c r="H18" s="840" t="e">
        <f>D18/$E$6</f>
        <v>#DIV/0!</v>
      </c>
    </row>
    <row r="19" spans="1:8" ht="15" customHeight="1" x14ac:dyDescent="0.35">
      <c r="A19" s="699" t="s">
        <v>2031</v>
      </c>
      <c r="B19" s="700">
        <f>E8*C5</f>
        <v>0</v>
      </c>
      <c r="C19" s="701"/>
      <c r="D19" s="841">
        <f>E8</f>
        <v>0</v>
      </c>
      <c r="E19" s="703"/>
      <c r="F19" s="842" t="e">
        <f>E8/(C6*C3)</f>
        <v>#DIV/0!</v>
      </c>
      <c r="G19" s="703"/>
      <c r="H19" s="842" t="e">
        <f>E8/(E6*C3)</f>
        <v>#DIV/0!</v>
      </c>
    </row>
    <row r="20" spans="1:8" ht="15" customHeight="1" x14ac:dyDescent="0.35">
      <c r="A20" s="699" t="s">
        <v>2033</v>
      </c>
      <c r="B20" s="840">
        <f>E9</f>
        <v>5.0833333333333304</v>
      </c>
      <c r="C20" s="701"/>
      <c r="D20" s="705">
        <f>E9*E8</f>
        <v>0</v>
      </c>
      <c r="E20" s="703"/>
      <c r="F20" s="840" t="e">
        <f>D20/C6</f>
        <v>#DIV/0!</v>
      </c>
      <c r="G20" s="703"/>
      <c r="H20" s="840" t="e">
        <f>D20/E6</f>
        <v>#DIV/0!</v>
      </c>
    </row>
    <row r="21" spans="1:8" ht="15.5" x14ac:dyDescent="0.35">
      <c r="A21" s="699"/>
      <c r="B21" s="706"/>
      <c r="C21" s="706"/>
      <c r="D21" s="707"/>
      <c r="E21" s="708"/>
      <c r="F21" s="707"/>
      <c r="G21" s="708"/>
      <c r="H21" s="706"/>
    </row>
    <row r="22" spans="1:8" ht="15" x14ac:dyDescent="0.3">
      <c r="A22" s="709" t="s">
        <v>230</v>
      </c>
      <c r="B22" s="710">
        <f>(C6*C7*oats)+(C8*C9*C4)+(E8*E9*C5)</f>
        <v>0</v>
      </c>
      <c r="C22" s="711"/>
      <c r="D22" s="712" t="e">
        <f>B22/oats</f>
        <v>#DIV/0!</v>
      </c>
      <c r="E22" s="713"/>
      <c r="F22" s="712" t="e">
        <f>B22/($C$6*oats)</f>
        <v>#DIV/0!</v>
      </c>
      <c r="G22" s="713"/>
      <c r="H22" s="711" t="e">
        <f>B22/($E$6*oats)</f>
        <v>#DIV/0!</v>
      </c>
    </row>
    <row r="23" spans="1:8" ht="15.5" x14ac:dyDescent="0.35">
      <c r="A23" s="714" t="s">
        <v>1235</v>
      </c>
      <c r="B23" s="715">
        <f>(C6*C7*oats)</f>
        <v>0</v>
      </c>
      <c r="C23" s="716"/>
      <c r="D23" s="717" t="e">
        <f t="shared" ref="D23" si="0">B23/oats</f>
        <v>#DIV/0!</v>
      </c>
      <c r="E23" s="752"/>
      <c r="F23" s="717" t="e">
        <f>B23/($C$6*oats)</f>
        <v>#DIV/0!</v>
      </c>
      <c r="G23" s="752"/>
      <c r="H23" s="716" t="e">
        <f>B23/($E$6*oats)</f>
        <v>#DIV/0!</v>
      </c>
    </row>
    <row r="24" spans="1:8" ht="15.5" x14ac:dyDescent="0.35">
      <c r="A24" s="714" t="s">
        <v>1236</v>
      </c>
      <c r="B24" s="715">
        <f>(C8*C9*C4)+(E8*E9*C5)</f>
        <v>0</v>
      </c>
      <c r="C24" s="716"/>
      <c r="D24" s="717" t="e">
        <f t="shared" ref="D24" si="1">B24/oats</f>
        <v>#DIV/0!</v>
      </c>
      <c r="E24" s="753"/>
      <c r="F24" s="717" t="e">
        <f>B24/($C$6*oats)</f>
        <v>#DIV/0!</v>
      </c>
      <c r="G24" s="753"/>
      <c r="H24" s="716" t="e">
        <f>B24/($E$6*oats)</f>
        <v>#DIV/0!</v>
      </c>
    </row>
    <row r="25" spans="1:8" ht="15.5" x14ac:dyDescent="0.35">
      <c r="A25" s="699"/>
      <c r="B25" s="721"/>
      <c r="C25" s="722"/>
      <c r="D25" s="717"/>
      <c r="E25" s="718"/>
      <c r="F25" s="717"/>
      <c r="G25" s="718"/>
      <c r="H25" s="717"/>
    </row>
    <row r="26" spans="1:8" ht="15.5" x14ac:dyDescent="0.35">
      <c r="A26" s="709" t="s">
        <v>365</v>
      </c>
      <c r="B26" s="715"/>
      <c r="C26" s="716"/>
      <c r="D26" s="717"/>
      <c r="E26" s="718"/>
      <c r="F26" s="717"/>
      <c r="G26" s="718"/>
      <c r="H26" s="717"/>
    </row>
    <row r="27" spans="1:8" ht="15.5" x14ac:dyDescent="0.35">
      <c r="A27" s="714" t="s">
        <v>13</v>
      </c>
      <c r="B27" s="715">
        <f>SUM(Ov!H9:H11)</f>
        <v>0</v>
      </c>
      <c r="C27" s="716"/>
      <c r="D27" s="717" t="e">
        <f>B27/oats</f>
        <v>#DIV/0!</v>
      </c>
      <c r="E27" s="718"/>
      <c r="F27" s="717" t="e">
        <f>B27/($C$6*oats)</f>
        <v>#DIV/0!</v>
      </c>
      <c r="G27" s="718"/>
      <c r="H27" s="716" t="e">
        <f>B27/($E$6*oats)</f>
        <v>#DIV/0!</v>
      </c>
    </row>
    <row r="28" spans="1:8" ht="15.5" x14ac:dyDescent="0.35">
      <c r="A28" s="714" t="s">
        <v>1288</v>
      </c>
      <c r="B28" s="715">
        <f>SUM(Ov!H14:H16)</f>
        <v>0</v>
      </c>
      <c r="C28" s="716"/>
      <c r="D28" s="717" t="e">
        <f t="shared" ref="D28:D54" si="2">B28/oats</f>
        <v>#DIV/0!</v>
      </c>
      <c r="E28" s="718"/>
      <c r="F28" s="717" t="e">
        <f t="shared" ref="F28:F54" si="3">B28/($C$6*oats)</f>
        <v>#DIV/0!</v>
      </c>
      <c r="G28" s="718"/>
      <c r="H28" s="716" t="e">
        <f>B28/($E$6*oats)</f>
        <v>#DIV/0!</v>
      </c>
    </row>
    <row r="29" spans="1:8" ht="15.5" x14ac:dyDescent="0.35">
      <c r="A29" s="714" t="s">
        <v>2</v>
      </c>
      <c r="B29" s="715">
        <f>Ov!H19</f>
        <v>0</v>
      </c>
      <c r="C29" s="716"/>
      <c r="D29" s="719" t="e">
        <f>B29/oats</f>
        <v>#DIV/0!</v>
      </c>
      <c r="E29" s="720"/>
      <c r="F29" s="719" t="e">
        <f t="shared" si="3"/>
        <v>#DIV/0!</v>
      </c>
      <c r="G29" s="720"/>
      <c r="H29" s="715" t="e">
        <f>B29/($E$6*oats)</f>
        <v>#DIV/0!</v>
      </c>
    </row>
    <row r="30" spans="1:8" ht="15.5" x14ac:dyDescent="0.35">
      <c r="A30" s="714" t="s">
        <v>1476</v>
      </c>
      <c r="B30" s="699"/>
      <c r="C30" s="699"/>
      <c r="D30" s="699"/>
      <c r="E30" s="699"/>
      <c r="F30" s="699"/>
      <c r="G30" s="699"/>
      <c r="H30" s="699"/>
    </row>
    <row r="31" spans="1:8" ht="15.5" x14ac:dyDescent="0.35">
      <c r="A31" s="714" t="s">
        <v>1121</v>
      </c>
      <c r="B31" s="745">
        <f>SUM(Ov!H20:H21)</f>
        <v>0</v>
      </c>
      <c r="C31" s="746"/>
      <c r="D31" s="755" t="e">
        <f>B31/oats</f>
        <v>#DIV/0!</v>
      </c>
      <c r="E31" s="720"/>
      <c r="F31" s="755" t="e">
        <f>B31/($C$6*oats)</f>
        <v>#DIV/0!</v>
      </c>
      <c r="G31" s="720"/>
      <c r="H31" s="715" t="e">
        <f t="shared" ref="H31:H38" si="4">B31/($E$6*oats)</f>
        <v>#DIV/0!</v>
      </c>
    </row>
    <row r="32" spans="1:8" ht="15.5" x14ac:dyDescent="0.35">
      <c r="A32" s="714" t="s">
        <v>1119</v>
      </c>
      <c r="B32" s="745">
        <f>SUM(Ov!H22:H22)</f>
        <v>0</v>
      </c>
      <c r="C32" s="746"/>
      <c r="D32" s="755" t="e">
        <f>B32/oats</f>
        <v>#DIV/0!</v>
      </c>
      <c r="E32" s="720"/>
      <c r="F32" s="755" t="e">
        <f>B32/($C$6*oats)</f>
        <v>#DIV/0!</v>
      </c>
      <c r="G32" s="720"/>
      <c r="H32" s="715" t="e">
        <f t="shared" si="4"/>
        <v>#DIV/0!</v>
      </c>
    </row>
    <row r="33" spans="1:8" ht="15.5" x14ac:dyDescent="0.35">
      <c r="A33" s="714" t="s">
        <v>1120</v>
      </c>
      <c r="B33" s="745">
        <f>SUM(Ov!H23:H23)</f>
        <v>0</v>
      </c>
      <c r="C33" s="746"/>
      <c r="D33" s="755" t="e">
        <f>B33/oats</f>
        <v>#DIV/0!</v>
      </c>
      <c r="E33" s="720"/>
      <c r="F33" s="755" t="e">
        <f>B33/($C$6*oats)</f>
        <v>#DIV/0!</v>
      </c>
      <c r="G33" s="720"/>
      <c r="H33" s="715" t="e">
        <f t="shared" si="4"/>
        <v>#DIV/0!</v>
      </c>
    </row>
    <row r="34" spans="1:8" ht="15.5" x14ac:dyDescent="0.35">
      <c r="A34" s="714" t="s">
        <v>1214</v>
      </c>
      <c r="B34" s="715">
        <f>SUM(Ov!H25:H76)</f>
        <v>0</v>
      </c>
      <c r="C34" s="716"/>
      <c r="D34" s="717" t="e">
        <f t="shared" si="2"/>
        <v>#DIV/0!</v>
      </c>
      <c r="E34" s="718"/>
      <c r="F34" s="717" t="e">
        <f t="shared" si="3"/>
        <v>#DIV/0!</v>
      </c>
      <c r="G34" s="718"/>
      <c r="H34" s="716" t="e">
        <f t="shared" si="4"/>
        <v>#DIV/0!</v>
      </c>
    </row>
    <row r="35" spans="1:8" ht="15.5" x14ac:dyDescent="0.35">
      <c r="A35" s="714" t="s">
        <v>1261</v>
      </c>
      <c r="B35" s="715">
        <f>SUM(Ov!H77:H128)</f>
        <v>0</v>
      </c>
      <c r="C35" s="716"/>
      <c r="D35" s="717" t="e">
        <f t="shared" si="2"/>
        <v>#DIV/0!</v>
      </c>
      <c r="E35" s="718"/>
      <c r="F35" s="717" t="e">
        <f t="shared" si="3"/>
        <v>#DIV/0!</v>
      </c>
      <c r="G35" s="718"/>
      <c r="H35" s="716" t="e">
        <f t="shared" si="4"/>
        <v>#DIV/0!</v>
      </c>
    </row>
    <row r="36" spans="1:8" ht="15.5" x14ac:dyDescent="0.35">
      <c r="A36" s="714" t="s">
        <v>78</v>
      </c>
      <c r="B36" s="715">
        <f>SUM(Ov!H129:H130)</f>
        <v>0</v>
      </c>
      <c r="C36" s="716"/>
      <c r="D36" s="717" t="e">
        <f t="shared" si="2"/>
        <v>#DIV/0!</v>
      </c>
      <c r="E36" s="718"/>
      <c r="F36" s="717" t="e">
        <f t="shared" si="3"/>
        <v>#DIV/0!</v>
      </c>
      <c r="G36" s="718"/>
      <c r="H36" s="716" t="e">
        <f t="shared" si="4"/>
        <v>#DIV/0!</v>
      </c>
    </row>
    <row r="37" spans="1:8" ht="15.5" x14ac:dyDescent="0.35">
      <c r="A37" s="714" t="s">
        <v>170</v>
      </c>
      <c r="B37" s="732">
        <f>Ov!H131</f>
        <v>0</v>
      </c>
      <c r="C37" s="733"/>
      <c r="D37" s="719" t="e">
        <f t="shared" si="2"/>
        <v>#DIV/0!</v>
      </c>
      <c r="E37" s="720"/>
      <c r="F37" s="719" t="e">
        <f t="shared" si="3"/>
        <v>#DIV/0!</v>
      </c>
      <c r="G37" s="720"/>
      <c r="H37" s="715" t="e">
        <f t="shared" si="4"/>
        <v>#DIV/0!</v>
      </c>
    </row>
    <row r="38" spans="1:8" ht="15.5" x14ac:dyDescent="0.35">
      <c r="A38" s="714" t="s">
        <v>171</v>
      </c>
      <c r="B38" s="732">
        <f>SUM(Ov!H132:H134)</f>
        <v>0</v>
      </c>
      <c r="C38" s="733"/>
      <c r="D38" s="717" t="e">
        <f t="shared" si="2"/>
        <v>#DIV/0!</v>
      </c>
      <c r="E38" s="718"/>
      <c r="F38" s="717" t="e">
        <f t="shared" si="3"/>
        <v>#DIV/0!</v>
      </c>
      <c r="G38" s="718"/>
      <c r="H38" s="716" t="e">
        <f t="shared" si="4"/>
        <v>#DIV/0!</v>
      </c>
    </row>
    <row r="39" spans="1:8" ht="15.5" x14ac:dyDescent="0.35">
      <c r="A39" s="714" t="s">
        <v>172</v>
      </c>
      <c r="B39" s="732"/>
      <c r="C39" s="733"/>
      <c r="D39" s="717"/>
      <c r="E39" s="718"/>
      <c r="F39" s="717"/>
      <c r="G39" s="718"/>
      <c r="H39" s="717"/>
    </row>
    <row r="40" spans="1:8" ht="15.5" x14ac:dyDescent="0.35">
      <c r="A40" s="734" t="s">
        <v>439</v>
      </c>
      <c r="B40" s="732">
        <f>Ov!H135</f>
        <v>0</v>
      </c>
      <c r="C40" s="733"/>
      <c r="D40" s="717" t="e">
        <f t="shared" si="2"/>
        <v>#DIV/0!</v>
      </c>
      <c r="E40" s="718"/>
      <c r="F40" s="717" t="e">
        <f t="shared" si="3"/>
        <v>#DIV/0!</v>
      </c>
      <c r="G40" s="718"/>
      <c r="H40" s="716" t="e">
        <f t="shared" ref="H40:H54" si="5">B40/($E$6*oats)</f>
        <v>#DIV/0!</v>
      </c>
    </row>
    <row r="41" spans="1:8" ht="15.5" x14ac:dyDescent="0.35">
      <c r="A41" s="734" t="s">
        <v>1506</v>
      </c>
      <c r="B41" s="732">
        <f>SUM(Ov!H136:H138)</f>
        <v>0</v>
      </c>
      <c r="C41" s="733"/>
      <c r="D41" s="717" t="e">
        <f t="shared" si="2"/>
        <v>#DIV/0!</v>
      </c>
      <c r="E41" s="718"/>
      <c r="F41" s="717" t="e">
        <f t="shared" si="3"/>
        <v>#DIV/0!</v>
      </c>
      <c r="G41" s="718"/>
      <c r="H41" s="716" t="e">
        <f t="shared" si="5"/>
        <v>#DIV/0!</v>
      </c>
    </row>
    <row r="42" spans="1:8" ht="15.5" x14ac:dyDescent="0.35">
      <c r="A42" s="734" t="s">
        <v>1505</v>
      </c>
      <c r="B42" s="732">
        <f>SUM(Ov!H139:H141)</f>
        <v>0</v>
      </c>
      <c r="C42" s="733"/>
      <c r="D42" s="717" t="e">
        <f t="shared" si="2"/>
        <v>#DIV/0!</v>
      </c>
      <c r="E42" s="718"/>
      <c r="F42" s="717" t="e">
        <f t="shared" si="3"/>
        <v>#DIV/0!</v>
      </c>
      <c r="G42" s="718"/>
      <c r="H42" s="716" t="e">
        <f t="shared" si="5"/>
        <v>#DIV/0!</v>
      </c>
    </row>
    <row r="43" spans="1:8" ht="15.5" x14ac:dyDescent="0.35">
      <c r="A43" s="734" t="s">
        <v>1237</v>
      </c>
      <c r="B43" s="732">
        <f>Ov!H142</f>
        <v>0</v>
      </c>
      <c r="C43" s="733"/>
      <c r="D43" s="717" t="e">
        <f t="shared" si="2"/>
        <v>#DIV/0!</v>
      </c>
      <c r="E43" s="718"/>
      <c r="F43" s="717" t="e">
        <f t="shared" si="3"/>
        <v>#DIV/0!</v>
      </c>
      <c r="G43" s="718"/>
      <c r="H43" s="716" t="e">
        <f t="shared" si="5"/>
        <v>#DIV/0!</v>
      </c>
    </row>
    <row r="44" spans="1:8" ht="15.5" x14ac:dyDescent="0.35">
      <c r="A44" s="734" t="s">
        <v>1212</v>
      </c>
      <c r="B44" s="732">
        <f>SUM(Ov!H143:H145)</f>
        <v>0</v>
      </c>
      <c r="C44" s="733"/>
      <c r="D44" s="717" t="e">
        <f t="shared" si="2"/>
        <v>#DIV/0!</v>
      </c>
      <c r="E44" s="720"/>
      <c r="F44" s="717" t="e">
        <f t="shared" si="3"/>
        <v>#DIV/0!</v>
      </c>
      <c r="G44" s="720"/>
      <c r="H44" s="716" t="e">
        <f t="shared" si="5"/>
        <v>#DIV/0!</v>
      </c>
    </row>
    <row r="45" spans="1:8" ht="15.5" x14ac:dyDescent="0.35">
      <c r="A45" s="734" t="s">
        <v>1238</v>
      </c>
      <c r="B45" s="732">
        <f>SUM(Ov!H146:H148)</f>
        <v>0</v>
      </c>
      <c r="C45" s="733"/>
      <c r="D45" s="717" t="e">
        <f t="shared" si="2"/>
        <v>#DIV/0!</v>
      </c>
      <c r="E45" s="718"/>
      <c r="F45" s="717" t="e">
        <f t="shared" si="3"/>
        <v>#DIV/0!</v>
      </c>
      <c r="G45" s="718"/>
      <c r="H45" s="716" t="e">
        <f t="shared" si="5"/>
        <v>#DIV/0!</v>
      </c>
    </row>
    <row r="46" spans="1:8" ht="15.5" x14ac:dyDescent="0.35">
      <c r="A46" s="734" t="s">
        <v>2076</v>
      </c>
      <c r="B46" s="753">
        <f>SUM(Ov!H149:H155)</f>
        <v>0</v>
      </c>
      <c r="C46" s="699"/>
      <c r="D46" s="717" t="e">
        <f t="shared" si="2"/>
        <v>#DIV/0!</v>
      </c>
      <c r="E46" s="753"/>
      <c r="F46" s="717" t="e">
        <f>B46/($C$6*oats)</f>
        <v>#DIV/0!</v>
      </c>
      <c r="G46" s="753"/>
      <c r="H46" s="716" t="e">
        <f t="shared" si="5"/>
        <v>#DIV/0!</v>
      </c>
    </row>
    <row r="47" spans="1:8" ht="15.5" x14ac:dyDescent="0.35">
      <c r="A47" s="734" t="s">
        <v>2029</v>
      </c>
      <c r="B47" s="732">
        <f>SUM(Ov!H156:H158)</f>
        <v>0</v>
      </c>
      <c r="C47" s="733"/>
      <c r="D47" s="719" t="e">
        <f>B47/oats</f>
        <v>#DIV/0!</v>
      </c>
      <c r="E47" s="718"/>
      <c r="F47" s="719" t="e">
        <f>B47/($C$6*oats)</f>
        <v>#DIV/0!</v>
      </c>
      <c r="G47" s="718"/>
      <c r="H47" s="715" t="e">
        <f>B47/($E$6*oats)</f>
        <v>#DIV/0!</v>
      </c>
    </row>
    <row r="48" spans="1:8" ht="15.5" x14ac:dyDescent="0.35">
      <c r="A48" s="734" t="s">
        <v>1532</v>
      </c>
      <c r="B48" s="732">
        <f>SUM(Ov!H159:H163)</f>
        <v>0</v>
      </c>
      <c r="C48" s="733"/>
      <c r="D48" s="717" t="e">
        <f t="shared" si="2"/>
        <v>#DIV/0!</v>
      </c>
      <c r="E48" s="718"/>
      <c r="F48" s="717" t="e">
        <f t="shared" si="3"/>
        <v>#DIV/0!</v>
      </c>
      <c r="G48" s="718"/>
      <c r="H48" s="716" t="e">
        <f t="shared" si="5"/>
        <v>#DIV/0!</v>
      </c>
    </row>
    <row r="49" spans="1:16" ht="15.5" x14ac:dyDescent="0.35">
      <c r="A49" s="734" t="s">
        <v>1533</v>
      </c>
      <c r="B49" s="732">
        <f>SUM(Ov!H164:H165)</f>
        <v>0</v>
      </c>
      <c r="C49" s="733"/>
      <c r="D49" s="719" t="e">
        <f t="shared" si="2"/>
        <v>#DIV/0!</v>
      </c>
      <c r="E49" s="718"/>
      <c r="F49" s="719" t="e">
        <f t="shared" si="3"/>
        <v>#DIV/0!</v>
      </c>
      <c r="G49" s="718"/>
      <c r="H49" s="715" t="e">
        <f t="shared" si="5"/>
        <v>#DIV/0!</v>
      </c>
    </row>
    <row r="50" spans="1:16" ht="15.5" x14ac:dyDescent="0.35">
      <c r="A50" s="734" t="s">
        <v>1534</v>
      </c>
      <c r="B50" s="732">
        <f>Ov!H166</f>
        <v>0</v>
      </c>
      <c r="C50" s="733"/>
      <c r="D50" s="717" t="e">
        <f t="shared" si="2"/>
        <v>#DIV/0!</v>
      </c>
      <c r="E50" s="718"/>
      <c r="F50" s="785" t="e">
        <f t="shared" si="3"/>
        <v>#DIV/0!</v>
      </c>
      <c r="G50" s="718"/>
      <c r="H50" s="716" t="e">
        <f t="shared" si="5"/>
        <v>#DIV/0!</v>
      </c>
    </row>
    <row r="51" spans="1:16" ht="15.5" x14ac:dyDescent="0.35">
      <c r="A51" s="734" t="s">
        <v>1535</v>
      </c>
      <c r="B51" s="732">
        <f>Ov!H167</f>
        <v>0</v>
      </c>
      <c r="C51" s="733"/>
      <c r="D51" s="717" t="e">
        <f t="shared" si="2"/>
        <v>#DIV/0!</v>
      </c>
      <c r="E51" s="718"/>
      <c r="F51" s="785" t="e">
        <f t="shared" si="3"/>
        <v>#DIV/0!</v>
      </c>
      <c r="G51" s="718"/>
      <c r="H51" s="716" t="e">
        <f t="shared" si="5"/>
        <v>#DIV/0!</v>
      </c>
    </row>
    <row r="52" spans="1:16" ht="15.5" x14ac:dyDescent="0.35">
      <c r="A52" s="734" t="s">
        <v>1536</v>
      </c>
      <c r="B52" s="732">
        <f>Ov!H168</f>
        <v>0</v>
      </c>
      <c r="C52" s="733"/>
      <c r="D52" s="717" t="e">
        <f t="shared" si="2"/>
        <v>#DIV/0!</v>
      </c>
      <c r="E52" s="718"/>
      <c r="F52" s="785" t="e">
        <f t="shared" si="3"/>
        <v>#DIV/0!</v>
      </c>
      <c r="G52" s="718"/>
      <c r="H52" s="716" t="e">
        <f t="shared" si="5"/>
        <v>#DIV/0!</v>
      </c>
    </row>
    <row r="53" spans="1:16" ht="15.5" x14ac:dyDescent="0.35">
      <c r="A53" s="734" t="s">
        <v>443</v>
      </c>
      <c r="B53" s="732">
        <f>SUM(Ov!H169:H171)</f>
        <v>0</v>
      </c>
      <c r="C53" s="733"/>
      <c r="D53" s="719" t="e">
        <f t="shared" si="2"/>
        <v>#DIV/0!</v>
      </c>
      <c r="E53" s="720"/>
      <c r="F53" s="719" t="e">
        <f t="shared" si="3"/>
        <v>#DIV/0!</v>
      </c>
      <c r="G53" s="720"/>
      <c r="H53" s="715" t="e">
        <f t="shared" si="5"/>
        <v>#DIV/0!</v>
      </c>
    </row>
    <row r="54" spans="1:16" ht="15.5" x14ac:dyDescent="0.35">
      <c r="A54" s="714" t="s">
        <v>69</v>
      </c>
      <c r="B54" s="732">
        <f>Ov!H175</f>
        <v>0</v>
      </c>
      <c r="C54" s="733"/>
      <c r="D54" s="717" t="e">
        <f t="shared" si="2"/>
        <v>#DIV/0!</v>
      </c>
      <c r="E54" s="718"/>
      <c r="F54" s="717" t="e">
        <f t="shared" si="3"/>
        <v>#DIV/0!</v>
      </c>
      <c r="G54" s="718"/>
      <c r="H54" s="716" t="e">
        <f t="shared" si="5"/>
        <v>#DIV/0!</v>
      </c>
    </row>
    <row r="55" spans="1:16" ht="15" x14ac:dyDescent="0.3">
      <c r="A55" s="709" t="s">
        <v>366</v>
      </c>
      <c r="B55" s="735">
        <f>SUM(B27:B54)</f>
        <v>0</v>
      </c>
      <c r="C55" s="736"/>
      <c r="D55" s="737" t="e">
        <f>SUM(D27:D54)</f>
        <v>#DIV/0!</v>
      </c>
      <c r="E55" s="737"/>
      <c r="F55" s="737" t="e">
        <f>SUM(F27:F54)</f>
        <v>#DIV/0!</v>
      </c>
      <c r="G55" s="737"/>
      <c r="H55" s="737" t="e">
        <f>SUM(H27:H54)</f>
        <v>#DIV/0!</v>
      </c>
    </row>
    <row r="56" spans="1:16" ht="15.5" x14ac:dyDescent="0.35">
      <c r="A56" s="738"/>
      <c r="B56" s="732"/>
      <c r="C56" s="733"/>
      <c r="D56" s="739"/>
      <c r="E56" s="740"/>
      <c r="F56" s="740"/>
      <c r="G56" s="740"/>
      <c r="H56" s="740"/>
    </row>
    <row r="57" spans="1:16" ht="15.5" x14ac:dyDescent="0.35">
      <c r="A57" s="709" t="s">
        <v>367</v>
      </c>
      <c r="B57" s="732"/>
      <c r="C57" s="733"/>
      <c r="D57" s="739"/>
      <c r="E57" s="740"/>
      <c r="F57" s="740"/>
      <c r="G57" s="740"/>
      <c r="H57" s="740"/>
    </row>
    <row r="58" spans="1:16" ht="15.5" x14ac:dyDescent="0.35">
      <c r="A58" s="714" t="s">
        <v>29</v>
      </c>
      <c r="B58" s="732"/>
      <c r="C58" s="733"/>
      <c r="D58" s="733"/>
      <c r="E58" s="757"/>
      <c r="F58" s="716"/>
      <c r="G58" s="757"/>
      <c r="H58" s="716"/>
      <c r="J58" s="890" t="s">
        <v>29</v>
      </c>
    </row>
    <row r="59" spans="1:16" ht="15.5" x14ac:dyDescent="0.35">
      <c r="A59" s="734" t="s">
        <v>1240</v>
      </c>
      <c r="B59" s="732">
        <f>SUM(Of!H8:H24)</f>
        <v>0</v>
      </c>
      <c r="C59" s="733"/>
      <c r="D59" s="717" t="e">
        <f t="shared" ref="D59:D72" si="6">B59/oats</f>
        <v>#DIV/0!</v>
      </c>
      <c r="E59" s="757"/>
      <c r="F59" s="717" t="e">
        <f t="shared" ref="F59:F72" si="7">B59/($C$6*oats)</f>
        <v>#DIV/0!</v>
      </c>
      <c r="G59" s="757"/>
      <c r="H59" s="716" t="e">
        <f t="shared" ref="H59:H72" si="8">B59/($E$6*oats)</f>
        <v>#DIV/0!</v>
      </c>
      <c r="J59" s="697" t="s">
        <v>76</v>
      </c>
      <c r="K59" s="697"/>
      <c r="L59" s="697" t="s">
        <v>77</v>
      </c>
      <c r="M59" s="698"/>
      <c r="N59" s="697" t="s">
        <v>1554</v>
      </c>
      <c r="O59" s="698"/>
      <c r="P59" s="697" t="s">
        <v>385</v>
      </c>
    </row>
    <row r="60" spans="1:16" ht="15.5" x14ac:dyDescent="0.35">
      <c r="A60" s="734" t="s">
        <v>1241</v>
      </c>
      <c r="B60" s="732">
        <f>SUM(Of!H25:H33)</f>
        <v>0</v>
      </c>
      <c r="C60" s="733"/>
      <c r="D60" s="717" t="e">
        <f t="shared" si="6"/>
        <v>#DIV/0!</v>
      </c>
      <c r="E60" s="757"/>
      <c r="F60" s="717" t="e">
        <f t="shared" si="7"/>
        <v>#DIV/0!</v>
      </c>
      <c r="G60" s="757"/>
      <c r="H60" s="716" t="e">
        <f t="shared" si="8"/>
        <v>#DIV/0!</v>
      </c>
      <c r="J60" s="763">
        <f>SUM(B59:B71)</f>
        <v>0</v>
      </c>
      <c r="L60" s="756" t="e">
        <f>SUM(D59:D71)</f>
        <v>#DIV/0!</v>
      </c>
      <c r="N60" s="756" t="e">
        <f>SUM(F59:F71)</f>
        <v>#DIV/0!</v>
      </c>
      <c r="P60" s="756" t="e">
        <f>SUM(H59:H71)</f>
        <v>#DIV/0!</v>
      </c>
    </row>
    <row r="61" spans="1:16" ht="15.5" x14ac:dyDescent="0.35">
      <c r="A61" s="734" t="s">
        <v>1243</v>
      </c>
      <c r="B61" s="732">
        <f>SUM(Of!H34:H50)</f>
        <v>0</v>
      </c>
      <c r="C61" s="733"/>
      <c r="D61" s="717" t="e">
        <f>B61/oats</f>
        <v>#DIV/0!</v>
      </c>
      <c r="E61" s="757"/>
      <c r="F61" s="717" t="e">
        <f>B61/($C$6*oats)</f>
        <v>#DIV/0!</v>
      </c>
      <c r="G61" s="757"/>
      <c r="H61" s="716" t="e">
        <f t="shared" si="8"/>
        <v>#DIV/0!</v>
      </c>
    </row>
    <row r="62" spans="1:16" ht="15.5" x14ac:dyDescent="0.35">
      <c r="A62" s="734" t="s">
        <v>1242</v>
      </c>
      <c r="B62" s="732">
        <f>SUM(Of!H51:H62)</f>
        <v>0</v>
      </c>
      <c r="C62" s="733"/>
      <c r="D62" s="717" t="e">
        <f t="shared" si="6"/>
        <v>#DIV/0!</v>
      </c>
      <c r="E62" s="757"/>
      <c r="F62" s="717" t="e">
        <f t="shared" si="7"/>
        <v>#DIV/0!</v>
      </c>
      <c r="G62" s="757"/>
      <c r="H62" s="716" t="e">
        <f t="shared" si="8"/>
        <v>#DIV/0!</v>
      </c>
    </row>
    <row r="63" spans="1:16" ht="15.5" x14ac:dyDescent="0.35">
      <c r="A63" s="734" t="s">
        <v>1244</v>
      </c>
      <c r="B63" s="732">
        <f>SUM(Of!H63:H67)</f>
        <v>0</v>
      </c>
      <c r="C63" s="733"/>
      <c r="D63" s="719" t="e">
        <f t="shared" si="6"/>
        <v>#DIV/0!</v>
      </c>
      <c r="E63" s="762"/>
      <c r="F63" s="719" t="e">
        <f t="shared" si="7"/>
        <v>#DIV/0!</v>
      </c>
      <c r="G63" s="762"/>
      <c r="H63" s="715" t="e">
        <f t="shared" si="8"/>
        <v>#DIV/0!</v>
      </c>
    </row>
    <row r="64" spans="1:16" ht="15.5" x14ac:dyDescent="0.35">
      <c r="A64" s="734" t="s">
        <v>1245</v>
      </c>
      <c r="B64" s="732">
        <f>0</f>
        <v>0</v>
      </c>
      <c r="C64" s="733"/>
      <c r="D64" s="719" t="e">
        <f t="shared" si="6"/>
        <v>#DIV/0!</v>
      </c>
      <c r="E64" s="762"/>
      <c r="F64" s="719" t="e">
        <f t="shared" si="7"/>
        <v>#DIV/0!</v>
      </c>
      <c r="G64" s="762"/>
      <c r="H64" s="715" t="e">
        <f t="shared" si="8"/>
        <v>#DIV/0!</v>
      </c>
    </row>
    <row r="65" spans="1:8" ht="15.5" x14ac:dyDescent="0.35">
      <c r="A65" s="734" t="s">
        <v>1246</v>
      </c>
      <c r="B65" s="732">
        <f>SUM(Of!H68:H78)</f>
        <v>0</v>
      </c>
      <c r="C65" s="733"/>
      <c r="D65" s="717" t="e">
        <f t="shared" si="6"/>
        <v>#DIV/0!</v>
      </c>
      <c r="E65" s="757"/>
      <c r="F65" s="717" t="e">
        <f t="shared" si="7"/>
        <v>#DIV/0!</v>
      </c>
      <c r="G65" s="757"/>
      <c r="H65" s="716" t="e">
        <f t="shared" si="8"/>
        <v>#DIV/0!</v>
      </c>
    </row>
    <row r="66" spans="1:8" ht="15.5" x14ac:dyDescent="0.35">
      <c r="A66" s="734" t="s">
        <v>1247</v>
      </c>
      <c r="B66" s="732">
        <f>SUM(Of!H79:H86)</f>
        <v>0</v>
      </c>
      <c r="C66" s="733"/>
      <c r="D66" s="717" t="e">
        <f t="shared" si="6"/>
        <v>#DIV/0!</v>
      </c>
      <c r="E66" s="757"/>
      <c r="F66" s="785" t="e">
        <f t="shared" si="7"/>
        <v>#DIV/0!</v>
      </c>
      <c r="G66" s="757"/>
      <c r="H66" s="716" t="e">
        <f t="shared" si="8"/>
        <v>#DIV/0!</v>
      </c>
    </row>
    <row r="67" spans="1:8" ht="15.5" x14ac:dyDescent="0.35">
      <c r="A67" s="734" t="s">
        <v>2148</v>
      </c>
      <c r="B67" s="732">
        <f>SUM(Of!H87:H91)</f>
        <v>0</v>
      </c>
      <c r="C67" s="733"/>
      <c r="D67" s="717" t="e">
        <f t="shared" ref="D67" si="9">B67/oats</f>
        <v>#DIV/0!</v>
      </c>
      <c r="E67" s="757"/>
      <c r="F67" s="717" t="e">
        <f t="shared" ref="F67" si="10">B67/($C$6*oats)</f>
        <v>#DIV/0!</v>
      </c>
      <c r="G67" s="757"/>
      <c r="H67" s="716" t="e">
        <f t="shared" ref="H67" si="11">B67/($E$6*oats)</f>
        <v>#DIV/0!</v>
      </c>
    </row>
    <row r="68" spans="1:8" ht="15.5" x14ac:dyDescent="0.35">
      <c r="A68" s="734" t="s">
        <v>1250</v>
      </c>
      <c r="B68" s="732">
        <f>SUM(Of!H92:H103)</f>
        <v>0</v>
      </c>
      <c r="C68" s="733"/>
      <c r="D68" s="717" t="e">
        <f t="shared" si="6"/>
        <v>#DIV/0!</v>
      </c>
      <c r="E68" s="757"/>
      <c r="F68" s="717" t="e">
        <f t="shared" si="7"/>
        <v>#DIV/0!</v>
      </c>
      <c r="G68" s="757"/>
      <c r="H68" s="716" t="e">
        <f t="shared" si="8"/>
        <v>#DIV/0!</v>
      </c>
    </row>
    <row r="69" spans="1:8" ht="15.5" x14ac:dyDescent="0.35">
      <c r="A69" s="734" t="s">
        <v>1304</v>
      </c>
      <c r="B69" s="732">
        <f>0</f>
        <v>0</v>
      </c>
      <c r="C69" s="733"/>
      <c r="D69" s="719" t="e">
        <f t="shared" ref="D69" si="12">B69/oats</f>
        <v>#DIV/0!</v>
      </c>
      <c r="E69" s="762"/>
      <c r="F69" s="719" t="e">
        <f t="shared" ref="F69" si="13">B69/($C$6*oats)</f>
        <v>#DIV/0!</v>
      </c>
      <c r="G69" s="762"/>
      <c r="H69" s="715" t="e">
        <f t="shared" si="8"/>
        <v>#DIV/0!</v>
      </c>
    </row>
    <row r="70" spans="1:8" ht="15.5" x14ac:dyDescent="0.35">
      <c r="A70" s="734" t="s">
        <v>1248</v>
      </c>
      <c r="B70" s="732">
        <f>SUM(Of!H105:H108)</f>
        <v>0</v>
      </c>
      <c r="C70" s="733"/>
      <c r="D70" s="717" t="e">
        <f t="shared" si="6"/>
        <v>#DIV/0!</v>
      </c>
      <c r="E70" s="757"/>
      <c r="F70" s="717" t="e">
        <f t="shared" si="7"/>
        <v>#DIV/0!</v>
      </c>
      <c r="G70" s="757"/>
      <c r="H70" s="716" t="e">
        <f t="shared" si="8"/>
        <v>#DIV/0!</v>
      </c>
    </row>
    <row r="71" spans="1:8" ht="15.5" x14ac:dyDescent="0.35">
      <c r="A71" s="734" t="s">
        <v>1249</v>
      </c>
      <c r="B71" s="732">
        <f>SUM(Of!H109:H113)</f>
        <v>0</v>
      </c>
      <c r="C71" s="733"/>
      <c r="D71" s="717" t="e">
        <f t="shared" si="6"/>
        <v>#DIV/0!</v>
      </c>
      <c r="E71" s="757"/>
      <c r="F71" s="717" t="e">
        <f t="shared" si="7"/>
        <v>#DIV/0!</v>
      </c>
      <c r="G71" s="757"/>
      <c r="H71" s="716" t="e">
        <f t="shared" si="8"/>
        <v>#DIV/0!</v>
      </c>
    </row>
    <row r="72" spans="1:8" ht="15.5" x14ac:dyDescent="0.35">
      <c r="A72" s="714" t="s">
        <v>79</v>
      </c>
      <c r="B72" s="732">
        <f>Of!L121</f>
        <v>0</v>
      </c>
      <c r="C72" s="733"/>
      <c r="D72" s="717" t="e">
        <f t="shared" si="6"/>
        <v>#DIV/0!</v>
      </c>
      <c r="E72" s="740"/>
      <c r="F72" s="717" t="e">
        <f t="shared" si="7"/>
        <v>#DIV/0!</v>
      </c>
      <c r="G72" s="740"/>
      <c r="H72" s="716" t="e">
        <f t="shared" si="8"/>
        <v>#DIV/0!</v>
      </c>
    </row>
    <row r="73" spans="1:8" ht="15" x14ac:dyDescent="0.3">
      <c r="A73" s="709" t="s">
        <v>368</v>
      </c>
      <c r="B73" s="735">
        <f>SUM(B58:B72)</f>
        <v>0</v>
      </c>
      <c r="C73" s="736"/>
      <c r="D73" s="737" t="e">
        <f>SUM(D58:D72)</f>
        <v>#DIV/0!</v>
      </c>
      <c r="E73" s="737"/>
      <c r="F73" s="737" t="e">
        <f>SUM(F58:F72)</f>
        <v>#DIV/0!</v>
      </c>
      <c r="G73" s="737"/>
      <c r="H73" s="737" t="e">
        <f>SUM(H58:H72)</f>
        <v>#DIV/0!</v>
      </c>
    </row>
    <row r="74" spans="1:8" ht="15.5" x14ac:dyDescent="0.35">
      <c r="A74" s="699"/>
      <c r="B74" s="735"/>
      <c r="C74" s="736"/>
      <c r="D74" s="737"/>
      <c r="E74" s="741"/>
      <c r="F74" s="741"/>
      <c r="G74" s="741"/>
      <c r="H74" s="741"/>
    </row>
    <row r="75" spans="1:8" ht="15" x14ac:dyDescent="0.3">
      <c r="A75" s="709" t="s">
        <v>80</v>
      </c>
      <c r="B75" s="735">
        <f>B73+B55</f>
        <v>0</v>
      </c>
      <c r="C75" s="736"/>
      <c r="D75" s="737" t="e">
        <f>D73+D55</f>
        <v>#DIV/0!</v>
      </c>
      <c r="E75" s="737"/>
      <c r="F75" s="737" t="e">
        <f>F73+F55</f>
        <v>#DIV/0!</v>
      </c>
      <c r="G75" s="737"/>
      <c r="H75" s="737" t="e">
        <f>H73+H55</f>
        <v>#DIV/0!</v>
      </c>
    </row>
    <row r="76" spans="1:8" ht="15.5" x14ac:dyDescent="0.35">
      <c r="A76" s="742"/>
      <c r="B76" s="735"/>
      <c r="C76" s="736"/>
      <c r="D76" s="737"/>
      <c r="E76" s="737"/>
      <c r="F76" s="737"/>
      <c r="G76" s="737"/>
      <c r="H76" s="737"/>
    </row>
    <row r="77" spans="1:8" ht="15" x14ac:dyDescent="0.3">
      <c r="A77" s="709" t="s">
        <v>355</v>
      </c>
      <c r="B77" s="710">
        <f>B22-B75</f>
        <v>0</v>
      </c>
      <c r="C77" s="736"/>
      <c r="D77" s="712" t="e">
        <f>D22-D75</f>
        <v>#DIV/0!</v>
      </c>
      <c r="E77" s="737"/>
      <c r="F77" s="712" t="e">
        <f>F22-F75</f>
        <v>#DIV/0!</v>
      </c>
      <c r="G77" s="737"/>
      <c r="H77" s="712" t="e">
        <f>H22-H75</f>
        <v>#DIV/0!</v>
      </c>
    </row>
    <row r="78" spans="1:8" ht="15" x14ac:dyDescent="0.3">
      <c r="A78" s="709" t="s">
        <v>356</v>
      </c>
      <c r="B78" s="735">
        <f>B22-B55</f>
        <v>0</v>
      </c>
      <c r="C78" s="736"/>
      <c r="D78" s="737" t="e">
        <f>D22-D55</f>
        <v>#DIV/0!</v>
      </c>
      <c r="E78" s="737"/>
      <c r="F78" s="737" t="e">
        <f>F22-F55</f>
        <v>#DIV/0!</v>
      </c>
      <c r="G78" s="737"/>
      <c r="H78" s="737" t="e">
        <f>H22-H55</f>
        <v>#DIV/0!</v>
      </c>
    </row>
    <row r="79" spans="1:8" ht="15.5" x14ac:dyDescent="0.35">
      <c r="A79" s="699"/>
      <c r="B79" s="743"/>
      <c r="C79" s="743"/>
      <c r="D79" s="702"/>
      <c r="E79" s="703"/>
      <c r="F79" s="703"/>
      <c r="G79" s="703"/>
      <c r="H79" s="703"/>
    </row>
    <row r="80" spans="1:8" ht="15.5" x14ac:dyDescent="0.35">
      <c r="A80" s="709" t="s">
        <v>234</v>
      </c>
      <c r="B80" s="743"/>
      <c r="C80" s="743"/>
      <c r="D80" s="702"/>
      <c r="E80" s="703"/>
      <c r="F80" s="703"/>
      <c r="G80" s="703"/>
      <c r="H80" s="703"/>
    </row>
    <row r="81" spans="1:8" ht="15.65" customHeight="1" x14ac:dyDescent="0.35">
      <c r="A81" s="744" t="s">
        <v>369</v>
      </c>
      <c r="B81" s="703" t="s">
        <v>76</v>
      </c>
      <c r="C81" s="743"/>
      <c r="D81" s="703" t="s">
        <v>393</v>
      </c>
      <c r="E81" s="703"/>
      <c r="F81" s="703" t="s">
        <v>1556</v>
      </c>
      <c r="G81" s="703"/>
      <c r="H81" s="703" t="s">
        <v>396</v>
      </c>
    </row>
    <row r="82" spans="1:8" ht="15.5" x14ac:dyDescent="0.35">
      <c r="A82" s="714" t="s">
        <v>370</v>
      </c>
      <c r="B82" s="745">
        <f>B75</f>
        <v>0</v>
      </c>
      <c r="C82" s="743"/>
      <c r="D82" s="717" t="e">
        <f>$B$75/oats</f>
        <v>#DIV/0!</v>
      </c>
      <c r="E82" s="718"/>
      <c r="F82" s="717" t="e">
        <f>$B$75/($C$6*oats)</f>
        <v>#DIV/0!</v>
      </c>
      <c r="G82" s="718"/>
      <c r="H82" s="717" t="e">
        <f>$B$75/($E$6*oats)</f>
        <v>#DIV/0!</v>
      </c>
    </row>
    <row r="83" spans="1:8" ht="15.5" x14ac:dyDescent="0.35">
      <c r="A83" s="714" t="s">
        <v>371</v>
      </c>
      <c r="B83" s="745">
        <f>B55</f>
        <v>0</v>
      </c>
      <c r="C83" s="743"/>
      <c r="D83" s="717" t="e">
        <f>$B$55/oats</f>
        <v>#DIV/0!</v>
      </c>
      <c r="E83" s="718"/>
      <c r="F83" s="717" t="e">
        <f>$B$55/($C$6*oats)</f>
        <v>#DIV/0!</v>
      </c>
      <c r="G83" s="718"/>
      <c r="H83" s="717" t="e">
        <f>$B$55/($E$6*oats)</f>
        <v>#DIV/0!</v>
      </c>
    </row>
    <row r="84" spans="1:8" ht="15.5" x14ac:dyDescent="0.35">
      <c r="A84" s="714"/>
      <c r="B84" s="743"/>
      <c r="C84" s="743"/>
      <c r="D84" s="717"/>
      <c r="E84" s="718"/>
      <c r="F84" s="717"/>
      <c r="G84" s="718"/>
      <c r="H84" s="717"/>
    </row>
    <row r="85" spans="1:8" ht="15.5" x14ac:dyDescent="0.35">
      <c r="A85" s="744" t="s">
        <v>1099</v>
      </c>
      <c r="B85" s="703" t="s">
        <v>1100</v>
      </c>
      <c r="C85" s="743"/>
      <c r="D85" s="703" t="s">
        <v>1995</v>
      </c>
      <c r="E85" s="752"/>
      <c r="F85" s="717"/>
      <c r="G85" s="718"/>
      <c r="H85" s="717"/>
    </row>
    <row r="86" spans="1:8" ht="15.5" x14ac:dyDescent="0.35">
      <c r="A86" s="714" t="s">
        <v>1101</v>
      </c>
      <c r="B86" s="746" t="e">
        <f>B77/SUM(Ov!E25:E76)</f>
        <v>#DIV/0!</v>
      </c>
      <c r="C86" s="743"/>
      <c r="D86" s="1226">
        <f>SUM(Ov!E25:E76)</f>
        <v>0</v>
      </c>
      <c r="E86" s="1225" t="s">
        <v>1996</v>
      </c>
      <c r="F86" s="717"/>
      <c r="G86" s="718"/>
      <c r="H86" s="717"/>
    </row>
    <row r="87" spans="1:8" ht="15.5" x14ac:dyDescent="0.35">
      <c r="A87" s="714" t="s">
        <v>1102</v>
      </c>
      <c r="B87" s="746" t="e">
        <f>B78/SUM(Ov!E25:E76)</f>
        <v>#DIV/0!</v>
      </c>
      <c r="C87" s="743"/>
      <c r="D87" s="717"/>
      <c r="E87" s="718"/>
      <c r="F87" s="717"/>
      <c r="G87" s="718"/>
      <c r="H87" s="717"/>
    </row>
    <row r="88" spans="1:8" ht="15.5" x14ac:dyDescent="0.35">
      <c r="A88" s="747"/>
      <c r="B88" s="748"/>
      <c r="C88" s="748"/>
      <c r="D88" s="749"/>
      <c r="E88" s="750"/>
      <c r="F88" s="750"/>
      <c r="G88" s="750"/>
      <c r="H88" s="750"/>
    </row>
    <row r="92" spans="1:8" x14ac:dyDescent="0.3">
      <c r="A92" s="61" t="s">
        <v>146</v>
      </c>
      <c r="B92" s="50" t="str">
        <f>model</f>
        <v>ME Grain &amp; Pulse</v>
      </c>
    </row>
    <row r="94" spans="1:8" x14ac:dyDescent="0.3">
      <c r="A94" s="7" t="s">
        <v>438</v>
      </c>
      <c r="B94" s="55" t="s">
        <v>92</v>
      </c>
      <c r="C94" s="54">
        <f>oats</f>
        <v>0</v>
      </c>
      <c r="D94" s="17" t="s">
        <v>93</v>
      </c>
    </row>
    <row r="95" spans="1:8" x14ac:dyDescent="0.3">
      <c r="A95" s="7"/>
      <c r="B95" s="55" t="s">
        <v>750</v>
      </c>
      <c r="C95" s="54">
        <f>(oats*Data!F30)*Data!$B$30*Data!$C$30</f>
        <v>0</v>
      </c>
      <c r="D95" s="17" t="s">
        <v>93</v>
      </c>
    </row>
    <row r="96" spans="1:8" x14ac:dyDescent="0.3">
      <c r="A96" s="7"/>
      <c r="B96" s="55" t="s">
        <v>751</v>
      </c>
      <c r="C96" s="54">
        <f>(oats*Data!G30)*Data!$B$30*Data!$D$30</f>
        <v>0</v>
      </c>
      <c r="D96" s="17" t="s">
        <v>93</v>
      </c>
    </row>
    <row r="97" spans="1:8" x14ac:dyDescent="0.3">
      <c r="A97" s="8"/>
      <c r="B97" s="55" t="s">
        <v>727</v>
      </c>
      <c r="C97" s="54">
        <f>Data!B188</f>
        <v>0</v>
      </c>
      <c r="D97" s="17" t="s">
        <v>1567</v>
      </c>
      <c r="E97" s="1190">
        <f>(C97*Data!$K$59)/2000</f>
        <v>0</v>
      </c>
      <c r="F97" s="17" t="s">
        <v>235</v>
      </c>
      <c r="G97" s="157"/>
    </row>
    <row r="98" spans="1:8" x14ac:dyDescent="0.3">
      <c r="B98" s="55" t="s">
        <v>728</v>
      </c>
      <c r="C98" s="106">
        <f>IF(FARM!$F$16&gt;0,Data!$B$183,Data!$B$184)</f>
        <v>5.875</v>
      </c>
      <c r="D98" s="17" t="s">
        <v>1566</v>
      </c>
      <c r="E98" s="153">
        <f>Data!$K$59</f>
        <v>32</v>
      </c>
      <c r="F98" s="17" t="s">
        <v>1560</v>
      </c>
      <c r="G98" s="153"/>
    </row>
    <row r="99" spans="1:8" x14ac:dyDescent="0.3">
      <c r="B99" s="55" t="s">
        <v>729</v>
      </c>
      <c r="C99" s="157">
        <f>Data!E188</f>
        <v>0</v>
      </c>
      <c r="D99" s="17" t="s">
        <v>731</v>
      </c>
      <c r="E99" s="157">
        <f>Data!H188</f>
        <v>0</v>
      </c>
      <c r="F99" s="17" t="s">
        <v>732</v>
      </c>
      <c r="G99" s="54"/>
    </row>
    <row r="100" spans="1:8" x14ac:dyDescent="0.3">
      <c r="B100" s="55" t="s">
        <v>730</v>
      </c>
      <c r="C100" s="116">
        <f>IF(Straw!$D$10&gt;0,Straw!$D$10,Data!$E$185)</f>
        <v>40</v>
      </c>
      <c r="D100" s="17" t="s">
        <v>733</v>
      </c>
      <c r="E100" s="217">
        <f>IF(Straw!$F$10&gt;0,Straw!$F$10,Data!$H$185)</f>
        <v>5.0833333333333304</v>
      </c>
      <c r="F100" s="17" t="s">
        <v>734</v>
      </c>
      <c r="G100" s="217"/>
    </row>
    <row r="101" spans="1:8" x14ac:dyDescent="0.3">
      <c r="B101" s="55"/>
      <c r="C101" s="54"/>
      <c r="D101" s="17"/>
    </row>
    <row r="102" spans="1:8" ht="15.5" x14ac:dyDescent="0.35">
      <c r="A102" s="751" t="s">
        <v>438</v>
      </c>
      <c r="B102" s="697" t="s">
        <v>76</v>
      </c>
      <c r="C102" s="697"/>
      <c r="D102" s="697" t="s">
        <v>77</v>
      </c>
      <c r="E102" s="698"/>
      <c r="F102" s="697" t="s">
        <v>1554</v>
      </c>
      <c r="G102" s="698"/>
      <c r="H102" s="697" t="s">
        <v>385</v>
      </c>
    </row>
    <row r="103" spans="1:8" ht="15.5" x14ac:dyDescent="0.35">
      <c r="A103" s="699" t="s">
        <v>362</v>
      </c>
      <c r="B103" s="700">
        <f>C94</f>
        <v>0</v>
      </c>
      <c r="C103" s="701"/>
      <c r="D103" s="702" t="s">
        <v>363</v>
      </c>
      <c r="E103" s="703"/>
      <c r="F103" s="702" t="s">
        <v>363</v>
      </c>
      <c r="G103" s="703"/>
      <c r="H103" s="702" t="s">
        <v>363</v>
      </c>
    </row>
    <row r="104" spans="1:8" ht="15.5" x14ac:dyDescent="0.35">
      <c r="A104" s="699" t="s">
        <v>1850</v>
      </c>
      <c r="B104" s="702" t="s">
        <v>363</v>
      </c>
      <c r="C104" s="701"/>
      <c r="D104" s="702" t="s">
        <v>363</v>
      </c>
      <c r="E104" s="703"/>
      <c r="F104" s="702" t="s">
        <v>363</v>
      </c>
      <c r="G104" s="703"/>
      <c r="H104" s="888">
        <f>2000/Data!$K$59</f>
        <v>62.5</v>
      </c>
    </row>
    <row r="105" spans="1:8" ht="15.5" x14ac:dyDescent="0.35">
      <c r="A105" s="699" t="s">
        <v>1562</v>
      </c>
      <c r="B105" s="700">
        <f>$C$94*C97</f>
        <v>0</v>
      </c>
      <c r="C105" s="701"/>
      <c r="D105" s="700">
        <f>C97</f>
        <v>0</v>
      </c>
      <c r="E105" s="703"/>
      <c r="F105" s="702" t="s">
        <v>363</v>
      </c>
      <c r="G105" s="703"/>
      <c r="H105" s="702" t="s">
        <v>363</v>
      </c>
    </row>
    <row r="106" spans="1:8" ht="15.5" x14ac:dyDescent="0.35">
      <c r="A106" s="699" t="s">
        <v>1852</v>
      </c>
      <c r="B106" s="700">
        <f>$C$94*E97</f>
        <v>0</v>
      </c>
      <c r="C106" s="701"/>
      <c r="D106" s="1191">
        <f>E97</f>
        <v>0</v>
      </c>
      <c r="E106" s="703"/>
      <c r="F106" s="702" t="s">
        <v>363</v>
      </c>
      <c r="G106" s="703"/>
      <c r="H106" s="702" t="s">
        <v>363</v>
      </c>
    </row>
    <row r="107" spans="1:8" ht="15.5" x14ac:dyDescent="0.35">
      <c r="A107" s="699" t="str">
        <f>IF(Data!B185=1,"Oat Price ($/unit) - Food Grade","Oat Price ($/unit) - Feed Grade")</f>
        <v>Oat Price ($/unit) - Feed Grade</v>
      </c>
      <c r="B107" s="702" t="s">
        <v>363</v>
      </c>
      <c r="C107" s="701"/>
      <c r="D107" s="702" t="s">
        <v>363</v>
      </c>
      <c r="E107" s="703"/>
      <c r="F107" s="704">
        <f>C98</f>
        <v>5.875</v>
      </c>
      <c r="G107" s="703"/>
      <c r="H107" s="840">
        <f>F107*H104</f>
        <v>367.1875</v>
      </c>
    </row>
    <row r="108" spans="1:8" ht="15" customHeight="1" x14ac:dyDescent="0.35">
      <c r="A108" s="699" t="s">
        <v>2032</v>
      </c>
      <c r="B108" s="700">
        <f>C99*C95</f>
        <v>0</v>
      </c>
      <c r="C108" s="701"/>
      <c r="D108" s="841">
        <f>C99</f>
        <v>0</v>
      </c>
      <c r="E108" s="703"/>
      <c r="F108" s="842" t="e">
        <f>C99/($C$6*$C$3)</f>
        <v>#DIV/0!</v>
      </c>
      <c r="G108" s="703"/>
      <c r="H108" s="842" t="e">
        <f>C99/($E$6*$C$3)</f>
        <v>#DIV/0!</v>
      </c>
    </row>
    <row r="109" spans="1:8" ht="15" customHeight="1" x14ac:dyDescent="0.35">
      <c r="A109" s="699" t="s">
        <v>2034</v>
      </c>
      <c r="B109" s="705">
        <f>C100</f>
        <v>40</v>
      </c>
      <c r="C109" s="701"/>
      <c r="D109" s="705">
        <f>C100*C99</f>
        <v>0</v>
      </c>
      <c r="E109" s="703"/>
      <c r="F109" s="840" t="e">
        <f>D109/$C$6</f>
        <v>#DIV/0!</v>
      </c>
      <c r="G109" s="703"/>
      <c r="H109" s="840" t="e">
        <f>D109/$E$6</f>
        <v>#DIV/0!</v>
      </c>
    </row>
    <row r="110" spans="1:8" ht="15" customHeight="1" x14ac:dyDescent="0.35">
      <c r="A110" s="699" t="s">
        <v>2031</v>
      </c>
      <c r="B110" s="700">
        <f>E99*C96</f>
        <v>0</v>
      </c>
      <c r="C110" s="701"/>
      <c r="D110" s="841">
        <f>E99</f>
        <v>0</v>
      </c>
      <c r="E110" s="703"/>
      <c r="F110" s="842" t="e">
        <f>E99/(C97*C94)</f>
        <v>#DIV/0!</v>
      </c>
      <c r="G110" s="703"/>
      <c r="H110" s="842" t="e">
        <f>E99/(E97*C94)</f>
        <v>#DIV/0!</v>
      </c>
    </row>
    <row r="111" spans="1:8" ht="15" customHeight="1" x14ac:dyDescent="0.35">
      <c r="A111" s="699" t="s">
        <v>2033</v>
      </c>
      <c r="B111" s="840">
        <f>E100</f>
        <v>5.0833333333333304</v>
      </c>
      <c r="C111" s="701"/>
      <c r="D111" s="705">
        <f>E100*E99</f>
        <v>0</v>
      </c>
      <c r="E111" s="703"/>
      <c r="F111" s="840" t="e">
        <f>D111/C97</f>
        <v>#DIV/0!</v>
      </c>
      <c r="G111" s="703"/>
      <c r="H111" s="840" t="e">
        <f>D111/E97</f>
        <v>#DIV/0!</v>
      </c>
    </row>
    <row r="112" spans="1:8" ht="15.5" x14ac:dyDescent="0.35">
      <c r="A112" s="699"/>
      <c r="B112" s="706"/>
      <c r="C112" s="706"/>
      <c r="D112" s="707"/>
      <c r="E112" s="708"/>
      <c r="F112" s="707"/>
      <c r="G112" s="708"/>
      <c r="H112" s="707"/>
    </row>
    <row r="113" spans="1:16" ht="15" x14ac:dyDescent="0.3">
      <c r="A113" s="709" t="s">
        <v>230</v>
      </c>
      <c r="B113" s="710">
        <f>(C97*C98*oats)+(C99*C100*C95)+(E99*E100*C96)</f>
        <v>0</v>
      </c>
      <c r="C113" s="711"/>
      <c r="D113" s="712" t="e">
        <f>B113/oats</f>
        <v>#DIV/0!</v>
      </c>
      <c r="E113" s="713"/>
      <c r="F113" s="712" t="e">
        <f>B113/($C$97*oats)</f>
        <v>#DIV/0!</v>
      </c>
      <c r="G113" s="713"/>
      <c r="H113" s="711" t="e">
        <f>B113/($E$97*oats)</f>
        <v>#DIV/0!</v>
      </c>
    </row>
    <row r="114" spans="1:16" ht="15.5" x14ac:dyDescent="0.35">
      <c r="A114" s="714" t="s">
        <v>1235</v>
      </c>
      <c r="B114" s="715">
        <f>(C97*C98*oats)</f>
        <v>0</v>
      </c>
      <c r="C114" s="716"/>
      <c r="D114" s="717" t="e">
        <f>B114/oats</f>
        <v>#DIV/0!</v>
      </c>
      <c r="E114" s="752"/>
      <c r="F114" s="717" t="e">
        <f>B114/($C$97*oats)</f>
        <v>#DIV/0!</v>
      </c>
      <c r="G114" s="752"/>
      <c r="H114" s="716" t="e">
        <f>B114/($E$97*oats)</f>
        <v>#DIV/0!</v>
      </c>
    </row>
    <row r="115" spans="1:16" ht="15.5" x14ac:dyDescent="0.35">
      <c r="A115" s="714" t="s">
        <v>1236</v>
      </c>
      <c r="B115" s="715">
        <f>(C99*C100*C95)+(E99*E100*C96)</f>
        <v>0</v>
      </c>
      <c r="C115" s="716"/>
      <c r="D115" s="719" t="e">
        <f>B115/oats</f>
        <v>#DIV/0!</v>
      </c>
      <c r="E115" s="753"/>
      <c r="F115" s="719" t="e">
        <f>B115/($C$97*oats)</f>
        <v>#DIV/0!</v>
      </c>
      <c r="G115" s="753"/>
      <c r="H115" s="715" t="e">
        <f>B115/($E$97*oats)</f>
        <v>#DIV/0!</v>
      </c>
    </row>
    <row r="116" spans="1:16" ht="15.5" x14ac:dyDescent="0.35">
      <c r="A116" s="699"/>
      <c r="B116" s="721"/>
      <c r="C116" s="722"/>
      <c r="D116" s="717"/>
      <c r="E116" s="718"/>
      <c r="F116" s="717"/>
      <c r="G116" s="718"/>
      <c r="H116" s="717"/>
    </row>
    <row r="117" spans="1:16" ht="15.5" x14ac:dyDescent="0.35">
      <c r="A117" s="709" t="s">
        <v>365</v>
      </c>
      <c r="B117" s="715"/>
      <c r="C117" s="716"/>
      <c r="D117" s="717"/>
      <c r="E117" s="718"/>
      <c r="F117" s="717"/>
      <c r="G117" s="718"/>
      <c r="H117" s="717"/>
    </row>
    <row r="118" spans="1:16" ht="15.5" x14ac:dyDescent="0.35">
      <c r="A118" s="714" t="s">
        <v>13</v>
      </c>
      <c r="B118" s="715">
        <f>SUM(Ov!H9:H11)</f>
        <v>0</v>
      </c>
      <c r="C118" s="716"/>
      <c r="D118" s="717" t="e">
        <f>B118/oats</f>
        <v>#DIV/0!</v>
      </c>
      <c r="E118" s="718"/>
      <c r="F118" s="717" t="e">
        <f>B118/($C$97*oats)</f>
        <v>#DIV/0!</v>
      </c>
      <c r="G118" s="718"/>
      <c r="H118" s="716" t="e">
        <f>B118/($E$97*oats)</f>
        <v>#DIV/0!</v>
      </c>
    </row>
    <row r="119" spans="1:16" ht="15.5" x14ac:dyDescent="0.35">
      <c r="A119" s="714" t="s">
        <v>1288</v>
      </c>
      <c r="B119" s="715">
        <f>SUM(Ov!H14:H16)</f>
        <v>0</v>
      </c>
      <c r="C119" s="716"/>
      <c r="D119" s="717" t="e">
        <f>B119/oats</f>
        <v>#DIV/0!</v>
      </c>
      <c r="E119" s="718"/>
      <c r="F119" s="717" t="e">
        <f>B119/($C$97*oats)</f>
        <v>#DIV/0!</v>
      </c>
      <c r="G119" s="718"/>
      <c r="H119" s="716" t="e">
        <f>B119/($E$97*oats)</f>
        <v>#DIV/0!</v>
      </c>
    </row>
    <row r="120" spans="1:16" ht="15.5" x14ac:dyDescent="0.35">
      <c r="A120" s="714" t="s">
        <v>2</v>
      </c>
      <c r="B120" s="715">
        <f>Ov!H19</f>
        <v>0</v>
      </c>
      <c r="C120" s="716"/>
      <c r="D120" s="719" t="e">
        <f>B120/oats</f>
        <v>#DIV/0!</v>
      </c>
      <c r="E120" s="720"/>
      <c r="F120" s="719" t="e">
        <f>B120/($C$97*oats)</f>
        <v>#DIV/0!</v>
      </c>
      <c r="G120" s="720"/>
      <c r="H120" s="715" t="e">
        <f>B120/($E$97*oats)</f>
        <v>#DIV/0!</v>
      </c>
    </row>
    <row r="121" spans="1:16" ht="15.5" x14ac:dyDescent="0.35">
      <c r="A121" s="714" t="s">
        <v>1476</v>
      </c>
      <c r="B121" s="699"/>
      <c r="C121" s="699"/>
      <c r="D121" s="699"/>
      <c r="E121" s="699"/>
      <c r="F121" s="699"/>
      <c r="G121" s="699"/>
      <c r="H121" s="699"/>
    </row>
    <row r="122" spans="1:16" ht="15.5" x14ac:dyDescent="0.35">
      <c r="A122" s="714" t="s">
        <v>1121</v>
      </c>
      <c r="B122" s="745">
        <f>SUM(Ov!H20:H21)</f>
        <v>0</v>
      </c>
      <c r="C122" s="746"/>
      <c r="D122" s="755" t="e">
        <f>B122/oats</f>
        <v>#DIV/0!</v>
      </c>
      <c r="E122" s="720"/>
      <c r="F122" s="755" t="e">
        <f>B122/($C$97*oats)</f>
        <v>#DIV/0!</v>
      </c>
      <c r="G122" s="720"/>
      <c r="H122" s="715" t="e">
        <f>B122/($E$97*oats)</f>
        <v>#DIV/0!</v>
      </c>
    </row>
    <row r="123" spans="1:16" ht="15.5" x14ac:dyDescent="0.35">
      <c r="A123" s="714" t="s">
        <v>1119</v>
      </c>
      <c r="B123" s="745">
        <f>SUM(Ov!H22:H22)</f>
        <v>0</v>
      </c>
      <c r="C123" s="746"/>
      <c r="D123" s="755" t="e">
        <f>B123/oats</f>
        <v>#DIV/0!</v>
      </c>
      <c r="E123" s="720"/>
      <c r="F123" s="755" t="e">
        <f>B123/($C$97*oats)</f>
        <v>#DIV/0!</v>
      </c>
      <c r="G123" s="720"/>
      <c r="H123" s="715" t="e">
        <f>B123/($E$97*oats)</f>
        <v>#DIV/0!</v>
      </c>
    </row>
    <row r="124" spans="1:16" ht="15.5" x14ac:dyDescent="0.35">
      <c r="A124" s="714" t="s">
        <v>1120</v>
      </c>
      <c r="B124" s="745">
        <f>SUM(Ov!H23:H23)</f>
        <v>0</v>
      </c>
      <c r="C124" s="746"/>
      <c r="D124" s="755" t="e">
        <f>B124/oats</f>
        <v>#DIV/0!</v>
      </c>
      <c r="E124" s="720"/>
      <c r="F124" s="755" t="e">
        <f>B124/($C$97*oats)</f>
        <v>#DIV/0!</v>
      </c>
      <c r="G124" s="720"/>
      <c r="H124" s="715" t="e">
        <f>B124/($E$97*oats)</f>
        <v>#DIV/0!</v>
      </c>
      <c r="J124" s="889" t="s">
        <v>1557</v>
      </c>
    </row>
    <row r="125" spans="1:16" ht="15.5" x14ac:dyDescent="0.35">
      <c r="A125" s="714" t="s">
        <v>1214</v>
      </c>
      <c r="B125" s="715"/>
      <c r="C125" s="716"/>
      <c r="D125" s="717"/>
      <c r="E125" s="718"/>
      <c r="F125" s="717"/>
      <c r="G125" s="718"/>
      <c r="H125" s="717"/>
      <c r="J125" s="756">
        <f>_wage_</f>
        <v>12.29</v>
      </c>
      <c r="K125" s="709" t="s">
        <v>1558</v>
      </c>
    </row>
    <row r="126" spans="1:16" ht="15.5" x14ac:dyDescent="0.35">
      <c r="A126" s="734" t="s">
        <v>1910</v>
      </c>
      <c r="B126" s="715">
        <f>Ov!H26</f>
        <v>0</v>
      </c>
      <c r="C126" s="716"/>
      <c r="D126" s="717" t="e">
        <f t="shared" ref="D126:D138" si="14">B126/oats</f>
        <v>#DIV/0!</v>
      </c>
      <c r="E126" s="718"/>
      <c r="F126" s="717" t="e">
        <f t="shared" ref="F126:F138" si="15">B126/($C$97*oats)</f>
        <v>#DIV/0!</v>
      </c>
      <c r="G126" s="718"/>
      <c r="H126" s="716" t="e">
        <f t="shared" ref="H126:H138" si="16">B126/($E$97*oats)</f>
        <v>#DIV/0!</v>
      </c>
      <c r="J126" s="697" t="s">
        <v>76</v>
      </c>
      <c r="K126" s="697"/>
      <c r="L126" s="697" t="s">
        <v>77</v>
      </c>
      <c r="M126" s="698"/>
      <c r="N126" s="697" t="s">
        <v>1554</v>
      </c>
      <c r="O126" s="698"/>
      <c r="P126" s="697" t="s">
        <v>385</v>
      </c>
    </row>
    <row r="127" spans="1:16" ht="15.5" x14ac:dyDescent="0.35">
      <c r="A127" s="734" t="s">
        <v>1251</v>
      </c>
      <c r="B127" s="715">
        <f>Ov!H27</f>
        <v>0</v>
      </c>
      <c r="C127" s="716"/>
      <c r="D127" s="717" t="e">
        <f t="shared" si="14"/>
        <v>#DIV/0!</v>
      </c>
      <c r="E127" s="718"/>
      <c r="F127" s="717" t="e">
        <f t="shared" si="15"/>
        <v>#DIV/0!</v>
      </c>
      <c r="G127" s="718"/>
      <c r="H127" s="716" t="e">
        <f t="shared" si="16"/>
        <v>#DIV/0!</v>
      </c>
      <c r="J127" s="763">
        <f>SUM(B126:B138)</f>
        <v>0</v>
      </c>
      <c r="L127" s="756" t="e">
        <f>SUM(D126:D138)</f>
        <v>#DIV/0!</v>
      </c>
      <c r="N127" s="756" t="e">
        <f>SUM(F126:F138)</f>
        <v>#DIV/0!</v>
      </c>
      <c r="P127" s="756" t="e">
        <f>SUM(H126:H138)</f>
        <v>#DIV/0!</v>
      </c>
    </row>
    <row r="128" spans="1:16" ht="15.5" x14ac:dyDescent="0.35">
      <c r="A128" s="734" t="s">
        <v>1256</v>
      </c>
      <c r="B128" s="715">
        <f>Ov!H28</f>
        <v>0</v>
      </c>
      <c r="C128" s="716"/>
      <c r="D128" s="717" t="e">
        <f t="shared" si="14"/>
        <v>#DIV/0!</v>
      </c>
      <c r="E128" s="718"/>
      <c r="F128" s="717" t="e">
        <f t="shared" si="15"/>
        <v>#DIV/0!</v>
      </c>
      <c r="G128" s="718"/>
      <c r="H128" s="716" t="e">
        <f t="shared" si="16"/>
        <v>#DIV/0!</v>
      </c>
    </row>
    <row r="129" spans="1:16" ht="15.5" x14ac:dyDescent="0.35">
      <c r="A129" s="734" t="s">
        <v>1252</v>
      </c>
      <c r="B129" s="715">
        <f>Ov!H29</f>
        <v>0</v>
      </c>
      <c r="C129" s="716"/>
      <c r="D129" s="717" t="e">
        <f t="shared" si="14"/>
        <v>#DIV/0!</v>
      </c>
      <c r="E129" s="718"/>
      <c r="F129" s="717" t="e">
        <f t="shared" si="15"/>
        <v>#DIV/0!</v>
      </c>
      <c r="G129" s="718"/>
      <c r="H129" s="716" t="e">
        <f t="shared" si="16"/>
        <v>#DIV/0!</v>
      </c>
    </row>
    <row r="130" spans="1:16" ht="15.5" x14ac:dyDescent="0.35">
      <c r="A130" s="734" t="s">
        <v>1253</v>
      </c>
      <c r="B130" s="715">
        <f>Ov!H33</f>
        <v>0</v>
      </c>
      <c r="C130" s="716"/>
      <c r="D130" s="717" t="e">
        <f t="shared" si="14"/>
        <v>#DIV/0!</v>
      </c>
      <c r="E130" s="718"/>
      <c r="F130" s="717" t="e">
        <f t="shared" si="15"/>
        <v>#DIV/0!</v>
      </c>
      <c r="G130" s="718"/>
      <c r="H130" s="716" t="e">
        <f t="shared" si="16"/>
        <v>#DIV/0!</v>
      </c>
    </row>
    <row r="131" spans="1:16" ht="15.5" x14ac:dyDescent="0.35">
      <c r="A131" s="734" t="s">
        <v>1254</v>
      </c>
      <c r="B131" s="715">
        <f>Ov!H34</f>
        <v>0</v>
      </c>
      <c r="C131" s="716"/>
      <c r="D131" s="717" t="e">
        <f t="shared" si="14"/>
        <v>#DIV/0!</v>
      </c>
      <c r="E131" s="718"/>
      <c r="F131" s="717" t="e">
        <f t="shared" si="15"/>
        <v>#DIV/0!</v>
      </c>
      <c r="G131" s="718"/>
      <c r="H131" s="716" t="e">
        <f t="shared" si="16"/>
        <v>#DIV/0!</v>
      </c>
    </row>
    <row r="132" spans="1:16" ht="15.5" x14ac:dyDescent="0.35">
      <c r="A132" s="734" t="s">
        <v>2175</v>
      </c>
      <c r="B132" s="715">
        <f>Ov!H35</f>
        <v>0</v>
      </c>
      <c r="C132" s="716"/>
      <c r="D132" s="717" t="e">
        <f t="shared" si="14"/>
        <v>#DIV/0!</v>
      </c>
      <c r="E132" s="718"/>
      <c r="F132" s="717" t="e">
        <f t="shared" si="15"/>
        <v>#DIV/0!</v>
      </c>
      <c r="G132" s="718"/>
      <c r="H132" s="716" t="e">
        <f t="shared" si="16"/>
        <v>#DIV/0!</v>
      </c>
    </row>
    <row r="133" spans="1:16" ht="15.5" x14ac:dyDescent="0.35">
      <c r="A133" s="734" t="s">
        <v>1255</v>
      </c>
      <c r="B133" s="715">
        <f>SUM(Ov!H40:H41)</f>
        <v>0</v>
      </c>
      <c r="C133" s="716"/>
      <c r="D133" s="717" t="e">
        <f t="shared" si="14"/>
        <v>#DIV/0!</v>
      </c>
      <c r="E133" s="718"/>
      <c r="F133" s="717" t="e">
        <f t="shared" si="15"/>
        <v>#DIV/0!</v>
      </c>
      <c r="G133" s="718"/>
      <c r="H133" s="716" t="e">
        <f t="shared" si="16"/>
        <v>#DIV/0!</v>
      </c>
    </row>
    <row r="134" spans="1:16" ht="15.5" x14ac:dyDescent="0.35">
      <c r="A134" s="734" t="s">
        <v>2077</v>
      </c>
      <c r="B134" s="715">
        <f>SUM(Ov!H42:H43)</f>
        <v>0</v>
      </c>
      <c r="C134" s="716"/>
      <c r="D134" s="717" t="e">
        <f t="shared" si="14"/>
        <v>#DIV/0!</v>
      </c>
      <c r="E134" s="718"/>
      <c r="F134" s="717" t="e">
        <f t="shared" si="15"/>
        <v>#DIV/0!</v>
      </c>
      <c r="G134" s="718"/>
      <c r="H134" s="716" t="e">
        <f t="shared" si="16"/>
        <v>#DIV/0!</v>
      </c>
    </row>
    <row r="135" spans="1:16" ht="15.5" x14ac:dyDescent="0.35">
      <c r="A135" s="734" t="s">
        <v>1537</v>
      </c>
      <c r="B135" s="715">
        <f>SUM(Ov!H55:H57)</f>
        <v>0</v>
      </c>
      <c r="C135" s="716"/>
      <c r="D135" s="717" t="e">
        <f t="shared" si="14"/>
        <v>#DIV/0!</v>
      </c>
      <c r="E135" s="718"/>
      <c r="F135" s="717" t="e">
        <f t="shared" si="15"/>
        <v>#DIV/0!</v>
      </c>
      <c r="G135" s="718"/>
      <c r="H135" s="716" t="e">
        <f t="shared" si="16"/>
        <v>#DIV/0!</v>
      </c>
    </row>
    <row r="136" spans="1:16" ht="15.5" x14ac:dyDescent="0.35">
      <c r="A136" s="734" t="s">
        <v>1257</v>
      </c>
      <c r="B136" s="715">
        <f>SUM(Ov!H58:H60)</f>
        <v>0</v>
      </c>
      <c r="C136" s="716"/>
      <c r="D136" s="717" t="e">
        <f t="shared" si="14"/>
        <v>#DIV/0!</v>
      </c>
      <c r="E136" s="718"/>
      <c r="F136" s="717" t="e">
        <f t="shared" si="15"/>
        <v>#DIV/0!</v>
      </c>
      <c r="G136" s="718"/>
      <c r="H136" s="716" t="e">
        <f t="shared" si="16"/>
        <v>#DIV/0!</v>
      </c>
    </row>
    <row r="137" spans="1:16" ht="15.5" x14ac:dyDescent="0.35">
      <c r="A137" s="734" t="s">
        <v>2030</v>
      </c>
      <c r="B137" s="715">
        <f>SUM(Ov!H44:H54)</f>
        <v>0</v>
      </c>
      <c r="C137" s="716"/>
      <c r="D137" s="717" t="e">
        <f t="shared" si="14"/>
        <v>#DIV/0!</v>
      </c>
      <c r="E137" s="718"/>
      <c r="F137" s="717" t="e">
        <f t="shared" si="15"/>
        <v>#DIV/0!</v>
      </c>
      <c r="G137" s="718"/>
      <c r="H137" s="716" t="e">
        <f t="shared" si="16"/>
        <v>#DIV/0!</v>
      </c>
    </row>
    <row r="138" spans="1:16" ht="15.5" x14ac:dyDescent="0.35">
      <c r="A138" s="734" t="s">
        <v>2078</v>
      </c>
      <c r="B138" s="715">
        <f>SUM(Ov!H62:H75)</f>
        <v>0</v>
      </c>
      <c r="C138" s="716"/>
      <c r="D138" s="717" t="e">
        <f t="shared" si="14"/>
        <v>#DIV/0!</v>
      </c>
      <c r="E138" s="718"/>
      <c r="F138" s="717" t="e">
        <f t="shared" si="15"/>
        <v>#DIV/0!</v>
      </c>
      <c r="G138" s="718"/>
      <c r="H138" s="716" t="e">
        <f t="shared" si="16"/>
        <v>#DIV/0!</v>
      </c>
      <c r="J138" s="889" t="s">
        <v>1985</v>
      </c>
    </row>
    <row r="139" spans="1:16" ht="15.5" x14ac:dyDescent="0.35">
      <c r="A139" s="714" t="s">
        <v>1260</v>
      </c>
      <c r="B139" s="715"/>
      <c r="C139" s="716"/>
      <c r="D139" s="717"/>
      <c r="E139" s="718"/>
      <c r="F139" s="717"/>
      <c r="G139" s="718"/>
      <c r="H139" s="717"/>
      <c r="J139" s="756">
        <f>diesel_fuel</f>
        <v>2.56</v>
      </c>
      <c r="K139" s="709" t="s">
        <v>1559</v>
      </c>
    </row>
    <row r="140" spans="1:16" ht="15.5" x14ac:dyDescent="0.35">
      <c r="A140" s="734" t="s">
        <v>1910</v>
      </c>
      <c r="B140" s="715">
        <f>Ov!H78</f>
        <v>0</v>
      </c>
      <c r="C140" s="716"/>
      <c r="D140" s="717" t="e">
        <f t="shared" ref="D140:D156" si="17">B140/oats</f>
        <v>#DIV/0!</v>
      </c>
      <c r="E140" s="718"/>
      <c r="F140" s="717" t="e">
        <f t="shared" ref="F140:F156" si="18">B140/($C$97*oats)</f>
        <v>#DIV/0!</v>
      </c>
      <c r="G140" s="718"/>
      <c r="H140" s="716" t="e">
        <f t="shared" ref="H140:H156" si="19">B140/($E$97*oats)</f>
        <v>#DIV/0!</v>
      </c>
      <c r="J140" s="697" t="s">
        <v>76</v>
      </c>
      <c r="K140" s="697"/>
      <c r="L140" s="697" t="s">
        <v>77</v>
      </c>
      <c r="M140" s="698"/>
      <c r="N140" s="697" t="s">
        <v>1554</v>
      </c>
      <c r="O140" s="698"/>
      <c r="P140" s="697" t="s">
        <v>385</v>
      </c>
    </row>
    <row r="141" spans="1:16" ht="15.5" x14ac:dyDescent="0.35">
      <c r="A141" s="734" t="s">
        <v>1251</v>
      </c>
      <c r="B141" s="715">
        <f>Ov!H79</f>
        <v>0</v>
      </c>
      <c r="C141" s="716"/>
      <c r="D141" s="717" t="e">
        <f t="shared" si="17"/>
        <v>#DIV/0!</v>
      </c>
      <c r="E141" s="718"/>
      <c r="F141" s="717" t="e">
        <f t="shared" si="18"/>
        <v>#DIV/0!</v>
      </c>
      <c r="G141" s="718"/>
      <c r="H141" s="716" t="e">
        <f t="shared" si="19"/>
        <v>#DIV/0!</v>
      </c>
      <c r="J141" s="763">
        <f>SUM(B140:B152)</f>
        <v>0</v>
      </c>
      <c r="L141" s="756" t="e">
        <f>SUM(D140:D152)</f>
        <v>#DIV/0!</v>
      </c>
      <c r="N141" s="756" t="e">
        <f>SUM(F140:F152)</f>
        <v>#DIV/0!</v>
      </c>
      <c r="P141" s="756" t="e">
        <f>SUM(H140:H152)</f>
        <v>#DIV/0!</v>
      </c>
    </row>
    <row r="142" spans="1:16" ht="15.5" x14ac:dyDescent="0.35">
      <c r="A142" s="734" t="s">
        <v>1256</v>
      </c>
      <c r="B142" s="715">
        <f>Ov!H80</f>
        <v>0</v>
      </c>
      <c r="C142" s="716"/>
      <c r="D142" s="717" t="e">
        <f t="shared" si="17"/>
        <v>#DIV/0!</v>
      </c>
      <c r="E142" s="718"/>
      <c r="F142" s="717" t="e">
        <f t="shared" si="18"/>
        <v>#DIV/0!</v>
      </c>
      <c r="G142" s="718"/>
      <c r="H142" s="716" t="e">
        <f t="shared" si="19"/>
        <v>#DIV/0!</v>
      </c>
    </row>
    <row r="143" spans="1:16" ht="15.5" x14ac:dyDescent="0.35">
      <c r="A143" s="734" t="s">
        <v>1252</v>
      </c>
      <c r="B143" s="715">
        <f>Ov!H81</f>
        <v>0</v>
      </c>
      <c r="C143" s="716"/>
      <c r="D143" s="717" t="e">
        <f t="shared" si="17"/>
        <v>#DIV/0!</v>
      </c>
      <c r="E143" s="718"/>
      <c r="F143" s="717" t="e">
        <f t="shared" si="18"/>
        <v>#DIV/0!</v>
      </c>
      <c r="G143" s="718"/>
      <c r="H143" s="716" t="e">
        <f t="shared" si="19"/>
        <v>#DIV/0!</v>
      </c>
    </row>
    <row r="144" spans="1:16" ht="15.5" x14ac:dyDescent="0.35">
      <c r="A144" s="734" t="s">
        <v>1253</v>
      </c>
      <c r="B144" s="715">
        <f>Ov!H85</f>
        <v>0</v>
      </c>
      <c r="C144" s="716"/>
      <c r="D144" s="717" t="e">
        <f t="shared" si="17"/>
        <v>#DIV/0!</v>
      </c>
      <c r="E144" s="718"/>
      <c r="F144" s="717" t="e">
        <f t="shared" si="18"/>
        <v>#DIV/0!</v>
      </c>
      <c r="G144" s="718"/>
      <c r="H144" s="716" t="e">
        <f t="shared" si="19"/>
        <v>#DIV/0!</v>
      </c>
    </row>
    <row r="145" spans="1:10" ht="15.5" x14ac:dyDescent="0.35">
      <c r="A145" s="734" t="s">
        <v>1254</v>
      </c>
      <c r="B145" s="715">
        <f>Ov!H86</f>
        <v>0</v>
      </c>
      <c r="C145" s="716"/>
      <c r="D145" s="717" t="e">
        <f t="shared" si="17"/>
        <v>#DIV/0!</v>
      </c>
      <c r="E145" s="718"/>
      <c r="F145" s="717" t="e">
        <f t="shared" si="18"/>
        <v>#DIV/0!</v>
      </c>
      <c r="G145" s="718"/>
      <c r="H145" s="716" t="e">
        <f t="shared" si="19"/>
        <v>#DIV/0!</v>
      </c>
      <c r="J145" s="108"/>
    </row>
    <row r="146" spans="1:10" ht="15.5" x14ac:dyDescent="0.35">
      <c r="A146" s="734" t="s">
        <v>2175</v>
      </c>
      <c r="B146" s="715">
        <f>Ov!H87</f>
        <v>0</v>
      </c>
      <c r="C146" s="716"/>
      <c r="D146" s="717" t="e">
        <f t="shared" si="17"/>
        <v>#DIV/0!</v>
      </c>
      <c r="E146" s="718"/>
      <c r="F146" s="717" t="e">
        <f t="shared" si="18"/>
        <v>#DIV/0!</v>
      </c>
      <c r="G146" s="718"/>
      <c r="H146" s="716" t="e">
        <f t="shared" si="19"/>
        <v>#DIV/0!</v>
      </c>
    </row>
    <row r="147" spans="1:10" ht="15.5" x14ac:dyDescent="0.35">
      <c r="A147" s="734" t="s">
        <v>1255</v>
      </c>
      <c r="B147" s="715">
        <f>SUM(Ov!H92:H93)</f>
        <v>0</v>
      </c>
      <c r="C147" s="716"/>
      <c r="D147" s="717" t="e">
        <f t="shared" si="17"/>
        <v>#DIV/0!</v>
      </c>
      <c r="E147" s="718"/>
      <c r="F147" s="717" t="e">
        <f t="shared" si="18"/>
        <v>#DIV/0!</v>
      </c>
      <c r="G147" s="718"/>
      <c r="H147" s="716" t="e">
        <f t="shared" si="19"/>
        <v>#DIV/0!</v>
      </c>
    </row>
    <row r="148" spans="1:10" ht="15.5" x14ac:dyDescent="0.35">
      <c r="A148" s="734" t="s">
        <v>2077</v>
      </c>
      <c r="B148" s="715">
        <f>SUM(Ov!H94:H95)</f>
        <v>0</v>
      </c>
      <c r="C148" s="716"/>
      <c r="D148" s="717" t="e">
        <f t="shared" si="17"/>
        <v>#DIV/0!</v>
      </c>
      <c r="E148" s="718"/>
      <c r="F148" s="717" t="e">
        <f t="shared" si="18"/>
        <v>#DIV/0!</v>
      </c>
      <c r="G148" s="718"/>
      <c r="H148" s="716" t="e">
        <f t="shared" si="19"/>
        <v>#DIV/0!</v>
      </c>
    </row>
    <row r="149" spans="1:10" ht="15.5" x14ac:dyDescent="0.35">
      <c r="A149" s="734" t="s">
        <v>1537</v>
      </c>
      <c r="B149" s="715">
        <f>SUM(Ov!H107:H109)</f>
        <v>0</v>
      </c>
      <c r="C149" s="716"/>
      <c r="D149" s="719" t="e">
        <f t="shared" si="17"/>
        <v>#DIV/0!</v>
      </c>
      <c r="E149" s="718"/>
      <c r="F149" s="719" t="e">
        <f t="shared" si="18"/>
        <v>#DIV/0!</v>
      </c>
      <c r="G149" s="718"/>
      <c r="H149" s="715" t="e">
        <f t="shared" si="19"/>
        <v>#DIV/0!</v>
      </c>
    </row>
    <row r="150" spans="1:10" ht="15.5" x14ac:dyDescent="0.35">
      <c r="A150" s="734" t="s">
        <v>1257</v>
      </c>
      <c r="B150" s="715">
        <f>SUM(Ov!H111:H112)</f>
        <v>0</v>
      </c>
      <c r="C150" s="716"/>
      <c r="D150" s="719" t="e">
        <f t="shared" si="17"/>
        <v>#DIV/0!</v>
      </c>
      <c r="E150" s="720"/>
      <c r="F150" s="719" t="e">
        <f t="shared" si="18"/>
        <v>#DIV/0!</v>
      </c>
      <c r="G150" s="720"/>
      <c r="H150" s="715" t="e">
        <f t="shared" si="19"/>
        <v>#DIV/0!</v>
      </c>
    </row>
    <row r="151" spans="1:10" ht="15.5" x14ac:dyDescent="0.35">
      <c r="A151" s="734" t="s">
        <v>2030</v>
      </c>
      <c r="B151" s="715">
        <f>SUM(Ov!H96:H106)</f>
        <v>0</v>
      </c>
      <c r="C151" s="716"/>
      <c r="D151" s="717" t="e">
        <f t="shared" si="17"/>
        <v>#DIV/0!</v>
      </c>
      <c r="E151" s="720"/>
      <c r="F151" s="717" t="e">
        <f t="shared" si="18"/>
        <v>#DIV/0!</v>
      </c>
      <c r="G151" s="720"/>
      <c r="H151" s="716" t="e">
        <f t="shared" si="19"/>
        <v>#DIV/0!</v>
      </c>
    </row>
    <row r="152" spans="1:10" ht="15.5" x14ac:dyDescent="0.35">
      <c r="A152" s="734" t="s">
        <v>2078</v>
      </c>
      <c r="B152" s="715">
        <f>SUM(Ov!H114:H127)</f>
        <v>0</v>
      </c>
      <c r="C152" s="716"/>
      <c r="D152" s="717" t="e">
        <f t="shared" si="17"/>
        <v>#DIV/0!</v>
      </c>
      <c r="E152" s="720"/>
      <c r="F152" s="717" t="e">
        <f t="shared" si="18"/>
        <v>#DIV/0!</v>
      </c>
      <c r="G152" s="720"/>
      <c r="H152" s="716" t="e">
        <f t="shared" si="19"/>
        <v>#DIV/0!</v>
      </c>
    </row>
    <row r="153" spans="1:10" ht="15.5" x14ac:dyDescent="0.35">
      <c r="A153" s="714" t="s">
        <v>1258</v>
      </c>
      <c r="B153" s="715">
        <f>Ov!H128</f>
        <v>0</v>
      </c>
      <c r="C153" s="716"/>
      <c r="D153" s="717" t="e">
        <f t="shared" si="17"/>
        <v>#DIV/0!</v>
      </c>
      <c r="E153" s="718"/>
      <c r="F153" s="717" t="e">
        <f t="shared" si="18"/>
        <v>#DIV/0!</v>
      </c>
      <c r="G153" s="718"/>
      <c r="H153" s="716" t="e">
        <f t="shared" si="19"/>
        <v>#DIV/0!</v>
      </c>
    </row>
    <row r="154" spans="1:10" ht="15.5" x14ac:dyDescent="0.35">
      <c r="A154" s="714" t="s">
        <v>78</v>
      </c>
      <c r="B154" s="715">
        <f>SUM(Ov!H129:H130)</f>
        <v>0</v>
      </c>
      <c r="C154" s="716"/>
      <c r="D154" s="717" t="e">
        <f t="shared" si="17"/>
        <v>#DIV/0!</v>
      </c>
      <c r="E154" s="718"/>
      <c r="F154" s="717" t="e">
        <f t="shared" si="18"/>
        <v>#DIV/0!</v>
      </c>
      <c r="G154" s="718"/>
      <c r="H154" s="716" t="e">
        <f t="shared" si="19"/>
        <v>#DIV/0!</v>
      </c>
    </row>
    <row r="155" spans="1:10" ht="15.5" x14ac:dyDescent="0.35">
      <c r="A155" s="714" t="s">
        <v>170</v>
      </c>
      <c r="B155" s="732">
        <f>Ov!H131</f>
        <v>0</v>
      </c>
      <c r="C155" s="733"/>
      <c r="D155" s="719" t="e">
        <f t="shared" si="17"/>
        <v>#DIV/0!</v>
      </c>
      <c r="E155" s="720"/>
      <c r="F155" s="719" t="e">
        <f t="shared" si="18"/>
        <v>#DIV/0!</v>
      </c>
      <c r="G155" s="720"/>
      <c r="H155" s="715" t="e">
        <f t="shared" si="19"/>
        <v>#DIV/0!</v>
      </c>
    </row>
    <row r="156" spans="1:10" ht="15.5" x14ac:dyDescent="0.35">
      <c r="A156" s="714" t="s">
        <v>171</v>
      </c>
      <c r="B156" s="732">
        <f>SUM(Ov!H132:H134)</f>
        <v>0</v>
      </c>
      <c r="C156" s="733"/>
      <c r="D156" s="717" t="e">
        <f t="shared" si="17"/>
        <v>#DIV/0!</v>
      </c>
      <c r="E156" s="718"/>
      <c r="F156" s="717" t="e">
        <f t="shared" si="18"/>
        <v>#DIV/0!</v>
      </c>
      <c r="G156" s="718"/>
      <c r="H156" s="716" t="e">
        <f t="shared" si="19"/>
        <v>#DIV/0!</v>
      </c>
    </row>
    <row r="157" spans="1:10" ht="15.5" x14ac:dyDescent="0.35">
      <c r="A157" s="714" t="s">
        <v>172</v>
      </c>
      <c r="B157" s="732"/>
      <c r="C157" s="733"/>
      <c r="D157" s="717"/>
      <c r="E157" s="718"/>
      <c r="F157" s="717"/>
      <c r="G157" s="718"/>
      <c r="H157" s="717"/>
    </row>
    <row r="158" spans="1:10" ht="15.5" x14ac:dyDescent="0.35">
      <c r="A158" s="734" t="s">
        <v>439</v>
      </c>
      <c r="B158" s="732">
        <f>Ov!H135</f>
        <v>0</v>
      </c>
      <c r="C158" s="733"/>
      <c r="D158" s="717" t="e">
        <f t="shared" ref="D158:D172" si="20">B158/oats</f>
        <v>#DIV/0!</v>
      </c>
      <c r="E158" s="718"/>
      <c r="F158" s="717" t="e">
        <f t="shared" ref="F158:F172" si="21">B158/($C$97*oats)</f>
        <v>#DIV/0!</v>
      </c>
      <c r="G158" s="718"/>
      <c r="H158" s="716" t="e">
        <f t="shared" ref="H158:H172" si="22">B158/($E$97*oats)</f>
        <v>#DIV/0!</v>
      </c>
    </row>
    <row r="159" spans="1:10" ht="15.5" x14ac:dyDescent="0.35">
      <c r="A159" s="734" t="s">
        <v>1506</v>
      </c>
      <c r="B159" s="732">
        <f>SUM(Ov!H136:H138)</f>
        <v>0</v>
      </c>
      <c r="C159" s="733"/>
      <c r="D159" s="717" t="e">
        <f t="shared" si="20"/>
        <v>#DIV/0!</v>
      </c>
      <c r="E159" s="718"/>
      <c r="F159" s="717" t="e">
        <f t="shared" si="21"/>
        <v>#DIV/0!</v>
      </c>
      <c r="G159" s="718"/>
      <c r="H159" s="716" t="e">
        <f t="shared" si="22"/>
        <v>#DIV/0!</v>
      </c>
    </row>
    <row r="160" spans="1:10" ht="15.5" x14ac:dyDescent="0.35">
      <c r="A160" s="734" t="s">
        <v>1505</v>
      </c>
      <c r="B160" s="732">
        <f>SUM(Ov!H139:H141)</f>
        <v>0</v>
      </c>
      <c r="C160" s="733"/>
      <c r="D160" s="717" t="e">
        <f t="shared" si="20"/>
        <v>#DIV/0!</v>
      </c>
      <c r="E160" s="718"/>
      <c r="F160" s="717" t="e">
        <f t="shared" si="21"/>
        <v>#DIV/0!</v>
      </c>
      <c r="G160" s="718"/>
      <c r="H160" s="716" t="e">
        <f t="shared" si="22"/>
        <v>#DIV/0!</v>
      </c>
    </row>
    <row r="161" spans="1:10" ht="15.5" x14ac:dyDescent="0.35">
      <c r="A161" s="734" t="s">
        <v>1237</v>
      </c>
      <c r="B161" s="732">
        <f>Ov!H142</f>
        <v>0</v>
      </c>
      <c r="C161" s="733"/>
      <c r="D161" s="717" t="e">
        <f t="shared" si="20"/>
        <v>#DIV/0!</v>
      </c>
      <c r="E161" s="718"/>
      <c r="F161" s="717" t="e">
        <f t="shared" si="21"/>
        <v>#DIV/0!</v>
      </c>
      <c r="G161" s="718"/>
      <c r="H161" s="716" t="e">
        <f t="shared" si="22"/>
        <v>#DIV/0!</v>
      </c>
    </row>
    <row r="162" spans="1:10" ht="15.5" x14ac:dyDescent="0.35">
      <c r="A162" s="734" t="s">
        <v>1212</v>
      </c>
      <c r="B162" s="732">
        <f>SUM(Ov!H143:H145)</f>
        <v>0</v>
      </c>
      <c r="C162" s="733"/>
      <c r="D162" s="717" t="e">
        <f t="shared" si="20"/>
        <v>#DIV/0!</v>
      </c>
      <c r="E162" s="720"/>
      <c r="F162" s="717" t="e">
        <f t="shared" si="21"/>
        <v>#DIV/0!</v>
      </c>
      <c r="G162" s="720"/>
      <c r="H162" s="716" t="e">
        <f t="shared" si="22"/>
        <v>#DIV/0!</v>
      </c>
    </row>
    <row r="163" spans="1:10" ht="15.5" x14ac:dyDescent="0.35">
      <c r="A163" s="734" t="s">
        <v>1238</v>
      </c>
      <c r="B163" s="732">
        <f>SUM(Ov!H146:H148)</f>
        <v>0</v>
      </c>
      <c r="C163" s="733"/>
      <c r="D163" s="717" t="e">
        <f t="shared" si="20"/>
        <v>#DIV/0!</v>
      </c>
      <c r="E163" s="718"/>
      <c r="F163" s="717" t="e">
        <f t="shared" si="21"/>
        <v>#DIV/0!</v>
      </c>
      <c r="G163" s="718"/>
      <c r="H163" s="716" t="e">
        <f t="shared" si="22"/>
        <v>#DIV/0!</v>
      </c>
    </row>
    <row r="164" spans="1:10" ht="15.5" x14ac:dyDescent="0.35">
      <c r="A164" s="734" t="s">
        <v>2076</v>
      </c>
      <c r="B164" s="753">
        <f>SUM(Ov!H149:H155)</f>
        <v>0</v>
      </c>
      <c r="C164" s="699"/>
      <c r="D164" s="717" t="e">
        <f t="shared" si="20"/>
        <v>#DIV/0!</v>
      </c>
      <c r="E164" s="753"/>
      <c r="F164" s="717" t="e">
        <f>B164/($C$6*oats)</f>
        <v>#DIV/0!</v>
      </c>
      <c r="G164" s="753"/>
      <c r="H164" s="716" t="e">
        <f t="shared" ref="H164" si="23">B164/($E$6*oats)</f>
        <v>#DIV/0!</v>
      </c>
    </row>
    <row r="165" spans="1:10" ht="15.5" x14ac:dyDescent="0.35">
      <c r="A165" s="734" t="s">
        <v>2029</v>
      </c>
      <c r="B165" s="732">
        <f>SUM(Ov!H156:H158)</f>
        <v>0</v>
      </c>
      <c r="C165" s="733"/>
      <c r="D165" s="719" t="e">
        <f>B165/oats</f>
        <v>#DIV/0!</v>
      </c>
      <c r="E165" s="718"/>
      <c r="F165" s="719" t="e">
        <f>B165/($C$97*oats)</f>
        <v>#DIV/0!</v>
      </c>
      <c r="G165" s="718"/>
      <c r="H165" s="715" t="e">
        <f>B165/($E$97*oats)</f>
        <v>#DIV/0!</v>
      </c>
    </row>
    <row r="166" spans="1:10" ht="15.5" x14ac:dyDescent="0.35">
      <c r="A166" s="734" t="s">
        <v>1532</v>
      </c>
      <c r="B166" s="732">
        <f>SUM(Ov!H159:H163)</f>
        <v>0</v>
      </c>
      <c r="C166" s="733"/>
      <c r="D166" s="717" t="e">
        <f t="shared" si="20"/>
        <v>#DIV/0!</v>
      </c>
      <c r="E166" s="718"/>
      <c r="F166" s="717" t="e">
        <f t="shared" si="21"/>
        <v>#DIV/0!</v>
      </c>
      <c r="G166" s="718"/>
      <c r="H166" s="716" t="e">
        <f t="shared" si="22"/>
        <v>#DIV/0!</v>
      </c>
    </row>
    <row r="167" spans="1:10" ht="15.5" x14ac:dyDescent="0.35">
      <c r="A167" s="734" t="s">
        <v>1533</v>
      </c>
      <c r="B167" s="732">
        <f>SUM(Ov!H164:H165)</f>
        <v>0</v>
      </c>
      <c r="C167" s="733"/>
      <c r="D167" s="719" t="e">
        <f t="shared" si="20"/>
        <v>#DIV/0!</v>
      </c>
      <c r="E167" s="718"/>
      <c r="F167" s="719" t="e">
        <f t="shared" si="21"/>
        <v>#DIV/0!</v>
      </c>
      <c r="G167" s="718"/>
      <c r="H167" s="715" t="e">
        <f t="shared" si="22"/>
        <v>#DIV/0!</v>
      </c>
    </row>
    <row r="168" spans="1:10" ht="15.5" x14ac:dyDescent="0.35">
      <c r="A168" s="734" t="s">
        <v>1534</v>
      </c>
      <c r="B168" s="732">
        <f>Ov!H166</f>
        <v>0</v>
      </c>
      <c r="C168" s="733"/>
      <c r="D168" s="717" t="e">
        <f t="shared" si="20"/>
        <v>#DIV/0!</v>
      </c>
      <c r="E168" s="718"/>
      <c r="F168" s="785" t="e">
        <f t="shared" si="21"/>
        <v>#DIV/0!</v>
      </c>
      <c r="G168" s="718"/>
      <c r="H168" s="716" t="e">
        <f t="shared" si="22"/>
        <v>#DIV/0!</v>
      </c>
    </row>
    <row r="169" spans="1:10" ht="15.5" x14ac:dyDescent="0.35">
      <c r="A169" s="734" t="s">
        <v>1535</v>
      </c>
      <c r="B169" s="732">
        <f>Ov!H167</f>
        <v>0</v>
      </c>
      <c r="C169" s="733"/>
      <c r="D169" s="717" t="e">
        <f t="shared" si="20"/>
        <v>#DIV/0!</v>
      </c>
      <c r="E169" s="718"/>
      <c r="F169" s="785" t="e">
        <f t="shared" si="21"/>
        <v>#DIV/0!</v>
      </c>
      <c r="G169" s="718"/>
      <c r="H169" s="716" t="e">
        <f t="shared" si="22"/>
        <v>#DIV/0!</v>
      </c>
    </row>
    <row r="170" spans="1:10" ht="15.5" x14ac:dyDescent="0.35">
      <c r="A170" s="734" t="s">
        <v>1536</v>
      </c>
      <c r="B170" s="732">
        <f>Ov!H168</f>
        <v>0</v>
      </c>
      <c r="C170" s="733"/>
      <c r="D170" s="717" t="e">
        <f t="shared" si="20"/>
        <v>#DIV/0!</v>
      </c>
      <c r="E170" s="718"/>
      <c r="F170" s="785" t="e">
        <f t="shared" si="21"/>
        <v>#DIV/0!</v>
      </c>
      <c r="G170" s="718"/>
      <c r="H170" s="716" t="e">
        <f t="shared" si="22"/>
        <v>#DIV/0!</v>
      </c>
    </row>
    <row r="171" spans="1:10" ht="15.5" x14ac:dyDescent="0.35">
      <c r="A171" s="734" t="s">
        <v>443</v>
      </c>
      <c r="B171" s="732">
        <f>SUM(Ov!H169:H171)</f>
        <v>0</v>
      </c>
      <c r="C171" s="733"/>
      <c r="D171" s="719" t="e">
        <f t="shared" si="20"/>
        <v>#DIV/0!</v>
      </c>
      <c r="E171" s="720"/>
      <c r="F171" s="719" t="e">
        <f t="shared" si="21"/>
        <v>#DIV/0!</v>
      </c>
      <c r="G171" s="720"/>
      <c r="H171" s="715" t="e">
        <f t="shared" si="22"/>
        <v>#DIV/0!</v>
      </c>
    </row>
    <row r="172" spans="1:10" ht="15.5" x14ac:dyDescent="0.35">
      <c r="A172" s="714" t="s">
        <v>69</v>
      </c>
      <c r="B172" s="732">
        <f>Ov!H175</f>
        <v>0</v>
      </c>
      <c r="C172" s="733"/>
      <c r="D172" s="717" t="e">
        <f t="shared" si="20"/>
        <v>#DIV/0!</v>
      </c>
      <c r="E172" s="718"/>
      <c r="F172" s="717" t="e">
        <f t="shared" si="21"/>
        <v>#DIV/0!</v>
      </c>
      <c r="G172" s="718"/>
      <c r="H172" s="716" t="e">
        <f t="shared" si="22"/>
        <v>#DIV/0!</v>
      </c>
    </row>
    <row r="173" spans="1:10" ht="15" x14ac:dyDescent="0.3">
      <c r="A173" s="709" t="s">
        <v>366</v>
      </c>
      <c r="B173" s="735">
        <f>SUM(B118:B172)</f>
        <v>0</v>
      </c>
      <c r="C173" s="736"/>
      <c r="D173" s="737" t="e">
        <f>SUM(D118:D172)</f>
        <v>#DIV/0!</v>
      </c>
      <c r="E173" s="737"/>
      <c r="F173" s="737" t="e">
        <f>SUM(F118:F172)</f>
        <v>#DIV/0!</v>
      </c>
      <c r="G173" s="737"/>
      <c r="H173" s="737" t="e">
        <f>SUM(H118:H172)</f>
        <v>#DIV/0!</v>
      </c>
    </row>
    <row r="174" spans="1:10" ht="15.5" x14ac:dyDescent="0.35">
      <c r="A174" s="738"/>
      <c r="B174" s="732"/>
      <c r="C174" s="733"/>
      <c r="D174" s="739"/>
      <c r="E174" s="740"/>
      <c r="F174" s="740"/>
      <c r="G174" s="740"/>
      <c r="H174" s="740"/>
    </row>
    <row r="175" spans="1:10" ht="15.5" x14ac:dyDescent="0.35">
      <c r="A175" s="709" t="s">
        <v>367</v>
      </c>
      <c r="B175" s="732"/>
      <c r="C175" s="733"/>
      <c r="D175" s="739"/>
      <c r="E175" s="740"/>
      <c r="F175" s="740"/>
      <c r="G175" s="740"/>
      <c r="H175" s="740"/>
    </row>
    <row r="176" spans="1:10" ht="15.5" x14ac:dyDescent="0.35">
      <c r="A176" s="714" t="s">
        <v>29</v>
      </c>
      <c r="B176" s="732"/>
      <c r="C176" s="733"/>
      <c r="D176" s="733"/>
      <c r="E176" s="757"/>
      <c r="F176" s="716"/>
      <c r="G176" s="757"/>
      <c r="H176" s="716"/>
      <c r="J176" s="890" t="s">
        <v>29</v>
      </c>
    </row>
    <row r="177" spans="1:16" ht="15.5" x14ac:dyDescent="0.35">
      <c r="A177" s="734" t="s">
        <v>1240</v>
      </c>
      <c r="B177" s="732">
        <f>SUM(Of!H8:H24)</f>
        <v>0</v>
      </c>
      <c r="C177" s="733"/>
      <c r="D177" s="717" t="e">
        <f t="shared" ref="D177:D190" si="24">B177/oats</f>
        <v>#DIV/0!</v>
      </c>
      <c r="E177" s="757"/>
      <c r="F177" s="717" t="e">
        <f t="shared" ref="F177:F190" si="25">B177/($C$97*oats)</f>
        <v>#DIV/0!</v>
      </c>
      <c r="G177" s="757"/>
      <c r="H177" s="716" t="e">
        <f t="shared" ref="H177:H190" si="26">B177/($E$97*oats)</f>
        <v>#DIV/0!</v>
      </c>
      <c r="J177" s="697" t="s">
        <v>76</v>
      </c>
      <c r="K177" s="697"/>
      <c r="L177" s="697" t="s">
        <v>77</v>
      </c>
      <c r="M177" s="698"/>
      <c r="N177" s="697" t="s">
        <v>1554</v>
      </c>
      <c r="O177" s="698"/>
      <c r="P177" s="697" t="s">
        <v>385</v>
      </c>
    </row>
    <row r="178" spans="1:16" ht="15.5" x14ac:dyDescent="0.35">
      <c r="A178" s="734" t="s">
        <v>1241</v>
      </c>
      <c r="B178" s="732">
        <f>SUM(Of!H25:H33)</f>
        <v>0</v>
      </c>
      <c r="C178" s="733"/>
      <c r="D178" s="717" t="e">
        <f t="shared" si="24"/>
        <v>#DIV/0!</v>
      </c>
      <c r="E178" s="757"/>
      <c r="F178" s="717" t="e">
        <f t="shared" si="25"/>
        <v>#DIV/0!</v>
      </c>
      <c r="G178" s="757"/>
      <c r="H178" s="716" t="e">
        <f t="shared" si="26"/>
        <v>#DIV/0!</v>
      </c>
      <c r="J178" s="763">
        <f>SUM(B177:B189)</f>
        <v>0</v>
      </c>
      <c r="L178" s="756" t="e">
        <f>SUM(D177:D189)</f>
        <v>#DIV/0!</v>
      </c>
      <c r="N178" s="756" t="e">
        <f>SUM(F177:F189)</f>
        <v>#DIV/0!</v>
      </c>
      <c r="P178" s="756" t="e">
        <f>SUM(H177:H189)</f>
        <v>#DIV/0!</v>
      </c>
    </row>
    <row r="179" spans="1:16" ht="15.5" x14ac:dyDescent="0.35">
      <c r="A179" s="734" t="s">
        <v>1243</v>
      </c>
      <c r="B179" s="732">
        <f>SUM(Of!H34:H50)</f>
        <v>0</v>
      </c>
      <c r="C179" s="733"/>
      <c r="D179" s="717" t="e">
        <f t="shared" si="24"/>
        <v>#DIV/0!</v>
      </c>
      <c r="E179" s="757"/>
      <c r="F179" s="717" t="e">
        <f t="shared" si="25"/>
        <v>#DIV/0!</v>
      </c>
      <c r="G179" s="757"/>
      <c r="H179" s="716" t="e">
        <f t="shared" si="26"/>
        <v>#DIV/0!</v>
      </c>
    </row>
    <row r="180" spans="1:16" ht="15.5" x14ac:dyDescent="0.35">
      <c r="A180" s="734" t="s">
        <v>1242</v>
      </c>
      <c r="B180" s="732">
        <f>SUM(Of!H51:H62)</f>
        <v>0</v>
      </c>
      <c r="C180" s="733"/>
      <c r="D180" s="717" t="e">
        <f t="shared" si="24"/>
        <v>#DIV/0!</v>
      </c>
      <c r="E180" s="757"/>
      <c r="F180" s="717" t="e">
        <f t="shared" si="25"/>
        <v>#DIV/0!</v>
      </c>
      <c r="G180" s="757"/>
      <c r="H180" s="716" t="e">
        <f t="shared" si="26"/>
        <v>#DIV/0!</v>
      </c>
    </row>
    <row r="181" spans="1:16" ht="15.5" x14ac:dyDescent="0.35">
      <c r="A181" s="734" t="s">
        <v>1244</v>
      </c>
      <c r="B181" s="732">
        <f>SUM(Of!H63:H67)</f>
        <v>0</v>
      </c>
      <c r="C181" s="733"/>
      <c r="D181" s="719" t="e">
        <f t="shared" si="24"/>
        <v>#DIV/0!</v>
      </c>
      <c r="E181" s="762"/>
      <c r="F181" s="719" t="e">
        <f t="shared" si="25"/>
        <v>#DIV/0!</v>
      </c>
      <c r="G181" s="762"/>
      <c r="H181" s="715" t="e">
        <f t="shared" si="26"/>
        <v>#DIV/0!</v>
      </c>
    </row>
    <row r="182" spans="1:16" ht="15.5" x14ac:dyDescent="0.35">
      <c r="A182" s="734" t="s">
        <v>1245</v>
      </c>
      <c r="B182" s="732">
        <f>0</f>
        <v>0</v>
      </c>
      <c r="C182" s="733"/>
      <c r="D182" s="719" t="e">
        <f t="shared" si="24"/>
        <v>#DIV/0!</v>
      </c>
      <c r="E182" s="762"/>
      <c r="F182" s="719" t="e">
        <f t="shared" si="25"/>
        <v>#DIV/0!</v>
      </c>
      <c r="G182" s="762"/>
      <c r="H182" s="715" t="e">
        <f t="shared" si="26"/>
        <v>#DIV/0!</v>
      </c>
    </row>
    <row r="183" spans="1:16" ht="15.5" x14ac:dyDescent="0.35">
      <c r="A183" s="734" t="s">
        <v>1246</v>
      </c>
      <c r="B183" s="732">
        <f>SUM(Of!H68:H78)</f>
        <v>0</v>
      </c>
      <c r="C183" s="733"/>
      <c r="D183" s="717" t="e">
        <f t="shared" si="24"/>
        <v>#DIV/0!</v>
      </c>
      <c r="E183" s="757"/>
      <c r="F183" s="717" t="e">
        <f t="shared" si="25"/>
        <v>#DIV/0!</v>
      </c>
      <c r="G183" s="757"/>
      <c r="H183" s="716" t="e">
        <f t="shared" si="26"/>
        <v>#DIV/0!</v>
      </c>
    </row>
    <row r="184" spans="1:16" ht="15.5" x14ac:dyDescent="0.35">
      <c r="A184" s="734" t="s">
        <v>1247</v>
      </c>
      <c r="B184" s="732">
        <f>SUM(Of!H79:H86)</f>
        <v>0</v>
      </c>
      <c r="C184" s="733"/>
      <c r="D184" s="717" t="e">
        <f t="shared" si="24"/>
        <v>#DIV/0!</v>
      </c>
      <c r="E184" s="757"/>
      <c r="F184" s="785" t="e">
        <f t="shared" si="25"/>
        <v>#DIV/0!</v>
      </c>
      <c r="G184" s="757"/>
      <c r="H184" s="716" t="e">
        <f t="shared" si="26"/>
        <v>#DIV/0!</v>
      </c>
    </row>
    <row r="185" spans="1:16" ht="15.5" x14ac:dyDescent="0.35">
      <c r="A185" s="734" t="s">
        <v>2148</v>
      </c>
      <c r="B185" s="732">
        <f>SUM(Of!H87:H91)</f>
        <v>0</v>
      </c>
      <c r="C185" s="733"/>
      <c r="D185" s="717" t="e">
        <f t="shared" ref="D185" si="27">B185/oats</f>
        <v>#DIV/0!</v>
      </c>
      <c r="E185" s="757"/>
      <c r="F185" s="717" t="e">
        <f t="shared" ref="F185" si="28">B185/($C$97*oats)</f>
        <v>#DIV/0!</v>
      </c>
      <c r="G185" s="757"/>
      <c r="H185" s="716" t="e">
        <f t="shared" ref="H185" si="29">B185/($E$97*oats)</f>
        <v>#DIV/0!</v>
      </c>
    </row>
    <row r="186" spans="1:16" ht="15.5" x14ac:dyDescent="0.35">
      <c r="A186" s="734" t="s">
        <v>1250</v>
      </c>
      <c r="B186" s="732">
        <f>SUM(Of!H92:H103)</f>
        <v>0</v>
      </c>
      <c r="C186" s="733"/>
      <c r="D186" s="717" t="e">
        <f t="shared" si="24"/>
        <v>#DIV/0!</v>
      </c>
      <c r="E186" s="757"/>
      <c r="F186" s="717" t="e">
        <f t="shared" si="25"/>
        <v>#DIV/0!</v>
      </c>
      <c r="G186" s="757"/>
      <c r="H186" s="716" t="e">
        <f t="shared" si="26"/>
        <v>#DIV/0!</v>
      </c>
    </row>
    <row r="187" spans="1:16" ht="15.5" x14ac:dyDescent="0.35">
      <c r="A187" s="734" t="s">
        <v>1304</v>
      </c>
      <c r="B187" s="732">
        <f>0</f>
        <v>0</v>
      </c>
      <c r="C187" s="733"/>
      <c r="D187" s="719" t="e">
        <f t="shared" si="24"/>
        <v>#DIV/0!</v>
      </c>
      <c r="E187" s="762"/>
      <c r="F187" s="719" t="e">
        <f t="shared" si="25"/>
        <v>#DIV/0!</v>
      </c>
      <c r="G187" s="762"/>
      <c r="H187" s="715" t="e">
        <f t="shared" si="26"/>
        <v>#DIV/0!</v>
      </c>
    </row>
    <row r="188" spans="1:16" ht="15.5" x14ac:dyDescent="0.35">
      <c r="A188" s="734" t="s">
        <v>1248</v>
      </c>
      <c r="B188" s="732">
        <f>SUM(Of!H105:H108)</f>
        <v>0</v>
      </c>
      <c r="C188" s="733"/>
      <c r="D188" s="717" t="e">
        <f t="shared" si="24"/>
        <v>#DIV/0!</v>
      </c>
      <c r="E188" s="757"/>
      <c r="F188" s="717" t="e">
        <f t="shared" si="25"/>
        <v>#DIV/0!</v>
      </c>
      <c r="G188" s="757"/>
      <c r="H188" s="716" t="e">
        <f t="shared" si="26"/>
        <v>#DIV/0!</v>
      </c>
    </row>
    <row r="189" spans="1:16" ht="15.5" x14ac:dyDescent="0.35">
      <c r="A189" s="734" t="s">
        <v>1249</v>
      </c>
      <c r="B189" s="732">
        <f>SUM(Of!H109:H113)</f>
        <v>0</v>
      </c>
      <c r="C189" s="733"/>
      <c r="D189" s="717" t="e">
        <f t="shared" si="24"/>
        <v>#DIV/0!</v>
      </c>
      <c r="E189" s="757"/>
      <c r="F189" s="717" t="e">
        <f t="shared" si="25"/>
        <v>#DIV/0!</v>
      </c>
      <c r="G189" s="757"/>
      <c r="H189" s="716" t="e">
        <f t="shared" si="26"/>
        <v>#DIV/0!</v>
      </c>
    </row>
    <row r="190" spans="1:16" ht="15.5" x14ac:dyDescent="0.35">
      <c r="A190" s="714" t="s">
        <v>79</v>
      </c>
      <c r="B190" s="732">
        <f>Of!L121</f>
        <v>0</v>
      </c>
      <c r="C190" s="733"/>
      <c r="D190" s="717" t="e">
        <f t="shared" si="24"/>
        <v>#DIV/0!</v>
      </c>
      <c r="E190" s="740"/>
      <c r="F190" s="717" t="e">
        <f t="shared" si="25"/>
        <v>#DIV/0!</v>
      </c>
      <c r="G190" s="740"/>
      <c r="H190" s="716" t="e">
        <f t="shared" si="26"/>
        <v>#DIV/0!</v>
      </c>
    </row>
    <row r="191" spans="1:16" ht="15" x14ac:dyDescent="0.3">
      <c r="A191" s="709" t="s">
        <v>368</v>
      </c>
      <c r="B191" s="735">
        <f>SUM(B176:B190)</f>
        <v>0</v>
      </c>
      <c r="C191" s="736"/>
      <c r="D191" s="737" t="e">
        <f>SUM(D176:D190)</f>
        <v>#DIV/0!</v>
      </c>
      <c r="E191" s="737"/>
      <c r="F191" s="737" t="e">
        <f>SUM(F176:F190)</f>
        <v>#DIV/0!</v>
      </c>
      <c r="G191" s="737"/>
      <c r="H191" s="737" t="e">
        <f>SUM(H176:H190)</f>
        <v>#DIV/0!</v>
      </c>
    </row>
    <row r="192" spans="1:16" ht="15.5" x14ac:dyDescent="0.35">
      <c r="A192" s="699"/>
      <c r="B192" s="735"/>
      <c r="C192" s="736"/>
      <c r="D192" s="737"/>
      <c r="E192" s="741"/>
      <c r="F192" s="741"/>
      <c r="G192" s="741"/>
      <c r="H192" s="741"/>
    </row>
    <row r="193" spans="1:8" ht="15" x14ac:dyDescent="0.3">
      <c r="A193" s="709" t="s">
        <v>80</v>
      </c>
      <c r="B193" s="735">
        <f>B191+B173</f>
        <v>0</v>
      </c>
      <c r="C193" s="736"/>
      <c r="D193" s="737" t="e">
        <f>D191+D173</f>
        <v>#DIV/0!</v>
      </c>
      <c r="E193" s="737"/>
      <c r="F193" s="737" t="e">
        <f>F191+F173</f>
        <v>#DIV/0!</v>
      </c>
      <c r="G193" s="737"/>
      <c r="H193" s="737" t="e">
        <f>H191+H173</f>
        <v>#DIV/0!</v>
      </c>
    </row>
    <row r="194" spans="1:8" ht="15.5" x14ac:dyDescent="0.35">
      <c r="A194" s="742"/>
      <c r="B194" s="735"/>
      <c r="C194" s="736"/>
      <c r="D194" s="737"/>
      <c r="E194" s="737"/>
      <c r="F194" s="737"/>
      <c r="G194" s="737"/>
      <c r="H194" s="737"/>
    </row>
    <row r="195" spans="1:8" ht="15" x14ac:dyDescent="0.3">
      <c r="A195" s="709" t="s">
        <v>355</v>
      </c>
      <c r="B195" s="710">
        <f>B113-B193</f>
        <v>0</v>
      </c>
      <c r="C195" s="736"/>
      <c r="D195" s="712" t="e">
        <f>D113-D193</f>
        <v>#DIV/0!</v>
      </c>
      <c r="E195" s="737"/>
      <c r="F195" s="712" t="e">
        <f>F113-F193</f>
        <v>#DIV/0!</v>
      </c>
      <c r="G195" s="737"/>
      <c r="H195" s="712" t="e">
        <f>H113-H193</f>
        <v>#DIV/0!</v>
      </c>
    </row>
    <row r="196" spans="1:8" ht="15" x14ac:dyDescent="0.3">
      <c r="A196" s="709" t="s">
        <v>356</v>
      </c>
      <c r="B196" s="735">
        <f>B113-B173</f>
        <v>0</v>
      </c>
      <c r="C196" s="736"/>
      <c r="D196" s="737" t="e">
        <f>D113-D173</f>
        <v>#DIV/0!</v>
      </c>
      <c r="E196" s="737"/>
      <c r="F196" s="737" t="e">
        <f>F113-F173</f>
        <v>#DIV/0!</v>
      </c>
      <c r="G196" s="737"/>
      <c r="H196" s="737" t="e">
        <f>H113-H173</f>
        <v>#DIV/0!</v>
      </c>
    </row>
    <row r="197" spans="1:8" ht="15.5" x14ac:dyDescent="0.35">
      <c r="A197" s="699"/>
      <c r="B197" s="743"/>
      <c r="C197" s="743"/>
      <c r="D197" s="702"/>
      <c r="E197" s="703"/>
      <c r="F197" s="703"/>
      <c r="G197" s="703"/>
      <c r="H197" s="703"/>
    </row>
    <row r="198" spans="1:8" ht="15.5" x14ac:dyDescent="0.35">
      <c r="A198" s="709" t="s">
        <v>234</v>
      </c>
      <c r="B198" s="743"/>
      <c r="C198" s="743"/>
      <c r="D198" s="702"/>
      <c r="E198" s="703"/>
      <c r="F198" s="703"/>
      <c r="G198" s="703"/>
      <c r="H198" s="703"/>
    </row>
    <row r="199" spans="1:8" ht="15.5" x14ac:dyDescent="0.35">
      <c r="A199" s="744" t="s">
        <v>369</v>
      </c>
      <c r="B199" s="703" t="s">
        <v>76</v>
      </c>
      <c r="C199" s="743"/>
      <c r="D199" s="703" t="s">
        <v>393</v>
      </c>
      <c r="E199" s="703"/>
      <c r="F199" s="703" t="s">
        <v>1556</v>
      </c>
      <c r="G199" s="703"/>
      <c r="H199" s="703" t="s">
        <v>396</v>
      </c>
    </row>
    <row r="200" spans="1:8" ht="15.5" x14ac:dyDescent="0.35">
      <c r="A200" s="714" t="s">
        <v>370</v>
      </c>
      <c r="B200" s="745">
        <f>B193</f>
        <v>0</v>
      </c>
      <c r="C200" s="743"/>
      <c r="D200" s="717" t="e">
        <f>$B$193/oats</f>
        <v>#DIV/0!</v>
      </c>
      <c r="E200" s="718"/>
      <c r="F200" s="717" t="e">
        <f>$B$193/($C$97*oats)</f>
        <v>#DIV/0!</v>
      </c>
      <c r="G200" s="718"/>
      <c r="H200" s="717" t="e">
        <f>$B$193/($E$97*oats)</f>
        <v>#DIV/0!</v>
      </c>
    </row>
    <row r="201" spans="1:8" ht="15.5" x14ac:dyDescent="0.35">
      <c r="A201" s="714" t="s">
        <v>371</v>
      </c>
      <c r="B201" s="745">
        <f>B173</f>
        <v>0</v>
      </c>
      <c r="C201" s="743"/>
      <c r="D201" s="717" t="e">
        <f>$B$173/oats</f>
        <v>#DIV/0!</v>
      </c>
      <c r="E201" s="718"/>
      <c r="F201" s="717" t="e">
        <f>$B$173/($C$97*oats)</f>
        <v>#DIV/0!</v>
      </c>
      <c r="G201" s="718"/>
      <c r="H201" s="717" t="e">
        <f>$B$173/($E$97*oats)</f>
        <v>#DIV/0!</v>
      </c>
    </row>
    <row r="202" spans="1:8" ht="15.5" x14ac:dyDescent="0.35">
      <c r="A202" s="714"/>
      <c r="B202" s="743"/>
      <c r="C202" s="743"/>
      <c r="D202" s="717"/>
      <c r="E202" s="718"/>
      <c r="F202" s="717"/>
      <c r="G202" s="718"/>
      <c r="H202" s="717"/>
    </row>
    <row r="203" spans="1:8" ht="15.5" x14ac:dyDescent="0.35">
      <c r="A203" s="744" t="s">
        <v>1099</v>
      </c>
      <c r="B203" s="703" t="s">
        <v>1100</v>
      </c>
      <c r="C203" s="743"/>
      <c r="D203" s="703" t="s">
        <v>1995</v>
      </c>
      <c r="E203" s="752"/>
      <c r="F203" s="717"/>
      <c r="G203" s="718"/>
      <c r="H203" s="717"/>
    </row>
    <row r="204" spans="1:8" ht="15.5" x14ac:dyDescent="0.35">
      <c r="A204" s="714" t="s">
        <v>1101</v>
      </c>
      <c r="B204" s="746" t="e">
        <f>B195/SUM(Ov!E25:E76)</f>
        <v>#DIV/0!</v>
      </c>
      <c r="C204" s="743"/>
      <c r="D204" s="1226">
        <f>SUM(Ov!E25:E76)</f>
        <v>0</v>
      </c>
      <c r="E204" s="1225" t="s">
        <v>1996</v>
      </c>
      <c r="F204" s="717"/>
      <c r="G204" s="718"/>
      <c r="H204" s="717"/>
    </row>
    <row r="205" spans="1:8" ht="15.5" x14ac:dyDescent="0.35">
      <c r="A205" s="714" t="s">
        <v>1102</v>
      </c>
      <c r="B205" s="746" t="e">
        <f>B196/SUM(Ov!E25:E76)</f>
        <v>#DIV/0!</v>
      </c>
      <c r="C205" s="743"/>
      <c r="D205" s="717"/>
      <c r="E205" s="718"/>
      <c r="F205" s="717"/>
      <c r="G205" s="718"/>
      <c r="H205" s="717"/>
    </row>
    <row r="206" spans="1:8" ht="15.5" x14ac:dyDescent="0.35">
      <c r="A206" s="747"/>
      <c r="B206" s="748"/>
      <c r="C206" s="748"/>
      <c r="D206" s="749"/>
      <c r="E206" s="750"/>
      <c r="F206" s="750"/>
      <c r="G206" s="750"/>
      <c r="H206" s="750"/>
    </row>
  </sheetData>
  <phoneticPr fontId="0" type="noConversion"/>
  <pageMargins left="0.75" right="0.75" top="1" bottom="1" header="0.5" footer="0.5"/>
  <pageSetup scale="53" orientation="portrait" r:id="rId1"/>
  <headerFooter alignWithMargins="0"/>
  <rowBreaks count="2" manualBreakCount="2">
    <brk id="90" max="16383" man="1"/>
    <brk id="153" max="16383" man="1"/>
  </rowBreaks>
  <colBreaks count="1" manualBreakCount="1">
    <brk id="8"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6"/>
  <sheetViews>
    <sheetView topLeftCell="A65" zoomScaleNormal="100" workbookViewId="0">
      <selection activeCell="K44" sqref="K44"/>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08984375" style="17"/>
    <col min="10" max="10" width="10.81640625" style="17" customWidth="1"/>
    <col min="11" max="11" width="7.63281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6384" width="9.08984375" style="17"/>
  </cols>
  <sheetData>
    <row r="1" spans="1:8" x14ac:dyDescent="0.3">
      <c r="A1" s="61" t="s">
        <v>146</v>
      </c>
      <c r="B1" s="50" t="str">
        <f>model</f>
        <v>ME Grain &amp; Pulse</v>
      </c>
    </row>
    <row r="3" spans="1:8" x14ac:dyDescent="0.3">
      <c r="A3" s="7" t="s">
        <v>103</v>
      </c>
      <c r="B3" s="55" t="s">
        <v>92</v>
      </c>
      <c r="C3" s="54">
        <f>barley</f>
        <v>100</v>
      </c>
      <c r="D3" s="17" t="s">
        <v>93</v>
      </c>
    </row>
    <row r="4" spans="1:8" x14ac:dyDescent="0.3">
      <c r="A4" s="7"/>
      <c r="B4" s="55" t="s">
        <v>750</v>
      </c>
      <c r="C4" s="54">
        <f>(barley*Data!F29)*Data!$B$29*Data!$C$29</f>
        <v>0</v>
      </c>
      <c r="D4" s="17" t="s">
        <v>93</v>
      </c>
      <c r="E4" s="55"/>
      <c r="G4" s="55"/>
    </row>
    <row r="5" spans="1:8" x14ac:dyDescent="0.3">
      <c r="A5" s="7"/>
      <c r="B5" s="55" t="s">
        <v>751</v>
      </c>
      <c r="C5" s="54">
        <f>(barley*Data!G29)*Data!$B$29*Data!$D$29</f>
        <v>0</v>
      </c>
      <c r="D5" s="17" t="s">
        <v>93</v>
      </c>
      <c r="E5" s="55"/>
      <c r="G5" s="55"/>
    </row>
    <row r="6" spans="1:8" x14ac:dyDescent="0.3">
      <c r="A6" s="8"/>
      <c r="B6" s="55" t="s">
        <v>727</v>
      </c>
      <c r="C6" s="54">
        <f>Data!B180</f>
        <v>42</v>
      </c>
      <c r="D6" s="17" t="s">
        <v>1567</v>
      </c>
      <c r="E6" s="1190">
        <f>(C6*Data!$K$58)/2000</f>
        <v>1.008</v>
      </c>
      <c r="F6" s="17" t="s">
        <v>235</v>
      </c>
      <c r="G6" s="54"/>
    </row>
    <row r="7" spans="1:8" x14ac:dyDescent="0.3">
      <c r="B7" s="55" t="s">
        <v>728</v>
      </c>
      <c r="C7" s="106">
        <f>IF(FARM!$F$15&gt;0,Data!$B$175,Data!$B$176)</f>
        <v>13.2</v>
      </c>
      <c r="D7" s="17" t="s">
        <v>1566</v>
      </c>
      <c r="E7" s="153">
        <f>Data!$K$58</f>
        <v>48</v>
      </c>
      <c r="F7" s="17" t="s">
        <v>1560</v>
      </c>
    </row>
    <row r="8" spans="1:8" x14ac:dyDescent="0.3">
      <c r="B8" s="55" t="s">
        <v>729</v>
      </c>
      <c r="C8" s="157">
        <f>Data!E180</f>
        <v>1.334592</v>
      </c>
      <c r="D8" s="17" t="s">
        <v>731</v>
      </c>
      <c r="E8" s="157">
        <f>Data!H180</f>
        <v>33.364800000000002</v>
      </c>
      <c r="F8" s="17" t="s">
        <v>732</v>
      </c>
      <c r="G8" s="54"/>
    </row>
    <row r="9" spans="1:8" x14ac:dyDescent="0.3">
      <c r="B9" s="55" t="s">
        <v>730</v>
      </c>
      <c r="C9" s="116">
        <f>IF(Straw!$D$9&gt;0,Straw!$D$9,Data!$E$177)</f>
        <v>40</v>
      </c>
      <c r="D9" s="17" t="s">
        <v>733</v>
      </c>
      <c r="E9" s="217">
        <f>IF(Straw!$F$9&gt;0,Straw!$F$9,Data!$H$177)</f>
        <v>5.0833333333333304</v>
      </c>
      <c r="F9" s="17" t="s">
        <v>734</v>
      </c>
      <c r="G9" s="217"/>
    </row>
    <row r="10" spans="1:8" x14ac:dyDescent="0.3">
      <c r="B10" s="55"/>
      <c r="C10" s="54"/>
      <c r="D10" s="17"/>
    </row>
    <row r="11" spans="1:8" ht="15.5" x14ac:dyDescent="0.35">
      <c r="A11" s="751" t="s">
        <v>103</v>
      </c>
      <c r="B11" s="697" t="s">
        <v>76</v>
      </c>
      <c r="C11" s="697"/>
      <c r="D11" s="697" t="s">
        <v>77</v>
      </c>
      <c r="E11" s="698"/>
      <c r="F11" s="697" t="s">
        <v>1554</v>
      </c>
      <c r="G11" s="698"/>
      <c r="H11" s="697" t="s">
        <v>385</v>
      </c>
    </row>
    <row r="12" spans="1:8" ht="15" customHeight="1" x14ac:dyDescent="0.35">
      <c r="A12" s="699" t="s">
        <v>362</v>
      </c>
      <c r="B12" s="700">
        <f>C3</f>
        <v>100</v>
      </c>
      <c r="C12" s="701"/>
      <c r="D12" s="702" t="s">
        <v>363</v>
      </c>
      <c r="E12" s="703"/>
      <c r="F12" s="702" t="s">
        <v>363</v>
      </c>
      <c r="G12" s="703"/>
      <c r="H12" s="702" t="s">
        <v>363</v>
      </c>
    </row>
    <row r="13" spans="1:8" ht="15" customHeight="1" x14ac:dyDescent="0.35">
      <c r="A13" s="699" t="s">
        <v>1849</v>
      </c>
      <c r="B13" s="702" t="s">
        <v>363</v>
      </c>
      <c r="C13" s="701"/>
      <c r="D13" s="702" t="s">
        <v>363</v>
      </c>
      <c r="E13" s="703"/>
      <c r="F13" s="702" t="s">
        <v>363</v>
      </c>
      <c r="G13" s="703"/>
      <c r="H13" s="888">
        <f>2000/Data!$K$58</f>
        <v>41.666666666666664</v>
      </c>
    </row>
    <row r="14" spans="1:8" ht="15" customHeight="1" x14ac:dyDescent="0.35">
      <c r="A14" s="699" t="s">
        <v>1561</v>
      </c>
      <c r="B14" s="700">
        <f>$C$3*C6</f>
        <v>4200</v>
      </c>
      <c r="C14" s="701"/>
      <c r="D14" s="700">
        <f>C6</f>
        <v>42</v>
      </c>
      <c r="E14" s="703"/>
      <c r="F14" s="702" t="s">
        <v>363</v>
      </c>
      <c r="G14" s="703"/>
      <c r="H14" s="702" t="s">
        <v>363</v>
      </c>
    </row>
    <row r="15" spans="1:8" ht="15" customHeight="1" x14ac:dyDescent="0.35">
      <c r="A15" s="699" t="s">
        <v>1851</v>
      </c>
      <c r="B15" s="700">
        <f>$C$3*E6</f>
        <v>100.8</v>
      </c>
      <c r="C15" s="701"/>
      <c r="D15" s="1191">
        <f>E6</f>
        <v>1.008</v>
      </c>
      <c r="E15" s="703"/>
      <c r="F15" s="702" t="s">
        <v>363</v>
      </c>
      <c r="G15" s="703"/>
      <c r="H15" s="702" t="s">
        <v>363</v>
      </c>
    </row>
    <row r="16" spans="1:8" ht="15" customHeight="1" x14ac:dyDescent="0.35">
      <c r="A16" s="699" t="str">
        <f>IF(Data!B177=1,"Barley Price ($/unit) - Food Grade","Barley Price ($/unit) - Feed Grade")</f>
        <v>Barley Price ($/unit) - Food Grade</v>
      </c>
      <c r="B16" s="702" t="s">
        <v>363</v>
      </c>
      <c r="C16" s="701"/>
      <c r="D16" s="702" t="s">
        <v>363</v>
      </c>
      <c r="E16" s="703"/>
      <c r="F16" s="840">
        <f>C7</f>
        <v>13.2</v>
      </c>
      <c r="G16" s="703"/>
      <c r="H16" s="840">
        <f>F16*H13</f>
        <v>549.99999999999989</v>
      </c>
    </row>
    <row r="17" spans="1:8" ht="15" customHeight="1" x14ac:dyDescent="0.35">
      <c r="A17" s="699" t="s">
        <v>2032</v>
      </c>
      <c r="B17" s="700">
        <f>C8*C4</f>
        <v>0</v>
      </c>
      <c r="C17" s="701"/>
      <c r="D17" s="841">
        <f>C8</f>
        <v>1.334592</v>
      </c>
      <c r="E17" s="703"/>
      <c r="F17" s="842">
        <f>C8/($C$6*$C$3)</f>
        <v>3.1775999999999999E-4</v>
      </c>
      <c r="G17" s="703"/>
      <c r="H17" s="842">
        <f>C8/($E$6*$C$3)</f>
        <v>1.324E-2</v>
      </c>
    </row>
    <row r="18" spans="1:8" ht="15" customHeight="1" x14ac:dyDescent="0.35">
      <c r="A18" s="699" t="s">
        <v>2034</v>
      </c>
      <c r="B18" s="705">
        <f>C9</f>
        <v>40</v>
      </c>
      <c r="C18" s="701"/>
      <c r="D18" s="705">
        <f>C9*C8</f>
        <v>53.383679999999998</v>
      </c>
      <c r="E18" s="703"/>
      <c r="F18" s="840">
        <f>D18/$C$6</f>
        <v>1.2710399999999999</v>
      </c>
      <c r="G18" s="703"/>
      <c r="H18" s="840">
        <f>D18/$E$6</f>
        <v>52.96</v>
      </c>
    </row>
    <row r="19" spans="1:8" ht="15" customHeight="1" x14ac:dyDescent="0.35">
      <c r="A19" s="699" t="s">
        <v>2031</v>
      </c>
      <c r="B19" s="700">
        <f>E8*C5</f>
        <v>0</v>
      </c>
      <c r="C19" s="701"/>
      <c r="D19" s="841">
        <f>E8</f>
        <v>33.364800000000002</v>
      </c>
      <c r="E19" s="703"/>
      <c r="F19" s="842">
        <f>E8/(C6*C3)</f>
        <v>7.9440000000000014E-3</v>
      </c>
      <c r="G19" s="703"/>
      <c r="H19" s="842">
        <f>E8/(E6*C3)</f>
        <v>0.33100000000000002</v>
      </c>
    </row>
    <row r="20" spans="1:8" ht="15" customHeight="1" x14ac:dyDescent="0.35">
      <c r="A20" s="699" t="s">
        <v>2033</v>
      </c>
      <c r="B20" s="840">
        <f>E9</f>
        <v>5.0833333333333304</v>
      </c>
      <c r="C20" s="701"/>
      <c r="D20" s="705">
        <f>E9*E8</f>
        <v>169.60439999999991</v>
      </c>
      <c r="E20" s="703"/>
      <c r="F20" s="840">
        <f>D20/C6</f>
        <v>4.038199999999998</v>
      </c>
      <c r="G20" s="703"/>
      <c r="H20" s="840">
        <f>D20/E6</f>
        <v>168.25833333333324</v>
      </c>
    </row>
    <row r="21" spans="1:8" ht="15.5" x14ac:dyDescent="0.35">
      <c r="A21" s="699"/>
      <c r="B21" s="706"/>
      <c r="C21" s="706"/>
      <c r="D21" s="706"/>
      <c r="E21" s="744"/>
      <c r="F21" s="706"/>
      <c r="G21" s="744"/>
      <c r="H21" s="706"/>
    </row>
    <row r="22" spans="1:8" ht="15" x14ac:dyDescent="0.3">
      <c r="A22" s="709" t="s">
        <v>230</v>
      </c>
      <c r="B22" s="710">
        <f>(C6*C7*barley)+(C8*C9*C4)+(E8*E9*C5)</f>
        <v>55440</v>
      </c>
      <c r="C22" s="711"/>
      <c r="D22" s="711">
        <f>B22/barley</f>
        <v>554.4</v>
      </c>
      <c r="E22" s="756"/>
      <c r="F22" s="711">
        <f>B22/($C$6*barley)</f>
        <v>13.2</v>
      </c>
      <c r="G22" s="756"/>
      <c r="H22" s="711">
        <f>B22/($E$6*barley)</f>
        <v>550</v>
      </c>
    </row>
    <row r="23" spans="1:8" ht="15.5" x14ac:dyDescent="0.35">
      <c r="A23" s="714" t="s">
        <v>1235</v>
      </c>
      <c r="B23" s="715">
        <f>(C6*C7*barley)</f>
        <v>55440</v>
      </c>
      <c r="C23" s="716"/>
      <c r="D23" s="716">
        <f t="shared" ref="D23" si="0">B23/barley</f>
        <v>554.4</v>
      </c>
      <c r="E23" s="752"/>
      <c r="F23" s="716">
        <f>B23/($C$6*barley)</f>
        <v>13.2</v>
      </c>
      <c r="G23" s="752"/>
      <c r="H23" s="716">
        <f>B23/($E$6*barley)</f>
        <v>550</v>
      </c>
    </row>
    <row r="24" spans="1:8" ht="15.5" x14ac:dyDescent="0.35">
      <c r="A24" s="714" t="s">
        <v>1236</v>
      </c>
      <c r="B24" s="715">
        <f>(C8*C9*C4)+(E8*E9*C5)</f>
        <v>0</v>
      </c>
      <c r="C24" s="716"/>
      <c r="D24" s="716">
        <f t="shared" ref="D24" si="1">B24/barley</f>
        <v>0</v>
      </c>
      <c r="E24" s="753"/>
      <c r="F24" s="716">
        <f>B24/($C$6*barley)</f>
        <v>0</v>
      </c>
      <c r="G24" s="753"/>
      <c r="H24" s="716">
        <f>B24/($E$6*barley)</f>
        <v>0</v>
      </c>
    </row>
    <row r="25" spans="1:8" ht="15.5" x14ac:dyDescent="0.35">
      <c r="A25" s="699"/>
      <c r="B25" s="721"/>
      <c r="C25" s="722"/>
      <c r="D25" s="716"/>
      <c r="E25" s="752"/>
      <c r="F25" s="716"/>
      <c r="G25" s="752"/>
      <c r="H25" s="716"/>
    </row>
    <row r="26" spans="1:8" ht="15.5" x14ac:dyDescent="0.35">
      <c r="A26" s="709" t="s">
        <v>365</v>
      </c>
      <c r="B26" s="715"/>
      <c r="C26" s="716"/>
      <c r="D26" s="716"/>
      <c r="E26" s="752"/>
      <c r="F26" s="716"/>
      <c r="G26" s="752"/>
      <c r="H26" s="716"/>
    </row>
    <row r="27" spans="1:8" ht="15.5" x14ac:dyDescent="0.35">
      <c r="A27" s="714" t="s">
        <v>13</v>
      </c>
      <c r="B27" s="715">
        <f>SUM(Bv!H9:H12)</f>
        <v>6901.0416666666624</v>
      </c>
      <c r="C27" s="716"/>
      <c r="D27" s="716">
        <f t="shared" ref="D27:D54" si="2">B27/barley</f>
        <v>69.010416666666629</v>
      </c>
      <c r="E27" s="752"/>
      <c r="F27" s="716">
        <f>B27/($C$6*barley)</f>
        <v>1.6431051587301577</v>
      </c>
      <c r="G27" s="752"/>
      <c r="H27" s="716">
        <f>B27/($E$6*barley)</f>
        <v>68.462714947089907</v>
      </c>
    </row>
    <row r="28" spans="1:8" ht="15.5" x14ac:dyDescent="0.35">
      <c r="A28" s="714" t="s">
        <v>1287</v>
      </c>
      <c r="B28" s="715">
        <f>SUM(Bv!H14:H16)</f>
        <v>10500</v>
      </c>
      <c r="C28" s="716"/>
      <c r="D28" s="716">
        <f t="shared" si="2"/>
        <v>105</v>
      </c>
      <c r="E28" s="752"/>
      <c r="F28" s="716">
        <f>B28/($C$6*barley)</f>
        <v>2.5</v>
      </c>
      <c r="G28" s="752"/>
      <c r="H28" s="716">
        <f>B28/($E$6*barley)</f>
        <v>104.16666666666667</v>
      </c>
    </row>
    <row r="29" spans="1:8" ht="15.5" x14ac:dyDescent="0.35">
      <c r="A29" s="714" t="s">
        <v>2</v>
      </c>
      <c r="B29" s="715">
        <f>Bv!H19</f>
        <v>0</v>
      </c>
      <c r="C29" s="716"/>
      <c r="D29" s="715">
        <f t="shared" si="2"/>
        <v>0</v>
      </c>
      <c r="E29" s="753"/>
      <c r="F29" s="715">
        <f>B29/($C$6*barley)</f>
        <v>0</v>
      </c>
      <c r="G29" s="753"/>
      <c r="H29" s="715">
        <f>B29/($E$6*barley)</f>
        <v>0</v>
      </c>
    </row>
    <row r="30" spans="1:8" ht="15.5" x14ac:dyDescent="0.35">
      <c r="A30" s="714" t="s">
        <v>1476</v>
      </c>
      <c r="B30" s="699"/>
      <c r="C30" s="699"/>
      <c r="D30" s="699"/>
      <c r="E30" s="699"/>
      <c r="F30" s="699"/>
      <c r="G30" s="699"/>
      <c r="H30" s="699"/>
    </row>
    <row r="31" spans="1:8" ht="15.5" x14ac:dyDescent="0.35">
      <c r="A31" s="714" t="s">
        <v>1121</v>
      </c>
      <c r="B31" s="745">
        <f>SUM(Bv!H20:H21)</f>
        <v>0</v>
      </c>
      <c r="C31" s="746"/>
      <c r="D31" s="745">
        <f>B31/barley</f>
        <v>0</v>
      </c>
      <c r="E31" s="752"/>
      <c r="F31" s="745">
        <f t="shared" ref="F31" si="3">B31/($C$6*barley)</f>
        <v>0</v>
      </c>
      <c r="G31" s="752"/>
      <c r="H31" s="715">
        <f t="shared" ref="H31:H38" si="4">B31/($E$6*barley)</f>
        <v>0</v>
      </c>
    </row>
    <row r="32" spans="1:8" ht="15.5" x14ac:dyDescent="0.35">
      <c r="A32" s="714" t="s">
        <v>1119</v>
      </c>
      <c r="B32" s="745">
        <f>SUM(Bv!H22:H22)</f>
        <v>0</v>
      </c>
      <c r="C32" s="746"/>
      <c r="D32" s="745">
        <f>B32/barley</f>
        <v>0</v>
      </c>
      <c r="E32" s="752"/>
      <c r="F32" s="745">
        <f t="shared" ref="F32:F38" si="5">B32/($C$6*barley)</f>
        <v>0</v>
      </c>
      <c r="G32" s="752"/>
      <c r="H32" s="715">
        <f t="shared" si="4"/>
        <v>0</v>
      </c>
    </row>
    <row r="33" spans="1:8" ht="15.5" x14ac:dyDescent="0.35">
      <c r="A33" s="714" t="s">
        <v>1120</v>
      </c>
      <c r="B33" s="745">
        <f>SUM(Bv!H23:H24)</f>
        <v>0</v>
      </c>
      <c r="C33" s="746"/>
      <c r="D33" s="745">
        <f>B33/barley</f>
        <v>0</v>
      </c>
      <c r="E33" s="753"/>
      <c r="F33" s="745">
        <f t="shared" si="5"/>
        <v>0</v>
      </c>
      <c r="G33" s="753"/>
      <c r="H33" s="715">
        <f t="shared" si="4"/>
        <v>0</v>
      </c>
    </row>
    <row r="34" spans="1:8" ht="15.5" x14ac:dyDescent="0.35">
      <c r="A34" s="714" t="s">
        <v>1214</v>
      </c>
      <c r="B34" s="715">
        <f>SUM(Bv!H25:H76)</f>
        <v>3419.5166360409867</v>
      </c>
      <c r="C34" s="716"/>
      <c r="D34" s="716">
        <f t="shared" si="2"/>
        <v>34.195166360409864</v>
      </c>
      <c r="E34" s="752"/>
      <c r="F34" s="716">
        <f t="shared" si="5"/>
        <v>0.81417062762880632</v>
      </c>
      <c r="G34" s="752"/>
      <c r="H34" s="716">
        <f t="shared" si="4"/>
        <v>33.923776151200265</v>
      </c>
    </row>
    <row r="35" spans="1:8" ht="15.5" x14ac:dyDescent="0.35">
      <c r="A35" s="714" t="s">
        <v>1261</v>
      </c>
      <c r="B35" s="715">
        <f>SUM(Bv!H77:H128)</f>
        <v>1648.7770886472647</v>
      </c>
      <c r="C35" s="716"/>
      <c r="D35" s="716">
        <f t="shared" si="2"/>
        <v>16.487770886472646</v>
      </c>
      <c r="E35" s="752"/>
      <c r="F35" s="716">
        <f t="shared" si="5"/>
        <v>0.39256597348744399</v>
      </c>
      <c r="G35" s="752"/>
      <c r="H35" s="716">
        <f t="shared" si="4"/>
        <v>16.356915561976834</v>
      </c>
    </row>
    <row r="36" spans="1:8" ht="15.5" x14ac:dyDescent="0.35">
      <c r="A36" s="714" t="s">
        <v>78</v>
      </c>
      <c r="B36" s="715">
        <f>SUM(Bv!H129:H130)</f>
        <v>7818.947118122951</v>
      </c>
      <c r="C36" s="716"/>
      <c r="D36" s="716">
        <f t="shared" si="2"/>
        <v>78.189471181229507</v>
      </c>
      <c r="E36" s="752"/>
      <c r="F36" s="716">
        <f t="shared" si="5"/>
        <v>1.8616540757435598</v>
      </c>
      <c r="G36" s="752"/>
      <c r="H36" s="716">
        <f t="shared" si="4"/>
        <v>77.568919822648326</v>
      </c>
    </row>
    <row r="37" spans="1:8" ht="15.5" x14ac:dyDescent="0.35">
      <c r="A37" s="714" t="s">
        <v>170</v>
      </c>
      <c r="B37" s="732">
        <f>Bv!H131</f>
        <v>0</v>
      </c>
      <c r="C37" s="733"/>
      <c r="D37" s="715">
        <f t="shared" si="2"/>
        <v>0</v>
      </c>
      <c r="E37" s="753"/>
      <c r="F37" s="715">
        <f t="shared" si="5"/>
        <v>0</v>
      </c>
      <c r="G37" s="753"/>
      <c r="H37" s="715">
        <f t="shared" si="4"/>
        <v>0</v>
      </c>
    </row>
    <row r="38" spans="1:8" ht="15.5" x14ac:dyDescent="0.35">
      <c r="A38" s="714" t="s">
        <v>171</v>
      </c>
      <c r="B38" s="732">
        <f>SUM(Bv!H132:H133)</f>
        <v>300</v>
      </c>
      <c r="C38" s="733"/>
      <c r="D38" s="716">
        <f t="shared" si="2"/>
        <v>3</v>
      </c>
      <c r="E38" s="752"/>
      <c r="F38" s="716">
        <f t="shared" si="5"/>
        <v>7.1428571428571425E-2</v>
      </c>
      <c r="G38" s="752"/>
      <c r="H38" s="716">
        <f t="shared" si="4"/>
        <v>2.9761904761904763</v>
      </c>
    </row>
    <row r="39" spans="1:8" ht="15.5" x14ac:dyDescent="0.35">
      <c r="A39" s="714" t="s">
        <v>172</v>
      </c>
      <c r="B39" s="699"/>
      <c r="C39" s="699"/>
      <c r="D39" s="699"/>
      <c r="E39" s="699"/>
      <c r="F39" s="699"/>
      <c r="G39" s="699"/>
      <c r="H39" s="699"/>
    </row>
    <row r="40" spans="1:8" ht="15.5" x14ac:dyDescent="0.35">
      <c r="A40" s="734" t="s">
        <v>439</v>
      </c>
      <c r="B40" s="732">
        <f>Bv!H135</f>
        <v>150</v>
      </c>
      <c r="C40" s="733"/>
      <c r="D40" s="716">
        <f t="shared" ref="D40:D53" si="6">B40/barley</f>
        <v>1.5</v>
      </c>
      <c r="E40" s="752"/>
      <c r="F40" s="716">
        <f t="shared" ref="F40:F53" si="7">B40/($C$6*barley)</f>
        <v>3.5714285714285712E-2</v>
      </c>
      <c r="G40" s="752"/>
      <c r="H40" s="716">
        <f t="shared" ref="H40:H54" si="8">B40/($E$6*barley)</f>
        <v>1.4880952380952381</v>
      </c>
    </row>
    <row r="41" spans="1:8" ht="15.5" x14ac:dyDescent="0.35">
      <c r="A41" s="734" t="s">
        <v>1506</v>
      </c>
      <c r="B41" s="732">
        <f>SUM(Bv!H136:H138)</f>
        <v>875</v>
      </c>
      <c r="C41" s="733"/>
      <c r="D41" s="716">
        <f t="shared" si="6"/>
        <v>8.75</v>
      </c>
      <c r="E41" s="752"/>
      <c r="F41" s="716">
        <f t="shared" si="7"/>
        <v>0.20833333333333334</v>
      </c>
      <c r="G41" s="752"/>
      <c r="H41" s="716">
        <f t="shared" si="8"/>
        <v>8.6805555555555554</v>
      </c>
    </row>
    <row r="42" spans="1:8" ht="15.5" x14ac:dyDescent="0.35">
      <c r="A42" s="734" t="s">
        <v>1505</v>
      </c>
      <c r="B42" s="732">
        <f>SUM(Bv!H139:H141)</f>
        <v>450</v>
      </c>
      <c r="C42" s="733"/>
      <c r="D42" s="716">
        <f t="shared" si="6"/>
        <v>4.5</v>
      </c>
      <c r="E42" s="752"/>
      <c r="F42" s="716">
        <f t="shared" si="7"/>
        <v>0.10714285714285714</v>
      </c>
      <c r="G42" s="752"/>
      <c r="H42" s="716">
        <f t="shared" si="8"/>
        <v>4.4642857142857144</v>
      </c>
    </row>
    <row r="43" spans="1:8" ht="15.5" x14ac:dyDescent="0.35">
      <c r="A43" s="734" t="s">
        <v>1237</v>
      </c>
      <c r="B43" s="753">
        <f>Bv!H142</f>
        <v>1500</v>
      </c>
      <c r="C43" s="699"/>
      <c r="D43" s="716">
        <f t="shared" si="6"/>
        <v>15</v>
      </c>
      <c r="E43" s="752"/>
      <c r="F43" s="716">
        <f t="shared" si="7"/>
        <v>0.35714285714285715</v>
      </c>
      <c r="G43" s="752"/>
      <c r="H43" s="716">
        <f t="shared" si="8"/>
        <v>14.880952380952381</v>
      </c>
    </row>
    <row r="44" spans="1:8" ht="15.5" x14ac:dyDescent="0.35">
      <c r="A44" s="734" t="s">
        <v>1212</v>
      </c>
      <c r="B44" s="732">
        <f>SUM(Bv!H143:H145)</f>
        <v>1250</v>
      </c>
      <c r="C44" s="733"/>
      <c r="D44" s="716">
        <f t="shared" si="6"/>
        <v>12.5</v>
      </c>
      <c r="E44" s="752"/>
      <c r="F44" s="716">
        <f t="shared" si="7"/>
        <v>0.29761904761904762</v>
      </c>
      <c r="G44" s="752"/>
      <c r="H44" s="716">
        <f t="shared" si="8"/>
        <v>12.40079365079365</v>
      </c>
    </row>
    <row r="45" spans="1:8" ht="15.5" x14ac:dyDescent="0.35">
      <c r="A45" s="734" t="s">
        <v>1238</v>
      </c>
      <c r="B45" s="753">
        <f>SUM(Bv!H146:H148)</f>
        <v>2247.9045114694268</v>
      </c>
      <c r="C45" s="699"/>
      <c r="D45" s="716">
        <f t="shared" si="6"/>
        <v>22.479045114694269</v>
      </c>
      <c r="E45" s="753"/>
      <c r="F45" s="716">
        <f t="shared" si="7"/>
        <v>0.53521535987367308</v>
      </c>
      <c r="G45" s="753"/>
      <c r="H45" s="716">
        <f t="shared" si="8"/>
        <v>22.300639994736379</v>
      </c>
    </row>
    <row r="46" spans="1:8" ht="15.5" x14ac:dyDescent="0.35">
      <c r="A46" s="734" t="s">
        <v>2076</v>
      </c>
      <c r="B46" s="753">
        <f>SUM(Bv!H149:H155)</f>
        <v>0</v>
      </c>
      <c r="C46" s="699"/>
      <c r="D46" s="716">
        <f t="shared" ref="D46" si="9">B46/barley</f>
        <v>0</v>
      </c>
      <c r="E46" s="753"/>
      <c r="F46" s="716">
        <f t="shared" ref="F46" si="10">B46/($C$6*barley)</f>
        <v>0</v>
      </c>
      <c r="G46" s="753"/>
      <c r="H46" s="716">
        <f t="shared" ref="H46" si="11">B46/($E$6*barley)</f>
        <v>0</v>
      </c>
    </row>
    <row r="47" spans="1:8" ht="15.5" x14ac:dyDescent="0.35">
      <c r="A47" s="734" t="s">
        <v>2029</v>
      </c>
      <c r="B47" s="732">
        <f>SUM(Bv!H156:H158)</f>
        <v>0</v>
      </c>
      <c r="C47" s="733"/>
      <c r="D47" s="715">
        <f>B47/barley</f>
        <v>0</v>
      </c>
      <c r="E47" s="752"/>
      <c r="F47" s="715">
        <f>B47/($C$6*barley)</f>
        <v>0</v>
      </c>
      <c r="G47" s="752"/>
      <c r="H47" s="715">
        <f>B47/($E$6*barley)</f>
        <v>0</v>
      </c>
    </row>
    <row r="48" spans="1:8" ht="15.5" x14ac:dyDescent="0.35">
      <c r="A48" s="734" t="s">
        <v>1532</v>
      </c>
      <c r="B48" s="753">
        <f>SUM(Bv!H159:H163)</f>
        <v>1106.0999999999999</v>
      </c>
      <c r="C48" s="699"/>
      <c r="D48" s="716">
        <f t="shared" si="6"/>
        <v>11.061</v>
      </c>
      <c r="E48" s="753"/>
      <c r="F48" s="716">
        <f t="shared" si="7"/>
        <v>0.26335714285714285</v>
      </c>
      <c r="G48" s="753"/>
      <c r="H48" s="716">
        <f t="shared" si="8"/>
        <v>10.973214285714285</v>
      </c>
    </row>
    <row r="49" spans="1:16" ht="15.5" x14ac:dyDescent="0.35">
      <c r="A49" s="734" t="s">
        <v>1533</v>
      </c>
      <c r="B49" s="753">
        <f>SUM(Bv!H164:H165)</f>
        <v>0</v>
      </c>
      <c r="C49" s="699"/>
      <c r="D49" s="715">
        <f t="shared" si="6"/>
        <v>0</v>
      </c>
      <c r="E49" s="753"/>
      <c r="F49" s="715">
        <f t="shared" si="7"/>
        <v>0</v>
      </c>
      <c r="G49" s="753"/>
      <c r="H49" s="715">
        <f t="shared" si="8"/>
        <v>0</v>
      </c>
    </row>
    <row r="50" spans="1:16" ht="15.5" x14ac:dyDescent="0.35">
      <c r="A50" s="734" t="s">
        <v>1534</v>
      </c>
      <c r="B50" s="753">
        <f>Bv!H166</f>
        <v>50</v>
      </c>
      <c r="C50" s="699"/>
      <c r="D50" s="716">
        <f t="shared" si="6"/>
        <v>0.5</v>
      </c>
      <c r="E50" s="753"/>
      <c r="F50" s="781">
        <f t="shared" si="7"/>
        <v>1.1904761904761904E-2</v>
      </c>
      <c r="G50" s="753"/>
      <c r="H50" s="716">
        <f t="shared" si="8"/>
        <v>0.49603174603174605</v>
      </c>
    </row>
    <row r="51" spans="1:16" ht="15.5" x14ac:dyDescent="0.35">
      <c r="A51" s="734" t="s">
        <v>1535</v>
      </c>
      <c r="B51" s="753">
        <f>Bv!H167</f>
        <v>125</v>
      </c>
      <c r="C51" s="699"/>
      <c r="D51" s="716">
        <f t="shared" si="6"/>
        <v>1.25</v>
      </c>
      <c r="E51" s="753"/>
      <c r="F51" s="781">
        <f t="shared" si="7"/>
        <v>2.976190476190476E-2</v>
      </c>
      <c r="G51" s="753"/>
      <c r="H51" s="716">
        <f t="shared" si="8"/>
        <v>1.2400793650793651</v>
      </c>
    </row>
    <row r="52" spans="1:16" ht="15.5" x14ac:dyDescent="0.35">
      <c r="A52" s="734" t="s">
        <v>1536</v>
      </c>
      <c r="B52" s="753">
        <f>Bv!H168</f>
        <v>62.5</v>
      </c>
      <c r="C52" s="699"/>
      <c r="D52" s="716">
        <f t="shared" si="6"/>
        <v>0.625</v>
      </c>
      <c r="E52" s="753"/>
      <c r="F52" s="781">
        <f t="shared" si="7"/>
        <v>1.488095238095238E-2</v>
      </c>
      <c r="G52" s="753"/>
      <c r="H52" s="716">
        <f t="shared" si="8"/>
        <v>0.62003968253968256</v>
      </c>
    </row>
    <row r="53" spans="1:16" ht="15.5" x14ac:dyDescent="0.35">
      <c r="A53" s="734" t="s">
        <v>443</v>
      </c>
      <c r="B53" s="732">
        <f>SUM(Bv!H169:H171)</f>
        <v>0</v>
      </c>
      <c r="C53" s="733"/>
      <c r="D53" s="715">
        <f t="shared" si="6"/>
        <v>0</v>
      </c>
      <c r="E53" s="753"/>
      <c r="F53" s="715">
        <f t="shared" si="7"/>
        <v>0</v>
      </c>
      <c r="G53" s="753"/>
      <c r="H53" s="715">
        <f t="shared" si="8"/>
        <v>0</v>
      </c>
    </row>
    <row r="54" spans="1:16" ht="15.5" x14ac:dyDescent="0.35">
      <c r="A54" s="714" t="s">
        <v>69</v>
      </c>
      <c r="B54" s="732">
        <f>Bv!H175</f>
        <v>1060.5865158850279</v>
      </c>
      <c r="C54" s="733"/>
      <c r="D54" s="733">
        <f t="shared" si="2"/>
        <v>10.605865158850278</v>
      </c>
      <c r="E54" s="752"/>
      <c r="F54" s="716">
        <f>B54/($C$6*barley)</f>
        <v>0.25252059902024476</v>
      </c>
      <c r="G54" s="752"/>
      <c r="H54" s="716">
        <f t="shared" si="8"/>
        <v>10.52169162584353</v>
      </c>
    </row>
    <row r="55" spans="1:16" ht="15" x14ac:dyDescent="0.3">
      <c r="A55" s="709" t="s">
        <v>366</v>
      </c>
      <c r="B55" s="735">
        <f>SUM(B27:B54)</f>
        <v>39465.373536832318</v>
      </c>
      <c r="C55" s="736"/>
      <c r="D55" s="736">
        <f>SUM(D27:D54)</f>
        <v>394.65373536832317</v>
      </c>
      <c r="E55" s="736"/>
      <c r="F55" s="736">
        <f>SUM(F27:F54)</f>
        <v>9.3965175087696</v>
      </c>
      <c r="G55" s="736"/>
      <c r="H55" s="736">
        <f>SUM(H27:H54)</f>
        <v>391.52156286540009</v>
      </c>
    </row>
    <row r="56" spans="1:16" ht="15.5" x14ac:dyDescent="0.35">
      <c r="A56" s="738"/>
      <c r="B56" s="732"/>
      <c r="C56" s="733"/>
      <c r="D56" s="733"/>
      <c r="E56" s="757"/>
      <c r="F56" s="757"/>
      <c r="G56" s="757"/>
      <c r="H56" s="757"/>
    </row>
    <row r="57" spans="1:16" ht="15.5" x14ac:dyDescent="0.35">
      <c r="A57" s="709" t="s">
        <v>367</v>
      </c>
      <c r="B57" s="732"/>
      <c r="C57" s="733"/>
      <c r="D57" s="733"/>
      <c r="E57" s="757"/>
      <c r="F57" s="733"/>
      <c r="G57" s="757"/>
      <c r="H57" s="733"/>
    </row>
    <row r="58" spans="1:16" ht="15.5" x14ac:dyDescent="0.35">
      <c r="A58" s="714" t="s">
        <v>29</v>
      </c>
      <c r="B58" s="732"/>
      <c r="C58" s="733"/>
      <c r="D58" s="733"/>
      <c r="E58" s="757"/>
      <c r="F58" s="716"/>
      <c r="G58" s="757"/>
      <c r="H58" s="716"/>
      <c r="J58" s="890" t="s">
        <v>29</v>
      </c>
    </row>
    <row r="59" spans="1:16" ht="15.5" x14ac:dyDescent="0.35">
      <c r="A59" s="734" t="s">
        <v>1240</v>
      </c>
      <c r="B59" s="732">
        <f>SUM(Bf!H8:H24)</f>
        <v>2944.2330525994489</v>
      </c>
      <c r="C59" s="733"/>
      <c r="D59" s="733">
        <f t="shared" ref="D59:D72" si="12">B59/barley</f>
        <v>29.442330525994489</v>
      </c>
      <c r="E59" s="757"/>
      <c r="F59" s="716">
        <f t="shared" ref="F59:F72" si="13">B59/($C$6*barley)</f>
        <v>0.7010078696665355</v>
      </c>
      <c r="G59" s="757"/>
      <c r="H59" s="716">
        <f t="shared" ref="H59:H72" si="14">B59/($E$6*barley)</f>
        <v>29.208661236105645</v>
      </c>
      <c r="J59" s="697" t="s">
        <v>76</v>
      </c>
      <c r="K59" s="697"/>
      <c r="L59" s="697" t="s">
        <v>77</v>
      </c>
      <c r="M59" s="698"/>
      <c r="N59" s="697" t="s">
        <v>1554</v>
      </c>
      <c r="O59" s="698"/>
      <c r="P59" s="697" t="s">
        <v>385</v>
      </c>
    </row>
    <row r="60" spans="1:16" ht="15.5" x14ac:dyDescent="0.35">
      <c r="A60" s="734" t="s">
        <v>1241</v>
      </c>
      <c r="B60" s="732">
        <f>SUM(Bf!H25:H33)</f>
        <v>984.54550331801283</v>
      </c>
      <c r="C60" s="733"/>
      <c r="D60" s="733">
        <f t="shared" si="12"/>
        <v>9.8454550331801283</v>
      </c>
      <c r="E60" s="757"/>
      <c r="F60" s="716">
        <f t="shared" si="13"/>
        <v>0.23441559602809831</v>
      </c>
      <c r="G60" s="757"/>
      <c r="H60" s="716">
        <f t="shared" si="14"/>
        <v>9.7673165011707628</v>
      </c>
      <c r="J60" s="763">
        <f>SUM(B59:B71)</f>
        <v>11729.048251872651</v>
      </c>
      <c r="L60" s="756">
        <f>SUM(D59:D71)</f>
        <v>117.29048251872651</v>
      </c>
      <c r="N60" s="756">
        <f>SUM(F59:F71)</f>
        <v>2.7926305361601549</v>
      </c>
      <c r="P60" s="756">
        <f>SUM(H59:H71)</f>
        <v>116.35960567333977</v>
      </c>
    </row>
    <row r="61" spans="1:16" ht="15" customHeight="1" x14ac:dyDescent="0.35">
      <c r="A61" s="734" t="s">
        <v>1243</v>
      </c>
      <c r="B61" s="732">
        <f>SUM(Bf!H34:H50)</f>
        <v>1073.6834741149146</v>
      </c>
      <c r="C61" s="733"/>
      <c r="D61" s="733">
        <f>B61/barley</f>
        <v>10.736834741149146</v>
      </c>
      <c r="E61" s="757"/>
      <c r="F61" s="716">
        <f>B61/($C$6*barley)</f>
        <v>0.25563892240831299</v>
      </c>
      <c r="G61" s="757"/>
      <c r="H61" s="716">
        <f t="shared" si="14"/>
        <v>10.651621767013042</v>
      </c>
    </row>
    <row r="62" spans="1:16" ht="15.5" x14ac:dyDescent="0.35">
      <c r="A62" s="734" t="s">
        <v>1242</v>
      </c>
      <c r="B62" s="732">
        <f>SUM(Bf!H51:H62)</f>
        <v>543.3266093157049</v>
      </c>
      <c r="C62" s="733"/>
      <c r="D62" s="733">
        <f t="shared" si="12"/>
        <v>5.4332660931570489</v>
      </c>
      <c r="E62" s="757"/>
      <c r="F62" s="716">
        <f t="shared" si="13"/>
        <v>0.12936347840850115</v>
      </c>
      <c r="G62" s="757"/>
      <c r="H62" s="716">
        <f t="shared" si="14"/>
        <v>5.3901449336875489</v>
      </c>
    </row>
    <row r="63" spans="1:16" ht="15.5" x14ac:dyDescent="0.35">
      <c r="A63" s="734" t="s">
        <v>1244</v>
      </c>
      <c r="B63" s="732">
        <f>SUM(Bf!H63:H67)</f>
        <v>0</v>
      </c>
      <c r="C63" s="733"/>
      <c r="D63" s="732">
        <f t="shared" si="12"/>
        <v>0</v>
      </c>
      <c r="E63" s="762"/>
      <c r="F63" s="715">
        <f t="shared" si="13"/>
        <v>0</v>
      </c>
      <c r="G63" s="762"/>
      <c r="H63" s="715">
        <f t="shared" si="14"/>
        <v>0</v>
      </c>
    </row>
    <row r="64" spans="1:16" ht="15.5" x14ac:dyDescent="0.35">
      <c r="A64" s="734" t="s">
        <v>1245</v>
      </c>
      <c r="B64" s="732">
        <f>0</f>
        <v>0</v>
      </c>
      <c r="C64" s="733"/>
      <c r="D64" s="732">
        <f t="shared" si="12"/>
        <v>0</v>
      </c>
      <c r="E64" s="762"/>
      <c r="F64" s="715">
        <f t="shared" si="13"/>
        <v>0</v>
      </c>
      <c r="G64" s="762"/>
      <c r="H64" s="715">
        <f t="shared" si="14"/>
        <v>0</v>
      </c>
    </row>
    <row r="65" spans="1:8" ht="15.5" x14ac:dyDescent="0.35">
      <c r="A65" s="734" t="s">
        <v>1246</v>
      </c>
      <c r="B65" s="732">
        <f>SUM(Bf!H68:H78)</f>
        <v>2534.5047669453311</v>
      </c>
      <c r="C65" s="733"/>
      <c r="D65" s="733">
        <f t="shared" si="12"/>
        <v>25.345047669453312</v>
      </c>
      <c r="E65" s="757"/>
      <c r="F65" s="716">
        <f t="shared" si="13"/>
        <v>0.60345351593936458</v>
      </c>
      <c r="G65" s="757"/>
      <c r="H65" s="716">
        <f t="shared" si="14"/>
        <v>25.143896497473524</v>
      </c>
    </row>
    <row r="66" spans="1:8" ht="15.5" x14ac:dyDescent="0.35">
      <c r="A66" s="734" t="s">
        <v>1247</v>
      </c>
      <c r="B66" s="732">
        <f>SUM(Bf!H79:H86)</f>
        <v>61.207274136913568</v>
      </c>
      <c r="C66" s="733"/>
      <c r="D66" s="733">
        <f t="shared" si="12"/>
        <v>0.6120727413691357</v>
      </c>
      <c r="E66" s="757"/>
      <c r="F66" s="781">
        <f t="shared" si="13"/>
        <v>1.4573160508788945E-2</v>
      </c>
      <c r="G66" s="757"/>
      <c r="H66" s="716">
        <f t="shared" si="14"/>
        <v>0.60721502119953941</v>
      </c>
    </row>
    <row r="67" spans="1:8" ht="15.5" x14ac:dyDescent="0.35">
      <c r="A67" s="734" t="s">
        <v>2148</v>
      </c>
      <c r="B67" s="732">
        <f>SUM(Bf!H87:H91)</f>
        <v>485.84173598322172</v>
      </c>
      <c r="C67" s="733"/>
      <c r="D67" s="733">
        <f t="shared" si="12"/>
        <v>4.8584173598322176</v>
      </c>
      <c r="E67" s="757"/>
      <c r="F67" s="716">
        <f t="shared" si="13"/>
        <v>0.11567660380552898</v>
      </c>
      <c r="G67" s="757"/>
      <c r="H67" s="716">
        <f t="shared" si="14"/>
        <v>4.8198584918970413</v>
      </c>
    </row>
    <row r="68" spans="1:8" ht="15.5" x14ac:dyDescent="0.35">
      <c r="A68" s="734" t="s">
        <v>1250</v>
      </c>
      <c r="B68" s="732">
        <f>SUM(Bf!H92:H103)</f>
        <v>1034.7198796380667</v>
      </c>
      <c r="C68" s="733"/>
      <c r="D68" s="733">
        <f t="shared" si="12"/>
        <v>10.347198796380667</v>
      </c>
      <c r="E68" s="757"/>
      <c r="F68" s="716">
        <f t="shared" si="13"/>
        <v>0.2463618761043016</v>
      </c>
      <c r="G68" s="757"/>
      <c r="H68" s="716">
        <f t="shared" si="14"/>
        <v>10.265078171012567</v>
      </c>
    </row>
    <row r="69" spans="1:8" ht="15.5" x14ac:dyDescent="0.35">
      <c r="A69" s="734" t="s">
        <v>1304</v>
      </c>
      <c r="B69" s="732">
        <f>0</f>
        <v>0</v>
      </c>
      <c r="C69" s="733"/>
      <c r="D69" s="732">
        <f t="shared" ref="D69" si="15">B69/barley</f>
        <v>0</v>
      </c>
      <c r="E69" s="762"/>
      <c r="F69" s="715">
        <f t="shared" ref="F69" si="16">B69/($C$6*barley)</f>
        <v>0</v>
      </c>
      <c r="G69" s="762"/>
      <c r="H69" s="715">
        <f t="shared" si="14"/>
        <v>0</v>
      </c>
    </row>
    <row r="70" spans="1:8" ht="15.5" x14ac:dyDescent="0.35">
      <c r="A70" s="734" t="s">
        <v>1248</v>
      </c>
      <c r="B70" s="732">
        <f>SUM(Bf!H105:H108)</f>
        <v>1350</v>
      </c>
      <c r="C70" s="733"/>
      <c r="D70" s="733">
        <f t="shared" si="12"/>
        <v>13.5</v>
      </c>
      <c r="E70" s="757"/>
      <c r="F70" s="716">
        <f t="shared" si="13"/>
        <v>0.32142857142857145</v>
      </c>
      <c r="G70" s="757"/>
      <c r="H70" s="716">
        <f t="shared" si="14"/>
        <v>13.392857142857142</v>
      </c>
    </row>
    <row r="71" spans="1:8" ht="15.5" x14ac:dyDescent="0.35">
      <c r="A71" s="734" t="s">
        <v>1249</v>
      </c>
      <c r="B71" s="732">
        <f>SUM(Bf!H109:H113)</f>
        <v>716.98595582103576</v>
      </c>
      <c r="C71" s="733"/>
      <c r="D71" s="733">
        <f t="shared" si="12"/>
        <v>7.1698595582103577</v>
      </c>
      <c r="E71" s="757"/>
      <c r="F71" s="716">
        <f t="shared" si="13"/>
        <v>0.17071094186215138</v>
      </c>
      <c r="G71" s="757"/>
      <c r="H71" s="716">
        <f t="shared" si="14"/>
        <v>7.1129559109229739</v>
      </c>
    </row>
    <row r="72" spans="1:8" ht="15.5" x14ac:dyDescent="0.35">
      <c r="A72" s="714" t="s">
        <v>79</v>
      </c>
      <c r="B72" s="732">
        <f>Bf!L121</f>
        <v>2807.6670241147795</v>
      </c>
      <c r="C72" s="733"/>
      <c r="D72" s="733">
        <f t="shared" si="12"/>
        <v>28.076670241147795</v>
      </c>
      <c r="E72" s="757"/>
      <c r="F72" s="716">
        <f t="shared" si="13"/>
        <v>0.66849214859875705</v>
      </c>
      <c r="G72" s="757"/>
      <c r="H72" s="716">
        <f t="shared" si="14"/>
        <v>27.85383952494821</v>
      </c>
    </row>
    <row r="73" spans="1:8" ht="15" x14ac:dyDescent="0.3">
      <c r="A73" s="709" t="s">
        <v>368</v>
      </c>
      <c r="B73" s="735">
        <f>SUM(B58:B72)</f>
        <v>14536.71527598743</v>
      </c>
      <c r="C73" s="736"/>
      <c r="D73" s="736">
        <f>SUM(D58:D72)</f>
        <v>145.3671527598743</v>
      </c>
      <c r="E73" s="736"/>
      <c r="F73" s="736">
        <f>SUM(F58:F72)</f>
        <v>3.4611226847589118</v>
      </c>
      <c r="G73" s="736"/>
      <c r="H73" s="736">
        <f>SUM(H58:H72)</f>
        <v>144.21344519828799</v>
      </c>
    </row>
    <row r="74" spans="1:8" ht="15.5" x14ac:dyDescent="0.35">
      <c r="A74" s="699"/>
      <c r="B74" s="735"/>
      <c r="C74" s="736"/>
      <c r="D74" s="736"/>
      <c r="E74" s="758"/>
      <c r="F74" s="758"/>
      <c r="G74" s="758"/>
      <c r="H74" s="758"/>
    </row>
    <row r="75" spans="1:8" ht="15" x14ac:dyDescent="0.3">
      <c r="A75" s="709" t="s">
        <v>80</v>
      </c>
      <c r="B75" s="735">
        <f>B73+B55</f>
        <v>54002.088812819748</v>
      </c>
      <c r="C75" s="736"/>
      <c r="D75" s="736">
        <f>D73+D55</f>
        <v>540.0208881281975</v>
      </c>
      <c r="E75" s="736"/>
      <c r="F75" s="736">
        <f>F73+F55</f>
        <v>12.857640193528512</v>
      </c>
      <c r="G75" s="736"/>
      <c r="H75" s="736">
        <f>H73+H55</f>
        <v>535.73500806368804</v>
      </c>
    </row>
    <row r="76" spans="1:8" ht="15.5" x14ac:dyDescent="0.35">
      <c r="A76" s="742"/>
      <c r="B76" s="735"/>
      <c r="C76" s="736"/>
      <c r="D76" s="736"/>
      <c r="E76" s="736"/>
      <c r="F76" s="736"/>
      <c r="G76" s="736"/>
      <c r="H76" s="736"/>
    </row>
    <row r="77" spans="1:8" ht="15" x14ac:dyDescent="0.3">
      <c r="A77" s="709" t="s">
        <v>355</v>
      </c>
      <c r="B77" s="710">
        <f>B22-B75</f>
        <v>1437.9111871802525</v>
      </c>
      <c r="C77" s="736"/>
      <c r="D77" s="711">
        <f>D22-D75</f>
        <v>14.379111871802479</v>
      </c>
      <c r="E77" s="736"/>
      <c r="F77" s="711">
        <f>F22-F75</f>
        <v>0.342359806471487</v>
      </c>
      <c r="G77" s="736"/>
      <c r="H77" s="711">
        <f>H22-H75</f>
        <v>14.264991936311958</v>
      </c>
    </row>
    <row r="78" spans="1:8" ht="15" x14ac:dyDescent="0.3">
      <c r="A78" s="709" t="s">
        <v>356</v>
      </c>
      <c r="B78" s="735">
        <f>B22-B55</f>
        <v>15974.626463167682</v>
      </c>
      <c r="C78" s="736"/>
      <c r="D78" s="736">
        <f>D22-D55</f>
        <v>159.74626463167681</v>
      </c>
      <c r="E78" s="736"/>
      <c r="F78" s="736">
        <f>F22-F55</f>
        <v>3.8034824912303993</v>
      </c>
      <c r="G78" s="736"/>
      <c r="H78" s="736">
        <f>H22-H55</f>
        <v>158.47843713459991</v>
      </c>
    </row>
    <row r="79" spans="1:8" ht="15.5" x14ac:dyDescent="0.35">
      <c r="A79" s="699"/>
      <c r="B79" s="743"/>
      <c r="C79" s="743"/>
      <c r="D79" s="743"/>
      <c r="E79" s="699"/>
      <c r="F79" s="699"/>
      <c r="G79" s="699"/>
      <c r="H79" s="699"/>
    </row>
    <row r="80" spans="1:8" ht="15.5" x14ac:dyDescent="0.35">
      <c r="A80" s="709" t="s">
        <v>234</v>
      </c>
      <c r="B80" s="743"/>
      <c r="C80" s="743"/>
      <c r="D80" s="743"/>
      <c r="E80" s="699"/>
      <c r="F80" s="699"/>
      <c r="G80" s="699"/>
      <c r="H80" s="699"/>
    </row>
    <row r="81" spans="1:8" ht="15.65" customHeight="1" x14ac:dyDescent="0.35">
      <c r="A81" s="744" t="s">
        <v>369</v>
      </c>
      <c r="B81" s="703" t="s">
        <v>76</v>
      </c>
      <c r="C81" s="743"/>
      <c r="D81" s="703" t="s">
        <v>393</v>
      </c>
      <c r="E81" s="703"/>
      <c r="F81" s="703" t="s">
        <v>1556</v>
      </c>
      <c r="G81" s="703"/>
      <c r="H81" s="703" t="s">
        <v>396</v>
      </c>
    </row>
    <row r="82" spans="1:8" ht="15.5" x14ac:dyDescent="0.35">
      <c r="A82" s="714" t="s">
        <v>370</v>
      </c>
      <c r="B82" s="745">
        <f>B75</f>
        <v>54002.088812819748</v>
      </c>
      <c r="C82" s="743"/>
      <c r="D82" s="716">
        <f>$B$75/barley</f>
        <v>540.0208881281975</v>
      </c>
      <c r="E82" s="752"/>
      <c r="F82" s="716">
        <f>$B$75/($C$6*barley)</f>
        <v>12.857640193528511</v>
      </c>
      <c r="G82" s="752"/>
      <c r="H82" s="716">
        <f>$B$75/($E$6*barley)</f>
        <v>535.73500806368804</v>
      </c>
    </row>
    <row r="83" spans="1:8" ht="15.5" x14ac:dyDescent="0.35">
      <c r="A83" s="714" t="s">
        <v>371</v>
      </c>
      <c r="B83" s="745">
        <f>B55</f>
        <v>39465.373536832318</v>
      </c>
      <c r="C83" s="743"/>
      <c r="D83" s="716">
        <f>$B$55/barley</f>
        <v>394.65373536832317</v>
      </c>
      <c r="E83" s="752"/>
      <c r="F83" s="716">
        <f>$B$55/($C$6*barley)</f>
        <v>9.3965175087696</v>
      </c>
      <c r="G83" s="752"/>
      <c r="H83" s="716">
        <f>$B$55/($E$6*barley)</f>
        <v>391.52156286539997</v>
      </c>
    </row>
    <row r="84" spans="1:8" ht="15.5" x14ac:dyDescent="0.35">
      <c r="A84" s="714"/>
      <c r="B84" s="743"/>
      <c r="C84" s="743"/>
      <c r="D84" s="716"/>
      <c r="E84" s="752"/>
      <c r="F84" s="716"/>
      <c r="G84" s="752"/>
      <c r="H84" s="716"/>
    </row>
    <row r="85" spans="1:8" ht="15.5" x14ac:dyDescent="0.35">
      <c r="A85" s="744" t="s">
        <v>1099</v>
      </c>
      <c r="B85" s="703" t="s">
        <v>1100</v>
      </c>
      <c r="C85" s="743"/>
      <c r="D85" s="703" t="s">
        <v>1995</v>
      </c>
      <c r="E85" s="752"/>
      <c r="F85" s="716"/>
      <c r="G85" s="752"/>
      <c r="H85" s="716"/>
    </row>
    <row r="86" spans="1:8" ht="15.5" x14ac:dyDescent="0.35">
      <c r="A86" s="714" t="s">
        <v>1101</v>
      </c>
      <c r="B86" s="746">
        <f>B77/SUM(Bv!E25:E76)</f>
        <v>0.37044364971244298</v>
      </c>
      <c r="C86" s="743"/>
      <c r="D86" s="1226">
        <f>SUM(Bv!E25:E76)</f>
        <v>3881.5922159724742</v>
      </c>
      <c r="E86" s="1225" t="s">
        <v>1996</v>
      </c>
      <c r="F86" s="716"/>
      <c r="G86" s="752"/>
      <c r="H86" s="716"/>
    </row>
    <row r="87" spans="1:8" ht="15.5" x14ac:dyDescent="0.35">
      <c r="A87" s="714" t="s">
        <v>1102</v>
      </c>
      <c r="B87" s="746">
        <f>B78/SUM(Bv!E25:E76)</f>
        <v>4.1154829189509492</v>
      </c>
      <c r="C87" s="743"/>
      <c r="D87" s="716"/>
      <c r="E87" s="752"/>
      <c r="F87" s="716"/>
      <c r="G87" s="752"/>
      <c r="H87" s="716"/>
    </row>
    <row r="88" spans="1:8" ht="15.5" x14ac:dyDescent="0.35">
      <c r="A88" s="747"/>
      <c r="B88" s="748"/>
      <c r="C88" s="748"/>
      <c r="D88" s="748"/>
      <c r="E88" s="747"/>
      <c r="F88" s="747"/>
      <c r="G88" s="747"/>
      <c r="H88" s="747"/>
    </row>
    <row r="92" spans="1:8" x14ac:dyDescent="0.3">
      <c r="A92" s="61" t="s">
        <v>146</v>
      </c>
      <c r="B92" s="50" t="str">
        <f>model</f>
        <v>ME Grain &amp; Pulse</v>
      </c>
    </row>
    <row r="94" spans="1:8" x14ac:dyDescent="0.3">
      <c r="A94" s="7" t="s">
        <v>103</v>
      </c>
      <c r="B94" s="55" t="s">
        <v>92</v>
      </c>
      <c r="C94" s="54">
        <f>barley</f>
        <v>100</v>
      </c>
      <c r="D94" s="17" t="s">
        <v>93</v>
      </c>
    </row>
    <row r="95" spans="1:8" x14ac:dyDescent="0.3">
      <c r="A95" s="7"/>
      <c r="B95" s="55" t="s">
        <v>750</v>
      </c>
      <c r="C95" s="54">
        <f>(barley*Data!F29)*Data!$B$29*Data!$C$29</f>
        <v>0</v>
      </c>
      <c r="D95" s="17" t="s">
        <v>93</v>
      </c>
      <c r="E95" s="55"/>
      <c r="G95" s="55"/>
    </row>
    <row r="96" spans="1:8" x14ac:dyDescent="0.3">
      <c r="A96" s="7"/>
      <c r="B96" s="55" t="s">
        <v>751</v>
      </c>
      <c r="C96" s="54">
        <f>(barley*Data!G29)*Data!$B$29*Data!$D$29</f>
        <v>0</v>
      </c>
      <c r="D96" s="17" t="s">
        <v>93</v>
      </c>
      <c r="E96" s="55"/>
      <c r="G96" s="55"/>
    </row>
    <row r="97" spans="1:8" x14ac:dyDescent="0.3">
      <c r="A97" s="8"/>
      <c r="B97" s="55" t="s">
        <v>727</v>
      </c>
      <c r="C97" s="54">
        <f>Data!B180</f>
        <v>42</v>
      </c>
      <c r="D97" s="17" t="s">
        <v>1567</v>
      </c>
      <c r="E97" s="1190">
        <f>(C97*Data!$K$58)/2000</f>
        <v>1.008</v>
      </c>
      <c r="F97" s="17" t="s">
        <v>235</v>
      </c>
      <c r="G97" s="54"/>
    </row>
    <row r="98" spans="1:8" x14ac:dyDescent="0.3">
      <c r="B98" s="55" t="s">
        <v>728</v>
      </c>
      <c r="C98" s="106">
        <f>IF(FARM!$F$15&gt;0,Data!$B$175,Data!$B$176)</f>
        <v>13.2</v>
      </c>
      <c r="D98" s="17" t="s">
        <v>1566</v>
      </c>
      <c r="E98" s="153">
        <f>Data!$K$58</f>
        <v>48</v>
      </c>
      <c r="F98" s="17" t="s">
        <v>1560</v>
      </c>
    </row>
    <row r="99" spans="1:8" x14ac:dyDescent="0.3">
      <c r="B99" s="55" t="s">
        <v>729</v>
      </c>
      <c r="C99" s="157">
        <f>Data!E180</f>
        <v>1.334592</v>
      </c>
      <c r="D99" s="17" t="s">
        <v>731</v>
      </c>
      <c r="E99" s="157">
        <f>Data!H180</f>
        <v>33.364800000000002</v>
      </c>
      <c r="F99" s="17" t="s">
        <v>732</v>
      </c>
      <c r="G99" s="54"/>
    </row>
    <row r="100" spans="1:8" x14ac:dyDescent="0.3">
      <c r="B100" s="55" t="s">
        <v>730</v>
      </c>
      <c r="C100" s="116">
        <f>IF(Straw!$D$9&gt;0,Straw!$D$9,Data!$E$177)</f>
        <v>40</v>
      </c>
      <c r="D100" s="17" t="s">
        <v>733</v>
      </c>
      <c r="E100" s="217">
        <f>IF(Straw!$F$9&gt;0,Straw!$F$9,Data!$H$177)</f>
        <v>5.0833333333333304</v>
      </c>
      <c r="F100" s="17" t="s">
        <v>734</v>
      </c>
      <c r="G100" s="217"/>
    </row>
    <row r="101" spans="1:8" x14ac:dyDescent="0.3">
      <c r="B101" s="55"/>
      <c r="C101" s="54"/>
      <c r="D101" s="17"/>
    </row>
    <row r="102" spans="1:8" ht="15.5" x14ac:dyDescent="0.35">
      <c r="A102" s="751" t="s">
        <v>103</v>
      </c>
      <c r="B102" s="697" t="s">
        <v>76</v>
      </c>
      <c r="C102" s="697"/>
      <c r="D102" s="697" t="s">
        <v>77</v>
      </c>
      <c r="E102" s="698"/>
      <c r="F102" s="697" t="s">
        <v>1554</v>
      </c>
      <c r="G102" s="698"/>
      <c r="H102" s="697" t="s">
        <v>385</v>
      </c>
    </row>
    <row r="103" spans="1:8" ht="15.65" customHeight="1" x14ac:dyDescent="0.35">
      <c r="A103" s="699" t="s">
        <v>362</v>
      </c>
      <c r="B103" s="700">
        <f>C94</f>
        <v>100</v>
      </c>
      <c r="C103" s="701"/>
      <c r="D103" s="702" t="s">
        <v>363</v>
      </c>
      <c r="E103" s="703"/>
      <c r="F103" s="702" t="s">
        <v>363</v>
      </c>
      <c r="G103" s="703"/>
      <c r="H103" s="702" t="s">
        <v>363</v>
      </c>
    </row>
    <row r="104" spans="1:8" ht="15.65" customHeight="1" x14ac:dyDescent="0.35">
      <c r="A104" s="699" t="s">
        <v>1849</v>
      </c>
      <c r="B104" s="702" t="s">
        <v>363</v>
      </c>
      <c r="C104" s="701"/>
      <c r="D104" s="702" t="s">
        <v>363</v>
      </c>
      <c r="E104" s="703"/>
      <c r="F104" s="702" t="s">
        <v>363</v>
      </c>
      <c r="G104" s="703"/>
      <c r="H104" s="888">
        <f>2000/Data!$K$58</f>
        <v>41.666666666666664</v>
      </c>
    </row>
    <row r="105" spans="1:8" ht="15.65" customHeight="1" x14ac:dyDescent="0.35">
      <c r="A105" s="699" t="s">
        <v>1561</v>
      </c>
      <c r="B105" s="700">
        <f>$C$94*C97</f>
        <v>4200</v>
      </c>
      <c r="C105" s="701"/>
      <c r="D105" s="700">
        <f>C97</f>
        <v>42</v>
      </c>
      <c r="E105" s="703"/>
      <c r="F105" s="702" t="s">
        <v>363</v>
      </c>
      <c r="G105" s="703"/>
      <c r="H105" s="702" t="s">
        <v>363</v>
      </c>
    </row>
    <row r="106" spans="1:8" ht="15.65" customHeight="1" x14ac:dyDescent="0.35">
      <c r="A106" s="699" t="s">
        <v>1851</v>
      </c>
      <c r="B106" s="700">
        <f>$C$94*E97</f>
        <v>100.8</v>
      </c>
      <c r="C106" s="701"/>
      <c r="D106" s="1191">
        <f>E97</f>
        <v>1.008</v>
      </c>
      <c r="E106" s="703"/>
      <c r="F106" s="702" t="s">
        <v>363</v>
      </c>
      <c r="G106" s="703"/>
      <c r="H106" s="702" t="s">
        <v>363</v>
      </c>
    </row>
    <row r="107" spans="1:8" ht="15.65" customHeight="1" x14ac:dyDescent="0.35">
      <c r="A107" s="699" t="str">
        <f>IF(Data!B177=1,"Barley Price ($/unit) - Food Grade","Barley Price ($/unit) - Feed Grade")</f>
        <v>Barley Price ($/unit) - Food Grade</v>
      </c>
      <c r="B107" s="702" t="s">
        <v>363</v>
      </c>
      <c r="C107" s="701"/>
      <c r="D107" s="702" t="s">
        <v>363</v>
      </c>
      <c r="E107" s="703"/>
      <c r="F107" s="704">
        <f>C98</f>
        <v>13.2</v>
      </c>
      <c r="G107" s="703"/>
      <c r="H107" s="840">
        <f>F107*H104</f>
        <v>549.99999999999989</v>
      </c>
    </row>
    <row r="108" spans="1:8" ht="15.65" customHeight="1" x14ac:dyDescent="0.35">
      <c r="A108" s="699" t="s">
        <v>2032</v>
      </c>
      <c r="B108" s="700">
        <f>C99*C95</f>
        <v>0</v>
      </c>
      <c r="C108" s="701"/>
      <c r="D108" s="841">
        <f>C99</f>
        <v>1.334592</v>
      </c>
      <c r="E108" s="703"/>
      <c r="F108" s="842">
        <f>C99/(C97*C94)</f>
        <v>3.1775999999999999E-4</v>
      </c>
      <c r="G108" s="703"/>
      <c r="H108" s="842">
        <f>C99/(E97*C94)</f>
        <v>1.324E-2</v>
      </c>
    </row>
    <row r="109" spans="1:8" ht="15.65" customHeight="1" x14ac:dyDescent="0.35">
      <c r="A109" s="699" t="s">
        <v>2034</v>
      </c>
      <c r="B109" s="705">
        <f>C100</f>
        <v>40</v>
      </c>
      <c r="C109" s="701"/>
      <c r="D109" s="705">
        <f>C100*C99</f>
        <v>53.383679999999998</v>
      </c>
      <c r="E109" s="703"/>
      <c r="F109" s="840">
        <f>D109/C97</f>
        <v>1.2710399999999999</v>
      </c>
      <c r="G109" s="703"/>
      <c r="H109" s="840">
        <f>D109/E97</f>
        <v>52.96</v>
      </c>
    </row>
    <row r="110" spans="1:8" ht="15.65" customHeight="1" x14ac:dyDescent="0.35">
      <c r="A110" s="699" t="s">
        <v>2031</v>
      </c>
      <c r="B110" s="700">
        <f>E99*C96</f>
        <v>0</v>
      </c>
      <c r="C110" s="701"/>
      <c r="D110" s="841">
        <f>E99</f>
        <v>33.364800000000002</v>
      </c>
      <c r="E110" s="703"/>
      <c r="F110" s="842">
        <f>E99/(C97*C94)</f>
        <v>7.9440000000000014E-3</v>
      </c>
      <c r="G110" s="703"/>
      <c r="H110" s="842">
        <f>E99/(E97*C94)</f>
        <v>0.33100000000000002</v>
      </c>
    </row>
    <row r="111" spans="1:8" ht="15.65" customHeight="1" x14ac:dyDescent="0.35">
      <c r="A111" s="699" t="s">
        <v>2033</v>
      </c>
      <c r="B111" s="840">
        <f>E100</f>
        <v>5.0833333333333304</v>
      </c>
      <c r="C111" s="701"/>
      <c r="D111" s="705">
        <f>E100*E99</f>
        <v>169.60439999999991</v>
      </c>
      <c r="E111" s="703"/>
      <c r="F111" s="840">
        <f>D111/C97</f>
        <v>4.038199999999998</v>
      </c>
      <c r="G111" s="703"/>
      <c r="H111" s="840">
        <f>D111/E97</f>
        <v>168.25833333333324</v>
      </c>
    </row>
    <row r="112" spans="1:8" ht="15.5" x14ac:dyDescent="0.35">
      <c r="A112" s="699"/>
      <c r="B112" s="706"/>
      <c r="C112" s="706"/>
      <c r="D112" s="706"/>
      <c r="E112" s="744"/>
      <c r="F112" s="706"/>
      <c r="G112" s="744"/>
      <c r="H112" s="706"/>
    </row>
    <row r="113" spans="1:16" ht="15" x14ac:dyDescent="0.3">
      <c r="A113" s="709" t="s">
        <v>230</v>
      </c>
      <c r="B113" s="710">
        <f>(C97*C98*barley)+(C99*C100*C95)+(E99*E100*C96)</f>
        <v>55440</v>
      </c>
      <c r="C113" s="711"/>
      <c r="D113" s="711">
        <f>B113/barley</f>
        <v>554.4</v>
      </c>
      <c r="E113" s="756"/>
      <c r="F113" s="711">
        <f>B113/($C$97*barley)</f>
        <v>13.2</v>
      </c>
      <c r="G113" s="756"/>
      <c r="H113" s="711">
        <f>B113/($E$97*barley)</f>
        <v>550</v>
      </c>
    </row>
    <row r="114" spans="1:16" ht="15.5" x14ac:dyDescent="0.35">
      <c r="A114" s="714" t="s">
        <v>1235</v>
      </c>
      <c r="B114" s="715">
        <f>(C97*C98*barley)</f>
        <v>55440</v>
      </c>
      <c r="C114" s="716"/>
      <c r="D114" s="716">
        <f>B114/barley</f>
        <v>554.4</v>
      </c>
      <c r="E114" s="752"/>
      <c r="F114" s="716">
        <f>B114/($C$97*barley)</f>
        <v>13.2</v>
      </c>
      <c r="G114" s="752"/>
      <c r="H114" s="716">
        <f>B114/($E$97*barley)</f>
        <v>550</v>
      </c>
    </row>
    <row r="115" spans="1:16" ht="15.5" x14ac:dyDescent="0.35">
      <c r="A115" s="714" t="s">
        <v>1236</v>
      </c>
      <c r="B115" s="715">
        <f>(C99*C100*C95)+(E99*E100*C96)</f>
        <v>0</v>
      </c>
      <c r="C115" s="716"/>
      <c r="D115" s="715">
        <f>B115/barley</f>
        <v>0</v>
      </c>
      <c r="E115" s="753"/>
      <c r="F115" s="715">
        <f>B115/($C$97*barley)</f>
        <v>0</v>
      </c>
      <c r="G115" s="753"/>
      <c r="H115" s="715">
        <f>B115/($E$97*barley)</f>
        <v>0</v>
      </c>
    </row>
    <row r="116" spans="1:16" ht="15.5" x14ac:dyDescent="0.35">
      <c r="A116" s="699"/>
      <c r="B116" s="721"/>
      <c r="C116" s="722"/>
      <c r="D116" s="716"/>
      <c r="E116" s="752"/>
      <c r="F116" s="716"/>
      <c r="G116" s="752"/>
      <c r="H116" s="716"/>
    </row>
    <row r="117" spans="1:16" ht="15.5" x14ac:dyDescent="0.35">
      <c r="A117" s="709" t="s">
        <v>365</v>
      </c>
      <c r="B117" s="715"/>
      <c r="C117" s="716"/>
      <c r="D117" s="716"/>
      <c r="E117" s="752"/>
      <c r="F117" s="716"/>
      <c r="G117" s="752"/>
      <c r="H117" s="716"/>
    </row>
    <row r="118" spans="1:16" ht="15.5" x14ac:dyDescent="0.35">
      <c r="A118" s="714" t="s">
        <v>13</v>
      </c>
      <c r="B118" s="715">
        <f>SUM(Bv!H9:H12)</f>
        <v>6901.0416666666624</v>
      </c>
      <c r="C118" s="716"/>
      <c r="D118" s="716">
        <f>B118/barley</f>
        <v>69.010416666666629</v>
      </c>
      <c r="E118" s="752"/>
      <c r="F118" s="716">
        <f>B118/($C$97*barley)</f>
        <v>1.6431051587301577</v>
      </c>
      <c r="G118" s="752"/>
      <c r="H118" s="716">
        <f>B118/($E$97*barley)</f>
        <v>68.462714947089907</v>
      </c>
    </row>
    <row r="119" spans="1:16" ht="15.5" x14ac:dyDescent="0.35">
      <c r="A119" s="714" t="s">
        <v>1287</v>
      </c>
      <c r="B119" s="715">
        <f>SUM(Bv!H14:H16)</f>
        <v>10500</v>
      </c>
      <c r="C119" s="716"/>
      <c r="D119" s="716">
        <f>B119/barley</f>
        <v>105</v>
      </c>
      <c r="E119" s="752"/>
      <c r="F119" s="716">
        <f>B119/($C$97*barley)</f>
        <v>2.5</v>
      </c>
      <c r="G119" s="752"/>
      <c r="H119" s="716">
        <f>B119/($E$97*barley)</f>
        <v>104.16666666666667</v>
      </c>
    </row>
    <row r="120" spans="1:16" ht="15.5" x14ac:dyDescent="0.35">
      <c r="A120" s="714" t="s">
        <v>2</v>
      </c>
      <c r="B120" s="715">
        <f>Bv!H19</f>
        <v>0</v>
      </c>
      <c r="C120" s="716"/>
      <c r="D120" s="715">
        <f>B120/barley</f>
        <v>0</v>
      </c>
      <c r="E120" s="753"/>
      <c r="F120" s="715">
        <f>B120/($C$97*barley)</f>
        <v>0</v>
      </c>
      <c r="G120" s="753"/>
      <c r="H120" s="715">
        <f>B120/($E$97*barley)</f>
        <v>0</v>
      </c>
    </row>
    <row r="121" spans="1:16" ht="15.5" x14ac:dyDescent="0.35">
      <c r="A121" s="714" t="s">
        <v>1476</v>
      </c>
      <c r="B121" s="699"/>
      <c r="C121" s="699"/>
      <c r="D121" s="699"/>
      <c r="E121" s="699"/>
      <c r="F121" s="699"/>
      <c r="G121" s="699"/>
      <c r="H121" s="699"/>
    </row>
    <row r="122" spans="1:16" ht="15.5" x14ac:dyDescent="0.35">
      <c r="A122" s="714" t="s">
        <v>1121</v>
      </c>
      <c r="B122" s="745">
        <f>SUM(Bv!H20:H21)</f>
        <v>0</v>
      </c>
      <c r="C122" s="746"/>
      <c r="D122" s="745">
        <f>B122/barley</f>
        <v>0</v>
      </c>
      <c r="E122" s="752"/>
      <c r="F122" s="745">
        <f>B122/($C$97*barley)</f>
        <v>0</v>
      </c>
      <c r="G122" s="752"/>
      <c r="H122" s="715">
        <f>B122/($E$97*barley)</f>
        <v>0</v>
      </c>
    </row>
    <row r="123" spans="1:16" ht="15.5" x14ac:dyDescent="0.35">
      <c r="A123" s="714" t="s">
        <v>1119</v>
      </c>
      <c r="B123" s="745">
        <f>SUM(Bv!H22:H22)</f>
        <v>0</v>
      </c>
      <c r="C123" s="746"/>
      <c r="D123" s="745">
        <f>B123/barley</f>
        <v>0</v>
      </c>
      <c r="E123" s="752"/>
      <c r="F123" s="745">
        <f>B123/($C$97*barley)</f>
        <v>0</v>
      </c>
      <c r="G123" s="752"/>
      <c r="H123" s="715">
        <f>B123/($E$97*barley)</f>
        <v>0</v>
      </c>
    </row>
    <row r="124" spans="1:16" ht="15.5" x14ac:dyDescent="0.35">
      <c r="A124" s="714" t="s">
        <v>1120</v>
      </c>
      <c r="B124" s="745">
        <f>SUM(Bv!H23:H24)</f>
        <v>0</v>
      </c>
      <c r="C124" s="746"/>
      <c r="D124" s="745">
        <f>B124/barley</f>
        <v>0</v>
      </c>
      <c r="E124" s="753"/>
      <c r="F124" s="745">
        <f>B124/($C$97*barley)</f>
        <v>0</v>
      </c>
      <c r="G124" s="753"/>
      <c r="H124" s="715">
        <f>B124/($E$97*barley)</f>
        <v>0</v>
      </c>
      <c r="J124" s="889" t="s">
        <v>1557</v>
      </c>
    </row>
    <row r="125" spans="1:16" ht="15.5" x14ac:dyDescent="0.35">
      <c r="A125" s="714" t="s">
        <v>1214</v>
      </c>
      <c r="B125" s="715"/>
      <c r="C125" s="716"/>
      <c r="D125" s="716"/>
      <c r="E125" s="752"/>
      <c r="F125" s="716"/>
      <c r="G125" s="752"/>
      <c r="H125" s="716"/>
      <c r="J125" s="756">
        <f>_wage_</f>
        <v>12.29</v>
      </c>
      <c r="K125" s="709" t="s">
        <v>1558</v>
      </c>
    </row>
    <row r="126" spans="1:16" ht="15.5" x14ac:dyDescent="0.35">
      <c r="A126" s="734" t="s">
        <v>1910</v>
      </c>
      <c r="B126" s="715">
        <f>Bv!H26</f>
        <v>0</v>
      </c>
      <c r="C126" s="716"/>
      <c r="D126" s="716">
        <f t="shared" ref="D126:D138" si="17">B126/barley</f>
        <v>0</v>
      </c>
      <c r="E126" s="752"/>
      <c r="F126" s="716">
        <f t="shared" ref="F126:F138" si="18">B126/($C$97*barley)</f>
        <v>0</v>
      </c>
      <c r="G126" s="752"/>
      <c r="H126" s="716">
        <f t="shared" ref="H126:H138" si="19">B126/($E$97*barley)</f>
        <v>0</v>
      </c>
      <c r="J126" s="697" t="s">
        <v>76</v>
      </c>
      <c r="K126" s="697"/>
      <c r="L126" s="697" t="s">
        <v>77</v>
      </c>
      <c r="M126" s="698"/>
      <c r="N126" s="697" t="s">
        <v>1554</v>
      </c>
      <c r="O126" s="698"/>
      <c r="P126" s="697" t="s">
        <v>385</v>
      </c>
    </row>
    <row r="127" spans="1:16" ht="15.5" x14ac:dyDescent="0.35">
      <c r="A127" s="734" t="s">
        <v>1251</v>
      </c>
      <c r="B127" s="715">
        <f>Bv!H27</f>
        <v>307.25</v>
      </c>
      <c r="C127" s="716"/>
      <c r="D127" s="716">
        <f t="shared" si="17"/>
        <v>3.0724999999999998</v>
      </c>
      <c r="E127" s="752"/>
      <c r="F127" s="716">
        <f t="shared" si="18"/>
        <v>7.3154761904761903E-2</v>
      </c>
      <c r="G127" s="752"/>
      <c r="H127" s="716">
        <f t="shared" si="19"/>
        <v>3.0481150793650795</v>
      </c>
      <c r="J127" s="763">
        <f>SUM(B126:B138)</f>
        <v>3419.5166360409867</v>
      </c>
      <c r="L127" s="756">
        <f>SUM(D126:D138)</f>
        <v>34.195166360409871</v>
      </c>
      <c r="N127" s="756">
        <f>SUM(F126:F138)</f>
        <v>0.81417062762880632</v>
      </c>
      <c r="P127" s="756">
        <f>SUM(H126:H138)</f>
        <v>33.923776151200272</v>
      </c>
    </row>
    <row r="128" spans="1:16" ht="15.5" x14ac:dyDescent="0.35">
      <c r="A128" s="734" t="s">
        <v>1256</v>
      </c>
      <c r="B128" s="715">
        <f>Bv!H28</f>
        <v>144.58823529411714</v>
      </c>
      <c r="C128" s="716"/>
      <c r="D128" s="716">
        <f t="shared" si="17"/>
        <v>1.4458823529411715</v>
      </c>
      <c r="E128" s="752"/>
      <c r="F128" s="716">
        <f t="shared" si="18"/>
        <v>3.4425770308123126E-2</v>
      </c>
      <c r="G128" s="752"/>
      <c r="H128" s="716">
        <f t="shared" si="19"/>
        <v>1.434407096171797</v>
      </c>
    </row>
    <row r="129" spans="1:16" ht="15.5" x14ac:dyDescent="0.35">
      <c r="A129" s="734" t="s">
        <v>1252</v>
      </c>
      <c r="B129" s="715">
        <f>Bv!H29</f>
        <v>100.57283142389524</v>
      </c>
      <c r="C129" s="716"/>
      <c r="D129" s="716">
        <f t="shared" si="17"/>
        <v>1.0057283142389524</v>
      </c>
      <c r="E129" s="752"/>
      <c r="F129" s="716">
        <f t="shared" si="18"/>
        <v>2.3945912243784579E-2</v>
      </c>
      <c r="G129" s="752"/>
      <c r="H129" s="716">
        <f t="shared" si="19"/>
        <v>0.9977463434910242</v>
      </c>
    </row>
    <row r="130" spans="1:16" ht="15.5" x14ac:dyDescent="0.35">
      <c r="A130" s="734" t="s">
        <v>1253</v>
      </c>
      <c r="B130" s="715">
        <f>Bv!H33</f>
        <v>94.684129429892167</v>
      </c>
      <c r="C130" s="716"/>
      <c r="D130" s="716">
        <f t="shared" si="17"/>
        <v>0.94684129429892172</v>
      </c>
      <c r="E130" s="752"/>
      <c r="F130" s="716">
        <f t="shared" si="18"/>
        <v>2.2543840340450517E-2</v>
      </c>
      <c r="G130" s="752"/>
      <c r="H130" s="716">
        <f t="shared" si="19"/>
        <v>0.9393266808521048</v>
      </c>
    </row>
    <row r="131" spans="1:16" ht="15.5" x14ac:dyDescent="0.35">
      <c r="A131" s="734" t="s">
        <v>1254</v>
      </c>
      <c r="B131" s="715">
        <f>Bv!H34</f>
        <v>94.684129429892167</v>
      </c>
      <c r="C131" s="716"/>
      <c r="D131" s="716">
        <f t="shared" si="17"/>
        <v>0.94684129429892172</v>
      </c>
      <c r="E131" s="752"/>
      <c r="F131" s="716">
        <f t="shared" si="18"/>
        <v>2.2543840340450517E-2</v>
      </c>
      <c r="G131" s="752"/>
      <c r="H131" s="716">
        <f t="shared" si="19"/>
        <v>0.9393266808521048</v>
      </c>
    </row>
    <row r="132" spans="1:16" ht="15.5" x14ac:dyDescent="0.35">
      <c r="A132" s="734" t="s">
        <v>2175</v>
      </c>
      <c r="B132" s="715">
        <f>Bv!H35</f>
        <v>189.36825885978433</v>
      </c>
      <c r="C132" s="716"/>
      <c r="D132" s="716">
        <f t="shared" si="17"/>
        <v>1.8936825885978434</v>
      </c>
      <c r="E132" s="752"/>
      <c r="F132" s="716">
        <f t="shared" si="18"/>
        <v>4.5087680680901035E-2</v>
      </c>
      <c r="G132" s="752"/>
      <c r="H132" s="716">
        <f t="shared" si="19"/>
        <v>1.8786533617042096</v>
      </c>
    </row>
    <row r="133" spans="1:16" ht="15.5" x14ac:dyDescent="0.35">
      <c r="A133" s="734" t="s">
        <v>1255</v>
      </c>
      <c r="B133" s="715">
        <f>SUM(Bv!H40:H41)</f>
        <v>409.66666666666623</v>
      </c>
      <c r="C133" s="716"/>
      <c r="D133" s="716">
        <f t="shared" si="17"/>
        <v>4.0966666666666622</v>
      </c>
      <c r="E133" s="752"/>
      <c r="F133" s="716">
        <f t="shared" si="18"/>
        <v>9.753968253968244E-2</v>
      </c>
      <c r="G133" s="752"/>
      <c r="H133" s="716">
        <f t="shared" si="19"/>
        <v>4.0641534391534346</v>
      </c>
    </row>
    <row r="134" spans="1:16" ht="15.5" x14ac:dyDescent="0.35">
      <c r="A134" s="734" t="s">
        <v>2077</v>
      </c>
      <c r="B134" s="715">
        <f>SUM(Bv!H42:H43)</f>
        <v>147.92547584583082</v>
      </c>
      <c r="C134" s="716"/>
      <c r="D134" s="716">
        <f t="shared" si="17"/>
        <v>1.4792547584583082</v>
      </c>
      <c r="E134" s="752"/>
      <c r="F134" s="716">
        <f t="shared" si="18"/>
        <v>3.5220351391864482E-2</v>
      </c>
      <c r="G134" s="752"/>
      <c r="H134" s="716">
        <f t="shared" si="19"/>
        <v>1.4675146413276867</v>
      </c>
    </row>
    <row r="135" spans="1:16" ht="15.5" x14ac:dyDescent="0.35">
      <c r="A135" s="734" t="s">
        <v>1537</v>
      </c>
      <c r="B135" s="715">
        <f>SUM(Bv!H55:H57)</f>
        <v>1238.8319999999999</v>
      </c>
      <c r="C135" s="716"/>
      <c r="D135" s="716">
        <f t="shared" si="17"/>
        <v>12.388319999999998</v>
      </c>
      <c r="E135" s="752"/>
      <c r="F135" s="716">
        <f t="shared" si="18"/>
        <v>0.29495999999999994</v>
      </c>
      <c r="G135" s="752"/>
      <c r="H135" s="716">
        <f t="shared" si="19"/>
        <v>12.29</v>
      </c>
    </row>
    <row r="136" spans="1:16" ht="15.5" x14ac:dyDescent="0.35">
      <c r="A136" s="734" t="s">
        <v>1257</v>
      </c>
      <c r="B136" s="715">
        <f>SUM(Bv!H58:H60)</f>
        <v>537.09090909090901</v>
      </c>
      <c r="C136" s="716"/>
      <c r="D136" s="716">
        <f t="shared" si="17"/>
        <v>5.3709090909090902</v>
      </c>
      <c r="E136" s="752"/>
      <c r="F136" s="716">
        <f t="shared" si="18"/>
        <v>0.12787878787878787</v>
      </c>
      <c r="G136" s="752"/>
      <c r="H136" s="716">
        <f t="shared" si="19"/>
        <v>5.3282828282828278</v>
      </c>
    </row>
    <row r="137" spans="1:16" ht="15.5" x14ac:dyDescent="0.35">
      <c r="A137" s="734" t="s">
        <v>2030</v>
      </c>
      <c r="B137" s="715">
        <f>SUM(Bv!H44:H54)</f>
        <v>0</v>
      </c>
      <c r="C137" s="716"/>
      <c r="D137" s="716">
        <f t="shared" si="17"/>
        <v>0</v>
      </c>
      <c r="E137" s="752"/>
      <c r="F137" s="716">
        <f t="shared" si="18"/>
        <v>0</v>
      </c>
      <c r="G137" s="752"/>
      <c r="H137" s="716">
        <f t="shared" si="19"/>
        <v>0</v>
      </c>
    </row>
    <row r="138" spans="1:16" ht="15.5" x14ac:dyDescent="0.35">
      <c r="A138" s="734" t="s">
        <v>2078</v>
      </c>
      <c r="B138" s="715">
        <f>SUM(Bv!H62:H75)</f>
        <v>154.85399999999998</v>
      </c>
      <c r="C138" s="716"/>
      <c r="D138" s="716">
        <f t="shared" si="17"/>
        <v>1.5485399999999998</v>
      </c>
      <c r="E138" s="752"/>
      <c r="F138" s="716">
        <f t="shared" si="18"/>
        <v>3.6869999999999993E-2</v>
      </c>
      <c r="G138" s="752"/>
      <c r="H138" s="716">
        <f t="shared" si="19"/>
        <v>1.5362499999999999</v>
      </c>
      <c r="J138" s="889" t="s">
        <v>1985</v>
      </c>
    </row>
    <row r="139" spans="1:16" ht="15.5" x14ac:dyDescent="0.35">
      <c r="A139" s="714" t="s">
        <v>1260</v>
      </c>
      <c r="B139" s="715"/>
      <c r="C139" s="716"/>
      <c r="D139" s="716"/>
      <c r="E139" s="752"/>
      <c r="F139" s="716"/>
      <c r="G139" s="752"/>
      <c r="H139" s="716"/>
      <c r="J139" s="756">
        <f>diesel_fuel</f>
        <v>2.56</v>
      </c>
      <c r="K139" s="709" t="s">
        <v>1559</v>
      </c>
    </row>
    <row r="140" spans="1:16" ht="15.5" x14ac:dyDescent="0.35">
      <c r="A140" s="734" t="s">
        <v>1910</v>
      </c>
      <c r="B140" s="715">
        <f>Bv!H78</f>
        <v>0</v>
      </c>
      <c r="C140" s="716"/>
      <c r="D140" s="716">
        <f t="shared" ref="D140:D156" si="20">B140/barley</f>
        <v>0</v>
      </c>
      <c r="E140" s="752"/>
      <c r="F140" s="716">
        <f t="shared" ref="F140:F156" si="21">B140/($C$97*barley)</f>
        <v>0</v>
      </c>
      <c r="G140" s="752"/>
      <c r="H140" s="716">
        <f t="shared" ref="H140:H156" si="22">B140/($E$97*barley)</f>
        <v>0</v>
      </c>
      <c r="J140" s="697" t="s">
        <v>76</v>
      </c>
      <c r="K140" s="697"/>
      <c r="L140" s="697" t="s">
        <v>77</v>
      </c>
      <c r="M140" s="698"/>
      <c r="N140" s="697" t="s">
        <v>1554</v>
      </c>
      <c r="O140" s="698"/>
      <c r="P140" s="697" t="s">
        <v>385</v>
      </c>
    </row>
    <row r="141" spans="1:16" ht="15.5" x14ac:dyDescent="0.35">
      <c r="A141" s="734" t="s">
        <v>1251</v>
      </c>
      <c r="B141" s="715">
        <f>Bv!H79</f>
        <v>112.70109002769051</v>
      </c>
      <c r="C141" s="716"/>
      <c r="D141" s="716">
        <f t="shared" si="20"/>
        <v>1.1270109002769051</v>
      </c>
      <c r="E141" s="752"/>
      <c r="F141" s="716">
        <f t="shared" si="21"/>
        <v>2.6833592863735836E-2</v>
      </c>
      <c r="G141" s="752"/>
      <c r="H141" s="716">
        <f t="shared" si="22"/>
        <v>1.1180663693223265</v>
      </c>
      <c r="J141" s="763">
        <f>SUM(B140:B152)</f>
        <v>1465.5796343531242</v>
      </c>
      <c r="L141" s="756">
        <f>SUM(D140:D152)</f>
        <v>14.655796343531245</v>
      </c>
      <c r="N141" s="756">
        <f>SUM(F140:F152)</f>
        <v>0.3489475319888391</v>
      </c>
      <c r="P141" s="756">
        <f>SUM(H140:H152)</f>
        <v>14.539480499534964</v>
      </c>
    </row>
    <row r="142" spans="1:16" ht="15.5" x14ac:dyDescent="0.35">
      <c r="A142" s="734" t="s">
        <v>1256</v>
      </c>
      <c r="B142" s="715">
        <f>Bv!H80</f>
        <v>163.84</v>
      </c>
      <c r="C142" s="716"/>
      <c r="D142" s="716">
        <f t="shared" si="20"/>
        <v>1.6384000000000001</v>
      </c>
      <c r="E142" s="752"/>
      <c r="F142" s="716">
        <f t="shared" si="21"/>
        <v>3.9009523809523813E-2</v>
      </c>
      <c r="G142" s="752"/>
      <c r="H142" s="716">
        <f t="shared" si="22"/>
        <v>1.6253968253968254</v>
      </c>
    </row>
    <row r="143" spans="1:16" ht="15.5" x14ac:dyDescent="0.35">
      <c r="A143" s="734" t="s">
        <v>1252</v>
      </c>
      <c r="B143" s="715">
        <f>Bv!H81</f>
        <v>189.44</v>
      </c>
      <c r="C143" s="716"/>
      <c r="D143" s="716">
        <f t="shared" si="20"/>
        <v>1.8944000000000001</v>
      </c>
      <c r="E143" s="752"/>
      <c r="F143" s="716">
        <f t="shared" si="21"/>
        <v>4.5104761904761904E-2</v>
      </c>
      <c r="G143" s="752"/>
      <c r="H143" s="716">
        <f t="shared" si="22"/>
        <v>1.8793650793650793</v>
      </c>
    </row>
    <row r="144" spans="1:16" ht="15.5" x14ac:dyDescent="0.35">
      <c r="A144" s="734" t="s">
        <v>1253</v>
      </c>
      <c r="B144" s="715">
        <f>Bv!H85</f>
        <v>87.04</v>
      </c>
      <c r="C144" s="716"/>
      <c r="D144" s="716">
        <f t="shared" si="20"/>
        <v>0.87040000000000006</v>
      </c>
      <c r="E144" s="752"/>
      <c r="F144" s="716">
        <f t="shared" si="21"/>
        <v>2.0723809523809526E-2</v>
      </c>
      <c r="G144" s="752"/>
      <c r="H144" s="716">
        <f t="shared" si="22"/>
        <v>0.86349206349206353</v>
      </c>
    </row>
    <row r="145" spans="1:10" ht="15.5" x14ac:dyDescent="0.35">
      <c r="A145" s="734" t="s">
        <v>1254</v>
      </c>
      <c r="B145" s="715">
        <f>Bv!H86</f>
        <v>156.16</v>
      </c>
      <c r="C145" s="716"/>
      <c r="D145" s="716">
        <f t="shared" si="20"/>
        <v>1.5615999999999999</v>
      </c>
      <c r="E145" s="752"/>
      <c r="F145" s="716">
        <f t="shared" si="21"/>
        <v>3.7180952380952377E-2</v>
      </c>
      <c r="G145" s="752"/>
      <c r="H145" s="716">
        <f t="shared" si="22"/>
        <v>1.5492063492063493</v>
      </c>
    </row>
    <row r="146" spans="1:10" ht="15.5" x14ac:dyDescent="0.35">
      <c r="A146" s="734" t="s">
        <v>2175</v>
      </c>
      <c r="B146" s="715">
        <f>Bv!H87</f>
        <v>174.08</v>
      </c>
      <c r="C146" s="716"/>
      <c r="D146" s="716">
        <f t="shared" si="20"/>
        <v>1.7408000000000001</v>
      </c>
      <c r="E146" s="752"/>
      <c r="F146" s="716">
        <f t="shared" si="21"/>
        <v>4.1447619047619053E-2</v>
      </c>
      <c r="G146" s="752"/>
      <c r="H146" s="716">
        <f t="shared" si="22"/>
        <v>1.7269841269841271</v>
      </c>
      <c r="J146" s="108"/>
    </row>
    <row r="147" spans="1:10" ht="15.5" x14ac:dyDescent="0.35">
      <c r="A147" s="734" t="s">
        <v>1255</v>
      </c>
      <c r="B147" s="715">
        <f>SUM(Bv!H92:H93)</f>
        <v>512</v>
      </c>
      <c r="C147" s="716"/>
      <c r="D147" s="716">
        <f t="shared" si="20"/>
        <v>5.12</v>
      </c>
      <c r="E147" s="752"/>
      <c r="F147" s="716">
        <f t="shared" si="21"/>
        <v>0.1219047619047619</v>
      </c>
      <c r="G147" s="752"/>
      <c r="H147" s="716">
        <f t="shared" si="22"/>
        <v>5.0793650793650791</v>
      </c>
    </row>
    <row r="148" spans="1:10" ht="15.5" x14ac:dyDescent="0.35">
      <c r="A148" s="734" t="s">
        <v>2077</v>
      </c>
      <c r="B148" s="715">
        <f>SUM(Bv!H94:H95)</f>
        <v>47.380944325433859</v>
      </c>
      <c r="C148" s="716"/>
      <c r="D148" s="716">
        <f t="shared" si="20"/>
        <v>0.4738094432543386</v>
      </c>
      <c r="E148" s="752"/>
      <c r="F148" s="716">
        <f t="shared" si="21"/>
        <v>1.1281177220341394E-2</v>
      </c>
      <c r="G148" s="752"/>
      <c r="H148" s="716">
        <f t="shared" si="22"/>
        <v>0.47004905084755816</v>
      </c>
    </row>
    <row r="149" spans="1:10" ht="15.5" x14ac:dyDescent="0.35">
      <c r="A149" s="734" t="s">
        <v>1537</v>
      </c>
      <c r="B149" s="715">
        <f>SUM(Bv!H107:H109)</f>
        <v>0</v>
      </c>
      <c r="C149" s="716"/>
      <c r="D149" s="715">
        <f t="shared" si="20"/>
        <v>0</v>
      </c>
      <c r="E149" s="752"/>
      <c r="F149" s="715">
        <f t="shared" si="21"/>
        <v>0</v>
      </c>
      <c r="G149" s="752"/>
      <c r="H149" s="715">
        <f t="shared" si="22"/>
        <v>0</v>
      </c>
    </row>
    <row r="150" spans="1:10" ht="15.5" x14ac:dyDescent="0.35">
      <c r="A150" s="734" t="s">
        <v>1257</v>
      </c>
      <c r="B150" s="715">
        <f>SUM(Bv!H110:H112)</f>
        <v>0</v>
      </c>
      <c r="C150" s="716"/>
      <c r="D150" s="715">
        <f t="shared" si="20"/>
        <v>0</v>
      </c>
      <c r="E150" s="753"/>
      <c r="F150" s="715">
        <f t="shared" si="21"/>
        <v>0</v>
      </c>
      <c r="G150" s="753"/>
      <c r="H150" s="715">
        <f t="shared" si="22"/>
        <v>0</v>
      </c>
    </row>
    <row r="151" spans="1:10" ht="15.5" x14ac:dyDescent="0.35">
      <c r="A151" s="734" t="s">
        <v>2030</v>
      </c>
      <c r="B151" s="715">
        <f>SUM(Bv!H96:H106)</f>
        <v>0</v>
      </c>
      <c r="C151" s="716"/>
      <c r="D151" s="716">
        <f t="shared" si="20"/>
        <v>0</v>
      </c>
      <c r="E151" s="752"/>
      <c r="F151" s="716">
        <f t="shared" si="21"/>
        <v>0</v>
      </c>
      <c r="G151" s="752"/>
      <c r="H151" s="716">
        <f t="shared" si="22"/>
        <v>0</v>
      </c>
    </row>
    <row r="152" spans="1:10" ht="15.5" x14ac:dyDescent="0.35">
      <c r="A152" s="734" t="s">
        <v>2078</v>
      </c>
      <c r="B152" s="715">
        <f>SUM(Bv!H114:H127)</f>
        <v>22.937600000000003</v>
      </c>
      <c r="C152" s="716"/>
      <c r="D152" s="716">
        <f t="shared" ref="D152" si="23">B152/barley</f>
        <v>0.22937600000000002</v>
      </c>
      <c r="E152" s="752"/>
      <c r="F152" s="716">
        <f t="shared" ref="F152" si="24">B152/($C$97*barley)</f>
        <v>5.4613333333333345E-3</v>
      </c>
      <c r="G152" s="752"/>
      <c r="H152" s="716">
        <f t="shared" ref="H152" si="25">B152/($E$97*barley)</f>
        <v>0.22755555555555559</v>
      </c>
    </row>
    <row r="153" spans="1:10" ht="15.5" x14ac:dyDescent="0.35">
      <c r="A153" s="714" t="s">
        <v>1258</v>
      </c>
      <c r="B153" s="715">
        <f>Bv!H128</f>
        <v>183.19745429414053</v>
      </c>
      <c r="C153" s="716"/>
      <c r="D153" s="716">
        <f t="shared" si="20"/>
        <v>1.8319745429414054</v>
      </c>
      <c r="E153" s="752"/>
      <c r="F153" s="716">
        <f t="shared" si="21"/>
        <v>4.3618441498604887E-2</v>
      </c>
      <c r="G153" s="752"/>
      <c r="H153" s="716">
        <f t="shared" si="22"/>
        <v>1.8174350624418705</v>
      </c>
    </row>
    <row r="154" spans="1:10" ht="15.5" x14ac:dyDescent="0.35">
      <c r="A154" s="714" t="s">
        <v>78</v>
      </c>
      <c r="B154" s="715">
        <f>SUM(Bv!H129:H130)</f>
        <v>7818.947118122951</v>
      </c>
      <c r="C154" s="716"/>
      <c r="D154" s="716">
        <f t="shared" si="20"/>
        <v>78.189471181229507</v>
      </c>
      <c r="E154" s="752"/>
      <c r="F154" s="716">
        <f t="shared" si="21"/>
        <v>1.8616540757435598</v>
      </c>
      <c r="G154" s="752"/>
      <c r="H154" s="716">
        <f t="shared" si="22"/>
        <v>77.568919822648326</v>
      </c>
    </row>
    <row r="155" spans="1:10" ht="15.5" x14ac:dyDescent="0.35">
      <c r="A155" s="714" t="s">
        <v>170</v>
      </c>
      <c r="B155" s="732">
        <f>Bv!H131</f>
        <v>0</v>
      </c>
      <c r="C155" s="733"/>
      <c r="D155" s="715">
        <f t="shared" si="20"/>
        <v>0</v>
      </c>
      <c r="E155" s="753"/>
      <c r="F155" s="715">
        <f t="shared" si="21"/>
        <v>0</v>
      </c>
      <c r="G155" s="753"/>
      <c r="H155" s="715">
        <f t="shared" si="22"/>
        <v>0</v>
      </c>
    </row>
    <row r="156" spans="1:10" ht="15.5" x14ac:dyDescent="0.35">
      <c r="A156" s="714" t="s">
        <v>171</v>
      </c>
      <c r="B156" s="732">
        <f>SUM(Bv!H132:H133)</f>
        <v>300</v>
      </c>
      <c r="C156" s="733"/>
      <c r="D156" s="716">
        <f t="shared" si="20"/>
        <v>3</v>
      </c>
      <c r="E156" s="752"/>
      <c r="F156" s="716">
        <f t="shared" si="21"/>
        <v>7.1428571428571425E-2</v>
      </c>
      <c r="G156" s="752"/>
      <c r="H156" s="716">
        <f t="shared" si="22"/>
        <v>2.9761904761904763</v>
      </c>
    </row>
    <row r="157" spans="1:10" ht="15.5" x14ac:dyDescent="0.35">
      <c r="A157" s="714" t="s">
        <v>172</v>
      </c>
      <c r="B157" s="699"/>
      <c r="C157" s="699"/>
      <c r="D157" s="699"/>
      <c r="E157" s="699"/>
      <c r="F157" s="699"/>
      <c r="G157" s="699"/>
      <c r="H157" s="716"/>
    </row>
    <row r="158" spans="1:10" ht="15.5" x14ac:dyDescent="0.35">
      <c r="A158" s="734" t="s">
        <v>439</v>
      </c>
      <c r="B158" s="732">
        <f>Bv!H135</f>
        <v>150</v>
      </c>
      <c r="C158" s="733"/>
      <c r="D158" s="716">
        <f t="shared" ref="D158:D172" si="26">B158/barley</f>
        <v>1.5</v>
      </c>
      <c r="E158" s="752"/>
      <c r="F158" s="716">
        <f t="shared" ref="F158:F172" si="27">B158/($C$97*barley)</f>
        <v>3.5714285714285712E-2</v>
      </c>
      <c r="G158" s="752"/>
      <c r="H158" s="716">
        <f t="shared" ref="H158:H172" si="28">B158/($E$97*barley)</f>
        <v>1.4880952380952381</v>
      </c>
    </row>
    <row r="159" spans="1:10" ht="15.5" x14ac:dyDescent="0.35">
      <c r="A159" s="734" t="s">
        <v>1506</v>
      </c>
      <c r="B159" s="732">
        <f>SUM(Bv!H136:H138)</f>
        <v>875</v>
      </c>
      <c r="C159" s="733"/>
      <c r="D159" s="716">
        <f t="shared" si="26"/>
        <v>8.75</v>
      </c>
      <c r="E159" s="752"/>
      <c r="F159" s="716">
        <f t="shared" si="27"/>
        <v>0.20833333333333334</v>
      </c>
      <c r="G159" s="752"/>
      <c r="H159" s="716">
        <f t="shared" si="28"/>
        <v>8.6805555555555554</v>
      </c>
    </row>
    <row r="160" spans="1:10" ht="15.5" x14ac:dyDescent="0.35">
      <c r="A160" s="734" t="s">
        <v>1505</v>
      </c>
      <c r="B160" s="732">
        <f>SUM(Bv!H139:H141)</f>
        <v>450</v>
      </c>
      <c r="C160" s="733"/>
      <c r="D160" s="716">
        <f t="shared" si="26"/>
        <v>4.5</v>
      </c>
      <c r="E160" s="752"/>
      <c r="F160" s="716">
        <f t="shared" si="27"/>
        <v>0.10714285714285714</v>
      </c>
      <c r="G160" s="752"/>
      <c r="H160" s="716">
        <f t="shared" si="28"/>
        <v>4.4642857142857144</v>
      </c>
    </row>
    <row r="161" spans="1:10" ht="15.5" x14ac:dyDescent="0.35">
      <c r="A161" s="734" t="s">
        <v>1237</v>
      </c>
      <c r="B161" s="753">
        <f>Bv!H142</f>
        <v>1500</v>
      </c>
      <c r="C161" s="699"/>
      <c r="D161" s="716">
        <f t="shared" si="26"/>
        <v>15</v>
      </c>
      <c r="E161" s="752"/>
      <c r="F161" s="716">
        <f t="shared" si="27"/>
        <v>0.35714285714285715</v>
      </c>
      <c r="G161" s="752"/>
      <c r="H161" s="716">
        <f t="shared" si="28"/>
        <v>14.880952380952381</v>
      </c>
    </row>
    <row r="162" spans="1:10" ht="15.5" x14ac:dyDescent="0.35">
      <c r="A162" s="734" t="s">
        <v>1212</v>
      </c>
      <c r="B162" s="732">
        <f>SUM(Bv!H143:H145)</f>
        <v>1250</v>
      </c>
      <c r="C162" s="733"/>
      <c r="D162" s="716">
        <f t="shared" si="26"/>
        <v>12.5</v>
      </c>
      <c r="E162" s="752"/>
      <c r="F162" s="716">
        <f t="shared" si="27"/>
        <v>0.29761904761904762</v>
      </c>
      <c r="G162" s="752"/>
      <c r="H162" s="716">
        <f t="shared" si="28"/>
        <v>12.40079365079365</v>
      </c>
    </row>
    <row r="163" spans="1:10" ht="15.5" x14ac:dyDescent="0.35">
      <c r="A163" s="734" t="s">
        <v>1238</v>
      </c>
      <c r="B163" s="753">
        <f>SUM(Bv!H146:H148)</f>
        <v>2247.9045114694268</v>
      </c>
      <c r="C163" s="699"/>
      <c r="D163" s="716">
        <f t="shared" si="26"/>
        <v>22.479045114694269</v>
      </c>
      <c r="E163" s="753"/>
      <c r="F163" s="716">
        <f t="shared" si="27"/>
        <v>0.53521535987367308</v>
      </c>
      <c r="G163" s="753"/>
      <c r="H163" s="716">
        <f t="shared" si="28"/>
        <v>22.300639994736379</v>
      </c>
    </row>
    <row r="164" spans="1:10" ht="15.5" x14ac:dyDescent="0.35">
      <c r="A164" s="734" t="s">
        <v>2076</v>
      </c>
      <c r="B164" s="753">
        <f>SUM(Bv!H149:H155)</f>
        <v>0</v>
      </c>
      <c r="C164" s="699"/>
      <c r="D164" s="716">
        <f t="shared" si="26"/>
        <v>0</v>
      </c>
      <c r="E164" s="753"/>
      <c r="F164" s="716">
        <f t="shared" ref="F164" si="29">B164/($C$6*barley)</f>
        <v>0</v>
      </c>
      <c r="G164" s="753"/>
      <c r="H164" s="716">
        <f t="shared" ref="H164" si="30">B164/($E$6*barley)</f>
        <v>0</v>
      </c>
    </row>
    <row r="165" spans="1:10" ht="15.5" x14ac:dyDescent="0.35">
      <c r="A165" s="734" t="s">
        <v>2029</v>
      </c>
      <c r="B165" s="732">
        <f>SUM(Bv!H156:H158)</f>
        <v>0</v>
      </c>
      <c r="C165" s="733"/>
      <c r="D165" s="715">
        <f>B165/barley</f>
        <v>0</v>
      </c>
      <c r="E165" s="752"/>
      <c r="F165" s="715">
        <f>B165/($C$97*barley)</f>
        <v>0</v>
      </c>
      <c r="G165" s="752"/>
      <c r="H165" s="715">
        <f>B165/($E$97*barley)</f>
        <v>0</v>
      </c>
    </row>
    <row r="166" spans="1:10" ht="15.5" x14ac:dyDescent="0.35">
      <c r="A166" s="734" t="s">
        <v>1532</v>
      </c>
      <c r="B166" s="753">
        <f>SUM(Bv!H159:H163)</f>
        <v>1106.0999999999999</v>
      </c>
      <c r="C166" s="699"/>
      <c r="D166" s="716">
        <f t="shared" si="26"/>
        <v>11.061</v>
      </c>
      <c r="E166" s="753"/>
      <c r="F166" s="716">
        <f t="shared" si="27"/>
        <v>0.26335714285714285</v>
      </c>
      <c r="G166" s="753"/>
      <c r="H166" s="716">
        <f t="shared" si="28"/>
        <v>10.973214285714285</v>
      </c>
    </row>
    <row r="167" spans="1:10" ht="15.5" x14ac:dyDescent="0.35">
      <c r="A167" s="734" t="s">
        <v>1533</v>
      </c>
      <c r="B167" s="753">
        <f>SUM(Bv!H164:H165)</f>
        <v>0</v>
      </c>
      <c r="C167" s="699"/>
      <c r="D167" s="715">
        <f t="shared" si="26"/>
        <v>0</v>
      </c>
      <c r="E167" s="753"/>
      <c r="F167" s="715">
        <f t="shared" si="27"/>
        <v>0</v>
      </c>
      <c r="G167" s="753"/>
      <c r="H167" s="715">
        <f t="shared" si="28"/>
        <v>0</v>
      </c>
    </row>
    <row r="168" spans="1:10" ht="15.5" x14ac:dyDescent="0.35">
      <c r="A168" s="734" t="s">
        <v>1534</v>
      </c>
      <c r="B168" s="753">
        <f>Bv!H166</f>
        <v>50</v>
      </c>
      <c r="C168" s="699"/>
      <c r="D168" s="716">
        <f t="shared" si="26"/>
        <v>0.5</v>
      </c>
      <c r="E168" s="753"/>
      <c r="F168" s="781">
        <f t="shared" si="27"/>
        <v>1.1904761904761904E-2</v>
      </c>
      <c r="G168" s="753"/>
      <c r="H168" s="716">
        <f t="shared" si="28"/>
        <v>0.49603174603174605</v>
      </c>
    </row>
    <row r="169" spans="1:10" ht="15.5" x14ac:dyDescent="0.35">
      <c r="A169" s="734" t="s">
        <v>1535</v>
      </c>
      <c r="B169" s="753">
        <f>Bv!H167</f>
        <v>125</v>
      </c>
      <c r="C169" s="699"/>
      <c r="D169" s="716">
        <f t="shared" si="26"/>
        <v>1.25</v>
      </c>
      <c r="E169" s="753"/>
      <c r="F169" s="781">
        <f t="shared" si="27"/>
        <v>2.976190476190476E-2</v>
      </c>
      <c r="G169" s="753"/>
      <c r="H169" s="716">
        <f t="shared" si="28"/>
        <v>1.2400793650793651</v>
      </c>
    </row>
    <row r="170" spans="1:10" ht="15.5" x14ac:dyDescent="0.35">
      <c r="A170" s="734" t="s">
        <v>1536</v>
      </c>
      <c r="B170" s="753">
        <f>Bv!H168</f>
        <v>62.5</v>
      </c>
      <c r="C170" s="699"/>
      <c r="D170" s="716">
        <f t="shared" si="26"/>
        <v>0.625</v>
      </c>
      <c r="E170" s="753"/>
      <c r="F170" s="781">
        <f t="shared" si="27"/>
        <v>1.488095238095238E-2</v>
      </c>
      <c r="G170" s="753"/>
      <c r="H170" s="716">
        <f t="shared" si="28"/>
        <v>0.62003968253968256</v>
      </c>
    </row>
    <row r="171" spans="1:10" ht="15.5" x14ac:dyDescent="0.35">
      <c r="A171" s="734" t="s">
        <v>443</v>
      </c>
      <c r="B171" s="732">
        <f>SUM(Bv!H169:H171)</f>
        <v>0</v>
      </c>
      <c r="C171" s="733"/>
      <c r="D171" s="715">
        <f t="shared" si="26"/>
        <v>0</v>
      </c>
      <c r="E171" s="753"/>
      <c r="F171" s="715">
        <f t="shared" si="27"/>
        <v>0</v>
      </c>
      <c r="G171" s="753"/>
      <c r="H171" s="715">
        <f t="shared" si="28"/>
        <v>0</v>
      </c>
    </row>
    <row r="172" spans="1:10" ht="15.5" x14ac:dyDescent="0.35">
      <c r="A172" s="714" t="s">
        <v>69</v>
      </c>
      <c r="B172" s="732">
        <f>Bv!H175</f>
        <v>1060.5865158850279</v>
      </c>
      <c r="C172" s="733"/>
      <c r="D172" s="733">
        <f t="shared" si="26"/>
        <v>10.605865158850278</v>
      </c>
      <c r="E172" s="752"/>
      <c r="F172" s="716">
        <f t="shared" si="27"/>
        <v>0.25252059902024476</v>
      </c>
      <c r="G172" s="752"/>
      <c r="H172" s="716">
        <f t="shared" si="28"/>
        <v>10.52169162584353</v>
      </c>
    </row>
    <row r="173" spans="1:10" ht="15" x14ac:dyDescent="0.3">
      <c r="A173" s="709" t="s">
        <v>366</v>
      </c>
      <c r="B173" s="735">
        <f>SUM(B118:B172)</f>
        <v>39465.373536832318</v>
      </c>
      <c r="C173" s="736"/>
      <c r="D173" s="736">
        <f>SUM(D118:D172)</f>
        <v>394.65373536832317</v>
      </c>
      <c r="E173" s="736"/>
      <c r="F173" s="736">
        <f>SUM(F118:F172)</f>
        <v>9.3965175087696018</v>
      </c>
      <c r="G173" s="736"/>
      <c r="H173" s="736">
        <f>SUM(H118:H172)</f>
        <v>391.52156286540009</v>
      </c>
    </row>
    <row r="174" spans="1:10" ht="15.5" x14ac:dyDescent="0.35">
      <c r="A174" s="738"/>
      <c r="B174" s="732"/>
      <c r="C174" s="733"/>
      <c r="D174" s="733"/>
      <c r="E174" s="757"/>
      <c r="F174" s="757"/>
      <c r="G174" s="757"/>
      <c r="H174" s="757"/>
    </row>
    <row r="175" spans="1:10" ht="15.5" x14ac:dyDescent="0.35">
      <c r="A175" s="709" t="s">
        <v>367</v>
      </c>
      <c r="B175" s="732"/>
      <c r="C175" s="733"/>
      <c r="D175" s="733"/>
      <c r="E175" s="757"/>
      <c r="F175" s="733"/>
      <c r="G175" s="757"/>
      <c r="H175" s="733"/>
    </row>
    <row r="176" spans="1:10" ht="15.5" x14ac:dyDescent="0.35">
      <c r="A176" s="714" t="s">
        <v>29</v>
      </c>
      <c r="B176" s="732"/>
      <c r="C176" s="733"/>
      <c r="D176" s="733"/>
      <c r="E176" s="757"/>
      <c r="F176" s="716"/>
      <c r="G176" s="757"/>
      <c r="J176" s="890" t="s">
        <v>29</v>
      </c>
    </row>
    <row r="177" spans="1:16" ht="15.5" x14ac:dyDescent="0.35">
      <c r="A177" s="734" t="s">
        <v>1240</v>
      </c>
      <c r="B177" s="732">
        <f>SUM(Bf!H8:H24)</f>
        <v>2944.2330525994489</v>
      </c>
      <c r="C177" s="733"/>
      <c r="D177" s="733">
        <f t="shared" ref="D177:D190" si="31">B177/barley</f>
        <v>29.442330525994489</v>
      </c>
      <c r="E177" s="757"/>
      <c r="F177" s="716">
        <f t="shared" ref="F177:F190" si="32">B177/($C$97*barley)</f>
        <v>0.7010078696665355</v>
      </c>
      <c r="G177" s="757"/>
      <c r="H177" s="716">
        <f t="shared" ref="H177:H190" si="33">B177/($E$97*barley)</f>
        <v>29.208661236105645</v>
      </c>
      <c r="J177" s="697" t="s">
        <v>76</v>
      </c>
      <c r="K177" s="697"/>
      <c r="L177" s="697" t="s">
        <v>77</v>
      </c>
      <c r="M177" s="698"/>
      <c r="N177" s="697" t="s">
        <v>384</v>
      </c>
      <c r="O177" s="698"/>
      <c r="P177" s="697" t="s">
        <v>385</v>
      </c>
    </row>
    <row r="178" spans="1:16" ht="15.5" x14ac:dyDescent="0.35">
      <c r="A178" s="734" t="s">
        <v>1241</v>
      </c>
      <c r="B178" s="732">
        <f>SUM(Bf!H25:H33)</f>
        <v>984.54550331801283</v>
      </c>
      <c r="C178" s="733"/>
      <c r="D178" s="733">
        <f t="shared" si="31"/>
        <v>9.8454550331801283</v>
      </c>
      <c r="E178" s="757"/>
      <c r="F178" s="716">
        <f t="shared" si="32"/>
        <v>0.23441559602809831</v>
      </c>
      <c r="G178" s="757"/>
      <c r="H178" s="716">
        <f t="shared" si="33"/>
        <v>9.7673165011707628</v>
      </c>
      <c r="J178" s="763">
        <f>SUM(B177:B189)</f>
        <v>11729.048251872651</v>
      </c>
      <c r="L178" s="756">
        <f>SUM(D177:D189)</f>
        <v>117.29048251872651</v>
      </c>
      <c r="N178" s="756">
        <f>SUM(F177:F189)</f>
        <v>2.7926305361601549</v>
      </c>
      <c r="P178" s="756">
        <f>SUM(H177:H189)</f>
        <v>116.35960567333977</v>
      </c>
    </row>
    <row r="179" spans="1:16" ht="15.5" x14ac:dyDescent="0.35">
      <c r="A179" s="734" t="s">
        <v>1243</v>
      </c>
      <c r="B179" s="732">
        <f>SUM(Bf!H34:H50)</f>
        <v>1073.6834741149146</v>
      </c>
      <c r="C179" s="733"/>
      <c r="D179" s="733">
        <f t="shared" si="31"/>
        <v>10.736834741149146</v>
      </c>
      <c r="E179" s="757"/>
      <c r="F179" s="716">
        <f t="shared" si="32"/>
        <v>0.25563892240831299</v>
      </c>
      <c r="G179" s="757"/>
      <c r="H179" s="716">
        <f t="shared" si="33"/>
        <v>10.651621767013042</v>
      </c>
    </row>
    <row r="180" spans="1:16" ht="15.5" x14ac:dyDescent="0.35">
      <c r="A180" s="734" t="s">
        <v>1242</v>
      </c>
      <c r="B180" s="732">
        <f>SUM(Bf!H51:H62)</f>
        <v>543.3266093157049</v>
      </c>
      <c r="C180" s="733"/>
      <c r="D180" s="733">
        <f t="shared" si="31"/>
        <v>5.4332660931570489</v>
      </c>
      <c r="E180" s="757"/>
      <c r="F180" s="716">
        <f t="shared" si="32"/>
        <v>0.12936347840850115</v>
      </c>
      <c r="G180" s="757"/>
      <c r="H180" s="716">
        <f t="shared" si="33"/>
        <v>5.3901449336875489</v>
      </c>
    </row>
    <row r="181" spans="1:16" ht="15.5" x14ac:dyDescent="0.35">
      <c r="A181" s="734" t="s">
        <v>1244</v>
      </c>
      <c r="B181" s="732">
        <f>SUM(Bf!H63:H67)</f>
        <v>0</v>
      </c>
      <c r="C181" s="733"/>
      <c r="D181" s="732">
        <f t="shared" si="31"/>
        <v>0</v>
      </c>
      <c r="E181" s="762"/>
      <c r="F181" s="715">
        <f t="shared" si="32"/>
        <v>0</v>
      </c>
      <c r="G181" s="762"/>
      <c r="H181" s="715">
        <f t="shared" si="33"/>
        <v>0</v>
      </c>
    </row>
    <row r="182" spans="1:16" ht="15.5" x14ac:dyDescent="0.35">
      <c r="A182" s="734" t="s">
        <v>1245</v>
      </c>
      <c r="B182" s="732">
        <f>0</f>
        <v>0</v>
      </c>
      <c r="C182" s="733"/>
      <c r="D182" s="732">
        <f t="shared" si="31"/>
        <v>0</v>
      </c>
      <c r="E182" s="762"/>
      <c r="F182" s="715">
        <f t="shared" si="32"/>
        <v>0</v>
      </c>
      <c r="G182" s="762"/>
      <c r="H182" s="715">
        <f t="shared" si="33"/>
        <v>0</v>
      </c>
    </row>
    <row r="183" spans="1:16" ht="15.5" x14ac:dyDescent="0.35">
      <c r="A183" s="734" t="s">
        <v>1246</v>
      </c>
      <c r="B183" s="732">
        <f>SUM(Bf!H68:H78)</f>
        <v>2534.5047669453311</v>
      </c>
      <c r="C183" s="733"/>
      <c r="D183" s="733">
        <f t="shared" si="31"/>
        <v>25.345047669453312</v>
      </c>
      <c r="E183" s="757"/>
      <c r="F183" s="716">
        <f t="shared" si="32"/>
        <v>0.60345351593936458</v>
      </c>
      <c r="G183" s="757"/>
      <c r="H183" s="716">
        <f t="shared" si="33"/>
        <v>25.143896497473524</v>
      </c>
    </row>
    <row r="184" spans="1:16" ht="15.5" x14ac:dyDescent="0.35">
      <c r="A184" s="734" t="s">
        <v>1247</v>
      </c>
      <c r="B184" s="732">
        <f>SUM(Bf!H79:H86)</f>
        <v>61.207274136913568</v>
      </c>
      <c r="C184" s="733"/>
      <c r="D184" s="733">
        <f t="shared" si="31"/>
        <v>0.6120727413691357</v>
      </c>
      <c r="E184" s="757"/>
      <c r="F184" s="781">
        <f t="shared" si="32"/>
        <v>1.4573160508788945E-2</v>
      </c>
      <c r="G184" s="757"/>
      <c r="H184" s="716">
        <f t="shared" si="33"/>
        <v>0.60721502119953941</v>
      </c>
    </row>
    <row r="185" spans="1:16" ht="15.5" x14ac:dyDescent="0.35">
      <c r="A185" s="734" t="s">
        <v>2148</v>
      </c>
      <c r="B185" s="732">
        <f>SUM(Bf!H87:H91)</f>
        <v>485.84173598322172</v>
      </c>
      <c r="C185" s="733"/>
      <c r="D185" s="733">
        <f t="shared" si="31"/>
        <v>4.8584173598322176</v>
      </c>
      <c r="E185" s="757"/>
      <c r="F185" s="716">
        <f t="shared" si="32"/>
        <v>0.11567660380552898</v>
      </c>
      <c r="G185" s="757"/>
      <c r="H185" s="716">
        <f t="shared" si="33"/>
        <v>4.8198584918970413</v>
      </c>
    </row>
    <row r="186" spans="1:16" ht="15.5" x14ac:dyDescent="0.35">
      <c r="A186" s="734" t="s">
        <v>1250</v>
      </c>
      <c r="B186" s="732">
        <f>SUM(Bf!H92:H103)</f>
        <v>1034.7198796380667</v>
      </c>
      <c r="C186" s="733"/>
      <c r="D186" s="733">
        <f t="shared" si="31"/>
        <v>10.347198796380667</v>
      </c>
      <c r="E186" s="757"/>
      <c r="F186" s="716">
        <f t="shared" si="32"/>
        <v>0.2463618761043016</v>
      </c>
      <c r="G186" s="757"/>
      <c r="H186" s="716">
        <f t="shared" si="33"/>
        <v>10.265078171012567</v>
      </c>
    </row>
    <row r="187" spans="1:16" ht="15.5" x14ac:dyDescent="0.35">
      <c r="A187" s="734" t="s">
        <v>1304</v>
      </c>
      <c r="B187" s="732">
        <f>0</f>
        <v>0</v>
      </c>
      <c r="C187" s="733"/>
      <c r="D187" s="732">
        <f t="shared" si="31"/>
        <v>0</v>
      </c>
      <c r="E187" s="762"/>
      <c r="F187" s="715">
        <f t="shared" si="32"/>
        <v>0</v>
      </c>
      <c r="G187" s="762"/>
      <c r="H187" s="715">
        <f t="shared" si="33"/>
        <v>0</v>
      </c>
    </row>
    <row r="188" spans="1:16" ht="15.5" x14ac:dyDescent="0.35">
      <c r="A188" s="734" t="s">
        <v>1248</v>
      </c>
      <c r="B188" s="732">
        <f>SUM(Bf!H105:H108)</f>
        <v>1350</v>
      </c>
      <c r="C188" s="733"/>
      <c r="D188" s="733">
        <f t="shared" si="31"/>
        <v>13.5</v>
      </c>
      <c r="E188" s="757"/>
      <c r="F188" s="716">
        <f t="shared" si="32"/>
        <v>0.32142857142857145</v>
      </c>
      <c r="G188" s="757"/>
      <c r="H188" s="716">
        <f t="shared" si="33"/>
        <v>13.392857142857142</v>
      </c>
    </row>
    <row r="189" spans="1:16" ht="15.5" x14ac:dyDescent="0.35">
      <c r="A189" s="734" t="s">
        <v>1249</v>
      </c>
      <c r="B189" s="732">
        <f>SUM(Bf!H109:H113)</f>
        <v>716.98595582103576</v>
      </c>
      <c r="C189" s="733"/>
      <c r="D189" s="733">
        <f t="shared" si="31"/>
        <v>7.1698595582103577</v>
      </c>
      <c r="E189" s="757"/>
      <c r="F189" s="716">
        <f t="shared" si="32"/>
        <v>0.17071094186215138</v>
      </c>
      <c r="G189" s="757"/>
      <c r="H189" s="716">
        <f t="shared" si="33"/>
        <v>7.1129559109229739</v>
      </c>
    </row>
    <row r="190" spans="1:16" ht="15.5" x14ac:dyDescent="0.35">
      <c r="A190" s="714" t="s">
        <v>79</v>
      </c>
      <c r="B190" s="732">
        <f>Bf!L121</f>
        <v>2807.6670241147795</v>
      </c>
      <c r="C190" s="733"/>
      <c r="D190" s="733">
        <f t="shared" si="31"/>
        <v>28.076670241147795</v>
      </c>
      <c r="E190" s="757"/>
      <c r="F190" s="716">
        <f t="shared" si="32"/>
        <v>0.66849214859875705</v>
      </c>
      <c r="G190" s="757"/>
      <c r="H190" s="716">
        <f t="shared" si="33"/>
        <v>27.85383952494821</v>
      </c>
    </row>
    <row r="191" spans="1:16" ht="15" x14ac:dyDescent="0.3">
      <c r="A191" s="709" t="s">
        <v>368</v>
      </c>
      <c r="B191" s="735">
        <f>SUM(B176:B190)</f>
        <v>14536.71527598743</v>
      </c>
      <c r="C191" s="736"/>
      <c r="D191" s="736">
        <f>SUM(D176:D190)</f>
        <v>145.3671527598743</v>
      </c>
      <c r="E191" s="736"/>
      <c r="F191" s="736">
        <f>SUM(F176:F190)</f>
        <v>3.4611226847589118</v>
      </c>
      <c r="G191" s="736"/>
      <c r="H191" s="736">
        <f>SUM(H176:H190)</f>
        <v>144.21344519828799</v>
      </c>
    </row>
    <row r="192" spans="1:16" ht="15.5" x14ac:dyDescent="0.35">
      <c r="A192" s="699"/>
      <c r="B192" s="735"/>
      <c r="C192" s="736"/>
      <c r="D192" s="736"/>
      <c r="E192" s="758"/>
      <c r="F192" s="758"/>
      <c r="G192" s="758"/>
      <c r="H192" s="758"/>
    </row>
    <row r="193" spans="1:8" ht="15" x14ac:dyDescent="0.3">
      <c r="A193" s="709" t="s">
        <v>80</v>
      </c>
      <c r="B193" s="735">
        <f>B191+B173</f>
        <v>54002.088812819748</v>
      </c>
      <c r="C193" s="736"/>
      <c r="D193" s="736">
        <f>D191+D173</f>
        <v>540.0208881281975</v>
      </c>
      <c r="E193" s="736"/>
      <c r="F193" s="736">
        <f>F191+F173</f>
        <v>12.857640193528514</v>
      </c>
      <c r="G193" s="736"/>
      <c r="H193" s="736">
        <f>H191+H173</f>
        <v>535.73500806368804</v>
      </c>
    </row>
    <row r="194" spans="1:8" ht="15.5" x14ac:dyDescent="0.35">
      <c r="A194" s="742"/>
      <c r="B194" s="735"/>
      <c r="C194" s="736"/>
      <c r="D194" s="736"/>
      <c r="E194" s="736"/>
      <c r="F194" s="736"/>
      <c r="G194" s="736"/>
      <c r="H194" s="736"/>
    </row>
    <row r="195" spans="1:8" ht="15" x14ac:dyDescent="0.3">
      <c r="A195" s="709" t="s">
        <v>355</v>
      </c>
      <c r="B195" s="710">
        <f>B113-B193</f>
        <v>1437.9111871802525</v>
      </c>
      <c r="C195" s="736"/>
      <c r="D195" s="711">
        <f>D113-D193</f>
        <v>14.379111871802479</v>
      </c>
      <c r="E195" s="736"/>
      <c r="F195" s="711">
        <f>F113-F193</f>
        <v>0.34235980647148523</v>
      </c>
      <c r="G195" s="736"/>
      <c r="H195" s="711">
        <f>H113-H193</f>
        <v>14.264991936311958</v>
      </c>
    </row>
    <row r="196" spans="1:8" ht="15" x14ac:dyDescent="0.3">
      <c r="A196" s="709" t="s">
        <v>356</v>
      </c>
      <c r="B196" s="735">
        <f>B113-B173</f>
        <v>15974.626463167682</v>
      </c>
      <c r="C196" s="736"/>
      <c r="D196" s="736">
        <f>D113-D173</f>
        <v>159.74626463167681</v>
      </c>
      <c r="E196" s="736"/>
      <c r="F196" s="736">
        <f>F113-F173</f>
        <v>3.8034824912303975</v>
      </c>
      <c r="G196" s="736"/>
      <c r="H196" s="736">
        <f>H113-H173</f>
        <v>158.47843713459991</v>
      </c>
    </row>
    <row r="197" spans="1:8" ht="15.5" x14ac:dyDescent="0.35">
      <c r="A197" s="699"/>
      <c r="B197" s="743"/>
      <c r="C197" s="743"/>
      <c r="D197" s="743"/>
      <c r="E197" s="699"/>
      <c r="F197" s="699"/>
      <c r="G197" s="699"/>
      <c r="H197" s="699"/>
    </row>
    <row r="198" spans="1:8" ht="15.5" x14ac:dyDescent="0.35">
      <c r="A198" s="709" t="s">
        <v>234</v>
      </c>
      <c r="B198" s="743"/>
      <c r="C198" s="743"/>
      <c r="D198" s="743"/>
      <c r="E198" s="699"/>
      <c r="F198" s="699"/>
      <c r="G198" s="699"/>
      <c r="H198" s="699"/>
    </row>
    <row r="199" spans="1:8" ht="15.5" x14ac:dyDescent="0.35">
      <c r="A199" s="744" t="s">
        <v>369</v>
      </c>
      <c r="B199" s="703" t="s">
        <v>76</v>
      </c>
      <c r="C199" s="743"/>
      <c r="D199" s="703" t="s">
        <v>393</v>
      </c>
      <c r="E199" s="703"/>
      <c r="F199" s="703" t="s">
        <v>1556</v>
      </c>
      <c r="G199" s="703"/>
      <c r="H199" s="703" t="s">
        <v>396</v>
      </c>
    </row>
    <row r="200" spans="1:8" ht="15.5" x14ac:dyDescent="0.35">
      <c r="A200" s="714" t="s">
        <v>370</v>
      </c>
      <c r="B200" s="745">
        <f>B193</f>
        <v>54002.088812819748</v>
      </c>
      <c r="C200" s="743"/>
      <c r="D200" s="716">
        <f>$B$193/barley</f>
        <v>540.0208881281975</v>
      </c>
      <c r="E200" s="752"/>
      <c r="F200" s="716">
        <f>$B$193/($C$97*barley)</f>
        <v>12.857640193528511</v>
      </c>
      <c r="G200" s="752"/>
      <c r="H200" s="716">
        <f>$B$193/($E$97*barley)</f>
        <v>535.73500806368804</v>
      </c>
    </row>
    <row r="201" spans="1:8" ht="15.5" x14ac:dyDescent="0.35">
      <c r="A201" s="714" t="s">
        <v>371</v>
      </c>
      <c r="B201" s="745">
        <f>B173</f>
        <v>39465.373536832318</v>
      </c>
      <c r="C201" s="743"/>
      <c r="D201" s="716">
        <f>$B$173/barley</f>
        <v>394.65373536832317</v>
      </c>
      <c r="E201" s="752"/>
      <c r="F201" s="716">
        <f>$B$173/($C$97*barley)</f>
        <v>9.3965175087696</v>
      </c>
      <c r="G201" s="752"/>
      <c r="H201" s="716">
        <f>$B$173/($E$97*barley)</f>
        <v>391.52156286539997</v>
      </c>
    </row>
    <row r="202" spans="1:8" ht="15.5" x14ac:dyDescent="0.35">
      <c r="A202" s="714"/>
      <c r="B202" s="743"/>
      <c r="C202" s="743"/>
      <c r="D202" s="716"/>
      <c r="E202" s="752"/>
      <c r="F202" s="716"/>
      <c r="G202" s="752"/>
      <c r="H202" s="716"/>
    </row>
    <row r="203" spans="1:8" ht="15.5" x14ac:dyDescent="0.35">
      <c r="A203" s="744" t="s">
        <v>1099</v>
      </c>
      <c r="B203" s="703" t="s">
        <v>1100</v>
      </c>
      <c r="C203" s="743"/>
      <c r="D203" s="703" t="s">
        <v>1995</v>
      </c>
      <c r="E203" s="752"/>
      <c r="F203" s="716"/>
      <c r="G203" s="752"/>
      <c r="H203" s="716"/>
    </row>
    <row r="204" spans="1:8" ht="15.5" x14ac:dyDescent="0.35">
      <c r="A204" s="714" t="s">
        <v>1101</v>
      </c>
      <c r="B204" s="746">
        <f>B195/SUM(Bv!E25:E76)</f>
        <v>0.37044364971244298</v>
      </c>
      <c r="C204" s="743"/>
      <c r="D204" s="1226">
        <f>SUM(Bv!E25:E76)</f>
        <v>3881.5922159724742</v>
      </c>
      <c r="E204" s="1225" t="s">
        <v>1996</v>
      </c>
      <c r="F204" s="716"/>
      <c r="G204" s="752"/>
      <c r="H204" s="716"/>
    </row>
    <row r="205" spans="1:8" ht="15.5" x14ac:dyDescent="0.35">
      <c r="A205" s="714" t="s">
        <v>1102</v>
      </c>
      <c r="B205" s="746">
        <f>B196/SUM(Bv!E25:E76)</f>
        <v>4.1154829189509492</v>
      </c>
      <c r="C205" s="743"/>
      <c r="D205" s="716"/>
      <c r="E205" s="752"/>
      <c r="F205" s="716"/>
      <c r="G205" s="752"/>
      <c r="H205" s="716"/>
    </row>
    <row r="206" spans="1:8" ht="15.5" x14ac:dyDescent="0.35">
      <c r="A206" s="747"/>
      <c r="B206" s="748"/>
      <c r="C206" s="748"/>
      <c r="D206" s="748"/>
      <c r="E206" s="747"/>
      <c r="F206" s="747"/>
      <c r="G206" s="747"/>
      <c r="H206" s="747"/>
    </row>
  </sheetData>
  <phoneticPr fontId="0" type="noConversion"/>
  <pageMargins left="0.75" right="0.75" top="1" bottom="1" header="0.5" footer="0.5"/>
  <pageSetup scale="53" orientation="portrait" r:id="rId1"/>
  <headerFooter alignWithMargins="0"/>
  <rowBreaks count="2" manualBreakCount="2">
    <brk id="90" max="16383" man="1"/>
    <brk id="153" max="16383" man="1"/>
  </rowBreaks>
  <colBreaks count="1" manualBreakCount="1">
    <brk id="8"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2"/>
  <sheetViews>
    <sheetView zoomScale="90" zoomScaleNormal="90" workbookViewId="0">
      <selection activeCell="G5" sqref="G5"/>
    </sheetView>
  </sheetViews>
  <sheetFormatPr defaultColWidth="8.90625" defaultRowHeight="20.5" x14ac:dyDescent="0.45"/>
  <cols>
    <col min="1" max="1" width="7.81640625" style="1126" customWidth="1"/>
    <col min="2" max="13" width="17.81640625" style="1126" customWidth="1"/>
    <col min="14" max="14" width="5.81640625" style="1126" customWidth="1"/>
    <col min="15" max="16" width="8.90625" style="1126"/>
    <col min="17" max="17" width="13.08984375" style="1126" customWidth="1"/>
    <col min="18" max="16384" width="8.90625" style="1126"/>
  </cols>
  <sheetData>
    <row r="1" spans="1:15" ht="18" customHeight="1" thickBot="1" x14ac:dyDescent="0.5">
      <c r="A1" s="1122"/>
      <c r="B1" s="1123"/>
      <c r="C1" s="1123"/>
      <c r="D1" s="1123"/>
      <c r="E1" s="1123"/>
      <c r="F1" s="1123"/>
      <c r="G1" s="1123"/>
      <c r="H1" s="1123"/>
      <c r="I1" s="1124" t="s">
        <v>1839</v>
      </c>
      <c r="J1" s="1294"/>
      <c r="K1" s="1123"/>
      <c r="L1" s="1119"/>
      <c r="M1" s="1177"/>
      <c r="N1" s="1125"/>
    </row>
    <row r="2" spans="1:15" ht="18" customHeight="1" thickBot="1" x14ac:dyDescent="0.5">
      <c r="A2" s="1127"/>
      <c r="B2" s="1128" t="s">
        <v>2201</v>
      </c>
      <c r="C2" s="1129"/>
      <c r="D2" s="1129"/>
      <c r="E2" s="1129"/>
      <c r="F2" s="1129"/>
      <c r="G2" s="1129"/>
      <c r="H2" s="1129"/>
      <c r="I2" s="1131" t="str">
        <f>FARM!$K$2</f>
        <v>ME Grain &amp; Pulse</v>
      </c>
      <c r="J2" s="1131"/>
      <c r="K2" s="1132"/>
      <c r="L2" s="1120"/>
      <c r="M2" s="1132"/>
      <c r="N2" s="1133"/>
    </row>
    <row r="3" spans="1:15" ht="18" customHeight="1" thickBot="1" x14ac:dyDescent="0.5">
      <c r="A3" s="1134"/>
      <c r="B3" s="1132"/>
      <c r="C3" s="1132"/>
      <c r="D3" s="1135"/>
      <c r="E3" s="1136"/>
      <c r="F3" s="1136"/>
      <c r="G3" s="1136"/>
      <c r="H3" s="1132"/>
      <c r="I3" s="1132"/>
      <c r="J3" s="1132"/>
      <c r="K3" s="1132"/>
      <c r="L3" s="1132"/>
      <c r="M3" s="1132"/>
      <c r="N3" s="1133"/>
    </row>
    <row r="4" spans="1:15" ht="18" customHeight="1" thickBot="1" x14ac:dyDescent="0.5">
      <c r="A4" s="1193"/>
      <c r="B4" s="1151" t="s">
        <v>1610</v>
      </c>
      <c r="C4" s="1101"/>
      <c r="D4" s="1101"/>
      <c r="E4" s="1101"/>
      <c r="F4" s="1151" t="s">
        <v>1611</v>
      </c>
      <c r="G4" s="1093"/>
      <c r="H4" s="1101"/>
      <c r="I4" s="1151" t="s">
        <v>2164</v>
      </c>
      <c r="J4" s="1101"/>
      <c r="K4" s="1132"/>
      <c r="L4" s="1132"/>
      <c r="M4" s="1132"/>
      <c r="N4" s="1133"/>
    </row>
    <row r="5" spans="1:15" ht="18" customHeight="1" thickBot="1" x14ac:dyDescent="0.5">
      <c r="A5" s="1193"/>
      <c r="B5" s="1167">
        <v>12.29</v>
      </c>
      <c r="C5" s="1179" t="s">
        <v>1542</v>
      </c>
      <c r="D5" s="1152"/>
      <c r="E5" s="1101"/>
      <c r="F5" s="1167">
        <v>2.56</v>
      </c>
      <c r="G5" s="1179" t="s">
        <v>1543</v>
      </c>
      <c r="H5" s="1108"/>
      <c r="I5" s="1308">
        <v>4.7341710603787002E-2</v>
      </c>
      <c r="J5" s="1101"/>
      <c r="K5" s="1132"/>
      <c r="L5" s="1132"/>
      <c r="M5" s="1132"/>
      <c r="N5" s="1133"/>
    </row>
    <row r="6" spans="1:15" ht="18" customHeight="1" x14ac:dyDescent="0.45">
      <c r="A6" s="1193"/>
      <c r="B6" s="1132"/>
      <c r="C6" s="1132"/>
      <c r="D6" s="1135"/>
      <c r="E6" s="1136"/>
      <c r="F6" s="1136"/>
      <c r="G6" s="1136"/>
      <c r="H6" s="1132"/>
      <c r="I6" s="1132"/>
      <c r="J6" s="1132"/>
      <c r="K6" s="1132"/>
      <c r="L6" s="1132"/>
      <c r="M6" s="1132"/>
      <c r="N6" s="1133"/>
    </row>
    <row r="7" spans="1:15" ht="18" customHeight="1" thickBot="1" x14ac:dyDescent="0.5">
      <c r="A7" s="1193"/>
      <c r="B7" s="1132"/>
      <c r="C7" s="1132"/>
      <c r="D7" s="1135"/>
      <c r="E7" s="1136"/>
      <c r="F7" s="1136"/>
      <c r="G7" s="1136"/>
      <c r="H7" s="1132"/>
      <c r="I7" s="1132"/>
      <c r="J7" s="1132"/>
      <c r="K7" s="1132"/>
      <c r="L7" s="1132"/>
      <c r="M7" s="1132"/>
      <c r="N7" s="1133"/>
    </row>
    <row r="8" spans="1:15" ht="18" customHeight="1" thickBot="1" x14ac:dyDescent="0.5">
      <c r="A8" s="1193"/>
      <c r="B8" s="1137" t="s">
        <v>2196</v>
      </c>
      <c r="C8" s="1132"/>
      <c r="D8" s="1174">
        <v>1000</v>
      </c>
      <c r="E8" s="1187" t="s">
        <v>254</v>
      </c>
      <c r="F8" s="1136"/>
      <c r="G8" s="1137" t="s">
        <v>2197</v>
      </c>
      <c r="H8" s="1132"/>
      <c r="I8" s="1174">
        <v>50</v>
      </c>
      <c r="J8" s="1187" t="s">
        <v>254</v>
      </c>
      <c r="K8" s="1132"/>
      <c r="L8" s="1132"/>
      <c r="M8" s="1132"/>
      <c r="N8" s="1133"/>
    </row>
    <row r="9" spans="1:15" ht="18" customHeight="1" x14ac:dyDescent="0.45">
      <c r="A9" s="1193"/>
      <c r="B9" s="1132"/>
      <c r="C9" s="1132"/>
      <c r="D9" s="1135"/>
      <c r="E9" s="1136"/>
      <c r="F9" s="1136"/>
      <c r="G9" s="1136"/>
      <c r="H9" s="1132"/>
      <c r="I9" s="1132"/>
      <c r="J9" s="1132"/>
      <c r="K9" s="1132"/>
      <c r="L9" s="1132"/>
      <c r="M9" s="1132"/>
      <c r="N9" s="1133"/>
    </row>
    <row r="10" spans="1:15" ht="18" customHeight="1" x14ac:dyDescent="0.45">
      <c r="A10" s="1193"/>
      <c r="B10" s="1132"/>
      <c r="C10" s="1132"/>
      <c r="D10" s="1135"/>
      <c r="E10" s="1136"/>
      <c r="F10" s="1136"/>
      <c r="G10" s="1136"/>
      <c r="H10" s="1132"/>
      <c r="I10" s="1132"/>
      <c r="J10" s="1132"/>
      <c r="K10" s="1132"/>
      <c r="L10" s="1132"/>
      <c r="M10" s="1132"/>
      <c r="N10" s="1133"/>
    </row>
    <row r="11" spans="1:15" ht="18" customHeight="1" x14ac:dyDescent="0.45">
      <c r="A11" s="1193"/>
      <c r="B11" s="1091" t="s">
        <v>1925</v>
      </c>
      <c r="C11" s="1101"/>
      <c r="E11" s="1184">
        <v>1E-13</v>
      </c>
      <c r="F11" s="1089" t="s">
        <v>1870</v>
      </c>
      <c r="G11" s="1181">
        <v>1.7999999999999999E-2</v>
      </c>
      <c r="H11" s="1089" t="s">
        <v>1914</v>
      </c>
      <c r="I11" s="1181">
        <v>1.7999999999999999E-2</v>
      </c>
      <c r="J11" s="1089" t="s">
        <v>1871</v>
      </c>
      <c r="K11" s="1132"/>
      <c r="L11" s="1132"/>
      <c r="M11" s="1132"/>
      <c r="N11" s="1133"/>
    </row>
    <row r="12" spans="1:15" ht="18" customHeight="1" x14ac:dyDescent="0.45">
      <c r="A12" s="1193"/>
      <c r="B12" s="1132"/>
      <c r="C12" s="1132"/>
      <c r="D12" s="1135"/>
      <c r="E12" s="1136"/>
      <c r="F12" s="1136"/>
      <c r="G12" s="1136"/>
      <c r="H12" s="1132"/>
      <c r="I12" s="1132"/>
      <c r="J12" s="1132"/>
      <c r="K12" s="1132"/>
      <c r="L12" s="1132"/>
      <c r="M12" s="1132"/>
      <c r="N12" s="1133"/>
    </row>
    <row r="13" spans="1:15" ht="18" customHeight="1" x14ac:dyDescent="0.45">
      <c r="A13" s="1193"/>
      <c r="B13" s="1132"/>
      <c r="C13" s="1132"/>
      <c r="D13" s="1135"/>
      <c r="E13" s="1136"/>
      <c r="F13" s="1136"/>
      <c r="G13" s="1136"/>
      <c r="H13" s="1132"/>
      <c r="I13" s="1132"/>
      <c r="J13" s="1132"/>
      <c r="K13" s="1132"/>
      <c r="L13" s="1132"/>
      <c r="M13" s="1132"/>
      <c r="N13" s="1133"/>
    </row>
    <row r="14" spans="1:15" ht="18" customHeight="1" thickBot="1" x14ac:dyDescent="0.5">
      <c r="A14" s="1127"/>
      <c r="B14" s="1137" t="s">
        <v>2198</v>
      </c>
      <c r="C14" s="1132"/>
      <c r="D14" s="1132"/>
      <c r="E14" s="1132"/>
      <c r="F14" s="1132"/>
      <c r="G14" s="1132"/>
      <c r="H14" s="1132"/>
      <c r="I14" s="1132"/>
      <c r="J14" s="1132"/>
      <c r="K14" s="1132"/>
      <c r="L14" s="1132"/>
      <c r="M14" s="1132"/>
      <c r="N14" s="1133"/>
      <c r="O14" s="1138"/>
    </row>
    <row r="15" spans="1:15" ht="18" customHeight="1" x14ac:dyDescent="0.45">
      <c r="A15" s="1178" t="s">
        <v>1840</v>
      </c>
      <c r="B15" s="1139"/>
      <c r="C15" s="1156" t="s">
        <v>1838</v>
      </c>
      <c r="D15" s="1140"/>
      <c r="E15" s="1140"/>
      <c r="F15" s="1141"/>
      <c r="G15" s="1141"/>
      <c r="H15" s="1132"/>
      <c r="I15" s="1141"/>
      <c r="J15" s="1141"/>
      <c r="K15" s="1140"/>
      <c r="L15" s="1142"/>
      <c r="M15" s="1132"/>
      <c r="N15" s="1133"/>
    </row>
    <row r="16" spans="1:15" ht="18" customHeight="1" x14ac:dyDescent="0.45">
      <c r="A16" s="1178" t="s">
        <v>13</v>
      </c>
      <c r="B16" s="1156"/>
      <c r="C16" s="1143" t="s">
        <v>105</v>
      </c>
      <c r="D16" s="1143" t="s">
        <v>426</v>
      </c>
      <c r="E16" s="1143" t="s">
        <v>522</v>
      </c>
      <c r="F16" s="1143" t="s">
        <v>2105</v>
      </c>
      <c r="G16" s="1143" t="s">
        <v>2106</v>
      </c>
      <c r="H16" s="1143" t="s">
        <v>571</v>
      </c>
      <c r="I16" s="1143" t="s">
        <v>572</v>
      </c>
      <c r="J16" s="1143" t="s">
        <v>2107</v>
      </c>
      <c r="K16" s="1143" t="s">
        <v>1142</v>
      </c>
      <c r="L16" s="1143" t="s">
        <v>201</v>
      </c>
      <c r="M16" s="1132"/>
      <c r="N16" s="1133"/>
    </row>
    <row r="17" spans="1:14" ht="18" customHeight="1" x14ac:dyDescent="0.45">
      <c r="A17" s="1127"/>
      <c r="B17" s="1170" t="s">
        <v>1841</v>
      </c>
      <c r="C17" s="1172">
        <v>125</v>
      </c>
      <c r="D17" s="1172">
        <v>100</v>
      </c>
      <c r="E17" s="1172">
        <v>120</v>
      </c>
      <c r="F17" s="1172">
        <v>140</v>
      </c>
      <c r="G17" s="1172">
        <v>140</v>
      </c>
      <c r="H17" s="1172">
        <v>140</v>
      </c>
      <c r="I17" s="1172">
        <v>140</v>
      </c>
      <c r="J17" s="1172">
        <v>70</v>
      </c>
      <c r="K17" s="1172">
        <v>200</v>
      </c>
      <c r="L17" s="1172">
        <v>74</v>
      </c>
      <c r="M17" s="1144"/>
      <c r="N17" s="1133"/>
    </row>
    <row r="18" spans="1:14" ht="18" customHeight="1" x14ac:dyDescent="0.45">
      <c r="A18" s="1127"/>
      <c r="B18" s="1171" t="s">
        <v>1572</v>
      </c>
      <c r="C18" s="1167">
        <v>0.55208333333333304</v>
      </c>
      <c r="D18" s="1167">
        <v>0.54166666666666696</v>
      </c>
      <c r="E18" s="1167">
        <v>0.56000000000000005</v>
      </c>
      <c r="F18" s="1167">
        <v>0.6</v>
      </c>
      <c r="G18" s="1167">
        <v>0.6</v>
      </c>
      <c r="H18" s="1167">
        <v>0.56000000000000005</v>
      </c>
      <c r="I18" s="1167">
        <v>0.7</v>
      </c>
      <c r="J18" s="1167">
        <f>53/50</f>
        <v>1.06</v>
      </c>
      <c r="K18" s="1167">
        <v>0.64</v>
      </c>
      <c r="L18" s="1167">
        <v>0.8</v>
      </c>
      <c r="M18" s="1132"/>
      <c r="N18" s="1133"/>
    </row>
    <row r="19" spans="1:14" ht="18" customHeight="1" x14ac:dyDescent="0.45">
      <c r="A19" s="1127"/>
      <c r="B19" s="1171" t="s">
        <v>1573</v>
      </c>
      <c r="C19" s="1173" t="s">
        <v>1574</v>
      </c>
      <c r="D19" s="1173" t="s">
        <v>1574</v>
      </c>
      <c r="E19" s="1173" t="s">
        <v>1574</v>
      </c>
      <c r="F19" s="1173" t="s">
        <v>1574</v>
      </c>
      <c r="G19" s="1173" t="s">
        <v>1574</v>
      </c>
      <c r="H19" s="1173" t="s">
        <v>1574</v>
      </c>
      <c r="I19" s="1173" t="s">
        <v>1574</v>
      </c>
      <c r="J19" s="1173" t="s">
        <v>1574</v>
      </c>
      <c r="K19" s="1173" t="s">
        <v>1574</v>
      </c>
      <c r="L19" s="1173" t="s">
        <v>1574</v>
      </c>
      <c r="M19" s="1144"/>
      <c r="N19" s="1133"/>
    </row>
    <row r="20" spans="1:14" ht="18" customHeight="1" x14ac:dyDescent="0.45">
      <c r="A20" s="1127"/>
      <c r="B20" s="1171" t="s">
        <v>1842</v>
      </c>
      <c r="C20" s="1172" t="s">
        <v>1585</v>
      </c>
      <c r="D20" s="1172" t="s">
        <v>1585</v>
      </c>
      <c r="E20" s="1172" t="s">
        <v>1585</v>
      </c>
      <c r="F20" s="1172" t="s">
        <v>1585</v>
      </c>
      <c r="G20" s="1172" t="s">
        <v>1585</v>
      </c>
      <c r="H20" s="1172" t="s">
        <v>1585</v>
      </c>
      <c r="I20" s="1172" t="s">
        <v>1585</v>
      </c>
      <c r="J20" s="1172" t="s">
        <v>1585</v>
      </c>
      <c r="K20" s="1172" t="s">
        <v>1585</v>
      </c>
      <c r="L20" s="1172" t="s">
        <v>1585</v>
      </c>
      <c r="M20" s="1144"/>
      <c r="N20" s="1133"/>
    </row>
    <row r="21" spans="1:14" ht="18" customHeight="1" x14ac:dyDescent="0.45">
      <c r="A21" s="1127"/>
      <c r="B21" s="1170" t="s">
        <v>1576</v>
      </c>
      <c r="C21" s="1172">
        <v>0</v>
      </c>
      <c r="D21" s="1172">
        <v>0</v>
      </c>
      <c r="E21" s="1172">
        <v>0</v>
      </c>
      <c r="F21" s="1172">
        <v>0</v>
      </c>
      <c r="G21" s="1172">
        <v>0</v>
      </c>
      <c r="H21" s="1172">
        <v>0</v>
      </c>
      <c r="I21" s="1172">
        <v>0</v>
      </c>
      <c r="J21" s="1172">
        <v>0</v>
      </c>
      <c r="K21" s="1172">
        <v>0</v>
      </c>
      <c r="L21" s="1172">
        <v>0</v>
      </c>
      <c r="M21" s="1144"/>
      <c r="N21" s="1133"/>
    </row>
    <row r="22" spans="1:14" ht="18" customHeight="1" x14ac:dyDescent="0.45">
      <c r="A22" s="1127"/>
      <c r="B22" s="1171" t="s">
        <v>1575</v>
      </c>
      <c r="C22" s="1174">
        <v>0</v>
      </c>
      <c r="D22" s="1174">
        <v>0</v>
      </c>
      <c r="E22" s="1174">
        <v>0</v>
      </c>
      <c r="F22" s="1174">
        <v>0</v>
      </c>
      <c r="G22" s="1174">
        <v>0</v>
      </c>
      <c r="H22" s="1174">
        <v>0</v>
      </c>
      <c r="I22" s="1174">
        <v>0</v>
      </c>
      <c r="J22" s="1174">
        <v>0</v>
      </c>
      <c r="K22" s="1174">
        <v>0</v>
      </c>
      <c r="L22" s="1174">
        <v>0</v>
      </c>
      <c r="M22" s="1132"/>
      <c r="N22" s="1133"/>
    </row>
    <row r="23" spans="1:14" ht="18" customHeight="1" x14ac:dyDescent="0.45">
      <c r="A23" s="1178" t="s">
        <v>1845</v>
      </c>
      <c r="B23" s="1121"/>
      <c r="C23" s="1143" t="s">
        <v>105</v>
      </c>
      <c r="D23" s="1143" t="s">
        <v>426</v>
      </c>
      <c r="E23" s="1143" t="s">
        <v>522</v>
      </c>
      <c r="F23" s="1143" t="s">
        <v>2105</v>
      </c>
      <c r="G23" s="1143" t="s">
        <v>2106</v>
      </c>
      <c r="H23" s="1143" t="s">
        <v>571</v>
      </c>
      <c r="I23" s="1143" t="s">
        <v>572</v>
      </c>
      <c r="J23" s="1143" t="s">
        <v>2107</v>
      </c>
      <c r="K23" s="1143" t="s">
        <v>1142</v>
      </c>
      <c r="L23" s="1143" t="s">
        <v>201</v>
      </c>
      <c r="M23" s="1132"/>
      <c r="N23" s="1133"/>
    </row>
    <row r="24" spans="1:14" ht="18" customHeight="1" x14ac:dyDescent="0.45">
      <c r="A24" s="1127"/>
      <c r="B24" s="1171" t="s">
        <v>1587</v>
      </c>
      <c r="C24" s="1175" t="s">
        <v>45</v>
      </c>
      <c r="D24" s="1175" t="s">
        <v>45</v>
      </c>
      <c r="E24" s="1175" t="s">
        <v>45</v>
      </c>
      <c r="F24" s="1175" t="s">
        <v>45</v>
      </c>
      <c r="G24" s="1175" t="s">
        <v>45</v>
      </c>
      <c r="H24" s="1175" t="s">
        <v>45</v>
      </c>
      <c r="I24" s="1176" t="s">
        <v>45</v>
      </c>
      <c r="J24" s="1176" t="s">
        <v>45</v>
      </c>
      <c r="K24" s="1172">
        <v>1</v>
      </c>
      <c r="L24" s="1172">
        <v>1</v>
      </c>
      <c r="M24" s="1132"/>
      <c r="N24" s="1133"/>
    </row>
    <row r="25" spans="1:14" ht="18" customHeight="1" x14ac:dyDescent="0.45">
      <c r="A25" s="1127"/>
      <c r="B25" s="1171" t="s">
        <v>22</v>
      </c>
      <c r="C25" s="1175" t="s">
        <v>45</v>
      </c>
      <c r="D25" s="1175" t="s">
        <v>45</v>
      </c>
      <c r="E25" s="1175" t="s">
        <v>45</v>
      </c>
      <c r="F25" s="1175" t="s">
        <v>45</v>
      </c>
      <c r="G25" s="1175" t="s">
        <v>45</v>
      </c>
      <c r="H25" s="1175" t="s">
        <v>45</v>
      </c>
      <c r="I25" s="1176" t="s">
        <v>45</v>
      </c>
      <c r="J25" s="1176" t="s">
        <v>45</v>
      </c>
      <c r="K25" s="1173" t="s">
        <v>1588</v>
      </c>
      <c r="L25" s="1173" t="s">
        <v>1588</v>
      </c>
      <c r="M25" s="1132"/>
      <c r="N25" s="1133"/>
    </row>
    <row r="26" spans="1:14" ht="18" customHeight="1" x14ac:dyDescent="0.45">
      <c r="A26" s="1127"/>
      <c r="B26" s="1171" t="s">
        <v>1846</v>
      </c>
      <c r="C26" s="1175" t="s">
        <v>45</v>
      </c>
      <c r="D26" s="1175" t="s">
        <v>45</v>
      </c>
      <c r="E26" s="1175" t="s">
        <v>45</v>
      </c>
      <c r="F26" s="1175" t="s">
        <v>45</v>
      </c>
      <c r="G26" s="1175" t="s">
        <v>45</v>
      </c>
      <c r="H26" s="1175" t="s">
        <v>45</v>
      </c>
      <c r="I26" s="1176" t="s">
        <v>45</v>
      </c>
      <c r="J26" s="1176" t="s">
        <v>45</v>
      </c>
      <c r="K26" s="1172">
        <v>0</v>
      </c>
      <c r="L26" s="1172">
        <v>0</v>
      </c>
      <c r="M26" s="1132"/>
      <c r="N26" s="1133"/>
    </row>
    <row r="27" spans="1:14" ht="18" customHeight="1" x14ac:dyDescent="0.45">
      <c r="A27" s="1127"/>
      <c r="B27" s="1171" t="str">
        <f>IF(C25="$ / 100-lb trt.","Price ($/100-lb trt.)","Price ($/lb)")</f>
        <v>Price ($/lb)</v>
      </c>
      <c r="C27" s="1175" t="s">
        <v>45</v>
      </c>
      <c r="D27" s="1175" t="s">
        <v>45</v>
      </c>
      <c r="E27" s="1175" t="s">
        <v>45</v>
      </c>
      <c r="F27" s="1175" t="s">
        <v>45</v>
      </c>
      <c r="G27" s="1175" t="s">
        <v>45</v>
      </c>
      <c r="H27" s="1175" t="s">
        <v>45</v>
      </c>
      <c r="I27" s="1176" t="s">
        <v>45</v>
      </c>
      <c r="J27" s="1176" t="s">
        <v>45</v>
      </c>
      <c r="K27" s="1174">
        <v>5</v>
      </c>
      <c r="L27" s="1174">
        <v>5</v>
      </c>
      <c r="M27" s="1132"/>
      <c r="N27" s="1133"/>
    </row>
    <row r="28" spans="1:14" ht="18" customHeight="1" x14ac:dyDescent="0.45">
      <c r="A28" s="1178" t="s">
        <v>1</v>
      </c>
      <c r="B28" s="1139"/>
      <c r="C28" s="1143" t="s">
        <v>105</v>
      </c>
      <c r="D28" s="1143" t="s">
        <v>426</v>
      </c>
      <c r="E28" s="1143" t="s">
        <v>522</v>
      </c>
      <c r="F28" s="1143" t="s">
        <v>2105</v>
      </c>
      <c r="G28" s="1143" t="s">
        <v>2106</v>
      </c>
      <c r="H28" s="1143" t="s">
        <v>571</v>
      </c>
      <c r="I28" s="1143" t="s">
        <v>572</v>
      </c>
      <c r="J28" s="1143" t="s">
        <v>2107</v>
      </c>
      <c r="K28" s="1143" t="s">
        <v>1142</v>
      </c>
      <c r="L28" s="1143" t="s">
        <v>201</v>
      </c>
      <c r="M28" s="1132"/>
      <c r="N28" s="1133"/>
    </row>
    <row r="29" spans="1:14" ht="18" customHeight="1" x14ac:dyDescent="0.45">
      <c r="A29" s="1127"/>
      <c r="B29" s="1171" t="s">
        <v>1578</v>
      </c>
      <c r="C29" s="1295" t="s">
        <v>1580</v>
      </c>
      <c r="D29" s="1295" t="s">
        <v>1580</v>
      </c>
      <c r="E29" s="1295" t="s">
        <v>1580</v>
      </c>
      <c r="F29" s="1295" t="s">
        <v>1580</v>
      </c>
      <c r="G29" s="1295" t="s">
        <v>1580</v>
      </c>
      <c r="H29" s="1295" t="s">
        <v>1580</v>
      </c>
      <c r="I29" s="1295" t="s">
        <v>1580</v>
      </c>
      <c r="J29" s="1295" t="s">
        <v>1574</v>
      </c>
      <c r="K29" s="1220" t="s">
        <v>1574</v>
      </c>
      <c r="L29" s="1220" t="s">
        <v>1574</v>
      </c>
      <c r="M29" s="1144"/>
      <c r="N29" s="1133"/>
    </row>
    <row r="30" spans="1:14" ht="18" customHeight="1" x14ac:dyDescent="0.45">
      <c r="A30" s="1127"/>
      <c r="B30" s="1171" t="s">
        <v>1843</v>
      </c>
      <c r="C30" s="1289" t="s">
        <v>1585</v>
      </c>
      <c r="D30" s="1289" t="s">
        <v>1585</v>
      </c>
      <c r="E30" s="1289" t="s">
        <v>1585</v>
      </c>
      <c r="F30" s="1289" t="s">
        <v>1585</v>
      </c>
      <c r="G30" s="1289" t="s">
        <v>1585</v>
      </c>
      <c r="H30" s="1289" t="s">
        <v>1585</v>
      </c>
      <c r="I30" s="1289" t="s">
        <v>1585</v>
      </c>
      <c r="J30" s="1289" t="s">
        <v>1585</v>
      </c>
      <c r="K30" s="1289" t="s">
        <v>1585</v>
      </c>
      <c r="L30" s="1289" t="s">
        <v>1585</v>
      </c>
      <c r="M30" s="1144"/>
      <c r="N30" s="1133"/>
    </row>
    <row r="31" spans="1:14" ht="18" customHeight="1" x14ac:dyDescent="0.45">
      <c r="A31" s="1127"/>
      <c r="B31" s="1171" t="s">
        <v>22</v>
      </c>
      <c r="C31" s="1220" t="s">
        <v>26</v>
      </c>
      <c r="D31" s="1220" t="s">
        <v>26</v>
      </c>
      <c r="E31" s="1220" t="s">
        <v>26</v>
      </c>
      <c r="F31" s="1220" t="s">
        <v>26</v>
      </c>
      <c r="G31" s="1220" t="s">
        <v>26</v>
      </c>
      <c r="H31" s="1220" t="s">
        <v>26</v>
      </c>
      <c r="I31" s="1220" t="s">
        <v>26</v>
      </c>
      <c r="J31" s="1220" t="s">
        <v>1574</v>
      </c>
      <c r="K31" s="1220" t="s">
        <v>1574</v>
      </c>
      <c r="L31" s="1220" t="s">
        <v>1574</v>
      </c>
      <c r="M31" s="1132"/>
      <c r="N31" s="1133"/>
    </row>
    <row r="32" spans="1:14" ht="18" customHeight="1" x14ac:dyDescent="0.45">
      <c r="A32" s="1127"/>
      <c r="B32" s="1288" t="str">
        <f>IF(C31="ton","Rate (ton/acre)","Rate (lb/acre)")</f>
        <v>Rate (ton/acre)</v>
      </c>
      <c r="C32" s="1172">
        <v>3</v>
      </c>
      <c r="D32" s="1172">
        <v>1</v>
      </c>
      <c r="E32" s="1172">
        <v>3</v>
      </c>
      <c r="F32" s="1172">
        <v>3</v>
      </c>
      <c r="G32" s="1172">
        <v>3</v>
      </c>
      <c r="H32" s="1172">
        <v>3</v>
      </c>
      <c r="I32" s="1172">
        <v>3</v>
      </c>
      <c r="J32" s="1172">
        <v>0</v>
      </c>
      <c r="K32" s="1172">
        <v>0</v>
      </c>
      <c r="L32" s="1172">
        <v>0</v>
      </c>
      <c r="M32" s="1132"/>
      <c r="N32" s="1133"/>
    </row>
    <row r="33" spans="1:14" ht="18" customHeight="1" x14ac:dyDescent="0.45">
      <c r="A33" s="1127"/>
      <c r="B33" s="1171" t="str">
        <f>IF(C31="ton","Price ($/ton)","Price ($/lb)")</f>
        <v>Price ($/ton)</v>
      </c>
      <c r="C33" s="1174">
        <v>35</v>
      </c>
      <c r="D33" s="1174">
        <v>35</v>
      </c>
      <c r="E33" s="1174">
        <v>35</v>
      </c>
      <c r="F33" s="1174">
        <v>35</v>
      </c>
      <c r="G33" s="1174">
        <v>35</v>
      </c>
      <c r="H33" s="1174">
        <v>35</v>
      </c>
      <c r="I33" s="1174">
        <v>35</v>
      </c>
      <c r="J33" s="1174">
        <v>35</v>
      </c>
      <c r="K33" s="1174">
        <v>35</v>
      </c>
      <c r="L33" s="1174">
        <v>35</v>
      </c>
      <c r="M33" s="1132"/>
      <c r="N33" s="1133"/>
    </row>
    <row r="34" spans="1:14" ht="18" customHeight="1" x14ac:dyDescent="0.45">
      <c r="A34" s="1127"/>
      <c r="B34" s="1143"/>
      <c r="C34" s="1143" t="s">
        <v>105</v>
      </c>
      <c r="D34" s="1143" t="s">
        <v>426</v>
      </c>
      <c r="E34" s="1143" t="s">
        <v>522</v>
      </c>
      <c r="F34" s="1143" t="s">
        <v>2105</v>
      </c>
      <c r="G34" s="1143" t="s">
        <v>2106</v>
      </c>
      <c r="H34" s="1143" t="s">
        <v>571</v>
      </c>
      <c r="I34" s="1143" t="s">
        <v>572</v>
      </c>
      <c r="J34" s="1143" t="s">
        <v>2107</v>
      </c>
      <c r="K34" s="1143" t="s">
        <v>1142</v>
      </c>
      <c r="L34" s="1143" t="s">
        <v>201</v>
      </c>
      <c r="M34" s="1132"/>
      <c r="N34" s="1133"/>
    </row>
    <row r="35" spans="1:14" ht="18" customHeight="1" x14ac:dyDescent="0.45">
      <c r="A35" s="1127"/>
      <c r="B35" s="1171" t="s">
        <v>1579</v>
      </c>
      <c r="C35" s="1220" t="s">
        <v>1574</v>
      </c>
      <c r="D35" s="1220" t="s">
        <v>1574</v>
      </c>
      <c r="E35" s="1220" t="s">
        <v>1574</v>
      </c>
      <c r="F35" s="1220" t="s">
        <v>1584</v>
      </c>
      <c r="G35" s="1220" t="s">
        <v>1584</v>
      </c>
      <c r="H35" s="1220" t="s">
        <v>1584</v>
      </c>
      <c r="I35" s="1220" t="s">
        <v>1584</v>
      </c>
      <c r="J35" s="1220" t="s">
        <v>1574</v>
      </c>
      <c r="K35" s="1220" t="s">
        <v>1574</v>
      </c>
      <c r="L35" s="1220" t="s">
        <v>1574</v>
      </c>
      <c r="M35" s="1144"/>
      <c r="N35" s="1133"/>
    </row>
    <row r="36" spans="1:14" ht="18" customHeight="1" x14ac:dyDescent="0.45">
      <c r="A36" s="1127"/>
      <c r="B36" s="1171" t="s">
        <v>1843</v>
      </c>
      <c r="C36" s="1289" t="s">
        <v>1585</v>
      </c>
      <c r="D36" s="1289" t="s">
        <v>1585</v>
      </c>
      <c r="E36" s="1289" t="s">
        <v>1585</v>
      </c>
      <c r="F36" s="1289" t="s">
        <v>1585</v>
      </c>
      <c r="G36" s="1289" t="s">
        <v>1585</v>
      </c>
      <c r="H36" s="1289" t="s">
        <v>1585</v>
      </c>
      <c r="I36" s="1289" t="s">
        <v>1585</v>
      </c>
      <c r="J36" s="1289" t="s">
        <v>1585</v>
      </c>
      <c r="K36" s="1289" t="s">
        <v>1585</v>
      </c>
      <c r="L36" s="1289" t="s">
        <v>1585</v>
      </c>
      <c r="M36" s="1144"/>
      <c r="N36" s="1133"/>
    </row>
    <row r="37" spans="1:14" ht="18" customHeight="1" x14ac:dyDescent="0.45">
      <c r="A37" s="1127"/>
      <c r="B37" s="1171" t="s">
        <v>22</v>
      </c>
      <c r="C37" s="1220" t="s">
        <v>1574</v>
      </c>
      <c r="D37" s="1220" t="s">
        <v>1574</v>
      </c>
      <c r="E37" s="1220" t="s">
        <v>1574</v>
      </c>
      <c r="F37" s="1220" t="s">
        <v>220</v>
      </c>
      <c r="G37" s="1220" t="s">
        <v>220</v>
      </c>
      <c r="H37" s="1220" t="s">
        <v>220</v>
      </c>
      <c r="I37" s="1220" t="s">
        <v>220</v>
      </c>
      <c r="J37" s="1220" t="s">
        <v>1574</v>
      </c>
      <c r="K37" s="1220" t="s">
        <v>1574</v>
      </c>
      <c r="L37" s="1220" t="s">
        <v>1574</v>
      </c>
      <c r="M37" s="1132"/>
      <c r="N37" s="1133"/>
    </row>
    <row r="38" spans="1:14" ht="18" customHeight="1" x14ac:dyDescent="0.45">
      <c r="A38" s="1127"/>
      <c r="B38" s="1288" t="str">
        <f>IF(C37="ton","Rate (ton/acre)","Rate (lb/acre)")</f>
        <v>Rate (lb/acre)</v>
      </c>
      <c r="C38" s="1172">
        <v>0</v>
      </c>
      <c r="D38" s="1172">
        <v>0</v>
      </c>
      <c r="E38" s="1172">
        <v>0</v>
      </c>
      <c r="F38" s="1172">
        <v>0</v>
      </c>
      <c r="G38" s="1172">
        <v>0</v>
      </c>
      <c r="H38" s="1172">
        <v>0</v>
      </c>
      <c r="I38" s="1172">
        <v>0</v>
      </c>
      <c r="J38" s="1172">
        <v>0</v>
      </c>
      <c r="K38" s="1172">
        <v>0</v>
      </c>
      <c r="L38" s="1172">
        <v>0</v>
      </c>
      <c r="M38" s="1132"/>
      <c r="N38" s="1133"/>
    </row>
    <row r="39" spans="1:14" ht="18" customHeight="1" x14ac:dyDescent="0.45">
      <c r="A39" s="1127"/>
      <c r="B39" s="1171" t="str">
        <f>IF(C37="ton","Price ($/ton)","Price ($/lb)")</f>
        <v>Price ($/lb)</v>
      </c>
      <c r="C39" s="1167">
        <v>0.6</v>
      </c>
      <c r="D39" s="1167">
        <v>0.6</v>
      </c>
      <c r="E39" s="1167">
        <v>0.6</v>
      </c>
      <c r="F39" s="1167">
        <v>0.6</v>
      </c>
      <c r="G39" s="1167">
        <v>0.6</v>
      </c>
      <c r="H39" s="1167">
        <v>0.6</v>
      </c>
      <c r="I39" s="1167">
        <v>0.6</v>
      </c>
      <c r="J39" s="1167">
        <v>0.6</v>
      </c>
      <c r="K39" s="1167">
        <v>0.6</v>
      </c>
      <c r="L39" s="1167">
        <v>0.6</v>
      </c>
      <c r="M39" s="1132"/>
      <c r="N39" s="1133"/>
    </row>
    <row r="40" spans="1:14" ht="18" customHeight="1" x14ac:dyDescent="0.45">
      <c r="A40" s="1178" t="s">
        <v>2</v>
      </c>
      <c r="B40" s="1139"/>
      <c r="C40" s="1143" t="s">
        <v>105</v>
      </c>
      <c r="D40" s="1143" t="s">
        <v>426</v>
      </c>
      <c r="E40" s="1143" t="s">
        <v>522</v>
      </c>
      <c r="F40" s="1143" t="s">
        <v>2105</v>
      </c>
      <c r="G40" s="1143" t="s">
        <v>2106</v>
      </c>
      <c r="H40" s="1143" t="s">
        <v>571</v>
      </c>
      <c r="I40" s="1143" t="s">
        <v>572</v>
      </c>
      <c r="J40" s="1143" t="s">
        <v>2107</v>
      </c>
      <c r="K40" s="1143" t="s">
        <v>1142</v>
      </c>
      <c r="L40" s="1143" t="s">
        <v>201</v>
      </c>
      <c r="M40" s="1132"/>
      <c r="N40" s="1133"/>
    </row>
    <row r="41" spans="1:14" ht="18" customHeight="1" x14ac:dyDescent="0.45">
      <c r="A41" s="1127"/>
      <c r="B41" s="1171" t="s">
        <v>1582</v>
      </c>
      <c r="C41" s="1172">
        <v>0</v>
      </c>
      <c r="D41" s="1172">
        <v>0</v>
      </c>
      <c r="E41" s="1172">
        <v>0</v>
      </c>
      <c r="F41" s="1172">
        <v>0</v>
      </c>
      <c r="G41" s="1172">
        <v>0</v>
      </c>
      <c r="H41" s="1172">
        <v>0</v>
      </c>
      <c r="I41" s="1172">
        <v>0</v>
      </c>
      <c r="J41" s="1172">
        <v>0</v>
      </c>
      <c r="K41" s="1172">
        <v>0</v>
      </c>
      <c r="L41" s="1172">
        <v>0</v>
      </c>
      <c r="M41" s="1132"/>
      <c r="N41" s="1133"/>
    </row>
    <row r="42" spans="1:14" ht="18" customHeight="1" x14ac:dyDescent="0.45">
      <c r="A42" s="1127"/>
      <c r="B42" s="1171" t="s">
        <v>22</v>
      </c>
      <c r="C42" s="1173" t="s">
        <v>26</v>
      </c>
      <c r="D42" s="1173" t="s">
        <v>26</v>
      </c>
      <c r="E42" s="1173" t="s">
        <v>26</v>
      </c>
      <c r="F42" s="1173" t="s">
        <v>26</v>
      </c>
      <c r="G42" s="1173" t="s">
        <v>26</v>
      </c>
      <c r="H42" s="1173" t="s">
        <v>26</v>
      </c>
      <c r="I42" s="1173" t="s">
        <v>26</v>
      </c>
      <c r="J42" s="1173" t="s">
        <v>26</v>
      </c>
      <c r="K42" s="1173" t="s">
        <v>26</v>
      </c>
      <c r="L42" s="1173" t="s">
        <v>26</v>
      </c>
      <c r="M42" s="1132"/>
      <c r="N42" s="1133"/>
    </row>
    <row r="43" spans="1:14" ht="18" customHeight="1" x14ac:dyDescent="0.45">
      <c r="A43" s="1127"/>
      <c r="B43" s="1288" t="str">
        <f>IF(C42="ton","Rate (ton/acre)","Rate (lb/acre)")</f>
        <v>Rate (ton/acre)</v>
      </c>
      <c r="C43" s="1172">
        <v>1</v>
      </c>
      <c r="D43" s="1172">
        <v>1</v>
      </c>
      <c r="E43" s="1172">
        <v>1</v>
      </c>
      <c r="F43" s="1172">
        <v>1</v>
      </c>
      <c r="G43" s="1172">
        <v>1</v>
      </c>
      <c r="H43" s="1172">
        <v>1</v>
      </c>
      <c r="I43" s="1172">
        <v>1</v>
      </c>
      <c r="J43" s="1172">
        <v>1</v>
      </c>
      <c r="K43" s="1172">
        <v>1</v>
      </c>
      <c r="L43" s="1172">
        <v>1</v>
      </c>
      <c r="M43" s="1132"/>
      <c r="N43" s="1133"/>
    </row>
    <row r="44" spans="1:14" ht="18" customHeight="1" x14ac:dyDescent="0.45">
      <c r="A44" s="1127"/>
      <c r="B44" s="1288" t="s">
        <v>1581</v>
      </c>
      <c r="C44" s="1172">
        <v>5</v>
      </c>
      <c r="D44" s="1172">
        <v>5</v>
      </c>
      <c r="E44" s="1172">
        <v>5</v>
      </c>
      <c r="F44" s="1172">
        <v>5</v>
      </c>
      <c r="G44" s="1172">
        <v>5</v>
      </c>
      <c r="H44" s="1172">
        <v>5</v>
      </c>
      <c r="I44" s="1172">
        <v>5</v>
      </c>
      <c r="J44" s="1172">
        <v>5</v>
      </c>
      <c r="K44" s="1172">
        <v>5</v>
      </c>
      <c r="L44" s="1172">
        <v>5</v>
      </c>
      <c r="M44" s="1132"/>
      <c r="N44" s="1133"/>
    </row>
    <row r="45" spans="1:14" ht="18" customHeight="1" x14ac:dyDescent="0.45">
      <c r="A45" s="1127"/>
      <c r="B45" s="1171" t="str">
        <f>IF(C42="ton","Price ($/ton)","Price ($/lb)")</f>
        <v>Price ($/ton)</v>
      </c>
      <c r="C45" s="1174">
        <v>38.260869565217398</v>
      </c>
      <c r="D45" s="1174">
        <v>38.260869565217398</v>
      </c>
      <c r="E45" s="1174">
        <v>38.260869565217398</v>
      </c>
      <c r="F45" s="1174">
        <v>38.260869565217398</v>
      </c>
      <c r="G45" s="1174">
        <v>38.260869565217398</v>
      </c>
      <c r="H45" s="1174">
        <v>38.260869565217398</v>
      </c>
      <c r="I45" s="1174">
        <v>38.260869565217398</v>
      </c>
      <c r="J45" s="1174">
        <v>38.260869565217398</v>
      </c>
      <c r="K45" s="1174">
        <v>38.260869565217398</v>
      </c>
      <c r="L45" s="1174">
        <v>38.260869565217398</v>
      </c>
      <c r="M45" s="1143"/>
      <c r="N45" s="1133"/>
    </row>
    <row r="46" spans="1:14" ht="18" customHeight="1" x14ac:dyDescent="0.45">
      <c r="A46" s="1178" t="s">
        <v>1478</v>
      </c>
      <c r="B46" s="1139"/>
      <c r="C46" s="1143" t="s">
        <v>105</v>
      </c>
      <c r="D46" s="1143" t="s">
        <v>426</v>
      </c>
      <c r="E46" s="1143" t="s">
        <v>522</v>
      </c>
      <c r="F46" s="1143" t="s">
        <v>2105</v>
      </c>
      <c r="G46" s="1143" t="s">
        <v>2106</v>
      </c>
      <c r="H46" s="1143" t="s">
        <v>571</v>
      </c>
      <c r="I46" s="1143" t="s">
        <v>572</v>
      </c>
      <c r="J46" s="1143" t="s">
        <v>2107</v>
      </c>
      <c r="K46" s="1143" t="s">
        <v>1142</v>
      </c>
      <c r="L46" s="1143" t="s">
        <v>201</v>
      </c>
      <c r="M46" s="1132"/>
      <c r="N46" s="1133"/>
    </row>
    <row r="47" spans="1:14" ht="18" customHeight="1" x14ac:dyDescent="0.45">
      <c r="A47" s="1127"/>
      <c r="B47" s="1171" t="s">
        <v>1582</v>
      </c>
      <c r="C47" s="1172">
        <v>0</v>
      </c>
      <c r="D47" s="1172">
        <v>0</v>
      </c>
      <c r="E47" s="1172">
        <v>0</v>
      </c>
      <c r="F47" s="1172">
        <v>0</v>
      </c>
      <c r="G47" s="1172">
        <v>0</v>
      </c>
      <c r="H47" s="1172">
        <v>0</v>
      </c>
      <c r="I47" s="1172">
        <v>0</v>
      </c>
      <c r="J47" s="1172">
        <v>0</v>
      </c>
      <c r="K47" s="1172">
        <v>0</v>
      </c>
      <c r="L47" s="1172">
        <v>0</v>
      </c>
      <c r="M47" s="1132"/>
      <c r="N47" s="1133"/>
    </row>
    <row r="48" spans="1:14" ht="18" customHeight="1" x14ac:dyDescent="0.45">
      <c r="A48" s="1127"/>
      <c r="B48" s="1171" t="s">
        <v>22</v>
      </c>
      <c r="C48" s="1173" t="s">
        <v>220</v>
      </c>
      <c r="D48" s="1173" t="s">
        <v>220</v>
      </c>
      <c r="E48" s="1173" t="s">
        <v>220</v>
      </c>
      <c r="F48" s="1173" t="s">
        <v>220</v>
      </c>
      <c r="G48" s="1173" t="s">
        <v>220</v>
      </c>
      <c r="H48" s="1173" t="s">
        <v>220</v>
      </c>
      <c r="I48" s="1173" t="s">
        <v>220</v>
      </c>
      <c r="J48" s="1173" t="s">
        <v>220</v>
      </c>
      <c r="K48" s="1173" t="s">
        <v>220</v>
      </c>
      <c r="L48" s="1173" t="s">
        <v>220</v>
      </c>
      <c r="M48" s="1132"/>
      <c r="N48" s="1133"/>
    </row>
    <row r="49" spans="1:14" ht="18" customHeight="1" x14ac:dyDescent="0.45">
      <c r="A49" s="1127"/>
      <c r="B49" s="1288" t="s">
        <v>1844</v>
      </c>
      <c r="C49" s="1172">
        <v>0</v>
      </c>
      <c r="D49" s="1172">
        <v>0</v>
      </c>
      <c r="E49" s="1172">
        <v>0</v>
      </c>
      <c r="F49" s="1172">
        <v>0</v>
      </c>
      <c r="G49" s="1172">
        <v>0</v>
      </c>
      <c r="H49" s="1172">
        <v>0</v>
      </c>
      <c r="I49" s="1172">
        <v>0</v>
      </c>
      <c r="J49" s="1172">
        <v>0</v>
      </c>
      <c r="K49" s="1172">
        <v>0</v>
      </c>
      <c r="L49" s="1172">
        <v>0</v>
      </c>
      <c r="M49" s="1132"/>
      <c r="N49" s="1133"/>
    </row>
    <row r="50" spans="1:14" ht="18" customHeight="1" x14ac:dyDescent="0.45">
      <c r="A50" s="1127"/>
      <c r="B50" s="1171" t="s">
        <v>1583</v>
      </c>
      <c r="C50" s="1174">
        <v>0</v>
      </c>
      <c r="D50" s="1174">
        <v>0</v>
      </c>
      <c r="E50" s="1174">
        <v>0</v>
      </c>
      <c r="F50" s="1174">
        <v>0</v>
      </c>
      <c r="G50" s="1174">
        <v>0</v>
      </c>
      <c r="H50" s="1174">
        <v>0</v>
      </c>
      <c r="I50" s="1174">
        <v>0</v>
      </c>
      <c r="J50" s="1174">
        <v>0</v>
      </c>
      <c r="K50" s="1174">
        <v>0</v>
      </c>
      <c r="L50" s="1174">
        <v>0</v>
      </c>
      <c r="M50" s="1143"/>
      <c r="N50" s="1133"/>
    </row>
    <row r="51" spans="1:14" ht="18" customHeight="1" x14ac:dyDescent="0.45">
      <c r="A51" s="1127"/>
      <c r="B51" s="1143"/>
      <c r="C51" s="1145"/>
      <c r="D51" s="1145"/>
      <c r="E51" s="1145"/>
      <c r="F51" s="1145"/>
      <c r="G51" s="1145"/>
      <c r="H51" s="1145"/>
      <c r="I51" s="1145"/>
      <c r="J51" s="1145"/>
      <c r="K51" s="1145"/>
      <c r="L51" s="1145"/>
      <c r="M51" s="1143"/>
      <c r="N51" s="1133"/>
    </row>
    <row r="52" spans="1:14" ht="18" customHeight="1" thickBot="1" x14ac:dyDescent="0.5">
      <c r="A52" s="1146"/>
      <c r="B52" s="1147"/>
      <c r="C52" s="1147"/>
      <c r="D52" s="1147"/>
      <c r="E52" s="1147"/>
      <c r="F52" s="1147"/>
      <c r="G52" s="1147"/>
      <c r="H52" s="1147"/>
      <c r="I52" s="1147"/>
      <c r="J52" s="1147"/>
      <c r="K52" s="1147"/>
      <c r="L52" s="1147"/>
      <c r="M52" s="1147"/>
      <c r="N52" s="1148"/>
    </row>
  </sheetData>
  <sheetProtection algorithmName="SHA-512" hashValue="Aqva9K0dEMNPYWfWJ9jZNbhgVyjomXz5WNME28C62+mL/bdrMxrw1nbLtYHeo1n9l+fSKimbU81X7eN98whhoQ==" saltValue="AcfnUiUEdi7C761/hQZpqA==" spinCount="100000" sheet="1" objects="1" scenarios="1"/>
  <dataValidations count="5">
    <dataValidation type="list" allowBlank="1" showInputMessage="1" showErrorMessage="1" sqref="C19:L19">
      <formula1>"None, Clover, Ryegrass, Other"</formula1>
    </dataValidation>
    <dataValidation type="list" allowBlank="1" showInputMessage="1" showErrorMessage="1" sqref="C37:L37 C31:L31 C42:L42">
      <formula1>"None, ton, lb"</formula1>
    </dataValidation>
    <dataValidation type="list" allowBlank="1" showInputMessage="1" showErrorMessage="1" sqref="C29:L29 C35:L35">
      <formula1>"None, Chicken Manure, Chilean Nitrate, Other"</formula1>
    </dataValidation>
    <dataValidation type="list" allowBlank="1" showInputMessage="1" showErrorMessage="1" sqref="C48:L48">
      <formula1>"None, lb"</formula1>
    </dataValidation>
    <dataValidation type="list" allowBlank="1" showInputMessage="1" showErrorMessage="1" sqref="K25:L25">
      <formula1>"None, lb, $ / 100-lb trt."</formula1>
    </dataValidation>
  </dataValidations>
  <pageMargins left="0.7" right="0.7" top="0.75" bottom="0.75" header="0.3" footer="0.3"/>
  <pageSetup scale="40" orientation="portrait" r:id="rId1"/>
  <rowBreaks count="1" manualBreakCount="1">
    <brk id="27" max="16383" man="1"/>
  </rowBreaks>
  <colBreaks count="1" manualBreakCount="1">
    <brk id="14"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20"/>
  <sheetViews>
    <sheetView topLeftCell="A94" zoomScaleNormal="100" workbookViewId="0">
      <selection activeCell="K56" sqref="K56"/>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7.81640625" style="17" customWidth="1"/>
    <col min="8" max="8" width="10.81640625" style="17" customWidth="1"/>
    <col min="9" max="9" width="9.6328125" style="17" bestFit="1" customWidth="1"/>
    <col min="10" max="10" width="10.81640625" style="17" customWidth="1"/>
    <col min="11" max="11" width="7.81640625" style="17" customWidth="1"/>
    <col min="12" max="12" width="10.81640625" style="17" customWidth="1"/>
    <col min="13" max="13" width="7.81640625" style="17" customWidth="1"/>
    <col min="14" max="14" width="10.81640625" style="17" customWidth="1"/>
    <col min="15" max="15" width="7.81640625" style="17" customWidth="1"/>
    <col min="16" max="16" width="10.81640625" style="17" customWidth="1"/>
    <col min="17" max="17" width="9.6328125" style="17" customWidth="1"/>
    <col min="18" max="18" width="9.08984375" style="17"/>
    <col min="19" max="19" width="10.453125" style="17" customWidth="1"/>
    <col min="20" max="24" width="9.08984375" style="17"/>
    <col min="25" max="25" width="7" style="17" customWidth="1"/>
    <col min="26" max="26" width="10.08984375" style="17" customWidth="1"/>
    <col min="27" max="27" width="6.90625" style="17" customWidth="1"/>
    <col min="28" max="16384" width="9.08984375" style="17"/>
  </cols>
  <sheetData>
    <row r="1" spans="1:8" x14ac:dyDescent="0.3">
      <c r="A1" s="61" t="s">
        <v>146</v>
      </c>
      <c r="B1" s="50" t="str">
        <f>model</f>
        <v>ME Grain &amp; Pulse</v>
      </c>
    </row>
    <row r="2" spans="1:8" x14ac:dyDescent="0.3">
      <c r="A2" s="61"/>
    </row>
    <row r="3" spans="1:8" x14ac:dyDescent="0.3">
      <c r="A3" s="7" t="s">
        <v>466</v>
      </c>
      <c r="B3" s="55" t="s">
        <v>280</v>
      </c>
      <c r="C3" s="17"/>
      <c r="D3" s="59" t="s">
        <v>281</v>
      </c>
      <c r="F3" s="59" t="s">
        <v>281</v>
      </c>
      <c r="H3" s="55" t="s">
        <v>282</v>
      </c>
    </row>
    <row r="4" spans="1:8" x14ac:dyDescent="0.3">
      <c r="B4" s="59" t="s">
        <v>283</v>
      </c>
      <c r="D4" s="55" t="s">
        <v>1569</v>
      </c>
      <c r="F4" s="55" t="s">
        <v>450</v>
      </c>
      <c r="H4" s="55" t="s">
        <v>451</v>
      </c>
    </row>
    <row r="5" spans="1:8" x14ac:dyDescent="0.3">
      <c r="A5" s="59" t="s">
        <v>104</v>
      </c>
      <c r="B5" s="54">
        <f>potato</f>
        <v>0</v>
      </c>
      <c r="C5" s="17"/>
      <c r="D5" s="887">
        <v>0</v>
      </c>
      <c r="F5" s="1190">
        <f>PotBud!C4/20</f>
        <v>14.125</v>
      </c>
      <c r="H5" s="105">
        <f>Data!B125*20</f>
        <v>200</v>
      </c>
    </row>
    <row r="6" spans="1:8" x14ac:dyDescent="0.3">
      <c r="A6" s="72" t="s">
        <v>403</v>
      </c>
      <c r="B6" s="54">
        <f>alfalfa</f>
        <v>0</v>
      </c>
      <c r="D6" s="887">
        <v>0</v>
      </c>
      <c r="F6" s="1190">
        <f>AlfBud!C4</f>
        <v>5.8</v>
      </c>
      <c r="H6" s="106">
        <f>Data!B136</f>
        <v>91.982419280832659</v>
      </c>
    </row>
    <row r="7" spans="1:8" x14ac:dyDescent="0.3">
      <c r="A7" s="72" t="s">
        <v>200</v>
      </c>
      <c r="B7" s="78">
        <f>scorn</f>
        <v>0</v>
      </c>
      <c r="C7" s="27"/>
      <c r="D7" s="887">
        <v>0</v>
      </c>
      <c r="F7" s="1192">
        <f>CnSBud!C4</f>
        <v>15</v>
      </c>
      <c r="G7" s="27"/>
      <c r="H7" s="106">
        <f>Data!B143</f>
        <v>45.991209640416329</v>
      </c>
    </row>
    <row r="8" spans="1:8" x14ac:dyDescent="0.3">
      <c r="A8" s="72" t="s">
        <v>520</v>
      </c>
      <c r="B8" s="78">
        <f>hay</f>
        <v>0</v>
      </c>
      <c r="C8" s="27"/>
      <c r="D8" s="887">
        <v>0</v>
      </c>
      <c r="F8" s="1192">
        <f>HlgBud!C4</f>
        <v>5.5679999999999996</v>
      </c>
      <c r="G8" s="27"/>
      <c r="H8" s="106">
        <f>HlgBud!C5</f>
        <v>55.189451568499592</v>
      </c>
    </row>
    <row r="9" spans="1:8" x14ac:dyDescent="0.3">
      <c r="A9" s="72" t="s">
        <v>697</v>
      </c>
      <c r="B9" s="78">
        <f>balehay</f>
        <v>0</v>
      </c>
      <c r="C9" s="27"/>
      <c r="D9" s="887">
        <v>0</v>
      </c>
      <c r="F9" s="1192">
        <f>HayBud!E4/20</f>
        <v>2.5499999999999998</v>
      </c>
      <c r="G9" s="27"/>
      <c r="H9" s="106">
        <f>HayBud!C5</f>
        <v>41.392088676374698</v>
      </c>
    </row>
    <row r="10" spans="1:8" x14ac:dyDescent="0.3">
      <c r="A10" s="72" t="s">
        <v>125</v>
      </c>
      <c r="B10" s="78">
        <f>clover</f>
        <v>0</v>
      </c>
      <c r="C10" s="27"/>
      <c r="D10" s="887">
        <v>0</v>
      </c>
      <c r="F10" s="1192">
        <f>CvrBud!C4</f>
        <v>3.08</v>
      </c>
      <c r="G10" s="27"/>
      <c r="H10" s="106">
        <f>Data!B155</f>
        <v>75</v>
      </c>
    </row>
    <row r="11" spans="1:8" x14ac:dyDescent="0.3">
      <c r="A11" s="72" t="s">
        <v>521</v>
      </c>
      <c r="B11" s="78">
        <f>graze</f>
        <v>0</v>
      </c>
      <c r="C11" s="27"/>
      <c r="D11" s="887">
        <v>0</v>
      </c>
      <c r="F11" s="1192">
        <f>GrzBud!C4</f>
        <v>1.8559999999999999</v>
      </c>
      <c r="G11" s="27"/>
      <c r="H11" s="106">
        <f>HlgBud!C5</f>
        <v>55.189451568499592</v>
      </c>
    </row>
    <row r="12" spans="1:8" x14ac:dyDescent="0.3">
      <c r="A12" s="147" t="s">
        <v>425</v>
      </c>
      <c r="B12" s="54">
        <f>gcorn</f>
        <v>0</v>
      </c>
      <c r="D12" s="78">
        <f>Data!B172</f>
        <v>100</v>
      </c>
      <c r="F12" s="1190">
        <f>CnGBud!E4/20</f>
        <v>2.8</v>
      </c>
      <c r="H12" s="105">
        <f>Data!B169*(100/Data!K57)*20</f>
        <v>142.38095238095249</v>
      </c>
    </row>
    <row r="13" spans="1:8" x14ac:dyDescent="0.3">
      <c r="A13" s="148" t="s">
        <v>105</v>
      </c>
      <c r="B13" s="78">
        <f>barley</f>
        <v>100</v>
      </c>
      <c r="C13" s="27"/>
      <c r="D13" s="78">
        <f>Data!B180</f>
        <v>42</v>
      </c>
      <c r="F13" s="1192">
        <f>Bb!E6</f>
        <v>1.008</v>
      </c>
      <c r="G13" s="27"/>
      <c r="H13" s="105">
        <f>Data!B176*(100/Data!K58)*20</f>
        <v>550.00000000000011</v>
      </c>
    </row>
    <row r="14" spans="1:8" x14ac:dyDescent="0.3">
      <c r="A14" s="147" t="s">
        <v>426</v>
      </c>
      <c r="B14" s="54">
        <f>oats</f>
        <v>0</v>
      </c>
      <c r="D14" s="78">
        <f>Data!B188</f>
        <v>0</v>
      </c>
      <c r="F14" s="1190">
        <f>Ob!E6</f>
        <v>0</v>
      </c>
      <c r="H14" s="105">
        <f>Data!B184*(100/Data!K59)*20</f>
        <v>367.1875</v>
      </c>
    </row>
    <row r="15" spans="1:8" x14ac:dyDescent="0.3">
      <c r="A15" s="147" t="s">
        <v>522</v>
      </c>
      <c r="B15" s="54">
        <f>rye</f>
        <v>0</v>
      </c>
      <c r="D15" s="78">
        <f>Data!B196</f>
        <v>0</v>
      </c>
      <c r="F15" s="1190">
        <f>Rb!E6</f>
        <v>0</v>
      </c>
      <c r="H15" s="105">
        <f>Data!B192*(100/Data!K60)*20</f>
        <v>400</v>
      </c>
    </row>
    <row r="16" spans="1:8" x14ac:dyDescent="0.3">
      <c r="A16" s="147" t="s">
        <v>1934</v>
      </c>
      <c r="B16" s="54">
        <f>wheat</f>
        <v>0</v>
      </c>
      <c r="D16" s="78">
        <f>Data!B204</f>
        <v>0</v>
      </c>
      <c r="F16" s="1190">
        <f>Wb!E6</f>
        <v>0</v>
      </c>
      <c r="H16" s="105">
        <f>Data!B200*(100/Data!K61)*20</f>
        <v>344.00000000000006</v>
      </c>
    </row>
    <row r="17" spans="1:8" x14ac:dyDescent="0.3">
      <c r="A17" s="147" t="s">
        <v>1935</v>
      </c>
      <c r="B17" s="54">
        <f>wwheat</f>
        <v>0</v>
      </c>
      <c r="D17" s="78">
        <f>Data!B212</f>
        <v>0</v>
      </c>
      <c r="F17" s="1190">
        <f>wWb!E6</f>
        <v>0</v>
      </c>
      <c r="H17" s="105">
        <f>Data!B208*(100/Data!K61)*20</f>
        <v>344.00000000000006</v>
      </c>
    </row>
    <row r="18" spans="1:8" x14ac:dyDescent="0.3">
      <c r="A18" s="147" t="s">
        <v>571</v>
      </c>
      <c r="B18" s="54">
        <f>triticale</f>
        <v>0</v>
      </c>
      <c r="D18" s="78">
        <f>Data!B220</f>
        <v>0</v>
      </c>
      <c r="F18" s="1190">
        <f>Tb!E6</f>
        <v>0</v>
      </c>
      <c r="H18" s="105">
        <f>Data!B216*(100/Data!K63)*20</f>
        <v>600.00000000000011</v>
      </c>
    </row>
    <row r="19" spans="1:8" x14ac:dyDescent="0.3">
      <c r="A19" s="147" t="s">
        <v>572</v>
      </c>
      <c r="B19" s="54">
        <f>spelt</f>
        <v>100</v>
      </c>
      <c r="D19" s="78">
        <f>Data!B228</f>
        <v>42</v>
      </c>
      <c r="F19" s="1190">
        <f>Sb!E6</f>
        <v>1.26</v>
      </c>
      <c r="H19" s="105">
        <f>Data!B224*(100/Data!K64)*20</f>
        <v>800</v>
      </c>
    </row>
    <row r="20" spans="1:8" x14ac:dyDescent="0.3">
      <c r="A20" s="147" t="s">
        <v>2107</v>
      </c>
      <c r="B20" s="54">
        <f>buckwheat</f>
        <v>100</v>
      </c>
      <c r="D20" s="78">
        <f>Data!B236</f>
        <v>15</v>
      </c>
      <c r="F20" s="1190">
        <f>BWb!E4</f>
        <v>0.36</v>
      </c>
      <c r="H20" s="105">
        <f>Data!B232*(100/Data!K65)*20</f>
        <v>1250.0000000000002</v>
      </c>
    </row>
    <row r="21" spans="1:8" x14ac:dyDescent="0.3">
      <c r="A21" s="147" t="s">
        <v>1142</v>
      </c>
      <c r="B21" s="54">
        <f>peas</f>
        <v>0</v>
      </c>
      <c r="D21" s="78">
        <f>Data!B244</f>
        <v>0</v>
      </c>
      <c r="F21" s="1190">
        <f>Pb!E4</f>
        <v>0</v>
      </c>
      <c r="H21" s="105">
        <f>Data!B240*(100/Data!K66)*20</f>
        <v>500</v>
      </c>
    </row>
    <row r="22" spans="1:8" ht="12.75" customHeight="1" x14ac:dyDescent="0.3">
      <c r="A22" s="72" t="s">
        <v>201</v>
      </c>
      <c r="B22" s="78">
        <f>soy</f>
        <v>100</v>
      </c>
      <c r="C22" s="27"/>
      <c r="D22" s="78">
        <f>Data!B252</f>
        <v>25</v>
      </c>
      <c r="F22" s="1190">
        <f>Syb!E4</f>
        <v>0.75</v>
      </c>
      <c r="G22" s="27"/>
      <c r="H22" s="106">
        <f>Data!B248*(100/Data!K67)*20</f>
        <v>966.00000000000011</v>
      </c>
    </row>
    <row r="23" spans="1:8" ht="12.75" customHeight="1" x14ac:dyDescent="0.3">
      <c r="A23" s="72" t="s">
        <v>467</v>
      </c>
      <c r="B23" s="78">
        <f>sudan</f>
        <v>0</v>
      </c>
      <c r="D23" s="887">
        <v>0</v>
      </c>
      <c r="F23" s="1190">
        <f>SudBud!C4</f>
        <v>6.5</v>
      </c>
      <c r="H23" s="116">
        <f>Data!B255*(100/2000)*20</f>
        <v>0</v>
      </c>
    </row>
    <row r="24" spans="1:8" ht="12.75" customHeight="1" x14ac:dyDescent="0.3">
      <c r="A24" s="72" t="s">
        <v>523</v>
      </c>
      <c r="B24" s="78">
        <f>canola</f>
        <v>0</v>
      </c>
      <c r="D24" s="887">
        <v>0</v>
      </c>
      <c r="F24" s="1190">
        <f>CanBud!C4/20</f>
        <v>0.75</v>
      </c>
      <c r="H24" s="106">
        <f>Data!B260*20</f>
        <v>560</v>
      </c>
    </row>
    <row r="25" spans="1:8" ht="12.75" customHeight="1" x14ac:dyDescent="0.3">
      <c r="A25" s="72" t="s">
        <v>524</v>
      </c>
      <c r="B25" s="71">
        <f>broccoli</f>
        <v>0</v>
      </c>
      <c r="D25" s="887">
        <v>0</v>
      </c>
      <c r="F25" s="1190">
        <f>BrcBud!E4/20</f>
        <v>4.6138392857142847</v>
      </c>
      <c r="H25" s="106">
        <f>Data!B265*20</f>
        <v>619</v>
      </c>
    </row>
    <row r="26" spans="1:8" x14ac:dyDescent="0.3">
      <c r="B26" s="54">
        <f>crops</f>
        <v>400</v>
      </c>
      <c r="C26" s="17"/>
      <c r="D26" s="78"/>
      <c r="F26" s="54"/>
      <c r="H26" s="54"/>
    </row>
    <row r="27" spans="1:8" x14ac:dyDescent="0.3">
      <c r="B27" s="54"/>
      <c r="C27" s="17"/>
      <c r="F27" s="54"/>
      <c r="H27" s="54"/>
    </row>
    <row r="28" spans="1:8" x14ac:dyDescent="0.3">
      <c r="A28" s="100"/>
      <c r="B28" s="101" t="s">
        <v>107</v>
      </c>
      <c r="C28" s="100"/>
      <c r="D28" s="101" t="s">
        <v>1570</v>
      </c>
      <c r="E28" s="100"/>
      <c r="F28" s="101" t="s">
        <v>397</v>
      </c>
      <c r="G28" s="100"/>
      <c r="H28" s="101" t="s">
        <v>374</v>
      </c>
    </row>
    <row r="29" spans="1:8" x14ac:dyDescent="0.3">
      <c r="A29" s="102" t="str">
        <f>A5</f>
        <v>Potato</v>
      </c>
      <c r="B29" s="78">
        <f>B5</f>
        <v>0</v>
      </c>
      <c r="C29" s="51"/>
      <c r="D29" s="887">
        <f t="shared" ref="D29:D49" si="0">D5</f>
        <v>0</v>
      </c>
      <c r="F29" s="891" t="s">
        <v>424</v>
      </c>
      <c r="G29" s="27"/>
      <c r="H29" s="103">
        <f>H5</f>
        <v>200</v>
      </c>
    </row>
    <row r="30" spans="1:8" x14ac:dyDescent="0.3">
      <c r="A30" s="72" t="s">
        <v>403</v>
      </c>
      <c r="B30" s="54">
        <f t="shared" ref="B30:B49" si="1">B6</f>
        <v>0</v>
      </c>
      <c r="D30" s="887">
        <f t="shared" si="0"/>
        <v>0</v>
      </c>
      <c r="F30" s="892" t="s">
        <v>423</v>
      </c>
      <c r="H30" s="103">
        <f>AlfBud!C5</f>
        <v>91.982419280832659</v>
      </c>
    </row>
    <row r="31" spans="1:8" x14ac:dyDescent="0.3">
      <c r="A31" s="102" t="str">
        <f>A7</f>
        <v>Silage Corn</v>
      </c>
      <c r="B31" s="78">
        <f t="shared" si="1"/>
        <v>0</v>
      </c>
      <c r="D31" s="887">
        <f t="shared" si="0"/>
        <v>0</v>
      </c>
      <c r="F31" s="892" t="s">
        <v>377</v>
      </c>
      <c r="H31" s="104">
        <f>CnSBud!C5</f>
        <v>45.991209640416329</v>
      </c>
    </row>
    <row r="32" spans="1:8" x14ac:dyDescent="0.3">
      <c r="A32" s="102" t="str">
        <f>A8</f>
        <v>Haylage/Hay</v>
      </c>
      <c r="B32" s="78">
        <f t="shared" si="1"/>
        <v>0</v>
      </c>
      <c r="D32" s="887">
        <f t="shared" si="0"/>
        <v>0</v>
      </c>
      <c r="F32" s="892" t="s">
        <v>376</v>
      </c>
      <c r="H32" s="104">
        <f>HlgBud!C5</f>
        <v>55.189451568499592</v>
      </c>
    </row>
    <row r="33" spans="1:8" x14ac:dyDescent="0.3">
      <c r="A33" s="72" t="s">
        <v>697</v>
      </c>
      <c r="B33" s="78">
        <f t="shared" si="1"/>
        <v>0</v>
      </c>
      <c r="D33" s="887">
        <f t="shared" si="0"/>
        <v>0</v>
      </c>
      <c r="F33" s="892" t="s">
        <v>773</v>
      </c>
      <c r="H33" s="104">
        <f>HayBud!C5</f>
        <v>41.392088676374698</v>
      </c>
    </row>
    <row r="34" spans="1:8" x14ac:dyDescent="0.3">
      <c r="A34" s="102" t="str">
        <f t="shared" ref="A34:A49" si="2">A10</f>
        <v>Clover</v>
      </c>
      <c r="B34" s="78">
        <f t="shared" si="1"/>
        <v>0</v>
      </c>
      <c r="D34" s="887">
        <f t="shared" si="0"/>
        <v>0</v>
      </c>
      <c r="F34" s="892" t="s">
        <v>774</v>
      </c>
      <c r="H34" s="104">
        <f>CvrBud!C5</f>
        <v>75</v>
      </c>
    </row>
    <row r="35" spans="1:8" x14ac:dyDescent="0.3">
      <c r="A35" s="102" t="str">
        <f t="shared" si="2"/>
        <v>Grazing Pasture</v>
      </c>
      <c r="B35" s="78">
        <f t="shared" si="1"/>
        <v>0</v>
      </c>
      <c r="D35" s="887">
        <f t="shared" si="0"/>
        <v>0</v>
      </c>
      <c r="F35" s="892" t="s">
        <v>376</v>
      </c>
      <c r="H35" s="104">
        <f>GrzBud!C5</f>
        <v>55.189451568499592</v>
      </c>
    </row>
    <row r="36" spans="1:8" x14ac:dyDescent="0.3">
      <c r="A36" s="102" t="str">
        <f t="shared" si="2"/>
        <v>Grain Corn</v>
      </c>
      <c r="B36" s="78">
        <f t="shared" si="1"/>
        <v>0</v>
      </c>
      <c r="D36" s="78">
        <f t="shared" si="0"/>
        <v>100</v>
      </c>
      <c r="F36" s="892" t="s">
        <v>458</v>
      </c>
      <c r="H36" s="104">
        <f>CnGBud!C5</f>
        <v>3.9866666666666699</v>
      </c>
    </row>
    <row r="37" spans="1:8" x14ac:dyDescent="0.3">
      <c r="A37" s="667" t="str">
        <f t="shared" si="2"/>
        <v>Barley</v>
      </c>
      <c r="B37" s="78">
        <f t="shared" si="1"/>
        <v>100</v>
      </c>
      <c r="D37" s="78">
        <f t="shared" si="0"/>
        <v>42</v>
      </c>
      <c r="F37" s="668" t="s">
        <v>1206</v>
      </c>
      <c r="H37" s="103">
        <f>Bb!C7</f>
        <v>13.2</v>
      </c>
    </row>
    <row r="38" spans="1:8" x14ac:dyDescent="0.3">
      <c r="A38" s="667" t="str">
        <f t="shared" si="2"/>
        <v>Oats</v>
      </c>
      <c r="B38" s="78">
        <f t="shared" si="1"/>
        <v>0</v>
      </c>
      <c r="D38" s="78">
        <f t="shared" si="0"/>
        <v>0</v>
      </c>
      <c r="F38" s="668" t="s">
        <v>1472</v>
      </c>
      <c r="H38" s="103">
        <f>Ob!C7</f>
        <v>5.875</v>
      </c>
    </row>
    <row r="39" spans="1:8" x14ac:dyDescent="0.3">
      <c r="A39" s="667" t="str">
        <f t="shared" si="2"/>
        <v>Rye</v>
      </c>
      <c r="B39" s="78">
        <f t="shared" si="1"/>
        <v>0</v>
      </c>
      <c r="D39" s="78">
        <f t="shared" si="0"/>
        <v>0</v>
      </c>
      <c r="F39" s="668" t="s">
        <v>1473</v>
      </c>
      <c r="H39" s="103">
        <f>Rb!C7</f>
        <v>11.2</v>
      </c>
    </row>
    <row r="40" spans="1:8" x14ac:dyDescent="0.3">
      <c r="A40" s="667" t="str">
        <f t="shared" si="2"/>
        <v>Wheat (Spring)</v>
      </c>
      <c r="B40" s="78">
        <f t="shared" si="1"/>
        <v>0</v>
      </c>
      <c r="D40" s="78">
        <f t="shared" si="0"/>
        <v>0</v>
      </c>
      <c r="F40" s="668" t="s">
        <v>1474</v>
      </c>
      <c r="H40" s="103">
        <f>Wb!C7</f>
        <v>10.32</v>
      </c>
    </row>
    <row r="41" spans="1:8" x14ac:dyDescent="0.3">
      <c r="A41" s="667" t="str">
        <f t="shared" si="2"/>
        <v>Wheat (Winter)</v>
      </c>
      <c r="B41" s="78">
        <f t="shared" si="1"/>
        <v>0</v>
      </c>
      <c r="D41" s="78">
        <f t="shared" si="0"/>
        <v>0</v>
      </c>
      <c r="F41" s="668" t="s">
        <v>1988</v>
      </c>
      <c r="H41" s="103">
        <f>wWb!C7</f>
        <v>10.32</v>
      </c>
    </row>
    <row r="42" spans="1:8" x14ac:dyDescent="0.3">
      <c r="A42" s="667" t="str">
        <f t="shared" si="2"/>
        <v>Triticale</v>
      </c>
      <c r="B42" s="78">
        <f t="shared" si="1"/>
        <v>0</v>
      </c>
      <c r="D42" s="78">
        <f t="shared" si="0"/>
        <v>0</v>
      </c>
      <c r="F42" s="668" t="s">
        <v>1475</v>
      </c>
      <c r="H42" s="103">
        <f>Tb!C7</f>
        <v>16.8</v>
      </c>
    </row>
    <row r="43" spans="1:8" x14ac:dyDescent="0.3">
      <c r="A43" s="667" t="str">
        <f t="shared" si="2"/>
        <v>Spelt</v>
      </c>
      <c r="B43" s="78">
        <f t="shared" si="1"/>
        <v>100</v>
      </c>
      <c r="D43" s="78">
        <f t="shared" si="0"/>
        <v>42</v>
      </c>
      <c r="F43" s="668" t="s">
        <v>1474</v>
      </c>
      <c r="H43" s="103">
        <f>Sb!C7</f>
        <v>24</v>
      </c>
    </row>
    <row r="44" spans="1:8" x14ac:dyDescent="0.3">
      <c r="A44" s="667" t="str">
        <f t="shared" si="2"/>
        <v>Buckwheat</v>
      </c>
      <c r="B44" s="78">
        <f t="shared" si="1"/>
        <v>100</v>
      </c>
      <c r="D44" s="78">
        <f t="shared" si="0"/>
        <v>15</v>
      </c>
      <c r="F44" s="668" t="s">
        <v>2151</v>
      </c>
      <c r="H44" s="103">
        <f>BWb!C5</f>
        <v>30</v>
      </c>
    </row>
    <row r="45" spans="1:8" x14ac:dyDescent="0.3">
      <c r="A45" s="667" t="str">
        <f t="shared" si="2"/>
        <v>Peas</v>
      </c>
      <c r="B45" s="78">
        <f t="shared" si="1"/>
        <v>0</v>
      </c>
      <c r="D45" s="78">
        <f t="shared" si="0"/>
        <v>0</v>
      </c>
      <c r="F45" s="668" t="s">
        <v>1474</v>
      </c>
      <c r="H45" s="103">
        <f>Pb!C5</f>
        <v>15</v>
      </c>
    </row>
    <row r="46" spans="1:8" x14ac:dyDescent="0.3">
      <c r="A46" s="667" t="str">
        <f t="shared" si="2"/>
        <v>Soybeans</v>
      </c>
      <c r="B46" s="78">
        <f t="shared" si="1"/>
        <v>100</v>
      </c>
      <c r="D46" s="78">
        <f t="shared" si="0"/>
        <v>25</v>
      </c>
      <c r="F46" s="668" t="s">
        <v>1207</v>
      </c>
      <c r="H46" s="103">
        <f>Syb!C5</f>
        <v>28.98</v>
      </c>
    </row>
    <row r="47" spans="1:8" x14ac:dyDescent="0.3">
      <c r="A47" s="102" t="str">
        <f t="shared" si="2"/>
        <v>Sudan Grass</v>
      </c>
      <c r="B47" s="78">
        <f t="shared" si="1"/>
        <v>0</v>
      </c>
      <c r="D47" s="887">
        <f t="shared" si="0"/>
        <v>0</v>
      </c>
      <c r="F47" s="892" t="s">
        <v>481</v>
      </c>
      <c r="H47" s="127">
        <f>SudBud!C5</f>
        <v>0</v>
      </c>
    </row>
    <row r="48" spans="1:8" x14ac:dyDescent="0.3">
      <c r="A48" s="102" t="str">
        <f t="shared" si="2"/>
        <v>Canola</v>
      </c>
      <c r="B48" s="78">
        <f t="shared" si="1"/>
        <v>0</v>
      </c>
      <c r="D48" s="887">
        <f t="shared" si="0"/>
        <v>0</v>
      </c>
      <c r="F48" s="892" t="s">
        <v>1208</v>
      </c>
      <c r="H48" s="103">
        <f>CanBud!C5</f>
        <v>28</v>
      </c>
    </row>
    <row r="49" spans="1:16" x14ac:dyDescent="0.3">
      <c r="A49" s="102" t="str">
        <f t="shared" si="2"/>
        <v>Broccoli</v>
      </c>
      <c r="B49" s="78">
        <f t="shared" si="1"/>
        <v>0</v>
      </c>
      <c r="D49" s="887">
        <f t="shared" si="0"/>
        <v>0</v>
      </c>
      <c r="F49" s="892" t="s">
        <v>1209</v>
      </c>
      <c r="H49" s="103">
        <f>BrcBud!C5</f>
        <v>30.95</v>
      </c>
    </row>
    <row r="51" spans="1:16" ht="18" x14ac:dyDescent="0.4">
      <c r="A51" s="751" t="s">
        <v>1305</v>
      </c>
      <c r="B51" s="697" t="s">
        <v>76</v>
      </c>
      <c r="C51" s="697"/>
      <c r="D51" s="697" t="s">
        <v>77</v>
      </c>
      <c r="E51" s="698"/>
      <c r="F51" s="697" t="s">
        <v>1555</v>
      </c>
      <c r="G51" s="698"/>
      <c r="H51" s="697" t="s">
        <v>1867</v>
      </c>
    </row>
    <row r="52" spans="1:16" ht="15.5" x14ac:dyDescent="0.35">
      <c r="A52" s="699"/>
      <c r="B52" s="743"/>
      <c r="C52" s="743"/>
      <c r="D52" s="743"/>
      <c r="E52" s="699"/>
      <c r="G52" s="699"/>
      <c r="H52" s="699"/>
    </row>
    <row r="53" spans="1:16" ht="15" x14ac:dyDescent="0.3">
      <c r="A53" s="709" t="s">
        <v>230</v>
      </c>
      <c r="B53" s="710">
        <f>(PotBud!B12*Data!$D$4)+(AlfBud!B12*Data!$D$5)+(CnSBud!B12*Data!$D$6)+(HlgBud!B12*Data!$D$7)+(HayBud!B12*Data!$D$8)+(CvrBud!B12*Data!$D$9)+(GrzBud!B12*Data!$D$10)+(CnGBud!B12*Data!$D$11)+(Bb!B22*Data!$D$12)+(Ob!B22*Data!$D$13)+(Rb!B22*Data!$D$14)+(Wb!B22*Data!$D$15)+(wWb!B22*Data!$D$16)+(Tb!B22*Data!$D$17)+(Sb!B22*Data!$D$18)+(BWb!B14*Data!$D$19)+(Pb!B14*Data!$D$20)+(Syb!B14*Data!$D$21)+(SudBud!B12*Data!$D$22)+(CanBud!B12*Data!$D$23)+(BrcBud!B12*Data!$D$24)</f>
        <v>273690</v>
      </c>
      <c r="C53" s="711"/>
      <c r="D53" s="711">
        <f>B53/crops</f>
        <v>684.22500000000002</v>
      </c>
      <c r="E53" s="756"/>
      <c r="F53" s="711">
        <f>B53/(($B$5*$D$5)+($B$6*$D$6)+($B$7*$D$7)+($B$8*$D$8)+($B$9*$D$9)+($B$10*$D$10)+($B$11*$D$11)+($B$12*$D$12)+($B$13*$D$13)+($B$14*$D$14)+($B$15*$D$15)+($B$16*$D$16)+($B$17*$D$17)+($B$18*$D$18)+($B$19*$D$19)+($B$20*$D$20)+($B$21*$D$21)+($B$22*$D$22)+($B$23*$D$23)+($B$24*$D$24)+($B$25*$D$25))</f>
        <v>22.071774193548386</v>
      </c>
      <c r="G53" s="756"/>
      <c r="H53" s="711">
        <f>B53/(($B$5*$F$5)+($B$6*$F$6)+($B$7*$F$7)+($B$8*$F$8)+($B$9*$F$9)+($B$10*$F$10)+($B$11*$F$11)+($B$12*$F$12)+($B$13*$F$13)+($B$14*$F$14)+($B$15*$F$15)+($B$16*$F$16)+($B$17*$F$17)+($B$18*$F$18)+($B$19*$F$19)+($B$20*$F$20)+($B$21*$F$21)+($B$22*$F$22)+($B$23*$F$23)+($B$24*$F$24)+($B$25*$F$25))</f>
        <v>810.21314387211362</v>
      </c>
    </row>
    <row r="54" spans="1:16" ht="15.5" x14ac:dyDescent="0.35">
      <c r="A54" s="699"/>
      <c r="B54" s="715"/>
      <c r="C54" s="722"/>
      <c r="D54" s="716"/>
      <c r="E54" s="752"/>
      <c r="F54" s="716"/>
      <c r="G54" s="752"/>
      <c r="H54" s="752"/>
    </row>
    <row r="55" spans="1:16" ht="15.5" x14ac:dyDescent="0.35">
      <c r="A55" s="709" t="s">
        <v>365</v>
      </c>
      <c r="B55" s="715"/>
      <c r="C55" s="716"/>
      <c r="D55" s="716"/>
      <c r="E55" s="752"/>
      <c r="F55" s="716"/>
      <c r="G55" s="752"/>
      <c r="H55" s="752"/>
    </row>
    <row r="56" spans="1:16" ht="15.5" x14ac:dyDescent="0.35">
      <c r="A56" s="714" t="s">
        <v>13</v>
      </c>
      <c r="B56" s="715">
        <f>(PotBud!B15*Data!$D$4)+(AlfBud!B15*Data!$D$5)+(CnSBud!B15*Data!$D$6)+(HlgBud!B15*Data!$D$7)+(HayBud!B15*Data!$D$8)+(CvrBud!B15*Data!$D$9)+(GrzBud!B15*Data!$D$10)+(CnGBud!B15*Data!$D$11)+(Bb!B27*Data!$D$12)+(Ob!B27*Data!$D$13)+(Rb!B27*Data!$D$14)+(Wb!B27*Data!$D$15)+(wWb!B27*Data!$D$16)+(Tb!B27*Data!$D$17)+(Sb!B27*Data!$D$18)+(BWb!B17*Data!$D$19)+(Pb!B17*Data!$D$20)+(Syb!B17*Data!$D$21)+(SudBud!B15*Data!$D$22)+(CanBud!B15*Data!$D$23)+(BrcBud!B15*Data!$D$24)</f>
        <v>30411.041666666664</v>
      </c>
      <c r="C56" s="716"/>
      <c r="D56" s="716">
        <f t="shared" ref="D56:D70" si="3">B56/crops</f>
        <v>76.027604166666663</v>
      </c>
      <c r="E56" s="752"/>
      <c r="F56" s="716">
        <f>B56/(($B$5*$D$5)+($B$6*$D$6)+($B$7*$D$7)+($B$8*$D$8)+($B$9*$D$9)+($B$10*$D$10)+($B$11*$D$11)+($B$12*$D$12)+($B$13*$D$13)+($B$14*$D$14)+($B$15*$D$15)+($B$16*$D$16)+($B$17*$D$17)+($B$18*$D$18)+($B$19*$D$19)+($B$20*$D$20)+($B$21*$D$21)+($B$22*$D$22)+($B$23*$D$23)+($B$24*$D$24)+($B$25*$D$25))</f>
        <v>2.4525033602150534</v>
      </c>
      <c r="G56" s="752"/>
      <c r="H56" s="716">
        <f>B56/(($B$5*$F$5)+($B$6*$F$6)+($B$7*$F$7)+($B$8*$F$8)+($B$9*$F$9)+($B$10*$F$10)+($B$11*$F$11)+($B$12*$F$12)+($B$13*$F$13)+($B$14*$F$14)+($B$15*$F$15)+($B$16*$F$16)+($B$17*$F$17)+($B$18*$F$18)+($B$19*$F$19)+($B$20*$F$20)+($B$21*$F$21)+($B$22*$F$22)+($B$23*$F$23)+($B$24*$F$24)+($B$25*$F$25))</f>
        <v>90.026766331162406</v>
      </c>
    </row>
    <row r="57" spans="1:16" ht="15.5" x14ac:dyDescent="0.35">
      <c r="A57" s="714" t="s">
        <v>1</v>
      </c>
      <c r="B57" s="715">
        <f>(PotBud!B16*Data!$D$4)+(AlfBud!B16*Data!$D$5)+(CnSBud!B16*Data!$D$6)+(HlgBud!B16*Data!$D$7)+(HayBud!B16*Data!$D$8)+(CvrBud!B16*Data!$D$9)+(GrzBud!B16*Data!$D$10)+(CnGBud!B16*Data!$D$11)+(Bb!B28*Data!$D$12)+(Ob!B28*Data!$D$13)+(Rb!B28*Data!$D$14)+(Wb!B28*Data!$D$15)+(wWb!B28*Data!$D$16)+(Tb!B28*Data!$D$17)+(Sb!B28*Data!$D$18)+(BWb!B18*Data!$D$19)+(Pb!B18*Data!$D$20)+(Syb!B18*Data!$D$21)+(SudBud!B16*Data!$D$22)+(CanBud!B16*Data!$D$23)+(BrcBud!B16*Data!$D$24)</f>
        <v>21000</v>
      </c>
      <c r="C57" s="716"/>
      <c r="D57" s="716">
        <f t="shared" si="3"/>
        <v>52.5</v>
      </c>
      <c r="E57" s="752"/>
      <c r="F57" s="716">
        <f t="shared" ref="F57:F58" si="4">B57/(($B$5*$D$5)+($B$6*$D$6)+($B$7*$D$7)+($B$8*$D$8)+($B$9*$D$9)+($B$10*$D$10)+($B$11*$D$11)+($B$12*$D$12)+($B$13*$D$13)+($B$14*$D$14)+($B$15*$D$15)+($B$16*$D$16)+($B$17*$D$17)+($B$18*$D$18)+($B$19*$D$19)+($B$20*$D$20)+($B$21*$D$21)+($B$22*$D$22)+($B$23*$D$23)+($B$24*$D$24)+($B$25*$D$25))</f>
        <v>1.6935483870967742</v>
      </c>
      <c r="G57" s="752"/>
      <c r="H57" s="716">
        <f t="shared" ref="H57:H86" si="5">B57/(($B$5*$F$5)+($B$6*$F$6)+($B$7*$F$7)+($B$8*$F$8)+($B$9*$F$9)+($B$10*$F$10)+($B$11*$F$11)+($B$12*$F$12)+($B$13*$F$13)+($B$14*$F$14)+($B$15*$F$15)+($B$16*$F$16)+($B$17*$F$17)+($B$18*$F$18)+($B$19*$F$19)+($B$20*$F$20)+($B$21*$F$21)+($B$22*$F$22)+($B$23*$F$23)+($B$24*$F$24)+($B$25*$F$25))</f>
        <v>62.166962699822378</v>
      </c>
    </row>
    <row r="58" spans="1:16" ht="15.5" x14ac:dyDescent="0.35">
      <c r="A58" s="714" t="s">
        <v>2</v>
      </c>
      <c r="B58" s="715">
        <f>(PotBud!B17*Data!$D$4)+(AlfBud!B17*Data!$D$5)+(CnSBud!B17*Data!$D$6)+(HlgBud!B17*Data!$D$7)+(HayBud!B17*Data!$D$8)+(CvrBud!B17*Data!$D$9)+(GrzBud!B17*Data!$D$10)+(CnGBud!B17*Data!$D$11)+(Bb!B29*Data!$D$12)+(Ob!B29*Data!$D$13)+(Rb!B29*Data!$D$14)+(Wb!B29*Data!$D$15)+(wWb!B29*Data!$D$16)+(Tb!B29*Data!$D$17)+(Sb!B29*Data!$D$18)+(BWb!B19*Data!$D$19)+(Pb!B19*Data!$D$20)+(Syb!B19*Data!$D$21)+(SudBud!B17*Data!$D$22)+(CanBud!B17*Data!$D$23)+(BrcBud!B17*Data!$D$24)</f>
        <v>0</v>
      </c>
      <c r="C58" s="716"/>
      <c r="D58" s="715">
        <f t="shared" si="3"/>
        <v>0</v>
      </c>
      <c r="E58" s="753"/>
      <c r="F58" s="715">
        <f t="shared" si="4"/>
        <v>0</v>
      </c>
      <c r="G58" s="753"/>
      <c r="H58" s="715">
        <f t="shared" si="5"/>
        <v>0</v>
      </c>
      <c r="J58" s="753" t="s">
        <v>1868</v>
      </c>
    </row>
    <row r="59" spans="1:16" ht="15.5" x14ac:dyDescent="0.35">
      <c r="A59" s="714" t="s">
        <v>1476</v>
      </c>
      <c r="B59" s="699"/>
      <c r="C59" s="699"/>
      <c r="D59" s="753"/>
      <c r="E59" s="753"/>
      <c r="F59" s="716"/>
      <c r="G59" s="753"/>
      <c r="H59" s="753"/>
      <c r="J59" s="697" t="s">
        <v>76</v>
      </c>
      <c r="K59" s="697"/>
      <c r="L59" s="697" t="s">
        <v>77</v>
      </c>
      <c r="M59" s="698"/>
      <c r="N59" s="697" t="s">
        <v>1554</v>
      </c>
      <c r="O59" s="698"/>
      <c r="P59" s="697" t="s">
        <v>385</v>
      </c>
    </row>
    <row r="60" spans="1:16" ht="15.5" x14ac:dyDescent="0.35">
      <c r="A60" s="714" t="s">
        <v>1121</v>
      </c>
      <c r="B60" s="745">
        <f>(PotBud!B21*Data!$D$4)+(0*Data!$D$5)+(0*Data!$D$6)+(0*Data!$D$7)+(0*Data!$D$8)+(0*Data!$D$9)+(0*Data!$D$10)+(0*Data!$D$11)+(0*Data!$D$12)+(0*Data!$D$13)+(0*Data!$D$14)+(0*Data!$D$15)+(0*Data!$D$16)+(0*Data!$D$17)+(0*Data!$D$18)+(0*Data!$D$19)+(0*Data!$D$20)+(0*Data!$D$21)+(0*Data!$D$22)+(0*Data!$D$23)+(0*Data!$D$24)</f>
        <v>0</v>
      </c>
      <c r="C60" s="746"/>
      <c r="D60" s="745">
        <f>B60/crops</f>
        <v>0</v>
      </c>
      <c r="E60" s="753"/>
      <c r="F60" s="715">
        <f>B60/(($B$5*$D$5)+($B$6*$D$6)+($B$7*$D$7)+($B$8*$D$8)+($B$9*$D$9)+($B$10*$D$10)+($B$11*$D$11)+($B$12*$D$12)+($B$13*$D$13)+($B$14*$D$14)+($B$15*$D$15)+($B$16*$D$16)+($B$17*$D$17)+($B$18*$D$18)+($B$19*$D$19)+($B$20*$D$20)+($B$21*$D$21)+($B$22*$D$22)+($B$23*$D$23)+($B$24*$D$24)+($B$25*$D$25))</f>
        <v>0</v>
      </c>
      <c r="G60" s="753"/>
      <c r="H60" s="715">
        <f>B60/(($B$5*$F$5)+($B$6*$F$6)+($B$7*$F$7)+($B$8*$F$8)+($B$9*$F$9)+($B$10*$F$10)+($B$11*$F$11)+($B$12*$F$12)+($B$13*$F$13)+($B$14*$F$14)+($B$15*$F$15)+($B$16*$F$16)+($B$17*$F$17)+($B$18*$F$18)+($B$19*$F$19)+($B$20*$F$20)+($B$21*$F$21)+($B$22*$F$22)+($B$23*$F$23)+($B$24*$F$24)+($B$25*$F$25))</f>
        <v>0</v>
      </c>
      <c r="J60" s="715">
        <f>SUM(B59:B65)</f>
        <v>0</v>
      </c>
      <c r="L60" s="753">
        <f>SUM(D59:D65)</f>
        <v>0</v>
      </c>
      <c r="N60" s="753">
        <f>SUM(F59:F65)</f>
        <v>0</v>
      </c>
      <c r="P60" s="753">
        <f>SUM(H59:H65)</f>
        <v>0</v>
      </c>
    </row>
    <row r="61" spans="1:16" ht="15.5" x14ac:dyDescent="0.35">
      <c r="A61" s="714" t="s">
        <v>1119</v>
      </c>
      <c r="B61" s="745">
        <f>(PotBud!B19*Data!$D$4)+(AlfBud!B19*Data!$D$5)+(CnSBud!B19*Data!$D$6)+(HlgBud!B19*Data!$D$7)+(HayBud!B19*Data!$D$8)+(CvrBud!B19*Data!$D$9)+(GrzBud!B19*Data!$D$10)+(CnGBud!B19*Data!$D$11)+(Bb!B32*Data!$D$12)+(Ob!B32*Data!$D$13)+(Rb!B32*Data!$D$14)+(Wb!B32*Data!$D$15)+(wWb!B32*Data!$D$16)+(Tb!B32*Data!$D$17)+(Sb!B32*Data!$D$18)+(BWb!B22*Data!$D$19)+(Pb!B22*Data!$D$20)+(Syb!B22*Data!$D$21)+(SudBud!B19*Data!$D$22)+(CanBud!B19*Data!$D$23)+(BrcBud!B19*Data!$D$24)</f>
        <v>0</v>
      </c>
      <c r="C61" s="746"/>
      <c r="D61" s="745">
        <f t="shared" ref="D61:D65" si="6">B61/crops</f>
        <v>0</v>
      </c>
      <c r="E61" s="753"/>
      <c r="F61" s="715">
        <f t="shared" ref="F61:F70" si="7">B61/(($B$5*$D$5)+($B$6*$D$6)+($B$7*$D$7)+($B$8*$D$8)+($B$9*$D$9)+($B$10*$D$10)+($B$11*$D$11)+($B$12*$D$12)+($B$13*$D$13)+($B$14*$D$14)+($B$15*$D$15)+($B$16*$D$16)+($B$17*$D$17)+($B$18*$D$18)+($B$19*$D$19)+($B$20*$D$20)+($B$21*$D$21)+($B$22*$D$22)+($B$23*$D$23)+($B$24*$D$24)+($B$25*$D$25))</f>
        <v>0</v>
      </c>
      <c r="G61" s="753"/>
      <c r="H61" s="715">
        <f t="shared" si="5"/>
        <v>0</v>
      </c>
    </row>
    <row r="62" spans="1:16" ht="15.5" x14ac:dyDescent="0.35">
      <c r="A62" s="714" t="s">
        <v>1120</v>
      </c>
      <c r="B62" s="745">
        <f>(PotBud!B20*Data!$D$4)+(AlfBud!B20*Data!$D$5)+(CnSBud!B20*Data!$D$6)+(HlgBud!B20*Data!$D$7)+(HayBud!B20*Data!$D$8)+(CvrBud!B20*Data!$D$9)+(GrzBud!B20*Data!$D$10)+(CnGBud!B20*Data!$D$11)+(Bb!B33*Data!$D$12)+(Ob!B33*Data!$D$13)+(Rb!B33*Data!$D$14)+(Wb!B33*Data!$D$15)+(wWb!B33*Data!$D$16)+(Tb!B33*Data!$D$17)+(Sb!B33*Data!$D$18)+(BWb!B23*Data!$D$19)+(Pb!B23*Data!$D$20)+(Syb!B23*Data!$D$21)+(SudBud!B20*Data!$D$22)+(CanBud!B20*Data!$D$23)+(BrcBud!B20*Data!$D$24)</f>
        <v>0</v>
      </c>
      <c r="C62" s="746"/>
      <c r="D62" s="745">
        <f t="shared" si="6"/>
        <v>0</v>
      </c>
      <c r="E62" s="753"/>
      <c r="F62" s="715">
        <f t="shared" si="7"/>
        <v>0</v>
      </c>
      <c r="G62" s="753"/>
      <c r="H62" s="715">
        <f t="shared" si="5"/>
        <v>0</v>
      </c>
    </row>
    <row r="63" spans="1:16" ht="15.5" x14ac:dyDescent="0.35">
      <c r="A63" s="714" t="s">
        <v>1122</v>
      </c>
      <c r="B63" s="745">
        <f>(PotBud!B22*Data!$D$4)+(0*Data!$D$5)+(0*Data!$D$6)+(0*Data!$D$7)+(0*Data!$D$8)+(0*Data!$D$9)+(0*Data!$D$10)+(0*Data!$D$11)+(0*Data!$D$12)+(0*Data!$D$13)+(0*Data!$D$14)+(0*Data!$D$15)+(0*Data!$D$16)+(0*Data!$D$17)+(0*Data!$D$18)+(0*Data!$D$19)+(0*Data!$D$20)+(0*Data!$D$21)+(0*Data!$D$22)+(0*Data!$D$23)+(0*Data!$D$24)</f>
        <v>0</v>
      </c>
      <c r="C63" s="746"/>
      <c r="D63" s="745">
        <f t="shared" si="6"/>
        <v>0</v>
      </c>
      <c r="E63" s="753"/>
      <c r="F63" s="715">
        <f t="shared" si="7"/>
        <v>0</v>
      </c>
      <c r="G63" s="753"/>
      <c r="H63" s="715">
        <f t="shared" si="5"/>
        <v>0</v>
      </c>
    </row>
    <row r="64" spans="1:16" ht="15.5" x14ac:dyDescent="0.35">
      <c r="A64" s="714" t="s">
        <v>1123</v>
      </c>
      <c r="B64" s="745">
        <f>(PotBud!B23*Data!$D$4)+(0*Data!$D$5)+(0*Data!$D$6)+(0*Data!$D$7)+(0*Data!$D$8)+(0*Data!$D$9)+(0*Data!$D$10)+(0*Data!$D$11)+(0*Data!$D$12)+(0*Data!$D$13)+(0*Data!$D$14)+(0*Data!$D$15)+(0*Data!$D$16)+(0*Data!$D$17)+(0*Data!$D$18)+(0*Data!$D$19)+(0*Data!$D$20)+(0*Data!$D$21)+(0*Data!$D$22)+(0*Data!$D$23)+(0*Data!$D$24)</f>
        <v>0</v>
      </c>
      <c r="C64" s="746"/>
      <c r="D64" s="745">
        <f t="shared" si="6"/>
        <v>0</v>
      </c>
      <c r="E64" s="753"/>
      <c r="F64" s="715">
        <f t="shared" si="7"/>
        <v>0</v>
      </c>
      <c r="G64" s="753"/>
      <c r="H64" s="715">
        <f t="shared" si="5"/>
        <v>0</v>
      </c>
    </row>
    <row r="65" spans="1:18" ht="15.5" x14ac:dyDescent="0.35">
      <c r="A65" s="714" t="s">
        <v>1124</v>
      </c>
      <c r="B65" s="745">
        <f>(PotBud!B24*Data!$D$4)+(0*Data!$D$5)+(0*Data!$D$6)+(0*Data!$D$7)+(0*Data!$D$8)+(0*Data!$D$9)+(0*Data!$D$10)+(0*Data!$D$11)+(0*Data!$D$12)+(0*Data!$D$13)+(0*Data!$D$14)+(0*Data!$D$15)+(0*Data!$D$16)+(0*Data!$D$17)+(0*Data!$D$18)+(0*Data!$D$19)+(0*Data!$D$20)+(0*Data!$D$21)+(0*Data!$D$22)+(0*Data!$D$23)+(0*Data!$D$24)</f>
        <v>0</v>
      </c>
      <c r="C65" s="746"/>
      <c r="D65" s="745">
        <f t="shared" si="6"/>
        <v>0</v>
      </c>
      <c r="E65" s="753"/>
      <c r="F65" s="715">
        <f t="shared" si="7"/>
        <v>0</v>
      </c>
      <c r="G65" s="753"/>
      <c r="H65" s="715">
        <f t="shared" si="5"/>
        <v>0</v>
      </c>
    </row>
    <row r="66" spans="1:18" ht="15.5" x14ac:dyDescent="0.35">
      <c r="A66" s="714" t="s">
        <v>1214</v>
      </c>
      <c r="B66" s="715">
        <f>(PotBud!B25*Data!$D$4)+(AlfBud!B21*Data!$D$5)+(CnSBud!B21*Data!$D$6)+(HlgBud!B21*Data!$D$7)+(HayBud!B21*Data!$D$8)+(CvrBud!B21*Data!$D$9)+(GrzBud!B21*Data!$D$10)+(CnGBud!B21*Data!$D$11)+(Bb!B34*Data!$D$12)+(Ob!B34*Data!$D$13)+(Rb!B34*Data!$D$14)+(Wb!B34*Data!$D$15)+(wWb!B34*Data!$D$16)+(Tb!B34*Data!$D$17)+(Sb!B34*Data!$D$18)+(BWb!B24*Data!$D$19)+(Pb!B24*Data!$D$20)+(Syb!B24*Data!$D$21)+(SudBud!B21*Data!$D$22)+(CanBud!B21*Data!$D$23)+(BrcBud!B21*Data!$D$24)</f>
        <v>10958.270386838089</v>
      </c>
      <c r="C66" s="716"/>
      <c r="D66" s="716">
        <f t="shared" si="3"/>
        <v>27.395675967095222</v>
      </c>
      <c r="E66" s="752"/>
      <c r="F66" s="716">
        <f t="shared" si="7"/>
        <v>0.88373148280952329</v>
      </c>
      <c r="G66" s="752"/>
      <c r="H66" s="716">
        <f t="shared" si="5"/>
        <v>32.440113637768171</v>
      </c>
    </row>
    <row r="67" spans="1:18" ht="15.5" x14ac:dyDescent="0.35">
      <c r="A67" s="714" t="s">
        <v>1261</v>
      </c>
      <c r="B67" s="715">
        <f>(PotBud!B26*Data!$D$4)+(AlfBud!B22*Data!$D$5)+(CnSBud!B22*Data!$D$6)+(HlgBud!B22*Data!$D$7)+(HayBud!B22*Data!$D$8)+(CvrBud!B22*Data!$D$9)+(GrzBud!B22*Data!$D$10)+(CnGBud!B22*Data!$D$11)+(Bb!B35*Data!$D$12)+(Ob!B35*Data!$D$13)+(Rb!B35*Data!$D$14)+(Wb!B35*Data!$D$15)+(wWb!B35*Data!$D$16)+(Tb!B35*Data!$D$17)+(Sb!B35*Data!$D$18)+(BWb!B25*Data!$D$19)+(Pb!B25*Data!$D$20)+(Syb!B25*Data!$D$21)+(SudBud!B22*Data!$D$22)+(CanBud!B22*Data!$D$23)+(BrcBud!B22*Data!$D$24)</f>
        <v>6601.2342142004418</v>
      </c>
      <c r="C67" s="716"/>
      <c r="D67" s="716">
        <f t="shared" si="3"/>
        <v>16.503085535501103</v>
      </c>
      <c r="E67" s="752"/>
      <c r="F67" s="716">
        <f t="shared" si="7"/>
        <v>0.53235759791939041</v>
      </c>
      <c r="G67" s="752"/>
      <c r="H67" s="716">
        <f t="shared" si="5"/>
        <v>19.541841960332864</v>
      </c>
    </row>
    <row r="68" spans="1:18" ht="15.5" x14ac:dyDescent="0.35">
      <c r="A68" s="714" t="s">
        <v>78</v>
      </c>
      <c r="B68" s="715">
        <f>(PotBud!B27*Data!$D$4)+(AlfBud!B23*Data!$D$5)+(CnSBud!B23*Data!$D$6)+(HlgBud!B23*Data!$D$7)+(HayBud!B23*Data!$D$8)+(CvrBud!B23*Data!$D$9)+(GrzBud!B23*Data!$D$10)+(CnGBud!B23*Data!$D$11)+(Bb!B36*Data!$D$12)+(Ob!B36*Data!$D$13)+(Rb!B36*Data!$D$14)+(Wb!B36*Data!$D$15)+(wWb!B36*Data!$D$16)+(Tb!B36*Data!$D$17)+(Sb!B36*Data!$D$18)+(BWb!B26*Data!$D$19)+(Pb!B26*Data!$D$20)+(Syb!B26*Data!$D$21)+(SudBud!B23*Data!$D$22)+(CanBud!B23*Data!$D$23)+(BrcBud!B23*Data!$D$24)</f>
        <v>28437.761064068301</v>
      </c>
      <c r="C68" s="716"/>
      <c r="D68" s="716">
        <f t="shared" si="3"/>
        <v>71.094402660170758</v>
      </c>
      <c r="E68" s="752"/>
      <c r="F68" s="716">
        <f t="shared" si="7"/>
        <v>2.2933678277474439</v>
      </c>
      <c r="G68" s="752"/>
      <c r="H68" s="716">
        <f t="shared" si="5"/>
        <v>84.185201492209302</v>
      </c>
    </row>
    <row r="69" spans="1:18" ht="15.5" x14ac:dyDescent="0.35">
      <c r="A69" s="714" t="s">
        <v>170</v>
      </c>
      <c r="B69" s="715">
        <f>(PotBud!B28*Data!$D$4)+(AlfBud!B24*Data!$D$5)+(CnSBud!B24*Data!$D$6)+(HlgBud!B24*Data!$D$7)+(HayBud!B24*Data!$D$8)+(CvrBud!B24*Data!$D$9)+(GrzBud!B24*Data!$D$10)+(CnGBud!B24*Data!$D$11)+(Bb!B37*Data!$D$12)+(Ob!B37*Data!$D$13)+(Rb!B37*Data!$D$14)+(Wb!B37*Data!$D$15)+(wWb!B37*Data!$D$16)+(Tb!B37*Data!$D$17)+(Sb!B37*Data!$D$18)+(BWb!B27*Data!$D$19)+(Pb!B27*Data!$D$20)+(Syb!B27*Data!$D$21)+(SudBud!B24*Data!$D$22)+(CanBud!B24*Data!$D$23)+(BrcBud!B24*Data!$D$24)</f>
        <v>0</v>
      </c>
      <c r="C69" s="716"/>
      <c r="D69" s="715">
        <f t="shared" si="3"/>
        <v>0</v>
      </c>
      <c r="E69" s="753"/>
      <c r="F69" s="715">
        <f t="shared" si="7"/>
        <v>0</v>
      </c>
      <c r="G69" s="753"/>
      <c r="H69" s="715">
        <f t="shared" si="5"/>
        <v>0</v>
      </c>
    </row>
    <row r="70" spans="1:18" ht="15.5" x14ac:dyDescent="0.35">
      <c r="A70" s="714" t="s">
        <v>171</v>
      </c>
      <c r="B70" s="715">
        <f>(PotBud!B29*Data!$D$4)+(AlfBud!B25*Data!$D$5)+(CnSBud!B25*Data!$D$6)+(HlgBud!B25*Data!$D$7)+(HayBud!B25*Data!$D$8)+(CvrBud!B25*Data!$D$9)+(GrzBud!B25*Data!$D$10)+(CnGBud!B25*Data!$D$11)+(Bb!B38*Data!$D$12)+(Ob!B38*Data!$D$13)+(Rb!B38*Data!$D$14)+(Wb!B38*Data!$D$15)+(wWb!B38*Data!$D$16)+(Tb!B38*Data!$D$17)+(Sb!B38*Data!$D$18)+(BWb!B28*Data!$D$19)+(Pb!B28*Data!$D$20)+(Syb!B28*Data!$D$21)+(SudBud!B25*Data!$D$22)+(CanBud!B25*Data!$D$23)+(BrcBud!B25*Data!$D$24)</f>
        <v>1200</v>
      </c>
      <c r="C70" s="716"/>
      <c r="D70" s="716">
        <f t="shared" si="3"/>
        <v>3</v>
      </c>
      <c r="E70" s="752"/>
      <c r="F70" s="716">
        <f t="shared" si="7"/>
        <v>9.6774193548387094E-2</v>
      </c>
      <c r="G70" s="752"/>
      <c r="H70" s="716">
        <f t="shared" si="5"/>
        <v>3.5523978685612789</v>
      </c>
      <c r="J70" s="716" t="s">
        <v>1125</v>
      </c>
    </row>
    <row r="71" spans="1:18" ht="15.5" x14ac:dyDescent="0.35">
      <c r="A71" s="714" t="s">
        <v>172</v>
      </c>
      <c r="B71" s="715"/>
      <c r="C71" s="699"/>
      <c r="D71" s="699"/>
      <c r="E71" s="699"/>
      <c r="F71" s="716"/>
      <c r="G71" s="699"/>
      <c r="H71" s="716"/>
      <c r="J71" s="697" t="s">
        <v>76</v>
      </c>
      <c r="K71" s="697"/>
      <c r="L71" s="697" t="s">
        <v>77</v>
      </c>
      <c r="M71" s="698"/>
      <c r="N71" s="697" t="s">
        <v>1554</v>
      </c>
      <c r="O71" s="698"/>
      <c r="P71" s="697" t="s">
        <v>385</v>
      </c>
    </row>
    <row r="72" spans="1:18" ht="15.5" x14ac:dyDescent="0.35">
      <c r="A72" s="734" t="s">
        <v>439</v>
      </c>
      <c r="B72" s="715">
        <f>(PotBud!B31*Data!$D$4)+(AlfBud!B27*Data!$D$5)+(CnSBud!B27*Data!$D$6)+(HlgBud!B27*Data!$D$7)+(HayBud!B27*Data!$D$8)+(CvrBud!B27*Data!$D$9)+(GrzBud!B27*Data!$D$10)+(CnGBud!B27*Data!$D$11)+(Bb!B40*Data!$D$12)+(Ob!B40*Data!$D$13)+(Rb!B40*Data!$D$14)+(Wb!B40*Data!$D$15)+(wWb!B40*Data!$D$16)+(Tb!B40*Data!$D$17)+(Sb!B40*Data!$D$18)+(BWb!B30*Data!$D$19)+(Pb!B30*Data!$D$20)+(Syb!B30*Data!$D$21)+(SudBud!B27*Data!$D$22)+(CanBud!B27*Data!$D$23)+(BrcBud!B27*Data!$D$24)</f>
        <v>600</v>
      </c>
      <c r="C72" s="716"/>
      <c r="D72" s="716">
        <f t="shared" ref="D72:D85" si="8">B72/crops</f>
        <v>1.5</v>
      </c>
      <c r="E72" s="752"/>
      <c r="F72" s="716">
        <f t="shared" ref="F72:F86" si="9">B72/(($B$5*$D$5)+($B$6*$D$6)+($B$7*$D$7)+($B$8*$D$8)+($B$9*$D$9)+($B$10*$D$10)+($B$11*$D$11)+($B$12*$D$12)+($B$13*$D$13)+($B$14*$D$14)+($B$15*$D$15)+($B$16*$D$16)+($B$17*$D$17)+($B$18*$D$18)+($B$19*$D$19)+($B$20*$D$20)+($B$21*$D$21)+($B$22*$D$22)+($B$23*$D$23)+($B$24*$D$24)+($B$25*$D$25))</f>
        <v>4.8387096774193547E-2</v>
      </c>
      <c r="G72" s="752"/>
      <c r="H72" s="716">
        <f t="shared" si="5"/>
        <v>1.7761989342806395</v>
      </c>
      <c r="J72" s="715">
        <f>SUM(B72:B85)</f>
        <v>28911.070462433549</v>
      </c>
      <c r="L72" s="752">
        <f>SUM(D72:D85)</f>
        <v>72.277676156083857</v>
      </c>
      <c r="N72" s="752">
        <f>SUM(F72:F85)</f>
        <v>2.3315379405188343</v>
      </c>
      <c r="P72" s="752">
        <f>SUM(H72:H85)</f>
        <v>85.586354240478229</v>
      </c>
    </row>
    <row r="73" spans="1:18" ht="15.5" x14ac:dyDescent="0.35">
      <c r="A73" s="734" t="s">
        <v>1506</v>
      </c>
      <c r="B73" s="715">
        <f>(0)+(0)+(0)+(0)+(0)+(0)+(0)+(0)+(Bb!B41*Data!$D$12)+(Ob!B41*Data!$D$13)+(Rb!B41*Data!$D$14)+(Wb!B41*Data!$D$15)+(wWb!B41*Data!$D$16)+(Tb!B41*Data!$D$17)+(Sb!B41*Data!$D$18)+(BWb!B31*Data!$D$19)+(Pb!B31*Data!$D$20)+(Syb!B31*Data!$D$21)+(0)+(0)+(0)</f>
        <v>3500</v>
      </c>
      <c r="C73" s="716"/>
      <c r="D73" s="716">
        <f t="shared" si="8"/>
        <v>8.75</v>
      </c>
      <c r="E73" s="752"/>
      <c r="F73" s="716">
        <f t="shared" si="9"/>
        <v>0.28225806451612906</v>
      </c>
      <c r="G73" s="752"/>
      <c r="H73" s="716">
        <f t="shared" si="5"/>
        <v>10.361160449970397</v>
      </c>
      <c r="I73" s="98"/>
      <c r="J73" s="98"/>
    </row>
    <row r="74" spans="1:18" ht="15.5" x14ac:dyDescent="0.35">
      <c r="A74" s="734" t="s">
        <v>1505</v>
      </c>
      <c r="B74" s="715">
        <f>(0)+(0)+(0)+(0)+(0)+(0)+(0)+(0)+(Bb!B42*Data!$D$12)+(Ob!B42*Data!$D$13)+(Rb!B42*Data!$D$14)+(Wb!B42*Data!$D$15)+(wWb!B42*Data!$D$16)+(Tb!B42*Data!$D$17)+(Sb!B42*Data!$D$18)+(BWb!B32*Data!$D$19)+(Pb!B32*Data!$D$20)+(Syb!B32*Data!$D$21)+(0)+(0)+(0)</f>
        <v>1800</v>
      </c>
      <c r="C74" s="716"/>
      <c r="D74" s="716">
        <f t="shared" si="8"/>
        <v>4.5</v>
      </c>
      <c r="E74" s="752"/>
      <c r="F74" s="716">
        <f t="shared" si="9"/>
        <v>0.14516129032258066</v>
      </c>
      <c r="G74" s="752"/>
      <c r="H74" s="716">
        <f t="shared" si="5"/>
        <v>5.3285968028419184</v>
      </c>
      <c r="I74" s="98"/>
      <c r="J74" s="98"/>
    </row>
    <row r="75" spans="1:18" ht="15.5" x14ac:dyDescent="0.35">
      <c r="A75" s="734" t="s">
        <v>1237</v>
      </c>
      <c r="B75" s="715">
        <f>(PotBud!B32*Data!$D$4)+(AlfBud!B28*Data!$D$5)+(CnSBud!B28*Data!$D$6)+(HlgBud!B28*Data!$D$7)+(HayBud!B28*Data!$D$8)+(CvrBud!B28*Data!$D$9)+(GrzBud!B28*Data!$D$10)+(CnGBud!B28*Data!$D$11)+(Bb!B43*Data!$D$12)+(Ob!B43*Data!$D$13)+(Rb!B43*Data!$D$14)+(Wb!B43*Data!$D$15)+(wWb!B43*Data!$D$16)+(Tb!B43*Data!$D$17)+(Sb!B43*Data!$D$18)+(BWb!B33*Data!$D$19)+(Pb!B33*Data!$D$20)+(Syb!B33*Data!$D$21)+(SudBud!B28*Data!$D$22)+(CanBud!B28*Data!$D$23)+(BrcBud!B28*Data!$D$24)</f>
        <v>6000</v>
      </c>
      <c r="C75" s="716"/>
      <c r="D75" s="716">
        <f t="shared" si="8"/>
        <v>15</v>
      </c>
      <c r="E75" s="753"/>
      <c r="F75" s="716">
        <f t="shared" si="9"/>
        <v>0.4838709677419355</v>
      </c>
      <c r="G75" s="753"/>
      <c r="H75" s="716">
        <f t="shared" si="5"/>
        <v>17.761989342806395</v>
      </c>
    </row>
    <row r="76" spans="1:18" ht="15.5" x14ac:dyDescent="0.35">
      <c r="A76" s="734" t="s">
        <v>1212</v>
      </c>
      <c r="B76" s="715">
        <f>(PotBud!B33*Data!$D$4)+(AlfBud!B29*Data!$D$5)+(CnSBud!B29*Data!$D$6)+(HlgBud!B29*Data!$D$7)+(HayBud!B29*Data!$D$8)+(CvrBud!B29*Data!$D$9)+(GrzBud!B29*Data!$D$10)+(CnGBud!B29*Data!$D$11)+(Bb!B44*Data!$D$12)+(Ob!B44*Data!$D$13)+(Rb!B44*Data!$D$14)+(Wb!B44*Data!$D$15)+(wWb!B44*Data!$D$16)+(Tb!B44*Data!$D$17)+(Sb!B44*Data!$D$18)+(BWb!B34*Data!$D$19)+(Pb!B34*Data!$D$20)+(Syb!B34*Data!$D$21)+(SudBud!B29*Data!$D$22)+(CanBud!B29*Data!$D$23)+(BrcBud!B29*Data!$D$24)</f>
        <v>5000</v>
      </c>
      <c r="C76" s="716"/>
      <c r="D76" s="716">
        <f t="shared" si="8"/>
        <v>12.5</v>
      </c>
      <c r="E76" s="752"/>
      <c r="F76" s="716">
        <f t="shared" si="9"/>
        <v>0.40322580645161288</v>
      </c>
      <c r="G76" s="752"/>
      <c r="H76" s="716">
        <f t="shared" si="5"/>
        <v>14.801657785671996</v>
      </c>
    </row>
    <row r="77" spans="1:18" ht="15.5" x14ac:dyDescent="0.35">
      <c r="A77" s="734" t="s">
        <v>1238</v>
      </c>
      <c r="B77" s="715">
        <f>(0)+(0)+(0)+(0)+(0)+(0)+(0)+(CnGBud!B31*Data!$D$11)+(Bb!B45*Data!$D$12)+(Ob!B45*Data!$D$13)+(Rb!B45*Data!$D$14)+(Wb!B45*Data!$D$15)+(wWb!B45*Data!$D$16)+(Tb!B45*Data!$D$17)+(Sb!B45*Data!$D$18)+(BWb!B35*Data!$D$19)+(Pb!B35*Data!$D$20)+(Syb!B35*Data!$D$21)+(0)+(CanBud!B31*Data!$D$23)+(0)</f>
        <v>6636.6704624335462</v>
      </c>
      <c r="C77" s="716"/>
      <c r="D77" s="716">
        <f t="shared" si="8"/>
        <v>16.591676156083864</v>
      </c>
      <c r="E77" s="752"/>
      <c r="F77" s="716">
        <f t="shared" si="9"/>
        <v>0.53521535987367308</v>
      </c>
      <c r="G77" s="752"/>
      <c r="H77" s="716">
        <f t="shared" si="5"/>
        <v>19.646745004243773</v>
      </c>
    </row>
    <row r="78" spans="1:18" ht="15.5" x14ac:dyDescent="0.35">
      <c r="A78" s="734" t="s">
        <v>2076</v>
      </c>
      <c r="B78" s="715">
        <f>(0)+(AlfBud!B31*Data!$D$5)+(0)+(HlgBud!B31*Data!$D$7)+(HayBud!B31*Data!$D$8)+(CvrBud!B31*Data!$D$9)+(0)+(0)+(Bb!B46*Data!$D$12)+(Ob!B46*Data!$D$13)+(Rb!B46*Data!$D$14)+(Wb!B46*Data!$D$15)+(wWb!B46*Data!$D$16)+(Tb!B46*Data!$D$17)+(Sb!B46*Data!$D$18)+(0)+(0)+(0)+(0)+(0)+(0)</f>
        <v>0</v>
      </c>
      <c r="C78" s="716"/>
      <c r="D78" s="716">
        <f t="shared" si="8"/>
        <v>0</v>
      </c>
      <c r="E78" s="752"/>
      <c r="F78" s="716">
        <f t="shared" si="9"/>
        <v>0</v>
      </c>
      <c r="G78" s="752"/>
      <c r="H78" s="716">
        <f t="shared" si="5"/>
        <v>0</v>
      </c>
    </row>
    <row r="79" spans="1:18" ht="15.5" x14ac:dyDescent="0.35">
      <c r="A79" s="734" t="s">
        <v>2029</v>
      </c>
      <c r="B79" s="715">
        <f>(PotBud!B34*Data!$D$4)+(AlfBud!B30*Data!$D$5)+(CnSBud!B30*Data!$D$6)+(HlgBud!B30*Data!$D$7)+(HayBud!B30*Data!$D$8)+(CvrBud!B30*Data!$D$9)+(GrzBud!B30*Data!$D$10)+(CnGBud!B30*Data!$D$11)+(Bb!B47*Data!$D$12)+(Ob!B47*Data!$D$13)+(Rb!B47*Data!$D$14)+(Wb!B47*Data!$D$15)+(wWb!B47*Data!$D$16)+(Tb!B47*Data!$D$17)+(Sb!B47*Data!$D$18)+(BWb!B36*Data!$D$19)+(Pb!B36*Data!$D$20)+(Syb!B36*Data!$D$21)+(SudBud!B30*Data!$D$22)+(CanBud!B30*Data!$D$23)+(BrcBud!B30*Data!$D$24)</f>
        <v>0</v>
      </c>
      <c r="C79" s="716"/>
      <c r="D79" s="715">
        <f>B79/crops</f>
        <v>0</v>
      </c>
      <c r="E79" s="752"/>
      <c r="F79" s="715">
        <f t="shared" si="9"/>
        <v>0</v>
      </c>
      <c r="G79" s="752"/>
      <c r="H79" s="715">
        <f t="shared" si="5"/>
        <v>0</v>
      </c>
      <c r="R79" s="7"/>
    </row>
    <row r="80" spans="1:18" ht="15.5" x14ac:dyDescent="0.35">
      <c r="A80" s="734" t="s">
        <v>1532</v>
      </c>
      <c r="B80" s="715">
        <f>(0)+(0)+(0)+(0)+(0)+(0)+(0)+(0)+(Bb!B48*Data!$D$12)+(Ob!B48*Data!$D$13)+(Rb!B48*Data!$D$14)+(Wb!B48*Data!$D$15)+(wWb!B48*Data!$D$16)+(Tb!B48*Data!$D$17)+(Sb!B48*Data!$D$18)+(BWb!B37*Data!$D$19)+(Pb!B37*Data!$D$20)+(Syb!B37*Data!$D$21)+(0)+(0)+(0)</f>
        <v>4424.3999999999996</v>
      </c>
      <c r="C80" s="716"/>
      <c r="D80" s="716">
        <f t="shared" si="8"/>
        <v>11.061</v>
      </c>
      <c r="E80" s="752"/>
      <c r="F80" s="716">
        <f t="shared" si="9"/>
        <v>0.3568064516129032</v>
      </c>
      <c r="G80" s="752"/>
      <c r="H80" s="716">
        <f t="shared" si="5"/>
        <v>13.097690941385434</v>
      </c>
    </row>
    <row r="81" spans="1:18" ht="15.5" x14ac:dyDescent="0.35">
      <c r="A81" s="734" t="s">
        <v>1533</v>
      </c>
      <c r="B81" s="715">
        <f>(0)+(0)+(0)+(0)+(0)+(0)+(0)+(0)+(Bb!B49*Data!$D$12)+(Ob!B49*Data!$D$13)+(Rb!B49*Data!$D$14)+(Wb!B49*Data!$D$15)+(wWb!B49*Data!$D$16)+(Tb!B49*Data!$D$17)+(Sb!B49*Data!$D$18)+(BWb!B38*Data!$D$19)+(Pb!B38*Data!$D$20)+(Syb!B38*Data!$D$21)+(0)+(0)+(0)</f>
        <v>0</v>
      </c>
      <c r="C81" s="716"/>
      <c r="D81" s="715">
        <f t="shared" si="8"/>
        <v>0</v>
      </c>
      <c r="E81" s="752"/>
      <c r="F81" s="715">
        <f t="shared" si="9"/>
        <v>0</v>
      </c>
      <c r="G81" s="752"/>
      <c r="H81" s="715">
        <f t="shared" si="5"/>
        <v>0</v>
      </c>
    </row>
    <row r="82" spans="1:18" ht="15.5" x14ac:dyDescent="0.35">
      <c r="A82" s="734" t="s">
        <v>1541</v>
      </c>
      <c r="B82" s="715">
        <f>(0)+(0)+(0)+(0)+(0)+(0)+(0)+(0)+(Bb!B50*Data!$D$12)+(Ob!B50*Data!$D$13)+(Rb!B50*Data!$D$14)+(Wb!B50*Data!$D$15)+(wWb!B50*Data!$D$16)+(Tb!B50*Data!$D$17)+(Sb!B50*Data!$D$18)+(BWb!B39*Data!$D$19)+(Pb!B39*Data!$D$20)+(Syb!B39*Data!$D$21)+(0)+(0)+(0)</f>
        <v>200</v>
      </c>
      <c r="C82" s="716"/>
      <c r="D82" s="716">
        <f t="shared" si="8"/>
        <v>0.5</v>
      </c>
      <c r="E82" s="752"/>
      <c r="F82" s="716">
        <f t="shared" si="9"/>
        <v>1.6129032258064516E-2</v>
      </c>
      <c r="G82" s="752"/>
      <c r="H82" s="716">
        <f t="shared" si="5"/>
        <v>0.59206631142687982</v>
      </c>
    </row>
    <row r="83" spans="1:18" ht="15.5" x14ac:dyDescent="0.35">
      <c r="A83" s="734" t="s">
        <v>1535</v>
      </c>
      <c r="B83" s="715">
        <f>(0)+(0)+(0)+(0)+(0)+(0)+(0)+(0)+(Bb!B51*Data!$D$12)+(Ob!B51*Data!$D$13)+(Rb!B51*Data!$D$14)+(Wb!B51*Data!$D$15)+(wWb!B51*Data!$D$16)+(Tb!B51*Data!$D$17)+(Sb!B51*Data!$D$18)+(BWb!B40*Data!$D$19)+(Pb!B40*Data!$D$20)+(Syb!B40*Data!$D$21)+(0)+(0)+(0)</f>
        <v>500</v>
      </c>
      <c r="C83" s="716"/>
      <c r="D83" s="716">
        <f t="shared" si="8"/>
        <v>1.25</v>
      </c>
      <c r="E83" s="752"/>
      <c r="F83" s="716">
        <f t="shared" si="9"/>
        <v>4.0322580645161289E-2</v>
      </c>
      <c r="G83" s="752"/>
      <c r="H83" s="716">
        <f t="shared" si="5"/>
        <v>1.4801657785671996</v>
      </c>
    </row>
    <row r="84" spans="1:18" ht="15.5" x14ac:dyDescent="0.35">
      <c r="A84" s="734" t="s">
        <v>1536</v>
      </c>
      <c r="B84" s="715">
        <f>(0)+(0)+(0)+(0)+(0)+(0)+(0)+(0)+(Bb!B52*Data!$D$12)+(Ob!B52*Data!$D$13)+(Rb!B52*Data!$D$14)+(Wb!B52*Data!$D$15)+(wWb!B52*Data!$D$16)+(Tb!B52*Data!$D$17)+(Sb!B52*Data!$D$18)+(BWb!B41*Data!$D$19)+(Pb!B41*Data!$D$20)+(Syb!B41*Data!$D$21)+(0)+(0)+(0)</f>
        <v>250</v>
      </c>
      <c r="C84" s="716"/>
      <c r="D84" s="716">
        <f t="shared" si="8"/>
        <v>0.625</v>
      </c>
      <c r="E84" s="752"/>
      <c r="F84" s="716">
        <f t="shared" si="9"/>
        <v>2.0161290322580645E-2</v>
      </c>
      <c r="G84" s="752"/>
      <c r="H84" s="716">
        <f t="shared" si="5"/>
        <v>0.74008288928359978</v>
      </c>
    </row>
    <row r="85" spans="1:18" ht="15.5" x14ac:dyDescent="0.35">
      <c r="A85" s="734" t="s">
        <v>443</v>
      </c>
      <c r="B85" s="715">
        <f>(PotBud!B36*Data!$D$4)+(AlfBud!B32*Data!$D$5)+(CnSBud!B32*Data!$D$6)+(HlgBud!B32*Data!$D$7)+(HayBud!B32*Data!$D$8)+(CvrBud!B32*Data!$D$9)+(GrzBud!B32*Data!$D$10)+(CnGBud!B32*Data!$D$11)+(Bb!B53*Data!$D$12)+(Ob!B53*Data!$D$13)+(Rb!B53*Data!$D$14)+(Wb!B53*Data!$D$15)+(wWb!B53*Data!$D$16)+(Tb!B53*Data!$D$17)+(Sb!B53*Data!$D$18)+(BWb!B42*Data!$D$19)+(Pb!B42*Data!$D$20)+(Syb!B42*Data!$D$21)+(SudBud!B32*Data!$D$22)+(CanBud!B32*Data!$D$23)+(BrcBud!B32*Data!$D$24)</f>
        <v>0</v>
      </c>
      <c r="C85" s="716"/>
      <c r="D85" s="715">
        <f t="shared" si="8"/>
        <v>0</v>
      </c>
      <c r="E85" s="753"/>
      <c r="F85" s="715">
        <f t="shared" si="9"/>
        <v>0</v>
      </c>
      <c r="G85" s="753"/>
      <c r="H85" s="715">
        <f t="shared" si="5"/>
        <v>0</v>
      </c>
    </row>
    <row r="86" spans="1:18" ht="15.5" x14ac:dyDescent="0.35">
      <c r="A86" s="714" t="s">
        <v>69</v>
      </c>
      <c r="B86" s="715">
        <f>(PotBud!B37*Data!$D$4)+(AlfBud!B33*Data!$D$5)+(CnSBud!B33*Data!$D$6)+(HlgBud!B33*Data!$D$7)+(HayBud!B33*Data!$D$8)+(CvrBud!B33*Data!$D$9)+(GrzBud!B33*Data!$D$10)+(CnGBud!B33*Data!$D$11)+(Bb!B54*Data!$D$12)+(Ob!B54*Data!$D$13)+(Rb!B54*Data!$D$14)+(Wb!B54*Data!$D$15)+(wWb!B54*Data!$D$16)+(Tb!B54*Data!$D$17)+(Sb!B54*Data!$D$18)+(BWb!B43*Data!$D$19)+(Pb!B43*Data!$D$20)+(Syb!B43*Data!$D$21)+(SudBud!B33*Data!$D$22)+(CanBud!B33*Data!$D$23)+(BrcBud!B33*Data!$D$24)</f>
        <v>3521.5748632798613</v>
      </c>
      <c r="C86" s="733"/>
      <c r="D86" s="733">
        <f>B86/crops</f>
        <v>8.8039371581996537</v>
      </c>
      <c r="E86" s="752"/>
      <c r="F86" s="716">
        <f t="shared" si="9"/>
        <v>0.2839979728451501</v>
      </c>
      <c r="G86" s="752"/>
      <c r="H86" s="716">
        <f t="shared" si="5"/>
        <v>10.425029198578629</v>
      </c>
    </row>
    <row r="87" spans="1:18" ht="15" x14ac:dyDescent="0.3">
      <c r="A87" s="709" t="s">
        <v>366</v>
      </c>
      <c r="B87" s="735">
        <f>SUM(B56:B86)</f>
        <v>131040.95265748688</v>
      </c>
      <c r="C87" s="736"/>
      <c r="D87" s="736">
        <f>SUM(D56:D86)</f>
        <v>327.60238164371719</v>
      </c>
      <c r="E87" s="736"/>
      <c r="F87" s="736">
        <f>SUM(F56:F86)</f>
        <v>10.567818762700554</v>
      </c>
      <c r="G87" s="736"/>
      <c r="H87" s="736">
        <f>SUM(H56:H86)</f>
        <v>387.92466742891321</v>
      </c>
    </row>
    <row r="88" spans="1:18" ht="15.5" x14ac:dyDescent="0.35">
      <c r="A88" s="738"/>
      <c r="B88" s="732"/>
      <c r="C88" s="733"/>
      <c r="D88" s="733"/>
      <c r="E88" s="757"/>
      <c r="F88" s="733"/>
      <c r="G88" s="757"/>
      <c r="H88" s="757"/>
      <c r="R88" s="7"/>
    </row>
    <row r="89" spans="1:18" ht="15.5" x14ac:dyDescent="0.35">
      <c r="A89" s="709" t="s">
        <v>367</v>
      </c>
      <c r="B89" s="732"/>
      <c r="C89" s="733"/>
      <c r="D89" s="733"/>
      <c r="E89" s="757"/>
      <c r="F89" s="733"/>
      <c r="G89" s="757"/>
      <c r="H89" s="757"/>
      <c r="R89" s="7"/>
    </row>
    <row r="90" spans="1:18" ht="15.5" x14ac:dyDescent="0.35">
      <c r="A90" s="714" t="s">
        <v>29</v>
      </c>
      <c r="B90" s="715"/>
      <c r="C90" s="733"/>
      <c r="D90" s="733"/>
      <c r="E90" s="757"/>
      <c r="F90" s="733"/>
      <c r="G90" s="757"/>
      <c r="H90" s="716"/>
      <c r="R90" s="7"/>
    </row>
    <row r="91" spans="1:18" ht="15.5" x14ac:dyDescent="0.35">
      <c r="A91" s="734" t="s">
        <v>1240</v>
      </c>
      <c r="B91" s="715">
        <f>(PotBud!B42*Data!$D$4)+(AlfBud!B38*Data!$D$5)+(CnSBud!B38*Data!$D$6)+(HlgBud!B38*Data!$D$7)+(HayBud!B38*Data!$D$8)+(CvrBud!B38*Data!$D$9)+(GrzBud!B38*Data!$D$10)+(CnGBud!B38*Data!$D$11)+(Bb!B59*Data!$D$12)+(Ob!B59*Data!$D$13)+(Rb!B59*Data!$D$14)+(Wb!B59*Data!$D$15)+(wWb!B59*Data!$D$16)+(Tb!B59*Data!$D$17)+(Sb!B59*Data!$D$18)+(BWb!B48*Data!$D$19)+(Pb!B48*Data!$D$20)+(Syb!B48*Data!$D$21)+(SudBud!B38*Data!$D$22)+(CanBud!B38*Data!$D$23)+(BrcBud!B38*Data!$D$24)</f>
        <v>9696.5475471381123</v>
      </c>
      <c r="C91" s="733"/>
      <c r="D91" s="733">
        <f t="shared" ref="D91:D104" si="10">B91/crops</f>
        <v>24.241368867845281</v>
      </c>
      <c r="E91" s="757"/>
      <c r="F91" s="716">
        <f t="shared" ref="F91:F104" si="11">B91/(($B$5*$D$5)+($B$6*$D$6)+($B$7*$D$7)+($B$8*$D$8)+($B$9*$D$9)+($B$10*$D$10)+($B$11*$D$11)+($B$12*$D$12)+($B$13*$D$13)+($B$14*$D$14)+($B$15*$D$15)+($B$16*$D$16)+($B$17*$D$17)+($B$18*$D$18)+($B$19*$D$19)+($B$20*$D$20)+($B$21*$D$21)+($B$22*$D$22)+($B$23*$D$23)+($B$24*$D$24)+($B$25*$D$25))</f>
        <v>0.78197964089823491</v>
      </c>
      <c r="G91" s="757"/>
      <c r="H91" s="716">
        <f t="shared" ref="H91:H104" si="12">B91/(($B$5*$F$5)+($B$6*$F$6)+($B$7*$F$7)+($B$8*$F$8)+($B$9*$F$9)+($B$10*$F$10)+($B$11*$F$11)+($B$12*$F$12)+($B$13*$F$13)+($B$14*$F$14)+($B$15*$F$15)+($B$16*$F$16)+($B$17*$F$17)+($B$18*$F$18)+($B$19*$F$19)+($B$20*$F$20)+($B$21*$F$21)+($B$22*$F$22)+($B$23*$F$23)+($B$24*$F$24)+($B$25*$F$25))</f>
        <v>28.704995699047103</v>
      </c>
      <c r="R91" s="7"/>
    </row>
    <row r="92" spans="1:18" ht="15.5" x14ac:dyDescent="0.35">
      <c r="A92" s="734" t="s">
        <v>1241</v>
      </c>
      <c r="B92" s="715">
        <f>(PotBud!B43*Data!$D$4)+(AlfBud!B39*Data!$D$5)+(CnSBud!B39*Data!$D$6)+(HlgBud!B39*Data!$D$7)+(HayBud!B39*Data!$D$8)+(CvrBud!B39*Data!$D$9)+(GrzBud!B39*Data!$D$10)+(CnGBud!B39*Data!$D$11)+(Bb!B60*Data!$D$12)+(Ob!B60*Data!$D$13)+(Rb!B60*Data!$D$14)+(Wb!B60*Data!$D$15)+(wWb!B60*Data!$D$16)+(Tb!B60*Data!$D$17)+(Sb!B60*Data!$D$18)+(BWb!B49*Data!$D$19)+(Pb!B49*Data!$D$20)+(Syb!B49*Data!$D$21)+(SudBud!B39*Data!$D$22)+(CanBud!B39*Data!$D$23)+(BrcBud!B39*Data!$D$24)</f>
        <v>3242.5056422810721</v>
      </c>
      <c r="C92" s="733"/>
      <c r="D92" s="733">
        <f t="shared" si="10"/>
        <v>8.1062641057026799</v>
      </c>
      <c r="E92" s="757"/>
      <c r="F92" s="716">
        <f t="shared" si="11"/>
        <v>0.26149239050653805</v>
      </c>
      <c r="G92" s="757"/>
      <c r="H92" s="716">
        <f t="shared" si="12"/>
        <v>9.5988917770310014</v>
      </c>
      <c r="R92" s="7"/>
    </row>
    <row r="93" spans="1:18" ht="15.5" x14ac:dyDescent="0.35">
      <c r="A93" s="734" t="s">
        <v>1243</v>
      </c>
      <c r="B93" s="715">
        <f>(PotBud!B44*Data!$D$4)+(AlfBud!B40*Data!$D$5)+(CnSBud!B40*Data!$D$6)+(HlgBud!B40*Data!$D$7)+(HayBud!B40*Data!$D$8)+(CvrBud!B40*Data!$D$9)+(GrzBud!B40*Data!$D$10)+(CnGBud!B40*Data!$D$11)+(Bb!B61*Data!$D$12)+(Ob!B61*Data!$D$13)+(Rb!B61*Data!$D$14)+(Wb!B61*Data!$D$15)+(wWb!B61*Data!$D$16)+(Tb!B61*Data!$D$17)+(Sb!B61*Data!$D$18)+(BWb!B50*Data!$D$19)+(Pb!B50*Data!$D$20)+(Syb!B50*Data!$D$21)+(SudBud!B40*Data!$D$22)+(CanBud!B40*Data!$D$23)+(BrcBud!B40*Data!$D$24)</f>
        <v>4493.9449937284799</v>
      </c>
      <c r="C93" s="733"/>
      <c r="D93" s="733">
        <f t="shared" si="10"/>
        <v>11.2348624843212</v>
      </c>
      <c r="E93" s="757"/>
      <c r="F93" s="716">
        <f t="shared" si="11"/>
        <v>0.36241491884907095</v>
      </c>
      <c r="G93" s="757"/>
      <c r="H93" s="716">
        <f t="shared" si="12"/>
        <v>13.303567180960567</v>
      </c>
      <c r="R93" s="7"/>
    </row>
    <row r="94" spans="1:18" ht="15.5" x14ac:dyDescent="0.35">
      <c r="A94" s="734" t="s">
        <v>1242</v>
      </c>
      <c r="B94" s="715">
        <f>(PotBud!B45*Data!$D$4)+(AlfBud!B41*Data!$D$5)+(CnSBud!B41*Data!$D$6)+(HlgBud!B41*Data!$D$7)+(HayBud!B41*Data!$D$8)+(CvrBud!B41*Data!$D$9)+(GrzBud!B41*Data!$D$10)+(CnGBud!B41*Data!$D$11)+(Bb!B62*Data!$D$12)+(Ob!B62*Data!$D$13)+(Rb!B62*Data!$D$14)+(Wb!B62*Data!$D$15)+(wWb!B62*Data!$D$16)+(Tb!B62*Data!$D$17)+(Sb!B62*Data!$D$18)+(BWb!B51*Data!$D$19)+(Pb!B51*Data!$D$20)+(Syb!B51*Data!$D$21)+(SudBud!B41*Data!$D$22)+(CanBud!B41*Data!$D$23)+(BrcBud!B41*Data!$D$24)</f>
        <v>1675.4845028197408</v>
      </c>
      <c r="C94" s="733"/>
      <c r="D94" s="733">
        <f t="shared" si="10"/>
        <v>4.1887112570493521</v>
      </c>
      <c r="E94" s="757"/>
      <c r="F94" s="716">
        <f t="shared" si="11"/>
        <v>0.13511971796933395</v>
      </c>
      <c r="G94" s="757"/>
      <c r="H94" s="716">
        <f t="shared" si="12"/>
        <v>4.9599896471869176</v>
      </c>
      <c r="R94" s="7"/>
    </row>
    <row r="95" spans="1:18" ht="15.5" x14ac:dyDescent="0.35">
      <c r="A95" s="734" t="s">
        <v>1244</v>
      </c>
      <c r="B95" s="715">
        <f>(PotBud!B46*Data!$D$4)+(AlfBud!B42*Data!$D$5)+(CnSBud!B42*Data!$D$6)+(HlgBud!B42*Data!$D$7)+(HayBud!B42*Data!$D$8)+(CvrBud!B42*Data!$D$9)+(GrzBud!B42*Data!$D$10)+(CnGBud!B42*Data!$D$11)+(Bb!B63*Data!$D$12)+(Ob!B63*Data!$D$13)+(Rb!B63*Data!$D$14)+(Wb!B63*Data!$D$15)+(wWb!B63*Data!$D$16)+(Tb!B63*Data!$D$17)+(Sb!B63*Data!$D$18)+(BWb!B52*Data!$D$19)+(Pb!B52*Data!$D$20)+(Syb!B52*Data!$D$21)+(SudBud!B42*Data!$D$22)+(CanBud!B42*Data!$D$23)+(BrcBud!B42*Data!$D$24)</f>
        <v>0</v>
      </c>
      <c r="C95" s="733"/>
      <c r="D95" s="732">
        <f t="shared" si="10"/>
        <v>0</v>
      </c>
      <c r="E95" s="762"/>
      <c r="F95" s="715">
        <f t="shared" si="11"/>
        <v>0</v>
      </c>
      <c r="G95" s="762"/>
      <c r="H95" s="715">
        <f t="shared" si="12"/>
        <v>0</v>
      </c>
      <c r="R95" s="7"/>
    </row>
    <row r="96" spans="1:18" ht="15.5" x14ac:dyDescent="0.35">
      <c r="A96" s="734" t="s">
        <v>1245</v>
      </c>
      <c r="B96" s="715">
        <f>(PotBud!B47*Data!$D$4)+(AlfBud!B43*Data!$D$5)+(CnSBud!B43*Data!$D$6)+(HlgBud!B43*Data!$D$7)+(HayBud!B43*Data!$D$8)+(CvrBud!B43*Data!$D$9)+(GrzBud!B43*Data!$D$10)+(CnGBud!B43*Data!$D$11)+(Bb!B64*Data!$D$12)+(Ob!B64*Data!$D$13)+(Rb!B64*Data!$D$14)+(Wb!B64*Data!$D$15)+(wWb!B64*Data!$D$16)+(Tb!B64*Data!$D$17)+(Sb!B64*Data!$D$18)+(BWb!B53*Data!$D$19)+(Pb!B53*Data!$D$20)+(Syb!B53*Data!$D$21)+(SudBud!B43*Data!$D$22)+(CanBud!B43*Data!$D$23)+(BrcBud!B43*Data!$D$24)</f>
        <v>0</v>
      </c>
      <c r="C96" s="733"/>
      <c r="D96" s="732">
        <f t="shared" si="10"/>
        <v>0</v>
      </c>
      <c r="E96" s="762"/>
      <c r="F96" s="715">
        <f t="shared" si="11"/>
        <v>0</v>
      </c>
      <c r="G96" s="762"/>
      <c r="H96" s="715">
        <f t="shared" si="12"/>
        <v>0</v>
      </c>
      <c r="R96" s="7"/>
    </row>
    <row r="97" spans="1:18" ht="15.5" x14ac:dyDescent="0.35">
      <c r="A97" s="734" t="s">
        <v>1246</v>
      </c>
      <c r="B97" s="715">
        <f>(PotBud!B48*Data!$D$4)+(AlfBud!B44*Data!$D$5)+(CnSBud!B44*Data!$D$6)+(HlgBud!B44*Data!$D$7)+(HayBud!B44*Data!$D$8)+(CvrBud!B44*Data!$D$9)+(GrzBud!B44*Data!$D$10)+(CnGBud!B44*Data!$D$11)+(Bb!B65*Data!$D$12)+(Ob!B65*Data!$D$13)+(Rb!B65*Data!$D$14)+(Wb!B65*Data!$D$15)+(wWb!B65*Data!$D$16)+(Tb!B65*Data!$D$17)+(Sb!B65*Data!$D$18)+(BWb!B54*Data!$D$19)+(Pb!B54*Data!$D$20)+(Syb!B54*Data!$D$21)+(SudBud!B44*Data!$D$22)+(CanBud!B44*Data!$D$23)+(BrcBud!B44*Data!$D$24)</f>
        <v>9823.6050470411719</v>
      </c>
      <c r="C97" s="733"/>
      <c r="D97" s="733">
        <f t="shared" si="10"/>
        <v>24.559012617602932</v>
      </c>
      <c r="E97" s="757"/>
      <c r="F97" s="716">
        <f t="shared" si="11"/>
        <v>0.79222621347106226</v>
      </c>
      <c r="G97" s="757"/>
      <c r="H97" s="716">
        <f t="shared" si="12"/>
        <v>29.081128025580732</v>
      </c>
      <c r="R97" s="7"/>
    </row>
    <row r="98" spans="1:18" ht="15.5" x14ac:dyDescent="0.35">
      <c r="A98" s="734" t="s">
        <v>1247</v>
      </c>
      <c r="B98" s="715">
        <f>(PotBud!B49*Data!$D$4)+(AlfBud!B45*Data!$D$5)+(CnSBud!B45*Data!$D$6)+(HlgBud!B45*Data!$D$7)+(HayBud!B45*Data!$D$8)+(CvrBud!B45*Data!$D$9)+(GrzBud!B45*Data!$D$10)+(CnGBud!B45*Data!$D$11)+(Bb!B66*Data!$D$12)+(Ob!B66*Data!$D$13)+(Rb!B66*Data!$D$14)+(Wb!B66*Data!$D$15)+(wWb!B66*Data!$D$16)+(Tb!B66*Data!$D$17)+(Sb!B66*Data!$D$18)+(BWb!B55*Data!$D$19)+(Pb!B55*Data!$D$20)+(Syb!B55*Data!$D$21)+(SudBud!B45*Data!$D$22)+(CanBud!B45*Data!$D$23)+(BrcBud!B45*Data!$D$24)</f>
        <v>201.58025309012197</v>
      </c>
      <c r="C98" s="733"/>
      <c r="D98" s="733">
        <f t="shared" si="10"/>
        <v>0.50395063272530494</v>
      </c>
      <c r="E98" s="757"/>
      <c r="F98" s="716">
        <f t="shared" si="11"/>
        <v>1.6256472023396935E-2</v>
      </c>
      <c r="G98" s="757"/>
      <c r="H98" s="716">
        <f t="shared" si="12"/>
        <v>0.59674438451782696</v>
      </c>
      <c r="R98" s="7"/>
    </row>
    <row r="99" spans="1:18" ht="15.5" x14ac:dyDescent="0.35">
      <c r="A99" s="734" t="s">
        <v>2148</v>
      </c>
      <c r="B99" s="715">
        <f>(0*Data!$D$4)+(0*Data!$D$5)+(0*Data!$D$6)+(0*Data!$D$7)+(0*Data!$D$8)+(0*Data!$D$9)+(0*Data!$D$10)+(0*Data!$D$11)+(Bb!B67*Data!$D$12)+(Ob!B67*Data!$D$13)+(Rb!B67*Data!$D$14)+(Wb!B67*Data!$D$15)+(wWb!B67*Data!$D$16)+(Tb!B67*Data!$D$17)+(Sb!B67*Data!$D$18)+(BWb!B56*Data!$D$19)+(Pb!B56*Data!$D$20)+(Syb!B56*Data!$D$21)+(0*Data!$D$22)+(0*Data!$D$23)+(0*Data!$D$24)</f>
        <v>1600.0728913718713</v>
      </c>
      <c r="C99" s="733"/>
      <c r="D99" s="733">
        <f t="shared" si="10"/>
        <v>4.0001822284296784</v>
      </c>
      <c r="E99" s="757"/>
      <c r="F99" s="716">
        <f t="shared" si="11"/>
        <v>0.12903813640095735</v>
      </c>
      <c r="G99" s="757"/>
      <c r="H99" s="716">
        <f t="shared" si="12"/>
        <v>4.7367462740434316</v>
      </c>
      <c r="R99" s="7"/>
    </row>
    <row r="100" spans="1:18" ht="15.5" x14ac:dyDescent="0.35">
      <c r="A100" s="734" t="s">
        <v>1250</v>
      </c>
      <c r="B100" s="715">
        <f>(PotBud!B50*Data!$D$4)+(AlfBud!B46*Data!$D$5)+(CnSBud!B46*Data!$D$6)+(HlgBud!B46*Data!$D$7)+(HayBud!B46*Data!$D$8)+(CvrBud!B46*Data!$D$9)+(GrzBud!B46*Data!$D$10)+(CnGBud!B46*Data!$D$11)+(Bb!B68*Data!$D$12)+(Ob!B68*Data!$D$13)+(Rb!B68*Data!$D$14)+(Wb!B68*Data!$D$15)+(wWb!B68*Data!$D$16)+(Tb!B68*Data!$D$17)+(Sb!B68*Data!$D$18)+(BWb!B57*Data!$D$19)+(Pb!B57*Data!$D$20)+(Syb!B57*Data!$D$21)+(SudBud!B46*Data!$D$22)+(CanBud!B46*Data!$D$23)+(BrcBud!B46*Data!$D$24)</f>
        <v>3778.7156664501308</v>
      </c>
      <c r="C100" s="733"/>
      <c r="D100" s="733">
        <f t="shared" si="10"/>
        <v>9.4467891661253276</v>
      </c>
      <c r="E100" s="757"/>
      <c r="F100" s="716">
        <f t="shared" si="11"/>
        <v>0.30473513439113958</v>
      </c>
      <c r="G100" s="757"/>
      <c r="H100" s="716">
        <f t="shared" si="12"/>
        <v>11.186251232830465</v>
      </c>
      <c r="R100" s="7"/>
    </row>
    <row r="101" spans="1:18" ht="15.5" x14ac:dyDescent="0.35">
      <c r="A101" s="734" t="s">
        <v>1304</v>
      </c>
      <c r="B101" s="715">
        <f>(PotBud!B51*Data!$D$4)+(AlfBud!B47*Data!$D$5)+(CnSBud!B47*Data!$D$6)+(HlgBud!B47*Data!$D$7)+(HayBud!B47*Data!$D$8)+(CvrBud!B47*Data!$D$9)+(GrzBud!B47*Data!$D$10)+(CnGBud!B47*Data!$D$11)+(Bb!B69*Data!$D$12)+(Ob!B69*Data!$D$13)+(Rb!B69*Data!$D$14)+(Wb!B69*Data!$D$15)+(wWb!B69*Data!$D$16)+(Tb!B69*Data!$D$17)+(Sb!B69*Data!$D$18)+(BWb!B58*Data!$D$19)+(Pb!B58*Data!$D$20)+(Syb!B58*Data!$D$21)+(SudBud!B47*Data!$D$22)+(CanBud!B47*Data!$D$23)+(BrcBud!B47*Data!$D$24)</f>
        <v>0</v>
      </c>
      <c r="C101" s="733"/>
      <c r="D101" s="732">
        <f t="shared" si="10"/>
        <v>0</v>
      </c>
      <c r="E101" s="762"/>
      <c r="F101" s="715">
        <f t="shared" si="11"/>
        <v>0</v>
      </c>
      <c r="G101" s="762"/>
      <c r="H101" s="715">
        <f t="shared" si="12"/>
        <v>0</v>
      </c>
      <c r="R101" s="7"/>
    </row>
    <row r="102" spans="1:18" ht="15.5" x14ac:dyDescent="0.35">
      <c r="A102" s="734" t="s">
        <v>1248</v>
      </c>
      <c r="B102" s="715">
        <f>(PotBud!B52*Data!$D$4)+(AlfBud!B48*Data!$D$5)+(CnSBud!B48*Data!$D$6)+(HlgBud!B48*Data!$D$7)+(HayBud!B48*Data!$D$8)+(CvrBud!B48*Data!$D$9)+(GrzBud!B48*Data!$D$10)+(CnGBud!B48*Data!$D$11)+(Bb!B70*Data!$D$12)+(Ob!B70*Data!$D$13)+(Rb!B70*Data!$D$14)+(Wb!B70*Data!$D$15)+(wWb!B70*Data!$D$16)+(Tb!B70*Data!$D$17)+(Sb!B70*Data!$D$18)+(BWb!B59*Data!$D$19)+(Pb!B59*Data!$D$20)+(Syb!B59*Data!$D$21)+(SudBud!B48*Data!$D$22)+(CanBud!B48*Data!$D$23)+(BrcBud!B48*Data!$D$24)</f>
        <v>5400</v>
      </c>
      <c r="C102" s="733"/>
      <c r="D102" s="733">
        <f t="shared" si="10"/>
        <v>13.5</v>
      </c>
      <c r="E102" s="757"/>
      <c r="F102" s="716">
        <f t="shared" si="11"/>
        <v>0.43548387096774194</v>
      </c>
      <c r="G102" s="757"/>
      <c r="H102" s="716">
        <f t="shared" si="12"/>
        <v>15.985790408525755</v>
      </c>
      <c r="R102" s="7"/>
    </row>
    <row r="103" spans="1:18" ht="15.5" x14ac:dyDescent="0.35">
      <c r="A103" s="734" t="s">
        <v>1249</v>
      </c>
      <c r="B103" s="715">
        <f>(PotBud!B53*Data!$D$4)+(AlfBud!B49*Data!$D$5)+(CnSBud!B49*Data!$D$6)+(HlgBud!B49*Data!$D$7)+(HayBud!B49*Data!$D$8)+(CvrBud!B49*Data!$D$9)+(GrzBud!B49*Data!$D$10)+(CnGBud!B49*Data!$D$11)+(Bb!B71*Data!$D$12)+(Ob!B71*Data!$D$13)+(Rb!B71*Data!$D$14)+(Wb!B71*Data!$D$15)+(wWb!B71*Data!$D$16)+(Tb!B71*Data!$D$17)+(Sb!B71*Data!$D$18)+(BWb!B60*Data!$D$19)+(Pb!B60*Data!$D$20)+(Syb!B60*Data!$D$21)+(SudBud!B49*Data!$D$22)+(CanBud!B49*Data!$D$23)+(BrcBud!B49*Data!$D$24)</f>
        <v>2361.3240823822689</v>
      </c>
      <c r="C103" s="733"/>
      <c r="D103" s="733">
        <f t="shared" si="10"/>
        <v>5.9033102059556724</v>
      </c>
      <c r="E103" s="757"/>
      <c r="F103" s="716">
        <f t="shared" si="11"/>
        <v>0.19042936148244105</v>
      </c>
      <c r="G103" s="757"/>
      <c r="H103" s="716">
        <f t="shared" si="12"/>
        <v>6.990302197697658</v>
      </c>
      <c r="R103" s="7"/>
    </row>
    <row r="104" spans="1:18" ht="15.5" x14ac:dyDescent="0.35">
      <c r="A104" s="714" t="s">
        <v>79</v>
      </c>
      <c r="B104" s="715">
        <f>(PotBud!B54*Data!$D$4)+(AlfBud!B50*Data!$D$5)+(CnSBud!B50*Data!$D$6)+(HlgBud!B50*Data!$D$7)+(HayBud!B50*Data!$D$8)+(CvrBud!B50*Data!$D$9)+(GrzBud!B50*Data!$D$10)+(CnGBud!B50*Data!$D$11)+(Bb!B72*Data!$D$12)+(Ob!B72*Data!$D$13)+(Rb!B72*Data!$D$14)+(Wb!B72*Data!$D$15)+(wWb!B72*Data!$D$16)+(Tb!B72*Data!$D$17)+(Sb!B72*Data!$D$18)+(BWb!B61*Data!$D$19)+(Pb!B61*Data!$D$20)+(Syb!B61*Data!$D$21)+(SudBud!B50*Data!$D$22)+(CanBud!B50*Data!$D$23)+(BrcBud!B50*Data!$D$24)</f>
        <v>10225.848626573683</v>
      </c>
      <c r="C104" s="733"/>
      <c r="D104" s="733">
        <f t="shared" si="10"/>
        <v>25.564621566434209</v>
      </c>
      <c r="E104" s="757"/>
      <c r="F104" s="716">
        <f t="shared" si="11"/>
        <v>0.82466521182045827</v>
      </c>
      <c r="G104" s="757"/>
      <c r="H104" s="716">
        <f t="shared" si="12"/>
        <v>30.271902387725525</v>
      </c>
      <c r="R104" s="7"/>
    </row>
    <row r="105" spans="1:18" ht="12.75" customHeight="1" x14ac:dyDescent="0.3">
      <c r="A105" s="709" t="s">
        <v>368</v>
      </c>
      <c r="B105" s="735">
        <f>SUM(B90:B104)</f>
        <v>52499.629252876664</v>
      </c>
      <c r="C105" s="736"/>
      <c r="D105" s="736">
        <f>SUM(D90:D104)</f>
        <v>131.24907313219163</v>
      </c>
      <c r="E105" s="736"/>
      <c r="F105" s="736">
        <f>SUM(F90:F104)</f>
        <v>4.2338410687803751</v>
      </c>
      <c r="G105" s="736"/>
      <c r="H105" s="736">
        <f>SUM(H90:H104)</f>
        <v>155.41630921514698</v>
      </c>
      <c r="R105" s="7"/>
    </row>
    <row r="106" spans="1:18" ht="15.5" x14ac:dyDescent="0.35">
      <c r="A106" s="699"/>
      <c r="B106" s="735"/>
      <c r="C106" s="736"/>
      <c r="D106" s="736"/>
      <c r="E106" s="758"/>
      <c r="F106" s="736"/>
      <c r="G106" s="758"/>
      <c r="H106" s="758"/>
      <c r="R106" s="7"/>
    </row>
    <row r="107" spans="1:18" ht="15" x14ac:dyDescent="0.3">
      <c r="A107" s="709" t="s">
        <v>80</v>
      </c>
      <c r="B107" s="735">
        <f>B105+B87</f>
        <v>183540.58191036354</v>
      </c>
      <c r="C107" s="736"/>
      <c r="D107" s="736">
        <f>D105+D87</f>
        <v>458.85145477590879</v>
      </c>
      <c r="E107" s="736"/>
      <c r="F107" s="736">
        <f>F105+F87</f>
        <v>14.801659831480929</v>
      </c>
      <c r="G107" s="736"/>
      <c r="H107" s="736">
        <f>H105+H87</f>
        <v>543.34097664406022</v>
      </c>
    </row>
    <row r="108" spans="1:18" ht="15.5" x14ac:dyDescent="0.35">
      <c r="A108" s="742"/>
      <c r="B108" s="735"/>
      <c r="C108" s="736"/>
      <c r="D108" s="736"/>
      <c r="E108" s="736"/>
      <c r="F108" s="736"/>
      <c r="G108" s="736"/>
      <c r="H108" s="736"/>
    </row>
    <row r="109" spans="1:18" ht="15" x14ac:dyDescent="0.3">
      <c r="A109" s="709" t="s">
        <v>355</v>
      </c>
      <c r="B109" s="710">
        <f>B53-B107</f>
        <v>90149.418089636456</v>
      </c>
      <c r="C109" s="736"/>
      <c r="D109" s="711">
        <f>D53-D107</f>
        <v>225.37354522409123</v>
      </c>
      <c r="E109" s="736"/>
      <c r="F109" s="711">
        <f>F53-F107</f>
        <v>7.2701143620674564</v>
      </c>
      <c r="G109" s="736"/>
      <c r="H109" s="711">
        <f>H53-H107</f>
        <v>266.8721672280534</v>
      </c>
    </row>
    <row r="110" spans="1:18" ht="15" x14ac:dyDescent="0.3">
      <c r="A110" s="709" t="s">
        <v>356</v>
      </c>
      <c r="B110" s="735">
        <f>B53-B87</f>
        <v>142649.04734251311</v>
      </c>
      <c r="C110" s="736"/>
      <c r="D110" s="736">
        <f>D53-D87</f>
        <v>356.62261835628283</v>
      </c>
      <c r="E110" s="736"/>
      <c r="F110" s="736">
        <f>F53-F87</f>
        <v>11.503955430847832</v>
      </c>
      <c r="G110" s="736"/>
      <c r="H110" s="736">
        <f>H53-H87</f>
        <v>422.28847644320041</v>
      </c>
    </row>
    <row r="111" spans="1:18" ht="15.5" x14ac:dyDescent="0.35">
      <c r="A111" s="699"/>
      <c r="B111" s="743"/>
      <c r="C111" s="743"/>
      <c r="D111" s="743"/>
      <c r="E111" s="699"/>
      <c r="F111" s="743"/>
      <c r="G111" s="699"/>
      <c r="H111" s="699"/>
    </row>
    <row r="112" spans="1:18" ht="15.5" x14ac:dyDescent="0.35">
      <c r="A112" s="709" t="s">
        <v>234</v>
      </c>
      <c r="B112" s="743"/>
      <c r="C112" s="743"/>
      <c r="D112" s="743"/>
      <c r="E112" s="699"/>
      <c r="F112" s="743"/>
      <c r="G112" s="699"/>
      <c r="H112" s="699"/>
    </row>
    <row r="113" spans="1:8" ht="15.5" x14ac:dyDescent="0.35">
      <c r="A113" s="744" t="s">
        <v>369</v>
      </c>
      <c r="B113" s="703" t="s">
        <v>76</v>
      </c>
      <c r="C113" s="743"/>
      <c r="D113" s="703" t="s">
        <v>393</v>
      </c>
      <c r="E113" s="703"/>
      <c r="F113" s="703" t="s">
        <v>1556</v>
      </c>
      <c r="G113" s="703"/>
      <c r="H113" s="703" t="s">
        <v>396</v>
      </c>
    </row>
    <row r="114" spans="1:8" ht="15.5" x14ac:dyDescent="0.35">
      <c r="A114" s="714" t="s">
        <v>370</v>
      </c>
      <c r="B114" s="745">
        <f>B107</f>
        <v>183540.58191036354</v>
      </c>
      <c r="C114" s="743"/>
      <c r="D114" s="716">
        <f>$B$107/crops</f>
        <v>458.85145477590885</v>
      </c>
      <c r="E114" s="752"/>
      <c r="F114" s="716">
        <f>$B$107/(($B$5*$D$5)+($B$6*$D$6)+($B$7*$D$7)+($B$8*$D$8)+($B$9*$D$9)+($B$10*$D$10)+($B$11*$D$11)+($B$12*$D$12)+($B$13*$D$13)+($B$14*$D$14)+($B$15*$D$15)+($B$16*$D$16)+($B$17*$D$17)+($B$18*$D$18)+($B$19*$D$19)+($B$20*$D$20)+($B$21*$D$21)+($B$22*$D$22)+($B$23*$D$23)+($B$24*$D$24)+($B$25*$D$25))</f>
        <v>14.801659831480931</v>
      </c>
      <c r="G114" s="752"/>
      <c r="H114" s="716">
        <f>$B$107/(($B$5*$F$5)+($B$6*$F$6)+($B$7*$F$7)+($B$8*$F$8)+($B$9*$F$9)+($B$10*$F$10)+($B$11*$F$11)+($B$12*$F$12)+($B$13*$F$13)+($B$14*$F$14)+($B$15*$F$15)+($B$16*$F$16)+($B$17*$F$17)+($B$18*$F$18)+($B$19*$F$19)+($B$20*$F$20)+($B$21*$F$21)+($B$22*$F$22)+($B$23*$F$23)+($B$24*$F$24)+($B$25*$F$25))</f>
        <v>543.34097664406022</v>
      </c>
    </row>
    <row r="115" spans="1:8" ht="15.5" x14ac:dyDescent="0.35">
      <c r="A115" s="714" t="s">
        <v>371</v>
      </c>
      <c r="B115" s="745">
        <f>B87</f>
        <v>131040.95265748688</v>
      </c>
      <c r="C115" s="743"/>
      <c r="D115" s="716">
        <f>$B$87/crops</f>
        <v>327.60238164371719</v>
      </c>
      <c r="E115" s="752"/>
      <c r="F115" s="716">
        <f>$B$87/(($B$5*$D$5)+($B$6*$D$6)+($B$7*$D$7)+($B$8*$D$8)+($B$9*$D$9)+($B$10*$D$10)+($B$11*$D$11)+($B$12*$D$12)+($B$13*$D$13)+($B$14*$D$14)+($B$15*$D$15)+($B$16*$D$16)+($B$17*$D$17)+($B$18*$D$18)+($B$19*$D$19)+($B$20*$D$20)+($B$21*$D$21)+($B$22*$D$22)+($B$23*$D$23)+($B$24*$D$24)+($B$25*$D$25))</f>
        <v>10.567818762700554</v>
      </c>
      <c r="G115" s="752"/>
      <c r="H115" s="716">
        <f>$B$87/(($B$5*$F$5)+($B$6*$F$6)+($B$7*$F$7)+($B$8*$F$8)+($B$9*$F$9)+($B$10*$F$10)+($B$11*$F$11)+($B$12*$F$12)+($B$13*$F$13)+($B$14*$F$14)+($B$15*$F$15)+($B$16*$F$16)+($B$17*$F$17)+($B$18*$F$18)+($B$19*$F$19)+($B$20*$F$20)+($B$21*$F$21)+($B$22*$F$22)+($B$23*$F$23)+($B$24*$F$24)+($B$25*$F$25))</f>
        <v>387.92466742891321</v>
      </c>
    </row>
    <row r="116" spans="1:8" ht="15.5" x14ac:dyDescent="0.35">
      <c r="A116" s="714"/>
      <c r="B116" s="743"/>
      <c r="C116" s="743"/>
      <c r="D116" s="716"/>
      <c r="E116" s="752"/>
      <c r="F116" s="716"/>
      <c r="G116" s="752"/>
      <c r="H116" s="716"/>
    </row>
    <row r="117" spans="1:8" ht="15.5" x14ac:dyDescent="0.35">
      <c r="A117" s="744" t="s">
        <v>1099</v>
      </c>
      <c r="B117" s="703" t="s">
        <v>1100</v>
      </c>
      <c r="C117" s="743"/>
      <c r="D117" s="703" t="s">
        <v>1995</v>
      </c>
      <c r="E117" s="752"/>
      <c r="F117" s="716"/>
      <c r="G117" s="752"/>
      <c r="H117" s="716"/>
    </row>
    <row r="118" spans="1:8" ht="15.5" x14ac:dyDescent="0.35">
      <c r="A118" s="714" t="s">
        <v>1101</v>
      </c>
      <c r="B118" s="746">
        <f>B109/(SUM(PotOprC!E38:E62)+SUM(AlfOprC!E16:E37)+SUM(CnSOprC!E18:E35)+SUM(HlgOprC!E19:E56)+SUM(HayOprC!E19:E62)+SUM(CvrOprC!E17:E52)+SUM(GrzOprC!E19:E52)+SUM(CnGOprC!E17:E32)+SUM(Bv!E25:E76)+SUM(Ov!E25:E76)+SUM(Rv!E25:E76)+SUM(Wv!E25:E76)+SUM(wWv!E25:E76)+SUM(Tv!E25:E76)+SUM(Sv!E25:E76)+SUM(BWv!E19:E52)+SUM(Pv!E20:E52)+SUM(Syv!E20:E52)+SUM(SudOprC!E16:E28)+SUM(CanOprC!E18:E33)+SUM(BrcOprC!E20:E40))</f>
        <v>7.6440390841161223</v>
      </c>
      <c r="C118" s="743"/>
      <c r="D118" s="1224">
        <f>(SUM(PotOprC!E38:E62)+SUM(AlfOprC!E16:E37)+SUM(CnSOprC!E18:E35)+SUM(HlgOprC!E19:E56)+SUM(HayOprC!E19:E62)+SUM(CvrOprC!E17:E52)+SUM(GrzOprC!E19:E52)+SUM(CnGOprC!E17:E32)+SUM(Bv!E25:E76)+SUM(Ov!E25:E76)+SUM(Rv!E25:E76)+SUM(Wv!E25:E76)+SUM(wWv!E25:E76)+SUM(Tv!E25:E76)+SUM(Sv!E25:E76)+SUM(BWv!E19:E52)+SUM(Pv!E20:E52)+SUM(Syv!E20:E52)+SUM(SudOprC!E16:E28)+SUM(CanOprC!E18:E33)+SUM(BrcOprC!E20:E40))</f>
        <v>11793.427152532724</v>
      </c>
      <c r="E118" s="1225" t="s">
        <v>1996</v>
      </c>
      <c r="F118" s="716"/>
      <c r="G118" s="752"/>
      <c r="H118" s="716"/>
    </row>
    <row r="119" spans="1:8" ht="15.5" x14ac:dyDescent="0.35">
      <c r="A119" s="714" t="s">
        <v>1102</v>
      </c>
      <c r="B119" s="746">
        <f>B110/(SUM(PotOprC!E38:E62)+SUM(AlfOprC!E16:E37)+SUM(CnSOprC!E18:E35)+SUM(HlgOprC!E19:E56)+SUM(HayOprC!E19:E62)+SUM(CvrOprC!E17:E52)+SUM(GrzOprC!E19:E52)+SUM(CnGOprC!E17:E32)+SUM(Bv!E25:E76)+SUM(Ov!E25:E76)+SUM(Rv!E25:E76)+SUM(Wv!E25:E76)+SUM(wWv!E25:E76)+SUM(Tv!E25:E76)+SUM(Sv!E25:E76)+SUM(BWv!E19:E52)+SUM(Pv!E20:E52)+SUM(Syv!E20:E52)+SUM(SudOprC!E16:E28)+SUM(CanOprC!E18:E33)+SUM(BrcOprC!E20:E40))</f>
        <v>12.095639842221622</v>
      </c>
      <c r="C119" s="743"/>
      <c r="D119" s="1224"/>
      <c r="E119" s="1225"/>
      <c r="F119" s="716"/>
      <c r="G119" s="752"/>
      <c r="H119" s="716"/>
    </row>
    <row r="120" spans="1:8" ht="15.5" x14ac:dyDescent="0.35">
      <c r="A120" s="747"/>
      <c r="B120" s="748"/>
      <c r="C120" s="748"/>
      <c r="D120" s="748"/>
      <c r="E120" s="747"/>
      <c r="F120" s="748"/>
      <c r="G120" s="747"/>
      <c r="H120" s="747"/>
    </row>
  </sheetData>
  <phoneticPr fontId="0" type="noConversion"/>
  <pageMargins left="0.75" right="0.75" top="1" bottom="1" header="0.5" footer="0.5"/>
  <pageSetup scale="87" orientation="portrait" horizontalDpi="4294967293" r:id="rId1"/>
  <headerFooter alignWithMargins="0"/>
  <colBreaks count="1" manualBreakCount="1">
    <brk id="7"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91"/>
  <sheetViews>
    <sheetView workbookViewId="0">
      <pane ySplit="7" topLeftCell="A22" activePane="bottomLeft" state="frozen"/>
      <selection pane="bottomLeft" activeCell="B26" sqref="B26"/>
    </sheetView>
  </sheetViews>
  <sheetFormatPr defaultColWidth="9.08984375" defaultRowHeight="13" x14ac:dyDescent="0.3"/>
  <cols>
    <col min="1" max="1" width="41.816406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2" x14ac:dyDescent="0.3">
      <c r="A1" s="61" t="s">
        <v>146</v>
      </c>
      <c r="B1" s="17" t="str">
        <f>model</f>
        <v>ME Grain &amp; Pulse</v>
      </c>
      <c r="E1" s="55" t="s">
        <v>106</v>
      </c>
      <c r="F1" s="55" t="s">
        <v>182</v>
      </c>
      <c r="G1" s="55" t="s">
        <v>108</v>
      </c>
    </row>
    <row r="2" spans="1:12" x14ac:dyDescent="0.3">
      <c r="E2" s="55" t="s">
        <v>104</v>
      </c>
      <c r="F2" s="26">
        <f>Data!B132</f>
        <v>282.5</v>
      </c>
      <c r="G2" s="24">
        <f>F2/$F$4</f>
        <v>0.93339060331725365</v>
      </c>
    </row>
    <row r="3" spans="1:12" x14ac:dyDescent="0.3">
      <c r="B3" s="4"/>
      <c r="E3" s="55" t="s">
        <v>105</v>
      </c>
      <c r="F3" s="76">
        <f>(Data!B180*48)/100</f>
        <v>20.16</v>
      </c>
      <c r="G3" s="57">
        <f>F3/$F$4</f>
        <v>6.6609396682746305E-2</v>
      </c>
    </row>
    <row r="4" spans="1:12" x14ac:dyDescent="0.3">
      <c r="A4" s="7" t="s">
        <v>102</v>
      </c>
      <c r="B4" s="8" t="s">
        <v>92</v>
      </c>
      <c r="C4" s="65">
        <f>barley</f>
        <v>100</v>
      </c>
      <c r="D4" s="4" t="s">
        <v>93</v>
      </c>
      <c r="F4" s="26">
        <f>SUM(F2:F3)</f>
        <v>302.66000000000003</v>
      </c>
      <c r="G4" s="24">
        <f>SUM(G2:G3)</f>
        <v>1</v>
      </c>
    </row>
    <row r="6" spans="1:12" ht="13.5" x14ac:dyDescent="0.35">
      <c r="A6" s="5" t="s">
        <v>0</v>
      </c>
      <c r="B6" s="5"/>
    </row>
    <row r="7" spans="1:12" s="27" customFormat="1" ht="26" x14ac:dyDescent="0.3">
      <c r="A7" s="41"/>
      <c r="B7" s="391" t="s">
        <v>919</v>
      </c>
      <c r="C7" s="42" t="s">
        <v>21</v>
      </c>
      <c r="D7" s="42" t="s">
        <v>22</v>
      </c>
      <c r="E7" s="227" t="s">
        <v>900</v>
      </c>
      <c r="F7" s="42" t="s">
        <v>23</v>
      </c>
      <c r="G7" s="42" t="s">
        <v>24</v>
      </c>
      <c r="H7" s="42" t="s">
        <v>65</v>
      </c>
    </row>
    <row r="8" spans="1:12" x14ac:dyDescent="0.3">
      <c r="A8" s="3" t="s">
        <v>13</v>
      </c>
      <c r="B8" s="3"/>
    </row>
    <row r="9" spans="1:12" x14ac:dyDescent="0.3">
      <c r="A9" s="638" t="s">
        <v>105</v>
      </c>
      <c r="B9" s="405">
        <f>IF(INPUT!$C$17&gt;0,1,0)</f>
        <v>1</v>
      </c>
      <c r="C9" s="816">
        <f>INPUT!$C$17</f>
        <v>125</v>
      </c>
      <c r="D9" s="34" t="s">
        <v>126</v>
      </c>
      <c r="E9" s="226">
        <f>C9*barley</f>
        <v>12500</v>
      </c>
      <c r="F9" s="893">
        <f>INPUT!$C$18</f>
        <v>0.55208333333333304</v>
      </c>
      <c r="G9" s="114">
        <f>C9*F9</f>
        <v>69.010416666666629</v>
      </c>
      <c r="H9" s="109">
        <f>B9*G9*barley</f>
        <v>6901.0416666666624</v>
      </c>
      <c r="K9" s="904" t="s">
        <v>246</v>
      </c>
      <c r="L9" s="904" t="s">
        <v>577</v>
      </c>
    </row>
    <row r="10" spans="1:12" x14ac:dyDescent="0.3">
      <c r="A10" s="638" t="s">
        <v>125</v>
      </c>
      <c r="B10" s="405">
        <f>IF(INPUT!$C$19="Clover",1,0)</f>
        <v>0</v>
      </c>
      <c r="C10" s="816">
        <f>IF(INPUT!$C$19="Clover",INPUT!$C$21,Bv!K10)</f>
        <v>8</v>
      </c>
      <c r="D10" s="34" t="s">
        <v>126</v>
      </c>
      <c r="E10" s="226">
        <f>C10*barley</f>
        <v>800</v>
      </c>
      <c r="F10" s="371">
        <f>IF(INPUT!$C$19="Clover",INPUT!$C$22,Bv!L10)</f>
        <v>2.6</v>
      </c>
      <c r="G10" s="114">
        <f>C10*F10</f>
        <v>20.8</v>
      </c>
      <c r="H10" s="109">
        <f>B10*G10*barley</f>
        <v>0</v>
      </c>
      <c r="K10" s="273">
        <v>8</v>
      </c>
      <c r="L10" s="642">
        <f>130/50</f>
        <v>2.6</v>
      </c>
    </row>
    <row r="11" spans="1:12" x14ac:dyDescent="0.3">
      <c r="A11" s="638" t="s">
        <v>1143</v>
      </c>
      <c r="B11" s="405">
        <f>IF(INPUT!$C$19="Ryegrass",1,0)</f>
        <v>0</v>
      </c>
      <c r="C11" s="816">
        <f>IF(INPUT!$C$19="Ryegrass",INPUT!$C$21,Bv!K11)</f>
        <v>8</v>
      </c>
      <c r="D11" s="34" t="s">
        <v>126</v>
      </c>
      <c r="E11" s="226">
        <f>C11*barley</f>
        <v>800</v>
      </c>
      <c r="F11" s="371">
        <f>IF(INPUT!$C$19="Ryegrass",INPUT!$C$22,Bv!L11)</f>
        <v>1.4</v>
      </c>
      <c r="G11" s="114">
        <f>C11*F11</f>
        <v>11.2</v>
      </c>
      <c r="H11" s="109">
        <f>B11*G11*barley</f>
        <v>0</v>
      </c>
      <c r="I11" s="108"/>
      <c r="K11" s="644">
        <v>8</v>
      </c>
      <c r="L11" s="642">
        <f>70/50</f>
        <v>1.4</v>
      </c>
    </row>
    <row r="12" spans="1:12" x14ac:dyDescent="0.3">
      <c r="A12" s="638" t="str">
        <f>IF(INPUT!$C$19="Other",INPUT!C20,"Other")</f>
        <v>Other</v>
      </c>
      <c r="B12" s="405">
        <f>IF(INPUT!$C$19="Other",1,0)</f>
        <v>0</v>
      </c>
      <c r="C12" s="816">
        <f>IF(INPUT!$C$19="Other",INPUT!$C$21,0)</f>
        <v>0</v>
      </c>
      <c r="D12" s="34" t="s">
        <v>126</v>
      </c>
      <c r="E12" s="226">
        <f>C12*barley</f>
        <v>0</v>
      </c>
      <c r="F12" s="900">
        <f>IF(INPUT!$C$19="Other",INPUT!$C$22,0)</f>
        <v>0</v>
      </c>
      <c r="G12" s="110">
        <f>C12*F12</f>
        <v>0</v>
      </c>
      <c r="H12" s="109">
        <f>B12*G12*barley</f>
        <v>0</v>
      </c>
      <c r="I12" s="108">
        <f>SUM(H8:H12)</f>
        <v>6901.0416666666624</v>
      </c>
    </row>
    <row r="13" spans="1:12" x14ac:dyDescent="0.3">
      <c r="A13" s="3" t="s">
        <v>1</v>
      </c>
      <c r="B13" s="3"/>
      <c r="C13" s="46"/>
      <c r="D13" s="34"/>
      <c r="E13" s="34"/>
      <c r="F13" s="104"/>
      <c r="G13" s="114"/>
      <c r="H13" s="109"/>
    </row>
    <row r="14" spans="1:12" x14ac:dyDescent="0.3">
      <c r="A14" s="6" t="s">
        <v>251</v>
      </c>
      <c r="B14" s="397">
        <v>0</v>
      </c>
      <c r="C14" s="278">
        <f>IF(Data!G128=0, 37/2000, 146.67/2000)</f>
        <v>7.3334999999999997E-2</v>
      </c>
      <c r="D14" s="34" t="s">
        <v>26</v>
      </c>
      <c r="E14" s="226">
        <f t="shared" ref="E14:E19" si="0">C14*barley</f>
        <v>7.3334999999999999</v>
      </c>
      <c r="F14" s="608">
        <v>600</v>
      </c>
      <c r="G14" s="114">
        <f t="shared" ref="G14:G19" si="1">C14*F14</f>
        <v>44.000999999999998</v>
      </c>
      <c r="H14" s="109">
        <f t="shared" ref="H14:H19" si="2">B14*G14*barley</f>
        <v>0</v>
      </c>
    </row>
    <row r="15" spans="1:12" x14ac:dyDescent="0.3">
      <c r="A15" s="6" t="s">
        <v>252</v>
      </c>
      <c r="B15" s="397">
        <v>0</v>
      </c>
      <c r="C15" s="359">
        <f>IF(Data!G128=0, 5/2000, 46/2000)</f>
        <v>2.3E-2</v>
      </c>
      <c r="D15" s="34" t="s">
        <v>26</v>
      </c>
      <c r="E15" s="226">
        <f t="shared" si="0"/>
        <v>2.2999999999999998</v>
      </c>
      <c r="F15" s="608">
        <v>600</v>
      </c>
      <c r="G15" s="114">
        <f t="shared" si="1"/>
        <v>13.799999999999999</v>
      </c>
      <c r="H15" s="109">
        <f t="shared" si="2"/>
        <v>0</v>
      </c>
      <c r="I15" s="108"/>
    </row>
    <row r="16" spans="1:12" x14ac:dyDescent="0.3">
      <c r="A16" s="638" t="str">
        <f>IF(INPUT!$C$29="Chicken Manure", "Chicken Manure", "None")</f>
        <v>Chicken Manure</v>
      </c>
      <c r="B16" s="405">
        <f>IF(INPUT!$C$29="Chicken Manure",1,0)</f>
        <v>1</v>
      </c>
      <c r="C16" s="816">
        <f>IF(INPUT!$C$29="Chicken Manure",INPUT!$C$32,0)</f>
        <v>3</v>
      </c>
      <c r="D16" s="34" t="str">
        <f>IF(INPUT!$C$29="Chicken Manure",INPUT!$C$31,"ton")</f>
        <v>ton</v>
      </c>
      <c r="E16" s="226">
        <f t="shared" si="0"/>
        <v>300</v>
      </c>
      <c r="F16" s="901">
        <f>IF(INPUT!$C$29="Chicken Manure",INPUT!$C$33,0)</f>
        <v>35</v>
      </c>
      <c r="G16" s="114">
        <f t="shared" si="1"/>
        <v>105</v>
      </c>
      <c r="H16" s="109">
        <f t="shared" si="2"/>
        <v>10500</v>
      </c>
      <c r="I16" s="108"/>
    </row>
    <row r="17" spans="1:9" x14ac:dyDescent="0.3">
      <c r="A17" s="638" t="str">
        <f>IF(INPUT!$C$29="Chilean Nitrate", "Chilean Nitrate", "None")</f>
        <v>None</v>
      </c>
      <c r="B17" s="405">
        <f>IF(INPUT!$C$29="Chilean Nitrate",1,0)</f>
        <v>0</v>
      </c>
      <c r="C17" s="816">
        <f>IF(INPUT!$C$29="Chilean Nitrate",INPUT!$C$32,0)</f>
        <v>0</v>
      </c>
      <c r="D17" s="34" t="str">
        <f>IF(INPUT!$C$29="Chilean Nitrate",INPUT!$C$31,"lb")</f>
        <v>lb</v>
      </c>
      <c r="E17" s="226">
        <f t="shared" si="0"/>
        <v>0</v>
      </c>
      <c r="F17" s="901">
        <f>IF(INPUT!$C$29="Chilean Nitrate",INPUT!$C$33,0)</f>
        <v>0</v>
      </c>
      <c r="G17" s="110">
        <f t="shared" si="1"/>
        <v>0</v>
      </c>
      <c r="H17" s="109">
        <f t="shared" si="2"/>
        <v>0</v>
      </c>
    </row>
    <row r="18" spans="1:9" x14ac:dyDescent="0.3">
      <c r="A18" s="638" t="str">
        <f>INPUT!C35</f>
        <v>None</v>
      </c>
      <c r="B18" s="405">
        <f>IF(INPUT!$C$35="None",0,1)</f>
        <v>0</v>
      </c>
      <c r="C18" s="816">
        <f>INPUT!$C$38</f>
        <v>0</v>
      </c>
      <c r="D18" s="34" t="str">
        <f>IF(INPUT!$C$35="None","n/a",INPUT!$C$37)</f>
        <v>n/a</v>
      </c>
      <c r="E18" s="226">
        <f t="shared" si="0"/>
        <v>0</v>
      </c>
      <c r="F18" s="902">
        <f>INPUT!$C$39</f>
        <v>0.6</v>
      </c>
      <c r="G18" s="110">
        <f t="shared" si="1"/>
        <v>0</v>
      </c>
      <c r="H18" s="109">
        <f t="shared" si="2"/>
        <v>0</v>
      </c>
      <c r="I18" s="108">
        <f>SUM(H14:H18)</f>
        <v>10500</v>
      </c>
    </row>
    <row r="19" spans="1:9" x14ac:dyDescent="0.3">
      <c r="A19" s="638" t="s">
        <v>2</v>
      </c>
      <c r="B19" s="405">
        <f>INPUT!$C$41</f>
        <v>0</v>
      </c>
      <c r="C19" s="369">
        <f>INPUT!$C$43/INPUT!$C$44</f>
        <v>0.2</v>
      </c>
      <c r="D19" s="34" t="str">
        <f>INPUT!$C$42</f>
        <v>ton</v>
      </c>
      <c r="E19" s="226">
        <f t="shared" si="0"/>
        <v>20</v>
      </c>
      <c r="F19" s="109">
        <f>INPUT!$C$45</f>
        <v>38.260869565217398</v>
      </c>
      <c r="G19" s="114">
        <f t="shared" si="1"/>
        <v>7.6521739130434803</v>
      </c>
      <c r="H19" s="109">
        <f t="shared" si="2"/>
        <v>0</v>
      </c>
      <c r="I19" s="108">
        <f>SUM(H19:H19)</f>
        <v>0</v>
      </c>
    </row>
    <row r="20" spans="1:9" x14ac:dyDescent="0.3">
      <c r="A20" s="3" t="s">
        <v>1476</v>
      </c>
      <c r="B20" s="3"/>
      <c r="C20" s="46"/>
      <c r="D20" s="34"/>
      <c r="E20" s="34"/>
      <c r="F20" s="104"/>
      <c r="G20" s="114"/>
      <c r="H20" s="109"/>
    </row>
    <row r="21" spans="1:9" x14ac:dyDescent="0.3">
      <c r="A21" s="638" t="s">
        <v>1577</v>
      </c>
      <c r="B21" s="405">
        <f>IF(INPUT!$C$47=1,1,0)</f>
        <v>0</v>
      </c>
      <c r="C21" s="816">
        <f>INPUT!$C$49</f>
        <v>0</v>
      </c>
      <c r="D21" s="34" t="str">
        <f>INPUT!$C$48</f>
        <v>lb</v>
      </c>
      <c r="E21" s="226">
        <f>C21*barley</f>
        <v>0</v>
      </c>
      <c r="F21" s="900">
        <f>INPUT!$C$50</f>
        <v>0</v>
      </c>
      <c r="G21" s="110">
        <f>C21*F21</f>
        <v>0</v>
      </c>
      <c r="H21" s="109">
        <f>B21*G21*barley</f>
        <v>0</v>
      </c>
    </row>
    <row r="22" spans="1:9" x14ac:dyDescent="0.3">
      <c r="A22" s="6" t="s">
        <v>1477</v>
      </c>
      <c r="B22" s="397">
        <v>0</v>
      </c>
      <c r="C22" s="273">
        <v>0</v>
      </c>
      <c r="D22" s="34" t="s">
        <v>220</v>
      </c>
      <c r="E22" s="226">
        <f>C22*barley</f>
        <v>0</v>
      </c>
      <c r="F22" s="252">
        <v>0</v>
      </c>
      <c r="G22" s="110">
        <f>C22*F22</f>
        <v>0</v>
      </c>
      <c r="H22" s="109">
        <f>B22*G22*barley</f>
        <v>0</v>
      </c>
    </row>
    <row r="23" spans="1:9" x14ac:dyDescent="0.3">
      <c r="A23" s="6" t="s">
        <v>1479</v>
      </c>
      <c r="B23" s="397">
        <v>0</v>
      </c>
      <c r="C23" s="273">
        <v>0</v>
      </c>
      <c r="D23" s="34" t="s">
        <v>220</v>
      </c>
      <c r="E23" s="226">
        <f>C23*barley</f>
        <v>0</v>
      </c>
      <c r="F23" s="252">
        <v>0</v>
      </c>
      <c r="G23" s="110">
        <f>C23*F23</f>
        <v>0</v>
      </c>
      <c r="H23" s="109">
        <f>B23*G23*barley</f>
        <v>0</v>
      </c>
      <c r="I23" s="108">
        <f>SUM(H20:H23)</f>
        <v>0</v>
      </c>
    </row>
    <row r="24" spans="1:9" x14ac:dyDescent="0.3">
      <c r="A24" s="3" t="s">
        <v>14</v>
      </c>
      <c r="B24" s="3"/>
      <c r="C24" s="46"/>
      <c r="D24" s="34"/>
      <c r="E24" s="34"/>
      <c r="F24" s="104"/>
      <c r="G24" s="114"/>
      <c r="H24" s="109"/>
    </row>
    <row r="25" spans="1:9" x14ac:dyDescent="0.3">
      <c r="A25" s="22" t="s">
        <v>332</v>
      </c>
      <c r="B25" s="22"/>
      <c r="C25" s="46"/>
      <c r="D25" s="34"/>
      <c r="E25" s="34"/>
      <c r="F25" s="167"/>
      <c r="G25" s="114"/>
      <c r="H25" s="109"/>
    </row>
    <row r="26" spans="1:9" x14ac:dyDescent="0.3">
      <c r="A26" s="639" t="s">
        <v>1903</v>
      </c>
      <c r="B26" s="405">
        <f>IF(OS!$C$7="Moldboard Plow",OS!D7,0)</f>
        <v>0</v>
      </c>
      <c r="C26" s="156">
        <f>IF(OSI!$C$8&gt;0,(1/OSI!$C$8),Data!$H$579)</f>
        <v>0.23980815347721804</v>
      </c>
      <c r="D26" s="34" t="s">
        <v>128</v>
      </c>
      <c r="E26" s="226">
        <f t="shared" ref="E26" si="3">C26*barley</f>
        <v>23.980815347721805</v>
      </c>
      <c r="F26" s="167">
        <f t="shared" ref="F26:F59" si="4">_wage_</f>
        <v>12.29</v>
      </c>
      <c r="G26" s="114">
        <f t="shared" ref="G26" si="5">C26*F26</f>
        <v>2.9472422062350097</v>
      </c>
      <c r="H26" s="109">
        <f t="shared" ref="H26" si="6">B26*G26*barley</f>
        <v>0</v>
      </c>
    </row>
    <row r="27" spans="1:9" x14ac:dyDescent="0.3">
      <c r="A27" s="639" t="s">
        <v>468</v>
      </c>
      <c r="B27" s="405">
        <f>IF(OS!$C$8="Spr.Sld.Man.",OS!D8,0)</f>
        <v>1</v>
      </c>
      <c r="C27" s="156">
        <f>IF(OSI!$C$9&gt;0,(1/OSI!$C$9),Data!$H$585)</f>
        <v>0.25</v>
      </c>
      <c r="D27" s="34" t="s">
        <v>128</v>
      </c>
      <c r="E27" s="226">
        <f t="shared" ref="E27" si="7">C27*barley</f>
        <v>25</v>
      </c>
      <c r="F27" s="167">
        <f t="shared" si="4"/>
        <v>12.29</v>
      </c>
      <c r="G27" s="114">
        <f t="shared" ref="G27" si="8">C27*F27</f>
        <v>3.0724999999999998</v>
      </c>
      <c r="H27" s="109">
        <f t="shared" ref="H27" si="9">B27*G27*barley</f>
        <v>307.25</v>
      </c>
    </row>
    <row r="28" spans="1:9" x14ac:dyDescent="0.3">
      <c r="A28" s="640" t="s">
        <v>1427</v>
      </c>
      <c r="B28" s="405">
        <f>IF(OS!$C$9="Chisel Plow",OS!D9,0)</f>
        <v>1</v>
      </c>
      <c r="C28" s="156">
        <f>IF(OSI!$C$10&gt;0,(1/OSI!$C$10),Data!$H$580)</f>
        <v>0.11764705882352899</v>
      </c>
      <c r="D28" s="34" t="s">
        <v>128</v>
      </c>
      <c r="E28" s="226">
        <f t="shared" ref="E28:E53" si="10">C28*barley</f>
        <v>11.764705882352899</v>
      </c>
      <c r="F28" s="167">
        <f>_wage_</f>
        <v>12.29</v>
      </c>
      <c r="G28" s="114">
        <f t="shared" ref="G28:G53" si="11">C28*F28</f>
        <v>1.4458823529411713</v>
      </c>
      <c r="H28" s="109">
        <f t="shared" ref="H28:H42" si="12">B28*G28*barley</f>
        <v>144.58823529411714</v>
      </c>
    </row>
    <row r="29" spans="1:9" x14ac:dyDescent="0.3">
      <c r="A29" s="638" t="s">
        <v>485</v>
      </c>
      <c r="B29" s="405">
        <f>IF(OS!$C$10="Disk Harrow",OS!D10,0)</f>
        <v>1</v>
      </c>
      <c r="C29" s="645">
        <f>IF(OSI!$C$11&gt;0,(1/OSI!$C$11),Data!$H$581)</f>
        <v>8.1833060556464804E-2</v>
      </c>
      <c r="D29" s="34" t="s">
        <v>128</v>
      </c>
      <c r="E29" s="226">
        <f t="shared" si="10"/>
        <v>8.1833060556464812</v>
      </c>
      <c r="F29" s="167">
        <f t="shared" si="4"/>
        <v>12.29</v>
      </c>
      <c r="G29" s="114">
        <f t="shared" si="11"/>
        <v>1.0057283142389524</v>
      </c>
      <c r="H29" s="109">
        <f t="shared" si="12"/>
        <v>100.57283142389524</v>
      </c>
    </row>
    <row r="30" spans="1:9" x14ac:dyDescent="0.3">
      <c r="A30" s="22" t="s">
        <v>315</v>
      </c>
      <c r="B30" s="397">
        <v>0</v>
      </c>
      <c r="C30" s="156">
        <f>Data!H582</f>
        <v>0.48</v>
      </c>
      <c r="D30" s="34" t="s">
        <v>128</v>
      </c>
      <c r="E30" s="226">
        <f t="shared" si="10"/>
        <v>48</v>
      </c>
      <c r="F30" s="167">
        <f t="shared" si="4"/>
        <v>12.29</v>
      </c>
      <c r="G30" s="114">
        <f t="shared" si="11"/>
        <v>5.8991999999999996</v>
      </c>
      <c r="H30" s="109">
        <f t="shared" si="12"/>
        <v>0</v>
      </c>
    </row>
    <row r="31" spans="1:9" x14ac:dyDescent="0.3">
      <c r="A31" s="22" t="s">
        <v>581</v>
      </c>
      <c r="B31" s="397">
        <v>0</v>
      </c>
      <c r="C31" s="156">
        <f>Data!H583</f>
        <v>9.2929292929292931E-2</v>
      </c>
      <c r="D31" s="34" t="s">
        <v>128</v>
      </c>
      <c r="E31" s="226">
        <f t="shared" si="10"/>
        <v>9.2929292929292924</v>
      </c>
      <c r="F31" s="167">
        <f t="shared" si="4"/>
        <v>12.29</v>
      </c>
      <c r="G31" s="114">
        <f t="shared" si="11"/>
        <v>1.1421010101010101</v>
      </c>
      <c r="H31" s="109">
        <f t="shared" si="12"/>
        <v>0</v>
      </c>
    </row>
    <row r="32" spans="1:9" x14ac:dyDescent="0.3">
      <c r="A32" s="635" t="s">
        <v>322</v>
      </c>
      <c r="B32" s="397">
        <v>0</v>
      </c>
      <c r="C32" s="273">
        <v>0</v>
      </c>
      <c r="D32" s="34" t="s">
        <v>128</v>
      </c>
      <c r="E32" s="226">
        <f t="shared" si="10"/>
        <v>0</v>
      </c>
      <c r="F32" s="167">
        <f t="shared" si="4"/>
        <v>12.29</v>
      </c>
      <c r="G32" s="114">
        <f t="shared" si="11"/>
        <v>0</v>
      </c>
      <c r="H32" s="109">
        <f t="shared" si="12"/>
        <v>0</v>
      </c>
    </row>
    <row r="33" spans="1:14" ht="13.5" thickBot="1" x14ac:dyDescent="0.35">
      <c r="A33" s="639" t="s">
        <v>333</v>
      </c>
      <c r="B33" s="405">
        <f>IF(OS!$C$11="Finish Harrow",OS!D11,0)</f>
        <v>1</v>
      </c>
      <c r="C33" s="645">
        <f>IF(OSI!$C$12&gt;0,(1/OSI!$C$12),Data!$H$589)</f>
        <v>7.7041602465331302E-2</v>
      </c>
      <c r="D33" s="34" t="s">
        <v>128</v>
      </c>
      <c r="E33" s="226">
        <f t="shared" si="10"/>
        <v>7.7041602465331298</v>
      </c>
      <c r="F33" s="167">
        <f t="shared" si="4"/>
        <v>12.29</v>
      </c>
      <c r="G33" s="114">
        <f t="shared" si="11"/>
        <v>0.94684129429892161</v>
      </c>
      <c r="H33" s="109">
        <f t="shared" si="12"/>
        <v>94.684129429892167</v>
      </c>
      <c r="I33" s="216" t="s">
        <v>2166</v>
      </c>
      <c r="K33" s="914" t="s">
        <v>1627</v>
      </c>
      <c r="L33" s="55"/>
    </row>
    <row r="34" spans="1:14" ht="13.5" thickBot="1" x14ac:dyDescent="0.35">
      <c r="A34" s="639" t="s">
        <v>334</v>
      </c>
      <c r="B34" s="405">
        <f>IF(OS!$C$12="Grain Drill",OS!D12,0)</f>
        <v>1</v>
      </c>
      <c r="C34" s="156">
        <f>IF(OSI!$C$13&gt;0,(1/OSI!$C$14),Data!$H$594)</f>
        <v>7.7041602465331302E-2</v>
      </c>
      <c r="D34" s="34" t="s">
        <v>128</v>
      </c>
      <c r="E34" s="226">
        <f t="shared" si="10"/>
        <v>7.7041602465331298</v>
      </c>
      <c r="F34" s="167">
        <f t="shared" si="4"/>
        <v>12.29</v>
      </c>
      <c r="G34" s="114">
        <f t="shared" si="11"/>
        <v>0.94684129429892161</v>
      </c>
      <c r="H34" s="109">
        <f t="shared" si="12"/>
        <v>94.684129429892167</v>
      </c>
      <c r="I34" s="216" t="s">
        <v>1627</v>
      </c>
      <c r="K34" s="56" t="s">
        <v>1630</v>
      </c>
      <c r="L34" s="913" t="s">
        <v>1625</v>
      </c>
    </row>
    <row r="35" spans="1:14" ht="13.5" thickBot="1" x14ac:dyDescent="0.35">
      <c r="A35" s="639" t="s">
        <v>2218</v>
      </c>
      <c r="B35" s="405">
        <f>IF(OS!$C$13="Tine Harrow",OS!D13,0)</f>
        <v>2</v>
      </c>
      <c r="C35" s="645">
        <f>IF(OSI!$C$14&gt;0,(1/OSI!$C$14),Data!$H$591)</f>
        <v>7.7041602465331302E-2</v>
      </c>
      <c r="D35" s="34" t="s">
        <v>128</v>
      </c>
      <c r="E35" s="226">
        <f t="shared" ref="E35:E39" si="13">C35*barley</f>
        <v>7.7041602465331298</v>
      </c>
      <c r="F35" s="167">
        <f t="shared" si="4"/>
        <v>12.29</v>
      </c>
      <c r="G35" s="114">
        <f t="shared" ref="G35:G39" si="14">C35*F35</f>
        <v>0.94684129429892161</v>
      </c>
      <c r="H35" s="109">
        <f t="shared" ref="H35:H39" si="15">B35*G35*barley</f>
        <v>189.36825885978433</v>
      </c>
      <c r="I35" s="643">
        <v>2</v>
      </c>
      <c r="J35" s="668" t="s">
        <v>2217</v>
      </c>
      <c r="K35" s="55">
        <f>IF(OS!$C$13="None",0,1)</f>
        <v>1</v>
      </c>
      <c r="L35" s="1331">
        <f>OS!D13</f>
        <v>2</v>
      </c>
    </row>
    <row r="36" spans="1:14" ht="13.5" thickBot="1" x14ac:dyDescent="0.35">
      <c r="A36" s="639" t="s">
        <v>340</v>
      </c>
      <c r="B36" s="405">
        <f>IF(OS!$C$14="Cultivate",OS!D14,0)</f>
        <v>0</v>
      </c>
      <c r="C36" s="645">
        <f>IF(OSI!$C$15&gt;0,(1/OSI!$C$15),Data!$H$606)</f>
        <v>6.4724919093851099E-2</v>
      </c>
      <c r="D36" s="34" t="s">
        <v>128</v>
      </c>
      <c r="E36" s="226">
        <f t="shared" si="13"/>
        <v>6.4724919093851101</v>
      </c>
      <c r="F36" s="167">
        <f t="shared" si="4"/>
        <v>12.29</v>
      </c>
      <c r="G36" s="114">
        <f t="shared" si="14"/>
        <v>0.79546925566342996</v>
      </c>
      <c r="H36" s="109">
        <f t="shared" si="15"/>
        <v>0</v>
      </c>
      <c r="J36" s="668" t="s">
        <v>1607</v>
      </c>
      <c r="K36" s="55">
        <f>IF(OS!$C$14="None",0,1)</f>
        <v>0</v>
      </c>
      <c r="L36" s="1331">
        <f>OS!D14</f>
        <v>0</v>
      </c>
    </row>
    <row r="37" spans="1:14" x14ac:dyDescent="0.3">
      <c r="A37" s="639" t="s">
        <v>1626</v>
      </c>
      <c r="B37" s="405">
        <f>IF(OS!$C$15="Spr.Chilean N",1,0)</f>
        <v>0</v>
      </c>
      <c r="C37" s="645">
        <f>IF(OSI!$C$16&gt;0,(1/OSI!$C$16),Data!$H$584)</f>
        <v>9.2929292929292903E-2</v>
      </c>
      <c r="D37" s="34" t="s">
        <v>128</v>
      </c>
      <c r="E37" s="226">
        <f t="shared" si="13"/>
        <v>9.2929292929292906</v>
      </c>
      <c r="F37" s="167">
        <f t="shared" si="4"/>
        <v>12.29</v>
      </c>
      <c r="G37" s="114">
        <f t="shared" si="14"/>
        <v>1.1421010101010096</v>
      </c>
      <c r="H37" s="109">
        <f t="shared" si="15"/>
        <v>0</v>
      </c>
      <c r="K37" s="55"/>
      <c r="L37" s="55"/>
      <c r="N37" s="16"/>
    </row>
    <row r="38" spans="1:14" x14ac:dyDescent="0.3">
      <c r="A38" s="22" t="s">
        <v>304</v>
      </c>
      <c r="B38" s="397">
        <v>0</v>
      </c>
      <c r="C38" s="156">
        <f>Data!H599</f>
        <v>0.11851851851851852</v>
      </c>
      <c r="D38" s="34" t="s">
        <v>128</v>
      </c>
      <c r="E38" s="226">
        <f t="shared" si="13"/>
        <v>11.851851851851853</v>
      </c>
      <c r="F38" s="167">
        <f t="shared" si="4"/>
        <v>12.29</v>
      </c>
      <c r="G38" s="114">
        <f t="shared" si="14"/>
        <v>1.4565925925925924</v>
      </c>
      <c r="H38" s="109">
        <f t="shared" si="15"/>
        <v>0</v>
      </c>
      <c r="K38" s="55"/>
      <c r="L38" s="55"/>
    </row>
    <row r="39" spans="1:14" x14ac:dyDescent="0.3">
      <c r="A39" s="639" t="s">
        <v>1628</v>
      </c>
      <c r="B39" s="405">
        <f>IF(OS!$C$16="Spray Fung.",OS!D16,0)</f>
        <v>0</v>
      </c>
      <c r="C39" s="156">
        <f>IF(OSI!$C$17&gt;0,(1/OSI!$C$17),Data!$H$601)</f>
        <v>2.169668040789759E-2</v>
      </c>
      <c r="D39" s="34" t="s">
        <v>128</v>
      </c>
      <c r="E39" s="226">
        <f t="shared" si="13"/>
        <v>2.1696680407897588</v>
      </c>
      <c r="F39" s="167">
        <f t="shared" si="4"/>
        <v>12.29</v>
      </c>
      <c r="G39" s="114">
        <f t="shared" si="14"/>
        <v>0.26665220221306135</v>
      </c>
      <c r="H39" s="109">
        <f t="shared" si="15"/>
        <v>0</v>
      </c>
      <c r="K39" s="55"/>
      <c r="L39" s="55"/>
    </row>
    <row r="40" spans="1:14" x14ac:dyDescent="0.3">
      <c r="A40" s="639" t="s">
        <v>1317</v>
      </c>
      <c r="B40" s="405">
        <f>IF(OS!$C$18="Combine",OS!D18,0)</f>
        <v>1</v>
      </c>
      <c r="C40" s="156">
        <f>IF(OSI!$C$19&gt;0,(1/OSI!$C$19),Data!$H$614)</f>
        <v>0.33333333333333298</v>
      </c>
      <c r="D40" s="34" t="s">
        <v>128</v>
      </c>
      <c r="E40" s="226">
        <f t="shared" si="10"/>
        <v>33.3333333333333</v>
      </c>
      <c r="F40" s="167">
        <f t="shared" si="4"/>
        <v>12.29</v>
      </c>
      <c r="G40" s="114">
        <f t="shared" si="11"/>
        <v>4.0966666666666622</v>
      </c>
      <c r="H40" s="109">
        <f t="shared" si="12"/>
        <v>409.66666666666623</v>
      </c>
      <c r="K40" s="55"/>
      <c r="L40" s="55"/>
    </row>
    <row r="41" spans="1:14" x14ac:dyDescent="0.3">
      <c r="A41" s="666" t="s">
        <v>1022</v>
      </c>
      <c r="B41" s="397">
        <v>0</v>
      </c>
      <c r="C41" s="47">
        <f>Data!$H$615*Data!$F$181</f>
        <v>0</v>
      </c>
      <c r="D41" s="48" t="s">
        <v>115</v>
      </c>
      <c r="E41" s="83">
        <f>C41*barley</f>
        <v>0</v>
      </c>
      <c r="F41" s="118">
        <f>_wage_</f>
        <v>12.29</v>
      </c>
      <c r="G41" s="465">
        <f>C41*F41</f>
        <v>0</v>
      </c>
      <c r="H41" s="123">
        <f>B41*G41*barley</f>
        <v>0</v>
      </c>
      <c r="J41" s="114"/>
      <c r="K41" s="55"/>
    </row>
    <row r="42" spans="1:14" x14ac:dyDescent="0.3">
      <c r="A42" s="639" t="s">
        <v>2080</v>
      </c>
      <c r="B42" s="405">
        <f>IF(OS!$C$19="Truck",OS!D19,0)</f>
        <v>1</v>
      </c>
      <c r="C42" s="156">
        <f>IF(OSI!$C$20&gt;0,(1/OSI!$C$20),Data!$H$624)</f>
        <v>0.12036247017561499</v>
      </c>
      <c r="D42" s="34" t="s">
        <v>128</v>
      </c>
      <c r="E42" s="226">
        <f t="shared" si="10"/>
        <v>12.0362470175615</v>
      </c>
      <c r="F42" s="167">
        <f t="shared" si="4"/>
        <v>12.29</v>
      </c>
      <c r="G42" s="114">
        <f t="shared" si="11"/>
        <v>1.4792547584583082</v>
      </c>
      <c r="H42" s="109">
        <f t="shared" si="12"/>
        <v>147.92547584583082</v>
      </c>
      <c r="K42" s="55"/>
      <c r="L42" s="55"/>
    </row>
    <row r="43" spans="1:14" x14ac:dyDescent="0.3">
      <c r="A43" s="666" t="s">
        <v>1022</v>
      </c>
      <c r="B43" s="405">
        <f>B42</f>
        <v>1</v>
      </c>
      <c r="C43" s="47">
        <f>Data!$H$625*Data!$F$181</f>
        <v>0</v>
      </c>
      <c r="D43" s="48" t="s">
        <v>115</v>
      </c>
      <c r="E43" s="83">
        <f>C43*barley</f>
        <v>0</v>
      </c>
      <c r="F43" s="118">
        <f>_wage_</f>
        <v>12.29</v>
      </c>
      <c r="G43" s="465">
        <f>C43*F43</f>
        <v>0</v>
      </c>
      <c r="H43" s="123">
        <f>B43*G43*barley</f>
        <v>0</v>
      </c>
      <c r="J43" s="114"/>
      <c r="K43" s="55"/>
    </row>
    <row r="44" spans="1:14" x14ac:dyDescent="0.3">
      <c r="A44" s="22" t="s">
        <v>756</v>
      </c>
      <c r="B44" s="405">
        <f>Data!$B$29</f>
        <v>0</v>
      </c>
      <c r="C44" s="156">
        <f>Data!H648*Data!B29</f>
        <v>0</v>
      </c>
      <c r="D44" s="34" t="s">
        <v>128</v>
      </c>
      <c r="E44" s="226">
        <f t="shared" si="10"/>
        <v>0</v>
      </c>
      <c r="F44" s="167">
        <f t="shared" si="4"/>
        <v>12.29</v>
      </c>
      <c r="G44" s="114">
        <f t="shared" si="11"/>
        <v>0</v>
      </c>
      <c r="H44" s="109">
        <f>(B44*G44*barley)*Data!$B$29*Data!$H$29</f>
        <v>0</v>
      </c>
      <c r="I44" s="87"/>
    </row>
    <row r="45" spans="1:14" x14ac:dyDescent="0.3">
      <c r="A45" s="22" t="s">
        <v>757</v>
      </c>
      <c r="B45" s="405">
        <f>Data!$B$29*Data!$C$29</f>
        <v>0</v>
      </c>
      <c r="C45" s="156">
        <f>Data!H649*Data!B29</f>
        <v>0</v>
      </c>
      <c r="D45" s="34" t="s">
        <v>128</v>
      </c>
      <c r="E45" s="226">
        <f t="shared" si="10"/>
        <v>0</v>
      </c>
      <c r="F45" s="167">
        <f t="shared" si="4"/>
        <v>12.29</v>
      </c>
      <c r="G45" s="114">
        <f t="shared" si="11"/>
        <v>0</v>
      </c>
      <c r="H45" s="109">
        <f>(B45*G45*barley)*Data!$B$29*Data!$C$29*Data!$F$29</f>
        <v>0</v>
      </c>
      <c r="I45" s="87"/>
    </row>
    <row r="46" spans="1:14" x14ac:dyDescent="0.3">
      <c r="A46" s="9" t="s">
        <v>1022</v>
      </c>
      <c r="B46" s="405">
        <f>Data!$B$29*Data!$C$29*0</f>
        <v>0</v>
      </c>
      <c r="C46" s="47">
        <f>Data!$H$650*Data!$F$181*Data!B29</f>
        <v>0</v>
      </c>
      <c r="D46" s="48" t="s">
        <v>115</v>
      </c>
      <c r="E46" s="83">
        <f>C46*barley</f>
        <v>0</v>
      </c>
      <c r="F46" s="118">
        <f>_wage_</f>
        <v>12.29</v>
      </c>
      <c r="G46" s="465">
        <f>C46*F46</f>
        <v>0</v>
      </c>
      <c r="H46" s="123">
        <f>(B46*G46*barley)*Data!$B$29*Data!$C$29*Data!$F$29</f>
        <v>0</v>
      </c>
      <c r="J46" s="114"/>
      <c r="K46" s="55"/>
    </row>
    <row r="47" spans="1:14" x14ac:dyDescent="0.3">
      <c r="A47" s="22" t="s">
        <v>752</v>
      </c>
      <c r="B47" s="405">
        <f>Data!$B$29*Data!$C$29</f>
        <v>0</v>
      </c>
      <c r="C47" s="156">
        <f>Data!H651*Data!B29</f>
        <v>0</v>
      </c>
      <c r="D47" s="34" t="s">
        <v>128</v>
      </c>
      <c r="E47" s="226">
        <f t="shared" si="10"/>
        <v>0</v>
      </c>
      <c r="F47" s="167">
        <f t="shared" si="4"/>
        <v>12.29</v>
      </c>
      <c r="G47" s="114">
        <f t="shared" si="11"/>
        <v>0</v>
      </c>
      <c r="H47" s="109">
        <f>(B47*G47*barley)*Data!$B$29*Data!$C$29*Data!$F$29</f>
        <v>0</v>
      </c>
      <c r="I47" s="87"/>
    </row>
    <row r="48" spans="1:14" x14ac:dyDescent="0.3">
      <c r="A48" s="9" t="s">
        <v>1022</v>
      </c>
      <c r="B48" s="405">
        <f>Data!$B$29*Data!$C$29</f>
        <v>0</v>
      </c>
      <c r="C48" s="47">
        <f>Data!$H$652*Data!$F$181*Data!B29</f>
        <v>0</v>
      </c>
      <c r="D48" s="48" t="s">
        <v>115</v>
      </c>
      <c r="E48" s="83">
        <f>C48*barley</f>
        <v>0</v>
      </c>
      <c r="F48" s="118">
        <f>_wage_</f>
        <v>12.29</v>
      </c>
      <c r="G48" s="465">
        <f>C48*F48</f>
        <v>0</v>
      </c>
      <c r="H48" s="123">
        <f>(B48*G48*barley)*Data!$B$29*Data!$C$29*Data!$F$29</f>
        <v>0</v>
      </c>
      <c r="J48" s="114"/>
      <c r="K48" s="55"/>
    </row>
    <row r="49" spans="1:22" x14ac:dyDescent="0.3">
      <c r="A49" s="22" t="s">
        <v>758</v>
      </c>
      <c r="B49" s="405">
        <f>Data!$B$29*Data!$D$29</f>
        <v>0</v>
      </c>
      <c r="C49" s="156">
        <f>Data!H653*Data!B29</f>
        <v>0</v>
      </c>
      <c r="D49" s="34" t="s">
        <v>128</v>
      </c>
      <c r="E49" s="226">
        <f t="shared" si="10"/>
        <v>0</v>
      </c>
      <c r="F49" s="167">
        <f t="shared" si="4"/>
        <v>12.29</v>
      </c>
      <c r="G49" s="114">
        <f t="shared" si="11"/>
        <v>0</v>
      </c>
      <c r="H49" s="109">
        <f>(B49*G49*barley)*Data!$B$29*Data!$D$29*Data!$G$29</f>
        <v>0</v>
      </c>
      <c r="I49" s="87"/>
    </row>
    <row r="50" spans="1:22" x14ac:dyDescent="0.3">
      <c r="A50" s="9" t="s">
        <v>1022</v>
      </c>
      <c r="B50" s="405">
        <f>Data!$B$29*Data!$D$29*0</f>
        <v>0</v>
      </c>
      <c r="C50" s="47">
        <f>Data!$H$654*Data!$F$181*Data!B29</f>
        <v>0</v>
      </c>
      <c r="D50" s="48" t="s">
        <v>115</v>
      </c>
      <c r="E50" s="83">
        <f>C50*barley</f>
        <v>0</v>
      </c>
      <c r="F50" s="118">
        <f>_wage_</f>
        <v>12.29</v>
      </c>
      <c r="G50" s="465">
        <f>C50*F50</f>
        <v>0</v>
      </c>
      <c r="H50" s="123">
        <f>(B50*G50*barley)*Data!$B$29*Data!$D$29*Data!$G$29</f>
        <v>0</v>
      </c>
      <c r="J50" s="114"/>
      <c r="K50" s="55"/>
    </row>
    <row r="51" spans="1:22" x14ac:dyDescent="0.3">
      <c r="A51" s="22" t="s">
        <v>753</v>
      </c>
      <c r="B51" s="405">
        <f>Data!$B$29*Data!$D$29</f>
        <v>0</v>
      </c>
      <c r="C51" s="156">
        <f>Data!H655*Data!B29</f>
        <v>0</v>
      </c>
      <c r="D51" s="34" t="s">
        <v>128</v>
      </c>
      <c r="E51" s="226">
        <f t="shared" si="10"/>
        <v>0</v>
      </c>
      <c r="F51" s="167">
        <f t="shared" si="4"/>
        <v>12.29</v>
      </c>
      <c r="G51" s="114">
        <f t="shared" si="11"/>
        <v>0</v>
      </c>
      <c r="H51" s="109">
        <f>(B51*G51*barley)*Data!$B$29*Data!$D$29*Data!$G$29</f>
        <v>0</v>
      </c>
      <c r="I51" s="87"/>
    </row>
    <row r="52" spans="1:22" x14ac:dyDescent="0.3">
      <c r="A52" s="9" t="s">
        <v>1022</v>
      </c>
      <c r="B52" s="405">
        <f>Data!$B$29*Data!$D$29</f>
        <v>0</v>
      </c>
      <c r="C52" s="47">
        <f>Data!$H$656*Data!$F$181*Data!B29</f>
        <v>0</v>
      </c>
      <c r="D52" s="48" t="s">
        <v>115</v>
      </c>
      <c r="E52" s="83">
        <f>C52*barley</f>
        <v>0</v>
      </c>
      <c r="F52" s="118">
        <f>_wage_</f>
        <v>12.29</v>
      </c>
      <c r="G52" s="465">
        <f>C52*F52</f>
        <v>0</v>
      </c>
      <c r="H52" s="123">
        <f>(B52*G52*barley)*Data!$B$29*Data!$D$29*Data!$G$29</f>
        <v>0</v>
      </c>
      <c r="J52" s="114"/>
      <c r="K52" s="55"/>
    </row>
    <row r="53" spans="1:22" x14ac:dyDescent="0.3">
      <c r="A53" s="22" t="s">
        <v>759</v>
      </c>
      <c r="B53" s="397">
        <v>0</v>
      </c>
      <c r="C53" s="156">
        <f>Data!H657*Data!B29</f>
        <v>0</v>
      </c>
      <c r="D53" s="34" t="s">
        <v>128</v>
      </c>
      <c r="E53" s="226">
        <f t="shared" si="10"/>
        <v>0</v>
      </c>
      <c r="F53" s="167">
        <f t="shared" si="4"/>
        <v>12.29</v>
      </c>
      <c r="G53" s="114">
        <f t="shared" si="11"/>
        <v>0</v>
      </c>
      <c r="H53" s="109">
        <f>(B53*G53*barley)*Data!$B$29*Data!$H$29</f>
        <v>0</v>
      </c>
      <c r="I53" s="87"/>
    </row>
    <row r="54" spans="1:22" x14ac:dyDescent="0.3">
      <c r="A54" s="9" t="s">
        <v>1022</v>
      </c>
      <c r="B54" s="405">
        <f>B53</f>
        <v>0</v>
      </c>
      <c r="C54" s="47">
        <f>Data!$H$658*Data!$F$181*Data!B29</f>
        <v>0</v>
      </c>
      <c r="D54" s="48" t="s">
        <v>115</v>
      </c>
      <c r="E54" s="83">
        <f>C54*barley</f>
        <v>0</v>
      </c>
      <c r="F54" s="118">
        <f>_wage_</f>
        <v>12.29</v>
      </c>
      <c r="G54" s="465">
        <f>C54*F54</f>
        <v>0</v>
      </c>
      <c r="H54" s="123">
        <f>(B54*G54*barley)*Data!$B$29*Data!$H$29</f>
        <v>0</v>
      </c>
      <c r="J54" s="114"/>
      <c r="K54" s="55"/>
    </row>
    <row r="55" spans="1:22" x14ac:dyDescent="0.3">
      <c r="A55" s="639" t="s">
        <v>1435</v>
      </c>
      <c r="B55" s="832"/>
      <c r="C55" s="47"/>
      <c r="D55" s="48"/>
      <c r="E55" s="83"/>
      <c r="F55" s="118"/>
      <c r="G55" s="465"/>
      <c r="H55" s="123"/>
      <c r="J55" s="114"/>
      <c r="K55" s="55"/>
    </row>
    <row r="56" spans="1:22" x14ac:dyDescent="0.3">
      <c r="A56" s="638" t="s">
        <v>1436</v>
      </c>
      <c r="B56" s="405">
        <f>IF(OS!$C$20="Clean",OS!D20,0)</f>
        <v>1</v>
      </c>
      <c r="C56" s="645">
        <f>IF(OSI!$C$21&gt;0,(1/OSI!$C$21),Data!$H$659)</f>
        <v>1.008</v>
      </c>
      <c r="D56" s="34" t="s">
        <v>128</v>
      </c>
      <c r="E56" s="226">
        <f t="shared" ref="E56" si="16">C56*barley</f>
        <v>100.8</v>
      </c>
      <c r="F56" s="167">
        <f t="shared" si="4"/>
        <v>12.29</v>
      </c>
      <c r="G56" s="114">
        <f t="shared" ref="G56" si="17">C56*F56</f>
        <v>12.388319999999998</v>
      </c>
      <c r="H56" s="109">
        <f t="shared" ref="H56" si="18">B56*G56*barley</f>
        <v>1238.8319999999999</v>
      </c>
      <c r="J56" s="114"/>
      <c r="K56" s="55"/>
    </row>
    <row r="57" spans="1:22" x14ac:dyDescent="0.3">
      <c r="A57" s="666" t="s">
        <v>1022</v>
      </c>
      <c r="B57" s="405">
        <f>IF(Data!$F$181=0,0,1)</f>
        <v>0</v>
      </c>
      <c r="C57" s="47">
        <f>Data!H660*Data!$F$181</f>
        <v>0</v>
      </c>
      <c r="D57" s="48" t="s">
        <v>115</v>
      </c>
      <c r="E57" s="83">
        <f>C57*barley</f>
        <v>0</v>
      </c>
      <c r="F57" s="118">
        <f>_wage_</f>
        <v>12.29</v>
      </c>
      <c r="G57" s="465">
        <f>C57*F57</f>
        <v>0</v>
      </c>
      <c r="H57" s="123">
        <f>B57*G57*barley</f>
        <v>0</v>
      </c>
      <c r="L57" s="4" t="s">
        <v>1077</v>
      </c>
    </row>
    <row r="58" spans="1:22" x14ac:dyDescent="0.3">
      <c r="A58" s="639" t="s">
        <v>1147</v>
      </c>
      <c r="B58" s="22"/>
      <c r="C58" s="46"/>
      <c r="D58" s="34"/>
      <c r="E58" s="34"/>
      <c r="F58" s="90"/>
      <c r="G58" s="114"/>
      <c r="H58" s="109"/>
      <c r="J58" s="588">
        <f>OSI!$E$69</f>
        <v>30000</v>
      </c>
      <c r="K58" s="17" t="s">
        <v>220</v>
      </c>
      <c r="L58" s="17">
        <f>J58/2000</f>
        <v>15</v>
      </c>
      <c r="M58" s="17" t="s">
        <v>26</v>
      </c>
      <c r="N58" s="588">
        <f>OSI!$C$69</f>
        <v>500</v>
      </c>
      <c r="O58" s="17" t="s">
        <v>931</v>
      </c>
      <c r="P58" s="93" t="s">
        <v>944</v>
      </c>
      <c r="Q58" s="93"/>
      <c r="S58" s="588">
        <f>N58*Data!$K$58</f>
        <v>24000</v>
      </c>
      <c r="T58" s="17" t="s">
        <v>220</v>
      </c>
      <c r="U58" s="22">
        <f>S58/J58</f>
        <v>0.8</v>
      </c>
    </row>
    <row r="59" spans="1:22" x14ac:dyDescent="0.3">
      <c r="A59" s="638" t="s">
        <v>1145</v>
      </c>
      <c r="B59" s="405">
        <f>IF(OS!$C$21="Dry",OS!D21,0)</f>
        <v>1</v>
      </c>
      <c r="C59" s="369">
        <f>IF(OSI!$C$22&gt;0,(1/OSI!$C$22),Data!$H$679)</f>
        <v>0.43701457208373401</v>
      </c>
      <c r="D59" s="34" t="s">
        <v>115</v>
      </c>
      <c r="E59" s="226">
        <f>C59*barley</f>
        <v>43.701457208373398</v>
      </c>
      <c r="F59" s="167">
        <f t="shared" si="4"/>
        <v>12.29</v>
      </c>
      <c r="G59" s="114">
        <f>C59*F59</f>
        <v>5.3709090909090902</v>
      </c>
      <c r="H59" s="110">
        <f>B59*G59*barley</f>
        <v>537.09090909090901</v>
      </c>
      <c r="J59" s="588">
        <f>OSI!$E$70</f>
        <v>180</v>
      </c>
      <c r="K59" s="17" t="s">
        <v>220</v>
      </c>
      <c r="L59" s="17">
        <f>J59/2000</f>
        <v>0.09</v>
      </c>
      <c r="M59" s="17" t="s">
        <v>26</v>
      </c>
      <c r="N59" s="588">
        <f>OSI!$C$70</f>
        <v>3</v>
      </c>
      <c r="O59" s="17" t="s">
        <v>931</v>
      </c>
      <c r="P59" s="93" t="s">
        <v>945</v>
      </c>
      <c r="Q59" s="93"/>
      <c r="S59" s="588">
        <f>N59*Data!$K$58</f>
        <v>144</v>
      </c>
      <c r="T59" s="17" t="s">
        <v>220</v>
      </c>
      <c r="U59" s="22">
        <f>S59/J59</f>
        <v>0.8</v>
      </c>
    </row>
    <row r="60" spans="1:22" x14ac:dyDescent="0.3">
      <c r="A60" s="666" t="s">
        <v>1022</v>
      </c>
      <c r="B60" s="405">
        <f>IF(Data!$F$181=0,0,1)</f>
        <v>0</v>
      </c>
      <c r="C60" s="47">
        <f>C59*Data!$F$181</f>
        <v>0</v>
      </c>
      <c r="D60" s="48" t="s">
        <v>115</v>
      </c>
      <c r="E60" s="83">
        <f>C60*barley</f>
        <v>0</v>
      </c>
      <c r="F60" s="118">
        <f>_wage_</f>
        <v>12.29</v>
      </c>
      <c r="G60" s="465">
        <f>C60*F60</f>
        <v>0</v>
      </c>
      <c r="H60" s="123">
        <f>B60*G60*barley</f>
        <v>0</v>
      </c>
      <c r="I60" s="108">
        <f>SUM(H25:H60)</f>
        <v>3264.6626360409869</v>
      </c>
      <c r="J60" s="114"/>
      <c r="K60" s="55"/>
    </row>
    <row r="61" spans="1:22" x14ac:dyDescent="0.3">
      <c r="A61" s="1258" t="s">
        <v>2081</v>
      </c>
      <c r="Q61" s="216" t="s">
        <v>933</v>
      </c>
      <c r="R61" s="216" t="s">
        <v>933</v>
      </c>
      <c r="S61" s="216" t="s">
        <v>2047</v>
      </c>
      <c r="T61" s="216" t="s">
        <v>2050</v>
      </c>
    </row>
    <row r="62" spans="1:22" x14ac:dyDescent="0.3">
      <c r="A62" s="638" t="s">
        <v>938</v>
      </c>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IF(OSI!$C$77&gt;0,1*$P$73,0)</f>
        <v>1</v>
      </c>
      <c r="C63" s="410">
        <f>IF(barley&gt;0,($T$63*((Data!$B$180*barley)/$N$58))/barley,0)</f>
        <v>0.126</v>
      </c>
      <c r="D63" s="34" t="s">
        <v>115</v>
      </c>
      <c r="E63" s="46">
        <f t="shared" ref="E63:E68" si="19">C63*barley</f>
        <v>12.6</v>
      </c>
      <c r="F63" s="167">
        <f t="shared" ref="F63:F68" si="20">_wage_</f>
        <v>12.29</v>
      </c>
      <c r="G63" s="114">
        <f t="shared" ref="G63:G68" si="21">C63*F63</f>
        <v>1.5485399999999998</v>
      </c>
      <c r="H63" s="110">
        <f t="shared" ref="H63:H68" si="22">B63*G63*barley</f>
        <v>154.85399999999998</v>
      </c>
      <c r="J63" s="55" t="s">
        <v>762</v>
      </c>
      <c r="K63" s="816">
        <f>B63</f>
        <v>1</v>
      </c>
      <c r="L63" s="168">
        <f>IF(barley&gt;0,(K63*(T63*_wage_)*((Data!$B$180*barley)/$N$58))/barley,0)</f>
        <v>1.5485399999999998</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IF(Data!$F$181=0,0,1*$P$73)</f>
        <v>0</v>
      </c>
      <c r="C64" s="593">
        <f>C63*Data!$F$181</f>
        <v>0</v>
      </c>
      <c r="D64" s="48" t="s">
        <v>115</v>
      </c>
      <c r="E64" s="47">
        <f t="shared" si="19"/>
        <v>0</v>
      </c>
      <c r="F64" s="118">
        <f t="shared" si="20"/>
        <v>12.29</v>
      </c>
      <c r="G64" s="465">
        <f t="shared" si="21"/>
        <v>0</v>
      </c>
      <c r="H64" s="123">
        <f t="shared" si="22"/>
        <v>0</v>
      </c>
      <c r="J64" s="55" t="s">
        <v>943</v>
      </c>
      <c r="K64" s="816">
        <f>B65</f>
        <v>0</v>
      </c>
      <c r="L64" s="114">
        <f>IF(barley&gt;0,(K64*(T64*_wage_)*((Data!$E$180*barley)/$U$64))/barley,0)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(U64*Data!$E$178)/Data!$H$178</f>
        <v>200</v>
      </c>
    </row>
    <row r="65" spans="1:22" x14ac:dyDescent="0.3">
      <c r="A65" s="638" t="s">
        <v>940</v>
      </c>
      <c r="B65" s="405">
        <f>IF(OSI!$C$81&gt;0,Data!$B$29*Data!$C$29*$P$74,0)</f>
        <v>0</v>
      </c>
      <c r="C65" s="410">
        <f>IF(barley&gt;0,($T$64*(Bb!$B$17/Bv!$S$116))/barley,0)</f>
        <v>0</v>
      </c>
      <c r="D65" s="34" t="s">
        <v>115</v>
      </c>
      <c r="E65" s="46">
        <f t="shared" si="19"/>
        <v>0</v>
      </c>
      <c r="F65" s="167">
        <f t="shared" si="20"/>
        <v>12.29</v>
      </c>
      <c r="G65" s="114">
        <f t="shared" si="21"/>
        <v>0</v>
      </c>
      <c r="H65" s="110">
        <f t="shared" si="22"/>
        <v>0</v>
      </c>
      <c r="J65" s="55" t="s">
        <v>948</v>
      </c>
      <c r="K65" s="816">
        <f>B67</f>
        <v>0</v>
      </c>
      <c r="L65" s="114">
        <f>IF(barley&gt;0,(K65*(T65*_wage_)*((Data!$H$180*barley)/$V$64))/barley,0)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IF(Data!$F$182=0,0,1*$P$74)</f>
        <v>0</v>
      </c>
      <c r="C66" s="593">
        <f>C65*Data!$F$182</f>
        <v>0</v>
      </c>
      <c r="D66" s="48" t="s">
        <v>115</v>
      </c>
      <c r="E66" s="47">
        <f t="shared" si="19"/>
        <v>0</v>
      </c>
      <c r="F66" s="118">
        <f t="shared" si="20"/>
        <v>12.29</v>
      </c>
      <c r="G66" s="465">
        <f t="shared" si="21"/>
        <v>0</v>
      </c>
      <c r="H66" s="123">
        <f t="shared" si="22"/>
        <v>0</v>
      </c>
      <c r="Q66" s="216" t="s">
        <v>933</v>
      </c>
      <c r="R66" s="216" t="s">
        <v>933</v>
      </c>
      <c r="S66" s="216" t="s">
        <v>2047</v>
      </c>
      <c r="T66" s="216" t="s">
        <v>2050</v>
      </c>
    </row>
    <row r="67" spans="1:22" x14ac:dyDescent="0.3">
      <c r="A67" s="638" t="s">
        <v>941</v>
      </c>
      <c r="B67" s="405">
        <f>IF(OSI!$C$85&gt;0,Data!$B$29*Data!$D$29*$P$75,0)</f>
        <v>0</v>
      </c>
      <c r="C67" s="410">
        <f>IF(barley&gt;0,($T$65*(Bb!$B$19/Bv!$T$116))/barley,0)</f>
        <v>0</v>
      </c>
      <c r="D67" s="34" t="s">
        <v>115</v>
      </c>
      <c r="E67" s="46">
        <f t="shared" si="19"/>
        <v>0</v>
      </c>
      <c r="F67" s="167">
        <f t="shared" si="20"/>
        <v>12.29</v>
      </c>
      <c r="G67" s="114">
        <f t="shared" si="21"/>
        <v>0</v>
      </c>
      <c r="H67" s="110">
        <f t="shared" si="22"/>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IF(Data!$F$182=0,0,1*$P$75)</f>
        <v>0</v>
      </c>
      <c r="C68" s="593">
        <f>C67*Data!$F$182</f>
        <v>0</v>
      </c>
      <c r="D68" s="48" t="s">
        <v>115</v>
      </c>
      <c r="E68" s="47">
        <f t="shared" si="19"/>
        <v>0</v>
      </c>
      <c r="F68" s="118">
        <f t="shared" si="20"/>
        <v>12.29</v>
      </c>
      <c r="G68" s="465">
        <f t="shared" si="21"/>
        <v>0</v>
      </c>
      <c r="H68" s="123">
        <f t="shared" si="22"/>
        <v>0</v>
      </c>
      <c r="J68" s="55" t="s">
        <v>762</v>
      </c>
      <c r="K68" s="816">
        <f>B70</f>
        <v>0</v>
      </c>
      <c r="L68" s="168">
        <f>IF(barley&gt;0,(K68*(T68*_wage_)*((Data!$B$180*barley)/$N$59))/barley,0)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IF(barley&gt;0,(K69*(T69*_wage_)*((Data!$E$180*barley)/$U$69))/barley,0)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(U69*Data!$E$178)/Data!$H$178</f>
        <v>400</v>
      </c>
    </row>
    <row r="70" spans="1:22" x14ac:dyDescent="0.3">
      <c r="A70" s="638" t="s">
        <v>939</v>
      </c>
      <c r="B70" s="405">
        <f>IF(OSI!$C$78&gt;0,1*$Q$73,0)</f>
        <v>0</v>
      </c>
      <c r="C70" s="410">
        <f>IF(barley&gt;0,($T$68*((Data!$B$180*barley)/$N$59))/barley,0)</f>
        <v>35</v>
      </c>
      <c r="D70" s="34" t="s">
        <v>115</v>
      </c>
      <c r="E70" s="46">
        <f t="shared" ref="E70:E75" si="23">C70*barley</f>
        <v>3500</v>
      </c>
      <c r="F70" s="167">
        <f t="shared" ref="F70:F75" si="24">_wage_</f>
        <v>12.29</v>
      </c>
      <c r="G70" s="114">
        <f t="shared" ref="G70:G75" si="25">C70*F70</f>
        <v>430.15</v>
      </c>
      <c r="H70" s="110">
        <f t="shared" ref="H70:H75" si="26">B70*G70*barley</f>
        <v>0</v>
      </c>
      <c r="J70" s="55" t="s">
        <v>948</v>
      </c>
      <c r="K70" s="816">
        <f>B74</f>
        <v>0</v>
      </c>
      <c r="L70" s="114">
        <f>IF(barley&gt;0,(K70*(T70*_wage_)*((Data!$H$180*barley)/$V$69))/barley,0)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IF(Data!$F$181=0,0,1*$Q$73)</f>
        <v>0</v>
      </c>
      <c r="C71" s="593">
        <f>C70*Data!$F$181</f>
        <v>0</v>
      </c>
      <c r="D71" s="48" t="s">
        <v>115</v>
      </c>
      <c r="E71" s="47">
        <f t="shared" si="23"/>
        <v>0</v>
      </c>
      <c r="F71" s="118">
        <f t="shared" si="24"/>
        <v>12.29</v>
      </c>
      <c r="G71" s="465">
        <f t="shared" si="25"/>
        <v>0</v>
      </c>
      <c r="H71" s="123">
        <f t="shared" si="26"/>
        <v>0</v>
      </c>
      <c r="J71" s="55"/>
      <c r="K71" s="114"/>
      <c r="L71" s="114"/>
      <c r="M71" s="22"/>
      <c r="N71" s="114"/>
      <c r="O71" s="22"/>
      <c r="P71" s="22"/>
      <c r="Q71" s="22"/>
      <c r="R71" s="22"/>
      <c r="S71" s="22"/>
      <c r="T71" s="22"/>
      <c r="U71" s="22"/>
    </row>
    <row r="72" spans="1:22" x14ac:dyDescent="0.3">
      <c r="A72" s="638" t="s">
        <v>940</v>
      </c>
      <c r="B72" s="405">
        <f>IF(OSI!$C$82&gt;0,Data!$B$29*Data!$C$29*$Q$74,0)</f>
        <v>0</v>
      </c>
      <c r="C72" s="410">
        <f>IF(barley&gt;0,($T$69*(Bb!$B$17/Bv!$S$121))/barley,0)</f>
        <v>0</v>
      </c>
      <c r="D72" s="34" t="s">
        <v>115</v>
      </c>
      <c r="E72" s="46">
        <f t="shared" si="23"/>
        <v>0</v>
      </c>
      <c r="F72" s="167">
        <f t="shared" si="24"/>
        <v>12.29</v>
      </c>
      <c r="G72" s="114">
        <f t="shared" si="25"/>
        <v>0</v>
      </c>
      <c r="H72" s="110">
        <f t="shared" si="26"/>
        <v>0</v>
      </c>
      <c r="M72" s="22"/>
      <c r="N72" s="114"/>
      <c r="O72" s="67" t="s">
        <v>947</v>
      </c>
      <c r="P72" s="216" t="s">
        <v>932</v>
      </c>
      <c r="Q72" s="216" t="s">
        <v>934</v>
      </c>
      <c r="R72" s="216" t="s">
        <v>76</v>
      </c>
      <c r="S72" s="22"/>
      <c r="U72" s="22"/>
    </row>
    <row r="73" spans="1:22" x14ac:dyDescent="0.3">
      <c r="A73" s="666" t="s">
        <v>2025</v>
      </c>
      <c r="B73" s="405">
        <f>IF(Data!$F$182=0,0,1*$Q$74)</f>
        <v>0</v>
      </c>
      <c r="C73" s="593">
        <f>C72*Data!$F$182</f>
        <v>0</v>
      </c>
      <c r="D73" s="48" t="s">
        <v>115</v>
      </c>
      <c r="E73" s="47">
        <f t="shared" si="23"/>
        <v>0</v>
      </c>
      <c r="F73" s="118">
        <f t="shared" si="24"/>
        <v>12.29</v>
      </c>
      <c r="G73" s="465">
        <f t="shared" si="25"/>
        <v>0</v>
      </c>
      <c r="H73" s="123">
        <f t="shared" si="26"/>
        <v>0</v>
      </c>
      <c r="M73" s="22"/>
      <c r="N73" s="114"/>
      <c r="O73" s="34" t="s">
        <v>762</v>
      </c>
      <c r="P73" s="922">
        <f>OSI!$C$77</f>
        <v>1</v>
      </c>
      <c r="Q73" s="922">
        <f>OSI!$C$78</f>
        <v>0</v>
      </c>
      <c r="R73" s="412">
        <f>SUM(P73:Q73)</f>
        <v>1</v>
      </c>
      <c r="S73" s="22"/>
      <c r="U73" s="22"/>
    </row>
    <row r="74" spans="1:22" x14ac:dyDescent="0.3">
      <c r="A74" s="638" t="s">
        <v>941</v>
      </c>
      <c r="B74" s="405">
        <f>IF(OSI!$C$86&gt;0,Data!$B$29*Data!$D$29*$Q$75,0)</f>
        <v>0</v>
      </c>
      <c r="C74" s="410">
        <f>IF(barley&gt;0,($T$70*(Bb!$B$19/Bv!$T$121))/barley,0)</f>
        <v>0</v>
      </c>
      <c r="D74" s="34" t="s">
        <v>115</v>
      </c>
      <c r="E74" s="46">
        <f t="shared" si="23"/>
        <v>0</v>
      </c>
      <c r="F74" s="167">
        <f t="shared" si="24"/>
        <v>12.29</v>
      </c>
      <c r="G74" s="114">
        <f t="shared" si="25"/>
        <v>0</v>
      </c>
      <c r="H74" s="110">
        <f t="shared" si="26"/>
        <v>0</v>
      </c>
      <c r="I74" s="50"/>
      <c r="M74" s="22"/>
      <c r="N74" s="114"/>
      <c r="O74" s="55" t="s">
        <v>943</v>
      </c>
      <c r="P74" s="922">
        <f>OSI!$C$81</f>
        <v>1</v>
      </c>
      <c r="Q74" s="922">
        <f>OSI!$C$82</f>
        <v>0</v>
      </c>
      <c r="R74" s="412">
        <f>SUM(P74:Q74)</f>
        <v>1</v>
      </c>
      <c r="S74" s="22"/>
      <c r="U74" s="22"/>
    </row>
    <row r="75" spans="1:22" x14ac:dyDescent="0.3">
      <c r="A75" s="666" t="s">
        <v>2025</v>
      </c>
      <c r="B75" s="405">
        <f>IF(Data!$F$182=0,0,1*$Q$75)</f>
        <v>0</v>
      </c>
      <c r="C75" s="593">
        <f>C74*Data!$F$182</f>
        <v>0</v>
      </c>
      <c r="D75" s="48" t="s">
        <v>115</v>
      </c>
      <c r="E75" s="47">
        <f t="shared" si="23"/>
        <v>0</v>
      </c>
      <c r="F75" s="118">
        <f t="shared" si="24"/>
        <v>12.29</v>
      </c>
      <c r="G75" s="465">
        <f t="shared" si="25"/>
        <v>0</v>
      </c>
      <c r="H75" s="123">
        <f t="shared" si="26"/>
        <v>0</v>
      </c>
      <c r="I75" s="108">
        <f>SUM(H62:H75)</f>
        <v>154.85399999999998</v>
      </c>
      <c r="M75" s="22"/>
      <c r="N75" s="114"/>
      <c r="O75" s="55" t="s">
        <v>948</v>
      </c>
      <c r="P75" s="922">
        <f>OSI!$C$85</f>
        <v>1</v>
      </c>
      <c r="Q75" s="922">
        <f>OSI!$C$86</f>
        <v>0</v>
      </c>
      <c r="R75" s="412">
        <f>SUM(P75:Q75)</f>
        <v>1</v>
      </c>
      <c r="S75" s="22"/>
      <c r="T75" s="22"/>
      <c r="U75" s="22"/>
    </row>
    <row r="76" spans="1:22" x14ac:dyDescent="0.3">
      <c r="A76" s="3" t="s">
        <v>66</v>
      </c>
      <c r="B76" s="3"/>
      <c r="D76" s="34"/>
      <c r="E76" s="34"/>
      <c r="F76" s="167"/>
      <c r="G76" s="114"/>
      <c r="H76" s="109"/>
      <c r="K76" s="46"/>
    </row>
    <row r="77" spans="1:22" x14ac:dyDescent="0.3">
      <c r="A77" s="22" t="s">
        <v>332</v>
      </c>
      <c r="B77" s="22"/>
      <c r="C77" s="46"/>
      <c r="D77" s="34"/>
      <c r="E77" s="34"/>
      <c r="F77" s="167"/>
      <c r="G77" s="114"/>
      <c r="H77" s="109"/>
      <c r="K77" s="55"/>
    </row>
    <row r="78" spans="1:22" x14ac:dyDescent="0.3">
      <c r="A78" s="638" t="s">
        <v>1911</v>
      </c>
      <c r="B78" s="405">
        <f t="shared" ref="B78:B106" si="27">B26</f>
        <v>0</v>
      </c>
      <c r="C78" s="156">
        <f>IF(OSI!$C$28&gt;0,OSI!$C$28,Data!$R$579)</f>
        <v>1.32</v>
      </c>
      <c r="D78" s="34" t="s">
        <v>117</v>
      </c>
      <c r="E78" s="226">
        <f t="shared" ref="E78" si="28">C78*barley</f>
        <v>132</v>
      </c>
      <c r="F78" s="167">
        <f>diesel_fuel</f>
        <v>2.56</v>
      </c>
      <c r="G78" s="114">
        <f>C78*F78</f>
        <v>3.3792000000000004</v>
      </c>
      <c r="H78" s="109">
        <f>B78*G78*barley</f>
        <v>0</v>
      </c>
      <c r="K78" s="55"/>
    </row>
    <row r="79" spans="1:22" x14ac:dyDescent="0.3">
      <c r="A79" s="638" t="s">
        <v>1144</v>
      </c>
      <c r="B79" s="405">
        <f t="shared" si="27"/>
        <v>1</v>
      </c>
      <c r="C79" s="156">
        <f>IF(OSI!$C$29&gt;0,OSI!$C$29,Data!$R$585)</f>
        <v>0.44023863292066601</v>
      </c>
      <c r="D79" s="34" t="s">
        <v>117</v>
      </c>
      <c r="E79" s="226">
        <f t="shared" ref="E79" si="29">C79*barley</f>
        <v>44.023863292066601</v>
      </c>
      <c r="F79" s="167">
        <f>diesel_fuel</f>
        <v>2.56</v>
      </c>
      <c r="G79" s="114">
        <f>C79*F79</f>
        <v>1.1270109002769051</v>
      </c>
      <c r="H79" s="109">
        <f>B79*G79*barley</f>
        <v>112.70109002769051</v>
      </c>
      <c r="K79" s="55"/>
    </row>
    <row r="80" spans="1:22" x14ac:dyDescent="0.3">
      <c r="A80" s="640" t="s">
        <v>1427</v>
      </c>
      <c r="B80" s="405">
        <f t="shared" si="27"/>
        <v>1</v>
      </c>
      <c r="C80" s="156">
        <f>IF(OSI!$C$30&gt;0,OSI!$C$30,Data!$R$580)</f>
        <v>0.64</v>
      </c>
      <c r="D80" s="34" t="s">
        <v>117</v>
      </c>
      <c r="E80" s="226">
        <f t="shared" ref="E80:E105" si="30">C80*barley</f>
        <v>64</v>
      </c>
      <c r="F80" s="167">
        <f>diesel_fuel</f>
        <v>2.56</v>
      </c>
      <c r="G80" s="114">
        <f>C80*F80</f>
        <v>1.6384000000000001</v>
      </c>
      <c r="H80" s="109">
        <f t="shared" ref="H80:H94" si="31">B80*G80*barley</f>
        <v>163.84</v>
      </c>
      <c r="K80" s="55"/>
    </row>
    <row r="81" spans="1:12" x14ac:dyDescent="0.3">
      <c r="A81" s="638" t="s">
        <v>485</v>
      </c>
      <c r="B81" s="405">
        <f t="shared" si="27"/>
        <v>1</v>
      </c>
      <c r="C81" s="156">
        <f>IF(OSI!$C$31&gt;0,OSI!$C$31,Data!$R$581)</f>
        <v>0.74</v>
      </c>
      <c r="D81" s="34" t="s">
        <v>117</v>
      </c>
      <c r="E81" s="226">
        <f t="shared" si="30"/>
        <v>74</v>
      </c>
      <c r="F81" s="167">
        <f t="shared" ref="F81:F111" si="32">diesel_fuel</f>
        <v>2.56</v>
      </c>
      <c r="G81" s="114">
        <f t="shared" ref="G81:G105" si="33">C81*F81</f>
        <v>1.8944000000000001</v>
      </c>
      <c r="H81" s="109">
        <f t="shared" si="31"/>
        <v>189.44</v>
      </c>
      <c r="K81" s="55"/>
    </row>
    <row r="82" spans="1:12" x14ac:dyDescent="0.3">
      <c r="A82" s="22" t="s">
        <v>315</v>
      </c>
      <c r="B82" s="405">
        <f t="shared" si="27"/>
        <v>0</v>
      </c>
      <c r="C82" s="156">
        <f>Data!R582</f>
        <v>0.2</v>
      </c>
      <c r="D82" s="34" t="s">
        <v>117</v>
      </c>
      <c r="E82" s="226">
        <f t="shared" si="30"/>
        <v>20</v>
      </c>
      <c r="F82" s="167">
        <f t="shared" si="32"/>
        <v>2.56</v>
      </c>
      <c r="G82" s="114">
        <f t="shared" si="33"/>
        <v>0.51200000000000001</v>
      </c>
      <c r="H82" s="109">
        <f t="shared" si="31"/>
        <v>0</v>
      </c>
    </row>
    <row r="83" spans="1:12" x14ac:dyDescent="0.3">
      <c r="A83" s="22" t="s">
        <v>581</v>
      </c>
      <c r="B83" s="405">
        <f t="shared" si="27"/>
        <v>0</v>
      </c>
      <c r="C83" s="156">
        <f>Data!R583</f>
        <v>0.13183670241332501</v>
      </c>
      <c r="D83" s="34" t="s">
        <v>117</v>
      </c>
      <c r="E83" s="226">
        <f t="shared" si="30"/>
        <v>13.183670241332502</v>
      </c>
      <c r="F83" s="167">
        <f t="shared" si="32"/>
        <v>2.56</v>
      </c>
      <c r="G83" s="114">
        <f t="shared" si="33"/>
        <v>0.33750195817811202</v>
      </c>
      <c r="H83" s="109">
        <f t="shared" si="31"/>
        <v>0</v>
      </c>
    </row>
    <row r="84" spans="1:12" x14ac:dyDescent="0.3">
      <c r="A84" s="22" t="s">
        <v>322</v>
      </c>
      <c r="B84" s="405">
        <f t="shared" si="27"/>
        <v>0</v>
      </c>
      <c r="C84" s="273">
        <v>0</v>
      </c>
      <c r="D84" s="34" t="s">
        <v>117</v>
      </c>
      <c r="E84" s="226">
        <f t="shared" si="30"/>
        <v>0</v>
      </c>
      <c r="F84" s="167">
        <f t="shared" si="32"/>
        <v>2.56</v>
      </c>
      <c r="G84" s="110">
        <f t="shared" si="33"/>
        <v>0</v>
      </c>
      <c r="H84" s="109">
        <f t="shared" si="31"/>
        <v>0</v>
      </c>
    </row>
    <row r="85" spans="1:12" x14ac:dyDescent="0.3">
      <c r="A85" s="639" t="s">
        <v>333</v>
      </c>
      <c r="B85" s="405">
        <f t="shared" si="27"/>
        <v>1</v>
      </c>
      <c r="C85" s="156">
        <f>IF(OSI!$C$32&gt;0,OSI!$C$32,Data!$R$589)</f>
        <v>0.34</v>
      </c>
      <c r="D85" s="34" t="s">
        <v>117</v>
      </c>
      <c r="E85" s="226">
        <f t="shared" si="30"/>
        <v>34</v>
      </c>
      <c r="F85" s="167">
        <f t="shared" si="32"/>
        <v>2.56</v>
      </c>
      <c r="G85" s="114">
        <f t="shared" si="33"/>
        <v>0.87040000000000006</v>
      </c>
      <c r="H85" s="109">
        <f t="shared" si="31"/>
        <v>87.04</v>
      </c>
    </row>
    <row r="86" spans="1:12" x14ac:dyDescent="0.3">
      <c r="A86" s="639" t="s">
        <v>334</v>
      </c>
      <c r="B86" s="405">
        <f t="shared" si="27"/>
        <v>1</v>
      </c>
      <c r="C86" s="156">
        <f>IF(OSI!$C$33&gt;0,OSI!$C$33,Data!$R$594)</f>
        <v>0.61</v>
      </c>
      <c r="D86" s="34" t="s">
        <v>117</v>
      </c>
      <c r="E86" s="226">
        <f t="shared" si="30"/>
        <v>61</v>
      </c>
      <c r="F86" s="167">
        <f t="shared" si="32"/>
        <v>2.56</v>
      </c>
      <c r="G86" s="114">
        <f t="shared" si="33"/>
        <v>1.5616000000000001</v>
      </c>
      <c r="H86" s="109">
        <f t="shared" si="31"/>
        <v>156.16</v>
      </c>
    </row>
    <row r="87" spans="1:12" x14ac:dyDescent="0.3">
      <c r="A87" s="639" t="s">
        <v>2218</v>
      </c>
      <c r="B87" s="405">
        <f t="shared" si="27"/>
        <v>2</v>
      </c>
      <c r="C87" s="156">
        <f>IF(OSI!$C$34&gt;0,OSI!$C$34,Data!$R$591)</f>
        <v>0.34</v>
      </c>
      <c r="D87" s="34" t="s">
        <v>117</v>
      </c>
      <c r="E87" s="226">
        <f t="shared" ref="E87:E92" si="34">C87*barley</f>
        <v>34</v>
      </c>
      <c r="F87" s="167">
        <f t="shared" si="32"/>
        <v>2.56</v>
      </c>
      <c r="G87" s="114">
        <f t="shared" ref="G87:G91" si="35">C87*F87</f>
        <v>0.87040000000000006</v>
      </c>
      <c r="H87" s="109">
        <f t="shared" ref="H87:H92" si="36">B87*G87*barley</f>
        <v>174.08</v>
      </c>
    </row>
    <row r="88" spans="1:12" x14ac:dyDescent="0.3">
      <c r="A88" s="639" t="s">
        <v>340</v>
      </c>
      <c r="B88" s="405">
        <f t="shared" si="27"/>
        <v>0</v>
      </c>
      <c r="C88" s="156">
        <f>IF(OSI!$C$35&gt;0,OSI!$C$35,Data!$R$606)</f>
        <v>0.46</v>
      </c>
      <c r="D88" s="34" t="s">
        <v>117</v>
      </c>
      <c r="E88" s="226">
        <f t="shared" si="34"/>
        <v>46</v>
      </c>
      <c r="F88" s="167">
        <f t="shared" si="32"/>
        <v>2.56</v>
      </c>
      <c r="G88" s="114">
        <f t="shared" si="35"/>
        <v>1.1776</v>
      </c>
      <c r="H88" s="109">
        <f t="shared" si="36"/>
        <v>0</v>
      </c>
    </row>
    <row r="89" spans="1:12" x14ac:dyDescent="0.3">
      <c r="A89" s="639" t="s">
        <v>1626</v>
      </c>
      <c r="B89" s="405">
        <f t="shared" si="27"/>
        <v>0</v>
      </c>
      <c r="C89" s="156">
        <f>IF(OSI!$C$36&gt;0,OSI!$C$36,Data!$R$584)</f>
        <v>0.13183670241332501</v>
      </c>
      <c r="D89" s="34" t="s">
        <v>117</v>
      </c>
      <c r="E89" s="226">
        <f t="shared" si="34"/>
        <v>13.183670241332502</v>
      </c>
      <c r="F89" s="167">
        <f t="shared" si="32"/>
        <v>2.56</v>
      </c>
      <c r="G89" s="114">
        <f t="shared" si="35"/>
        <v>0.33750195817811202</v>
      </c>
      <c r="H89" s="109">
        <f t="shared" si="36"/>
        <v>0</v>
      </c>
    </row>
    <row r="90" spans="1:12" x14ac:dyDescent="0.3">
      <c r="A90" s="22" t="s">
        <v>304</v>
      </c>
      <c r="B90" s="405">
        <f t="shared" si="27"/>
        <v>0</v>
      </c>
      <c r="C90" s="156">
        <f>Data!R599</f>
        <v>0.11981642612033799</v>
      </c>
      <c r="D90" s="34" t="s">
        <v>117</v>
      </c>
      <c r="E90" s="226">
        <f t="shared" si="34"/>
        <v>11.981642612033799</v>
      </c>
      <c r="F90" s="167">
        <f t="shared" si="32"/>
        <v>2.56</v>
      </c>
      <c r="G90" s="114">
        <f t="shared" si="35"/>
        <v>0.30673005086806526</v>
      </c>
      <c r="H90" s="109">
        <f t="shared" si="36"/>
        <v>0</v>
      </c>
    </row>
    <row r="91" spans="1:12" x14ac:dyDescent="0.3">
      <c r="A91" s="639" t="s">
        <v>1628</v>
      </c>
      <c r="B91" s="405">
        <f t="shared" si="27"/>
        <v>0</v>
      </c>
      <c r="C91" s="156">
        <f>IF(OSI!$C$37&gt;0,OSI!$C$37,Data!$R$601)</f>
        <v>0.12</v>
      </c>
      <c r="D91" s="34" t="s">
        <v>117</v>
      </c>
      <c r="E91" s="226">
        <f t="shared" si="34"/>
        <v>12</v>
      </c>
      <c r="F91" s="167">
        <f t="shared" si="32"/>
        <v>2.56</v>
      </c>
      <c r="G91" s="114">
        <f t="shared" si="35"/>
        <v>0.30719999999999997</v>
      </c>
      <c r="H91" s="109">
        <f t="shared" si="36"/>
        <v>0</v>
      </c>
    </row>
    <row r="92" spans="1:12" x14ac:dyDescent="0.3">
      <c r="A92" s="639" t="s">
        <v>1317</v>
      </c>
      <c r="B92" s="405">
        <f t="shared" si="27"/>
        <v>1</v>
      </c>
      <c r="C92" s="156">
        <f>IF(OSI!$C$39&gt;0,OSI!$C$39,Data!$R$614)</f>
        <v>2</v>
      </c>
      <c r="D92" s="34" t="s">
        <v>117</v>
      </c>
      <c r="E92" s="226">
        <f t="shared" si="34"/>
        <v>200</v>
      </c>
      <c r="F92" s="167">
        <f>diesel_fuel</f>
        <v>2.56</v>
      </c>
      <c r="G92" s="114">
        <f t="shared" si="33"/>
        <v>5.12</v>
      </c>
      <c r="H92" s="109">
        <f t="shared" si="36"/>
        <v>512</v>
      </c>
    </row>
    <row r="93" spans="1:12" x14ac:dyDescent="0.3">
      <c r="A93" s="666" t="s">
        <v>1022</v>
      </c>
      <c r="B93" s="405">
        <f t="shared" si="27"/>
        <v>0</v>
      </c>
      <c r="C93" s="47">
        <f>Data!$R$615*Data!$F$181</f>
        <v>0</v>
      </c>
      <c r="D93" s="48" t="s">
        <v>117</v>
      </c>
      <c r="E93" s="83">
        <f>C93*barley</f>
        <v>0</v>
      </c>
      <c r="F93" s="118">
        <f>diesel_fuel</f>
        <v>2.56</v>
      </c>
      <c r="G93" s="465">
        <f>C93*F93</f>
        <v>0</v>
      </c>
      <c r="H93" s="123">
        <f>B93*G93*barley</f>
        <v>0</v>
      </c>
      <c r="J93" s="114"/>
      <c r="K93" s="55"/>
    </row>
    <row r="94" spans="1:12" x14ac:dyDescent="0.3">
      <c r="A94" s="639" t="s">
        <v>2080</v>
      </c>
      <c r="B94" s="405">
        <f t="shared" si="27"/>
        <v>1</v>
      </c>
      <c r="C94" s="156">
        <f>IF(OSI!$C$40&gt;0,OSI!$C$40,Data!$R$624)</f>
        <v>0.18508181377122601</v>
      </c>
      <c r="D94" s="34" t="s">
        <v>117</v>
      </c>
      <c r="E94" s="226">
        <f t="shared" si="30"/>
        <v>18.5081813771226</v>
      </c>
      <c r="F94" s="167">
        <f t="shared" si="32"/>
        <v>2.56</v>
      </c>
      <c r="G94" s="114">
        <f t="shared" si="33"/>
        <v>0.4738094432543386</v>
      </c>
      <c r="H94" s="109">
        <f t="shared" si="31"/>
        <v>47.380944325433859</v>
      </c>
    </row>
    <row r="95" spans="1:12" x14ac:dyDescent="0.3">
      <c r="A95" s="666" t="s">
        <v>1022</v>
      </c>
      <c r="B95" s="405">
        <f t="shared" si="27"/>
        <v>1</v>
      </c>
      <c r="C95" s="47">
        <f>Data!$R$625*Data!$F$181</f>
        <v>0</v>
      </c>
      <c r="D95" s="48" t="s">
        <v>117</v>
      </c>
      <c r="E95" s="83">
        <f>C95*barley</f>
        <v>0</v>
      </c>
      <c r="F95" s="118">
        <f>diesel_fuel</f>
        <v>2.56</v>
      </c>
      <c r="G95" s="465">
        <f>C95*F95</f>
        <v>0</v>
      </c>
      <c r="H95" s="123">
        <f>B95*G95*barley</f>
        <v>0</v>
      </c>
      <c r="J95" s="114"/>
      <c r="K95" s="55"/>
    </row>
    <row r="96" spans="1:12" x14ac:dyDescent="0.3">
      <c r="A96" s="22" t="s">
        <v>756</v>
      </c>
      <c r="B96" s="405">
        <f t="shared" si="27"/>
        <v>0</v>
      </c>
      <c r="C96" s="156">
        <f>Data!R648</f>
        <v>0.28809523809523802</v>
      </c>
      <c r="D96" s="34" t="s">
        <v>117</v>
      </c>
      <c r="E96" s="226">
        <f t="shared" si="30"/>
        <v>28.809523809523803</v>
      </c>
      <c r="F96" s="167">
        <f t="shared" si="32"/>
        <v>2.56</v>
      </c>
      <c r="G96" s="114">
        <f t="shared" si="33"/>
        <v>0.73752380952380936</v>
      </c>
      <c r="H96" s="109">
        <f>(B96*G96*barley)*Data!$B$29*Data!$H$29</f>
        <v>0</v>
      </c>
      <c r="K96" s="55"/>
      <c r="L96" s="55"/>
    </row>
    <row r="97" spans="1:21" x14ac:dyDescent="0.3">
      <c r="A97" s="22" t="s">
        <v>757</v>
      </c>
      <c r="B97" s="405">
        <f t="shared" si="27"/>
        <v>0</v>
      </c>
      <c r="C97" s="156">
        <f>Data!R649</f>
        <v>0.34903846153846102</v>
      </c>
      <c r="D97" s="34" t="s">
        <v>117</v>
      </c>
      <c r="E97" s="226">
        <f t="shared" si="30"/>
        <v>34.903846153846104</v>
      </c>
      <c r="F97" s="167">
        <f t="shared" si="32"/>
        <v>2.56</v>
      </c>
      <c r="G97" s="114">
        <f t="shared" si="33"/>
        <v>0.89353846153846028</v>
      </c>
      <c r="H97" s="109">
        <f>(B97*G97*barley)*Data!$B$29*Data!$C$29*Data!$F$29</f>
        <v>0</v>
      </c>
      <c r="K97" s="55"/>
      <c r="L97" s="55"/>
    </row>
    <row r="98" spans="1:21" x14ac:dyDescent="0.3">
      <c r="A98" s="9" t="s">
        <v>1022</v>
      </c>
      <c r="B98" s="405">
        <f t="shared" si="27"/>
        <v>0</v>
      </c>
      <c r="C98" s="47">
        <f>Data!$R$650*Data!$F$181</f>
        <v>0</v>
      </c>
      <c r="D98" s="48" t="s">
        <v>117</v>
      </c>
      <c r="E98" s="83">
        <f>C98*barley</f>
        <v>0</v>
      </c>
      <c r="F98" s="118">
        <f>diesel_fuel</f>
        <v>2.56</v>
      </c>
      <c r="G98" s="465">
        <f>C98*F98</f>
        <v>0</v>
      </c>
      <c r="H98" s="123">
        <f>(B98*G98*barley)*Data!$B$29*Data!$C$29*Data!$F$29</f>
        <v>0</v>
      </c>
      <c r="J98" s="114"/>
      <c r="K98" s="55"/>
    </row>
    <row r="99" spans="1:21" x14ac:dyDescent="0.3">
      <c r="A99" s="22" t="s">
        <v>752</v>
      </c>
      <c r="B99" s="405">
        <f t="shared" si="27"/>
        <v>0</v>
      </c>
      <c r="C99" s="156">
        <f>Data!R651</f>
        <v>0.1</v>
      </c>
      <c r="D99" s="34" t="s">
        <v>117</v>
      </c>
      <c r="E99" s="226">
        <f t="shared" si="30"/>
        <v>10</v>
      </c>
      <c r="F99" s="167">
        <f t="shared" si="32"/>
        <v>2.56</v>
      </c>
      <c r="G99" s="114">
        <f t="shared" si="33"/>
        <v>0.25600000000000001</v>
      </c>
      <c r="H99" s="109">
        <f>(B99*G99*barley)*Data!$B$29*Data!$C$29*Data!$F$29</f>
        <v>0</v>
      </c>
      <c r="K99" s="55"/>
      <c r="L99" s="55"/>
    </row>
    <row r="100" spans="1:21" x14ac:dyDescent="0.3">
      <c r="A100" s="9" t="s">
        <v>1022</v>
      </c>
      <c r="B100" s="405">
        <f t="shared" si="27"/>
        <v>0</v>
      </c>
      <c r="C100" s="47">
        <f>Data!$R$652*Data!$F$181</f>
        <v>0</v>
      </c>
      <c r="D100" s="48" t="s">
        <v>117</v>
      </c>
      <c r="E100" s="83">
        <f>C100*barley</f>
        <v>0</v>
      </c>
      <c r="F100" s="118">
        <f>diesel_fuel</f>
        <v>2.56</v>
      </c>
      <c r="G100" s="465">
        <f>C100*F100</f>
        <v>0</v>
      </c>
      <c r="H100" s="123">
        <f>(B100*G100*barley)*Data!$B$29*Data!$C$29*Data!$F$29</f>
        <v>0</v>
      </c>
      <c r="J100" s="114"/>
      <c r="K100" s="55"/>
    </row>
    <row r="101" spans="1:21" x14ac:dyDescent="0.3">
      <c r="A101" s="22" t="s">
        <v>758</v>
      </c>
      <c r="B101" s="405">
        <f t="shared" si="27"/>
        <v>0</v>
      </c>
      <c r="C101" s="156">
        <f>Data!R653</f>
        <v>0.40333333333333299</v>
      </c>
      <c r="D101" s="34" t="s">
        <v>117</v>
      </c>
      <c r="E101" s="226">
        <f t="shared" si="30"/>
        <v>40.3333333333333</v>
      </c>
      <c r="F101" s="167">
        <f t="shared" si="32"/>
        <v>2.56</v>
      </c>
      <c r="G101" s="114">
        <f t="shared" si="33"/>
        <v>1.0325333333333324</v>
      </c>
      <c r="H101" s="109">
        <f>(B101*G101*barley)*Data!$B$29*Data!$D$29*Data!$G$29</f>
        <v>0</v>
      </c>
      <c r="K101" s="55"/>
      <c r="L101" s="55"/>
    </row>
    <row r="102" spans="1:21" x14ac:dyDescent="0.3">
      <c r="A102" s="9" t="s">
        <v>1022</v>
      </c>
      <c r="B102" s="405">
        <f t="shared" si="27"/>
        <v>0</v>
      </c>
      <c r="C102" s="47">
        <f>Data!$R$654*Data!$F$181</f>
        <v>0</v>
      </c>
      <c r="D102" s="48" t="s">
        <v>117</v>
      </c>
      <c r="E102" s="83">
        <f>C102*barley</f>
        <v>0</v>
      </c>
      <c r="F102" s="118">
        <f>diesel_fuel</f>
        <v>2.56</v>
      </c>
      <c r="G102" s="465">
        <f>C102*F102</f>
        <v>0</v>
      </c>
      <c r="H102" s="123">
        <f>(B102*G102*barley)*Data!$B$29*Data!$D$29*Data!$G$29</f>
        <v>0</v>
      </c>
      <c r="J102" s="114"/>
      <c r="K102" s="55"/>
    </row>
    <row r="103" spans="1:21" x14ac:dyDescent="0.3">
      <c r="A103" s="22" t="s">
        <v>753</v>
      </c>
      <c r="B103" s="405">
        <f t="shared" si="27"/>
        <v>0</v>
      </c>
      <c r="C103" s="165">
        <f>Data!R655</f>
        <v>0</v>
      </c>
      <c r="D103" s="34" t="s">
        <v>117</v>
      </c>
      <c r="E103" s="226">
        <f t="shared" si="30"/>
        <v>0</v>
      </c>
      <c r="F103" s="167">
        <f t="shared" si="32"/>
        <v>2.56</v>
      </c>
      <c r="G103" s="114">
        <f t="shared" si="33"/>
        <v>0</v>
      </c>
      <c r="H103" s="109">
        <f>(B103*G103*barley)*Data!$B$29*Data!$D$29*Data!$G$29</f>
        <v>0</v>
      </c>
      <c r="K103" s="55"/>
      <c r="L103" s="55"/>
    </row>
    <row r="104" spans="1:21" x14ac:dyDescent="0.3">
      <c r="A104" s="9" t="s">
        <v>1022</v>
      </c>
      <c r="B104" s="405">
        <f t="shared" si="27"/>
        <v>0</v>
      </c>
      <c r="C104" s="83">
        <f>Data!$R$656*Data!$F$181</f>
        <v>0</v>
      </c>
      <c r="D104" s="48" t="s">
        <v>117</v>
      </c>
      <c r="E104" s="83">
        <f>C104*barley</f>
        <v>0</v>
      </c>
      <c r="F104" s="118">
        <f>diesel_fuel</f>
        <v>2.56</v>
      </c>
      <c r="G104" s="465">
        <f>C104*F104</f>
        <v>0</v>
      </c>
      <c r="H104" s="123">
        <f>(B104*G104*barley)*Data!$B$29*Data!$D$29*Data!$G$29</f>
        <v>0</v>
      </c>
      <c r="J104" s="114"/>
      <c r="K104" s="55"/>
    </row>
    <row r="105" spans="1:21" x14ac:dyDescent="0.3">
      <c r="A105" s="22" t="s">
        <v>759</v>
      </c>
      <c r="B105" s="405">
        <f t="shared" si="27"/>
        <v>0</v>
      </c>
      <c r="C105" s="156">
        <f>Data!R657</f>
        <v>0.11</v>
      </c>
      <c r="D105" s="34" t="s">
        <v>117</v>
      </c>
      <c r="E105" s="226">
        <f t="shared" si="30"/>
        <v>11</v>
      </c>
      <c r="F105" s="167">
        <f t="shared" si="32"/>
        <v>2.56</v>
      </c>
      <c r="G105" s="114">
        <f t="shared" si="33"/>
        <v>0.28160000000000002</v>
      </c>
      <c r="H105" s="109">
        <f>(B105*G105*barley)*Data!$B$29*Data!$H$29</f>
        <v>0</v>
      </c>
      <c r="K105" s="55"/>
      <c r="L105" s="55"/>
      <c r="M105" s="55"/>
      <c r="N105" s="55"/>
      <c r="O105" s="55"/>
    </row>
    <row r="106" spans="1:21" x14ac:dyDescent="0.3">
      <c r="A106" s="9" t="s">
        <v>1022</v>
      </c>
      <c r="B106" s="405">
        <f t="shared" si="27"/>
        <v>0</v>
      </c>
      <c r="C106" s="47">
        <f>Data!$R$658*Data!$F$181</f>
        <v>0</v>
      </c>
      <c r="D106" s="48" t="s">
        <v>117</v>
      </c>
      <c r="E106" s="83">
        <f>C106*barley</f>
        <v>0</v>
      </c>
      <c r="F106" s="118">
        <f>diesel_fuel</f>
        <v>2.56</v>
      </c>
      <c r="G106" s="465">
        <f>C106*F106</f>
        <v>0</v>
      </c>
      <c r="H106" s="123">
        <f>(B106*G106*barley)*Data!$B$29*Data!$H$29</f>
        <v>0</v>
      </c>
      <c r="J106" s="114"/>
      <c r="K106" s="55"/>
      <c r="L106" s="55"/>
    </row>
    <row r="107" spans="1:21" x14ac:dyDescent="0.3">
      <c r="A107" s="639" t="s">
        <v>1435</v>
      </c>
      <c r="B107" s="832"/>
      <c r="C107" s="47"/>
      <c r="D107" s="48"/>
      <c r="E107" s="83"/>
      <c r="F107" s="118"/>
      <c r="G107" s="465"/>
      <c r="H107" s="123"/>
      <c r="J107" s="114"/>
      <c r="K107" s="55"/>
      <c r="L107" s="55"/>
    </row>
    <row r="108" spans="1:21" x14ac:dyDescent="0.3">
      <c r="A108" s="638" t="s">
        <v>1436</v>
      </c>
      <c r="B108" s="405">
        <f>B56</f>
        <v>1</v>
      </c>
      <c r="C108" s="165">
        <f>IF(OSI!$C$41&gt;0,OSI!$C$41,Data!$R$659)</f>
        <v>0</v>
      </c>
      <c r="D108" s="34" t="s">
        <v>117</v>
      </c>
      <c r="E108" s="226">
        <f t="shared" ref="E108" si="37">C108*barley</f>
        <v>0</v>
      </c>
      <c r="F108" s="167">
        <f t="shared" si="32"/>
        <v>2.56</v>
      </c>
      <c r="G108" s="114">
        <f t="shared" ref="G108" si="38">C108*F108</f>
        <v>0</v>
      </c>
      <c r="H108" s="109">
        <f t="shared" ref="H108" si="39">B108*G108*barley</f>
        <v>0</v>
      </c>
      <c r="J108" s="114"/>
      <c r="K108" s="55"/>
    </row>
    <row r="109" spans="1:21" x14ac:dyDescent="0.3">
      <c r="A109" s="666" t="s">
        <v>1022</v>
      </c>
      <c r="B109" s="405">
        <f>B57</f>
        <v>0</v>
      </c>
      <c r="C109" s="83">
        <f>Data!R660*Data!$F$181</f>
        <v>0</v>
      </c>
      <c r="D109" s="48" t="s">
        <v>117</v>
      </c>
      <c r="E109" s="83">
        <f>C109*barley</f>
        <v>0</v>
      </c>
      <c r="F109" s="118">
        <f>diesel_fuel</f>
        <v>2.56</v>
      </c>
      <c r="G109" s="465">
        <f>C109*F109</f>
        <v>0</v>
      </c>
      <c r="H109" s="123">
        <f>B109*G109*barley</f>
        <v>0</v>
      </c>
      <c r="L109" s="4" t="s">
        <v>1077</v>
      </c>
    </row>
    <row r="110" spans="1:21" x14ac:dyDescent="0.3">
      <c r="A110" s="639" t="s">
        <v>1147</v>
      </c>
      <c r="B110" s="60"/>
      <c r="C110" s="60"/>
      <c r="D110" s="34"/>
      <c r="E110" s="34"/>
      <c r="F110" s="90"/>
      <c r="G110" s="114"/>
      <c r="H110" s="109"/>
      <c r="J110" s="588">
        <f>OSI!$E$69</f>
        <v>30000</v>
      </c>
      <c r="K110" s="17" t="s">
        <v>220</v>
      </c>
      <c r="L110" s="17">
        <f>J110/2000</f>
        <v>15</v>
      </c>
      <c r="M110" s="17" t="s">
        <v>26</v>
      </c>
      <c r="N110" s="588">
        <f>OSI!$C$69</f>
        <v>500</v>
      </c>
      <c r="O110" s="17" t="s">
        <v>931</v>
      </c>
      <c r="P110" s="93" t="s">
        <v>944</v>
      </c>
      <c r="Q110" s="93"/>
      <c r="S110" s="588">
        <f>N110*Data!$K$58</f>
        <v>24000</v>
      </c>
      <c r="T110" s="17" t="s">
        <v>220</v>
      </c>
      <c r="U110" s="22">
        <f>S110/J110</f>
        <v>0.8</v>
      </c>
    </row>
    <row r="111" spans="1:21" x14ac:dyDescent="0.3">
      <c r="A111" s="638" t="s">
        <v>1146</v>
      </c>
      <c r="B111" s="405">
        <f>B59</f>
        <v>1</v>
      </c>
      <c r="C111" s="816">
        <f>IF(OSI!$C$42&gt;0,OSI!$C$42,Data!$R$679)</f>
        <v>0</v>
      </c>
      <c r="D111" s="34" t="s">
        <v>117</v>
      </c>
      <c r="E111" s="226">
        <f>C111*barley</f>
        <v>0</v>
      </c>
      <c r="F111" s="167">
        <f t="shared" si="32"/>
        <v>2.56</v>
      </c>
      <c r="G111" s="114">
        <f>C111*F111</f>
        <v>0</v>
      </c>
      <c r="H111" s="110">
        <f>B111*G111*barley</f>
        <v>0</v>
      </c>
      <c r="J111" s="588">
        <f>OSI!$E$70</f>
        <v>180</v>
      </c>
      <c r="K111" s="17" t="s">
        <v>220</v>
      </c>
      <c r="L111" s="17">
        <f>J111/2000</f>
        <v>0.09</v>
      </c>
      <c r="M111" s="17" t="s">
        <v>26</v>
      </c>
      <c r="N111" s="588">
        <f>OSI!$C$70</f>
        <v>3</v>
      </c>
      <c r="O111" s="17" t="s">
        <v>931</v>
      </c>
      <c r="P111" s="93" t="s">
        <v>945</v>
      </c>
      <c r="Q111" s="93"/>
      <c r="S111" s="588">
        <f>N111*Data!$K$58</f>
        <v>144</v>
      </c>
      <c r="T111" s="17" t="s">
        <v>220</v>
      </c>
      <c r="U111" s="22">
        <f>S111/J111</f>
        <v>0.8</v>
      </c>
    </row>
    <row r="112" spans="1:21" x14ac:dyDescent="0.3">
      <c r="A112" s="666" t="s">
        <v>1022</v>
      </c>
      <c r="B112" s="405">
        <f>B60</f>
        <v>0</v>
      </c>
      <c r="C112" s="83">
        <f>C111*Data!$F$181</f>
        <v>0</v>
      </c>
      <c r="D112" s="48" t="s">
        <v>117</v>
      </c>
      <c r="E112" s="83">
        <f>C112*barley</f>
        <v>0</v>
      </c>
      <c r="F112" s="118">
        <f>diesel_fuel</f>
        <v>2.56</v>
      </c>
      <c r="G112" s="465">
        <f>C112*F112</f>
        <v>0</v>
      </c>
      <c r="H112" s="123">
        <f>B112*G112*barley</f>
        <v>0</v>
      </c>
      <c r="I112" s="108">
        <f>SUM(H77:H112)</f>
        <v>1442.6420343531242</v>
      </c>
      <c r="K112" s="55"/>
      <c r="L112" s="24"/>
      <c r="M112" s="82"/>
    </row>
    <row r="113" spans="1:21" x14ac:dyDescent="0.3">
      <c r="A113" s="1258" t="s">
        <v>2081</v>
      </c>
      <c r="Q113" s="216" t="s">
        <v>933</v>
      </c>
      <c r="R113" s="216" t="s">
        <v>933</v>
      </c>
    </row>
    <row r="114" spans="1:21" x14ac:dyDescent="0.3">
      <c r="A114" s="638" t="s">
        <v>938</v>
      </c>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IF(OSI!$C$77&gt;0,1*$P$125,0)</f>
        <v>1</v>
      </c>
      <c r="C115" s="410">
        <f>IF(barley&gt;0,($R$115*((Data!$B$180*barley)/$N$110))/barley,0)</f>
        <v>8.9600000000000013E-2</v>
      </c>
      <c r="D115" s="34" t="s">
        <v>117</v>
      </c>
      <c r="E115" s="46">
        <f t="shared" ref="E115:E120" si="40">C115*barley</f>
        <v>8.9600000000000009</v>
      </c>
      <c r="F115" s="167">
        <f t="shared" ref="F115:F119" si="41">diesel_fuel</f>
        <v>2.56</v>
      </c>
      <c r="G115" s="114">
        <f t="shared" ref="G115:G120" si="42">C115*F115</f>
        <v>0.22937600000000002</v>
      </c>
      <c r="H115" s="110">
        <f t="shared" ref="H115:H120" si="43">B115*G115*barley</f>
        <v>22.937600000000003</v>
      </c>
      <c r="J115" s="55" t="s">
        <v>762</v>
      </c>
      <c r="K115" s="369">
        <f>B115</f>
        <v>1</v>
      </c>
      <c r="L115" s="168">
        <f>(K115*(R115*diesel_fuel)*((Data!$B$180*barley)/$N$110))/barley</f>
        <v>0.229376</v>
      </c>
      <c r="M115" s="22" t="s">
        <v>254</v>
      </c>
      <c r="N115" s="168">
        <f>(R115*diesel_fuel)</f>
        <v>2.7306666666666666</v>
      </c>
      <c r="O115" s="22" t="s">
        <v>935</v>
      </c>
      <c r="P115" s="816">
        <f>OSI!$G$69</f>
        <v>20</v>
      </c>
      <c r="Q115" s="816">
        <f>OSI!$G$70</f>
        <v>15</v>
      </c>
      <c r="R115" s="46">
        <f>(P115/Q115)*$U$110</f>
        <v>1.0666666666666667</v>
      </c>
      <c r="S115" s="216" t="s">
        <v>936</v>
      </c>
      <c r="T115" s="216" t="s">
        <v>937</v>
      </c>
    </row>
    <row r="116" spans="1:21" x14ac:dyDescent="0.3">
      <c r="A116" s="666" t="s">
        <v>2025</v>
      </c>
      <c r="B116" s="405">
        <f>IF(Data!$F$181=0,0,1*$P$125)</f>
        <v>0</v>
      </c>
      <c r="C116" s="593">
        <f>C115*Data!$F$181</f>
        <v>0</v>
      </c>
      <c r="D116" s="48" t="s">
        <v>117</v>
      </c>
      <c r="E116" s="47">
        <f t="shared" si="40"/>
        <v>0</v>
      </c>
      <c r="F116" s="118">
        <f>diesel_fuel</f>
        <v>2.56</v>
      </c>
      <c r="G116" s="465">
        <f t="shared" si="42"/>
        <v>0</v>
      </c>
      <c r="H116" s="123">
        <f t="shared" si="43"/>
        <v>0</v>
      </c>
      <c r="J116" s="55" t="s">
        <v>943</v>
      </c>
      <c r="K116" s="369">
        <f>B117</f>
        <v>0</v>
      </c>
      <c r="L116" s="114">
        <f>(K116*(R116*diesel_fuel)*((Data!$E$180*barley)/$S$116))/barley</f>
        <v>0</v>
      </c>
      <c r="M116" s="22" t="s">
        <v>254</v>
      </c>
      <c r="N116" s="114">
        <f>R116*diesel_fuel</f>
        <v>2.7306666666666666</v>
      </c>
      <c r="O116" s="22" t="s">
        <v>935</v>
      </c>
      <c r="P116" s="816">
        <f>OSI!$G$69</f>
        <v>20</v>
      </c>
      <c r="Q116" s="816">
        <f>OSI!$G$70</f>
        <v>15</v>
      </c>
      <c r="R116" s="46">
        <f>(P116/Q116)*$U$110</f>
        <v>1.0666666666666667</v>
      </c>
      <c r="S116" s="816">
        <f>OSI!$G$71</f>
        <v>8</v>
      </c>
      <c r="T116" s="90">
        <f>(S116*Data!$E$178)/Data!$H$178</f>
        <v>200</v>
      </c>
    </row>
    <row r="117" spans="1:21" x14ac:dyDescent="0.3">
      <c r="A117" s="638" t="s">
        <v>940</v>
      </c>
      <c r="B117" s="405">
        <f>IF(OSI!$C$81&gt;0,Data!$B$29*Data!$C$29*$P$126,0)</f>
        <v>0</v>
      </c>
      <c r="C117" s="410">
        <f>IF(barley&gt;0,($R$116*(Bb!$B$17/Bv!$S$116))/barley,0)</f>
        <v>0</v>
      </c>
      <c r="D117" s="34" t="s">
        <v>117</v>
      </c>
      <c r="E117" s="46">
        <f t="shared" si="40"/>
        <v>0</v>
      </c>
      <c r="F117" s="167">
        <f t="shared" si="41"/>
        <v>2.56</v>
      </c>
      <c r="G117" s="114">
        <f t="shared" si="42"/>
        <v>0</v>
      </c>
      <c r="H117" s="110">
        <f t="shared" si="43"/>
        <v>0</v>
      </c>
      <c r="J117" s="55" t="s">
        <v>948</v>
      </c>
      <c r="K117" s="369">
        <f>B119</f>
        <v>0</v>
      </c>
      <c r="L117" s="114">
        <f>(K117*(R117*diesel_fuel)*((Data!$E$180*barley)/$S$116))/barley</f>
        <v>0</v>
      </c>
      <c r="M117" s="22" t="s">
        <v>254</v>
      </c>
      <c r="N117" s="114">
        <f>R117*diesel_fuel</f>
        <v>2.7306666666666666</v>
      </c>
      <c r="O117" s="22" t="s">
        <v>935</v>
      </c>
      <c r="P117" s="816">
        <f>OSI!$G$69</f>
        <v>20</v>
      </c>
      <c r="Q117" s="816">
        <f>OSI!$G$70</f>
        <v>15</v>
      </c>
      <c r="R117" s="46">
        <f>(P117/Q117)*$U$110</f>
        <v>1.0666666666666667</v>
      </c>
    </row>
    <row r="118" spans="1:21" x14ac:dyDescent="0.3">
      <c r="A118" s="666" t="s">
        <v>2025</v>
      </c>
      <c r="B118" s="405">
        <f>IF(Data!$F$182=0,0,1*$P$126)</f>
        <v>0</v>
      </c>
      <c r="C118" s="593">
        <f>C117*Data!$F$182</f>
        <v>0</v>
      </c>
      <c r="D118" s="48" t="s">
        <v>117</v>
      </c>
      <c r="E118" s="47">
        <f t="shared" si="40"/>
        <v>0</v>
      </c>
      <c r="F118" s="118">
        <f>diesel_fuel</f>
        <v>2.56</v>
      </c>
      <c r="G118" s="465">
        <f t="shared" si="42"/>
        <v>0</v>
      </c>
      <c r="H118" s="123">
        <f t="shared" si="43"/>
        <v>0</v>
      </c>
      <c r="Q118" s="216" t="s">
        <v>933</v>
      </c>
      <c r="R118" s="216" t="s">
        <v>933</v>
      </c>
    </row>
    <row r="119" spans="1:21" x14ac:dyDescent="0.3">
      <c r="A119" s="638" t="s">
        <v>941</v>
      </c>
      <c r="B119" s="405">
        <f>IF(OSI!$C$85&gt;0,Data!$B$29*Data!$D$29*$P$127,0)</f>
        <v>0</v>
      </c>
      <c r="C119" s="410">
        <f>IF(barley&gt;0,($R$117*(Bb!$B$19/Bv!$T$116))/barley,0)</f>
        <v>0</v>
      </c>
      <c r="D119" s="34" t="s">
        <v>117</v>
      </c>
      <c r="E119" s="46">
        <f t="shared" si="40"/>
        <v>0</v>
      </c>
      <c r="F119" s="167">
        <f t="shared" si="41"/>
        <v>2.56</v>
      </c>
      <c r="G119" s="114">
        <f t="shared" si="42"/>
        <v>0</v>
      </c>
      <c r="H119" s="110">
        <f t="shared" si="43"/>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IF(Data!$F$182=0,0,1*$P$127)</f>
        <v>0</v>
      </c>
      <c r="C120" s="593">
        <f>C119*Data!$F$182</f>
        <v>0</v>
      </c>
      <c r="D120" s="48" t="s">
        <v>117</v>
      </c>
      <c r="E120" s="47">
        <f t="shared" si="40"/>
        <v>0</v>
      </c>
      <c r="F120" s="118">
        <f>diesel_fuel</f>
        <v>2.56</v>
      </c>
      <c r="G120" s="465">
        <f t="shared" si="42"/>
        <v>0</v>
      </c>
      <c r="H120" s="123">
        <f t="shared" si="43"/>
        <v>0</v>
      </c>
      <c r="J120" s="55" t="s">
        <v>762</v>
      </c>
      <c r="K120" s="369">
        <f>B122</f>
        <v>0</v>
      </c>
      <c r="L120" s="168">
        <f>(K120*(R120*diesel_fuel)*((Data!$B$180*barley)/$N$111))/barley</f>
        <v>0</v>
      </c>
      <c r="M120" s="22" t="s">
        <v>254</v>
      </c>
      <c r="N120" s="168">
        <f>(R120*diesel_fuel)</f>
        <v>5.8514285714285723</v>
      </c>
      <c r="O120" s="22" t="s">
        <v>935</v>
      </c>
      <c r="P120" s="816">
        <f>OSI!$I$69</f>
        <v>20</v>
      </c>
      <c r="Q120" s="816">
        <f>OSI!$I$70</f>
        <v>7</v>
      </c>
      <c r="R120" s="46">
        <f>(P120/Q120)*$U$111</f>
        <v>2.285714285714286</v>
      </c>
      <c r="S120" s="216" t="s">
        <v>936</v>
      </c>
      <c r="T120" s="216" t="s">
        <v>937</v>
      </c>
    </row>
    <row r="121" spans="1:21" x14ac:dyDescent="0.3">
      <c r="A121" s="638" t="s">
        <v>942</v>
      </c>
      <c r="B121" s="34"/>
      <c r="C121" s="34"/>
      <c r="D121" s="34"/>
      <c r="E121" s="46"/>
      <c r="F121" s="68"/>
      <c r="G121" s="114"/>
      <c r="H121" s="110"/>
      <c r="J121" s="55" t="s">
        <v>943</v>
      </c>
      <c r="K121" s="369">
        <f>B124</f>
        <v>0</v>
      </c>
      <c r="L121" s="114">
        <f>(K121*(R121*diesel_fuel)*((Data!$E$180*barley)/$S$121))/barley</f>
        <v>0</v>
      </c>
      <c r="M121" s="22" t="s">
        <v>254</v>
      </c>
      <c r="N121" s="114">
        <f>R121*diesel_fuel</f>
        <v>5.8514285714285723</v>
      </c>
      <c r="O121" s="22" t="s">
        <v>935</v>
      </c>
      <c r="P121" s="816">
        <f>OSI!$I$69</f>
        <v>20</v>
      </c>
      <c r="Q121" s="816">
        <f>OSI!$I$70</f>
        <v>7</v>
      </c>
      <c r="R121" s="46">
        <f>(P121/Q121)*$U$111</f>
        <v>2.285714285714286</v>
      </c>
      <c r="S121" s="816">
        <f>OSI!$I$71</f>
        <v>16</v>
      </c>
      <c r="T121" s="90">
        <f>(S121*Data!$E$178)/Data!$H$178</f>
        <v>400</v>
      </c>
    </row>
    <row r="122" spans="1:21" x14ac:dyDescent="0.3">
      <c r="A122" s="638" t="s">
        <v>939</v>
      </c>
      <c r="B122" s="405">
        <f>IF(OSI!$C$78&gt;0,1*$Q$125,0)</f>
        <v>0</v>
      </c>
      <c r="C122" s="410">
        <f>IF(barley&gt;0,($R$120*((Data!$B$180*barley)/$N$111))/barley,0)</f>
        <v>32.000000000000007</v>
      </c>
      <c r="D122" s="34" t="s">
        <v>117</v>
      </c>
      <c r="E122" s="46">
        <f t="shared" ref="E122:E127" si="44">C122*barley</f>
        <v>3200.0000000000009</v>
      </c>
      <c r="F122" s="167">
        <f t="shared" ref="F122:F126" si="45">diesel_fuel</f>
        <v>2.56</v>
      </c>
      <c r="G122" s="114">
        <f t="shared" ref="G122:G127" si="46">C122*F122</f>
        <v>81.920000000000016</v>
      </c>
      <c r="H122" s="110">
        <f t="shared" ref="H122:H127" si="47">B122*G122*barley</f>
        <v>0</v>
      </c>
      <c r="J122" s="55" t="s">
        <v>948</v>
      </c>
      <c r="K122" s="369">
        <f>B126</f>
        <v>0</v>
      </c>
      <c r="L122" s="114">
        <f>(K122*(R122*diesel_fuel)*((Data!$E$180*barley)/$S$121))/barley</f>
        <v>0</v>
      </c>
      <c r="M122" s="22" t="s">
        <v>254</v>
      </c>
      <c r="N122" s="114">
        <f>R122*diesel_fuel</f>
        <v>5.8514285714285723</v>
      </c>
      <c r="O122" s="22" t="s">
        <v>935</v>
      </c>
      <c r="P122" s="816">
        <f>OSI!$I$69</f>
        <v>20</v>
      </c>
      <c r="Q122" s="816">
        <f>OSI!$I$70</f>
        <v>7</v>
      </c>
      <c r="R122" s="46">
        <f>(P122/Q122)*$U$111</f>
        <v>2.285714285714286</v>
      </c>
    </row>
    <row r="123" spans="1:21" x14ac:dyDescent="0.3">
      <c r="A123" s="666" t="s">
        <v>2025</v>
      </c>
      <c r="B123" s="405">
        <f>IF(Data!$F$181=0,0,1*$Q$125)</f>
        <v>0</v>
      </c>
      <c r="C123" s="593">
        <f>C122*Data!$F$181</f>
        <v>0</v>
      </c>
      <c r="D123" s="48" t="s">
        <v>117</v>
      </c>
      <c r="E123" s="47">
        <f t="shared" si="44"/>
        <v>0</v>
      </c>
      <c r="F123" s="118">
        <f>diesel_fuel</f>
        <v>2.56</v>
      </c>
      <c r="G123" s="465">
        <f t="shared" si="46"/>
        <v>0</v>
      </c>
      <c r="H123" s="123">
        <f t="shared" si="47"/>
        <v>0</v>
      </c>
      <c r="J123" s="55"/>
      <c r="K123" s="114"/>
      <c r="L123" s="114"/>
      <c r="M123" s="22"/>
      <c r="N123" s="114"/>
      <c r="O123" s="22"/>
      <c r="P123" s="22"/>
      <c r="Q123" s="22"/>
      <c r="R123" s="22"/>
      <c r="S123" s="22"/>
      <c r="T123" s="22"/>
      <c r="U123" s="22"/>
    </row>
    <row r="124" spans="1:21" x14ac:dyDescent="0.3">
      <c r="A124" s="638" t="s">
        <v>940</v>
      </c>
      <c r="B124" s="405">
        <f>IF(OSI!$C$82&gt;0,Data!$B$29*Data!$C$29*$Q$126,0)</f>
        <v>0</v>
      </c>
      <c r="C124" s="410">
        <f>IF(barley&gt;0,($R$121*(Bb!$B$17/Bv!$S$121))/barley,0)</f>
        <v>0</v>
      </c>
      <c r="D124" s="34" t="s">
        <v>117</v>
      </c>
      <c r="E124" s="46">
        <f t="shared" si="44"/>
        <v>0</v>
      </c>
      <c r="F124" s="167">
        <f t="shared" si="45"/>
        <v>2.56</v>
      </c>
      <c r="G124" s="114">
        <f t="shared" si="46"/>
        <v>0</v>
      </c>
      <c r="H124" s="110">
        <f t="shared" si="47"/>
        <v>0</v>
      </c>
      <c r="M124" s="22"/>
      <c r="N124" s="114"/>
      <c r="O124" s="67" t="s">
        <v>2045</v>
      </c>
      <c r="P124" s="216" t="s">
        <v>932</v>
      </c>
      <c r="Q124" s="216" t="s">
        <v>934</v>
      </c>
      <c r="R124" s="216" t="s">
        <v>76</v>
      </c>
      <c r="S124" s="22"/>
      <c r="T124" s="22"/>
      <c r="U124" s="22"/>
    </row>
    <row r="125" spans="1:21" x14ac:dyDescent="0.3">
      <c r="A125" s="666" t="s">
        <v>2025</v>
      </c>
      <c r="B125" s="405">
        <f>IF(Data!$F$182=0,0,1*$Q$126)</f>
        <v>0</v>
      </c>
      <c r="C125" s="593">
        <f>C124*Data!$F$182</f>
        <v>0</v>
      </c>
      <c r="D125" s="48" t="s">
        <v>117</v>
      </c>
      <c r="E125" s="47">
        <f t="shared" si="44"/>
        <v>0</v>
      </c>
      <c r="F125" s="118">
        <f>diesel_fuel</f>
        <v>2.56</v>
      </c>
      <c r="G125" s="465">
        <f t="shared" si="46"/>
        <v>0</v>
      </c>
      <c r="H125" s="123">
        <f t="shared" si="47"/>
        <v>0</v>
      </c>
      <c r="M125" s="22"/>
      <c r="N125" s="114"/>
      <c r="O125" s="34" t="s">
        <v>762</v>
      </c>
      <c r="P125" s="922">
        <f>OSI!$C$77</f>
        <v>1</v>
      </c>
      <c r="Q125" s="922">
        <f>OSI!$C$78</f>
        <v>0</v>
      </c>
      <c r="R125" s="412">
        <f>SUM(P125:Q125)</f>
        <v>1</v>
      </c>
      <c r="S125" s="22"/>
      <c r="T125" s="22"/>
      <c r="U125" s="22"/>
    </row>
    <row r="126" spans="1:21" x14ac:dyDescent="0.3">
      <c r="A126" s="638" t="s">
        <v>941</v>
      </c>
      <c r="B126" s="405">
        <f>IF(OSI!$C$86&gt;0,Data!$B$29*Data!$D$29*$Q$127,0)</f>
        <v>0</v>
      </c>
      <c r="C126" s="410">
        <f>IF(barley&gt;0,($R$122*(Bb!$B$19/Bv!$T$121))/barley,0)</f>
        <v>0</v>
      </c>
      <c r="D126" s="34" t="s">
        <v>117</v>
      </c>
      <c r="E126" s="46">
        <f t="shared" si="44"/>
        <v>0</v>
      </c>
      <c r="F126" s="167">
        <f t="shared" si="45"/>
        <v>2.56</v>
      </c>
      <c r="G126" s="114">
        <f t="shared" si="46"/>
        <v>0</v>
      </c>
      <c r="H126" s="110">
        <f t="shared" si="47"/>
        <v>0</v>
      </c>
      <c r="I126" s="50"/>
      <c r="M126" s="22"/>
      <c r="N126" s="114"/>
      <c r="O126" s="55" t="s">
        <v>943</v>
      </c>
      <c r="P126" s="922">
        <f>OSI!$C$81</f>
        <v>1</v>
      </c>
      <c r="Q126" s="922">
        <f>OSI!$C$82</f>
        <v>0</v>
      </c>
      <c r="R126" s="412">
        <f>SUM(P126:Q126)</f>
        <v>1</v>
      </c>
      <c r="S126" s="22"/>
      <c r="T126" s="22"/>
      <c r="U126" s="22"/>
    </row>
    <row r="127" spans="1:21" x14ac:dyDescent="0.3">
      <c r="A127" s="666" t="s">
        <v>2025</v>
      </c>
      <c r="B127" s="405">
        <f>IF(Data!$F$182=0,0,1*$Q$127)</f>
        <v>0</v>
      </c>
      <c r="C127" s="593">
        <f>C126*Data!$F$182</f>
        <v>0</v>
      </c>
      <c r="D127" s="48" t="s">
        <v>117</v>
      </c>
      <c r="E127" s="47">
        <f t="shared" si="44"/>
        <v>0</v>
      </c>
      <c r="F127" s="118">
        <f>diesel_fuel</f>
        <v>2.56</v>
      </c>
      <c r="G127" s="465">
        <f t="shared" si="46"/>
        <v>0</v>
      </c>
      <c r="H127" s="123">
        <f t="shared" si="47"/>
        <v>0</v>
      </c>
      <c r="I127" s="108">
        <f>SUM(H114:H127)</f>
        <v>22.937600000000003</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34" t="s">
        <v>45</v>
      </c>
      <c r="E128" s="34" t="s">
        <v>45</v>
      </c>
      <c r="F128" s="55" t="s">
        <v>45</v>
      </c>
      <c r="G128" s="114">
        <f>IF(FARM!$C$15=0,0,H128/barley)</f>
        <v>1.8319745429414054</v>
      </c>
      <c r="H128" s="104">
        <f>B128*lube*SUM(H77:H127)</f>
        <v>183.19745429414053</v>
      </c>
      <c r="I128" s="108">
        <f>SUM(H128:H128)</f>
        <v>183.19745429414053</v>
      </c>
      <c r="K128" s="55"/>
      <c r="L128" s="81"/>
      <c r="M128" s="82"/>
      <c r="T128" s="22"/>
    </row>
    <row r="129" spans="1:20" x14ac:dyDescent="0.3">
      <c r="A129" s="3" t="s">
        <v>67</v>
      </c>
      <c r="B129" s="643">
        <v>1</v>
      </c>
      <c r="C129" s="46" t="s">
        <v>45</v>
      </c>
      <c r="D129" s="34" t="s">
        <v>45</v>
      </c>
      <c r="E129" s="34" t="s">
        <v>45</v>
      </c>
      <c r="F129" s="55" t="s">
        <v>45</v>
      </c>
      <c r="G129" s="114">
        <f>IF(FARM!$C$15=0,0,H129/barley)</f>
        <v>78.189471181229507</v>
      </c>
      <c r="H129" s="109">
        <f>IF(Data!D12=1, B129*Bf!J121*Data!D12, 0)</f>
        <v>7818.947118122951</v>
      </c>
      <c r="L129" s="81"/>
      <c r="M129" s="81"/>
      <c r="T129" s="22"/>
    </row>
    <row r="130" spans="1:20" x14ac:dyDescent="0.3">
      <c r="A130" s="3"/>
      <c r="B130" s="397">
        <v>0</v>
      </c>
      <c r="C130" s="46" t="s">
        <v>45</v>
      </c>
      <c r="D130" s="34" t="s">
        <v>45</v>
      </c>
      <c r="E130" s="34" t="s">
        <v>45</v>
      </c>
      <c r="F130" s="55" t="s">
        <v>45</v>
      </c>
      <c r="G130" s="272">
        <f>0</f>
        <v>0</v>
      </c>
      <c r="H130" s="109">
        <f>B130*G130*barley</f>
        <v>0</v>
      </c>
      <c r="I130" s="108">
        <f>SUM(H129:H130)</f>
        <v>7818.947118122951</v>
      </c>
      <c r="L130" s="27"/>
      <c r="M130" s="27"/>
    </row>
    <row r="131" spans="1:20" x14ac:dyDescent="0.3">
      <c r="A131" s="3" t="s">
        <v>170</v>
      </c>
      <c r="B131" s="405">
        <f>IF(OSI!$C$52=0,0,1)</f>
        <v>0</v>
      </c>
      <c r="C131" s="46" t="s">
        <v>45</v>
      </c>
      <c r="D131" s="34" t="s">
        <v>45</v>
      </c>
      <c r="E131" s="34" t="s">
        <v>45</v>
      </c>
      <c r="F131" s="55" t="s">
        <v>45</v>
      </c>
      <c r="G131" s="110">
        <f>IF(FARM!$C$15=0,0,OSI!$C$52/barley)</f>
        <v>0</v>
      </c>
      <c r="H131" s="109">
        <f>B131*G131*barley</f>
        <v>0</v>
      </c>
      <c r="I131" s="108">
        <f>SUM(H131:H131)</f>
        <v>0</v>
      </c>
      <c r="K131" s="55"/>
      <c r="L131" s="81"/>
      <c r="M131" s="81"/>
    </row>
    <row r="132" spans="1:20" x14ac:dyDescent="0.3">
      <c r="A132" s="3" t="s">
        <v>75</v>
      </c>
      <c r="B132" s="405">
        <f>IF(OSI!$C$53=0,0,1)</f>
        <v>1</v>
      </c>
      <c r="C132" s="46" t="s">
        <v>45</v>
      </c>
      <c r="D132" s="34" t="s">
        <v>45</v>
      </c>
      <c r="E132" s="34" t="s">
        <v>45</v>
      </c>
      <c r="F132" s="114">
        <f>G132</f>
        <v>3</v>
      </c>
      <c r="G132" s="114">
        <f>IF(FARM!$C$15=0,0,OSI!$C$53/barley)</f>
        <v>3</v>
      </c>
      <c r="H132" s="109">
        <f>B132*G132*barley</f>
        <v>300</v>
      </c>
      <c r="K132" s="55"/>
      <c r="L132" s="81"/>
      <c r="M132" s="81"/>
    </row>
    <row r="133" spans="1:20" x14ac:dyDescent="0.3">
      <c r="A133" s="3"/>
      <c r="B133" s="397">
        <v>0</v>
      </c>
      <c r="C133" s="46" t="s">
        <v>45</v>
      </c>
      <c r="D133" s="34" t="s">
        <v>45</v>
      </c>
      <c r="E133" s="34" t="s">
        <v>45</v>
      </c>
      <c r="F133" s="55" t="s">
        <v>45</v>
      </c>
      <c r="G133" s="272">
        <f>0</f>
        <v>0</v>
      </c>
      <c r="H133" s="109">
        <f>B133*G133*barley</f>
        <v>0</v>
      </c>
      <c r="I133" s="108">
        <f>SUM(H132:H133)</f>
        <v>300</v>
      </c>
      <c r="L133" s="24"/>
      <c r="M133" s="24"/>
    </row>
    <row r="134" spans="1:20" x14ac:dyDescent="0.3">
      <c r="A134" s="69" t="s">
        <v>173</v>
      </c>
      <c r="B134" s="69"/>
      <c r="C134" s="46"/>
      <c r="D134" s="34"/>
      <c r="E134" s="34"/>
      <c r="F134" s="114"/>
      <c r="G134" s="114"/>
      <c r="H134" s="109"/>
    </row>
    <row r="135" spans="1:20" x14ac:dyDescent="0.3">
      <c r="A135" s="856" t="s">
        <v>1504</v>
      </c>
      <c r="B135" s="405">
        <f>IF(Data!$F$75=0,0,1)</f>
        <v>1</v>
      </c>
      <c r="C135" s="46" t="s">
        <v>45</v>
      </c>
      <c r="D135" s="34" t="s">
        <v>45</v>
      </c>
      <c r="E135" s="34" t="s">
        <v>45</v>
      </c>
      <c r="F135" s="55" t="s">
        <v>45</v>
      </c>
      <c r="G135" s="676">
        <f>Data!$F$75</f>
        <v>1.5</v>
      </c>
      <c r="H135" s="110">
        <f>B135*G135*barley</f>
        <v>150</v>
      </c>
      <c r="I135" s="108">
        <f>SUM(H135:H135)</f>
        <v>150</v>
      </c>
    </row>
    <row r="136" spans="1:20" x14ac:dyDescent="0.3">
      <c r="A136" s="856" t="s">
        <v>1510</v>
      </c>
    </row>
    <row r="137" spans="1:20" x14ac:dyDescent="0.3">
      <c r="A137" s="638" t="s">
        <v>1507</v>
      </c>
      <c r="B137" s="816">
        <f>IF(OSI!$C$63&gt;0,1,0)</f>
        <v>1</v>
      </c>
      <c r="C137" s="817">
        <f>IF(OSI!$C$63&gt;0,OSI!$C$63,Data!$G$108)</f>
        <v>4</v>
      </c>
      <c r="D137" s="34" t="s">
        <v>1496</v>
      </c>
      <c r="E137" s="34">
        <f>B137*C137</f>
        <v>4</v>
      </c>
      <c r="F137" s="676">
        <f>IF(OSI!$C$63&gt;0,OSI!$C$64,Data!$I$108)</f>
        <v>250</v>
      </c>
      <c r="G137" s="114">
        <f>(C137*F137)/crops</f>
        <v>2.5</v>
      </c>
      <c r="H137" s="110">
        <f>B137*G137*barley</f>
        <v>250</v>
      </c>
    </row>
    <row r="138" spans="1:20"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10">
        <f>B138*G138*barley</f>
        <v>625</v>
      </c>
      <c r="I138" s="108">
        <f>SUM(H136:H138)</f>
        <v>875</v>
      </c>
    </row>
    <row r="139" spans="1:20" x14ac:dyDescent="0.3">
      <c r="A139" s="856" t="s">
        <v>1499</v>
      </c>
      <c r="B139" s="405"/>
      <c r="C139" s="46"/>
      <c r="D139" s="34"/>
      <c r="E139" s="34"/>
      <c r="F139" s="55"/>
      <c r="G139" s="138"/>
      <c r="H139" s="110"/>
    </row>
    <row r="140" spans="1:20" x14ac:dyDescent="0.3">
      <c r="A140" s="638" t="s">
        <v>1511</v>
      </c>
      <c r="B140" s="816">
        <f>IF(OSI!$G$62&gt;0,1,0)</f>
        <v>1</v>
      </c>
      <c r="C140" s="816">
        <f>IF(OSI!$G$62&gt;0,OSI!$G$62,Data!$G$111)</f>
        <v>12</v>
      </c>
      <c r="D140" s="34" t="s">
        <v>1502</v>
      </c>
      <c r="E140" s="34">
        <f>B140*C140</f>
        <v>12</v>
      </c>
      <c r="F140" s="676">
        <f>IF(OSI!$G$62&gt;0,OSI!$G$63,Data!$I$111)</f>
        <v>75</v>
      </c>
      <c r="G140" s="114">
        <f>(C140*F140)/crops</f>
        <v>2.25</v>
      </c>
      <c r="H140" s="110">
        <f>B140*G140*barley</f>
        <v>225</v>
      </c>
    </row>
    <row r="141" spans="1:20" x14ac:dyDescent="0.3">
      <c r="A141" s="638" t="s">
        <v>1500</v>
      </c>
      <c r="B141" s="816">
        <f>IF(OSI!$I$62&gt;0,1,0)</f>
        <v>1</v>
      </c>
      <c r="C141" s="816">
        <f>IF(OSI!$I$62&gt;0,OSI!$I$62,Data!$G$112)</f>
        <v>12</v>
      </c>
      <c r="D141" s="34" t="s">
        <v>1502</v>
      </c>
      <c r="E141" s="34">
        <f>B141*C141</f>
        <v>12</v>
      </c>
      <c r="F141" s="676">
        <f>IF(OSI!$I$62&gt;0,OSI!$I$63,Data!$I$112)</f>
        <v>75</v>
      </c>
      <c r="G141" s="114">
        <f>(C141*F141)/crops</f>
        <v>2.25</v>
      </c>
      <c r="H141" s="110">
        <f>B141*G141*barley</f>
        <v>225</v>
      </c>
      <c r="I141" s="108">
        <f>SUM(H139:H141)</f>
        <v>450</v>
      </c>
    </row>
    <row r="142" spans="1:20" x14ac:dyDescent="0.3">
      <c r="A142" s="856" t="s">
        <v>1503</v>
      </c>
      <c r="B142" s="677">
        <f>limeapp</f>
        <v>0.2</v>
      </c>
      <c r="C142" s="46" t="s">
        <v>45</v>
      </c>
      <c r="D142" s="46" t="s">
        <v>45</v>
      </c>
      <c r="E142" s="226" t="s">
        <v>45</v>
      </c>
      <c r="F142" s="110">
        <f>Data!$E$97</f>
        <v>75</v>
      </c>
      <c r="G142" s="114">
        <f>B142*F142</f>
        <v>15</v>
      </c>
      <c r="H142" s="109">
        <f>G142*barley</f>
        <v>1500</v>
      </c>
      <c r="I142" s="108">
        <f>SUM(H142:H142)</f>
        <v>1500</v>
      </c>
    </row>
    <row r="143" spans="1:20" x14ac:dyDescent="0.3">
      <c r="A143" s="70" t="s">
        <v>177</v>
      </c>
      <c r="B143" s="70"/>
      <c r="C143" s="46"/>
      <c r="D143" s="34"/>
      <c r="E143" s="34"/>
      <c r="F143" s="114"/>
      <c r="G143" s="114"/>
      <c r="H143" s="110"/>
    </row>
    <row r="144" spans="1:20" x14ac:dyDescent="0.3">
      <c r="A144" s="22" t="s">
        <v>174</v>
      </c>
      <c r="B144" s="816">
        <f>IF(Data!$E$57&gt;0,1,0)</f>
        <v>1</v>
      </c>
      <c r="C144" s="34" t="s">
        <v>45</v>
      </c>
      <c r="D144" s="34" t="s">
        <v>81</v>
      </c>
      <c r="E144" s="34" t="s">
        <v>45</v>
      </c>
      <c r="F144" s="110">
        <f>Data!D61</f>
        <v>50</v>
      </c>
      <c r="G144" s="114">
        <f>IF(barley&gt;0,H144/barley,0)</f>
        <v>12.5</v>
      </c>
      <c r="H144" s="110">
        <f>B144*F144*barley*Data!E57*Data!D12</f>
        <v>1250</v>
      </c>
    </row>
    <row r="145" spans="1:15" x14ac:dyDescent="0.3">
      <c r="A145" s="22" t="s">
        <v>224</v>
      </c>
      <c r="B145" s="1305">
        <f>IF(Data!$F$65&gt;0,1,0)</f>
        <v>0</v>
      </c>
      <c r="C145" s="34" t="s">
        <v>45</v>
      </c>
      <c r="D145" s="34" t="s">
        <v>225</v>
      </c>
      <c r="E145" s="34" t="s">
        <v>45</v>
      </c>
      <c r="F145" s="55" t="s">
        <v>45</v>
      </c>
      <c r="G145" s="1306">
        <f>Data!$F$65</f>
        <v>0</v>
      </c>
      <c r="H145" s="110">
        <f>B145*G145*barley</f>
        <v>0</v>
      </c>
      <c r="I145" s="108">
        <f>SUM(H143:H145)</f>
        <v>1250</v>
      </c>
    </row>
    <row r="146" spans="1:15" x14ac:dyDescent="0.3">
      <c r="A146" s="70" t="s">
        <v>179</v>
      </c>
      <c r="I146" s="50"/>
      <c r="J146" s="27"/>
      <c r="K146" s="1293" t="s">
        <v>2104</v>
      </c>
      <c r="L146" s="1293" t="s">
        <v>236</v>
      </c>
      <c r="M146" s="1293" t="s">
        <v>393</v>
      </c>
      <c r="N146" s="216"/>
      <c r="O146" s="216"/>
    </row>
    <row r="147" spans="1:15" x14ac:dyDescent="0.3">
      <c r="A147" s="22" t="s">
        <v>957</v>
      </c>
      <c r="B147" s="405">
        <f>IF(OS!$C$21="Dry",1,0)</f>
        <v>1</v>
      </c>
      <c r="C147" s="34" t="s">
        <v>45</v>
      </c>
      <c r="D147" s="75" t="s">
        <v>45</v>
      </c>
      <c r="E147" s="34" t="s">
        <v>45</v>
      </c>
      <c r="F147" s="55" t="s">
        <v>45</v>
      </c>
      <c r="G147" s="367">
        <f>Data!$I$72*Data!B181</f>
        <v>22.479045114694269</v>
      </c>
      <c r="H147" s="110">
        <f>B147*G147*barley</f>
        <v>2247.9045114694268</v>
      </c>
      <c r="I147" s="50"/>
      <c r="K147" s="114">
        <f>Data!$I$72</f>
        <v>0.53521535987367308</v>
      </c>
      <c r="L147" s="17">
        <f>Data!B181</f>
        <v>42</v>
      </c>
      <c r="M147" s="98">
        <f>K147*L147</f>
        <v>22.479045114694269</v>
      </c>
    </row>
    <row r="148" spans="1:15" x14ac:dyDescent="0.3">
      <c r="A148" s="9" t="s">
        <v>1022</v>
      </c>
      <c r="B148" s="405">
        <f>B147</f>
        <v>1</v>
      </c>
      <c r="C148" s="47" t="s">
        <v>45</v>
      </c>
      <c r="D148" s="47" t="s">
        <v>45</v>
      </c>
      <c r="E148" s="47" t="s">
        <v>45</v>
      </c>
      <c r="F148" s="590" t="s">
        <v>45</v>
      </c>
      <c r="G148" s="465">
        <f>Data!$I$72*(Data!B180-Data!B181)</f>
        <v>0</v>
      </c>
      <c r="H148" s="123">
        <f>B148*G148*barley</f>
        <v>0</v>
      </c>
      <c r="I148" s="108">
        <f>SUM(H146:H148)</f>
        <v>2247.9045114694268</v>
      </c>
    </row>
    <row r="149" spans="1:15" x14ac:dyDescent="0.3">
      <c r="A149" s="22" t="s">
        <v>952</v>
      </c>
      <c r="B149" s="110"/>
      <c r="C149" s="110"/>
      <c r="D149" s="110"/>
      <c r="E149" s="110"/>
      <c r="F149" s="110"/>
      <c r="G149" s="110"/>
      <c r="H149" s="110"/>
      <c r="K149" s="415" t="s">
        <v>1075</v>
      </c>
      <c r="L149" s="114"/>
    </row>
    <row r="150" spans="1:15" x14ac:dyDescent="0.3">
      <c r="A150" s="411" t="s">
        <v>953</v>
      </c>
      <c r="B150" s="405">
        <f>IF(Bf!$B$76=1,1,0)</f>
        <v>0</v>
      </c>
      <c r="C150" s="46" t="s">
        <v>45</v>
      </c>
      <c r="D150" s="34" t="s">
        <v>956</v>
      </c>
      <c r="E150" s="34" t="s">
        <v>45</v>
      </c>
      <c r="F150" s="1290">
        <f>Straw!$D$33</f>
        <v>5.42372881355932</v>
      </c>
      <c r="G150" s="414">
        <f>B150*F150*Data!$E$180</f>
        <v>0</v>
      </c>
      <c r="H150" s="110">
        <f>B150*G150*barley*Data!$C$29*K150*Data!B29</f>
        <v>0</v>
      </c>
      <c r="J150" s="55" t="s">
        <v>1076</v>
      </c>
      <c r="K150" s="1291">
        <f>Straw!$D$31</f>
        <v>0</v>
      </c>
      <c r="L150" s="114"/>
    </row>
    <row r="151" spans="1:15" x14ac:dyDescent="0.3">
      <c r="A151" s="9" t="s">
        <v>1022</v>
      </c>
      <c r="B151" s="405">
        <f>B150</f>
        <v>0</v>
      </c>
      <c r="C151" s="47" t="s">
        <v>45</v>
      </c>
      <c r="D151" s="47" t="s">
        <v>45</v>
      </c>
      <c r="E151" s="47" t="s">
        <v>45</v>
      </c>
      <c r="F151" s="465">
        <f>F150</f>
        <v>5.42372881355932</v>
      </c>
      <c r="G151" s="465">
        <f>B151*F151*Data!$E$180*Data!$F$181</f>
        <v>0</v>
      </c>
      <c r="H151" s="123">
        <f>B151*G151*barley*Data!$C$29*$K$150*Data!B29</f>
        <v>0</v>
      </c>
      <c r="J151" s="55" t="s">
        <v>1040</v>
      </c>
      <c r="K151" s="1292">
        <f>Straw!$D$32</f>
        <v>1</v>
      </c>
      <c r="L151" s="114"/>
    </row>
    <row r="152" spans="1:15" x14ac:dyDescent="0.3">
      <c r="A152" s="411" t="s">
        <v>954</v>
      </c>
      <c r="B152" s="405">
        <f>IF(Bf!$B$76=1,1,0)</f>
        <v>0</v>
      </c>
      <c r="C152" s="46" t="s">
        <v>45</v>
      </c>
      <c r="D152" s="34" t="s">
        <v>956</v>
      </c>
      <c r="E152" s="34" t="s">
        <v>45</v>
      </c>
      <c r="F152" s="1290">
        <f>Straw!$D$34</f>
        <v>0.86</v>
      </c>
      <c r="G152" s="414">
        <f>B152*F152*Data!$E$180</f>
        <v>0</v>
      </c>
      <c r="H152" s="110">
        <f>B152*G152*barley*Data!$C$29*K151*Data!B29</f>
        <v>0</v>
      </c>
      <c r="K152" s="587">
        <f>SUM(K150:K151)</f>
        <v>1</v>
      </c>
      <c r="L152" s="114"/>
    </row>
    <row r="153" spans="1:15" x14ac:dyDescent="0.3">
      <c r="A153" s="9" t="s">
        <v>1022</v>
      </c>
      <c r="B153" s="405">
        <f>B152</f>
        <v>0</v>
      </c>
      <c r="C153" s="47" t="s">
        <v>45</v>
      </c>
      <c r="D153" s="47" t="s">
        <v>45</v>
      </c>
      <c r="E153" s="47" t="s">
        <v>45</v>
      </c>
      <c r="F153" s="465">
        <f>F152</f>
        <v>0.86</v>
      </c>
      <c r="G153" s="465">
        <f>B153*F153*Data!$E$180*Data!$F$181</f>
        <v>0</v>
      </c>
      <c r="H153" s="123">
        <f>B153*G153*barley*Data!$C$29*$K$151*Data!B29</f>
        <v>0</v>
      </c>
    </row>
    <row r="154" spans="1:15" x14ac:dyDescent="0.3">
      <c r="A154" s="411" t="s">
        <v>955</v>
      </c>
      <c r="B154" s="405">
        <f>IF(Bf!$B$77=1,1,0)</f>
        <v>0</v>
      </c>
      <c r="C154" s="46" t="s">
        <v>45</v>
      </c>
      <c r="D154" s="34" t="s">
        <v>956</v>
      </c>
      <c r="E154" s="34" t="s">
        <v>45</v>
      </c>
      <c r="F154" s="1290">
        <f>Straw!$D$35</f>
        <v>7.0000000000000007E-2</v>
      </c>
      <c r="G154" s="414">
        <f>B154*F154*Data!$H$180</f>
        <v>0</v>
      </c>
      <c r="H154" s="110">
        <f>B154*G154*barley*Data!$D$29*Data!B29</f>
        <v>0</v>
      </c>
    </row>
    <row r="155" spans="1:15" x14ac:dyDescent="0.3">
      <c r="A155" s="9" t="s">
        <v>1022</v>
      </c>
      <c r="B155" s="405">
        <f>B154</f>
        <v>0</v>
      </c>
      <c r="C155" s="47" t="s">
        <v>45</v>
      </c>
      <c r="D155" s="47" t="s">
        <v>45</v>
      </c>
      <c r="E155" s="47" t="s">
        <v>45</v>
      </c>
      <c r="F155" s="465">
        <f>F154</f>
        <v>7.0000000000000007E-2</v>
      </c>
      <c r="G155" s="465">
        <f>B155*F155*Data!$H$180*Data!$F$181</f>
        <v>0</v>
      </c>
      <c r="H155" s="123">
        <f>B155*G155*barley*Data!$D$29*Data!B29</f>
        <v>0</v>
      </c>
      <c r="I155" s="108">
        <f>SUM(H146:H155)</f>
        <v>2247.9045114694268</v>
      </c>
    </row>
    <row r="156" spans="1:15" x14ac:dyDescent="0.3">
      <c r="A156" s="665" t="s">
        <v>2075</v>
      </c>
    </row>
    <row r="157" spans="1:15" x14ac:dyDescent="0.3">
      <c r="A157" s="639" t="s">
        <v>2026</v>
      </c>
      <c r="B157" s="405">
        <f>IF(OSI!$C$92&gt;0,OSI!$C$92,0)</f>
        <v>0</v>
      </c>
      <c r="C157" s="643">
        <v>1</v>
      </c>
      <c r="D157" s="34" t="s">
        <v>1517</v>
      </c>
      <c r="E157" s="34">
        <f>B157*C157</f>
        <v>0</v>
      </c>
      <c r="F157" s="676">
        <f>OSI!$C$92</f>
        <v>0</v>
      </c>
      <c r="G157" s="114">
        <f>(C157*F157)/crops</f>
        <v>0</v>
      </c>
      <c r="H157" s="110">
        <f>B157*G157*barley</f>
        <v>0</v>
      </c>
    </row>
    <row r="158" spans="1:15" x14ac:dyDescent="0.3">
      <c r="A158" s="639" t="s">
        <v>2027</v>
      </c>
      <c r="B158" s="405">
        <f>IF(OSI!$C$94&gt;0,OSI!$C$94,0)</f>
        <v>0</v>
      </c>
      <c r="C158" s="405">
        <f>OSI!$C$94</f>
        <v>0</v>
      </c>
      <c r="D158" s="34" t="s">
        <v>2028</v>
      </c>
      <c r="E158" s="34">
        <f>B158*C158</f>
        <v>0</v>
      </c>
      <c r="F158" s="367">
        <f>OSI!$C$95</f>
        <v>0</v>
      </c>
      <c r="G158" s="114">
        <f>(C158*F158)/crops</f>
        <v>0</v>
      </c>
      <c r="H158" s="110">
        <f>B158*G158*barley</f>
        <v>0</v>
      </c>
      <c r="I158" s="108">
        <f>SUM(H156:H158)</f>
        <v>0</v>
      </c>
    </row>
    <row r="159" spans="1:15" x14ac:dyDescent="0.3">
      <c r="A159" s="856" t="s">
        <v>1518</v>
      </c>
      <c r="B159" s="644"/>
      <c r="C159" s="47"/>
      <c r="D159" s="48"/>
      <c r="E159" s="48"/>
      <c r="F159" s="118"/>
      <c r="G159" s="465"/>
      <c r="H159" s="124"/>
      <c r="I159" s="110"/>
    </row>
    <row r="160" spans="1:15" x14ac:dyDescent="0.3">
      <c r="A160" s="638" t="s">
        <v>1519</v>
      </c>
      <c r="B160" s="816">
        <f>IF(Data!$P$108&gt;0,1,0)</f>
        <v>1</v>
      </c>
      <c r="C160" s="862">
        <f>Data!$Q$108</f>
        <v>0.1</v>
      </c>
      <c r="D160" s="34" t="s">
        <v>128</v>
      </c>
      <c r="E160" s="228">
        <f>C160*barley</f>
        <v>10</v>
      </c>
      <c r="F160" s="167">
        <f t="shared" ref="F160:F163" si="48">_wage_</f>
        <v>12.29</v>
      </c>
      <c r="G160" s="114">
        <f t="shared" ref="G160:G165" si="49">C160*F160</f>
        <v>1.2290000000000001</v>
      </c>
      <c r="H160" s="110">
        <f t="shared" ref="H160:H163" si="50">B160*G160*barley</f>
        <v>122.9</v>
      </c>
      <c r="I160" s="110"/>
    </row>
    <row r="161" spans="1:9" x14ac:dyDescent="0.3">
      <c r="A161" s="638" t="s">
        <v>1520</v>
      </c>
      <c r="B161" s="816">
        <f>IF(Data!$P$109&gt;0,1,0)</f>
        <v>1</v>
      </c>
      <c r="C161" s="862">
        <f>Data!$Q$109</f>
        <v>0.02</v>
      </c>
      <c r="D161" s="34" t="s">
        <v>128</v>
      </c>
      <c r="E161" s="228">
        <f>C161*barley</f>
        <v>2</v>
      </c>
      <c r="F161" s="167">
        <f t="shared" si="48"/>
        <v>12.29</v>
      </c>
      <c r="G161" s="114">
        <f t="shared" si="49"/>
        <v>0.24579999999999999</v>
      </c>
      <c r="H161" s="110">
        <f t="shared" si="50"/>
        <v>24.58</v>
      </c>
      <c r="I161" s="110"/>
    </row>
    <row r="162" spans="1:9" x14ac:dyDescent="0.3">
      <c r="A162" s="638" t="s">
        <v>1521</v>
      </c>
      <c r="B162" s="816">
        <f>IF(Data!$P$110&gt;0,1,0)</f>
        <v>1</v>
      </c>
      <c r="C162" s="862">
        <f>Data!$Q$110</f>
        <v>0.45500000000000002</v>
      </c>
      <c r="D162" s="34" t="s">
        <v>128</v>
      </c>
      <c r="E162" s="228">
        <f>C162*barley</f>
        <v>45.5</v>
      </c>
      <c r="F162" s="167">
        <f t="shared" si="48"/>
        <v>12.29</v>
      </c>
      <c r="G162" s="114">
        <f t="shared" si="49"/>
        <v>5.5919499999999998</v>
      </c>
      <c r="H162" s="110">
        <f t="shared" si="50"/>
        <v>559.19499999999994</v>
      </c>
      <c r="I162" s="110"/>
    </row>
    <row r="163" spans="1:9" x14ac:dyDescent="0.3">
      <c r="A163" s="638" t="s">
        <v>1522</v>
      </c>
      <c r="B163" s="816">
        <f>IF(Data!$P$111&gt;0,1,0)</f>
        <v>1</v>
      </c>
      <c r="C163" s="862">
        <f>Data!$Q$111</f>
        <v>0.32500000000000001</v>
      </c>
      <c r="D163" s="34" t="s">
        <v>128</v>
      </c>
      <c r="E163" s="228">
        <f>C163*barley</f>
        <v>32.5</v>
      </c>
      <c r="F163" s="167">
        <f t="shared" si="48"/>
        <v>12.29</v>
      </c>
      <c r="G163" s="114">
        <f t="shared" si="49"/>
        <v>3.9942500000000001</v>
      </c>
      <c r="H163" s="110">
        <f t="shared" si="50"/>
        <v>399.42500000000001</v>
      </c>
      <c r="I163" s="110">
        <f>SUM(H159:H163)</f>
        <v>1106.0999999999999</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C165*barley</f>
        <v>0</v>
      </c>
      <c r="F165" s="167">
        <f>Data!$S$271</f>
        <v>45</v>
      </c>
      <c r="G165" s="110">
        <f t="shared" si="49"/>
        <v>0</v>
      </c>
      <c r="H165" s="110">
        <f t="shared" ref="H165:H168" si="51">B165*G165*barley</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51"/>
        <v>50</v>
      </c>
      <c r="I166" s="110"/>
    </row>
    <row r="167" spans="1:9" x14ac:dyDescent="0.3">
      <c r="A167" s="856" t="s">
        <v>1513</v>
      </c>
      <c r="B167" s="816">
        <f>Data!$G$114</f>
        <v>1</v>
      </c>
      <c r="C167" s="46" t="s">
        <v>45</v>
      </c>
      <c r="D167" s="46" t="s">
        <v>1517</v>
      </c>
      <c r="E167" s="46" t="s">
        <v>45</v>
      </c>
      <c r="F167" s="676">
        <f>Data!$I$114</f>
        <v>500</v>
      </c>
      <c r="G167" s="114">
        <f>F167/crops</f>
        <v>1.25</v>
      </c>
      <c r="H167" s="110">
        <f t="shared" si="51"/>
        <v>125</v>
      </c>
      <c r="I167" s="110"/>
    </row>
    <row r="168" spans="1:9" x14ac:dyDescent="0.3">
      <c r="A168" s="856" t="s">
        <v>1514</v>
      </c>
      <c r="B168" s="816">
        <f>Data!$G$115</f>
        <v>1</v>
      </c>
      <c r="C168" s="46" t="s">
        <v>45</v>
      </c>
      <c r="D168" s="46" t="s">
        <v>1517</v>
      </c>
      <c r="E168" s="46" t="s">
        <v>45</v>
      </c>
      <c r="F168" s="676">
        <f>Data!$I$115</f>
        <v>250</v>
      </c>
      <c r="G168" s="114">
        <f>F168/crops</f>
        <v>0.625</v>
      </c>
      <c r="H168" s="110">
        <f t="shared" si="51"/>
        <v>62.5</v>
      </c>
      <c r="I168" s="110">
        <f>SUM(H166:H168)</f>
        <v>237.5</v>
      </c>
    </row>
    <row r="169" spans="1:9" x14ac:dyDescent="0.3">
      <c r="A169" s="70" t="s">
        <v>180</v>
      </c>
      <c r="B169" s="405">
        <f>IF(othexp&gt;0,1,0)</f>
        <v>0</v>
      </c>
      <c r="C169" s="34" t="s">
        <v>45</v>
      </c>
      <c r="D169" s="75" t="s">
        <v>45</v>
      </c>
      <c r="E169" s="34" t="s">
        <v>45</v>
      </c>
      <c r="F169" s="55" t="s">
        <v>45</v>
      </c>
      <c r="G169" s="114">
        <f>othexp</f>
        <v>0</v>
      </c>
      <c r="H169" s="110">
        <f>B169*G169*barley</f>
        <v>0</v>
      </c>
    </row>
    <row r="170" spans="1:9" x14ac:dyDescent="0.3">
      <c r="A170" s="22" t="s">
        <v>181</v>
      </c>
      <c r="B170" s="397">
        <v>0</v>
      </c>
      <c r="C170" s="46" t="s">
        <v>45</v>
      </c>
      <c r="D170" s="75" t="s">
        <v>45</v>
      </c>
      <c r="E170" s="34" t="s">
        <v>45</v>
      </c>
      <c r="F170" s="55" t="s">
        <v>45</v>
      </c>
      <c r="G170" s="272">
        <f>0</f>
        <v>0</v>
      </c>
      <c r="H170" s="110">
        <f>B170*G170*barley</f>
        <v>0</v>
      </c>
      <c r="I170" s="108">
        <f>SUM(H169:H170)</f>
        <v>0</v>
      </c>
    </row>
    <row r="171" spans="1:9" x14ac:dyDescent="0.3">
      <c r="A171" s="3" t="s">
        <v>226</v>
      </c>
      <c r="B171" s="397">
        <v>0</v>
      </c>
      <c r="C171" s="46" t="s">
        <v>45</v>
      </c>
      <c r="D171" s="75" t="s">
        <v>45</v>
      </c>
      <c r="E171" s="34" t="s">
        <v>45</v>
      </c>
      <c r="F171" s="55" t="s">
        <v>45</v>
      </c>
      <c r="G171" s="272">
        <f>0</f>
        <v>0</v>
      </c>
      <c r="H171" s="110">
        <f>B171*G171*barley</f>
        <v>0</v>
      </c>
      <c r="I171" s="108">
        <f>SUM(H171:H171)</f>
        <v>0</v>
      </c>
    </row>
    <row r="172" spans="1:9" x14ac:dyDescent="0.3">
      <c r="A172" s="3" t="s">
        <v>73</v>
      </c>
      <c r="B172" s="3"/>
      <c r="F172" s="114"/>
      <c r="G172" s="119">
        <f>SUM(G8:G170)</f>
        <v>1014.9620906767434</v>
      </c>
      <c r="H172" s="111">
        <f>SUM(H8:H170)</f>
        <v>38404.787020947297</v>
      </c>
    </row>
    <row r="173" spans="1:9" x14ac:dyDescent="0.3">
      <c r="F173" s="114"/>
      <c r="G173" s="114"/>
      <c r="H173" s="109"/>
    </row>
    <row r="174" spans="1:9" ht="39" x14ac:dyDescent="0.3">
      <c r="A174" s="3" t="s">
        <v>69</v>
      </c>
      <c r="B174" s="3"/>
      <c r="C174" s="25" t="s">
        <v>70</v>
      </c>
      <c r="D174" s="25" t="s">
        <v>71</v>
      </c>
      <c r="E174" s="25"/>
      <c r="F174" s="114"/>
      <c r="G174" s="120" t="s">
        <v>1292</v>
      </c>
      <c r="H174" s="126" t="s">
        <v>72</v>
      </c>
    </row>
    <row r="175" spans="1:9" x14ac:dyDescent="0.3">
      <c r="A175" s="3"/>
      <c r="B175" s="3"/>
      <c r="C175" s="35">
        <f>_int_oper_</f>
        <v>4.7341710603787002E-2</v>
      </c>
      <c r="D175" s="34">
        <f>Data!$B$48</f>
        <v>7</v>
      </c>
      <c r="E175" s="34"/>
      <c r="F175" s="114"/>
      <c r="G175" s="104">
        <f>IF(barley&gt;0,H175/barley,0)</f>
        <v>10.605865158850278</v>
      </c>
      <c r="H175" s="109">
        <f>C175*(D175/12)*(H172)</f>
        <v>1060.5865158850279</v>
      </c>
    </row>
    <row r="176" spans="1:9" x14ac:dyDescent="0.3">
      <c r="F176" s="114"/>
      <c r="G176" s="103"/>
      <c r="H176" s="127"/>
    </row>
    <row r="177" spans="1:8" ht="14" thickBot="1" x14ac:dyDescent="0.4">
      <c r="A177" s="1" t="s">
        <v>74</v>
      </c>
      <c r="B177" s="1"/>
      <c r="F177" s="114"/>
      <c r="G177" s="121">
        <f>G172+G175</f>
        <v>1025.5679558355937</v>
      </c>
      <c r="H177" s="128">
        <f>H172+H175</f>
        <v>39465.373536832325</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34"/>
    </row>
    <row r="185" spans="1:8" x14ac:dyDescent="0.3">
      <c r="F185" s="34"/>
      <c r="G185" s="34"/>
      <c r="H185" s="34"/>
    </row>
    <row r="186" spans="1:8" x14ac:dyDescent="0.3">
      <c r="F186" s="34"/>
      <c r="G186" s="34"/>
      <c r="H186" s="34"/>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row>
    <row r="671" spans="6:8" x14ac:dyDescent="0.3">
      <c r="F671" s="34"/>
    </row>
    <row r="672" spans="6:8" x14ac:dyDescent="0.3">
      <c r="F672" s="34"/>
    </row>
    <row r="673" spans="6:6" x14ac:dyDescent="0.3">
      <c r="F673" s="34"/>
    </row>
    <row r="674" spans="6:6" x14ac:dyDescent="0.3">
      <c r="F674" s="34"/>
    </row>
    <row r="675" spans="6:6" x14ac:dyDescent="0.3">
      <c r="F675" s="34"/>
    </row>
    <row r="676" spans="6:6" x14ac:dyDescent="0.3">
      <c r="F676" s="34"/>
    </row>
    <row r="677" spans="6:6" x14ac:dyDescent="0.3">
      <c r="F677" s="34"/>
    </row>
    <row r="678" spans="6:6" x14ac:dyDescent="0.3">
      <c r="F678" s="34"/>
    </row>
    <row r="679" spans="6:6" x14ac:dyDescent="0.3">
      <c r="F679" s="34"/>
    </row>
    <row r="680" spans="6:6" x14ac:dyDescent="0.3">
      <c r="F680" s="34"/>
    </row>
    <row r="681" spans="6:6" x14ac:dyDescent="0.3">
      <c r="F681" s="34"/>
    </row>
    <row r="682" spans="6:6" x14ac:dyDescent="0.3">
      <c r="F682" s="34"/>
    </row>
    <row r="683" spans="6:6" x14ac:dyDescent="0.3">
      <c r="F683" s="34"/>
    </row>
    <row r="684" spans="6:6" x14ac:dyDescent="0.3">
      <c r="F684" s="34"/>
    </row>
    <row r="685" spans="6:6" x14ac:dyDescent="0.3">
      <c r="F685" s="34"/>
    </row>
    <row r="686" spans="6:6" x14ac:dyDescent="0.3">
      <c r="F686" s="34"/>
    </row>
    <row r="687" spans="6:6" x14ac:dyDescent="0.3">
      <c r="F687" s="34"/>
    </row>
    <row r="688" spans="6:6" x14ac:dyDescent="0.3">
      <c r="F688" s="34"/>
    </row>
    <row r="689" spans="6:6" x14ac:dyDescent="0.3">
      <c r="F689" s="34"/>
    </row>
    <row r="690" spans="6:6" x14ac:dyDescent="0.3">
      <c r="F690" s="34"/>
    </row>
    <row r="691" spans="6:6" x14ac:dyDescent="0.3">
      <c r="F691" s="34"/>
    </row>
  </sheetData>
  <phoneticPr fontId="0" type="noConversion"/>
  <pageMargins left="0.75" right="0.75" top="1" bottom="1" header="0.5" footer="0.5"/>
  <pageSetup orientation="portrait" horizontalDpi="4294967294" verticalDpi="12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pane="bottomLeft" activeCell="E8" sqref="E8"/>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17" x14ac:dyDescent="0.3">
      <c r="A1" s="61" t="s">
        <v>146</v>
      </c>
      <c r="B1" s="17" t="str">
        <f>model</f>
        <v>ME Grain &amp; Pulse</v>
      </c>
    </row>
    <row r="4" spans="1:17" x14ac:dyDescent="0.3">
      <c r="A4" s="16" t="s">
        <v>101</v>
      </c>
      <c r="B4" s="8" t="s">
        <v>92</v>
      </c>
      <c r="C4" s="65">
        <f>barley</f>
        <v>100</v>
      </c>
      <c r="D4" s="4" t="s">
        <v>93</v>
      </c>
    </row>
    <row r="5" spans="1:17" x14ac:dyDescent="0.3">
      <c r="H5" s="28"/>
    </row>
    <row r="6" spans="1:17"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17" x14ac:dyDescent="0.3">
      <c r="A7" s="13"/>
      <c r="B7" s="29"/>
      <c r="C7" s="30"/>
      <c r="D7" s="31"/>
      <c r="E7" s="31"/>
      <c r="F7" s="18"/>
      <c r="G7" s="18"/>
      <c r="H7" s="32"/>
      <c r="I7" s="31"/>
      <c r="J7" s="31"/>
      <c r="K7" s="31"/>
      <c r="L7" s="31"/>
      <c r="M7" s="31"/>
    </row>
    <row r="8" spans="1:17" x14ac:dyDescent="0.3">
      <c r="A8" s="14" t="s">
        <v>3</v>
      </c>
    </row>
    <row r="9" spans="1:17" x14ac:dyDescent="0.3">
      <c r="A9" s="664" t="str">
        <f>Data!A276</f>
        <v>Smaller tractor (75 hp) - SMALL SIZE</v>
      </c>
      <c r="B9" s="33">
        <f>Data!B276</f>
        <v>0</v>
      </c>
      <c r="C9" s="34" t="str">
        <f>Data!C276</f>
        <v>tractor</v>
      </c>
      <c r="D9" s="109">
        <f>Data!D276*Data!$H$12*CP!$H$5</f>
        <v>19736.421390049032</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row>
    <row r="10" spans="1:17" x14ac:dyDescent="0.3">
      <c r="A10" s="664" t="str">
        <f>Data!A277</f>
        <v>Medium tractor (105 hp) - SMALL SIZE</v>
      </c>
      <c r="B10" s="33">
        <f>Data!B277</f>
        <v>0</v>
      </c>
      <c r="C10" s="34" t="str">
        <f>Data!C277</f>
        <v>tractor</v>
      </c>
      <c r="D10" s="109">
        <f>Data!D277*Data!$H$12*CP!$H$5</f>
        <v>36132.833006397464</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row>
    <row r="11" spans="1:17" x14ac:dyDescent="0.3">
      <c r="A11" s="664" t="str">
        <f>Data!A278</f>
        <v>Medium/Large tractor (130 hp) - SMALL SIZE</v>
      </c>
      <c r="B11" s="33">
        <f>Data!B278</f>
        <v>0</v>
      </c>
      <c r="C11" s="34" t="str">
        <f>Data!C278</f>
        <v>tractor</v>
      </c>
      <c r="D11" s="109">
        <f>Data!D278*Data!$H$12*CP!$H$5</f>
        <v>42812.852553798672</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row>
    <row r="12" spans="1:17" x14ac:dyDescent="0.3">
      <c r="A12" s="664" t="str">
        <f>Data!A279</f>
        <v>Large tractor (160 hp) - SMALL SIZE</v>
      </c>
      <c r="B12" s="33">
        <f>Data!B279</f>
        <v>0</v>
      </c>
      <c r="C12" s="34" t="str">
        <f>Data!C279</f>
        <v>tractor</v>
      </c>
      <c r="D12" s="109">
        <f>Data!D279*Data!$H$12*CP!$H$5</f>
        <v>57387.4406572195</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row>
    <row r="13" spans="1:17" x14ac:dyDescent="0.3">
      <c r="A13" s="664" t="str">
        <f>Data!A280</f>
        <v>Large tractor (200 hp) - SMALL SIZE</v>
      </c>
      <c r="B13" s="33">
        <f>Data!B280</f>
        <v>0</v>
      </c>
      <c r="C13" s="34" t="str">
        <f>Data!C280</f>
        <v>tractor</v>
      </c>
      <c r="D13" s="109">
        <f>Data!D280*Data!$H$12*CP!$H$5</f>
        <v>71354.754256331129</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row>
    <row r="14" spans="1:17" x14ac:dyDescent="0.3">
      <c r="A14" s="664" t="str">
        <f>Data!A282</f>
        <v>Smaller tractor (75 hp) - MEDIUM SIZE</v>
      </c>
      <c r="B14" s="33">
        <f>Data!B282</f>
        <v>0</v>
      </c>
      <c r="C14" s="34" t="str">
        <f>Data!C282</f>
        <v>tractor</v>
      </c>
      <c r="D14" s="109">
        <f>Data!D282*Data!$H$12</f>
        <v>19736.421390049032</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row>
    <row r="15" spans="1:17" x14ac:dyDescent="0.3">
      <c r="A15" s="664" t="str">
        <f>Data!A283</f>
        <v>Medium tractor (105 hp) - MEDIUM SIZE</v>
      </c>
      <c r="B15" s="33">
        <f>Data!B283</f>
        <v>1</v>
      </c>
      <c r="C15" s="34" t="str">
        <f>Data!C283</f>
        <v>tractor</v>
      </c>
      <c r="D15" s="109">
        <f>Data!D283*Data!$H$12</f>
        <v>36132.833006397464</v>
      </c>
      <c r="E15" s="109">
        <f>D15*B15</f>
        <v>36132.833006397464</v>
      </c>
      <c r="F15" s="109">
        <f>IF(CP!K11=0,Data!I283*E15,CP!K11*B15)</f>
        <v>15537.11819275091</v>
      </c>
      <c r="G15" s="60">
        <f>IF(CP!$G$11=0,Data!$F$283,CP!$G$11)</f>
        <v>40</v>
      </c>
      <c r="H15" s="109">
        <f>(E15*(_int_inv_m*(1+_int_inv_m)^G15)/((1+_int_inv_m)^G15-1))-(F15*_int_inv_m/((1+_int_inv_m)^G15-1))</f>
        <v>1006.4033797808341</v>
      </c>
      <c r="I15" s="36">
        <f>IF(CP!I11=0,Data!H283*Data!$J$271,CP!I11/CP!E11)</f>
        <v>1.35E-2</v>
      </c>
      <c r="J15" s="109">
        <f>E15*I15</f>
        <v>487.79324558636574</v>
      </c>
      <c r="K15" s="36">
        <f t="shared" si="1"/>
        <v>6.7999999999999996E-3</v>
      </c>
      <c r="L15" s="109">
        <f>E15*K15</f>
        <v>245.70326444350275</v>
      </c>
      <c r="M15" s="109">
        <f>H15+J15+L15</f>
        <v>1739.8998898107027</v>
      </c>
      <c r="N15" s="34"/>
      <c r="O15" s="34"/>
      <c r="P15" s="34"/>
      <c r="Q15" s="34"/>
    </row>
    <row r="16" spans="1:17" x14ac:dyDescent="0.3">
      <c r="A16" s="664" t="str">
        <f>Data!A284</f>
        <v>Medium/Large tractor (130 hp) - MEDIUM SIZE</v>
      </c>
      <c r="B16" s="33">
        <f>Data!B284</f>
        <v>0</v>
      </c>
      <c r="C16" s="34" t="str">
        <f>Data!C284</f>
        <v>tractor</v>
      </c>
      <c r="D16" s="109">
        <f>Data!D284*Data!$H$12</f>
        <v>42812.852553798672</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row>
    <row r="17" spans="1:22" x14ac:dyDescent="0.3">
      <c r="A17" s="664" t="str">
        <f>Data!A285</f>
        <v>Large tractor (160 hp) - MEDIUM SIZE</v>
      </c>
      <c r="B17" s="33">
        <f>Data!B285</f>
        <v>1</v>
      </c>
      <c r="C17" s="34" t="str">
        <f>Data!C285</f>
        <v>tractor</v>
      </c>
      <c r="D17" s="109">
        <f>Data!D285*Data!$H$12</f>
        <v>57387.4406572195</v>
      </c>
      <c r="E17" s="109">
        <f>D17*B17</f>
        <v>57387.4406572195</v>
      </c>
      <c r="F17" s="109">
        <f>IF(CP!K13=0,Data!I285*E17,CP!K13*B17)</f>
        <v>21807.227449743412</v>
      </c>
      <c r="G17" s="60">
        <f>IF(CP!$G$13=0,Data!$F$285,CP!$G$13)</f>
        <v>30</v>
      </c>
      <c r="H17" s="109">
        <f>(E17*(_int_inv_m*(1+_int_inv_m)^G17)/((1+_int_inv_m)^G17-1))-(F17*_int_inv_m/((1+_int_inv_m)^G17-1))</f>
        <v>1937.8296728186149</v>
      </c>
      <c r="I17" s="36">
        <f>IF(CP!I13=0,Data!H285*Data!$J$271,CP!I13/CP!E13)</f>
        <v>1.6666666666666666E-2</v>
      </c>
      <c r="J17" s="109">
        <f>E17*I17</f>
        <v>956.45734428699166</v>
      </c>
      <c r="K17" s="36">
        <f t="shared" si="1"/>
        <v>6.7999999999999996E-3</v>
      </c>
      <c r="L17" s="109">
        <f>E17*K17</f>
        <v>390.23459646909259</v>
      </c>
      <c r="M17" s="109">
        <f>H17+J17+L17</f>
        <v>3284.5216135746991</v>
      </c>
      <c r="N17" s="34"/>
      <c r="O17" s="34"/>
      <c r="P17" s="34"/>
      <c r="Q17" s="34"/>
    </row>
    <row r="18" spans="1:22" x14ac:dyDescent="0.3">
      <c r="A18" s="664" t="str">
        <f>Data!A286</f>
        <v>Large tractor (200 hp) - MEDIUM SIZE</v>
      </c>
      <c r="B18" s="33">
        <f>Data!B286</f>
        <v>0</v>
      </c>
      <c r="C18" s="34" t="str">
        <f>Data!C286</f>
        <v>tractor</v>
      </c>
      <c r="D18" s="109">
        <f>Data!D286*Data!$H$12</f>
        <v>71354.754256331129</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row>
    <row r="19" spans="1:22" x14ac:dyDescent="0.3">
      <c r="A19" s="664" t="str">
        <f>Data!A288</f>
        <v>Smaller tractor (75 hp) - LARGE SIZE</v>
      </c>
      <c r="B19" s="33">
        <f>Data!B288</f>
        <v>0</v>
      </c>
      <c r="C19" s="34" t="str">
        <f>Data!C288</f>
        <v>tractor</v>
      </c>
      <c r="D19" s="109">
        <f>Data!D288*Data!$H$12</f>
        <v>19736.421390049032</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row>
    <row r="20" spans="1:22" x14ac:dyDescent="0.3">
      <c r="A20" s="664" t="str">
        <f>Data!A289</f>
        <v>Medium tractor (105 hp) - LARGE SIZE</v>
      </c>
      <c r="B20" s="33">
        <f>Data!B289</f>
        <v>0</v>
      </c>
      <c r="C20" s="34" t="str">
        <f>Data!C289</f>
        <v>tractor</v>
      </c>
      <c r="D20" s="109">
        <f>Data!D289*Data!$H$12</f>
        <v>36132.833006397464</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row>
    <row r="21" spans="1:22" x14ac:dyDescent="0.3">
      <c r="A21" s="664" t="str">
        <f>Data!A290</f>
        <v>Medium/Large tractor (130 hp) - LARGE SIZE</v>
      </c>
      <c r="B21" s="33">
        <f>Data!B290</f>
        <v>0</v>
      </c>
      <c r="C21" s="34" t="str">
        <f>Data!C290</f>
        <v>tractor</v>
      </c>
      <c r="D21" s="109">
        <f>Data!D290*Data!$H$12</f>
        <v>42812.852553798672</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row>
    <row r="22" spans="1:22" x14ac:dyDescent="0.3">
      <c r="A22" s="664" t="str">
        <f>Data!A291</f>
        <v>Large tractor (160 hp) - LARGE SIZE</v>
      </c>
      <c r="B22" s="33">
        <f>Data!B291</f>
        <v>0</v>
      </c>
      <c r="C22" s="34" t="str">
        <f>Data!C291</f>
        <v>tractor</v>
      </c>
      <c r="D22" s="109">
        <f>Data!D291*Data!$H$12</f>
        <v>57387.4406572195</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row>
    <row r="23" spans="1:22" x14ac:dyDescent="0.3">
      <c r="A23" s="664" t="str">
        <f>Data!A292</f>
        <v>Large tractor (200 hp) - LARGE SIZE</v>
      </c>
      <c r="B23" s="33">
        <f>Data!B292</f>
        <v>0</v>
      </c>
      <c r="C23" s="34" t="str">
        <f>Data!C292</f>
        <v>tractor</v>
      </c>
      <c r="D23" s="109">
        <f>Data!D292*Data!$H$12</f>
        <v>71354.754256331129</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row>
    <row r="24" spans="1:22" x14ac:dyDescent="0.3">
      <c r="B24" s="33"/>
      <c r="C24" s="34"/>
      <c r="D24" s="109"/>
      <c r="E24" s="109"/>
      <c r="F24" s="109"/>
      <c r="G24" s="60"/>
      <c r="H24" s="109"/>
      <c r="I24" s="35"/>
      <c r="J24" s="109"/>
      <c r="K24" s="35"/>
      <c r="L24" s="109"/>
      <c r="M24" s="109"/>
      <c r="N24" s="32"/>
      <c r="O24" s="34"/>
      <c r="P24" s="34"/>
      <c r="Q24" s="34"/>
      <c r="R24" s="34"/>
      <c r="S24" s="34"/>
      <c r="T24" s="34"/>
      <c r="U24" s="34"/>
      <c r="V24" s="34"/>
    </row>
    <row r="25" spans="1:22" x14ac:dyDescent="0.3">
      <c r="A25" s="14" t="s">
        <v>35</v>
      </c>
      <c r="D25" s="110"/>
      <c r="E25" s="110"/>
      <c r="F25" s="109"/>
      <c r="G25" s="26"/>
      <c r="H25" s="109"/>
      <c r="J25" s="110"/>
      <c r="L25" s="110"/>
      <c r="M25" s="109"/>
    </row>
    <row r="26" spans="1:22" x14ac:dyDescent="0.3">
      <c r="A26" s="664" t="str">
        <f>Data!A297</f>
        <v>Bulk Body Truck(s) - SMALL SIZE</v>
      </c>
      <c r="B26" s="84">
        <f>Data!B297</f>
        <v>0</v>
      </c>
      <c r="C26" s="34" t="str">
        <f>Data!C297</f>
        <v>truck</v>
      </c>
      <c r="D26" s="109">
        <f>Data!D297*Data!$J$12*CP!$H$5</f>
        <v>10658.211222920007</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 t="shared" ref="K26:K32" si="14">_tax_ins_</f>
        <v>6.7999999999999996E-3</v>
      </c>
      <c r="L26" s="109">
        <f>E26*K26</f>
        <v>0</v>
      </c>
      <c r="M26" s="109">
        <f>H26+J26+L26</f>
        <v>0</v>
      </c>
      <c r="N26" s="34"/>
      <c r="O26" s="34"/>
      <c r="P26" s="34"/>
      <c r="Q26" s="34"/>
      <c r="R26" s="34"/>
    </row>
    <row r="27" spans="1:22" x14ac:dyDescent="0.3">
      <c r="A27" s="664" t="str">
        <f>Data!A298</f>
        <v>Bulk Body Truck(s) - MEDIUM SIZE</v>
      </c>
      <c r="B27" s="84">
        <f>Data!B298</f>
        <v>3</v>
      </c>
      <c r="C27" s="34" t="str">
        <f>Data!C298</f>
        <v>truck</v>
      </c>
      <c r="D27" s="109">
        <f>Data!D298*Data!$J$12</f>
        <v>10658.211222920007</v>
      </c>
      <c r="E27" s="109">
        <f t="shared" ref="E27:E28" si="15">D27*B27</f>
        <v>31974.63366876002</v>
      </c>
      <c r="F27" s="109">
        <f>IF(CP!K16=0,Data!I298*E27,CP!K16*B27)</f>
        <v>8313.4047538776049</v>
      </c>
      <c r="G27" s="60">
        <f>IF(CP!$G$16=0,Data!$F$298,CP!$G$16)</f>
        <v>40</v>
      </c>
      <c r="H27" s="109">
        <f>(E27*(_int_inv_m*(1+_int_inv_m)^G27)/((1+_int_inv_m)^G27-1))-(F27*_int_inv_m/((1+_int_inv_m)^G27-1))</f>
        <v>984.54550331801283</v>
      </c>
      <c r="I27" s="675">
        <f>IF(CP!I16=0,Data!H298*Data!$J$271,CP!I16/CP!E16)</f>
        <v>0.02</v>
      </c>
      <c r="J27" s="109">
        <f t="shared" ref="J27:J28" si="16">E27*I27</f>
        <v>639.49267337520041</v>
      </c>
      <c r="K27" s="36">
        <f t="shared" si="14"/>
        <v>6.7999999999999996E-3</v>
      </c>
      <c r="L27" s="109">
        <f t="shared" ref="L27:L28" si="17">E27*K27</f>
        <v>217.42750894756813</v>
      </c>
      <c r="M27" s="109">
        <f t="shared" ref="M27:M28" si="18">H27+J27+L27</f>
        <v>1841.4656856407814</v>
      </c>
      <c r="N27" s="34"/>
      <c r="O27" s="34"/>
      <c r="P27" s="34"/>
      <c r="Q27" s="34"/>
      <c r="R27" s="34"/>
    </row>
    <row r="28" spans="1:22" x14ac:dyDescent="0.3">
      <c r="A28" s="664" t="str">
        <f>Data!A299</f>
        <v>Bulk Body Truck(s) - LARGE SIZE</v>
      </c>
      <c r="B28" s="84">
        <f>Data!B299</f>
        <v>0</v>
      </c>
      <c r="C28" s="34" t="str">
        <f>Data!C299</f>
        <v>truck</v>
      </c>
      <c r="D28" s="109">
        <f>Data!D299*Data!$J$12</f>
        <v>10658.211222920007</v>
      </c>
      <c r="E28" s="109">
        <f t="shared" si="15"/>
        <v>0</v>
      </c>
      <c r="F28" s="109">
        <f>IF(CP!K16=0,Data!I299*E28,CP!K16*B28)</f>
        <v>0</v>
      </c>
      <c r="G28" s="60">
        <f>IF(CP!$G$16=0,Data!$F$299,CP!$G$16)</f>
        <v>40</v>
      </c>
      <c r="H28" s="109">
        <f>(E28*(_int_inv_l*(1+_int_inv_l)^G28)/((1+_int_inv_l)^G28-1))-(F28*_int_inv_l/((1+_int_inv_l)^G28-1))</f>
        <v>0</v>
      </c>
      <c r="I28" s="675">
        <f>IF(CP!I16=0,Data!H299*Data!$J$271,CP!I16/CP!E16)</f>
        <v>0.02</v>
      </c>
      <c r="J28" s="109">
        <f t="shared" si="16"/>
        <v>0</v>
      </c>
      <c r="K28" s="36">
        <f t="shared" si="14"/>
        <v>6.7999999999999996E-3</v>
      </c>
      <c r="L28" s="109">
        <f t="shared" si="17"/>
        <v>0</v>
      </c>
      <c r="M28" s="109">
        <f t="shared" si="18"/>
        <v>0</v>
      </c>
      <c r="N28" s="34"/>
      <c r="O28" s="34"/>
      <c r="P28" s="34"/>
      <c r="Q28" s="34"/>
      <c r="R28" s="34"/>
    </row>
    <row r="29" spans="1:22" x14ac:dyDescent="0.3">
      <c r="A29" s="664" t="str">
        <f>Data!A300</f>
        <v>Flat Bed Truck(s) - SMALL SIZE</v>
      </c>
      <c r="B29" s="84">
        <f>Data!B300</f>
        <v>0</v>
      </c>
      <c r="C29" s="34" t="str">
        <f>Data!C300</f>
        <v>truck</v>
      </c>
      <c r="D29" s="109">
        <f>Data!D300*Data!$J$12*CP!$H$5</f>
        <v>10658.211222920007</v>
      </c>
      <c r="E29" s="109">
        <f t="shared" ref="E29:E32" si="19">D29*B29</f>
        <v>0</v>
      </c>
      <c r="F29" s="109">
        <f>IF(CP!$K$17=0,Data!I300*E29,CP!$K$17*B29)</f>
        <v>0</v>
      </c>
      <c r="G29" s="60">
        <f>IF(CP!$G$17=0,Data!F299,CP!$G$17)</f>
        <v>40</v>
      </c>
      <c r="H29" s="109">
        <f>(E29*(_int_inv_l*(1+_int_inv_l)^G29)/((1+_int_inv_l)^G29-1))-(F29*_int_inv_l/((1+_int_inv_l)^G29-1))</f>
        <v>0</v>
      </c>
      <c r="I29" s="675">
        <f>IF(CP!$I$17=0,Data!H300*Data!$J$271,CP!$I$17/CP!$E$17)</f>
        <v>0.02</v>
      </c>
      <c r="J29" s="109">
        <f t="shared" ref="J29:J32" si="20">E29*I29</f>
        <v>0</v>
      </c>
      <c r="K29" s="36">
        <f t="shared" si="14"/>
        <v>6.7999999999999996E-3</v>
      </c>
      <c r="L29" s="109">
        <f t="shared" ref="L29:L32" si="21">E29*K29</f>
        <v>0</v>
      </c>
      <c r="M29" s="109">
        <f t="shared" ref="M29:M32" si="22">H29+J29+L29</f>
        <v>0</v>
      </c>
      <c r="N29" s="34"/>
      <c r="O29" s="34"/>
      <c r="P29" s="34"/>
      <c r="Q29" s="34"/>
      <c r="R29" s="34"/>
    </row>
    <row r="30" spans="1:22" x14ac:dyDescent="0.3">
      <c r="A30" s="664" t="str">
        <f>Data!A301</f>
        <v>Flat Bed Truck(s) - MEDIUM SIZE</v>
      </c>
      <c r="B30" s="84">
        <f>Data!B301</f>
        <v>0</v>
      </c>
      <c r="C30" s="34" t="str">
        <f>Data!C301</f>
        <v>truck</v>
      </c>
      <c r="D30" s="109">
        <f>Data!D301*Data!$J$12</f>
        <v>10658.211222920007</v>
      </c>
      <c r="E30" s="109">
        <f t="shared" si="19"/>
        <v>0</v>
      </c>
      <c r="F30" s="109">
        <f>IF(CP!$K$17=0,Data!I301*E30,CP!$K$17*B30)</f>
        <v>0</v>
      </c>
      <c r="G30" s="60">
        <f>IF(CP!$G$17=0,Data!F300,CP!$G$17)</f>
        <v>40</v>
      </c>
      <c r="H30" s="109">
        <f>(E30*(_int_inv_l*(1+_int_inv_l)^G30)/((1+_int_inv_l)^G30-1))-(F30*_int_inv_l/((1+_int_inv_l)^G30-1))</f>
        <v>0</v>
      </c>
      <c r="I30" s="675">
        <f>IF(CP!$I$17=0,Data!H301*Data!$J$271,CP!$I$17/CP!$E$17)</f>
        <v>0.02</v>
      </c>
      <c r="J30" s="109">
        <f t="shared" si="20"/>
        <v>0</v>
      </c>
      <c r="K30" s="36">
        <f t="shared" si="14"/>
        <v>6.7999999999999996E-3</v>
      </c>
      <c r="L30" s="109">
        <f t="shared" si="21"/>
        <v>0</v>
      </c>
      <c r="M30" s="109">
        <f t="shared" si="22"/>
        <v>0</v>
      </c>
      <c r="N30" s="34"/>
      <c r="O30" s="34"/>
      <c r="P30" s="34"/>
      <c r="Q30" s="34"/>
      <c r="R30" s="34"/>
    </row>
    <row r="31" spans="1:22" x14ac:dyDescent="0.3">
      <c r="A31" s="664" t="str">
        <f>Data!A302</f>
        <v>Flat Bed Truck(s) - LARGE SIZE</v>
      </c>
      <c r="B31" s="84">
        <f>Data!B302</f>
        <v>0</v>
      </c>
      <c r="C31" s="34" t="str">
        <f>Data!C302</f>
        <v>truck</v>
      </c>
      <c r="D31" s="109">
        <f>Data!D302*Data!$J$12</f>
        <v>10658.211222920007</v>
      </c>
      <c r="E31" s="109">
        <f t="shared" si="19"/>
        <v>0</v>
      </c>
      <c r="F31" s="109">
        <f>IF(CP!$K$17=0,Data!I302*E31,CP!$K$17*B31)</f>
        <v>0</v>
      </c>
      <c r="G31" s="60">
        <f>IF(CP!$G$17=0,Data!F301,CP!$G$17)</f>
        <v>40</v>
      </c>
      <c r="H31" s="109">
        <f>(E31*(_int_inv_l*(1+_int_inv_l)^G31)/((1+_int_inv_l)^G31-1))-(F31*_int_inv_l/((1+_int_inv_l)^G31-1))</f>
        <v>0</v>
      </c>
      <c r="I31" s="675">
        <f>IF(CP!$I$17=0,Data!H302*Data!$J$271,CP!$I$17/CP!$E$17)</f>
        <v>0.02</v>
      </c>
      <c r="J31" s="109">
        <f t="shared" si="20"/>
        <v>0</v>
      </c>
      <c r="K31" s="36">
        <f t="shared" si="14"/>
        <v>6.7999999999999996E-3</v>
      </c>
      <c r="L31" s="109">
        <f t="shared" si="21"/>
        <v>0</v>
      </c>
      <c r="M31" s="109">
        <f t="shared" si="22"/>
        <v>0</v>
      </c>
      <c r="N31" s="34"/>
      <c r="O31" s="34"/>
      <c r="P31" s="34"/>
      <c r="Q31" s="34"/>
      <c r="R31" s="34"/>
    </row>
    <row r="32" spans="1:22" x14ac:dyDescent="0.3">
      <c r="A32" s="664" t="str">
        <f>Data!A303</f>
        <v>Semi Truck(s) - LARGE SIZE</v>
      </c>
      <c r="B32" s="84">
        <f>Data!B303</f>
        <v>0</v>
      </c>
      <c r="C32" s="34" t="str">
        <f>Data!C303</f>
        <v>truck</v>
      </c>
      <c r="D32" s="109">
        <f>Data!D303*Data!$J$12</f>
        <v>25809.166433141043</v>
      </c>
      <c r="E32" s="109">
        <f t="shared" si="19"/>
        <v>0</v>
      </c>
      <c r="F32" s="109">
        <f>IF(CP!$K$18=0,Data!I303*E32,CP!$K$18*B32)</f>
        <v>0</v>
      </c>
      <c r="G32" s="60">
        <f>IF(CP!$G$18=0,Data!F302,CP!$G$18)</f>
        <v>20</v>
      </c>
      <c r="H32" s="109">
        <f>(E32*(_int_inv_l*(1+_int_inv_l)^G32)/((1+_int_inv_l)^G32-1))-(F32*_int_inv_l/((1+_int_inv_l)^G32-1))</f>
        <v>0</v>
      </c>
      <c r="I32" s="675">
        <f>IF(CP!$I$18=0,Data!H303*Data!$J$271,CP!$I$18/CP!$E$18)</f>
        <v>0.02</v>
      </c>
      <c r="J32" s="109">
        <f t="shared" si="20"/>
        <v>0</v>
      </c>
      <c r="K32" s="36">
        <f t="shared" si="14"/>
        <v>6.7999999999999996E-3</v>
      </c>
      <c r="L32" s="109">
        <f t="shared" si="21"/>
        <v>0</v>
      </c>
      <c r="M32" s="109">
        <f t="shared" si="22"/>
        <v>0</v>
      </c>
      <c r="N32" s="34"/>
      <c r="O32" s="34"/>
      <c r="P32" s="34"/>
      <c r="Q32" s="34"/>
      <c r="R32" s="34"/>
    </row>
    <row r="33" spans="1:23" x14ac:dyDescent="0.3">
      <c r="B33" s="33"/>
      <c r="C33" s="34"/>
      <c r="D33" s="109"/>
      <c r="E33" s="109"/>
      <c r="F33" s="109"/>
      <c r="G33" s="60"/>
      <c r="H33" s="109"/>
      <c r="I33" s="35"/>
      <c r="J33" s="109"/>
      <c r="K33" s="35"/>
      <c r="L33" s="109"/>
      <c r="M33" s="109"/>
      <c r="N33" s="34"/>
      <c r="O33" s="34"/>
      <c r="P33" s="34"/>
      <c r="Q33" s="34"/>
      <c r="R33" s="34"/>
      <c r="S33" s="34"/>
      <c r="T33" s="34"/>
      <c r="U33" s="34"/>
      <c r="V33" s="34"/>
    </row>
    <row r="34" spans="1:23" x14ac:dyDescent="0.3">
      <c r="A34" s="14" t="s">
        <v>6</v>
      </c>
      <c r="B34" s="33"/>
      <c r="C34" s="34"/>
      <c r="D34" s="109"/>
      <c r="E34" s="109"/>
      <c r="F34" s="109"/>
      <c r="G34" s="60"/>
      <c r="H34" s="109"/>
      <c r="I34" s="35"/>
      <c r="J34" s="109"/>
      <c r="K34" s="35"/>
      <c r="L34" s="109"/>
      <c r="M34" s="109"/>
      <c r="N34" s="34"/>
      <c r="O34" s="34"/>
      <c r="P34" s="34"/>
      <c r="Q34" s="34"/>
      <c r="R34" s="34"/>
      <c r="S34" s="34"/>
      <c r="T34" s="34"/>
      <c r="U34" s="34"/>
      <c r="V34" s="34"/>
    </row>
    <row r="35" spans="1:23" x14ac:dyDescent="0.3">
      <c r="A35" s="664" t="str">
        <f>Data!A310</f>
        <v>Moldboard Plow (9 ft) - SMALL SIZE</v>
      </c>
      <c r="B35" s="33">
        <f>Data!B310</f>
        <v>0</v>
      </c>
      <c r="C35" s="34" t="str">
        <f>Data!C310</f>
        <v>moldboard plow</v>
      </c>
      <c r="D35" s="109">
        <f>Data!D310*Data!$P$12*CP!$H$5</f>
        <v>8501.8430603288143</v>
      </c>
      <c r="E35" s="109">
        <f>D35*B35</f>
        <v>0</v>
      </c>
      <c r="F35" s="109">
        <f>IF(CP!$K$22=0,Data!I310*E35,CP!$K$20*B35)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23">_tax_ins_</f>
        <v>6.7999999999999996E-3</v>
      </c>
      <c r="L35" s="109">
        <f>E35*K35</f>
        <v>0</v>
      </c>
      <c r="M35" s="109">
        <f>H35+J35+L35</f>
        <v>0</v>
      </c>
      <c r="N35" s="34"/>
      <c r="O35" s="34"/>
      <c r="P35" s="34"/>
      <c r="Q35" s="34"/>
      <c r="R35" s="34"/>
      <c r="S35" s="34"/>
      <c r="T35" s="34"/>
      <c r="U35" s="34"/>
      <c r="V35" s="34"/>
      <c r="W35" s="34"/>
    </row>
    <row r="36" spans="1:23" x14ac:dyDescent="0.3">
      <c r="A36" s="664" t="str">
        <f>Data!A311</f>
        <v>Moldboard Plow (9 ft) - MEDIUM SIZE</v>
      </c>
      <c r="B36" s="33">
        <f>Data!B311</f>
        <v>1</v>
      </c>
      <c r="C36" s="34" t="str">
        <f>Data!C311</f>
        <v>moldboard plow</v>
      </c>
      <c r="D36" s="109">
        <f>Data!D311*Data!$P$12</f>
        <v>8501.8430603288143</v>
      </c>
      <c r="E36" s="109">
        <f t="shared" ref="E36:E37" si="24">D36*B36</f>
        <v>8501.8430603288143</v>
      </c>
      <c r="F36" s="109">
        <f>IF(CP!$K$22=0,Data!I311*E36,CP!$K$20*B36)</f>
        <v>2805.6082099085088</v>
      </c>
      <c r="G36" s="60">
        <f>IF(CP!$G$20=0,Data!$F$311,CP!$G$20)</f>
        <v>40</v>
      </c>
      <c r="H36" s="109">
        <f>(E36*(_int_inv_m*(1+_int_inv_m)^G36)/((1+_int_inv_m)^G36-1))-(F36*_int_inv_m/((1+_int_inv_m)^G36-1))</f>
        <v>251.49686895423872</v>
      </c>
      <c r="I36" s="36">
        <f>IF(CP!$I$20=0,Data!H311*Data!$J$271,CP!$I$20/CP!$E$20)</f>
        <v>5.1710357142857148E-2</v>
      </c>
      <c r="J36" s="109">
        <f t="shared" ref="J36:J37" si="25">E36*I36</f>
        <v>439.63334102212457</v>
      </c>
      <c r="K36" s="36">
        <f t="shared" si="23"/>
        <v>6.7999999999999996E-3</v>
      </c>
      <c r="L36" s="109">
        <f t="shared" ref="L36:L37" si="26">E36*K36</f>
        <v>57.812532810235936</v>
      </c>
      <c r="M36" s="109">
        <f t="shared" ref="M36:M37" si="27">H36+J36+L36</f>
        <v>748.94274278659918</v>
      </c>
      <c r="N36" s="34"/>
      <c r="O36" s="34"/>
      <c r="P36" s="34"/>
      <c r="Q36" s="34"/>
      <c r="R36" s="34"/>
      <c r="S36" s="34"/>
      <c r="T36" s="34"/>
      <c r="U36" s="34"/>
      <c r="V36" s="34"/>
      <c r="W36" s="34"/>
    </row>
    <row r="37" spans="1:23" x14ac:dyDescent="0.3">
      <c r="A37" s="664" t="str">
        <f>Data!A312</f>
        <v>Moldboard Plow (12 ft) - LARGE SIZE</v>
      </c>
      <c r="B37" s="33">
        <f>Data!B312</f>
        <v>0</v>
      </c>
      <c r="C37" s="34" t="str">
        <f>Data!C312</f>
        <v>moldboard plow</v>
      </c>
      <c r="D37" s="109">
        <f>Data!D312*Data!$P$12</f>
        <v>12752.764590493221</v>
      </c>
      <c r="E37" s="109">
        <f t="shared" si="24"/>
        <v>0</v>
      </c>
      <c r="F37" s="109">
        <f>IF(CP!K20=0,Data!I312*E37,CP!K21*B37)</f>
        <v>0</v>
      </c>
      <c r="G37" s="60">
        <f>IF(CP!$G$21=0,Data!$F$312,CP!$G$21)</f>
        <v>20</v>
      </c>
      <c r="H37" s="109">
        <f>(E37*(_int_inv_l*(1+_int_inv_l)^G37)/((1+_int_inv_l)^G37-1))-(F37*_int_inv_l/((1+_int_inv_l)^G37-1))</f>
        <v>0</v>
      </c>
      <c r="I37" s="36">
        <f>IF(CP!I21=0,Data!H312*Data!$J$271,CP!I21/CP!E21)</f>
        <v>5.1849523809523804E-2</v>
      </c>
      <c r="J37" s="109">
        <f t="shared" si="25"/>
        <v>0</v>
      </c>
      <c r="K37" s="36">
        <f t="shared" si="23"/>
        <v>6.7999999999999996E-3</v>
      </c>
      <c r="L37" s="109">
        <f t="shared" si="26"/>
        <v>0</v>
      </c>
      <c r="M37" s="109">
        <f t="shared" si="27"/>
        <v>0</v>
      </c>
      <c r="N37" s="34"/>
      <c r="O37" s="34"/>
      <c r="P37" s="34"/>
      <c r="Q37" s="34"/>
      <c r="R37" s="34"/>
      <c r="S37" s="34"/>
      <c r="T37" s="34"/>
      <c r="U37" s="34"/>
      <c r="V37" s="34"/>
      <c r="W37" s="34"/>
    </row>
    <row r="38" spans="1:23" x14ac:dyDescent="0.3">
      <c r="A38" s="664" t="str">
        <f>Data!A313</f>
        <v>Chisel Plow (15 ft) - SMALL SIZE</v>
      </c>
      <c r="B38" s="33">
        <f>Data!B313</f>
        <v>0</v>
      </c>
      <c r="C38" s="34" t="str">
        <f>Data!C313</f>
        <v>chisel plow</v>
      </c>
      <c r="D38" s="109">
        <f>Data!D313*Data!$P$12*CP!$H$5</f>
        <v>5769.1077909374098</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8">_tax_ins_</f>
        <v>6.7999999999999996E-3</v>
      </c>
      <c r="L38" s="109">
        <f>E38*K38</f>
        <v>0</v>
      </c>
      <c r="M38" s="109">
        <f>H38+J38+L38</f>
        <v>0</v>
      </c>
      <c r="N38" s="34"/>
      <c r="O38" s="34"/>
      <c r="P38" s="34"/>
      <c r="Q38" s="34"/>
      <c r="R38" s="34"/>
      <c r="S38" s="34"/>
      <c r="T38" s="34"/>
      <c r="U38" s="34"/>
      <c r="V38" s="34"/>
      <c r="W38" s="34"/>
    </row>
    <row r="39" spans="1:23" x14ac:dyDescent="0.3">
      <c r="A39" s="664" t="str">
        <f>Data!A314</f>
        <v>Chisel Plow (15 ft) - MEDIUM SIZE</v>
      </c>
      <c r="B39" s="33">
        <f>Data!B314</f>
        <v>1</v>
      </c>
      <c r="C39" s="34" t="str">
        <f>Data!C314</f>
        <v>chisel plow</v>
      </c>
      <c r="D39" s="109">
        <f>Data!D314*Data!$P$12</f>
        <v>5769.1077909374098</v>
      </c>
      <c r="E39" s="109">
        <f t="shared" ref="E39:E40" si="29">D39*B39</f>
        <v>5769.1077909374098</v>
      </c>
      <c r="F39" s="109">
        <f>IF(CP!$K$22=0,Data!I314*E39,CP!$K$22*B39)</f>
        <v>1903.8055710093454</v>
      </c>
      <c r="G39" s="60">
        <f>IF(CP!$G$22=0,Data!$F$314,CP!$G$22)</f>
        <v>40</v>
      </c>
      <c r="H39" s="109">
        <f>(E39*(_int_inv_m*(1+_int_inv_m)^G39)/((1+_int_inv_m)^G39-1))-(F39*_int_inv_m/((1+_int_inv_m)^G39-1))</f>
        <v>170.65858964751916</v>
      </c>
      <c r="I39" s="36">
        <f>IF(CP!$I$22=0,Data!H314*Data!$J$271,CP!$I$22/CP!$E$22)</f>
        <v>2.433684210526316E-2</v>
      </c>
      <c r="J39" s="109">
        <f t="shared" ref="J39:J40" si="30">E39*I39</f>
        <v>140.40186539628729</v>
      </c>
      <c r="K39" s="36">
        <f t="shared" si="28"/>
        <v>6.7999999999999996E-3</v>
      </c>
      <c r="L39" s="109">
        <f t="shared" ref="L39:L40" si="31">E39*K39</f>
        <v>39.229932978374386</v>
      </c>
      <c r="M39" s="109">
        <f t="shared" ref="M39:M40" si="32">H39+J39+L39</f>
        <v>350.29038802218082</v>
      </c>
      <c r="N39" s="34"/>
      <c r="O39" s="34"/>
      <c r="P39" s="34"/>
      <c r="Q39" s="34"/>
      <c r="R39" s="34"/>
      <c r="S39" s="34"/>
      <c r="T39" s="34"/>
      <c r="U39" s="34"/>
      <c r="V39" s="34"/>
      <c r="W39" s="34"/>
    </row>
    <row r="40" spans="1:23" x14ac:dyDescent="0.3">
      <c r="A40" s="664" t="str">
        <f>Data!A315</f>
        <v>Chisel Plow (23 ft) - LARGE SIZE</v>
      </c>
      <c r="B40" s="33">
        <f>Data!B315</f>
        <v>0</v>
      </c>
      <c r="C40" s="34" t="str">
        <f>Data!C315</f>
        <v>chisel plow</v>
      </c>
      <c r="D40" s="109">
        <f>Data!D315*Data!$P$12</f>
        <v>10627.303825411018</v>
      </c>
      <c r="E40" s="109">
        <f t="shared" si="29"/>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30"/>
        <v>0</v>
      </c>
      <c r="K40" s="36">
        <f t="shared" si="28"/>
        <v>6.7999999999999996E-3</v>
      </c>
      <c r="L40" s="109">
        <f t="shared" si="31"/>
        <v>0</v>
      </c>
      <c r="M40" s="109">
        <f t="shared" si="32"/>
        <v>0</v>
      </c>
      <c r="N40" s="34"/>
      <c r="O40" s="34"/>
      <c r="P40" s="34"/>
      <c r="Q40" s="34"/>
      <c r="R40" s="34"/>
      <c r="S40" s="34"/>
      <c r="T40" s="34"/>
      <c r="U40" s="34"/>
      <c r="V40" s="34"/>
      <c r="W40" s="34"/>
    </row>
    <row r="41" spans="1:23" x14ac:dyDescent="0.3">
      <c r="A41" s="664" t="str">
        <f>Data!A316</f>
        <v>Disk Harrow (12 ft) - SMALL SIZE</v>
      </c>
      <c r="B41" s="33">
        <f>Data!B316</f>
        <v>0</v>
      </c>
      <c r="C41" s="34" t="str">
        <f>Data!C316</f>
        <v>disk harrow</v>
      </c>
      <c r="D41" s="109">
        <f>Data!D316*Data!$P$12*CP!$H$5</f>
        <v>5769.1077909374098</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8"/>
        <v>6.7999999999999996E-3</v>
      </c>
      <c r="L41" s="109">
        <f>E41*K41</f>
        <v>0</v>
      </c>
      <c r="M41" s="109">
        <f>H41+J41+L41</f>
        <v>0</v>
      </c>
      <c r="N41" s="34"/>
      <c r="O41" s="34"/>
      <c r="P41" s="34"/>
      <c r="Q41" s="34"/>
      <c r="R41" s="34"/>
      <c r="S41" s="34"/>
      <c r="T41" s="34"/>
      <c r="U41" s="34"/>
      <c r="V41" s="34"/>
      <c r="W41" s="34"/>
    </row>
    <row r="42" spans="1:23" x14ac:dyDescent="0.3">
      <c r="A42" s="664" t="str">
        <f>Data!A317</f>
        <v>Disk Harrow (21 ft) - MEDIUM SIZE</v>
      </c>
      <c r="B42" s="33">
        <f>Data!B317</f>
        <v>1</v>
      </c>
      <c r="C42" s="34" t="str">
        <f>Data!C317</f>
        <v>disk harrow</v>
      </c>
      <c r="D42" s="109">
        <f>Data!D317*Data!$P$12</f>
        <v>12145.490086184021</v>
      </c>
      <c r="E42" s="109">
        <f t="shared" ref="E42:E43" si="33">D42*B42</f>
        <v>12145.490086184021</v>
      </c>
      <c r="F42" s="109">
        <f>IF(CP!K25=0,Data!I317*E42,CP!K25*B42)</f>
        <v>3643.6470258552063</v>
      </c>
      <c r="G42" s="60">
        <f>IF(CP!$G$25=0,Data!$F$317,CP!$G$25)</f>
        <v>40</v>
      </c>
      <c r="H42" s="109">
        <f>(E42*(_int_inv_m*(1+_int_inv_m)^G42)/((1+_int_inv_m)^G42-1))-(F42*_int_inv_m/((1+_int_inv_m)^G42-1))</f>
        <v>365.57955866820805</v>
      </c>
      <c r="I42" s="36">
        <f>IF(CP!I25=0,Data!H317*Data!$J$271,CP!I25/CP!E25)</f>
        <v>3.3605000000000003E-2</v>
      </c>
      <c r="J42" s="109">
        <f t="shared" ref="J42:J43" si="34">E42*I42</f>
        <v>408.14919434621407</v>
      </c>
      <c r="K42" s="36">
        <f t="shared" si="28"/>
        <v>6.7999999999999996E-3</v>
      </c>
      <c r="L42" s="109">
        <f t="shared" ref="L42:L43" si="35">E42*K42</f>
        <v>82.589332586051341</v>
      </c>
      <c r="M42" s="109">
        <f t="shared" ref="M42:M43" si="36">H42+J42+L42</f>
        <v>856.31808560047352</v>
      </c>
      <c r="N42" s="34"/>
      <c r="O42" s="34"/>
      <c r="P42" s="34"/>
      <c r="Q42" s="34"/>
      <c r="R42" s="34"/>
      <c r="S42" s="34"/>
      <c r="T42" s="34"/>
      <c r="U42" s="34"/>
      <c r="V42" s="34"/>
      <c r="W42" s="34"/>
    </row>
    <row r="43" spans="1:23" x14ac:dyDescent="0.3">
      <c r="A43" s="664" t="str">
        <f>Data!A318</f>
        <v>Disk Harrow (30 ft) - LARGE SIZE</v>
      </c>
      <c r="B43" s="33">
        <f>Data!B318</f>
        <v>0</v>
      </c>
      <c r="C43" s="34" t="str">
        <f>Data!C318</f>
        <v>disk harrow</v>
      </c>
      <c r="D43" s="109">
        <f>Data!D318*Data!$P$12</f>
        <v>16700.048868503029</v>
      </c>
      <c r="E43" s="109">
        <f t="shared" si="33"/>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4"/>
        <v>0</v>
      </c>
      <c r="K43" s="36">
        <f t="shared" si="28"/>
        <v>6.7999999999999996E-3</v>
      </c>
      <c r="L43" s="109">
        <f t="shared" si="35"/>
        <v>0</v>
      </c>
      <c r="M43" s="109">
        <f t="shared" si="36"/>
        <v>0</v>
      </c>
      <c r="N43" s="34"/>
      <c r="O43" s="34"/>
      <c r="P43" s="34"/>
      <c r="Q43" s="34"/>
      <c r="R43" s="34"/>
      <c r="S43" s="34"/>
      <c r="T43" s="34"/>
      <c r="U43" s="34"/>
      <c r="V43" s="34"/>
      <c r="W43" s="34"/>
    </row>
    <row r="44" spans="1:23" ht="13.25" customHeight="1" x14ac:dyDescent="0.3">
      <c r="A44" s="664" t="str">
        <f>Data!A319</f>
        <v>Soil Conditioner/Field Cultivator (18 ft) - SMALL SIZE</v>
      </c>
      <c r="B44" s="33">
        <f>Data!B319</f>
        <v>0</v>
      </c>
      <c r="C44" s="34" t="str">
        <f>Data!C319</f>
        <v>condit.</v>
      </c>
      <c r="D44" s="109">
        <f>Data!D319*Data!$P$12*CP!$H$5</f>
        <v>7894.5685560196134</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8"/>
        <v>6.7999999999999996E-3</v>
      </c>
      <c r="L44" s="109">
        <f>E44*K44</f>
        <v>0</v>
      </c>
      <c r="M44" s="109">
        <f>H44+J44+L44</f>
        <v>0</v>
      </c>
      <c r="N44" s="34"/>
      <c r="O44" s="34"/>
      <c r="P44" s="34"/>
      <c r="Q44" s="34"/>
      <c r="R44" s="34"/>
      <c r="S44" s="34"/>
      <c r="T44" s="34"/>
      <c r="U44" s="34"/>
      <c r="V44" s="34"/>
      <c r="W44" s="34"/>
    </row>
    <row r="45" spans="1:23" ht="13.25" customHeight="1" x14ac:dyDescent="0.3">
      <c r="A45" s="664" t="str">
        <f>Data!A320</f>
        <v>Soil Conditioner/Field Cultivator (18 ft) - MEDIUM SIZE</v>
      </c>
      <c r="B45" s="33">
        <f>Data!B320</f>
        <v>1</v>
      </c>
      <c r="C45" s="34" t="str">
        <f>Data!C320</f>
        <v>condit.</v>
      </c>
      <c r="D45" s="109">
        <f>Data!D320*Data!$P$12</f>
        <v>7894.5685560196134</v>
      </c>
      <c r="E45" s="109">
        <f t="shared" ref="E45:E46" si="37">D45*B45</f>
        <v>7894.5685560196134</v>
      </c>
      <c r="F45" s="109">
        <f>IF(CP!$K$27=0,Data!I320*E45,CP!$K$27*B45)</f>
        <v>2368.3705668058838</v>
      </c>
      <c r="G45" s="60">
        <f>IF(CP!$G$27=0,Data!$F$320,CP!$G$27)</f>
        <v>40</v>
      </c>
      <c r="H45" s="109">
        <f>(E45*(_int_inv_m*(1+_int_inv_m)^G45)/((1+_int_inv_m)^G45-1))-(F45*_int_inv_m/((1+_int_inv_m)^G45-1))</f>
        <v>237.6267131343352</v>
      </c>
      <c r="I45" s="36">
        <f>IF(CP!$I$27=0,Data!H320*Data!$J$271,CP!$I$27/CP!$E$27)</f>
        <v>3.245E-2</v>
      </c>
      <c r="J45" s="109">
        <f t="shared" ref="J45:J46" si="38">E45*I45</f>
        <v>256.17874964283646</v>
      </c>
      <c r="K45" s="36">
        <f t="shared" si="28"/>
        <v>6.7999999999999996E-3</v>
      </c>
      <c r="L45" s="109">
        <f t="shared" ref="L45:L46" si="39">E45*K45</f>
        <v>53.683066180933366</v>
      </c>
      <c r="M45" s="109">
        <f t="shared" ref="M45:M46" si="40">H45+J45+L45</f>
        <v>547.48852895810501</v>
      </c>
      <c r="N45" s="34"/>
      <c r="O45" s="34"/>
      <c r="P45" s="34"/>
      <c r="Q45" s="34"/>
      <c r="R45" s="34"/>
      <c r="S45" s="34"/>
      <c r="T45" s="34"/>
      <c r="U45" s="34"/>
      <c r="V45" s="34"/>
      <c r="W45" s="34"/>
    </row>
    <row r="46" spans="1:23" ht="13.25" customHeight="1" x14ac:dyDescent="0.3">
      <c r="A46" s="664" t="str">
        <f>Data!A321</f>
        <v>Soil Conditioner/Field Cultivator (18 ft) - LARGE SIZE</v>
      </c>
      <c r="B46" s="33">
        <f>Data!B321</f>
        <v>0</v>
      </c>
      <c r="C46" s="34" t="str">
        <f>Data!C321</f>
        <v>condit.</v>
      </c>
      <c r="D46" s="109">
        <f>Data!D321*Data!$P$12</f>
        <v>7894.5685560196134</v>
      </c>
      <c r="E46" s="109">
        <f t="shared" si="37"/>
        <v>0</v>
      </c>
      <c r="F46" s="109">
        <f>IF(CP!$K$27=0,Data!I321*E46,CP!$K$27*B46)</f>
        <v>0</v>
      </c>
      <c r="G46" s="60">
        <f>IF(CP!$G$27=0,Data!$F$321,CP!$G$27)</f>
        <v>40</v>
      </c>
      <c r="H46" s="109">
        <f>(E46*(_int_inv_l*(1+_int_inv_l)^G46)/((1+_int_inv_l)^G46-1))-(F46*_int_inv_l/((1+_int_inv_l)^G46-1))</f>
        <v>0</v>
      </c>
      <c r="I46" s="36">
        <f>IF(CP!$I$27=0,Data!H321*Data!$J$271,CP!$I$27/CP!$E$27)</f>
        <v>3.245E-2</v>
      </c>
      <c r="J46" s="109">
        <f t="shared" si="38"/>
        <v>0</v>
      </c>
      <c r="K46" s="36">
        <f t="shared" si="28"/>
        <v>6.7999999999999996E-3</v>
      </c>
      <c r="L46" s="109">
        <f t="shared" si="39"/>
        <v>0</v>
      </c>
      <c r="M46" s="109">
        <f t="shared" si="40"/>
        <v>0</v>
      </c>
      <c r="N46" s="34"/>
      <c r="O46" s="34"/>
      <c r="P46" s="34"/>
      <c r="Q46" s="34"/>
      <c r="R46" s="34"/>
      <c r="S46" s="34"/>
      <c r="T46" s="34"/>
      <c r="U46" s="34"/>
      <c r="V46" s="34"/>
      <c r="W46" s="34"/>
    </row>
    <row r="47" spans="1:23" ht="13.25" customHeight="1" x14ac:dyDescent="0.3">
      <c r="A47" s="664" t="str">
        <f>Data!A325</f>
        <v>Tine-Harrow (i.e. Lely, 20-30 ft) - SMALL SIZE</v>
      </c>
      <c r="B47" s="33">
        <f>Data!B325</f>
        <v>0</v>
      </c>
      <c r="C47" s="34" t="str">
        <f>Data!C325</f>
        <v>tine-harrow</v>
      </c>
      <c r="D47" s="109">
        <f>Data!D325*Data!$P$12*CP!$H$5</f>
        <v>1518.1862607730027</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8"/>
        <v>6.7999999999999996E-3</v>
      </c>
      <c r="L47" s="109">
        <f>E47*K47</f>
        <v>0</v>
      </c>
      <c r="M47" s="109">
        <f>H47+J47+L47</f>
        <v>0</v>
      </c>
      <c r="N47" s="34"/>
      <c r="O47" s="34"/>
      <c r="P47" s="34"/>
      <c r="Q47" s="34"/>
      <c r="R47" s="34"/>
      <c r="S47" s="34"/>
      <c r="T47" s="34"/>
      <c r="U47" s="34"/>
      <c r="V47" s="34"/>
      <c r="W47" s="34"/>
    </row>
    <row r="48" spans="1:23" ht="13.25" customHeight="1" x14ac:dyDescent="0.3">
      <c r="A48" s="664" t="str">
        <f>Data!A326</f>
        <v>Tine-Harrow (i.e. Lely, 20-30 ft) - MEDIUM SIZE</v>
      </c>
      <c r="B48" s="33">
        <f>Data!B326</f>
        <v>1</v>
      </c>
      <c r="C48" s="34" t="str">
        <f>Data!C326</f>
        <v>tine-harrow</v>
      </c>
      <c r="D48" s="109">
        <f>Data!D326*Data!$P$12</f>
        <v>1518.1862607730027</v>
      </c>
      <c r="E48" s="109">
        <f t="shared" ref="E48:E49" si="41">D48*B48</f>
        <v>1518.1862607730027</v>
      </c>
      <c r="F48" s="109">
        <f>IF(CP!$K$30=0,Data!I326*E48,CP!$K$30*B48)</f>
        <v>303.63725215460056</v>
      </c>
      <c r="G48" s="60">
        <f>IF(CP!$G$30=0,Data!$F$326,CP!$G$30)</f>
        <v>40</v>
      </c>
      <c r="H48" s="109">
        <f>(E48*(_int_inv_m*(1+_int_inv_m)^G48)/((1+_int_inv_m)^G48-1))-(F48*_int_inv_m/((1+_int_inv_m)^G48-1))</f>
        <v>48.321743710613426</v>
      </c>
      <c r="I48" s="675">
        <f>IF(CP!$I$30=0,Data!H326*Data!$J$271,CP!$I$30/CP!$E$30)</f>
        <v>0.02</v>
      </c>
      <c r="J48" s="109">
        <f t="shared" ref="J48:J49" si="42">E48*I48</f>
        <v>30.363725215460054</v>
      </c>
      <c r="K48" s="36">
        <f t="shared" si="28"/>
        <v>6.7999999999999996E-3</v>
      </c>
      <c r="L48" s="109">
        <f t="shared" ref="L48:L49" si="43">E48*K48</f>
        <v>10.323666573256418</v>
      </c>
      <c r="M48" s="109">
        <f t="shared" ref="M48:M49" si="44">H48+J48+L48</f>
        <v>89.009135499329901</v>
      </c>
      <c r="N48" s="34"/>
      <c r="O48" s="34"/>
      <c r="P48" s="34"/>
      <c r="Q48" s="34"/>
      <c r="R48" s="34"/>
      <c r="S48" s="34"/>
      <c r="T48" s="34"/>
      <c r="U48" s="34"/>
      <c r="V48" s="34"/>
      <c r="W48" s="34"/>
    </row>
    <row r="49" spans="1:23" ht="13.25" customHeight="1" x14ac:dyDescent="0.3">
      <c r="A49" s="664" t="str">
        <f>Data!A327</f>
        <v>Tine-Harrow (i.e. Lely, 20-30 ft) - LARGE SIZE</v>
      </c>
      <c r="B49" s="33">
        <f>Data!B327</f>
        <v>0</v>
      </c>
      <c r="C49" s="34" t="str">
        <f>Data!C327</f>
        <v>tine-harrow</v>
      </c>
      <c r="D49" s="109">
        <f>Data!D327*Data!$P$12</f>
        <v>1518.1862607730027</v>
      </c>
      <c r="E49" s="109">
        <f t="shared" si="41"/>
        <v>0</v>
      </c>
      <c r="F49" s="109">
        <f>IF(CP!$K$30=0,Data!I327*E49,CP!$K$30*B49)</f>
        <v>0</v>
      </c>
      <c r="G49" s="60">
        <f>IF(CP!$G$30=0,Data!$F$327,CP!$G$30)</f>
        <v>40</v>
      </c>
      <c r="H49" s="109">
        <f>(E49*(_int_inv_l*(1+_int_inv_l)^G49)/((1+_int_inv_l)^G49-1))-(F49*_int_inv_l/((1+_int_inv_l)^G49-1))</f>
        <v>0</v>
      </c>
      <c r="I49" s="675">
        <f>IF(CP!$I$30=0,Data!H327*Data!$J$271,CP!$I$30/CP!$E$30)</f>
        <v>0.02</v>
      </c>
      <c r="J49" s="109">
        <f t="shared" si="42"/>
        <v>0</v>
      </c>
      <c r="K49" s="36">
        <f t="shared" si="28"/>
        <v>6.7999999999999996E-3</v>
      </c>
      <c r="L49" s="109">
        <f t="shared" si="43"/>
        <v>0</v>
      </c>
      <c r="M49" s="109">
        <f t="shared" si="44"/>
        <v>0</v>
      </c>
      <c r="N49" s="34"/>
      <c r="O49" s="34"/>
      <c r="P49" s="34"/>
      <c r="Q49" s="34"/>
      <c r="R49" s="34"/>
      <c r="S49" s="34"/>
      <c r="T49" s="34"/>
      <c r="U49" s="34"/>
      <c r="V49" s="34"/>
      <c r="W49" s="34"/>
    </row>
    <row r="50" spans="1:23" ht="13.2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row>
    <row r="51" spans="1:23" x14ac:dyDescent="0.3">
      <c r="A51" s="14" t="s">
        <v>4</v>
      </c>
      <c r="B51" s="33"/>
      <c r="C51" s="34"/>
      <c r="D51" s="109"/>
      <c r="E51" s="109"/>
      <c r="F51" s="109"/>
      <c r="G51" s="34"/>
      <c r="H51" s="109"/>
      <c r="I51" s="35"/>
      <c r="J51" s="109"/>
      <c r="K51" s="35"/>
      <c r="L51" s="109"/>
      <c r="M51" s="109"/>
      <c r="N51" s="34"/>
      <c r="O51" s="34"/>
      <c r="P51" s="34"/>
      <c r="Q51" s="34"/>
      <c r="R51" s="34"/>
      <c r="S51" s="34"/>
      <c r="T51" s="34"/>
      <c r="U51" s="34"/>
      <c r="V51" s="34"/>
    </row>
    <row r="52" spans="1:23" x14ac:dyDescent="0.3">
      <c r="A52" s="6" t="str">
        <f>Data!A334</f>
        <v xml:space="preserve">Fertilizer Spreader </v>
      </c>
      <c r="B52" s="33">
        <f>Data!B334</f>
        <v>0</v>
      </c>
      <c r="C52" s="34" t="str">
        <f>Data!C334</f>
        <v>fert.spread</v>
      </c>
      <c r="D52" s="109">
        <f>Data!D334*Data!$N$12</f>
        <v>978.76797875468105</v>
      </c>
      <c r="E52" s="109">
        <f>D52*B52</f>
        <v>0</v>
      </c>
      <c r="F52" s="109">
        <f>Data!I334*E52</f>
        <v>0</v>
      </c>
      <c r="G52" s="60">
        <f>Data!F334</f>
        <v>10</v>
      </c>
      <c r="H52" s="109">
        <f t="shared" ref="H52" si="45">(E52*(_int_inv_*(1+_int_inv_)^G52)/((1+_int_inv_)^G52-1))-(F52*_int_inv_/((1+_int_inv_)^G52-1))</f>
        <v>0</v>
      </c>
      <c r="I52" s="37">
        <f>Data!H334*Data!$J$271</f>
        <v>4.4999999999999998E-2</v>
      </c>
      <c r="J52" s="109">
        <f>E52*I52</f>
        <v>0</v>
      </c>
      <c r="K52" s="36">
        <f t="shared" ref="K52:K61" si="46">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Data!D335*Data!$N$12*CP!$H$5</f>
        <v>1951.8593631248584</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6"/>
        <v>6.7999999999999996E-3</v>
      </c>
      <c r="L53" s="109">
        <f>E53*K53</f>
        <v>0</v>
      </c>
      <c r="M53" s="109">
        <f>H53+J53+L53</f>
        <v>0</v>
      </c>
    </row>
    <row r="54" spans="1:23" ht="13.25" customHeight="1" x14ac:dyDescent="0.3">
      <c r="A54" s="664" t="str">
        <f>Data!A336</f>
        <v>Spin Spreader (Chilean nitrate, 50 ft swath) - MEDIUM SIZE</v>
      </c>
      <c r="B54" s="33">
        <f>Data!B336</f>
        <v>1</v>
      </c>
      <c r="C54" s="34" t="str">
        <f>Data!C336</f>
        <v>spin spread</v>
      </c>
      <c r="D54" s="109">
        <f>Data!D336*Data!$N$12</f>
        <v>1951.8593631248584</v>
      </c>
      <c r="E54" s="109">
        <f t="shared" ref="E54:E55" si="47">D54*B54</f>
        <v>1951.8593631248584</v>
      </c>
      <c r="F54" s="109">
        <f>IF(CP!$K$32=0,Data!I336*E54,CP!$K$32*B54)</f>
        <v>390.37187262497173</v>
      </c>
      <c r="G54" s="60">
        <f>IF(CP!$G$32=0,Data!$F$336,CP!$G$32)</f>
        <v>40</v>
      </c>
      <c r="H54" s="109">
        <f>(E54*(_int_inv_m*(1+_int_inv_m)^G54)/((1+_int_inv_m)^G54-1))-(F54*_int_inv_m/((1+_int_inv_m)^G54-1))</f>
        <v>62.124951556377404</v>
      </c>
      <c r="I54" s="675">
        <f>IF(CP!$I$32=0,Data!H336*Data!$J$271,CP!$I$32/CP!$E$32)</f>
        <v>0.02</v>
      </c>
      <c r="J54" s="109">
        <f t="shared" ref="J54:J55" si="48">E54*I54</f>
        <v>39.03718726249717</v>
      </c>
      <c r="K54" s="36">
        <f t="shared" si="46"/>
        <v>6.7999999999999996E-3</v>
      </c>
      <c r="L54" s="109">
        <f t="shared" ref="L54:L55" si="49">E54*K54</f>
        <v>13.272643669249037</v>
      </c>
      <c r="M54" s="109">
        <f t="shared" ref="M54:M55" si="50">H54+J54+L54</f>
        <v>114.43478248812362</v>
      </c>
    </row>
    <row r="55" spans="1:23" ht="13.25" customHeight="1" x14ac:dyDescent="0.3">
      <c r="A55" s="664" t="str">
        <f>Data!A337</f>
        <v>Spin Spreader (Chilean nitrate, 50 ft swath) - LARGE SIZE</v>
      </c>
      <c r="B55" s="33">
        <f>Data!B337</f>
        <v>0</v>
      </c>
      <c r="C55" s="34" t="str">
        <f>Data!C337</f>
        <v>spin spread</v>
      </c>
      <c r="D55" s="109">
        <f>Data!D337*Data!$N$12</f>
        <v>1951.8593631248584</v>
      </c>
      <c r="E55" s="109">
        <f t="shared" si="47"/>
        <v>0</v>
      </c>
      <c r="F55" s="109">
        <f>IF(CP!$K$32=0,Data!I337*E55,CP!$K$32*B55)</f>
        <v>0</v>
      </c>
      <c r="G55" s="60">
        <f>IF(CP!$G$32=0,Data!$F$337,CP!$G$32)</f>
        <v>40</v>
      </c>
      <c r="H55" s="109">
        <f>(E55*(_int_inv_l*(1+_int_inv_l)^G55)/((1+_int_inv_l)^G55-1))-(F55*_int_inv_l/((1+_int_inv_l)^G55-1))</f>
        <v>0</v>
      </c>
      <c r="I55" s="675">
        <f>IF(CP!$I$32=0,Data!H337*Data!$J$271,CP!$I$32/CP!$E$32)</f>
        <v>0.02</v>
      </c>
      <c r="J55" s="109">
        <f t="shared" si="48"/>
        <v>0</v>
      </c>
      <c r="K55" s="36">
        <f t="shared" si="46"/>
        <v>6.7999999999999996E-3</v>
      </c>
      <c r="L55" s="109">
        <f t="shared" si="49"/>
        <v>0</v>
      </c>
      <c r="M55" s="109">
        <f t="shared" si="50"/>
        <v>0</v>
      </c>
    </row>
    <row r="56" spans="1:23" x14ac:dyDescent="0.3">
      <c r="A56" s="664" t="str">
        <f>Data!A338</f>
        <v>Manure Spreader - SMALL SIZE</v>
      </c>
      <c r="B56" s="33">
        <f>Data!B338</f>
        <v>0</v>
      </c>
      <c r="C56" s="34" t="str">
        <f>Data!C338</f>
        <v>man.spread</v>
      </c>
      <c r="D56" s="109">
        <f>Data!D338*Data!$N$12*CP!$H$5</f>
        <v>3021.0050113485827</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6"/>
        <v>6.7999999999999996E-3</v>
      </c>
      <c r="L56" s="109">
        <f>E56*K56</f>
        <v>0</v>
      </c>
      <c r="M56" s="109">
        <f>H56+J56+L56</f>
        <v>0</v>
      </c>
    </row>
    <row r="57" spans="1:23" x14ac:dyDescent="0.3">
      <c r="A57" s="664" t="str">
        <f>Data!A339</f>
        <v>Manure Spreader - MEDIUM SIZE</v>
      </c>
      <c r="B57" s="33">
        <f>Data!B339</f>
        <v>1</v>
      </c>
      <c r="C57" s="34" t="str">
        <f>Data!C339</f>
        <v>man.spread</v>
      </c>
      <c r="D57" s="109">
        <f>Data!D339*Data!$N$12</f>
        <v>3021.0050113485827</v>
      </c>
      <c r="E57" s="109">
        <f t="shared" ref="E57:E58" si="51">D57*B57</f>
        <v>3021.0050113485827</v>
      </c>
      <c r="F57" s="109">
        <f>IF(CP!$K$33=0,Data!I339*E57,CP!$K$33*B57)</f>
        <v>755.25125283714567</v>
      </c>
      <c r="G57" s="60">
        <f>IF(CP!$G$33=0,Data!$F$339,CP!$G$33)</f>
        <v>40</v>
      </c>
      <c r="H57" s="109">
        <f>(E57*(_int_inv_m*(1+_int_inv_m)^G57)/((1+_int_inv_m)^G57-1))-(F57*_int_inv_m/((1+_int_inv_m)^G57-1))</f>
        <v>93.543344151380339</v>
      </c>
      <c r="I57" s="36">
        <f>IF(CP!$I$33=0,Data!H339*Data!$J$271,CP!$I$33/CP!$E$33)</f>
        <v>2.2825263157894699E-2</v>
      </c>
      <c r="J57" s="109">
        <f t="shared" ref="J57:J58" si="52">E57*I57</f>
        <v>68.955234385350067</v>
      </c>
      <c r="K57" s="36">
        <f t="shared" si="46"/>
        <v>6.7999999999999996E-3</v>
      </c>
      <c r="L57" s="109">
        <f t="shared" ref="L57:L58" si="53">E57*K57</f>
        <v>20.542834077170362</v>
      </c>
      <c r="M57" s="109">
        <f t="shared" ref="M57:M58" si="54">H57+J57+L57</f>
        <v>183.04141261390077</v>
      </c>
    </row>
    <row r="58" spans="1:23" x14ac:dyDescent="0.3">
      <c r="A58" s="664" t="str">
        <f>Data!A340</f>
        <v>Manure Spreader - LARGE SIZE</v>
      </c>
      <c r="B58" s="33">
        <f>Data!B340</f>
        <v>0</v>
      </c>
      <c r="C58" s="34" t="str">
        <f>Data!C340</f>
        <v>man.spread</v>
      </c>
      <c r="D58" s="109">
        <f>Data!D340*Data!$N$12</f>
        <v>3021.0050113485827</v>
      </c>
      <c r="E58" s="109">
        <f t="shared" si="51"/>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52"/>
        <v>0</v>
      </c>
      <c r="K58" s="36">
        <f t="shared" si="46"/>
        <v>6.7999999999999996E-3</v>
      </c>
      <c r="L58" s="109">
        <f t="shared" si="53"/>
        <v>0</v>
      </c>
      <c r="M58" s="109">
        <f t="shared" si="54"/>
        <v>0</v>
      </c>
    </row>
    <row r="59" spans="1:23" ht="13.25" customHeight="1" x14ac:dyDescent="0.3">
      <c r="A59" s="664" t="str">
        <f>Data!A343</f>
        <v>Grain Drill (Presswheel, 16 ft) - SMALL SIZE</v>
      </c>
      <c r="B59" s="33">
        <f>Data!B343</f>
        <v>0</v>
      </c>
      <c r="C59" s="34" t="str">
        <f>Data!C343</f>
        <v>grain drill</v>
      </c>
      <c r="D59" s="109">
        <f>Data!D343*Data!$AR$12*CP!$H$5</f>
        <v>6680.0195474012116</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6"/>
        <v>6.7999999999999996E-3</v>
      </c>
      <c r="L59" s="109">
        <f>E59*K59</f>
        <v>0</v>
      </c>
      <c r="M59" s="109">
        <f>H59+J59+L59</f>
        <v>0</v>
      </c>
      <c r="N59" s="34"/>
      <c r="O59" s="34"/>
      <c r="P59" s="34"/>
      <c r="Q59" s="34"/>
      <c r="R59" s="34"/>
      <c r="S59" s="34"/>
      <c r="T59" s="34"/>
      <c r="U59" s="34"/>
      <c r="V59" s="34"/>
    </row>
    <row r="60" spans="1:23" ht="13.25" customHeight="1" x14ac:dyDescent="0.3">
      <c r="A60" s="664" t="str">
        <f>Data!A344</f>
        <v>Grain Drill (Presswheel, 25 ft) - MEDIUM SIZE</v>
      </c>
      <c r="B60" s="33">
        <f>Data!B344</f>
        <v>1</v>
      </c>
      <c r="C60" s="34" t="str">
        <f>Data!C344</f>
        <v>grain drill</v>
      </c>
      <c r="D60" s="109">
        <f>Data!D344*Data!$AR$12</f>
        <v>13663.676346957023</v>
      </c>
      <c r="E60" s="109">
        <f t="shared" ref="E60:E61" si="55">D60*B60</f>
        <v>13663.676346957023</v>
      </c>
      <c r="F60" s="109">
        <f>IF(CP!K35=0,Data!I344*E60,CP!K35*B60)</f>
        <v>5465.4705387828099</v>
      </c>
      <c r="G60" s="60">
        <f>IF(CP!$G$35=0,Data!$F$344,CP!$G$35)</f>
        <v>40</v>
      </c>
      <c r="H60" s="109">
        <f>(E60*(_int_inv_m*(1+_int_inv_m)^G60)/((1+_int_inv_m)^G60-1))-(F60*_int_inv_m/((1+_int_inv_m)^G60-1))</f>
        <v>387.65831360794721</v>
      </c>
      <c r="I60" s="36">
        <f>IF(CP!I35=0,Data!H344*Data!$J$271,CP!I35/CP!E35)</f>
        <v>2.3673333333333331E-2</v>
      </c>
      <c r="J60" s="109">
        <f t="shared" ref="J60:J61" si="56">E60*I60</f>
        <v>323.46476472029588</v>
      </c>
      <c r="K60" s="36">
        <f t="shared" si="46"/>
        <v>6.7999999999999996E-3</v>
      </c>
      <c r="L60" s="109">
        <f t="shared" ref="L60:L61" si="57">E60*K60</f>
        <v>92.912999159307759</v>
      </c>
      <c r="M60" s="109">
        <f t="shared" ref="M60:M61" si="58">H60+J60+L60</f>
        <v>804.03607748755087</v>
      </c>
      <c r="N60" s="34"/>
      <c r="O60" s="34"/>
      <c r="P60" s="34"/>
      <c r="Q60" s="34"/>
      <c r="R60" s="34"/>
      <c r="S60" s="34"/>
      <c r="T60" s="34"/>
      <c r="U60" s="34"/>
      <c r="V60" s="34"/>
    </row>
    <row r="61" spans="1:23" ht="13.25" customHeight="1" x14ac:dyDescent="0.3">
      <c r="A61" s="664" t="str">
        <f>Data!A345</f>
        <v>Grain Drill (Presswheel, 30 ft) - LARGE SIZE</v>
      </c>
      <c r="B61" s="33">
        <f>Data!B345</f>
        <v>0</v>
      </c>
      <c r="C61" s="34" t="str">
        <f>Data!C345</f>
        <v>grain drill</v>
      </c>
      <c r="D61" s="109">
        <f>Data!D345*Data!$AR$12</f>
        <v>17307.323372812229</v>
      </c>
      <c r="E61" s="109">
        <f t="shared" si="55"/>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6"/>
        <v>0</v>
      </c>
      <c r="K61" s="36">
        <f t="shared" si="46"/>
        <v>6.7999999999999996E-3</v>
      </c>
      <c r="L61" s="109">
        <f t="shared" si="57"/>
        <v>0</v>
      </c>
      <c r="M61" s="109">
        <f t="shared" si="58"/>
        <v>0</v>
      </c>
      <c r="N61" s="34"/>
      <c r="O61" s="34"/>
      <c r="P61" s="34"/>
      <c r="Q61" s="34"/>
      <c r="R61" s="34"/>
      <c r="S61" s="34"/>
      <c r="T61" s="34"/>
      <c r="U61" s="34"/>
      <c r="V61"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row>
    <row r="64" spans="1:23" ht="12.75" customHeight="1" x14ac:dyDescent="0.3">
      <c r="A64" s="6" t="str">
        <f>Data!A353</f>
        <v>Sprayer (Tractor Mounted Boom, 50 ft) - SMALL SIZE</v>
      </c>
      <c r="B64" s="33">
        <f>Data!B353</f>
        <v>0</v>
      </c>
      <c r="C64" s="34" t="str">
        <f>Data!C353</f>
        <v>sprayer</v>
      </c>
      <c r="D64" s="109">
        <f>Data!D353*Data!$P$12*CP!$H$5</f>
        <v>6376.3822952466107</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c r="S64" s="34"/>
      <c r="T64" s="34"/>
      <c r="U64" s="34"/>
    </row>
    <row r="65" spans="1:22" ht="12.75" customHeight="1" x14ac:dyDescent="0.3">
      <c r="A65" s="6" t="str">
        <f>Data!A354</f>
        <v>Sprayer (Tractor Mounted Boom, 90 ft) - MEDIUM SIZE</v>
      </c>
      <c r="B65" s="33">
        <f>Data!B354</f>
        <v>0</v>
      </c>
      <c r="C65" s="34" t="str">
        <f>Data!C354</f>
        <v>sprayer</v>
      </c>
      <c r="D65" s="109">
        <f>Data!D354*Data!$P$12</f>
        <v>13663.676346957023</v>
      </c>
      <c r="E65" s="109">
        <f t="shared" ref="E65:E66" si="59">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60">E65*I65</f>
        <v>0</v>
      </c>
      <c r="K65" s="36">
        <f>_tax_ins_</f>
        <v>6.7999999999999996E-3</v>
      </c>
      <c r="L65" s="109">
        <f t="shared" ref="L65:L66" si="61">E65*K65</f>
        <v>0</v>
      </c>
      <c r="M65" s="109">
        <f t="shared" ref="M65:M66" si="62">H65+J65+L65</f>
        <v>0</v>
      </c>
      <c r="N65" s="34"/>
      <c r="O65" s="34"/>
      <c r="P65" s="34"/>
      <c r="Q65" s="34"/>
      <c r="R65" s="34"/>
      <c r="S65" s="34"/>
      <c r="T65" s="34"/>
      <c r="U65" s="34"/>
    </row>
    <row r="66" spans="1:22" ht="12.75" customHeight="1" x14ac:dyDescent="0.3">
      <c r="A66" s="6" t="str">
        <f>Data!A355</f>
        <v>Sprayer (Self Propelled, 80 ft) - LARGE SIZE</v>
      </c>
      <c r="B66" s="33">
        <f>Data!B355</f>
        <v>0</v>
      </c>
      <c r="C66" s="34" t="str">
        <f>Data!C355</f>
        <v>sprayer</v>
      </c>
      <c r="D66" s="109">
        <f>Data!D355*Data!$P$12</f>
        <v>71051.117004176529</v>
      </c>
      <c r="E66" s="109">
        <f t="shared" si="59"/>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60"/>
        <v>0</v>
      </c>
      <c r="K66" s="36">
        <f>_tax_ins_</f>
        <v>6.7999999999999996E-3</v>
      </c>
      <c r="L66" s="109">
        <f t="shared" si="61"/>
        <v>0</v>
      </c>
      <c r="M66" s="109">
        <f t="shared" si="62"/>
        <v>0</v>
      </c>
      <c r="N66" s="34"/>
      <c r="O66" s="34"/>
      <c r="P66" s="34"/>
      <c r="Q66" s="34"/>
      <c r="R66" s="34"/>
      <c r="S66" s="34"/>
      <c r="T66" s="34"/>
      <c r="U66" s="34"/>
    </row>
    <row r="67" spans="1:22" x14ac:dyDescent="0.3">
      <c r="B67" s="33"/>
      <c r="C67" s="34"/>
      <c r="D67" s="109"/>
      <c r="E67" s="109"/>
      <c r="F67" s="109"/>
      <c r="G67" s="34"/>
      <c r="H67" s="109"/>
      <c r="I67" s="675"/>
      <c r="J67" s="109"/>
      <c r="K67" s="36"/>
      <c r="L67" s="109"/>
      <c r="M67" s="109"/>
      <c r="N67" s="34"/>
      <c r="O67" s="34"/>
      <c r="P67" s="34"/>
      <c r="Q67" s="34"/>
      <c r="R67" s="34"/>
      <c r="S67" s="34"/>
      <c r="T67" s="34"/>
      <c r="U67" s="34"/>
      <c r="V67" s="34"/>
    </row>
    <row r="68" spans="1:22" x14ac:dyDescent="0.3">
      <c r="A68" s="14" t="s">
        <v>9</v>
      </c>
      <c r="B68" s="33"/>
      <c r="C68" s="34"/>
      <c r="D68" s="109"/>
      <c r="E68" s="109"/>
      <c r="F68" s="109"/>
      <c r="G68" s="34"/>
      <c r="H68" s="109"/>
      <c r="I68" s="675"/>
      <c r="J68" s="109"/>
      <c r="K68" s="36"/>
      <c r="L68" s="109"/>
      <c r="M68" s="109"/>
      <c r="N68" s="34"/>
      <c r="O68" s="34"/>
      <c r="P68" s="34"/>
      <c r="Q68" s="34"/>
      <c r="R68" s="34"/>
      <c r="S68" s="34"/>
      <c r="T68" s="34"/>
      <c r="U68" s="34"/>
      <c r="V68" s="34"/>
    </row>
    <row r="69" spans="1:22" x14ac:dyDescent="0.3">
      <c r="A69" s="664" t="str">
        <f>Data!A381</f>
        <v>Combine (IHC) - SMALL SIZE</v>
      </c>
      <c r="B69" s="33">
        <f>Data!B381</f>
        <v>0</v>
      </c>
      <c r="C69" s="34" t="str">
        <f>Data!C381</f>
        <v>combine</v>
      </c>
      <c r="D69" s="109">
        <f>Data!D381*Data!$AH$12*CP!$H$5</f>
        <v>42964.671179875972</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63">_tax_ins_</f>
        <v>6.7999999999999996E-3</v>
      </c>
      <c r="L69" s="109">
        <f>E69*K69</f>
        <v>0</v>
      </c>
      <c r="M69" s="109">
        <f>H69+J69+L69</f>
        <v>0</v>
      </c>
      <c r="N69" s="34"/>
      <c r="O69" s="34"/>
      <c r="P69" s="34"/>
      <c r="Q69" s="34"/>
      <c r="R69" s="34"/>
      <c r="S69" s="34"/>
      <c r="T69" s="34"/>
      <c r="U69" s="34"/>
      <c r="V69" s="34"/>
    </row>
    <row r="70" spans="1:22" x14ac:dyDescent="0.3">
      <c r="A70" s="664" t="str">
        <f>Data!A382</f>
        <v>Combine (IHC) - MEDIUM SIZE</v>
      </c>
      <c r="B70" s="33">
        <f>Data!B382</f>
        <v>1</v>
      </c>
      <c r="C70" s="34" t="str">
        <f>Data!C382</f>
        <v>combine</v>
      </c>
      <c r="D70" s="109">
        <f>Data!D382*Data!$AH$12</f>
        <v>64447.006769813961</v>
      </c>
      <c r="E70" s="109">
        <f t="shared" ref="E70:E71" si="64">D70*B70</f>
        <v>64447.006769813961</v>
      </c>
      <c r="F70" s="109">
        <f>IF(CP!K49=0,Data!I382*E70,CP!K49*B70)</f>
        <v>12244.931286264653</v>
      </c>
      <c r="G70" s="60">
        <f>IF(CP!$G$49=0,Data!$F$382,CP!$G$49)</f>
        <v>40</v>
      </c>
      <c r="H70" s="109">
        <f>(E70*(_int_inv_m*(1+_int_inv_m)^G70)/((1+_int_inv_m)^G70-1))-(F70*_int_inv_m/((1+_int_inv_m)^G70-1))</f>
        <v>2062.398169248776</v>
      </c>
      <c r="I70" s="37">
        <f>IF(CP!I49=0,Data!H382*Data!$J$271,CP!I49/CP!E49)</f>
        <v>2.8219081272084806E-2</v>
      </c>
      <c r="J70" s="109">
        <f t="shared" ref="J70:J71" si="65">E70*I70</f>
        <v>1818.6353217799799</v>
      </c>
      <c r="K70" s="36">
        <f t="shared" si="63"/>
        <v>6.7999999999999996E-3</v>
      </c>
      <c r="L70" s="109">
        <f t="shared" ref="L70:L71" si="66">E70*K70</f>
        <v>438.2396460347349</v>
      </c>
      <c r="M70" s="109">
        <f t="shared" ref="M70:M71" si="67">H70+J70+L70</f>
        <v>4319.2731370634901</v>
      </c>
      <c r="N70" s="34"/>
      <c r="O70" s="34"/>
      <c r="P70" s="34"/>
      <c r="Q70" s="34"/>
      <c r="R70" s="34"/>
      <c r="S70" s="34"/>
      <c r="T70" s="34"/>
      <c r="U70" s="34"/>
      <c r="V70" s="34"/>
    </row>
    <row r="71" spans="1:22" x14ac:dyDescent="0.3">
      <c r="A71" s="664" t="str">
        <f>Data!A383</f>
        <v>Combine (IHC) - LARGE SIZE</v>
      </c>
      <c r="B71" s="33">
        <f>Data!B383</f>
        <v>0</v>
      </c>
      <c r="C71" s="34" t="str">
        <f>Data!C383</f>
        <v>combine</v>
      </c>
      <c r="D71" s="109">
        <f>Data!D383*Data!$AH$12</f>
        <v>85929.342359751943</v>
      </c>
      <c r="E71" s="109">
        <f t="shared" si="64"/>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5"/>
        <v>0</v>
      </c>
      <c r="K71" s="36">
        <f t="shared" si="63"/>
        <v>6.7999999999999996E-3</v>
      </c>
      <c r="L71" s="109">
        <f t="shared" si="66"/>
        <v>0</v>
      </c>
      <c r="M71" s="109">
        <f t="shared" si="67"/>
        <v>0</v>
      </c>
      <c r="N71" s="34"/>
      <c r="O71" s="34"/>
      <c r="P71" s="34"/>
      <c r="Q71" s="34"/>
      <c r="R71" s="34"/>
      <c r="S71" s="34"/>
      <c r="T71" s="34"/>
      <c r="U71" s="34"/>
      <c r="V71" s="34"/>
    </row>
    <row r="72" spans="1:22" x14ac:dyDescent="0.3">
      <c r="A72" s="664" t="str">
        <f>Data!A385</f>
        <v xml:space="preserve">     Combine small grain head (15 ft) - SMALL SIZE</v>
      </c>
      <c r="B72" s="33">
        <f>Data!B385</f>
        <v>0</v>
      </c>
      <c r="C72" s="34" t="str">
        <f>Data!C385</f>
        <v>sm.gr.hd.</v>
      </c>
      <c r="D72" s="109">
        <f>Data!D385*Data!$AJ$12*CP!$H$5</f>
        <v>12589.492892155336</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63"/>
        <v>6.7999999999999996E-3</v>
      </c>
      <c r="L72" s="109">
        <f>E72*K72</f>
        <v>0</v>
      </c>
      <c r="M72" s="109">
        <f>H72+J72+L72</f>
        <v>0</v>
      </c>
      <c r="N72" s="34"/>
      <c r="O72" s="34"/>
      <c r="P72" s="34"/>
      <c r="Q72" s="34"/>
      <c r="R72" s="34"/>
      <c r="S72" s="34"/>
      <c r="T72" s="34"/>
      <c r="U72" s="34"/>
      <c r="V72" s="34"/>
    </row>
    <row r="73" spans="1:22" x14ac:dyDescent="0.3">
      <c r="A73" s="664" t="str">
        <f>Data!A386</f>
        <v xml:space="preserve">     Combine small grain head (15 ft) - MEDIUM SIZE</v>
      </c>
      <c r="B73" s="33">
        <f>Data!B386</f>
        <v>1</v>
      </c>
      <c r="C73" s="34" t="str">
        <f>Data!C386</f>
        <v>sm.gr.hd.</v>
      </c>
      <c r="D73" s="109">
        <f>Data!D386*Data!$AJ$12</f>
        <v>16785.990522873784</v>
      </c>
      <c r="E73" s="109">
        <f t="shared" ref="E73:E74" si="68">D73*B73</f>
        <v>16785.990522873784</v>
      </c>
      <c r="F73" s="109">
        <f>IF(CP!K52=0,Data!I386*E73,CP!K52*B73)</f>
        <v>3189.3381993460189</v>
      </c>
      <c r="G73" s="60">
        <f>IF(CP!$G$51=0,Data!$F$386,CP!$G$51)</f>
        <v>50</v>
      </c>
      <c r="H73" s="109">
        <f>(E73*(_int_inv_m*(1+_int_inv_m)^G73)/((1+_int_inv_m)^G73-1))-(F73*_int_inv_m/((1+_int_inv_m)^G73-1))</f>
        <v>472.10659769655518</v>
      </c>
      <c r="I73" s="37">
        <f>IF(CP!I52=0,Data!H386*Data!$J$271,CP!I52/CP!E52)</f>
        <v>2.6278604651162791E-2</v>
      </c>
      <c r="J73" s="109">
        <f t="shared" ref="J73:J74" si="69">E73*I73</f>
        <v>441.11240862876554</v>
      </c>
      <c r="K73" s="36">
        <f t="shared" si="63"/>
        <v>6.7999999999999996E-3</v>
      </c>
      <c r="L73" s="109">
        <f t="shared" ref="L73:L74" si="70">E73*K73</f>
        <v>114.14473555554173</v>
      </c>
      <c r="M73" s="109">
        <f t="shared" ref="M73:M74" si="71">H73+J73+L73</f>
        <v>1027.3637418808626</v>
      </c>
      <c r="N73" s="34"/>
      <c r="O73" s="34"/>
      <c r="P73" s="34"/>
      <c r="Q73" s="34"/>
      <c r="R73" s="34"/>
      <c r="S73" s="34"/>
      <c r="T73" s="34"/>
      <c r="U73" s="34"/>
      <c r="V73" s="34"/>
    </row>
    <row r="74" spans="1:22" x14ac:dyDescent="0.3">
      <c r="A74" s="664" t="str">
        <f>Data!A387</f>
        <v xml:space="preserve">     Combine small grain head (20 ft) - LARGE SIZE</v>
      </c>
      <c r="B74" s="33">
        <f>Data!B387</f>
        <v>0</v>
      </c>
      <c r="C74" s="34" t="str">
        <f>Data!C387</f>
        <v>sm.gr.hd.</v>
      </c>
      <c r="D74" s="109">
        <f>Data!D387*Data!$AJ$12</f>
        <v>21860.824866998413</v>
      </c>
      <c r="E74" s="109">
        <f t="shared" si="68"/>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9"/>
        <v>0</v>
      </c>
      <c r="K74" s="36">
        <f t="shared" si="63"/>
        <v>6.7999999999999996E-3</v>
      </c>
      <c r="L74" s="109">
        <f t="shared" si="70"/>
        <v>0</v>
      </c>
      <c r="M74" s="109">
        <f t="shared" si="71"/>
        <v>0</v>
      </c>
      <c r="N74" s="34"/>
      <c r="O74" s="34"/>
      <c r="P74" s="34"/>
      <c r="Q74" s="34"/>
      <c r="R74" s="34"/>
      <c r="S74" s="34"/>
      <c r="T74" s="34"/>
      <c r="U74" s="34"/>
      <c r="V74" s="34"/>
    </row>
    <row r="75" spans="1:22" x14ac:dyDescent="0.3">
      <c r="A75" s="19" t="str">
        <f>Data!A378</f>
        <v xml:space="preserve">Raker </v>
      </c>
      <c r="B75" s="163">
        <f>Data!B378*Data!$B$29</f>
        <v>0</v>
      </c>
      <c r="C75" s="34" t="str">
        <f>Data!C378</f>
        <v>raker</v>
      </c>
      <c r="D75" s="109">
        <f>Data!D378*Data!$AF$12</f>
        <v>3622.2273069920325</v>
      </c>
      <c r="E75" s="109">
        <f>D75*B75</f>
        <v>0</v>
      </c>
      <c r="F75" s="109">
        <f>Data!I378*E75</f>
        <v>0</v>
      </c>
      <c r="G75" s="60">
        <f>Data!F378</f>
        <v>50</v>
      </c>
      <c r="H75" s="109">
        <f t="shared" ref="H75:H77" si="72">(E75*(_int_inv_*(1+_int_inv_)^G75)/((1+_int_inv_)^G75-1))-(F75*_int_inv_/((1+_int_inv_)^G75-1))</f>
        <v>0</v>
      </c>
      <c r="I75" s="164">
        <f>Data!H378*Data!$J$271</f>
        <v>4.4999999999999998E-2</v>
      </c>
      <c r="J75" s="109">
        <f>E75*I75</f>
        <v>0</v>
      </c>
      <c r="K75" s="36">
        <f t="shared" si="63"/>
        <v>6.7999999999999996E-3</v>
      </c>
      <c r="L75" s="109">
        <f>E75*K75</f>
        <v>0</v>
      </c>
      <c r="M75" s="109">
        <f>H75+J75+L75</f>
        <v>0</v>
      </c>
    </row>
    <row r="76" spans="1:22" x14ac:dyDescent="0.3">
      <c r="A76" s="19" t="str">
        <f>Data!A379</f>
        <v>Baler (Round)</v>
      </c>
      <c r="B76" s="163">
        <f>Data!B379*Data!$B$29*Data!$C$29</f>
        <v>0</v>
      </c>
      <c r="C76" s="34" t="str">
        <f>Data!C379</f>
        <v>round baler</v>
      </c>
      <c r="D76" s="109">
        <f>Data!D379*Data!$AF$12</f>
        <v>8150.0114407320734</v>
      </c>
      <c r="E76" s="109">
        <f>D76*B76</f>
        <v>0</v>
      </c>
      <c r="F76" s="109">
        <f>Data!I379*E76</f>
        <v>0</v>
      </c>
      <c r="G76" s="60">
        <f>Data!F379</f>
        <v>40</v>
      </c>
      <c r="H76" s="109">
        <f t="shared" si="72"/>
        <v>0</v>
      </c>
      <c r="I76" s="164">
        <f>Data!H379*Data!$J$271</f>
        <v>4.4999999999999998E-2</v>
      </c>
      <c r="J76" s="109">
        <f>E76*I76</f>
        <v>0</v>
      </c>
      <c r="K76" s="36">
        <f t="shared" si="63"/>
        <v>6.7999999999999996E-3</v>
      </c>
      <c r="L76" s="109">
        <f>E76*K76</f>
        <v>0</v>
      </c>
      <c r="M76" s="109">
        <f>H76+J76+L76</f>
        <v>0</v>
      </c>
    </row>
    <row r="77" spans="1:22" x14ac:dyDescent="0.3">
      <c r="A77" s="19" t="str">
        <f>Data!A380</f>
        <v>Baler (Square)</v>
      </c>
      <c r="B77" s="163">
        <f>Data!B380*Data!$B$29*Data!$D$29</f>
        <v>0</v>
      </c>
      <c r="C77" s="34" t="str">
        <f>Data!C380</f>
        <v>square baler</v>
      </c>
      <c r="D77" s="109">
        <f>Data!D380*Data!$AF$12</f>
        <v>8538.1072236240761</v>
      </c>
      <c r="E77" s="109">
        <f>D77*B77</f>
        <v>0</v>
      </c>
      <c r="F77" s="109">
        <f>Data!I380*E77</f>
        <v>0</v>
      </c>
      <c r="G77" s="60">
        <f>Data!F380</f>
        <v>20</v>
      </c>
      <c r="H77" s="109">
        <f t="shared" si="72"/>
        <v>0</v>
      </c>
      <c r="I77" s="164">
        <f>Data!H380*Data!$J$271</f>
        <v>4.4999999999999998E-2</v>
      </c>
      <c r="J77" s="109">
        <f>E77*I77</f>
        <v>0</v>
      </c>
      <c r="K77" s="36">
        <f t="shared" si="63"/>
        <v>6.7999999999999996E-3</v>
      </c>
      <c r="L77" s="109">
        <f>E77*K77</f>
        <v>0</v>
      </c>
      <c r="M77" s="109">
        <f>H77+J77+L77</f>
        <v>0</v>
      </c>
    </row>
    <row r="78" spans="1:22" x14ac:dyDescent="0.3">
      <c r="A78" s="6"/>
      <c r="B78" s="33"/>
      <c r="C78" s="34"/>
      <c r="D78" s="109"/>
      <c r="E78" s="109"/>
      <c r="F78" s="109"/>
      <c r="G78" s="34"/>
      <c r="H78" s="109"/>
      <c r="I78" s="675"/>
      <c r="J78" s="109"/>
      <c r="K78" s="36"/>
      <c r="L78" s="109"/>
      <c r="M78" s="109"/>
      <c r="N78" s="34"/>
      <c r="O78" s="34"/>
      <c r="P78" s="34"/>
      <c r="Q78" s="34"/>
      <c r="R78" s="34"/>
      <c r="S78" s="34"/>
      <c r="T78" s="34"/>
      <c r="U78" s="34"/>
      <c r="V78" s="34"/>
    </row>
    <row r="79" spans="1:22" x14ac:dyDescent="0.3">
      <c r="A79" s="14" t="s">
        <v>357</v>
      </c>
      <c r="B79" s="33"/>
      <c r="C79" s="34"/>
      <c r="D79" s="109"/>
      <c r="E79" s="109"/>
      <c r="F79" s="109"/>
      <c r="G79" s="34"/>
      <c r="H79" s="109"/>
      <c r="I79" s="675"/>
      <c r="J79" s="109"/>
      <c r="K79" s="36"/>
      <c r="L79" s="109"/>
      <c r="M79" s="109"/>
    </row>
    <row r="80" spans="1:22" x14ac:dyDescent="0.3">
      <c r="A80" s="664" t="str">
        <f>Data!A395</f>
        <v>Fuel Tanks - SMALL SIZE</v>
      </c>
      <c r="B80" s="33">
        <f>Data!B395</f>
        <v>0</v>
      </c>
      <c r="C80" s="34" t="str">
        <f>Data!C395</f>
        <v>fuel tank</v>
      </c>
      <c r="D80" s="109">
        <f>Data!D395*Data!$H$12*CP!$H$5</f>
        <v>38.06504008185717</v>
      </c>
      <c r="E80" s="109">
        <f>D80*B80</f>
        <v>0</v>
      </c>
      <c r="F80" s="109">
        <f>IF(CP!K58=0,Data!I395*E80,CP!K58*B80)</f>
        <v>0</v>
      </c>
      <c r="G80" s="60">
        <f>IF(CP!$G$58=0,Data!$F$395,CP!$G$58)</f>
        <v>50</v>
      </c>
      <c r="H80" s="104">
        <f t="shared" ref="H80:H81" si="73">(E80*(_int_inv_*(1+_int_inv_)^G80)/((1+_int_inv_)^G80-1))-(F80*_int_inv_/((1+_int_inv_)^G80-1))</f>
        <v>0</v>
      </c>
      <c r="I80" s="675">
        <f>IF(CP!I58=0,Data!H395*Data!$J$271,CP!I58/CP!E58)</f>
        <v>0.02</v>
      </c>
      <c r="J80" s="104">
        <f>E80*I80</f>
        <v>0</v>
      </c>
      <c r="K80" s="36">
        <f t="shared" ref="K80:K85" si="74">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Data!D396*Data!$H$12*CP!$H$5</f>
        <v>380.65040081857171</v>
      </c>
      <c r="E81" s="109">
        <f>D81*B81</f>
        <v>0</v>
      </c>
      <c r="F81" s="109">
        <f>IF(CP!K61=0,Data!I396*E81,CP!K61*B81)</f>
        <v>0</v>
      </c>
      <c r="G81" s="60">
        <f>IF(CP!$G$61=0,Data!$F$396,CP!$G$61)</f>
        <v>50</v>
      </c>
      <c r="H81" s="109">
        <f t="shared" si="73"/>
        <v>0</v>
      </c>
      <c r="I81" s="675">
        <f>IF(CP!I61=0,Data!H396*Data!$J$271,CP!I61/CP!E61)</f>
        <v>0.02</v>
      </c>
      <c r="J81" s="109">
        <f>E81*I81</f>
        <v>0</v>
      </c>
      <c r="K81" s="36">
        <f t="shared" si="74"/>
        <v>6.7999999999999996E-3</v>
      </c>
      <c r="L81" s="104">
        <f>E81*K81</f>
        <v>0</v>
      </c>
      <c r="M81" s="109">
        <f>H81+J81+L81</f>
        <v>0</v>
      </c>
    </row>
    <row r="82" spans="1:23" x14ac:dyDescent="0.3">
      <c r="A82" s="664" t="str">
        <f>Data!A397</f>
        <v>Fuel Tanks - MEDIUM SIZE</v>
      </c>
      <c r="B82" s="33">
        <f>Data!B397</f>
        <v>1</v>
      </c>
      <c r="C82" s="34" t="str">
        <f>Data!C397</f>
        <v>fuel tank</v>
      </c>
      <c r="D82" s="109">
        <f>Data!D397*Data!$H$12</f>
        <v>190.32520040928586</v>
      </c>
      <c r="E82" s="109">
        <f t="shared" ref="E82:E85" si="75">D82*B82</f>
        <v>190.32520040928586</v>
      </c>
      <c r="F82" s="109">
        <f>IF(CP!K59=0,Data!I397*E82,CP!K59*B82)</f>
        <v>66.613820143250052</v>
      </c>
      <c r="G82" s="60">
        <f>IF(CP!$G$59=0,Data!$F$397,CP!$G$59)</f>
        <v>40</v>
      </c>
      <c r="H82" s="109">
        <f>(E82*(_int_inv_m*(1+_int_inv_m)^G82)/((1+_int_inv_m)^G82-1))-(F82*_int_inv_m/((1+_int_inv_m)^G82-1))</f>
        <v>5.5642976488103244</v>
      </c>
      <c r="I82" s="675">
        <f>IF(CP!I59=0,Data!H397*Data!$J$271,CP!I59/CP!E59)</f>
        <v>0.02</v>
      </c>
      <c r="J82" s="104">
        <f t="shared" ref="J82:J85" si="76">E82*I82</f>
        <v>3.8065040081857173</v>
      </c>
      <c r="K82" s="36">
        <f t="shared" si="74"/>
        <v>6.7999999999999996E-3</v>
      </c>
      <c r="L82" s="104">
        <f t="shared" ref="L82:L85" si="77">E82*K82</f>
        <v>1.2942113627831437</v>
      </c>
      <c r="M82" s="109">
        <f t="shared" ref="M82:M85" si="78">H82+J82+L82</f>
        <v>10.665013019779185</v>
      </c>
    </row>
    <row r="83" spans="1:23" x14ac:dyDescent="0.3">
      <c r="A83" s="664" t="str">
        <f>Data!A398</f>
        <v>Shop Tools - MEDIUM SIZE</v>
      </c>
      <c r="B83" s="33">
        <f>Data!B398</f>
        <v>1</v>
      </c>
      <c r="C83" s="34" t="str">
        <f>Data!C398</f>
        <v>shop tools</v>
      </c>
      <c r="D83" s="109">
        <f>Data!D398*Data!$H$12</f>
        <v>1903.2520040928584</v>
      </c>
      <c r="E83" s="109">
        <f t="shared" si="75"/>
        <v>1903.2520040928584</v>
      </c>
      <c r="F83" s="109">
        <f>IF(CP!K62=0,Data!I398*E83,CP!K62*B83)</f>
        <v>666.13820143250041</v>
      </c>
      <c r="G83" s="60">
        <f>IF(CP!$G$62=0,Data!$F$398,CP!$G$62)</f>
        <v>40</v>
      </c>
      <c r="H83" s="109">
        <f>(E83*(_int_inv_m*(1+_int_inv_m)^G83)/((1+_int_inv_m)^G83-1))-(F83*_int_inv_m/((1+_int_inv_m)^G83-1))</f>
        <v>55.642976488103244</v>
      </c>
      <c r="I83" s="675">
        <f>IF(CP!I62=0,Data!H398*Data!$J$271,CP!I62/CP!E62)</f>
        <v>0.02</v>
      </c>
      <c r="J83" s="109">
        <f t="shared" si="76"/>
        <v>38.06504008185717</v>
      </c>
      <c r="K83" s="36">
        <f t="shared" si="74"/>
        <v>6.7999999999999996E-3</v>
      </c>
      <c r="L83" s="104">
        <f t="shared" si="77"/>
        <v>12.942113627831437</v>
      </c>
      <c r="M83" s="109">
        <f t="shared" si="78"/>
        <v>106.65013019779185</v>
      </c>
    </row>
    <row r="84" spans="1:23" x14ac:dyDescent="0.3">
      <c r="A84" s="664" t="str">
        <f>Data!A399</f>
        <v>Fuel Tanks - LARGE SIZE</v>
      </c>
      <c r="B84" s="33">
        <f>Data!B399</f>
        <v>0</v>
      </c>
      <c r="C84" s="34" t="str">
        <f>Data!C399</f>
        <v>fuel tank</v>
      </c>
      <c r="D84" s="109">
        <f>Data!D399*Data!$H$12</f>
        <v>380.65040081857171</v>
      </c>
      <c r="E84" s="109">
        <f t="shared" si="75"/>
        <v>0</v>
      </c>
      <c r="F84" s="109">
        <f>IF(CP!K60=0,Data!I399*E84,CP!K60*B84)</f>
        <v>0</v>
      </c>
      <c r="G84" s="60">
        <f>IF(CP!$G$60=0,Data!$F$399,CP!$G$60)</f>
        <v>20</v>
      </c>
      <c r="H84" s="109">
        <f>(E84*(_int_inv_l*(1+_int_inv_l)^G84)/((1+_int_inv_l)^G84-1))-(F84*_int_inv_l/((1+_int_inv_l)^G84-1))</f>
        <v>0</v>
      </c>
      <c r="I84" s="675">
        <f>IF(CP!I60=0,Data!H399*Data!$J$271,CP!I60/CP!E60)</f>
        <v>0.02</v>
      </c>
      <c r="J84" s="104">
        <f t="shared" si="76"/>
        <v>0</v>
      </c>
      <c r="K84" s="36">
        <f t="shared" si="74"/>
        <v>6.7999999999999996E-3</v>
      </c>
      <c r="L84" s="104">
        <f t="shared" si="77"/>
        <v>0</v>
      </c>
      <c r="M84" s="109">
        <f t="shared" si="78"/>
        <v>0</v>
      </c>
    </row>
    <row r="85" spans="1:23" x14ac:dyDescent="0.3">
      <c r="A85" s="664" t="str">
        <f>Data!A400</f>
        <v>Shop Tools - LARGE SIZE</v>
      </c>
      <c r="B85" s="33">
        <f>Data!B400</f>
        <v>0</v>
      </c>
      <c r="C85" s="34" t="str">
        <f>Data!C400</f>
        <v>shop tools</v>
      </c>
      <c r="D85" s="109">
        <f>Data!D400*Data!$H$12</f>
        <v>3806.5040081857169</v>
      </c>
      <c r="E85" s="109">
        <f t="shared" si="75"/>
        <v>0</v>
      </c>
      <c r="F85" s="109">
        <f>IF(CP!K63=0,Data!I400*E85,CP!K63*B85)</f>
        <v>0</v>
      </c>
      <c r="G85" s="60">
        <f>IF(CP!$G$63=0,Data!$F$400,CP!$G$63)</f>
        <v>20</v>
      </c>
      <c r="H85" s="109">
        <f>(E85*(_int_inv_l*(1+_int_inv_l)^G85)/((1+_int_inv_l)^G85-1))-(F85*_int_inv_l/((1+_int_inv_l)^G85-1))</f>
        <v>0</v>
      </c>
      <c r="I85" s="675">
        <f>IF(CP!I63=0,Data!H400*Data!$J$271,CP!I63/CP!E63)</f>
        <v>0.02</v>
      </c>
      <c r="J85" s="109">
        <f t="shared" si="76"/>
        <v>0</v>
      </c>
      <c r="K85" s="36">
        <f t="shared" si="74"/>
        <v>6.7999999999999996E-3</v>
      </c>
      <c r="L85" s="104">
        <f t="shared" si="77"/>
        <v>0</v>
      </c>
      <c r="M85" s="109">
        <f t="shared" si="78"/>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row>
    <row r="88" spans="1:23" x14ac:dyDescent="0.3">
      <c r="A88" s="664" t="str">
        <f>Data!A417</f>
        <v>Grain Cleaner - SMALL SIZE</v>
      </c>
      <c r="B88" s="33">
        <f>Data!B417</f>
        <v>0</v>
      </c>
      <c r="C88" s="34" t="str">
        <f>Data!C417</f>
        <v>grain cleaner</v>
      </c>
      <c r="D88" s="109">
        <f>Data!D417*Data!$H$12*CP!$H$5</f>
        <v>7590.9313038650134</v>
      </c>
      <c r="E88" s="109">
        <f t="shared" ref="E88" si="79">D88*B88</f>
        <v>0</v>
      </c>
      <c r="F88" s="109">
        <f>IF(CP!K65=0,Data!I417*E88,CP!K65*B88)</f>
        <v>0</v>
      </c>
      <c r="G88" s="60">
        <f>IF(CP!$G$65=0,Data!$F$417,CP!$G$65)</f>
        <v>50</v>
      </c>
      <c r="H88" s="109">
        <f>(E88*(_int_inv_*(1+_int_inv_)^G88)/((1+_int_inv_)^G88-1))-(F88*_int_inv_/((1+_int_inv_)^G88-1))</f>
        <v>0</v>
      </c>
      <c r="I88" s="675">
        <f>IF(CP!I65=0,Data!H417*Data!$J$271,CP!I65/CP!E65)</f>
        <v>0.02</v>
      </c>
      <c r="J88" s="109">
        <f t="shared" ref="J88" si="80">E88*I88</f>
        <v>0</v>
      </c>
      <c r="K88" s="36">
        <f>_tax_ins_</f>
        <v>6.7999999999999996E-3</v>
      </c>
      <c r="L88" s="104">
        <f t="shared" ref="L88" si="81">E88*K88</f>
        <v>0</v>
      </c>
      <c r="M88" s="109">
        <f t="shared" ref="M88" si="82">H88+J88+L88</f>
        <v>0</v>
      </c>
      <c r="N88" s="34"/>
      <c r="O88" s="34"/>
      <c r="P88" s="34"/>
      <c r="Q88" s="34"/>
      <c r="R88" s="34"/>
      <c r="S88" s="34"/>
      <c r="T88" s="34"/>
      <c r="U88" s="34"/>
      <c r="V88" s="34"/>
    </row>
    <row r="89" spans="1:23" x14ac:dyDescent="0.3">
      <c r="A89" s="664" t="str">
        <f>Data!A418</f>
        <v>Grain Cleaner - MEDIUM SIZE</v>
      </c>
      <c r="B89" s="33">
        <f>Data!B418</f>
        <v>1</v>
      </c>
      <c r="C89" s="34" t="str">
        <f>Data!C418</f>
        <v>grain cleaner</v>
      </c>
      <c r="D89" s="109">
        <f>Data!D418*Data!$H$12</f>
        <v>15181.862607730027</v>
      </c>
      <c r="E89" s="109">
        <f t="shared" ref="E89:E90" si="83">D89*B89</f>
        <v>15181.862607730027</v>
      </c>
      <c r="F89" s="109">
        <f>IF(CP!K66=0,Data!I418*E89,CP!K66*B89)</f>
        <v>2884.5538954687049</v>
      </c>
      <c r="G89" s="60">
        <f>IF(CP!$G$66=0,Data!$F$418,CP!$G$66)</f>
        <v>40</v>
      </c>
      <c r="H89" s="109">
        <f>(E89*(_int_inv_m*(1+_int_inv_m)^G89)/((1+_int_inv_m)^G89-1))-(F89*_int_inv_m/((1+_int_inv_m)^G89-1))</f>
        <v>485.84173598322172</v>
      </c>
      <c r="I89" s="675">
        <f>IF(CP!I66=0,Data!H418*Data!$J$271,CP!I66/CP!E66)</f>
        <v>0.02</v>
      </c>
      <c r="J89" s="109">
        <f t="shared" ref="J89:J90" si="84">E89*I89</f>
        <v>303.63725215460056</v>
      </c>
      <c r="K89" s="36">
        <f>_tax_ins_</f>
        <v>6.7999999999999996E-3</v>
      </c>
      <c r="L89" s="104">
        <f t="shared" ref="L89:L90" si="85">E89*K89</f>
        <v>103.23666573256418</v>
      </c>
      <c r="M89" s="109">
        <f t="shared" ref="M89:M90" si="86">H89+J89+L89</f>
        <v>892.7156538703864</v>
      </c>
      <c r="N89" s="34"/>
      <c r="O89" s="34"/>
      <c r="P89" s="34"/>
      <c r="Q89" s="34"/>
      <c r="R89" s="34"/>
      <c r="S89" s="34"/>
      <c r="T89" s="34"/>
      <c r="U89" s="34"/>
      <c r="V89" s="34"/>
    </row>
    <row r="90" spans="1:23" x14ac:dyDescent="0.3">
      <c r="A90" s="664" t="str">
        <f>Data!A419</f>
        <v>Grain Cleaner - LARGE SIZE</v>
      </c>
      <c r="B90" s="33">
        <f>Data!B419</f>
        <v>0</v>
      </c>
      <c r="C90" s="34" t="str">
        <f>Data!C419</f>
        <v>grain cleaner</v>
      </c>
      <c r="D90" s="109">
        <f>Data!D419*Data!$H$12</f>
        <v>29604.63208507355</v>
      </c>
      <c r="E90" s="109">
        <f t="shared" si="83"/>
        <v>0</v>
      </c>
      <c r="F90" s="109">
        <f>IF(CP!K67=0,Data!I419*E90,CP!K67*B90)</f>
        <v>0</v>
      </c>
      <c r="G90" s="60">
        <f>IF(CP!$G$67=0,Data!$F$419,CP!$G$67)</f>
        <v>20</v>
      </c>
      <c r="H90" s="109">
        <f>(E90*(_int_inv_l*(1+_int_inv_l)^G90)/((1+_int_inv_l)^G90-1))-(F90*_int_inv_l/((1+_int_inv_l)^G90-1))</f>
        <v>0</v>
      </c>
      <c r="I90" s="675">
        <f>IF(CP!I67=0,Data!H419*Data!$J$271,CP!I67/CP!E67)</f>
        <v>0.02</v>
      </c>
      <c r="J90" s="109">
        <f t="shared" si="84"/>
        <v>0</v>
      </c>
      <c r="K90" s="36">
        <f>_tax_ins_</f>
        <v>6.7999999999999996E-3</v>
      </c>
      <c r="L90" s="104">
        <f t="shared" si="85"/>
        <v>0</v>
      </c>
      <c r="M90" s="109">
        <f t="shared" si="86"/>
        <v>0</v>
      </c>
      <c r="N90" s="34"/>
      <c r="O90" s="34"/>
      <c r="P90" s="34"/>
      <c r="Q90" s="34"/>
      <c r="R90" s="34"/>
      <c r="S90" s="34"/>
      <c r="T90" s="34"/>
      <c r="U90" s="34"/>
      <c r="V90" s="34"/>
    </row>
    <row r="91" spans="1:23" x14ac:dyDescent="0.3">
      <c r="A91" s="6"/>
      <c r="B91" s="33"/>
      <c r="C91" s="34"/>
      <c r="D91" s="109"/>
      <c r="E91" s="109"/>
      <c r="F91" s="109"/>
      <c r="G91" s="34"/>
      <c r="H91" s="109"/>
      <c r="I91" s="35"/>
      <c r="J91" s="109"/>
      <c r="K91" s="36"/>
      <c r="L91" s="109"/>
      <c r="M91" s="109"/>
      <c r="N91" s="34"/>
      <c r="O91" s="34"/>
      <c r="P91" s="34"/>
      <c r="Q91" s="34"/>
      <c r="R91" s="34"/>
      <c r="S91" s="34"/>
      <c r="T91" s="34"/>
      <c r="U91" s="34"/>
      <c r="V91" s="34"/>
    </row>
    <row r="92" spans="1:23" x14ac:dyDescent="0.3">
      <c r="A92" s="14"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Data!B423*Data!J423</f>
        <v>0</v>
      </c>
      <c r="C93" s="34" t="str">
        <f>Data!C423</f>
        <v>auger</v>
      </c>
      <c r="D93" s="109">
        <f>Data!D423*Data!$AH$12*CP!$H$5</f>
        <v>1518.1862607730027</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87">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Data!B424*Data!J424</f>
        <v>4</v>
      </c>
      <c r="C94" s="34" t="str">
        <f>Data!C424</f>
        <v>auger</v>
      </c>
      <c r="D94" s="109">
        <f>Data!D424*Data!$AH$12</f>
        <v>1518.1862607730027</v>
      </c>
      <c r="E94" s="109">
        <f t="shared" ref="E94:E95" si="88">D94*B94</f>
        <v>6072.7450430920107</v>
      </c>
      <c r="F94" s="109">
        <f>IF(CP!K70=0,Data!I424*E94,CP!K70*B94)</f>
        <v>1153.821558187482</v>
      </c>
      <c r="G94" s="60">
        <f>IF(CP!$G$70=0,Data!$F$424,CP!$G$70)</f>
        <v>40</v>
      </c>
      <c r="H94" s="109">
        <f>(E94*(_int_inv_m*(1+_int_inv_m)^G94)/((1+_int_inv_m)^G94-1))-(F94*_int_inv_m/((1+_int_inv_m)^G94-1))</f>
        <v>194.33669439328867</v>
      </c>
      <c r="I94" s="675">
        <f>IF(CP!I70=0,Data!H424*Data!$J$271,CP!I70/CP!E70)</f>
        <v>0.02</v>
      </c>
      <c r="J94" s="109">
        <f t="shared" ref="J94:J95" si="89">E94*I94</f>
        <v>121.45490086184022</v>
      </c>
      <c r="K94" s="36">
        <f t="shared" si="87"/>
        <v>6.7999999999999996E-3</v>
      </c>
      <c r="L94" s="109">
        <f t="shared" ref="L94:L95" si="90">E94*K94</f>
        <v>41.294666293025671</v>
      </c>
      <c r="M94" s="109">
        <f t="shared" ref="M94:M95" si="91">H94+J94+L94</f>
        <v>357.08626154815454</v>
      </c>
      <c r="N94" s="34"/>
      <c r="O94" s="34"/>
      <c r="P94" s="34"/>
      <c r="Q94" s="34"/>
      <c r="R94" s="34"/>
      <c r="S94" s="34"/>
      <c r="T94" s="34"/>
      <c r="U94" s="34"/>
      <c r="V94" s="34"/>
      <c r="W94" s="34"/>
    </row>
    <row r="95" spans="1:23" x14ac:dyDescent="0.3">
      <c r="A95" s="664" t="str">
        <f>Data!A425</f>
        <v>Grain Auger(s) - LARGE SIZE</v>
      </c>
      <c r="B95" s="163">
        <f>Data!B425*Data!J425</f>
        <v>0</v>
      </c>
      <c r="C95" s="34" t="str">
        <f>Data!C425</f>
        <v>auger</v>
      </c>
      <c r="D95" s="109">
        <f>Data!D425*Data!$AH$12</f>
        <v>1518.1862607730027</v>
      </c>
      <c r="E95" s="109">
        <f t="shared" si="88"/>
        <v>0</v>
      </c>
      <c r="F95" s="109">
        <f>IF(CP!K71=0,Data!I425*E95,CP!K71*B95)</f>
        <v>0</v>
      </c>
      <c r="G95" s="60">
        <f>IF(CP!$G$71=0,Data!$F$425,CP!$G$71)</f>
        <v>20</v>
      </c>
      <c r="H95" s="109">
        <f>(E95*(_int_inv_l*(1+_int_inv_l)^G95)/((1+_int_inv_l)^G95-1))-(F95*_int_inv_l/((1+_int_inv_l)^G95-1))</f>
        <v>0</v>
      </c>
      <c r="I95" s="675">
        <f>IF(CP!I71=0,Data!H425*Data!$J$271,CP!I71/CP!E71)</f>
        <v>0.02</v>
      </c>
      <c r="J95" s="109">
        <f t="shared" si="89"/>
        <v>0</v>
      </c>
      <c r="K95" s="36">
        <f t="shared" si="87"/>
        <v>6.7999999999999996E-3</v>
      </c>
      <c r="L95" s="109">
        <f t="shared" si="90"/>
        <v>0</v>
      </c>
      <c r="M95" s="109">
        <f t="shared" si="91"/>
        <v>0</v>
      </c>
      <c r="N95" s="34"/>
      <c r="O95" s="34"/>
      <c r="P95" s="34"/>
      <c r="Q95" s="34"/>
      <c r="R95" s="34"/>
      <c r="S95" s="34"/>
      <c r="T95" s="34"/>
      <c r="U95" s="34"/>
      <c r="V95" s="34"/>
      <c r="W95" s="34"/>
    </row>
    <row r="96" spans="1:23" x14ac:dyDescent="0.3">
      <c r="A96" s="664" t="str">
        <f>Data!A426</f>
        <v>Grain Roller</v>
      </c>
      <c r="B96" s="163">
        <f>Data!B426</f>
        <v>0</v>
      </c>
      <c r="C96" s="34" t="str">
        <f>Data!C426</f>
        <v>roller</v>
      </c>
      <c r="D96" s="109">
        <f>Data!D426*Data!$AN$12*C92</f>
        <v>734.07598406601085</v>
      </c>
      <c r="E96" s="109">
        <f>D96*B96</f>
        <v>0</v>
      </c>
      <c r="F96" s="109">
        <f>Data!I426*E96</f>
        <v>0</v>
      </c>
      <c r="G96" s="34">
        <f>Data!F426</f>
        <v>10</v>
      </c>
      <c r="H96" s="109">
        <f t="shared" ref="H96:H100" si="92">(E96*(_int_inv_*(1+_int_inv_)^G96)/((1+_int_inv_)^G96-1))-(F96*_int_inv_/((1+_int_inv_)^G96-1))</f>
        <v>0</v>
      </c>
      <c r="I96" s="36">
        <f>Data!H426*Data!$J$271</f>
        <v>0.02</v>
      </c>
      <c r="J96" s="109">
        <f>E96*I96</f>
        <v>0</v>
      </c>
      <c r="K96" s="36">
        <f t="shared" si="87"/>
        <v>6.7999999999999996E-3</v>
      </c>
      <c r="L96" s="109">
        <f>E96*K96</f>
        <v>0</v>
      </c>
      <c r="M96" s="109">
        <f>H96+J96+L96</f>
        <v>0</v>
      </c>
      <c r="N96" s="34"/>
      <c r="O96" s="34"/>
      <c r="P96" s="34"/>
      <c r="Q96" s="34"/>
      <c r="R96" s="34"/>
      <c r="S96" s="34"/>
      <c r="T96" s="34"/>
      <c r="U96" s="34"/>
      <c r="V96" s="34"/>
      <c r="W96" s="34"/>
    </row>
    <row r="97" spans="1:23" x14ac:dyDescent="0.3">
      <c r="A97" s="664" t="str">
        <f>Data!A431</f>
        <v>Grain Dryer (Barley) - SMALL SIZE</v>
      </c>
      <c r="B97" s="649">
        <f>Data!B431</f>
        <v>0</v>
      </c>
      <c r="C97" s="34" t="str">
        <f>Data!C431</f>
        <v>dryer</v>
      </c>
      <c r="D97" s="109">
        <f>Data!D431*Data!$D$12*$C$92*CP!$H$5</f>
        <v>7521.8122569115903</v>
      </c>
      <c r="E97" s="109">
        <f>D97*B97</f>
        <v>0</v>
      </c>
      <c r="F97" s="109">
        <f>IF(CP!K72=0,Data!I431*E97,CP!K72*B97)</f>
        <v>0</v>
      </c>
      <c r="G97" s="34">
        <f>IF(CP!G72=0,Data!F431,CP!G72)</f>
        <v>10</v>
      </c>
      <c r="H97" s="109">
        <f t="shared" si="92"/>
        <v>0</v>
      </c>
      <c r="I97" s="675">
        <f>IF(CP!I72=0,Data!H431*Data!$J$271,CP!I72/CP!E72)</f>
        <v>0.02</v>
      </c>
      <c r="J97" s="109">
        <f>E97*I97</f>
        <v>0</v>
      </c>
      <c r="K97" s="36">
        <f t="shared" si="87"/>
        <v>6.7999999999999996E-3</v>
      </c>
      <c r="L97" s="109">
        <f>E97*K97</f>
        <v>0</v>
      </c>
      <c r="M97" s="109">
        <f>H97+J97+L97</f>
        <v>0</v>
      </c>
      <c r="N97" s="34"/>
      <c r="O97" s="34"/>
      <c r="P97" s="34"/>
      <c r="Q97" s="34"/>
      <c r="R97" s="34"/>
      <c r="S97" s="34"/>
      <c r="T97" s="34"/>
      <c r="U97" s="34"/>
      <c r="V97" s="34"/>
      <c r="W97" s="34"/>
    </row>
    <row r="98" spans="1:23" x14ac:dyDescent="0.3">
      <c r="A98" s="664" t="str">
        <f>Data!A432</f>
        <v>Grain Dryer (Barley) - MEDIUM SIZE</v>
      </c>
      <c r="B98" s="649">
        <f>Data!B432</f>
        <v>0.25</v>
      </c>
      <c r="C98" s="34" t="str">
        <f>Data!C432</f>
        <v>dryer</v>
      </c>
      <c r="D98" s="109">
        <f>Data!D432*Data!$D$12*$C$92</f>
        <v>7521.8122569115903</v>
      </c>
      <c r="E98" s="109">
        <f>D98*B98</f>
        <v>1880.4530642278976</v>
      </c>
      <c r="F98" s="109">
        <f>IF(CP!K73=0,Data!I432*E98,CP!K73*B98)</f>
        <v>357.28608220330057</v>
      </c>
      <c r="G98" s="34">
        <f>IF(CP!G73=0,Data!F432,CP!G73)</f>
        <v>10</v>
      </c>
      <c r="H98" s="109">
        <f t="shared" ref="H98:H99" si="93">(E98*(_int_inv_*(1+_int_inv_)^G98)/((1+_int_inv_)^G98-1))-(F98*_int_inv_/((1+_int_inv_)^G98-1))</f>
        <v>152.43853894838844</v>
      </c>
      <c r="I98" s="675">
        <f>IF(CP!I73=0,Data!H432*Data!$J$271,CP!I73/CP!E73)</f>
        <v>0.02</v>
      </c>
      <c r="J98" s="109">
        <f>E98*I98</f>
        <v>37.609061284557953</v>
      </c>
      <c r="K98" s="36">
        <f t="shared" si="87"/>
        <v>6.7999999999999996E-3</v>
      </c>
      <c r="L98" s="109">
        <f>E98*K98</f>
        <v>12.787080836749704</v>
      </c>
      <c r="M98" s="109">
        <f>H98+J98+L98</f>
        <v>202.8346810696961</v>
      </c>
      <c r="N98" s="34"/>
      <c r="O98" s="34"/>
      <c r="P98" s="34"/>
      <c r="Q98" s="34"/>
      <c r="R98" s="34"/>
      <c r="S98" s="34"/>
      <c r="T98" s="34"/>
      <c r="U98" s="34"/>
      <c r="V98" s="34"/>
      <c r="W98" s="34"/>
    </row>
    <row r="99" spans="1:23" x14ac:dyDescent="0.3">
      <c r="A99" s="664" t="str">
        <f>Data!A433</f>
        <v>Grain Dryer (Barley) - LARGE SIZE</v>
      </c>
      <c r="B99" s="649">
        <f>Data!B433</f>
        <v>0</v>
      </c>
      <c r="C99" s="34" t="str">
        <f>Data!C433</f>
        <v>dryer</v>
      </c>
      <c r="D99" s="109">
        <f>Data!D433*Data!$D$12*$C$92</f>
        <v>7521.8122569115903</v>
      </c>
      <c r="E99" s="109">
        <f>D99*B99</f>
        <v>0</v>
      </c>
      <c r="F99" s="109">
        <f>IF(CP!K74=0,Data!I433*E99,CP!K74*B99)</f>
        <v>0</v>
      </c>
      <c r="G99" s="34">
        <f>IF(CP!G74=0,Data!F433,CP!G74)</f>
        <v>10</v>
      </c>
      <c r="H99" s="109">
        <f t="shared" si="93"/>
        <v>0</v>
      </c>
      <c r="I99" s="675">
        <f>IF(CP!I74=0,Data!H433*Data!$J$271,CP!I74/CP!E74)</f>
        <v>0.02</v>
      </c>
      <c r="J99" s="109">
        <f>E99*I99</f>
        <v>0</v>
      </c>
      <c r="K99" s="36">
        <f t="shared" si="87"/>
        <v>6.7999999999999996E-3</v>
      </c>
      <c r="L99" s="109">
        <f>E99*K99</f>
        <v>0</v>
      </c>
      <c r="M99" s="109">
        <f>H99+J99+L99</f>
        <v>0</v>
      </c>
      <c r="N99" s="34"/>
      <c r="O99" s="34"/>
      <c r="P99" s="34"/>
      <c r="Q99" s="34"/>
      <c r="R99" s="34"/>
      <c r="S99" s="34"/>
      <c r="T99" s="34"/>
      <c r="U99" s="34"/>
      <c r="V99" s="34"/>
      <c r="W99" s="34"/>
    </row>
    <row r="100" spans="1:23" x14ac:dyDescent="0.3">
      <c r="A100" s="664" t="str">
        <f>Data!A434</f>
        <v>Grain Bags (Barley) - SMALL SIZE</v>
      </c>
      <c r="B100" s="974">
        <f>Data!B434*Data!J434</f>
        <v>0</v>
      </c>
      <c r="C100" s="34" t="str">
        <f>Data!C434</f>
        <v>grain bag</v>
      </c>
      <c r="D100" s="109">
        <f>Data!D434*Data!$D$12*C92</f>
        <v>10</v>
      </c>
      <c r="E100" s="109">
        <f>D100*B100</f>
        <v>0</v>
      </c>
      <c r="F100" s="109">
        <f>IF(CP!K75=0,Data!I434*E100,CP!K75*B100)</f>
        <v>0</v>
      </c>
      <c r="G100" s="34">
        <f>IF(CP!$G$75=0,Data!$F$434,CP!$G$75)</f>
        <v>5</v>
      </c>
      <c r="H100" s="109">
        <f t="shared" si="92"/>
        <v>0</v>
      </c>
      <c r="I100" s="675">
        <f>IF(CP!I75=0,Data!H434*Data!$J$271,CP!I75/CP!E75)</f>
        <v>0</v>
      </c>
      <c r="J100" s="109">
        <f>E100*I100</f>
        <v>0</v>
      </c>
      <c r="K100" s="36">
        <f t="shared" si="87"/>
        <v>6.7999999999999996E-3</v>
      </c>
      <c r="L100" s="109">
        <f>E100*K100</f>
        <v>0</v>
      </c>
      <c r="M100" s="109">
        <f>H100+J100+L100</f>
        <v>0</v>
      </c>
      <c r="N100" s="34"/>
      <c r="O100" s="34"/>
      <c r="P100" s="34"/>
      <c r="Q100" s="34"/>
      <c r="R100" s="34"/>
      <c r="S100" s="34"/>
      <c r="T100" s="34"/>
      <c r="U100" s="34"/>
      <c r="V100" s="34"/>
      <c r="W100" s="34"/>
    </row>
    <row r="101" spans="1:23" x14ac:dyDescent="0.3">
      <c r="A101" s="664" t="str">
        <f>Data!A435</f>
        <v>Grain Bin (Barley) - MEDIUM SIZE</v>
      </c>
      <c r="B101" s="163">
        <f>Data!B435*Data!J435</f>
        <v>1</v>
      </c>
      <c r="C101" s="34" t="str">
        <f>Data!C435</f>
        <v>crop storage</v>
      </c>
      <c r="D101" s="109">
        <f>Data!D435*Data!$D$12*C92</f>
        <v>21106.2051928939</v>
      </c>
      <c r="E101" s="109">
        <f t="shared" ref="E101:E102" si="94">D101*B101</f>
        <v>21106.2051928939</v>
      </c>
      <c r="F101" s="109">
        <f>IF(CP!K76=0,Data!I435*E101,CP!K76*B101)</f>
        <v>7387.1718175128644</v>
      </c>
      <c r="G101" s="34">
        <f>IF(CP!$G$76=0,Data!$F$435,CP!$G$76)</f>
        <v>33</v>
      </c>
      <c r="H101" s="109">
        <f>(E101*(_int_inv_m*(1+_int_inv_m)^G101)/((1+_int_inv_m)^G101-1))-(F101*_int_inv_m/((1+_int_inv_m)^G101-1))</f>
        <v>687.94464629638969</v>
      </c>
      <c r="I101" s="675">
        <f>IF(CP!I76=0,Data!H435*Data!$J$271,CP!I76/CP!E76)</f>
        <v>0.01</v>
      </c>
      <c r="J101" s="109">
        <f t="shared" ref="J101:J102" si="95">E101*I101</f>
        <v>211.06205192893901</v>
      </c>
      <c r="K101" s="36">
        <f t="shared" si="87"/>
        <v>6.7999999999999996E-3</v>
      </c>
      <c r="L101" s="109">
        <f t="shared" ref="L101:L102" si="96">E101*K101</f>
        <v>143.5221953116785</v>
      </c>
      <c r="M101" s="109">
        <f t="shared" ref="M101:M102" si="97">H101+J101+L101</f>
        <v>1042.5288935370072</v>
      </c>
      <c r="N101" s="34"/>
      <c r="O101" s="34"/>
      <c r="P101" s="34"/>
      <c r="Q101" s="34"/>
      <c r="R101" s="34"/>
      <c r="S101" s="34"/>
      <c r="T101" s="34"/>
      <c r="U101" s="34"/>
      <c r="V101" s="34"/>
      <c r="W101" s="34"/>
    </row>
    <row r="102" spans="1:23" x14ac:dyDescent="0.3">
      <c r="A102" s="664" t="str">
        <f>Data!A436</f>
        <v>Grain Bin (Barley) - LARGE SIZE</v>
      </c>
      <c r="B102" s="163">
        <f>Data!B436*Data!J436</f>
        <v>0</v>
      </c>
      <c r="C102" s="34" t="str">
        <f>Data!C436</f>
        <v>crop storage</v>
      </c>
      <c r="D102" s="109">
        <f>Data!D436*Data!$D$12*C92</f>
        <v>36937.112722940503</v>
      </c>
      <c r="E102" s="109">
        <f t="shared" si="94"/>
        <v>0</v>
      </c>
      <c r="F102" s="109">
        <f>IF(CP!K77=0,Data!I436*E102,CP!K77*B102)</f>
        <v>0</v>
      </c>
      <c r="G102" s="34">
        <f>IF(CP!$G$77=0,Data!$F$436,CP!$G$77)</f>
        <v>33</v>
      </c>
      <c r="H102" s="109">
        <f>(E102*(_int_inv_l*(1+_int_inv_l)^G102)/((1+_int_inv_l)^G102-1))-(F102*_int_inv_l/((1+_int_inv_l)^G102-1))</f>
        <v>0</v>
      </c>
      <c r="I102" s="675">
        <f>IF(CP!I77=0,Data!H436*Data!$J$271,CP!I77/CP!E77)</f>
        <v>0.01</v>
      </c>
      <c r="J102" s="109">
        <f t="shared" si="95"/>
        <v>0</v>
      </c>
      <c r="K102" s="36">
        <f t="shared" si="87"/>
        <v>6.7999999999999996E-3</v>
      </c>
      <c r="L102" s="109">
        <f t="shared" si="96"/>
        <v>0</v>
      </c>
      <c r="M102" s="109">
        <f t="shared" si="97"/>
        <v>0</v>
      </c>
      <c r="N102" s="34"/>
      <c r="O102" s="34"/>
      <c r="P102" s="34"/>
      <c r="Q102" s="34"/>
      <c r="R102" s="34"/>
      <c r="S102" s="34"/>
      <c r="T102" s="34"/>
      <c r="U102" s="34"/>
      <c r="V102" s="34"/>
      <c r="W102" s="34"/>
    </row>
    <row r="103" spans="1:23" x14ac:dyDescent="0.3">
      <c r="A103" s="6"/>
      <c r="B103" s="33"/>
      <c r="C103" s="868"/>
      <c r="D103" s="109"/>
      <c r="E103" s="109"/>
      <c r="F103" s="109"/>
      <c r="G103" s="34"/>
      <c r="H103" s="109"/>
      <c r="I103" s="675"/>
      <c r="J103" s="109"/>
      <c r="K103" s="36"/>
      <c r="L103" s="109"/>
      <c r="M103" s="109"/>
      <c r="N103" s="34"/>
      <c r="O103" s="34"/>
      <c r="P103" s="34"/>
      <c r="Q103" s="34"/>
      <c r="R103" s="34"/>
      <c r="S103" s="34"/>
      <c r="T103" s="34"/>
      <c r="U103" s="34"/>
      <c r="V103" s="34"/>
    </row>
    <row r="104" spans="1:23" x14ac:dyDescent="0.3">
      <c r="A104" s="863" t="s">
        <v>12</v>
      </c>
      <c r="B104" s="33"/>
      <c r="C104" s="868"/>
      <c r="D104" s="109"/>
      <c r="E104" s="109"/>
      <c r="F104" s="109"/>
      <c r="G104" s="34"/>
      <c r="H104" s="109"/>
      <c r="I104" s="675"/>
      <c r="J104" s="109"/>
      <c r="K104" s="36"/>
      <c r="L104" s="109"/>
      <c r="M104" s="109"/>
      <c r="N104" s="34"/>
      <c r="O104" s="34"/>
      <c r="P104" s="34"/>
      <c r="Q104" s="34"/>
      <c r="R104" s="34"/>
      <c r="S104" s="34"/>
      <c r="T104" s="34"/>
      <c r="U104" s="34"/>
      <c r="V104" s="34"/>
    </row>
    <row r="105" spans="1:23" x14ac:dyDescent="0.3">
      <c r="A105" s="664" t="str">
        <f>Data!A44</f>
        <v>Interest for investment (Small model)</v>
      </c>
      <c r="B105" s="33">
        <f>IF(Data!$C$39=1,Data!B80,0)</f>
        <v>0</v>
      </c>
      <c r="C105" s="868"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row>
    <row r="106" spans="1:23" x14ac:dyDescent="0.3">
      <c r="A106" s="664" t="str">
        <f>Data!A45</f>
        <v>Interest for investment (Medium model)</v>
      </c>
      <c r="B106" s="33">
        <f>IF(Data!$C$40=1,Data!B80,0)</f>
        <v>75</v>
      </c>
      <c r="C106" s="868" t="str">
        <f>Data!H51</f>
        <v>acre(s)</v>
      </c>
      <c r="D106" s="109">
        <f>Data!$F$61</f>
        <v>1000</v>
      </c>
      <c r="E106" s="109">
        <f>D106*B106</f>
        <v>75000</v>
      </c>
      <c r="F106" s="864" t="s">
        <v>45</v>
      </c>
      <c r="G106" s="865" t="s">
        <v>45</v>
      </c>
      <c r="H106" s="109">
        <f>E106*_int_inv_m</f>
        <v>1350</v>
      </c>
      <c r="I106" s="1307">
        <f>Data!$H$61*Data!$J$271</f>
        <v>0.01</v>
      </c>
      <c r="J106" s="109">
        <f>E106*I106</f>
        <v>750</v>
      </c>
      <c r="K106" s="36">
        <f>_tax_ins_</f>
        <v>6.7999999999999996E-3</v>
      </c>
      <c r="L106" s="109">
        <f>E106*K106</f>
        <v>510</v>
      </c>
      <c r="M106" s="109">
        <f>H106+J106+L106</f>
        <v>2610</v>
      </c>
      <c r="N106" s="34"/>
      <c r="O106" s="34"/>
      <c r="P106" s="34"/>
      <c r="Q106" s="34"/>
      <c r="R106" s="34"/>
      <c r="S106" s="34"/>
      <c r="T106" s="34"/>
      <c r="U106" s="34"/>
      <c r="V106" s="34"/>
    </row>
    <row r="107" spans="1:23" x14ac:dyDescent="0.3">
      <c r="A107" s="664" t="str">
        <f>Data!A46</f>
        <v>Interest for investment (Large model)</v>
      </c>
      <c r="B107" s="33">
        <f>IF(Data!$C$41=1,Data!B80,0)</f>
        <v>0</v>
      </c>
      <c r="C107" s="868" t="str">
        <f>Data!H51</f>
        <v>acre(s)</v>
      </c>
      <c r="D107" s="109">
        <f>Data!$F$61</f>
        <v>1000</v>
      </c>
      <c r="E107" s="109">
        <f>D107*B107</f>
        <v>0</v>
      </c>
      <c r="F107" s="864" t="s">
        <v>45</v>
      </c>
      <c r="G107" s="865" t="s">
        <v>45</v>
      </c>
      <c r="H107" s="109">
        <f>E107*_int_inv_l</f>
        <v>0</v>
      </c>
      <c r="I107" s="1307">
        <f>Data!$H$61*Data!$J$271</f>
        <v>0.01</v>
      </c>
      <c r="J107" s="109">
        <f>E107*I107</f>
        <v>0</v>
      </c>
      <c r="K107" s="36">
        <f>_tax_ins_</f>
        <v>6.7999999999999996E-3</v>
      </c>
      <c r="L107" s="109">
        <f>E107*K107</f>
        <v>0</v>
      </c>
      <c r="M107" s="109">
        <f>H107+J107+L107</f>
        <v>0</v>
      </c>
      <c r="N107" s="34"/>
      <c r="O107" s="34"/>
      <c r="P107" s="34"/>
      <c r="Q107" s="34"/>
      <c r="R107" s="34"/>
      <c r="S107" s="34"/>
      <c r="T107" s="34"/>
      <c r="U107" s="34"/>
      <c r="V107" s="34"/>
    </row>
    <row r="108" spans="1:23" x14ac:dyDescent="0.3">
      <c r="B108" s="33"/>
      <c r="C108" s="109"/>
      <c r="D108" s="109"/>
      <c r="E108" s="109"/>
      <c r="F108" s="109"/>
      <c r="G108" s="38"/>
      <c r="H108" s="109"/>
      <c r="I108" s="35"/>
      <c r="J108" s="109"/>
      <c r="K108" s="36"/>
      <c r="L108" s="109"/>
      <c r="M108" s="109"/>
      <c r="N108" s="34"/>
      <c r="O108" s="34"/>
      <c r="P108" s="34"/>
      <c r="Q108" s="34"/>
      <c r="R108" s="34"/>
      <c r="S108" s="34"/>
      <c r="T108" s="34"/>
      <c r="U108" s="34"/>
      <c r="V108" s="34"/>
    </row>
    <row r="109" spans="1:23" x14ac:dyDescent="0.3">
      <c r="A109" s="14" t="s">
        <v>1229</v>
      </c>
      <c r="B109" s="33"/>
      <c r="C109" s="34"/>
      <c r="D109" s="109"/>
      <c r="E109" s="109"/>
      <c r="F109" s="109"/>
      <c r="G109" s="34"/>
      <c r="H109" s="109"/>
      <c r="I109" s="35"/>
      <c r="J109" s="109"/>
      <c r="K109" s="36"/>
      <c r="L109" s="110"/>
      <c r="M109" s="109"/>
      <c r="N109" s="34"/>
      <c r="O109" s="34"/>
      <c r="P109" s="34"/>
      <c r="Q109" s="34"/>
      <c r="R109" s="34"/>
      <c r="S109" s="34"/>
      <c r="T109" s="34"/>
      <c r="U109" s="34"/>
      <c r="V109" s="34"/>
    </row>
    <row r="110" spans="1:23" x14ac:dyDescent="0.3">
      <c r="A110" s="664" t="str">
        <f>Data!A495</f>
        <v>Shop/Loading Shed - SMALL SIZE</v>
      </c>
      <c r="B110" s="33">
        <f>Data!B495</f>
        <v>0</v>
      </c>
      <c r="C110" s="34" t="str">
        <f>Data!C495</f>
        <v>building</v>
      </c>
      <c r="D110" s="109">
        <f>Data!D495*Data!$H$12</f>
        <v>15181.862607730027</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c r="N110" s="34"/>
      <c r="O110" s="34"/>
      <c r="P110" s="34"/>
      <c r="Q110" s="34"/>
    </row>
    <row r="111" spans="1:23" x14ac:dyDescent="0.3">
      <c r="A111" s="664" t="str">
        <f>Data!A496</f>
        <v>Shop/Loading Shed - MEDIUM SIZE</v>
      </c>
      <c r="B111" s="33">
        <f>Data!B496</f>
        <v>1</v>
      </c>
      <c r="C111" s="34" t="str">
        <f>Data!C496</f>
        <v>building</v>
      </c>
      <c r="D111" s="109">
        <f>Data!D496*Data!$H$12</f>
        <v>30363.725215460054</v>
      </c>
      <c r="E111" s="109">
        <f t="shared" ref="E111:E112" si="98">D111*B111</f>
        <v>30363.725215460054</v>
      </c>
      <c r="F111" s="109">
        <f>IF(CP!K80=0,Data!I496*E111,CP!K80*B111)</f>
        <v>22772.793911595039</v>
      </c>
      <c r="G111" s="34">
        <f>IF(CP!$G$80=0,Data!$F$496,CP!$G$80)</f>
        <v>33</v>
      </c>
      <c r="H111" s="109">
        <f>(E111*(_int_inv_m*(1+_int_inv_m)^G111)/((1+_int_inv_m)^G111-1))-(F111*_int_inv_m/((1+_int_inv_m)^G111-1))</f>
        <v>716.98595582103576</v>
      </c>
      <c r="I111" s="675">
        <f>IF(CP!I80=0,Data!H496*Data!$J$271,CP!I80/CP!E80)</f>
        <v>0.01</v>
      </c>
      <c r="J111" s="109">
        <f t="shared" ref="J111:J112" si="99">E111*I111</f>
        <v>303.63725215460056</v>
      </c>
      <c r="K111" s="36">
        <f>_tax_ins_</f>
        <v>6.7999999999999996E-3</v>
      </c>
      <c r="L111" s="109">
        <f t="shared" ref="L111:L112" si="100">E111*K111</f>
        <v>206.47333146512835</v>
      </c>
      <c r="M111" s="109">
        <f t="shared" ref="M111:M112" si="101">H111+J111+L111</f>
        <v>1227.0965394407647</v>
      </c>
      <c r="N111" s="34"/>
      <c r="O111" s="34"/>
      <c r="P111" s="34"/>
      <c r="Q111" s="34"/>
    </row>
    <row r="112" spans="1:23" x14ac:dyDescent="0.3">
      <c r="A112" s="664" t="str">
        <f>Data!A497</f>
        <v>Shop/Loading Shed - LARGE SIZE</v>
      </c>
      <c r="B112" s="33">
        <f>Data!B497</f>
        <v>0</v>
      </c>
      <c r="C112" s="34" t="str">
        <f>Data!C497</f>
        <v>building</v>
      </c>
      <c r="D112" s="109">
        <f>Data!D497*Data!$H$12</f>
        <v>60727.450430920107</v>
      </c>
      <c r="E112" s="109">
        <f t="shared" si="98"/>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9"/>
        <v>0</v>
      </c>
      <c r="K112" s="36">
        <f>_tax_ins_</f>
        <v>6.7999999999999996E-3</v>
      </c>
      <c r="L112" s="109">
        <f t="shared" si="100"/>
        <v>0</v>
      </c>
      <c r="M112" s="109">
        <f t="shared" si="101"/>
        <v>0</v>
      </c>
      <c r="N112" s="34"/>
      <c r="O112" s="34"/>
      <c r="P112" s="34"/>
      <c r="Q112" s="34"/>
    </row>
    <row r="113" spans="1:22" x14ac:dyDescent="0.3">
      <c r="B113" s="33"/>
      <c r="C113" s="34"/>
      <c r="D113" s="109"/>
      <c r="E113" s="109"/>
      <c r="F113" s="109"/>
      <c r="G113" s="34"/>
      <c r="H113" s="109"/>
      <c r="I113" s="35"/>
      <c r="J113" s="109"/>
      <c r="K113" s="36"/>
      <c r="L113" s="110"/>
      <c r="M113" s="109"/>
      <c r="N113" s="34"/>
      <c r="O113" s="34"/>
      <c r="P113" s="34"/>
      <c r="Q113" s="34"/>
      <c r="R113" s="34"/>
      <c r="S113" s="34"/>
      <c r="T113" s="34"/>
      <c r="U113" s="34"/>
      <c r="V113" s="34"/>
    </row>
    <row r="114" spans="1:22"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2"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2" x14ac:dyDescent="0.3">
      <c r="B116" s="33"/>
      <c r="C116" s="34"/>
      <c r="D116" s="109"/>
      <c r="E116" s="109"/>
      <c r="F116" s="109"/>
      <c r="G116" s="34"/>
      <c r="H116" s="109"/>
      <c r="I116" s="35"/>
      <c r="J116" s="109"/>
      <c r="K116" s="36"/>
      <c r="L116" s="110"/>
      <c r="M116" s="109"/>
      <c r="N116" s="34"/>
      <c r="O116" s="34"/>
      <c r="P116" s="34"/>
      <c r="Q116" s="34"/>
      <c r="R116" s="34"/>
      <c r="S116" s="34"/>
      <c r="T116" s="34"/>
      <c r="U116" s="34"/>
      <c r="V116" s="34"/>
    </row>
    <row r="117" spans="1:22"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row>
    <row r="118" spans="1:22"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row>
    <row r="119" spans="1:22"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row>
    <row r="120" spans="1:22" x14ac:dyDescent="0.3">
      <c r="B120" s="33"/>
      <c r="C120" s="34"/>
      <c r="D120" s="109"/>
      <c r="E120" s="109"/>
      <c r="F120" s="109"/>
      <c r="G120" s="34"/>
      <c r="H120" s="109"/>
      <c r="I120" s="35"/>
      <c r="J120" s="110"/>
      <c r="K120" s="35"/>
      <c r="L120" s="110"/>
      <c r="M120" s="109"/>
      <c r="N120" s="34"/>
      <c r="O120" s="34"/>
      <c r="P120" s="34"/>
      <c r="Q120" s="34"/>
      <c r="R120" s="34"/>
      <c r="S120" s="34"/>
      <c r="T120" s="34"/>
      <c r="U120" s="34"/>
      <c r="V120" s="34"/>
    </row>
    <row r="121" spans="1:22" ht="13.5" x14ac:dyDescent="0.35">
      <c r="A121" s="1" t="s">
        <v>68</v>
      </c>
      <c r="B121" s="33"/>
      <c r="C121" s="34"/>
      <c r="D121" s="109"/>
      <c r="E121" s="109">
        <f>SUM(E7:E119)</f>
        <v>412892.2094286441</v>
      </c>
      <c r="F121" s="109">
        <f>SUM(F7:F119)</f>
        <v>114016.56145850422</v>
      </c>
      <c r="G121" s="34"/>
      <c r="H121" s="109">
        <f>SUM(H7:H119)</f>
        <v>11729.048251872651</v>
      </c>
      <c r="I121" s="35"/>
      <c r="J121" s="109">
        <f>SUM(J7:J119)</f>
        <v>7818.947118122951</v>
      </c>
      <c r="K121" s="35"/>
      <c r="L121" s="109">
        <f>SUM(L7:L119)</f>
        <v>2807.6670241147795</v>
      </c>
      <c r="M121" s="109">
        <f>SUM(M7:M119)</f>
        <v>22355.662394110383</v>
      </c>
      <c r="N121" s="34"/>
      <c r="O121" s="34"/>
      <c r="P121" s="34"/>
      <c r="Q121" s="34"/>
      <c r="R121" s="34"/>
      <c r="S121" s="34"/>
      <c r="T121" s="34"/>
      <c r="U121" s="34"/>
      <c r="V121" s="34"/>
    </row>
    <row r="122" spans="1:22" x14ac:dyDescent="0.3">
      <c r="B122" s="33"/>
      <c r="C122" s="34"/>
      <c r="D122" s="32"/>
      <c r="E122" s="32"/>
      <c r="F122" s="32"/>
      <c r="G122" s="34"/>
      <c r="H122" s="32"/>
      <c r="I122" s="35"/>
      <c r="J122" s="34"/>
      <c r="K122" s="35"/>
      <c r="L122" s="34"/>
      <c r="M122" s="32"/>
      <c r="N122" s="34"/>
      <c r="O122" s="34"/>
      <c r="P122" s="34"/>
      <c r="Q122" s="34"/>
      <c r="R122" s="34"/>
      <c r="S122" s="34"/>
      <c r="T122" s="34"/>
      <c r="U122" s="34"/>
      <c r="V122" s="34"/>
    </row>
    <row r="123" spans="1:22" x14ac:dyDescent="0.3">
      <c r="B123" s="33"/>
      <c r="C123" s="34"/>
      <c r="D123" s="32"/>
      <c r="E123" s="32"/>
      <c r="F123" s="32"/>
      <c r="G123" s="34"/>
      <c r="H123" s="32"/>
      <c r="I123" s="35"/>
      <c r="J123" s="34"/>
      <c r="K123" s="35"/>
      <c r="L123" s="34"/>
      <c r="M123" s="32"/>
      <c r="N123" s="34"/>
      <c r="O123" s="34"/>
      <c r="P123" s="34"/>
      <c r="Q123" s="34"/>
      <c r="R123" s="34"/>
      <c r="S123" s="34"/>
      <c r="T123" s="34"/>
      <c r="U123" s="34"/>
      <c r="V123" s="34"/>
    </row>
    <row r="124" spans="1:22" x14ac:dyDescent="0.3">
      <c r="B124" s="33"/>
      <c r="C124" s="34"/>
      <c r="D124" s="8" t="s">
        <v>136</v>
      </c>
      <c r="E124" s="32"/>
      <c r="F124" s="32"/>
      <c r="G124" s="34"/>
      <c r="H124" s="32"/>
      <c r="I124" s="35"/>
      <c r="J124" s="34"/>
      <c r="K124" s="35"/>
      <c r="L124" s="34"/>
      <c r="M124" s="32"/>
      <c r="N124" s="34"/>
      <c r="O124" s="34"/>
      <c r="P124" s="34"/>
      <c r="Q124" s="34"/>
      <c r="R124" s="34"/>
      <c r="S124" s="34"/>
      <c r="T124" s="34"/>
      <c r="U124" s="34"/>
      <c r="V124" s="34"/>
    </row>
    <row r="125" spans="1:22" x14ac:dyDescent="0.3">
      <c r="B125" s="33"/>
      <c r="C125" s="34"/>
      <c r="D125" s="55" t="s">
        <v>139</v>
      </c>
      <c r="E125" s="112">
        <f>SUM(E7:E103)</f>
        <v>307528.48421318404</v>
      </c>
      <c r="F125" s="32"/>
      <c r="G125" s="34"/>
      <c r="H125" s="32"/>
      <c r="I125" s="35"/>
      <c r="J125" s="34"/>
      <c r="K125" s="35"/>
      <c r="L125" s="34"/>
      <c r="M125" s="32"/>
      <c r="N125" s="34"/>
      <c r="O125" s="34"/>
      <c r="P125" s="34"/>
      <c r="Q125" s="34"/>
      <c r="R125" s="34"/>
      <c r="S125" s="34"/>
      <c r="T125" s="34"/>
      <c r="U125" s="34"/>
      <c r="V125" s="34"/>
    </row>
    <row r="126" spans="1:22" x14ac:dyDescent="0.3">
      <c r="B126" s="33"/>
      <c r="C126" s="34"/>
      <c r="D126" s="55" t="s">
        <v>140</v>
      </c>
      <c r="E126" s="112">
        <f>SUM(E105:E108)</f>
        <v>75000</v>
      </c>
      <c r="F126" s="32"/>
      <c r="G126" s="34"/>
      <c r="H126" s="32"/>
      <c r="I126" s="35"/>
      <c r="J126" s="34"/>
      <c r="K126" s="35"/>
      <c r="L126" s="34"/>
      <c r="M126" s="32"/>
      <c r="N126" s="34"/>
      <c r="O126" s="34"/>
      <c r="P126" s="34"/>
      <c r="Q126" s="34"/>
      <c r="R126" s="34"/>
      <c r="S126" s="34"/>
      <c r="T126" s="34"/>
      <c r="U126" s="34"/>
      <c r="V126" s="34"/>
    </row>
    <row r="127" spans="1:22" x14ac:dyDescent="0.3">
      <c r="B127" s="33"/>
      <c r="C127" s="34"/>
      <c r="D127" s="62" t="s">
        <v>141</v>
      </c>
      <c r="E127" s="113">
        <f>SUM(E110:E113)</f>
        <v>30363.725215460054</v>
      </c>
      <c r="F127" s="32"/>
      <c r="G127" s="34"/>
      <c r="H127" s="32"/>
      <c r="I127" s="34"/>
      <c r="J127" s="34"/>
      <c r="K127" s="35"/>
      <c r="L127" s="34"/>
      <c r="M127" s="32"/>
      <c r="N127" s="34"/>
      <c r="O127" s="34"/>
      <c r="P127" s="34"/>
      <c r="Q127" s="34"/>
      <c r="R127" s="34"/>
      <c r="S127" s="34"/>
      <c r="T127" s="34"/>
      <c r="U127" s="34"/>
      <c r="V127" s="34"/>
    </row>
    <row r="128" spans="1:22" x14ac:dyDescent="0.3">
      <c r="B128" s="33"/>
      <c r="C128" s="34"/>
      <c r="D128" s="61" t="s">
        <v>145</v>
      </c>
      <c r="E128" s="112">
        <f>SUM(E125:E127)</f>
        <v>412892.2094286441</v>
      </c>
      <c r="F128" s="32"/>
      <c r="G128" s="34"/>
      <c r="H128" s="32"/>
      <c r="I128" s="34"/>
      <c r="J128" s="34"/>
      <c r="K128" s="35"/>
      <c r="L128" s="34"/>
      <c r="M128" s="32"/>
      <c r="N128" s="34"/>
      <c r="O128" s="34"/>
      <c r="P128" s="34"/>
      <c r="Q128" s="34"/>
      <c r="R128" s="34"/>
      <c r="S128" s="34"/>
      <c r="T128" s="34"/>
      <c r="U128" s="34"/>
      <c r="V128" s="34"/>
    </row>
    <row r="129" spans="2:22" x14ac:dyDescent="0.3">
      <c r="B129" s="33"/>
      <c r="C129" s="34"/>
      <c r="D129" s="32"/>
      <c r="E129" s="32"/>
      <c r="F129" s="32"/>
      <c r="G129" s="34"/>
      <c r="H129" s="32"/>
      <c r="I129" s="34"/>
      <c r="J129" s="34"/>
      <c r="K129" s="35"/>
      <c r="L129" s="34"/>
      <c r="M129" s="32"/>
      <c r="N129" s="34"/>
      <c r="O129" s="34"/>
      <c r="P129" s="34"/>
      <c r="Q129" s="34"/>
      <c r="R129" s="34"/>
      <c r="S129" s="34"/>
      <c r="T129" s="34"/>
      <c r="U129" s="34"/>
      <c r="V129" s="34"/>
    </row>
    <row r="130" spans="2:22" x14ac:dyDescent="0.3">
      <c r="B130" s="33"/>
      <c r="C130" s="34"/>
      <c r="D130" s="32"/>
      <c r="E130" s="32"/>
      <c r="F130" s="32"/>
      <c r="G130" s="34"/>
      <c r="H130" s="32"/>
      <c r="I130" s="34"/>
      <c r="J130" s="34"/>
      <c r="K130" s="35"/>
      <c r="L130" s="34"/>
      <c r="M130" s="32"/>
      <c r="N130" s="34"/>
      <c r="O130" s="34"/>
      <c r="P130" s="34"/>
      <c r="Q130" s="34"/>
      <c r="R130" s="34"/>
      <c r="S130" s="34"/>
      <c r="T130" s="34"/>
      <c r="U130" s="34"/>
      <c r="V130" s="34"/>
    </row>
    <row r="131" spans="2:22" x14ac:dyDescent="0.3">
      <c r="B131" s="33"/>
      <c r="C131" s="34"/>
      <c r="D131" s="32"/>
      <c r="E131" s="32"/>
      <c r="F131" s="32"/>
      <c r="G131" s="34"/>
      <c r="H131" s="32"/>
      <c r="I131" s="34"/>
      <c r="J131" s="34"/>
      <c r="K131" s="35"/>
      <c r="L131" s="34"/>
      <c r="M131" s="32"/>
      <c r="N131" s="34"/>
      <c r="O131" s="34"/>
      <c r="P131" s="34"/>
      <c r="Q131" s="34"/>
      <c r="R131" s="34"/>
      <c r="S131" s="34"/>
      <c r="T131" s="34"/>
      <c r="U131" s="34"/>
      <c r="V131" s="34"/>
    </row>
    <row r="132" spans="2:22" x14ac:dyDescent="0.3">
      <c r="B132" s="33"/>
      <c r="C132" s="34"/>
      <c r="D132" s="32"/>
      <c r="E132" s="32"/>
      <c r="F132" s="32"/>
      <c r="G132" s="34"/>
      <c r="H132" s="32"/>
      <c r="I132" s="34"/>
      <c r="J132" s="34"/>
      <c r="K132" s="35"/>
      <c r="L132" s="34"/>
      <c r="M132" s="32"/>
      <c r="N132" s="34"/>
      <c r="O132" s="34"/>
      <c r="P132" s="34"/>
      <c r="Q132" s="34"/>
      <c r="R132" s="34"/>
      <c r="S132" s="34"/>
      <c r="T132" s="34"/>
      <c r="U132" s="34"/>
      <c r="V132" s="34"/>
    </row>
    <row r="133" spans="2:22" x14ac:dyDescent="0.3">
      <c r="B133" s="33"/>
      <c r="C133" s="34"/>
      <c r="D133" s="32"/>
      <c r="E133" s="32"/>
      <c r="F133" s="32"/>
      <c r="G133" s="34"/>
      <c r="H133" s="32"/>
      <c r="I133" s="34"/>
      <c r="J133" s="34"/>
      <c r="K133" s="35"/>
      <c r="L133" s="34"/>
      <c r="M133" s="32"/>
      <c r="N133" s="34"/>
      <c r="O133" s="34"/>
      <c r="P133" s="34"/>
      <c r="Q133" s="34"/>
      <c r="R133" s="34"/>
      <c r="S133" s="34"/>
      <c r="T133" s="34"/>
      <c r="U133" s="34"/>
      <c r="V133" s="34"/>
    </row>
    <row r="134" spans="2:22" x14ac:dyDescent="0.3">
      <c r="B134" s="33"/>
      <c r="C134" s="34"/>
      <c r="D134" s="32"/>
      <c r="E134" s="32"/>
      <c r="F134" s="32"/>
      <c r="G134" s="34"/>
      <c r="H134" s="32"/>
      <c r="I134" s="34"/>
      <c r="J134" s="34"/>
      <c r="K134" s="35"/>
      <c r="L134" s="34"/>
      <c r="M134" s="32"/>
      <c r="N134" s="34"/>
      <c r="O134" s="34"/>
      <c r="P134" s="34"/>
      <c r="Q134" s="34"/>
      <c r="R134" s="34"/>
      <c r="S134" s="34"/>
      <c r="T134" s="34"/>
      <c r="U134" s="34"/>
      <c r="V134" s="34"/>
    </row>
    <row r="135" spans="2:22" x14ac:dyDescent="0.3">
      <c r="B135" s="33"/>
      <c r="C135" s="34"/>
      <c r="D135" s="32"/>
      <c r="E135" s="32"/>
      <c r="F135" s="32"/>
      <c r="G135" s="34"/>
      <c r="H135" s="32"/>
      <c r="I135" s="34"/>
      <c r="J135" s="34"/>
      <c r="K135" s="35"/>
      <c r="L135" s="34"/>
      <c r="M135" s="32"/>
      <c r="N135" s="34"/>
      <c r="O135" s="34"/>
      <c r="P135" s="34"/>
      <c r="Q135" s="34"/>
      <c r="R135" s="34"/>
      <c r="S135" s="34"/>
      <c r="T135" s="34"/>
      <c r="U135" s="34"/>
      <c r="V135" s="34"/>
    </row>
    <row r="136" spans="2:22" x14ac:dyDescent="0.3">
      <c r="B136" s="33"/>
      <c r="C136" s="34"/>
      <c r="D136" s="32"/>
      <c r="E136" s="32"/>
      <c r="F136" s="32"/>
      <c r="G136" s="34"/>
      <c r="H136" s="32"/>
      <c r="I136" s="34"/>
      <c r="J136" s="34"/>
      <c r="K136" s="35"/>
      <c r="L136" s="34"/>
      <c r="M136" s="32"/>
      <c r="N136" s="34"/>
      <c r="O136" s="34"/>
      <c r="P136" s="34"/>
      <c r="Q136" s="34"/>
      <c r="R136" s="34"/>
      <c r="S136" s="34"/>
      <c r="T136" s="34"/>
      <c r="U136" s="34"/>
      <c r="V136" s="34"/>
    </row>
    <row r="137" spans="2:22" x14ac:dyDescent="0.3">
      <c r="B137" s="33"/>
      <c r="C137" s="34"/>
      <c r="D137" s="32"/>
      <c r="E137" s="32"/>
      <c r="F137" s="32"/>
      <c r="G137" s="34"/>
      <c r="H137" s="32"/>
      <c r="I137" s="34"/>
      <c r="J137" s="34"/>
      <c r="K137" s="35"/>
      <c r="L137" s="34"/>
      <c r="M137" s="32"/>
      <c r="N137" s="34"/>
      <c r="O137" s="34"/>
      <c r="P137" s="34"/>
      <c r="Q137" s="34"/>
      <c r="R137" s="34"/>
      <c r="S137" s="34"/>
      <c r="T137" s="34"/>
      <c r="U137" s="34"/>
      <c r="V137" s="34"/>
    </row>
    <row r="138" spans="2:22" x14ac:dyDescent="0.3">
      <c r="B138" s="33"/>
      <c r="C138" s="34"/>
      <c r="D138" s="32"/>
      <c r="E138" s="32"/>
      <c r="F138" s="32"/>
      <c r="G138" s="34"/>
      <c r="H138" s="32"/>
      <c r="I138" s="34"/>
      <c r="J138" s="34"/>
      <c r="K138" s="35"/>
      <c r="L138" s="34"/>
      <c r="M138" s="32"/>
      <c r="N138" s="34"/>
      <c r="O138" s="34"/>
      <c r="P138" s="34"/>
      <c r="Q138" s="34"/>
      <c r="R138" s="34"/>
      <c r="S138" s="34"/>
      <c r="T138" s="34"/>
      <c r="U138" s="34"/>
      <c r="V138" s="34"/>
    </row>
    <row r="139" spans="2:22" x14ac:dyDescent="0.3">
      <c r="B139" s="33"/>
      <c r="C139" s="34"/>
      <c r="D139" s="32"/>
      <c r="E139" s="32"/>
      <c r="F139" s="32"/>
      <c r="G139" s="34"/>
      <c r="H139" s="32"/>
      <c r="I139" s="34"/>
      <c r="J139" s="34"/>
      <c r="K139" s="35"/>
      <c r="L139" s="34"/>
      <c r="M139" s="32"/>
      <c r="N139" s="34"/>
      <c r="O139" s="34"/>
      <c r="P139" s="34"/>
      <c r="Q139" s="34"/>
      <c r="R139" s="34"/>
      <c r="S139" s="34"/>
      <c r="T139" s="34"/>
      <c r="U139" s="34"/>
      <c r="V139" s="34"/>
    </row>
    <row r="140" spans="2:22" x14ac:dyDescent="0.3">
      <c r="B140" s="33"/>
      <c r="C140" s="34"/>
      <c r="D140" s="32"/>
      <c r="E140" s="32"/>
      <c r="F140" s="32"/>
      <c r="G140" s="34"/>
      <c r="H140" s="32"/>
      <c r="I140" s="34"/>
      <c r="J140" s="34"/>
      <c r="K140" s="35"/>
      <c r="L140" s="34"/>
      <c r="M140" s="32"/>
      <c r="N140" s="34"/>
      <c r="O140" s="34"/>
      <c r="P140" s="34"/>
      <c r="Q140" s="34"/>
      <c r="R140" s="34"/>
      <c r="S140" s="34"/>
      <c r="T140" s="34"/>
      <c r="U140" s="34"/>
      <c r="V140" s="34"/>
    </row>
    <row r="141" spans="2:22" x14ac:dyDescent="0.3">
      <c r="B141" s="33"/>
      <c r="C141" s="34"/>
      <c r="D141" s="32"/>
      <c r="E141" s="32"/>
      <c r="F141" s="32"/>
      <c r="G141" s="34"/>
      <c r="H141" s="32"/>
      <c r="I141" s="34"/>
      <c r="J141" s="34"/>
      <c r="K141" s="35"/>
      <c r="L141" s="34"/>
      <c r="M141" s="32"/>
      <c r="N141" s="34"/>
      <c r="O141" s="34"/>
      <c r="P141" s="34"/>
      <c r="Q141" s="34"/>
      <c r="R141" s="34"/>
      <c r="S141" s="34"/>
      <c r="T141" s="34"/>
      <c r="U141" s="34"/>
      <c r="V141" s="34"/>
    </row>
    <row r="142" spans="2:22" x14ac:dyDescent="0.3">
      <c r="B142" s="33"/>
      <c r="C142" s="34"/>
      <c r="D142" s="32"/>
      <c r="E142" s="32"/>
      <c r="F142" s="32"/>
      <c r="G142" s="34"/>
      <c r="H142" s="32"/>
      <c r="I142" s="34"/>
      <c r="J142" s="34"/>
      <c r="K142" s="35"/>
      <c r="L142" s="34"/>
      <c r="M142" s="32"/>
      <c r="N142" s="34"/>
      <c r="O142" s="34"/>
      <c r="P142" s="34"/>
      <c r="Q142" s="34"/>
      <c r="R142" s="34"/>
      <c r="S142" s="34"/>
      <c r="T142" s="34"/>
      <c r="U142" s="34"/>
      <c r="V142" s="34"/>
    </row>
    <row r="143" spans="2:22" x14ac:dyDescent="0.3">
      <c r="B143" s="33"/>
      <c r="C143" s="34"/>
      <c r="D143" s="32"/>
      <c r="E143" s="32"/>
      <c r="F143" s="32"/>
      <c r="G143" s="34"/>
      <c r="H143" s="32"/>
      <c r="I143" s="34"/>
      <c r="J143" s="34"/>
      <c r="K143" s="35"/>
      <c r="L143" s="34"/>
      <c r="M143" s="32"/>
      <c r="N143" s="34"/>
      <c r="O143" s="34"/>
      <c r="P143" s="34"/>
      <c r="Q143" s="34"/>
      <c r="R143" s="34"/>
      <c r="S143" s="34"/>
      <c r="T143" s="34"/>
      <c r="U143" s="34"/>
      <c r="V143" s="34"/>
    </row>
    <row r="144" spans="2:22" x14ac:dyDescent="0.3">
      <c r="B144" s="33"/>
      <c r="C144" s="34"/>
      <c r="D144" s="32"/>
      <c r="E144" s="32"/>
      <c r="F144" s="32"/>
      <c r="G144" s="34"/>
      <c r="H144" s="32"/>
      <c r="I144" s="34"/>
      <c r="J144" s="34"/>
      <c r="K144" s="35"/>
      <c r="L144" s="34"/>
      <c r="M144" s="32"/>
      <c r="N144" s="34"/>
      <c r="O144" s="34"/>
      <c r="P144" s="34"/>
      <c r="Q144" s="34"/>
      <c r="R144" s="34"/>
      <c r="S144" s="34"/>
      <c r="T144" s="34"/>
      <c r="U144" s="34"/>
      <c r="V144" s="34"/>
    </row>
    <row r="145" spans="2:22" x14ac:dyDescent="0.3">
      <c r="B145" s="33"/>
      <c r="C145" s="34"/>
      <c r="D145" s="32"/>
      <c r="E145" s="32"/>
      <c r="F145" s="32"/>
      <c r="G145" s="34"/>
      <c r="H145" s="32"/>
      <c r="I145" s="34"/>
      <c r="J145" s="34"/>
      <c r="K145" s="35"/>
      <c r="L145" s="34"/>
      <c r="M145" s="32"/>
      <c r="N145" s="34"/>
      <c r="O145" s="34"/>
      <c r="P145" s="34"/>
      <c r="Q145" s="34"/>
      <c r="R145" s="34"/>
      <c r="S145" s="34"/>
      <c r="T145" s="34"/>
      <c r="U145" s="34"/>
      <c r="V145" s="34"/>
    </row>
    <row r="146" spans="2:22" x14ac:dyDescent="0.3">
      <c r="B146" s="33"/>
      <c r="C146" s="34"/>
      <c r="D146" s="32"/>
      <c r="E146" s="32"/>
      <c r="F146" s="32"/>
      <c r="G146" s="34"/>
      <c r="H146" s="32"/>
      <c r="I146" s="34"/>
      <c r="J146" s="34"/>
      <c r="K146" s="35"/>
      <c r="L146" s="34"/>
      <c r="M146" s="32"/>
      <c r="N146" s="34"/>
      <c r="O146" s="34"/>
      <c r="P146" s="34"/>
      <c r="Q146" s="34"/>
      <c r="R146" s="34"/>
      <c r="S146" s="34"/>
      <c r="T146" s="34"/>
      <c r="U146" s="34"/>
      <c r="V146" s="34"/>
    </row>
    <row r="147" spans="2:22" x14ac:dyDescent="0.3">
      <c r="B147" s="33"/>
      <c r="C147" s="34"/>
      <c r="D147" s="32"/>
      <c r="E147" s="32"/>
      <c r="F147" s="32"/>
      <c r="G147" s="34"/>
      <c r="H147" s="32"/>
      <c r="I147" s="34"/>
      <c r="J147" s="34"/>
      <c r="K147" s="35"/>
      <c r="L147" s="34"/>
      <c r="M147" s="32"/>
      <c r="N147" s="34"/>
      <c r="O147" s="34"/>
      <c r="P147" s="34"/>
      <c r="Q147" s="34"/>
      <c r="R147" s="34"/>
      <c r="S147" s="34"/>
      <c r="T147" s="34"/>
      <c r="U147" s="34"/>
      <c r="V147" s="34"/>
    </row>
    <row r="148" spans="2:22" x14ac:dyDescent="0.3">
      <c r="B148" s="33"/>
      <c r="C148" s="34"/>
      <c r="D148" s="32"/>
      <c r="E148" s="32"/>
      <c r="F148" s="32"/>
      <c r="G148" s="34"/>
      <c r="H148" s="32"/>
      <c r="I148" s="34"/>
      <c r="J148" s="34"/>
      <c r="K148" s="35"/>
      <c r="L148" s="34"/>
      <c r="M148" s="32"/>
      <c r="N148" s="34"/>
      <c r="O148" s="34"/>
      <c r="P148" s="34"/>
      <c r="Q148" s="34"/>
      <c r="R148" s="34"/>
      <c r="S148" s="34"/>
      <c r="T148" s="34"/>
      <c r="U148" s="34"/>
      <c r="V148" s="34"/>
    </row>
    <row r="149" spans="2:22" x14ac:dyDescent="0.3">
      <c r="B149" s="33"/>
      <c r="C149" s="34"/>
      <c r="D149" s="32"/>
      <c r="E149" s="32"/>
      <c r="F149" s="32"/>
      <c r="G149" s="34"/>
      <c r="H149" s="32"/>
      <c r="I149" s="34"/>
      <c r="J149" s="34"/>
      <c r="K149" s="35"/>
      <c r="L149" s="34"/>
      <c r="M149" s="32"/>
      <c r="N149" s="34"/>
      <c r="O149" s="34"/>
      <c r="P149" s="34"/>
      <c r="Q149" s="34"/>
      <c r="R149" s="34"/>
      <c r="S149" s="34"/>
      <c r="T149" s="34"/>
      <c r="U149" s="34"/>
      <c r="V149" s="34"/>
    </row>
    <row r="150" spans="2:22" x14ac:dyDescent="0.3">
      <c r="B150" s="33"/>
      <c r="C150" s="34"/>
      <c r="D150" s="32"/>
      <c r="E150" s="32"/>
      <c r="F150" s="32"/>
      <c r="G150" s="34"/>
      <c r="H150" s="32"/>
      <c r="I150" s="34"/>
      <c r="J150" s="34"/>
      <c r="K150" s="35"/>
      <c r="L150" s="34"/>
      <c r="M150" s="32"/>
      <c r="N150" s="34"/>
      <c r="O150" s="34"/>
      <c r="P150" s="34"/>
      <c r="Q150" s="34"/>
      <c r="R150" s="34"/>
      <c r="S150" s="34"/>
      <c r="T150" s="34"/>
      <c r="U150" s="34"/>
      <c r="V150" s="34"/>
    </row>
    <row r="151" spans="2:22" x14ac:dyDescent="0.3">
      <c r="B151" s="33"/>
      <c r="C151" s="34"/>
      <c r="D151" s="32"/>
      <c r="E151" s="32"/>
      <c r="F151" s="32"/>
      <c r="G151" s="34"/>
      <c r="H151" s="32"/>
      <c r="I151" s="34"/>
      <c r="J151" s="34"/>
      <c r="K151" s="35"/>
      <c r="L151" s="34"/>
      <c r="M151" s="32"/>
      <c r="N151" s="34"/>
      <c r="O151" s="34"/>
      <c r="P151" s="34"/>
      <c r="Q151" s="34"/>
      <c r="R151" s="34"/>
      <c r="S151" s="34"/>
      <c r="T151" s="34"/>
      <c r="U151" s="34"/>
      <c r="V151" s="34"/>
    </row>
    <row r="152" spans="2:22" x14ac:dyDescent="0.3">
      <c r="B152" s="33"/>
      <c r="C152" s="34"/>
      <c r="D152" s="32"/>
      <c r="E152" s="32"/>
      <c r="F152" s="32"/>
      <c r="G152" s="34"/>
      <c r="H152" s="32"/>
      <c r="I152" s="34"/>
      <c r="J152" s="34"/>
      <c r="K152" s="35"/>
      <c r="L152" s="34"/>
      <c r="M152" s="32"/>
      <c r="N152" s="34"/>
      <c r="O152" s="34"/>
      <c r="P152" s="34"/>
      <c r="Q152" s="34"/>
      <c r="R152" s="34"/>
      <c r="S152" s="34"/>
      <c r="T152" s="34"/>
      <c r="U152" s="34"/>
      <c r="V152" s="34"/>
    </row>
    <row r="153" spans="2:22" x14ac:dyDescent="0.3">
      <c r="B153" s="33"/>
      <c r="C153" s="34"/>
      <c r="D153" s="32"/>
      <c r="E153" s="32"/>
      <c r="F153" s="32"/>
      <c r="G153" s="34"/>
      <c r="H153" s="32"/>
      <c r="I153" s="34"/>
      <c r="J153" s="34"/>
      <c r="K153" s="35"/>
      <c r="L153" s="34"/>
      <c r="M153" s="32"/>
      <c r="N153" s="34"/>
      <c r="O153" s="34"/>
      <c r="P153" s="34"/>
      <c r="Q153" s="34"/>
      <c r="R153" s="34"/>
      <c r="S153" s="34"/>
      <c r="T153" s="34"/>
      <c r="U153" s="34"/>
      <c r="V153" s="34"/>
    </row>
    <row r="154" spans="2:22" x14ac:dyDescent="0.3">
      <c r="B154" s="33"/>
      <c r="C154" s="34"/>
      <c r="D154" s="39"/>
      <c r="E154" s="39"/>
      <c r="F154" s="39"/>
      <c r="G154" s="34"/>
      <c r="H154" s="32"/>
      <c r="I154" s="34"/>
      <c r="J154" s="34"/>
      <c r="K154" s="35"/>
      <c r="L154" s="34"/>
      <c r="M154" s="32"/>
      <c r="N154" s="34"/>
      <c r="O154" s="34"/>
      <c r="P154" s="34"/>
      <c r="Q154" s="34"/>
      <c r="R154" s="34"/>
      <c r="S154" s="34"/>
      <c r="T154" s="34"/>
      <c r="U154" s="34"/>
      <c r="V154" s="34"/>
    </row>
    <row r="155" spans="2:22" x14ac:dyDescent="0.3">
      <c r="B155" s="33"/>
      <c r="C155" s="34"/>
      <c r="D155" s="39"/>
      <c r="E155" s="39"/>
      <c r="F155" s="39"/>
      <c r="G155" s="34"/>
      <c r="H155" s="32"/>
      <c r="I155" s="34"/>
      <c r="J155" s="34"/>
      <c r="K155" s="35"/>
      <c r="L155" s="34"/>
      <c r="M155" s="32"/>
      <c r="N155" s="34"/>
      <c r="O155" s="34"/>
      <c r="P155" s="34"/>
      <c r="Q155" s="34"/>
      <c r="R155" s="34"/>
      <c r="S155" s="34"/>
      <c r="T155" s="34"/>
      <c r="U155" s="34"/>
      <c r="V155" s="34"/>
    </row>
    <row r="156" spans="2:22" x14ac:dyDescent="0.3">
      <c r="B156" s="33"/>
      <c r="C156" s="34"/>
      <c r="D156" s="39"/>
      <c r="E156" s="39"/>
      <c r="F156" s="39"/>
      <c r="G156" s="34"/>
      <c r="H156" s="32"/>
      <c r="I156" s="34"/>
      <c r="J156" s="34"/>
      <c r="K156" s="35"/>
      <c r="L156" s="34"/>
      <c r="M156" s="32"/>
      <c r="N156" s="34"/>
      <c r="O156" s="34"/>
      <c r="P156" s="34"/>
      <c r="Q156" s="34"/>
      <c r="R156" s="34"/>
      <c r="S156" s="34"/>
      <c r="T156" s="34"/>
      <c r="U156" s="34"/>
      <c r="V156" s="34"/>
    </row>
    <row r="157" spans="2:22" x14ac:dyDescent="0.3">
      <c r="B157" s="33"/>
      <c r="C157" s="34"/>
      <c r="D157" s="39"/>
      <c r="E157" s="39"/>
      <c r="F157" s="39"/>
      <c r="G157" s="34"/>
      <c r="H157" s="32"/>
      <c r="I157" s="34"/>
      <c r="J157" s="34"/>
      <c r="K157" s="35"/>
      <c r="L157" s="34"/>
      <c r="M157" s="32"/>
      <c r="N157" s="34"/>
      <c r="O157" s="34"/>
      <c r="P157" s="34"/>
      <c r="Q157" s="34"/>
      <c r="R157" s="34"/>
      <c r="S157" s="34"/>
      <c r="T157" s="34"/>
      <c r="U157" s="34"/>
      <c r="V157" s="34"/>
    </row>
    <row r="158" spans="2:22" x14ac:dyDescent="0.3">
      <c r="B158" s="33"/>
      <c r="C158" s="34"/>
      <c r="D158" s="39"/>
      <c r="E158" s="39"/>
      <c r="F158" s="39"/>
      <c r="G158" s="34"/>
      <c r="H158" s="32"/>
      <c r="I158" s="34"/>
      <c r="J158" s="34"/>
      <c r="K158" s="35"/>
      <c r="L158" s="34"/>
      <c r="M158" s="32"/>
      <c r="N158" s="34"/>
      <c r="O158" s="34"/>
      <c r="P158" s="34"/>
      <c r="Q158" s="34"/>
      <c r="R158" s="34"/>
      <c r="S158" s="34"/>
      <c r="T158" s="34"/>
      <c r="U158" s="34"/>
      <c r="V158" s="34"/>
    </row>
    <row r="159" spans="2:22" x14ac:dyDescent="0.3">
      <c r="B159" s="33"/>
      <c r="C159" s="34"/>
      <c r="D159" s="39"/>
      <c r="E159" s="39"/>
      <c r="F159" s="39"/>
      <c r="G159" s="34"/>
      <c r="H159" s="32"/>
      <c r="I159" s="34"/>
      <c r="J159" s="34"/>
      <c r="K159" s="35"/>
      <c r="L159" s="34"/>
      <c r="M159" s="32"/>
      <c r="N159" s="34"/>
      <c r="O159" s="34"/>
      <c r="P159" s="34"/>
      <c r="Q159" s="34"/>
      <c r="R159" s="34"/>
      <c r="S159" s="34"/>
      <c r="T159" s="34"/>
      <c r="U159" s="34"/>
      <c r="V159" s="34"/>
    </row>
    <row r="160" spans="2:22" x14ac:dyDescent="0.3">
      <c r="B160" s="33"/>
      <c r="C160" s="34"/>
      <c r="D160" s="39"/>
      <c r="E160" s="39"/>
      <c r="F160" s="39"/>
      <c r="G160" s="34"/>
      <c r="H160" s="32"/>
      <c r="I160" s="34"/>
      <c r="J160" s="34"/>
      <c r="K160" s="35"/>
      <c r="L160" s="34"/>
      <c r="M160" s="32"/>
      <c r="N160" s="34"/>
      <c r="O160" s="34"/>
      <c r="P160" s="34"/>
      <c r="Q160" s="34"/>
      <c r="R160" s="34"/>
      <c r="S160" s="34"/>
      <c r="T160" s="34"/>
      <c r="U160" s="34"/>
      <c r="V160" s="34"/>
    </row>
    <row r="161" spans="2:22" x14ac:dyDescent="0.3">
      <c r="B161" s="33"/>
      <c r="C161" s="34"/>
      <c r="D161" s="39"/>
      <c r="E161" s="39"/>
      <c r="F161" s="39"/>
      <c r="G161" s="34"/>
      <c r="H161" s="32"/>
      <c r="I161" s="34"/>
      <c r="J161" s="34"/>
      <c r="K161" s="35"/>
      <c r="L161" s="34"/>
      <c r="M161" s="32"/>
      <c r="N161" s="34"/>
      <c r="O161" s="34"/>
      <c r="P161" s="34"/>
      <c r="Q161" s="34"/>
      <c r="R161" s="34"/>
      <c r="S161" s="34"/>
      <c r="T161" s="34"/>
      <c r="U161" s="34"/>
      <c r="V161" s="34"/>
    </row>
    <row r="162" spans="2:22" x14ac:dyDescent="0.3">
      <c r="B162" s="33"/>
      <c r="C162" s="34"/>
      <c r="D162" s="39"/>
      <c r="E162" s="39"/>
      <c r="F162" s="39"/>
      <c r="G162" s="34"/>
      <c r="H162" s="32"/>
      <c r="I162" s="34"/>
      <c r="J162" s="34"/>
      <c r="K162" s="35"/>
      <c r="L162" s="34"/>
      <c r="M162" s="32"/>
      <c r="N162" s="34"/>
      <c r="O162" s="34"/>
      <c r="P162" s="34"/>
      <c r="Q162" s="34"/>
      <c r="R162" s="34"/>
      <c r="S162" s="34"/>
      <c r="T162" s="34"/>
      <c r="U162" s="34"/>
      <c r="V162" s="34"/>
    </row>
    <row r="163" spans="2:22" x14ac:dyDescent="0.3">
      <c r="B163" s="33"/>
      <c r="C163" s="34"/>
      <c r="D163" s="39"/>
      <c r="E163" s="39"/>
      <c r="F163" s="39"/>
      <c r="G163" s="34"/>
      <c r="H163" s="32"/>
      <c r="I163" s="34"/>
      <c r="J163" s="34"/>
      <c r="K163" s="35"/>
      <c r="L163" s="34"/>
      <c r="M163" s="32"/>
      <c r="N163" s="34"/>
      <c r="O163" s="34"/>
      <c r="P163" s="34"/>
      <c r="Q163" s="34"/>
      <c r="R163" s="34"/>
      <c r="S163" s="34"/>
      <c r="T163" s="34"/>
      <c r="U163" s="34"/>
      <c r="V163" s="34"/>
    </row>
    <row r="164" spans="2:22" x14ac:dyDescent="0.3">
      <c r="B164" s="33"/>
      <c r="C164" s="34"/>
      <c r="D164" s="39"/>
      <c r="E164" s="39"/>
      <c r="F164" s="39"/>
      <c r="G164" s="34"/>
      <c r="H164" s="32"/>
      <c r="I164" s="34"/>
      <c r="J164" s="34"/>
      <c r="K164" s="35"/>
      <c r="L164" s="34"/>
      <c r="M164" s="32"/>
      <c r="N164" s="34"/>
      <c r="O164" s="34"/>
      <c r="P164" s="34"/>
      <c r="Q164" s="34"/>
      <c r="R164" s="34"/>
      <c r="S164" s="34"/>
      <c r="T164" s="34"/>
      <c r="U164" s="34"/>
      <c r="V164" s="34"/>
    </row>
    <row r="165" spans="2:22" x14ac:dyDescent="0.3">
      <c r="B165" s="33"/>
      <c r="C165" s="34"/>
      <c r="D165" s="39"/>
      <c r="E165" s="39"/>
      <c r="F165" s="39"/>
      <c r="G165" s="34"/>
      <c r="H165" s="32"/>
      <c r="I165" s="34"/>
      <c r="J165" s="34"/>
      <c r="K165" s="35"/>
      <c r="L165" s="34"/>
      <c r="M165" s="32"/>
      <c r="N165" s="34"/>
      <c r="O165" s="34"/>
      <c r="P165" s="34"/>
      <c r="Q165" s="34"/>
      <c r="R165" s="34"/>
      <c r="S165" s="34"/>
      <c r="T165" s="34"/>
      <c r="U165" s="34"/>
      <c r="V165" s="34"/>
    </row>
    <row r="166" spans="2:22" x14ac:dyDescent="0.3">
      <c r="B166" s="33"/>
      <c r="C166" s="34"/>
      <c r="D166" s="39"/>
      <c r="E166" s="39"/>
      <c r="F166" s="39"/>
      <c r="G166" s="34"/>
      <c r="H166" s="32"/>
      <c r="I166" s="34"/>
      <c r="J166" s="34"/>
      <c r="K166" s="35"/>
      <c r="L166" s="34"/>
      <c r="M166" s="32"/>
      <c r="N166" s="34"/>
      <c r="O166" s="34"/>
      <c r="P166" s="34"/>
      <c r="Q166" s="34"/>
      <c r="R166" s="34"/>
      <c r="S166" s="34"/>
      <c r="T166" s="34"/>
      <c r="U166" s="34"/>
      <c r="V166" s="34"/>
    </row>
    <row r="167" spans="2:22" x14ac:dyDescent="0.3">
      <c r="B167" s="33"/>
      <c r="C167" s="34"/>
      <c r="D167" s="39"/>
      <c r="E167" s="39"/>
      <c r="F167" s="39"/>
      <c r="G167" s="34"/>
      <c r="H167" s="32"/>
      <c r="I167" s="34"/>
      <c r="J167" s="34"/>
      <c r="K167" s="35"/>
      <c r="L167" s="34"/>
      <c r="M167" s="32"/>
      <c r="N167" s="34"/>
      <c r="O167" s="34"/>
      <c r="P167" s="34"/>
      <c r="Q167" s="34"/>
      <c r="R167" s="34"/>
      <c r="S167" s="34"/>
      <c r="T167" s="34"/>
      <c r="U167" s="34"/>
      <c r="V167" s="34"/>
    </row>
    <row r="168" spans="2:22" x14ac:dyDescent="0.3">
      <c r="B168" s="33"/>
      <c r="C168" s="34"/>
      <c r="D168" s="39"/>
      <c r="E168" s="39"/>
      <c r="F168" s="39"/>
      <c r="G168" s="34"/>
      <c r="H168" s="32"/>
      <c r="I168" s="34"/>
      <c r="J168" s="34"/>
      <c r="K168" s="35"/>
      <c r="L168" s="34"/>
      <c r="M168" s="32"/>
      <c r="N168" s="34"/>
      <c r="O168" s="34"/>
      <c r="P168" s="34"/>
      <c r="Q168" s="34"/>
      <c r="R168" s="34"/>
      <c r="S168" s="34"/>
      <c r="T168" s="34"/>
      <c r="U168" s="34"/>
      <c r="V168" s="34"/>
    </row>
    <row r="169" spans="2:22" x14ac:dyDescent="0.3">
      <c r="B169" s="33"/>
      <c r="C169" s="34"/>
      <c r="D169" s="39"/>
      <c r="E169" s="39"/>
      <c r="F169" s="39"/>
      <c r="G169" s="34"/>
      <c r="H169" s="32"/>
      <c r="I169" s="34"/>
      <c r="J169" s="34"/>
      <c r="K169" s="35"/>
      <c r="L169" s="34"/>
      <c r="M169" s="32"/>
      <c r="N169" s="34"/>
      <c r="O169" s="34"/>
      <c r="P169" s="34"/>
      <c r="Q169" s="34"/>
      <c r="R169" s="34"/>
      <c r="S169" s="34"/>
      <c r="T169" s="34"/>
      <c r="U169" s="34"/>
      <c r="V169" s="34"/>
    </row>
    <row r="170" spans="2:22" x14ac:dyDescent="0.3">
      <c r="B170" s="33"/>
      <c r="C170" s="34"/>
      <c r="D170" s="39"/>
      <c r="E170" s="39"/>
      <c r="F170" s="39"/>
      <c r="G170" s="34"/>
      <c r="H170" s="32"/>
      <c r="I170" s="34"/>
      <c r="J170" s="34"/>
      <c r="K170" s="35"/>
      <c r="L170" s="34"/>
      <c r="M170" s="32"/>
      <c r="N170" s="34"/>
      <c r="O170" s="34"/>
      <c r="P170" s="34"/>
      <c r="Q170" s="34"/>
      <c r="R170" s="34"/>
      <c r="S170" s="34"/>
      <c r="T170" s="34"/>
      <c r="U170" s="34"/>
      <c r="V170" s="34"/>
    </row>
    <row r="171" spans="2:22" x14ac:dyDescent="0.3">
      <c r="B171" s="33"/>
      <c r="C171" s="34"/>
      <c r="D171" s="39"/>
      <c r="E171" s="39"/>
      <c r="F171" s="39"/>
      <c r="G171" s="34"/>
      <c r="H171" s="32"/>
      <c r="I171" s="34"/>
      <c r="J171" s="34"/>
      <c r="K171" s="35"/>
      <c r="L171" s="34"/>
      <c r="M171" s="32"/>
      <c r="N171" s="34"/>
      <c r="O171" s="34"/>
      <c r="P171" s="34"/>
      <c r="Q171" s="34"/>
      <c r="R171" s="34"/>
      <c r="S171" s="34"/>
      <c r="T171" s="34"/>
      <c r="U171" s="34"/>
      <c r="V171" s="34"/>
    </row>
    <row r="172" spans="2:22" x14ac:dyDescent="0.3">
      <c r="B172" s="33"/>
      <c r="C172" s="34"/>
      <c r="D172" s="39"/>
      <c r="E172" s="39"/>
      <c r="F172" s="39"/>
      <c r="G172" s="34"/>
      <c r="H172" s="32"/>
      <c r="I172" s="34"/>
      <c r="J172" s="34"/>
      <c r="K172" s="35"/>
      <c r="L172" s="34"/>
      <c r="M172" s="32"/>
      <c r="N172" s="34"/>
      <c r="O172" s="34"/>
      <c r="P172" s="34"/>
      <c r="Q172" s="34"/>
      <c r="R172" s="34"/>
      <c r="S172" s="34"/>
      <c r="T172" s="34"/>
      <c r="U172" s="34"/>
      <c r="V172" s="34"/>
    </row>
    <row r="173" spans="2:22" x14ac:dyDescent="0.3">
      <c r="B173" s="33"/>
      <c r="C173" s="34"/>
      <c r="D173" s="39"/>
      <c r="E173" s="39"/>
      <c r="F173" s="39"/>
      <c r="G173" s="34"/>
      <c r="H173" s="32"/>
      <c r="I173" s="34"/>
      <c r="J173" s="34"/>
      <c r="K173" s="35"/>
      <c r="L173" s="34"/>
      <c r="M173" s="32"/>
      <c r="N173" s="34"/>
      <c r="O173" s="34"/>
      <c r="P173" s="34"/>
      <c r="Q173" s="34"/>
      <c r="R173" s="34"/>
      <c r="S173" s="34"/>
      <c r="T173" s="34"/>
      <c r="U173" s="34"/>
      <c r="V173" s="34"/>
    </row>
    <row r="174" spans="2:22" x14ac:dyDescent="0.3">
      <c r="B174" s="33"/>
      <c r="C174" s="34"/>
      <c r="D174" s="39"/>
      <c r="E174" s="39"/>
      <c r="F174" s="39"/>
      <c r="G174" s="34"/>
      <c r="H174" s="32"/>
      <c r="I174" s="34"/>
      <c r="J174" s="34"/>
      <c r="K174" s="35"/>
      <c r="L174" s="34"/>
      <c r="M174" s="32"/>
      <c r="N174" s="34"/>
      <c r="O174" s="34"/>
      <c r="P174" s="34"/>
      <c r="Q174" s="34"/>
      <c r="R174" s="34"/>
      <c r="S174" s="34"/>
      <c r="T174" s="34"/>
      <c r="U174" s="34"/>
      <c r="V174" s="34"/>
    </row>
    <row r="175" spans="2:22" x14ac:dyDescent="0.3">
      <c r="B175" s="33"/>
      <c r="C175" s="34"/>
      <c r="D175" s="39"/>
      <c r="E175" s="39"/>
      <c r="F175" s="39"/>
      <c r="G175" s="34"/>
      <c r="H175" s="32"/>
      <c r="I175" s="34"/>
      <c r="J175" s="34"/>
      <c r="K175" s="35"/>
      <c r="L175" s="34"/>
      <c r="M175" s="32"/>
      <c r="N175" s="34"/>
      <c r="O175" s="34"/>
      <c r="P175" s="34"/>
      <c r="Q175" s="34"/>
      <c r="R175" s="34"/>
      <c r="S175" s="34"/>
      <c r="T175" s="34"/>
      <c r="U175" s="34"/>
      <c r="V175" s="34"/>
    </row>
    <row r="176" spans="2:22" x14ac:dyDescent="0.3">
      <c r="B176" s="33"/>
      <c r="C176" s="34"/>
      <c r="D176" s="39"/>
      <c r="E176" s="39"/>
      <c r="F176" s="39"/>
      <c r="G176" s="34"/>
      <c r="H176" s="32"/>
      <c r="I176" s="34"/>
      <c r="J176" s="34"/>
      <c r="K176" s="35"/>
      <c r="L176" s="34"/>
      <c r="M176" s="32"/>
      <c r="N176" s="34"/>
      <c r="O176" s="34"/>
      <c r="P176" s="34"/>
      <c r="Q176" s="34"/>
      <c r="R176" s="34"/>
      <c r="S176" s="34"/>
      <c r="T176" s="34"/>
      <c r="U176" s="34"/>
      <c r="V176" s="34"/>
    </row>
    <row r="177" spans="2:22" x14ac:dyDescent="0.3">
      <c r="B177" s="33"/>
      <c r="C177" s="34"/>
      <c r="D177" s="39"/>
      <c r="E177" s="39"/>
      <c r="F177" s="39"/>
      <c r="G177" s="34"/>
      <c r="H177" s="32"/>
      <c r="I177" s="34"/>
      <c r="J177" s="34"/>
      <c r="K177" s="35"/>
      <c r="L177" s="34"/>
      <c r="M177" s="32"/>
      <c r="N177" s="34"/>
      <c r="O177" s="34"/>
      <c r="P177" s="34"/>
      <c r="Q177" s="34"/>
      <c r="R177" s="34"/>
      <c r="S177" s="34"/>
      <c r="T177" s="34"/>
      <c r="U177" s="34"/>
      <c r="V177" s="34"/>
    </row>
    <row r="178" spans="2:22" x14ac:dyDescent="0.3">
      <c r="B178" s="33"/>
      <c r="C178" s="34"/>
      <c r="D178" s="39"/>
      <c r="E178" s="39"/>
      <c r="F178" s="39"/>
      <c r="G178" s="34"/>
      <c r="H178" s="32"/>
      <c r="I178" s="34"/>
      <c r="J178" s="34"/>
      <c r="K178" s="35"/>
      <c r="L178" s="34"/>
      <c r="M178" s="32"/>
      <c r="N178" s="34"/>
      <c r="O178" s="34"/>
      <c r="P178" s="34"/>
      <c r="Q178" s="34"/>
      <c r="R178" s="34"/>
      <c r="S178" s="34"/>
      <c r="T178" s="34"/>
      <c r="U178" s="34"/>
      <c r="V178" s="34"/>
    </row>
    <row r="179" spans="2:22" x14ac:dyDescent="0.3">
      <c r="B179" s="33"/>
      <c r="C179" s="34"/>
      <c r="D179" s="39"/>
      <c r="E179" s="39"/>
      <c r="F179" s="39"/>
      <c r="G179" s="34"/>
      <c r="H179" s="32"/>
      <c r="I179" s="34"/>
      <c r="J179" s="34"/>
      <c r="K179" s="35"/>
      <c r="L179" s="34"/>
      <c r="M179" s="32"/>
      <c r="N179" s="34"/>
      <c r="O179" s="34"/>
      <c r="P179" s="34"/>
      <c r="Q179" s="34"/>
      <c r="R179" s="34"/>
      <c r="S179" s="34"/>
      <c r="T179" s="34"/>
      <c r="U179" s="34"/>
      <c r="V179" s="34"/>
    </row>
    <row r="180" spans="2:22" x14ac:dyDescent="0.3">
      <c r="B180" s="33"/>
      <c r="C180" s="34"/>
      <c r="D180" s="39"/>
      <c r="E180" s="39"/>
      <c r="F180" s="39"/>
      <c r="G180" s="34"/>
      <c r="H180" s="32"/>
      <c r="I180" s="34"/>
      <c r="J180" s="34"/>
      <c r="K180" s="35"/>
      <c r="L180" s="34"/>
      <c r="M180" s="32"/>
      <c r="N180" s="34"/>
      <c r="O180" s="34"/>
      <c r="P180" s="34"/>
      <c r="Q180" s="34"/>
      <c r="R180" s="34"/>
      <c r="S180" s="34"/>
      <c r="T180" s="34"/>
      <c r="U180" s="34"/>
      <c r="V180" s="34"/>
    </row>
    <row r="181" spans="2:22" x14ac:dyDescent="0.3">
      <c r="B181" s="33"/>
      <c r="C181" s="34"/>
      <c r="D181" s="39"/>
      <c r="E181" s="39"/>
      <c r="F181" s="39"/>
      <c r="G181" s="34"/>
      <c r="H181" s="32"/>
      <c r="I181" s="34"/>
      <c r="J181" s="34"/>
      <c r="K181" s="35"/>
      <c r="L181" s="34"/>
      <c r="M181" s="32"/>
      <c r="N181" s="34"/>
      <c r="O181" s="34"/>
      <c r="P181" s="34"/>
      <c r="Q181" s="34"/>
      <c r="R181" s="34"/>
      <c r="S181" s="34"/>
      <c r="T181" s="34"/>
      <c r="U181" s="34"/>
      <c r="V181" s="34"/>
    </row>
    <row r="182" spans="2:22" x14ac:dyDescent="0.3">
      <c r="B182" s="33"/>
      <c r="C182" s="34"/>
      <c r="D182" s="39"/>
      <c r="E182" s="39"/>
      <c r="F182" s="39"/>
      <c r="G182" s="34"/>
      <c r="H182" s="32"/>
      <c r="I182" s="34"/>
      <c r="J182" s="34"/>
      <c r="K182" s="35"/>
      <c r="L182" s="34"/>
      <c r="M182" s="32"/>
      <c r="N182" s="34"/>
      <c r="O182" s="34"/>
      <c r="P182" s="34"/>
      <c r="Q182" s="34"/>
      <c r="R182" s="34"/>
      <c r="S182" s="34"/>
      <c r="T182" s="34"/>
      <c r="U182" s="34"/>
      <c r="V182" s="34"/>
    </row>
    <row r="183" spans="2:22" x14ac:dyDescent="0.3">
      <c r="B183" s="33"/>
      <c r="C183" s="34"/>
      <c r="D183" s="39"/>
      <c r="E183" s="39"/>
      <c r="F183" s="39"/>
      <c r="G183" s="34"/>
      <c r="H183" s="32"/>
      <c r="I183" s="34"/>
      <c r="J183" s="34"/>
      <c r="K183" s="35"/>
      <c r="L183" s="34"/>
      <c r="M183" s="32"/>
      <c r="N183" s="34"/>
      <c r="O183" s="34"/>
      <c r="P183" s="34"/>
      <c r="Q183" s="34"/>
      <c r="R183" s="34"/>
      <c r="S183" s="34"/>
      <c r="T183" s="34"/>
      <c r="U183" s="34"/>
      <c r="V183" s="34"/>
    </row>
    <row r="184" spans="2:22" x14ac:dyDescent="0.3">
      <c r="B184" s="33"/>
      <c r="C184" s="34"/>
      <c r="D184" s="39"/>
      <c r="E184" s="39"/>
      <c r="F184" s="39"/>
      <c r="G184" s="34"/>
      <c r="H184" s="32"/>
      <c r="I184" s="34"/>
      <c r="J184" s="34"/>
      <c r="K184" s="35"/>
      <c r="L184" s="34"/>
      <c r="M184" s="32"/>
      <c r="N184" s="34"/>
      <c r="O184" s="34"/>
      <c r="P184" s="34"/>
      <c r="Q184" s="34"/>
      <c r="R184" s="34"/>
      <c r="S184" s="34"/>
      <c r="T184" s="34"/>
      <c r="U184" s="34"/>
      <c r="V184" s="34"/>
    </row>
    <row r="185" spans="2:22" x14ac:dyDescent="0.3">
      <c r="B185" s="33"/>
      <c r="C185" s="34"/>
      <c r="D185" s="39"/>
      <c r="E185" s="39"/>
      <c r="F185" s="39"/>
      <c r="G185" s="34"/>
      <c r="H185" s="32"/>
      <c r="I185" s="34"/>
      <c r="J185" s="34"/>
      <c r="K185" s="35"/>
      <c r="L185" s="34"/>
      <c r="M185" s="32"/>
      <c r="N185" s="34"/>
      <c r="O185" s="34"/>
      <c r="P185" s="34"/>
      <c r="Q185" s="34"/>
      <c r="R185" s="34"/>
      <c r="S185" s="34"/>
      <c r="T185" s="34"/>
      <c r="U185" s="34"/>
      <c r="V185" s="34"/>
    </row>
    <row r="186" spans="2:22" x14ac:dyDescent="0.3">
      <c r="B186" s="33"/>
      <c r="C186" s="34"/>
      <c r="D186" s="39"/>
      <c r="E186" s="39"/>
      <c r="F186" s="39"/>
      <c r="G186" s="34"/>
      <c r="H186" s="32"/>
      <c r="I186" s="34"/>
      <c r="J186" s="34"/>
      <c r="K186" s="35"/>
      <c r="L186" s="34"/>
      <c r="M186" s="32"/>
      <c r="N186" s="34"/>
      <c r="O186" s="34"/>
      <c r="P186" s="34"/>
      <c r="Q186" s="34"/>
      <c r="R186" s="34"/>
      <c r="S186" s="34"/>
      <c r="T186" s="34"/>
      <c r="U186" s="34"/>
      <c r="V186" s="34"/>
    </row>
    <row r="187" spans="2:22" x14ac:dyDescent="0.3">
      <c r="B187" s="33"/>
      <c r="C187" s="34"/>
      <c r="D187" s="39"/>
      <c r="E187" s="39"/>
      <c r="F187" s="39"/>
      <c r="G187" s="34"/>
      <c r="H187" s="32"/>
      <c r="I187" s="34"/>
      <c r="J187" s="34"/>
      <c r="K187" s="35"/>
      <c r="L187" s="34"/>
      <c r="M187" s="32"/>
      <c r="N187" s="34"/>
      <c r="O187" s="34"/>
      <c r="P187" s="34"/>
      <c r="Q187" s="34"/>
      <c r="R187" s="34"/>
      <c r="S187" s="34"/>
      <c r="T187" s="34"/>
      <c r="U187" s="34"/>
      <c r="V187" s="34"/>
    </row>
    <row r="188" spans="2:22" x14ac:dyDescent="0.3">
      <c r="B188" s="33"/>
      <c r="C188" s="34"/>
      <c r="D188" s="39"/>
      <c r="E188" s="39"/>
      <c r="F188" s="39"/>
      <c r="G188" s="34"/>
      <c r="H188" s="32"/>
      <c r="I188" s="34"/>
      <c r="J188" s="34"/>
      <c r="K188" s="35"/>
      <c r="L188" s="34"/>
      <c r="M188" s="32"/>
      <c r="N188" s="34"/>
      <c r="O188" s="34"/>
      <c r="P188" s="34"/>
      <c r="Q188" s="34"/>
      <c r="R188" s="34"/>
      <c r="S188" s="34"/>
      <c r="T188" s="34"/>
      <c r="U188" s="34"/>
      <c r="V188" s="34"/>
    </row>
    <row r="189" spans="2:22" x14ac:dyDescent="0.3">
      <c r="B189" s="33"/>
      <c r="C189" s="34"/>
      <c r="D189" s="39"/>
      <c r="E189" s="39"/>
      <c r="F189" s="39"/>
      <c r="G189" s="34"/>
      <c r="H189" s="32"/>
      <c r="I189" s="34"/>
      <c r="J189" s="34"/>
      <c r="K189" s="35"/>
      <c r="L189" s="34"/>
      <c r="M189" s="32"/>
      <c r="N189" s="34"/>
      <c r="O189" s="34"/>
      <c r="P189" s="34"/>
      <c r="Q189" s="34"/>
      <c r="R189" s="34"/>
      <c r="S189" s="34"/>
      <c r="T189" s="34"/>
      <c r="U189" s="34"/>
      <c r="V189" s="34"/>
    </row>
    <row r="190" spans="2:22" x14ac:dyDescent="0.3">
      <c r="B190" s="33"/>
      <c r="C190" s="34"/>
      <c r="D190" s="39"/>
      <c r="E190" s="39"/>
      <c r="F190" s="39"/>
      <c r="G190" s="34"/>
      <c r="H190" s="32"/>
      <c r="I190" s="34"/>
      <c r="J190" s="34"/>
      <c r="K190" s="35"/>
      <c r="L190" s="34"/>
      <c r="M190" s="32"/>
      <c r="N190" s="34"/>
      <c r="O190" s="34"/>
      <c r="P190" s="34"/>
      <c r="Q190" s="34"/>
      <c r="R190" s="34"/>
      <c r="S190" s="34"/>
      <c r="T190" s="34"/>
      <c r="U190" s="34"/>
      <c r="V190" s="34"/>
    </row>
    <row r="191" spans="2:22" x14ac:dyDescent="0.3">
      <c r="B191" s="33"/>
      <c r="C191" s="34"/>
      <c r="D191" s="39"/>
      <c r="E191" s="39"/>
      <c r="F191" s="39"/>
      <c r="G191" s="34"/>
      <c r="H191" s="32"/>
      <c r="I191" s="34"/>
      <c r="J191" s="34"/>
      <c r="K191" s="35"/>
      <c r="L191" s="34"/>
      <c r="M191" s="32"/>
      <c r="N191" s="34"/>
      <c r="O191" s="34"/>
      <c r="P191" s="34"/>
      <c r="Q191" s="34"/>
      <c r="R191" s="34"/>
      <c r="S191" s="34"/>
      <c r="T191" s="34"/>
      <c r="U191" s="34"/>
      <c r="V191" s="34"/>
    </row>
    <row r="192" spans="2:22" x14ac:dyDescent="0.3">
      <c r="B192" s="33"/>
      <c r="C192" s="34"/>
      <c r="D192" s="39"/>
      <c r="E192" s="39"/>
      <c r="F192" s="39"/>
      <c r="G192" s="34"/>
      <c r="H192" s="32"/>
      <c r="I192" s="34"/>
      <c r="J192" s="34"/>
      <c r="K192" s="35"/>
      <c r="L192" s="34"/>
      <c r="M192" s="32"/>
      <c r="N192" s="34"/>
      <c r="O192" s="34"/>
      <c r="P192" s="34"/>
      <c r="Q192" s="34"/>
      <c r="R192" s="34"/>
      <c r="S192" s="34"/>
      <c r="T192" s="34"/>
      <c r="U192" s="34"/>
      <c r="V192" s="34"/>
    </row>
    <row r="193" spans="2:22" x14ac:dyDescent="0.3">
      <c r="B193" s="33"/>
      <c r="C193" s="34"/>
      <c r="D193" s="39"/>
      <c r="E193" s="39"/>
      <c r="F193" s="39"/>
      <c r="G193" s="34"/>
      <c r="H193" s="32"/>
      <c r="I193" s="34"/>
      <c r="J193" s="34"/>
      <c r="K193" s="35"/>
      <c r="L193" s="34"/>
      <c r="M193" s="32"/>
      <c r="N193" s="34"/>
      <c r="O193" s="34"/>
      <c r="P193" s="34"/>
      <c r="Q193" s="34"/>
      <c r="R193" s="34"/>
      <c r="S193" s="34"/>
      <c r="T193" s="34"/>
      <c r="U193" s="34"/>
      <c r="V193" s="34"/>
    </row>
    <row r="194" spans="2:22" x14ac:dyDescent="0.3">
      <c r="B194" s="33"/>
      <c r="C194" s="34"/>
      <c r="D194" s="39"/>
      <c r="E194" s="39"/>
      <c r="F194" s="39"/>
      <c r="G194" s="34"/>
      <c r="H194" s="32"/>
      <c r="I194" s="34"/>
      <c r="J194" s="34"/>
      <c r="K194" s="35"/>
      <c r="L194" s="34"/>
      <c r="M194" s="32"/>
      <c r="N194" s="34"/>
      <c r="O194" s="34"/>
      <c r="P194" s="34"/>
      <c r="Q194" s="34"/>
      <c r="R194" s="34"/>
      <c r="S194" s="34"/>
      <c r="T194" s="34"/>
      <c r="U194" s="34"/>
      <c r="V194" s="34"/>
    </row>
    <row r="195" spans="2:22" x14ac:dyDescent="0.3">
      <c r="B195" s="33"/>
      <c r="C195" s="34"/>
      <c r="D195" s="39"/>
      <c r="E195" s="39"/>
      <c r="F195" s="39"/>
      <c r="G195" s="34"/>
      <c r="H195" s="32"/>
      <c r="I195" s="34"/>
      <c r="J195" s="34"/>
      <c r="K195" s="35"/>
      <c r="L195" s="34"/>
      <c r="M195" s="32"/>
      <c r="N195" s="34"/>
      <c r="O195" s="34"/>
      <c r="P195" s="34"/>
      <c r="Q195" s="34"/>
      <c r="R195" s="34"/>
      <c r="S195" s="34"/>
      <c r="T195" s="34"/>
      <c r="U195" s="34"/>
      <c r="V195" s="34"/>
    </row>
    <row r="196" spans="2:22" x14ac:dyDescent="0.3">
      <c r="B196" s="33"/>
      <c r="C196" s="34"/>
      <c r="D196" s="39"/>
      <c r="E196" s="39"/>
      <c r="F196" s="39"/>
      <c r="G196" s="34"/>
      <c r="H196" s="32"/>
      <c r="I196" s="34"/>
      <c r="J196" s="34"/>
      <c r="K196" s="35"/>
      <c r="L196" s="34"/>
      <c r="M196" s="32"/>
      <c r="N196" s="34"/>
      <c r="O196" s="34"/>
      <c r="P196" s="34"/>
      <c r="Q196" s="34"/>
      <c r="R196" s="34"/>
      <c r="S196" s="34"/>
      <c r="T196" s="34"/>
      <c r="U196" s="34"/>
      <c r="V196" s="34"/>
    </row>
    <row r="197" spans="2:22" x14ac:dyDescent="0.3">
      <c r="B197" s="33"/>
      <c r="C197" s="34"/>
      <c r="D197" s="39"/>
      <c r="E197" s="39"/>
      <c r="F197" s="39"/>
      <c r="G197" s="34"/>
      <c r="H197" s="32"/>
      <c r="I197" s="34"/>
      <c r="J197" s="34"/>
      <c r="K197" s="35"/>
      <c r="L197" s="34"/>
      <c r="M197" s="32"/>
      <c r="N197" s="34"/>
      <c r="O197" s="34"/>
      <c r="P197" s="34"/>
      <c r="Q197" s="34"/>
      <c r="R197" s="34"/>
      <c r="S197" s="34"/>
      <c r="T197" s="34"/>
      <c r="U197" s="34"/>
      <c r="V197" s="34"/>
    </row>
    <row r="198" spans="2:22" x14ac:dyDescent="0.3">
      <c r="B198" s="33"/>
      <c r="C198" s="34"/>
      <c r="D198" s="39"/>
      <c r="E198" s="39"/>
      <c r="F198" s="39"/>
      <c r="G198" s="34"/>
      <c r="H198" s="32"/>
      <c r="I198" s="34"/>
      <c r="J198" s="34"/>
      <c r="K198" s="35"/>
      <c r="L198" s="34"/>
      <c r="M198" s="32"/>
      <c r="N198" s="34"/>
      <c r="O198" s="34"/>
      <c r="P198" s="34"/>
      <c r="Q198" s="34"/>
      <c r="R198" s="34"/>
      <c r="S198" s="34"/>
      <c r="T198" s="34"/>
      <c r="U198" s="34"/>
      <c r="V198" s="34"/>
    </row>
    <row r="199" spans="2:22" x14ac:dyDescent="0.3">
      <c r="B199" s="33"/>
      <c r="C199" s="34"/>
      <c r="D199" s="39"/>
      <c r="E199" s="39"/>
      <c r="F199" s="39"/>
      <c r="G199" s="34"/>
      <c r="H199" s="32"/>
      <c r="I199" s="34"/>
      <c r="J199" s="34"/>
      <c r="K199" s="35"/>
      <c r="L199" s="34"/>
      <c r="M199" s="32"/>
      <c r="N199" s="34"/>
      <c r="O199" s="34"/>
      <c r="P199" s="34"/>
      <c r="Q199" s="34"/>
      <c r="R199" s="34"/>
      <c r="S199" s="34"/>
      <c r="T199" s="34"/>
      <c r="U199" s="34"/>
      <c r="V199" s="34"/>
    </row>
    <row r="200" spans="2:22" x14ac:dyDescent="0.3">
      <c r="B200" s="33"/>
      <c r="C200" s="34"/>
      <c r="D200" s="39"/>
      <c r="E200" s="39"/>
      <c r="F200" s="39"/>
      <c r="G200" s="34"/>
      <c r="H200" s="32"/>
      <c r="I200" s="34"/>
      <c r="J200" s="34"/>
      <c r="K200" s="35"/>
      <c r="L200" s="34"/>
      <c r="M200" s="32"/>
      <c r="N200" s="34"/>
      <c r="O200" s="34"/>
      <c r="P200" s="34"/>
      <c r="Q200" s="34"/>
      <c r="R200" s="34"/>
      <c r="S200" s="34"/>
      <c r="T200" s="34"/>
      <c r="U200" s="34"/>
      <c r="V200" s="34"/>
    </row>
    <row r="201" spans="2:22" x14ac:dyDescent="0.3">
      <c r="B201" s="33"/>
      <c r="C201" s="34"/>
      <c r="D201" s="39"/>
      <c r="E201" s="39"/>
      <c r="F201" s="39"/>
      <c r="G201" s="34"/>
      <c r="H201" s="32"/>
      <c r="I201" s="34"/>
      <c r="J201" s="34"/>
      <c r="K201" s="35"/>
      <c r="L201" s="34"/>
      <c r="M201" s="32"/>
      <c r="N201" s="34"/>
      <c r="O201" s="34"/>
      <c r="P201" s="34"/>
      <c r="Q201" s="34"/>
      <c r="R201" s="34"/>
      <c r="S201" s="34"/>
      <c r="T201" s="34"/>
      <c r="U201" s="34"/>
      <c r="V201" s="34"/>
    </row>
    <row r="202" spans="2:22" x14ac:dyDescent="0.3">
      <c r="B202" s="33"/>
      <c r="C202" s="34"/>
      <c r="D202" s="39"/>
      <c r="E202" s="39"/>
      <c r="F202" s="39"/>
      <c r="G202" s="34"/>
      <c r="H202" s="32"/>
      <c r="I202" s="34"/>
      <c r="J202" s="34"/>
      <c r="K202" s="35"/>
      <c r="L202" s="34"/>
      <c r="M202" s="32"/>
      <c r="N202" s="34"/>
      <c r="O202" s="34"/>
      <c r="P202" s="34"/>
      <c r="Q202" s="34"/>
      <c r="R202" s="34"/>
      <c r="S202" s="34"/>
      <c r="T202" s="34"/>
      <c r="U202" s="34"/>
      <c r="V202" s="34"/>
    </row>
    <row r="203" spans="2:22" x14ac:dyDescent="0.3">
      <c r="B203" s="33"/>
      <c r="C203" s="34"/>
      <c r="D203" s="39"/>
      <c r="E203" s="39"/>
      <c r="F203" s="39"/>
      <c r="G203" s="34"/>
      <c r="H203" s="32"/>
      <c r="I203" s="34"/>
      <c r="J203" s="34"/>
      <c r="K203" s="35"/>
      <c r="L203" s="34"/>
      <c r="M203" s="32"/>
      <c r="N203" s="34"/>
      <c r="O203" s="34"/>
      <c r="P203" s="34"/>
      <c r="Q203" s="34"/>
      <c r="R203" s="34"/>
      <c r="S203" s="34"/>
      <c r="T203" s="34"/>
      <c r="U203" s="34"/>
      <c r="V203" s="34"/>
    </row>
    <row r="204" spans="2:22" x14ac:dyDescent="0.3">
      <c r="B204" s="33"/>
      <c r="C204" s="34"/>
      <c r="D204" s="39"/>
      <c r="E204" s="39"/>
      <c r="F204" s="39"/>
      <c r="G204" s="34"/>
      <c r="H204" s="32"/>
      <c r="I204" s="34"/>
      <c r="J204" s="34"/>
      <c r="K204" s="35"/>
      <c r="L204" s="34"/>
      <c r="M204" s="32"/>
      <c r="N204" s="34"/>
      <c r="O204" s="34"/>
      <c r="P204" s="34"/>
      <c r="Q204" s="34"/>
      <c r="R204" s="34"/>
      <c r="S204" s="34"/>
      <c r="T204" s="34"/>
      <c r="U204" s="34"/>
      <c r="V204" s="34"/>
    </row>
    <row r="205" spans="2:22" x14ac:dyDescent="0.3">
      <c r="B205" s="33"/>
      <c r="C205" s="34"/>
      <c r="D205" s="39"/>
      <c r="E205" s="39"/>
      <c r="F205" s="39"/>
      <c r="G205" s="34"/>
      <c r="H205" s="32"/>
      <c r="I205" s="34"/>
      <c r="J205" s="34"/>
      <c r="K205" s="35"/>
      <c r="L205" s="34"/>
      <c r="M205" s="32"/>
      <c r="N205" s="34"/>
      <c r="O205" s="34"/>
      <c r="P205" s="34"/>
      <c r="Q205" s="34"/>
      <c r="R205" s="34"/>
      <c r="S205" s="34"/>
      <c r="T205" s="34"/>
      <c r="U205" s="34"/>
      <c r="V205" s="34"/>
    </row>
    <row r="206" spans="2:22" x14ac:dyDescent="0.3">
      <c r="B206" s="33"/>
      <c r="C206" s="34"/>
      <c r="D206" s="39"/>
      <c r="E206" s="39"/>
      <c r="F206" s="39"/>
      <c r="G206" s="34"/>
      <c r="H206" s="32"/>
      <c r="I206" s="34"/>
      <c r="J206" s="34"/>
      <c r="K206" s="35"/>
      <c r="L206" s="34"/>
      <c r="M206" s="32"/>
      <c r="N206" s="34"/>
      <c r="O206" s="34"/>
      <c r="P206" s="34"/>
      <c r="Q206" s="34"/>
      <c r="R206" s="34"/>
      <c r="S206" s="34"/>
      <c r="T206" s="34"/>
      <c r="U206" s="34"/>
      <c r="V206" s="34"/>
    </row>
    <row r="207" spans="2:22" x14ac:dyDescent="0.3">
      <c r="B207" s="33"/>
      <c r="C207" s="34"/>
      <c r="D207" s="39"/>
      <c r="E207" s="39"/>
      <c r="F207" s="39"/>
      <c r="G207" s="34"/>
      <c r="H207" s="32"/>
      <c r="I207" s="34"/>
      <c r="J207" s="34"/>
      <c r="K207" s="35"/>
      <c r="L207" s="34"/>
      <c r="M207" s="32"/>
      <c r="N207" s="34"/>
      <c r="O207" s="34"/>
      <c r="P207" s="34"/>
      <c r="Q207" s="34"/>
      <c r="R207" s="34"/>
      <c r="S207" s="34"/>
      <c r="T207" s="34"/>
      <c r="U207" s="34"/>
      <c r="V207" s="34"/>
    </row>
    <row r="208" spans="2:22" x14ac:dyDescent="0.3">
      <c r="B208" s="33"/>
      <c r="C208" s="34"/>
      <c r="D208" s="39"/>
      <c r="E208" s="39"/>
      <c r="F208" s="39"/>
      <c r="G208" s="34"/>
      <c r="H208" s="32"/>
      <c r="I208" s="34"/>
      <c r="J208" s="34"/>
      <c r="K208" s="35"/>
      <c r="L208" s="34"/>
      <c r="M208" s="32"/>
      <c r="N208" s="34"/>
      <c r="O208" s="34"/>
      <c r="P208" s="34"/>
      <c r="Q208" s="34"/>
      <c r="R208" s="34"/>
      <c r="S208" s="34"/>
      <c r="T208" s="34"/>
      <c r="U208" s="34"/>
      <c r="V208" s="34"/>
    </row>
    <row r="209" spans="2:22" x14ac:dyDescent="0.3">
      <c r="B209" s="33"/>
      <c r="C209" s="34"/>
      <c r="D209" s="39"/>
      <c r="E209" s="39"/>
      <c r="F209" s="39"/>
      <c r="G209" s="34"/>
      <c r="H209" s="32"/>
      <c r="I209" s="34"/>
      <c r="J209" s="34"/>
      <c r="K209" s="35"/>
      <c r="L209" s="34"/>
      <c r="M209" s="32"/>
      <c r="N209" s="34"/>
      <c r="O209" s="34"/>
      <c r="P209" s="34"/>
      <c r="Q209" s="34"/>
      <c r="R209" s="34"/>
      <c r="S209" s="34"/>
      <c r="T209" s="34"/>
      <c r="U209" s="34"/>
      <c r="V209" s="34"/>
    </row>
    <row r="210" spans="2:22" x14ac:dyDescent="0.3">
      <c r="B210" s="33"/>
      <c r="C210" s="34"/>
      <c r="D210" s="39"/>
      <c r="E210" s="39"/>
      <c r="F210" s="39"/>
      <c r="G210" s="34"/>
      <c r="H210" s="32"/>
      <c r="I210" s="34"/>
      <c r="J210" s="34"/>
      <c r="K210" s="35"/>
      <c r="L210" s="34"/>
      <c r="M210" s="32"/>
      <c r="N210" s="34"/>
      <c r="O210" s="34"/>
      <c r="P210" s="34"/>
      <c r="Q210" s="34"/>
      <c r="R210" s="34"/>
      <c r="S210" s="34"/>
      <c r="T210" s="34"/>
      <c r="U210" s="34"/>
      <c r="V210" s="34"/>
    </row>
    <row r="211" spans="2:22" x14ac:dyDescent="0.3">
      <c r="B211" s="33"/>
      <c r="C211" s="34"/>
      <c r="D211" s="39"/>
      <c r="E211" s="39"/>
      <c r="F211" s="39"/>
      <c r="G211" s="34"/>
      <c r="H211" s="32"/>
      <c r="I211" s="34"/>
      <c r="J211" s="34"/>
      <c r="K211" s="35"/>
      <c r="L211" s="34"/>
      <c r="M211" s="32"/>
      <c r="N211" s="34"/>
      <c r="O211" s="34"/>
      <c r="P211" s="34"/>
      <c r="Q211" s="34"/>
      <c r="R211" s="34"/>
      <c r="S211" s="34"/>
      <c r="T211" s="34"/>
      <c r="U211" s="34"/>
      <c r="V211" s="34"/>
    </row>
    <row r="212" spans="2:22" x14ac:dyDescent="0.3">
      <c r="B212" s="33"/>
      <c r="C212" s="34"/>
      <c r="D212" s="39"/>
      <c r="E212" s="39"/>
      <c r="F212" s="39"/>
      <c r="G212" s="34"/>
      <c r="H212" s="32"/>
      <c r="I212" s="34"/>
      <c r="J212" s="34"/>
      <c r="K212" s="35"/>
      <c r="L212" s="34"/>
      <c r="M212" s="32"/>
      <c r="N212" s="34"/>
      <c r="O212" s="34"/>
      <c r="P212" s="34"/>
      <c r="Q212" s="34"/>
      <c r="R212" s="34"/>
      <c r="S212" s="34"/>
      <c r="T212" s="34"/>
      <c r="U212" s="34"/>
      <c r="V212" s="34"/>
    </row>
    <row r="213" spans="2:22" x14ac:dyDescent="0.3">
      <c r="B213" s="33"/>
      <c r="C213" s="34"/>
      <c r="D213" s="39"/>
      <c r="E213" s="39"/>
      <c r="F213" s="39"/>
      <c r="G213" s="34"/>
      <c r="H213" s="32"/>
      <c r="I213" s="34"/>
      <c r="J213" s="34"/>
      <c r="K213" s="35"/>
      <c r="L213" s="34"/>
      <c r="M213" s="32"/>
      <c r="N213" s="34"/>
      <c r="O213" s="34"/>
      <c r="P213" s="34"/>
      <c r="Q213" s="34"/>
      <c r="R213" s="34"/>
      <c r="S213" s="34"/>
      <c r="T213" s="34"/>
      <c r="U213" s="34"/>
      <c r="V213" s="34"/>
    </row>
    <row r="214" spans="2:22" x14ac:dyDescent="0.3">
      <c r="B214" s="33"/>
      <c r="C214" s="34"/>
      <c r="D214" s="39"/>
      <c r="E214" s="39"/>
      <c r="F214" s="39"/>
      <c r="G214" s="34"/>
      <c r="H214" s="32"/>
      <c r="I214" s="34"/>
      <c r="J214" s="34"/>
      <c r="K214" s="35"/>
      <c r="L214" s="34"/>
      <c r="M214" s="32"/>
      <c r="N214" s="34"/>
      <c r="O214" s="34"/>
      <c r="P214" s="34"/>
      <c r="Q214" s="34"/>
      <c r="R214" s="34"/>
      <c r="S214" s="34"/>
      <c r="T214" s="34"/>
      <c r="U214" s="34"/>
      <c r="V214" s="34"/>
    </row>
    <row r="215" spans="2:22" x14ac:dyDescent="0.3">
      <c r="B215" s="33"/>
      <c r="C215" s="34"/>
      <c r="D215" s="39"/>
      <c r="E215" s="39"/>
      <c r="F215" s="39"/>
      <c r="G215" s="34"/>
      <c r="H215" s="32"/>
      <c r="I215" s="34"/>
      <c r="J215" s="34"/>
      <c r="K215" s="35"/>
      <c r="L215" s="34"/>
      <c r="M215" s="32"/>
      <c r="N215" s="34"/>
      <c r="O215" s="34"/>
      <c r="P215" s="34"/>
      <c r="Q215" s="34"/>
      <c r="R215" s="34"/>
      <c r="S215" s="34"/>
      <c r="T215" s="34"/>
      <c r="U215" s="34"/>
      <c r="V215" s="34"/>
    </row>
    <row r="216" spans="2:22" x14ac:dyDescent="0.3">
      <c r="B216" s="33"/>
      <c r="C216" s="34"/>
      <c r="D216" s="39"/>
      <c r="E216" s="39"/>
      <c r="F216" s="39"/>
      <c r="G216" s="34"/>
      <c r="H216" s="32"/>
      <c r="I216" s="34"/>
      <c r="J216" s="34"/>
      <c r="K216" s="35"/>
      <c r="L216" s="34"/>
      <c r="M216" s="32"/>
      <c r="N216" s="34"/>
      <c r="O216" s="34"/>
      <c r="P216" s="34"/>
      <c r="Q216" s="34"/>
      <c r="R216" s="34"/>
      <c r="S216" s="34"/>
      <c r="T216" s="34"/>
      <c r="U216" s="34"/>
      <c r="V216" s="34"/>
    </row>
    <row r="217" spans="2:22" x14ac:dyDescent="0.3">
      <c r="B217" s="33"/>
      <c r="C217" s="34"/>
      <c r="D217" s="39"/>
      <c r="E217" s="39"/>
      <c r="F217" s="39"/>
      <c r="G217" s="34"/>
      <c r="H217" s="32"/>
      <c r="I217" s="34"/>
      <c r="J217" s="34"/>
      <c r="K217" s="35"/>
      <c r="L217" s="34"/>
      <c r="M217" s="32"/>
      <c r="N217" s="34"/>
      <c r="O217" s="34"/>
      <c r="P217" s="34"/>
      <c r="Q217" s="34"/>
      <c r="R217" s="34"/>
      <c r="S217" s="34"/>
      <c r="T217" s="34"/>
      <c r="U217" s="34"/>
      <c r="V217" s="34"/>
    </row>
    <row r="218" spans="2:22" x14ac:dyDescent="0.3">
      <c r="B218" s="33"/>
      <c r="C218" s="34"/>
      <c r="D218" s="39"/>
      <c r="E218" s="39"/>
      <c r="F218" s="39"/>
      <c r="G218" s="34"/>
      <c r="H218" s="32"/>
      <c r="I218" s="34"/>
      <c r="J218" s="34"/>
      <c r="K218" s="35"/>
      <c r="L218" s="34"/>
      <c r="M218" s="32"/>
      <c r="N218" s="34"/>
      <c r="O218" s="34"/>
      <c r="P218" s="34"/>
      <c r="Q218" s="34"/>
      <c r="R218" s="34"/>
      <c r="S218" s="34"/>
      <c r="T218" s="34"/>
      <c r="U218" s="34"/>
      <c r="V218" s="34"/>
    </row>
    <row r="219" spans="2:22" x14ac:dyDescent="0.3">
      <c r="B219" s="33"/>
      <c r="C219" s="34"/>
      <c r="D219" s="39"/>
      <c r="E219" s="39"/>
      <c r="F219" s="39"/>
      <c r="G219" s="34"/>
      <c r="H219" s="32"/>
      <c r="I219" s="34"/>
      <c r="J219" s="34"/>
      <c r="K219" s="35"/>
      <c r="L219" s="34"/>
      <c r="M219" s="32"/>
      <c r="N219" s="34"/>
      <c r="O219" s="34"/>
      <c r="P219" s="34"/>
      <c r="Q219" s="34"/>
      <c r="R219" s="34"/>
      <c r="S219" s="34"/>
      <c r="T219" s="34"/>
      <c r="U219" s="34"/>
      <c r="V219" s="34"/>
    </row>
    <row r="220" spans="2:22" x14ac:dyDescent="0.3">
      <c r="B220" s="33"/>
      <c r="C220" s="34"/>
      <c r="D220" s="39"/>
      <c r="E220" s="39"/>
      <c r="F220" s="39"/>
      <c r="G220" s="34"/>
      <c r="H220" s="32"/>
      <c r="I220" s="34"/>
      <c r="J220" s="34"/>
      <c r="K220" s="35"/>
      <c r="L220" s="34"/>
      <c r="M220" s="32"/>
      <c r="N220" s="34"/>
      <c r="O220" s="34"/>
      <c r="P220" s="34"/>
      <c r="Q220" s="34"/>
      <c r="R220" s="34"/>
      <c r="S220" s="34"/>
      <c r="T220" s="34"/>
      <c r="U220" s="34"/>
      <c r="V220" s="34"/>
    </row>
    <row r="221" spans="2:22" x14ac:dyDescent="0.3">
      <c r="B221" s="33"/>
      <c r="C221" s="34"/>
      <c r="D221" s="39"/>
      <c r="E221" s="39"/>
      <c r="F221" s="39"/>
      <c r="G221" s="34"/>
      <c r="H221" s="32"/>
      <c r="I221" s="34"/>
      <c r="J221" s="34"/>
      <c r="K221" s="35"/>
      <c r="L221" s="34"/>
      <c r="M221" s="32"/>
      <c r="N221" s="34"/>
      <c r="O221" s="34"/>
      <c r="P221" s="34"/>
      <c r="Q221" s="34"/>
      <c r="R221" s="34"/>
      <c r="S221" s="34"/>
      <c r="T221" s="34"/>
      <c r="U221" s="34"/>
      <c r="V221" s="34"/>
    </row>
    <row r="222" spans="2:22" x14ac:dyDescent="0.3">
      <c r="B222" s="33"/>
      <c r="C222" s="34"/>
      <c r="D222" s="39"/>
      <c r="E222" s="39"/>
      <c r="F222" s="39"/>
      <c r="G222" s="34"/>
      <c r="H222" s="32"/>
      <c r="I222" s="34"/>
      <c r="J222" s="34"/>
      <c r="K222" s="35"/>
      <c r="L222" s="34"/>
      <c r="M222" s="32"/>
      <c r="N222" s="34"/>
      <c r="O222" s="34"/>
      <c r="P222" s="34"/>
      <c r="Q222" s="34"/>
      <c r="R222" s="34"/>
      <c r="S222" s="34"/>
      <c r="T222" s="34"/>
      <c r="U222" s="34"/>
      <c r="V222" s="34"/>
    </row>
    <row r="223" spans="2:22" x14ac:dyDescent="0.3">
      <c r="B223" s="33"/>
      <c r="C223" s="34"/>
      <c r="D223" s="39"/>
      <c r="E223" s="39"/>
      <c r="F223" s="39"/>
      <c r="G223" s="34"/>
      <c r="H223" s="32"/>
      <c r="I223" s="34"/>
      <c r="J223" s="34"/>
      <c r="K223" s="35"/>
      <c r="L223" s="34"/>
      <c r="M223" s="32"/>
      <c r="N223" s="34"/>
      <c r="O223" s="34"/>
      <c r="P223" s="34"/>
      <c r="Q223" s="34"/>
      <c r="R223" s="34"/>
      <c r="S223" s="34"/>
      <c r="T223" s="34"/>
      <c r="U223" s="34"/>
      <c r="V223" s="34"/>
    </row>
    <row r="224" spans="2:22" x14ac:dyDescent="0.3">
      <c r="B224" s="33"/>
      <c r="C224" s="34"/>
      <c r="D224" s="39"/>
      <c r="E224" s="39"/>
      <c r="F224" s="39"/>
      <c r="G224" s="34"/>
      <c r="H224" s="32"/>
      <c r="I224" s="34"/>
      <c r="J224" s="34"/>
      <c r="K224" s="35"/>
      <c r="L224" s="34"/>
      <c r="M224" s="32"/>
      <c r="N224" s="34"/>
      <c r="O224" s="34"/>
      <c r="P224" s="34"/>
      <c r="Q224" s="34"/>
      <c r="R224" s="34"/>
      <c r="S224" s="34"/>
      <c r="T224" s="34"/>
      <c r="U224" s="34"/>
      <c r="V224" s="34"/>
    </row>
    <row r="225" spans="2:22" x14ac:dyDescent="0.3">
      <c r="B225" s="33"/>
      <c r="C225" s="34"/>
      <c r="D225" s="39"/>
      <c r="E225" s="39"/>
      <c r="F225" s="39"/>
      <c r="G225" s="34"/>
      <c r="H225" s="32"/>
      <c r="I225" s="34"/>
      <c r="J225" s="34"/>
      <c r="K225" s="35"/>
      <c r="L225" s="34"/>
      <c r="M225" s="32"/>
      <c r="N225" s="34"/>
      <c r="O225" s="34"/>
      <c r="P225" s="34"/>
      <c r="Q225" s="34"/>
      <c r="R225" s="34"/>
      <c r="S225" s="34"/>
      <c r="T225" s="34"/>
      <c r="U225" s="34"/>
      <c r="V225" s="34"/>
    </row>
    <row r="226" spans="2:22" x14ac:dyDescent="0.3">
      <c r="B226" s="33"/>
      <c r="C226" s="34"/>
      <c r="D226" s="39"/>
      <c r="E226" s="39"/>
      <c r="F226" s="39"/>
      <c r="G226" s="34"/>
      <c r="H226" s="32"/>
      <c r="I226" s="34"/>
      <c r="J226" s="34"/>
      <c r="K226" s="35"/>
      <c r="L226" s="34"/>
      <c r="M226" s="32"/>
      <c r="N226" s="34"/>
      <c r="O226" s="34"/>
      <c r="P226" s="34"/>
      <c r="Q226" s="34"/>
      <c r="R226" s="34"/>
      <c r="S226" s="34"/>
      <c r="T226" s="34"/>
      <c r="U226" s="34"/>
      <c r="V226" s="34"/>
    </row>
    <row r="227" spans="2:22" x14ac:dyDescent="0.3">
      <c r="B227" s="33"/>
      <c r="C227" s="34"/>
      <c r="D227" s="39"/>
      <c r="E227" s="39"/>
      <c r="F227" s="39"/>
      <c r="G227" s="34"/>
      <c r="H227" s="32"/>
      <c r="I227" s="34"/>
      <c r="J227" s="34"/>
      <c r="K227" s="35"/>
      <c r="L227" s="34"/>
      <c r="M227" s="32"/>
      <c r="N227" s="34"/>
      <c r="O227" s="34"/>
      <c r="P227" s="34"/>
      <c r="Q227" s="34"/>
      <c r="R227" s="34"/>
      <c r="S227" s="34"/>
      <c r="T227" s="34"/>
      <c r="U227" s="34"/>
      <c r="V227" s="34"/>
    </row>
    <row r="228" spans="2:22" x14ac:dyDescent="0.3">
      <c r="B228" s="33"/>
      <c r="C228" s="34"/>
      <c r="D228" s="39"/>
      <c r="E228" s="39"/>
      <c r="F228" s="39"/>
      <c r="G228" s="34"/>
      <c r="H228" s="32"/>
      <c r="I228" s="34"/>
      <c r="J228" s="34"/>
      <c r="K228" s="35"/>
      <c r="L228" s="34"/>
      <c r="M228" s="32"/>
      <c r="N228" s="34"/>
      <c r="O228" s="34"/>
      <c r="P228" s="34"/>
      <c r="Q228" s="34"/>
      <c r="R228" s="34"/>
      <c r="S228" s="34"/>
      <c r="T228" s="34"/>
      <c r="U228" s="34"/>
      <c r="V228" s="34"/>
    </row>
    <row r="229" spans="2:22" x14ac:dyDescent="0.3">
      <c r="B229" s="33"/>
      <c r="C229" s="34"/>
      <c r="D229" s="39"/>
      <c r="E229" s="39"/>
      <c r="F229" s="39"/>
      <c r="G229" s="34"/>
      <c r="H229" s="32"/>
      <c r="I229" s="34"/>
      <c r="J229" s="34"/>
      <c r="K229" s="35"/>
      <c r="L229" s="34"/>
      <c r="M229" s="32"/>
      <c r="N229" s="34"/>
      <c r="O229" s="34"/>
      <c r="P229" s="34"/>
      <c r="Q229" s="34"/>
      <c r="R229" s="34"/>
      <c r="S229" s="34"/>
      <c r="T229" s="34"/>
      <c r="U229" s="34"/>
      <c r="V229" s="34"/>
    </row>
    <row r="230" spans="2:22" x14ac:dyDescent="0.3">
      <c r="B230" s="33"/>
      <c r="C230" s="34"/>
      <c r="D230" s="39"/>
      <c r="E230" s="39"/>
      <c r="F230" s="39"/>
      <c r="G230" s="34"/>
      <c r="H230" s="32"/>
      <c r="I230" s="34"/>
      <c r="J230" s="34"/>
      <c r="K230" s="35"/>
      <c r="L230" s="34"/>
      <c r="M230" s="32"/>
      <c r="N230" s="34"/>
      <c r="O230" s="34"/>
      <c r="P230" s="34"/>
      <c r="Q230" s="34"/>
      <c r="R230" s="34"/>
      <c r="S230" s="34"/>
      <c r="T230" s="34"/>
      <c r="U230" s="34"/>
      <c r="V230" s="34"/>
    </row>
    <row r="231" spans="2:22" x14ac:dyDescent="0.3">
      <c r="B231" s="33"/>
      <c r="C231" s="34"/>
      <c r="D231" s="39"/>
      <c r="E231" s="39"/>
      <c r="F231" s="39"/>
      <c r="G231" s="34"/>
      <c r="H231" s="32"/>
      <c r="I231" s="34"/>
      <c r="J231" s="34"/>
      <c r="K231" s="35"/>
      <c r="L231" s="34"/>
      <c r="M231" s="32"/>
      <c r="N231" s="34"/>
      <c r="O231" s="34"/>
      <c r="P231" s="34"/>
      <c r="Q231" s="34"/>
      <c r="R231" s="34"/>
      <c r="S231" s="34"/>
      <c r="T231" s="34"/>
      <c r="U231" s="34"/>
      <c r="V231" s="34"/>
    </row>
    <row r="232" spans="2:22" x14ac:dyDescent="0.3">
      <c r="B232" s="33"/>
      <c r="C232" s="34"/>
      <c r="D232" s="39"/>
      <c r="E232" s="39"/>
      <c r="F232" s="39"/>
      <c r="G232" s="34"/>
      <c r="H232" s="32"/>
      <c r="I232" s="34"/>
      <c r="J232" s="34"/>
      <c r="K232" s="35"/>
      <c r="L232" s="34"/>
      <c r="M232" s="32"/>
      <c r="N232" s="34"/>
      <c r="O232" s="34"/>
      <c r="P232" s="34"/>
      <c r="Q232" s="34"/>
      <c r="R232" s="34"/>
      <c r="S232" s="34"/>
      <c r="T232" s="34"/>
      <c r="U232" s="34"/>
      <c r="V232" s="34"/>
    </row>
    <row r="233" spans="2:22" x14ac:dyDescent="0.3">
      <c r="B233" s="33"/>
      <c r="C233" s="34"/>
      <c r="D233" s="39"/>
      <c r="E233" s="39"/>
      <c r="F233" s="39"/>
      <c r="G233" s="34"/>
      <c r="H233" s="32"/>
      <c r="I233" s="34"/>
      <c r="J233" s="34"/>
      <c r="K233" s="35"/>
      <c r="L233" s="34"/>
      <c r="M233" s="32"/>
      <c r="N233" s="34"/>
      <c r="O233" s="34"/>
      <c r="P233" s="34"/>
      <c r="Q233" s="34"/>
      <c r="R233" s="34"/>
      <c r="S233" s="34"/>
      <c r="T233" s="34"/>
      <c r="U233" s="34"/>
      <c r="V233" s="34"/>
    </row>
    <row r="234" spans="2:22" x14ac:dyDescent="0.3">
      <c r="B234" s="33"/>
      <c r="C234" s="34"/>
      <c r="D234" s="39"/>
      <c r="E234" s="39"/>
      <c r="F234" s="39"/>
      <c r="G234" s="34"/>
      <c r="H234" s="32"/>
      <c r="I234" s="34"/>
      <c r="J234" s="34"/>
      <c r="K234" s="35"/>
      <c r="L234" s="34"/>
      <c r="M234" s="32"/>
      <c r="N234" s="34"/>
      <c r="O234" s="34"/>
      <c r="P234" s="34"/>
      <c r="Q234" s="34"/>
      <c r="R234" s="34"/>
      <c r="S234" s="34"/>
      <c r="T234" s="34"/>
      <c r="U234" s="34"/>
      <c r="V234" s="34"/>
    </row>
    <row r="235" spans="2:22" x14ac:dyDescent="0.3">
      <c r="B235" s="33"/>
      <c r="C235" s="34"/>
      <c r="D235" s="39"/>
      <c r="E235" s="39"/>
      <c r="F235" s="39"/>
      <c r="G235" s="34"/>
      <c r="H235" s="32"/>
      <c r="I235" s="34"/>
      <c r="J235" s="34"/>
      <c r="K235" s="35"/>
      <c r="L235" s="34"/>
      <c r="M235" s="32"/>
      <c r="N235" s="34"/>
      <c r="O235" s="34"/>
      <c r="P235" s="34"/>
      <c r="Q235" s="34"/>
      <c r="R235" s="34"/>
      <c r="S235" s="34"/>
      <c r="T235" s="34"/>
      <c r="U235" s="34"/>
      <c r="V235" s="34"/>
    </row>
    <row r="236" spans="2:22" x14ac:dyDescent="0.3">
      <c r="B236" s="33"/>
      <c r="C236" s="34"/>
      <c r="D236" s="39"/>
      <c r="E236" s="39"/>
      <c r="F236" s="39"/>
      <c r="G236" s="34"/>
      <c r="H236" s="32"/>
      <c r="I236" s="34"/>
      <c r="J236" s="34"/>
      <c r="K236" s="35"/>
      <c r="L236" s="34"/>
      <c r="M236" s="32"/>
      <c r="N236" s="34"/>
      <c r="O236" s="34"/>
      <c r="P236" s="34"/>
      <c r="Q236" s="34"/>
      <c r="R236" s="34"/>
      <c r="S236" s="34"/>
      <c r="T236" s="34"/>
      <c r="U236" s="34"/>
      <c r="V236" s="34"/>
    </row>
    <row r="237" spans="2:22" x14ac:dyDescent="0.3">
      <c r="B237" s="33"/>
      <c r="C237" s="34"/>
      <c r="D237" s="39"/>
      <c r="E237" s="39"/>
      <c r="F237" s="39"/>
      <c r="G237" s="34"/>
      <c r="H237" s="32"/>
      <c r="I237" s="34"/>
      <c r="J237" s="34"/>
      <c r="K237" s="35"/>
      <c r="L237" s="34"/>
      <c r="M237" s="32"/>
      <c r="N237" s="34"/>
      <c r="O237" s="34"/>
      <c r="P237" s="34"/>
      <c r="Q237" s="34"/>
      <c r="R237" s="34"/>
      <c r="S237" s="34"/>
      <c r="T237" s="34"/>
      <c r="U237" s="34"/>
      <c r="V237" s="34"/>
    </row>
    <row r="238" spans="2:22" x14ac:dyDescent="0.3">
      <c r="B238" s="33"/>
      <c r="C238" s="34"/>
      <c r="D238" s="39"/>
      <c r="E238" s="39"/>
      <c r="F238" s="39"/>
      <c r="G238" s="34"/>
      <c r="H238" s="32"/>
      <c r="I238" s="34"/>
      <c r="J238" s="34"/>
      <c r="K238" s="35"/>
      <c r="L238" s="34"/>
      <c r="M238" s="32"/>
      <c r="N238" s="34"/>
      <c r="O238" s="34"/>
      <c r="P238" s="34"/>
      <c r="Q238" s="34"/>
      <c r="R238" s="34"/>
      <c r="S238" s="34"/>
      <c r="T238" s="34"/>
      <c r="U238" s="34"/>
      <c r="V238" s="34"/>
    </row>
    <row r="239" spans="2:22" x14ac:dyDescent="0.3">
      <c r="B239" s="33"/>
      <c r="C239" s="34"/>
      <c r="D239" s="39"/>
      <c r="E239" s="39"/>
      <c r="F239" s="39"/>
      <c r="G239" s="34"/>
      <c r="H239" s="32"/>
      <c r="I239" s="34"/>
      <c r="J239" s="34"/>
      <c r="K239" s="35"/>
      <c r="L239" s="34"/>
      <c r="M239" s="32"/>
      <c r="N239" s="34"/>
      <c r="O239" s="34"/>
      <c r="P239" s="34"/>
      <c r="Q239" s="34"/>
      <c r="R239" s="34"/>
      <c r="S239" s="34"/>
      <c r="T239" s="34"/>
      <c r="U239" s="34"/>
      <c r="V239" s="34"/>
    </row>
    <row r="240" spans="2:22" x14ac:dyDescent="0.3">
      <c r="B240" s="33"/>
      <c r="C240" s="34"/>
      <c r="D240" s="39"/>
      <c r="E240" s="39"/>
      <c r="F240" s="39"/>
      <c r="G240" s="34"/>
      <c r="H240" s="32"/>
      <c r="I240" s="34"/>
      <c r="J240" s="34"/>
      <c r="K240" s="35"/>
      <c r="L240" s="34"/>
      <c r="M240" s="32"/>
      <c r="N240" s="34"/>
      <c r="O240" s="34"/>
      <c r="P240" s="34"/>
      <c r="Q240" s="34"/>
      <c r="R240" s="34"/>
      <c r="S240" s="34"/>
      <c r="T240" s="34"/>
      <c r="U240" s="34"/>
      <c r="V240" s="34"/>
    </row>
    <row r="241" spans="2:22" x14ac:dyDescent="0.3">
      <c r="B241" s="33"/>
      <c r="C241" s="34"/>
      <c r="D241" s="39"/>
      <c r="E241" s="39"/>
      <c r="F241" s="39"/>
      <c r="G241" s="34"/>
      <c r="H241" s="32"/>
      <c r="I241" s="34"/>
      <c r="J241" s="34"/>
      <c r="K241" s="35"/>
      <c r="L241" s="34"/>
      <c r="M241" s="32"/>
      <c r="N241" s="34"/>
      <c r="O241" s="34"/>
      <c r="P241" s="34"/>
      <c r="Q241" s="34"/>
      <c r="R241" s="34"/>
      <c r="S241" s="34"/>
      <c r="T241" s="34"/>
      <c r="U241" s="34"/>
      <c r="V241" s="34"/>
    </row>
    <row r="242" spans="2:22" x14ac:dyDescent="0.3">
      <c r="B242" s="33"/>
      <c r="C242" s="34"/>
      <c r="D242" s="39"/>
      <c r="E242" s="39"/>
      <c r="F242" s="39"/>
      <c r="G242" s="34"/>
      <c r="H242" s="32"/>
      <c r="I242" s="34"/>
      <c r="J242" s="34"/>
      <c r="K242" s="35"/>
      <c r="L242" s="34"/>
      <c r="M242" s="32"/>
      <c r="N242" s="34"/>
      <c r="O242" s="34"/>
      <c r="P242" s="34"/>
      <c r="Q242" s="34"/>
      <c r="R242" s="34"/>
      <c r="S242" s="34"/>
      <c r="T242" s="34"/>
      <c r="U242" s="34"/>
      <c r="V242" s="34"/>
    </row>
    <row r="243" spans="2:22" x14ac:dyDescent="0.3">
      <c r="B243" s="33"/>
      <c r="C243" s="34"/>
      <c r="D243" s="39"/>
      <c r="E243" s="39"/>
      <c r="F243" s="39"/>
      <c r="G243" s="34"/>
      <c r="H243" s="32"/>
      <c r="I243" s="34"/>
      <c r="J243" s="34"/>
      <c r="K243" s="35"/>
      <c r="L243" s="34"/>
      <c r="M243" s="32"/>
      <c r="N243" s="34"/>
      <c r="O243" s="34"/>
      <c r="P243" s="34"/>
      <c r="Q243" s="34"/>
      <c r="R243" s="34"/>
      <c r="S243" s="34"/>
      <c r="T243" s="34"/>
      <c r="U243" s="34"/>
      <c r="V243" s="34"/>
    </row>
    <row r="244" spans="2:22" x14ac:dyDescent="0.3">
      <c r="B244" s="33"/>
      <c r="C244" s="34"/>
      <c r="D244" s="39"/>
      <c r="E244" s="39"/>
      <c r="F244" s="39"/>
      <c r="G244" s="34"/>
      <c r="H244" s="32"/>
      <c r="I244" s="34"/>
      <c r="J244" s="34"/>
      <c r="K244" s="35"/>
      <c r="L244" s="34"/>
      <c r="M244" s="32"/>
      <c r="N244" s="34"/>
      <c r="O244" s="34"/>
      <c r="P244" s="34"/>
      <c r="Q244" s="34"/>
      <c r="R244" s="34"/>
      <c r="S244" s="34"/>
      <c r="T244" s="34"/>
      <c r="U244" s="34"/>
      <c r="V244" s="34"/>
    </row>
    <row r="245" spans="2:22" x14ac:dyDescent="0.3">
      <c r="B245" s="33"/>
      <c r="C245" s="34"/>
      <c r="D245" s="39"/>
      <c r="E245" s="39"/>
      <c r="F245" s="39"/>
      <c r="G245" s="34"/>
      <c r="H245" s="32"/>
      <c r="I245" s="34"/>
      <c r="J245" s="34"/>
      <c r="K245" s="35"/>
      <c r="L245" s="34"/>
      <c r="M245" s="32"/>
      <c r="N245" s="34"/>
      <c r="O245" s="34"/>
      <c r="P245" s="34"/>
      <c r="Q245" s="34"/>
      <c r="R245" s="34"/>
      <c r="S245" s="34"/>
      <c r="T245" s="34"/>
      <c r="U245" s="34"/>
      <c r="V245" s="34"/>
    </row>
    <row r="246" spans="2:22" x14ac:dyDescent="0.3">
      <c r="B246" s="33"/>
      <c r="C246" s="34"/>
      <c r="D246" s="39"/>
      <c r="E246" s="39"/>
      <c r="F246" s="39"/>
      <c r="G246" s="34"/>
      <c r="H246" s="32"/>
      <c r="I246" s="34"/>
      <c r="J246" s="34"/>
      <c r="K246" s="35"/>
      <c r="L246" s="34"/>
      <c r="M246" s="32"/>
      <c r="N246" s="34"/>
      <c r="O246" s="34"/>
      <c r="P246" s="34"/>
      <c r="Q246" s="34"/>
      <c r="R246" s="34"/>
      <c r="S246" s="34"/>
      <c r="T246" s="34"/>
      <c r="U246" s="34"/>
      <c r="V246" s="34"/>
    </row>
    <row r="247" spans="2:22" x14ac:dyDescent="0.3">
      <c r="B247" s="33"/>
      <c r="C247" s="34"/>
      <c r="D247" s="39"/>
      <c r="E247" s="39"/>
      <c r="F247" s="39"/>
      <c r="G247" s="34"/>
      <c r="H247" s="32"/>
      <c r="I247" s="34"/>
      <c r="J247" s="34"/>
      <c r="K247" s="35"/>
      <c r="L247" s="34"/>
      <c r="M247" s="32"/>
      <c r="N247" s="34"/>
      <c r="O247" s="34"/>
      <c r="P247" s="34"/>
      <c r="Q247" s="34"/>
      <c r="R247" s="34"/>
      <c r="S247" s="34"/>
      <c r="T247" s="34"/>
      <c r="U247" s="34"/>
      <c r="V247" s="34"/>
    </row>
    <row r="248" spans="2:22" x14ac:dyDescent="0.3">
      <c r="B248" s="33"/>
      <c r="C248" s="34"/>
      <c r="D248" s="39"/>
      <c r="E248" s="39"/>
      <c r="F248" s="39"/>
      <c r="G248" s="34"/>
      <c r="H248" s="32"/>
      <c r="I248" s="34"/>
      <c r="J248" s="34"/>
      <c r="K248" s="35"/>
      <c r="L248" s="34"/>
      <c r="M248" s="32"/>
      <c r="N248" s="34"/>
      <c r="O248" s="34"/>
      <c r="P248" s="34"/>
      <c r="Q248" s="34"/>
      <c r="R248" s="34"/>
      <c r="S248" s="34"/>
      <c r="T248" s="34"/>
      <c r="U248" s="34"/>
      <c r="V248" s="34"/>
    </row>
    <row r="249" spans="2:22" x14ac:dyDescent="0.3">
      <c r="B249" s="33"/>
      <c r="C249" s="34"/>
      <c r="D249" s="39"/>
      <c r="E249" s="39"/>
      <c r="F249" s="39"/>
      <c r="G249" s="34"/>
      <c r="H249" s="32"/>
      <c r="I249" s="34"/>
      <c r="J249" s="34"/>
      <c r="K249" s="35"/>
      <c r="L249" s="34"/>
      <c r="M249" s="32"/>
      <c r="N249" s="34"/>
      <c r="O249" s="34"/>
      <c r="P249" s="34"/>
      <c r="Q249" s="34"/>
      <c r="R249" s="34"/>
      <c r="S249" s="34"/>
      <c r="T249" s="34"/>
      <c r="U249" s="34"/>
      <c r="V249" s="34"/>
    </row>
    <row r="250" spans="2:22" x14ac:dyDescent="0.3">
      <c r="B250" s="33"/>
      <c r="C250" s="34"/>
      <c r="D250" s="39"/>
      <c r="E250" s="39"/>
      <c r="F250" s="39"/>
      <c r="G250" s="34"/>
      <c r="H250" s="32"/>
      <c r="I250" s="34"/>
      <c r="J250" s="34"/>
      <c r="K250" s="35"/>
      <c r="L250" s="34"/>
      <c r="M250" s="32"/>
      <c r="N250" s="34"/>
      <c r="O250" s="34"/>
      <c r="P250" s="34"/>
      <c r="Q250" s="34"/>
      <c r="R250" s="34"/>
      <c r="S250" s="34"/>
      <c r="T250" s="34"/>
      <c r="U250" s="34"/>
      <c r="V250" s="34"/>
    </row>
    <row r="251" spans="2:22" x14ac:dyDescent="0.3">
      <c r="B251" s="33"/>
      <c r="C251" s="34"/>
      <c r="D251" s="39"/>
      <c r="E251" s="39"/>
      <c r="F251" s="39"/>
      <c r="G251" s="34"/>
      <c r="H251" s="32"/>
      <c r="I251" s="34"/>
      <c r="J251" s="34"/>
      <c r="K251" s="35"/>
      <c r="L251" s="34"/>
      <c r="M251" s="32"/>
      <c r="N251" s="34"/>
      <c r="O251" s="34"/>
      <c r="P251" s="34"/>
      <c r="Q251" s="34"/>
      <c r="R251" s="34"/>
      <c r="S251" s="34"/>
      <c r="T251" s="34"/>
      <c r="U251" s="34"/>
      <c r="V251" s="34"/>
    </row>
    <row r="252" spans="2:22" x14ac:dyDescent="0.3">
      <c r="B252" s="33"/>
      <c r="C252" s="34"/>
      <c r="D252" s="39"/>
      <c r="E252" s="39"/>
      <c r="F252" s="39"/>
      <c r="G252" s="34"/>
      <c r="H252" s="32"/>
      <c r="I252" s="34"/>
      <c r="J252" s="34"/>
      <c r="K252" s="35"/>
      <c r="L252" s="34"/>
      <c r="M252" s="32"/>
      <c r="N252" s="34"/>
      <c r="O252" s="34"/>
      <c r="P252" s="34"/>
      <c r="Q252" s="34"/>
      <c r="R252" s="34"/>
      <c r="S252" s="34"/>
      <c r="T252" s="34"/>
      <c r="U252" s="34"/>
      <c r="V252" s="34"/>
    </row>
    <row r="253" spans="2:22" x14ac:dyDescent="0.3">
      <c r="B253" s="33"/>
      <c r="C253" s="34"/>
      <c r="D253" s="39"/>
      <c r="E253" s="39"/>
      <c r="F253" s="39"/>
      <c r="G253" s="34"/>
      <c r="H253" s="32"/>
      <c r="I253" s="34"/>
      <c r="J253" s="34"/>
      <c r="K253" s="35"/>
      <c r="L253" s="34"/>
      <c r="M253" s="32"/>
      <c r="N253" s="34"/>
      <c r="O253" s="34"/>
      <c r="P253" s="34"/>
      <c r="Q253" s="34"/>
      <c r="R253" s="34"/>
      <c r="S253" s="34"/>
      <c r="T253" s="34"/>
      <c r="U253" s="34"/>
      <c r="V253" s="34"/>
    </row>
    <row r="254" spans="2:22" x14ac:dyDescent="0.3">
      <c r="B254" s="33"/>
      <c r="C254" s="34"/>
      <c r="D254" s="39"/>
      <c r="E254" s="39"/>
      <c r="F254" s="39"/>
      <c r="G254" s="34"/>
      <c r="H254" s="32"/>
      <c r="I254" s="34"/>
      <c r="J254" s="34"/>
      <c r="K254" s="35"/>
      <c r="L254" s="34"/>
      <c r="M254" s="32"/>
      <c r="N254" s="34"/>
      <c r="O254" s="34"/>
      <c r="P254" s="34"/>
      <c r="Q254" s="34"/>
      <c r="R254" s="34"/>
      <c r="S254" s="34"/>
      <c r="T254" s="34"/>
      <c r="U254" s="34"/>
      <c r="V254" s="34"/>
    </row>
    <row r="255" spans="2:22" x14ac:dyDescent="0.3">
      <c r="B255" s="33"/>
      <c r="C255" s="34"/>
      <c r="D255" s="39"/>
      <c r="E255" s="39"/>
      <c r="F255" s="39"/>
      <c r="G255" s="34"/>
      <c r="H255" s="32"/>
      <c r="I255" s="34"/>
      <c r="J255" s="34"/>
      <c r="K255" s="35"/>
      <c r="L255" s="34"/>
      <c r="M255" s="32"/>
      <c r="N255" s="34"/>
      <c r="O255" s="34"/>
      <c r="P255" s="34"/>
      <c r="Q255" s="34"/>
      <c r="R255" s="34"/>
      <c r="S255" s="34"/>
      <c r="T255" s="34"/>
      <c r="U255" s="34"/>
      <c r="V255" s="34"/>
    </row>
    <row r="256" spans="2:22" x14ac:dyDescent="0.3">
      <c r="B256" s="33"/>
      <c r="C256" s="34"/>
      <c r="D256" s="39"/>
      <c r="E256" s="39"/>
      <c r="F256" s="39"/>
      <c r="G256" s="34"/>
      <c r="H256" s="32"/>
      <c r="I256" s="34"/>
      <c r="J256" s="34"/>
      <c r="K256" s="35"/>
      <c r="L256" s="34"/>
      <c r="M256" s="32"/>
      <c r="N256" s="34"/>
      <c r="O256" s="34"/>
      <c r="P256" s="34"/>
      <c r="Q256" s="34"/>
      <c r="R256" s="34"/>
      <c r="S256" s="34"/>
      <c r="T256" s="34"/>
      <c r="U256" s="34"/>
      <c r="V256" s="34"/>
    </row>
    <row r="257" spans="2:22" x14ac:dyDescent="0.3">
      <c r="B257" s="33"/>
      <c r="C257" s="34"/>
      <c r="D257" s="39"/>
      <c r="E257" s="39"/>
      <c r="F257" s="39"/>
      <c r="G257" s="34"/>
      <c r="H257" s="32"/>
      <c r="I257" s="34"/>
      <c r="J257" s="34"/>
      <c r="K257" s="35"/>
      <c r="L257" s="34"/>
      <c r="M257" s="32"/>
      <c r="N257" s="34"/>
      <c r="O257" s="34"/>
      <c r="P257" s="34"/>
      <c r="Q257" s="34"/>
      <c r="R257" s="34"/>
      <c r="S257" s="34"/>
      <c r="T257" s="34"/>
      <c r="U257" s="34"/>
      <c r="V257" s="34"/>
    </row>
    <row r="258" spans="2:22" x14ac:dyDescent="0.3">
      <c r="B258" s="33"/>
      <c r="C258" s="34"/>
      <c r="D258" s="39"/>
      <c r="E258" s="39"/>
      <c r="F258" s="39"/>
      <c r="G258" s="34"/>
      <c r="H258" s="32"/>
      <c r="I258" s="34"/>
      <c r="J258" s="34"/>
      <c r="K258" s="35"/>
      <c r="L258" s="34"/>
      <c r="M258" s="32"/>
      <c r="N258" s="34"/>
      <c r="O258" s="34"/>
      <c r="P258" s="34"/>
      <c r="Q258" s="34"/>
      <c r="R258" s="34"/>
      <c r="S258" s="34"/>
      <c r="T258" s="34"/>
      <c r="U258" s="34"/>
      <c r="V258" s="34"/>
    </row>
    <row r="259" spans="2:22" x14ac:dyDescent="0.3">
      <c r="B259" s="33"/>
      <c r="C259" s="34"/>
      <c r="D259" s="39"/>
      <c r="E259" s="39"/>
      <c r="F259" s="39"/>
      <c r="G259" s="34"/>
      <c r="H259" s="34"/>
      <c r="I259" s="34"/>
      <c r="J259" s="34"/>
      <c r="K259" s="35"/>
      <c r="L259" s="34"/>
      <c r="M259" s="32"/>
      <c r="N259" s="34"/>
      <c r="O259" s="34"/>
      <c r="P259" s="34"/>
      <c r="Q259" s="34"/>
      <c r="R259" s="34"/>
      <c r="S259" s="34"/>
      <c r="T259" s="34"/>
      <c r="U259" s="34"/>
      <c r="V259" s="34"/>
    </row>
    <row r="260" spans="2:22" x14ac:dyDescent="0.3">
      <c r="B260" s="33"/>
      <c r="C260" s="34"/>
      <c r="D260" s="39"/>
      <c r="E260" s="39"/>
      <c r="F260" s="39"/>
      <c r="G260" s="34"/>
      <c r="H260" s="34"/>
      <c r="I260" s="34"/>
      <c r="J260" s="34"/>
      <c r="K260" s="35"/>
      <c r="L260" s="34"/>
      <c r="M260" s="32"/>
      <c r="N260" s="34"/>
      <c r="O260" s="34"/>
      <c r="P260" s="34"/>
      <c r="Q260" s="34"/>
      <c r="R260" s="34"/>
      <c r="S260" s="34"/>
      <c r="T260" s="34"/>
      <c r="U260" s="34"/>
      <c r="V260" s="34"/>
    </row>
    <row r="261" spans="2:22" x14ac:dyDescent="0.3">
      <c r="B261" s="33"/>
      <c r="C261" s="34"/>
      <c r="D261" s="39"/>
      <c r="E261" s="39"/>
      <c r="F261" s="39"/>
      <c r="G261" s="34"/>
      <c r="H261" s="34"/>
      <c r="I261" s="34"/>
      <c r="J261" s="34"/>
      <c r="K261" s="35"/>
      <c r="L261" s="34"/>
      <c r="M261" s="32"/>
      <c r="N261" s="34"/>
      <c r="O261" s="34"/>
      <c r="P261" s="34"/>
      <c r="Q261" s="34"/>
      <c r="R261" s="34"/>
      <c r="S261" s="34"/>
      <c r="T261" s="34"/>
      <c r="U261" s="34"/>
      <c r="V261" s="34"/>
    </row>
    <row r="262" spans="2:22" x14ac:dyDescent="0.3">
      <c r="B262" s="33"/>
      <c r="C262" s="34"/>
      <c r="D262" s="39"/>
      <c r="E262" s="39"/>
      <c r="F262" s="39"/>
      <c r="G262" s="34"/>
      <c r="H262" s="34"/>
      <c r="I262" s="34"/>
      <c r="J262" s="34"/>
      <c r="K262" s="35"/>
      <c r="L262" s="34"/>
      <c r="M262" s="32"/>
      <c r="N262" s="34"/>
      <c r="O262" s="34"/>
      <c r="P262" s="34"/>
      <c r="Q262" s="34"/>
      <c r="R262" s="34"/>
      <c r="S262" s="34"/>
      <c r="T262" s="34"/>
      <c r="U262" s="34"/>
      <c r="V262" s="34"/>
    </row>
    <row r="263" spans="2:22" x14ac:dyDescent="0.3">
      <c r="B263" s="33"/>
      <c r="C263" s="34"/>
      <c r="D263" s="39"/>
      <c r="E263" s="39"/>
      <c r="F263" s="39"/>
      <c r="G263" s="34"/>
      <c r="H263" s="34"/>
      <c r="I263" s="34"/>
      <c r="J263" s="34"/>
      <c r="K263" s="35"/>
      <c r="L263" s="34"/>
      <c r="M263" s="32"/>
      <c r="N263" s="34"/>
      <c r="O263" s="34"/>
      <c r="P263" s="34"/>
      <c r="Q263" s="34"/>
      <c r="R263" s="34"/>
      <c r="S263" s="34"/>
      <c r="T263" s="34"/>
      <c r="U263" s="34"/>
      <c r="V263" s="34"/>
    </row>
    <row r="264" spans="2:22" x14ac:dyDescent="0.3">
      <c r="B264" s="33"/>
      <c r="C264" s="34"/>
      <c r="D264" s="39"/>
      <c r="E264" s="39"/>
      <c r="F264" s="39"/>
      <c r="G264" s="34"/>
      <c r="H264" s="34"/>
      <c r="I264" s="34"/>
      <c r="J264" s="34"/>
      <c r="K264" s="35"/>
      <c r="L264" s="34"/>
      <c r="M264" s="32"/>
      <c r="N264" s="34"/>
      <c r="O264" s="34"/>
      <c r="P264" s="34"/>
      <c r="Q264" s="34"/>
      <c r="R264" s="34"/>
      <c r="S264" s="34"/>
      <c r="T264" s="34"/>
      <c r="U264" s="34"/>
      <c r="V264" s="34"/>
    </row>
    <row r="265" spans="2:22" x14ac:dyDescent="0.3">
      <c r="B265" s="33"/>
      <c r="C265" s="34"/>
      <c r="D265" s="39"/>
      <c r="E265" s="39"/>
      <c r="F265" s="39"/>
      <c r="G265" s="34"/>
      <c r="H265" s="34"/>
      <c r="I265" s="34"/>
      <c r="J265" s="34"/>
      <c r="K265" s="35"/>
      <c r="L265" s="34"/>
      <c r="M265" s="32"/>
      <c r="N265" s="34"/>
      <c r="O265" s="34"/>
      <c r="P265" s="34"/>
      <c r="Q265" s="34"/>
      <c r="R265" s="34"/>
      <c r="S265" s="34"/>
      <c r="T265" s="34"/>
      <c r="U265" s="34"/>
      <c r="V265" s="34"/>
    </row>
    <row r="266" spans="2:22" x14ac:dyDescent="0.3">
      <c r="B266" s="33"/>
      <c r="C266" s="34"/>
      <c r="D266" s="39"/>
      <c r="E266" s="39"/>
      <c r="F266" s="39"/>
      <c r="G266" s="34"/>
      <c r="H266" s="34"/>
      <c r="I266" s="34"/>
      <c r="J266" s="34"/>
      <c r="K266" s="35"/>
      <c r="L266" s="34"/>
      <c r="M266" s="32"/>
      <c r="N266" s="34"/>
      <c r="O266" s="34"/>
      <c r="P266" s="34"/>
      <c r="Q266" s="34"/>
      <c r="R266" s="34"/>
      <c r="S266" s="34"/>
      <c r="T266" s="34"/>
      <c r="U266" s="34"/>
      <c r="V266" s="34"/>
    </row>
    <row r="267" spans="2:22" x14ac:dyDescent="0.3">
      <c r="B267" s="33"/>
      <c r="C267" s="34"/>
      <c r="D267" s="39"/>
      <c r="E267" s="39"/>
      <c r="F267" s="39"/>
      <c r="G267" s="34"/>
      <c r="H267" s="34"/>
      <c r="I267" s="34"/>
      <c r="J267" s="34"/>
      <c r="K267" s="35"/>
      <c r="L267" s="34"/>
      <c r="M267" s="32"/>
      <c r="N267" s="34"/>
      <c r="O267" s="34"/>
      <c r="P267" s="34"/>
      <c r="Q267" s="34"/>
      <c r="R267" s="34"/>
      <c r="S267" s="34"/>
      <c r="T267" s="34"/>
      <c r="U267" s="34"/>
      <c r="V267" s="34"/>
    </row>
    <row r="268" spans="2:22" x14ac:dyDescent="0.3">
      <c r="B268" s="33"/>
      <c r="C268" s="34"/>
      <c r="D268" s="39"/>
      <c r="E268" s="39"/>
      <c r="F268" s="39"/>
      <c r="G268" s="34"/>
      <c r="H268" s="34"/>
      <c r="I268" s="34"/>
      <c r="J268" s="34"/>
      <c r="K268" s="35"/>
      <c r="L268" s="34"/>
      <c r="M268" s="32"/>
      <c r="N268" s="34"/>
      <c r="O268" s="34"/>
      <c r="P268" s="34"/>
      <c r="Q268" s="34"/>
      <c r="R268" s="34"/>
      <c r="S268" s="34"/>
      <c r="T268" s="34"/>
      <c r="U268" s="34"/>
      <c r="V268" s="34"/>
    </row>
    <row r="269" spans="2:22" x14ac:dyDescent="0.3">
      <c r="B269" s="33"/>
      <c r="C269" s="34"/>
      <c r="D269" s="39"/>
      <c r="E269" s="39"/>
      <c r="F269" s="39"/>
      <c r="G269" s="34"/>
      <c r="H269" s="34"/>
      <c r="I269" s="34"/>
      <c r="J269" s="34"/>
      <c r="K269" s="35"/>
      <c r="L269" s="34"/>
      <c r="M269" s="32"/>
      <c r="N269" s="34"/>
      <c r="O269" s="34"/>
      <c r="P269" s="34"/>
      <c r="Q269" s="34"/>
      <c r="R269" s="34"/>
      <c r="S269" s="34"/>
      <c r="T269" s="34"/>
      <c r="U269" s="34"/>
      <c r="V269" s="34"/>
    </row>
    <row r="270" spans="2:22" x14ac:dyDescent="0.3">
      <c r="B270" s="33"/>
      <c r="C270" s="34"/>
      <c r="D270" s="39"/>
      <c r="E270" s="39"/>
      <c r="F270" s="39"/>
      <c r="G270" s="34"/>
      <c r="H270" s="34"/>
      <c r="I270" s="34"/>
      <c r="J270" s="34"/>
      <c r="K270" s="35"/>
      <c r="L270" s="34"/>
      <c r="M270" s="32"/>
      <c r="N270" s="34"/>
      <c r="O270" s="34"/>
      <c r="P270" s="34"/>
      <c r="Q270" s="34"/>
      <c r="R270" s="34"/>
      <c r="S270" s="34"/>
      <c r="T270" s="34"/>
      <c r="U270" s="34"/>
      <c r="V270" s="34"/>
    </row>
    <row r="271" spans="2:22" x14ac:dyDescent="0.3">
      <c r="B271" s="33"/>
      <c r="C271" s="34"/>
      <c r="D271" s="39"/>
      <c r="E271" s="39"/>
      <c r="F271" s="39"/>
      <c r="G271" s="34"/>
      <c r="H271" s="34"/>
      <c r="I271" s="34"/>
      <c r="J271" s="34"/>
      <c r="K271" s="35"/>
      <c r="L271" s="34"/>
      <c r="M271" s="32"/>
      <c r="N271" s="34"/>
      <c r="O271" s="34"/>
      <c r="P271" s="34"/>
      <c r="Q271" s="34"/>
      <c r="R271" s="34"/>
      <c r="S271" s="34"/>
      <c r="T271" s="34"/>
      <c r="U271" s="34"/>
      <c r="V271" s="34"/>
    </row>
    <row r="272" spans="2:22" x14ac:dyDescent="0.3">
      <c r="B272" s="33"/>
      <c r="C272" s="34"/>
      <c r="D272" s="34"/>
      <c r="E272" s="34"/>
      <c r="F272" s="34"/>
      <c r="G272" s="34"/>
      <c r="H272" s="34"/>
      <c r="I272" s="34"/>
      <c r="J272" s="34"/>
      <c r="K272" s="35"/>
      <c r="L272" s="34"/>
      <c r="M272" s="32"/>
      <c r="N272" s="34"/>
      <c r="O272" s="34"/>
      <c r="P272" s="34"/>
      <c r="Q272" s="34"/>
      <c r="R272" s="34"/>
      <c r="S272" s="34"/>
      <c r="T272" s="34"/>
      <c r="U272" s="34"/>
      <c r="V272" s="34"/>
    </row>
    <row r="273" spans="2:22" x14ac:dyDescent="0.3">
      <c r="B273" s="33"/>
      <c r="C273" s="34"/>
      <c r="D273" s="34"/>
      <c r="E273" s="34"/>
      <c r="F273" s="34"/>
      <c r="G273" s="34"/>
      <c r="H273" s="34"/>
      <c r="I273" s="34"/>
      <c r="J273" s="34"/>
      <c r="K273" s="35"/>
      <c r="L273" s="34"/>
      <c r="M273" s="32"/>
      <c r="N273" s="34"/>
      <c r="O273" s="34"/>
      <c r="P273" s="34"/>
      <c r="Q273" s="34"/>
      <c r="R273" s="34"/>
      <c r="S273" s="34"/>
      <c r="T273" s="34"/>
      <c r="U273" s="34"/>
      <c r="V273" s="34"/>
    </row>
    <row r="274" spans="2:22" x14ac:dyDescent="0.3">
      <c r="B274" s="33"/>
      <c r="C274" s="34"/>
      <c r="D274" s="34"/>
      <c r="E274" s="34"/>
      <c r="F274" s="34"/>
      <c r="G274" s="34"/>
      <c r="H274" s="34"/>
      <c r="I274" s="34"/>
      <c r="J274" s="34"/>
      <c r="K274" s="35"/>
      <c r="L274" s="34"/>
      <c r="M274" s="32"/>
      <c r="N274" s="34"/>
      <c r="O274" s="34"/>
      <c r="P274" s="34"/>
      <c r="Q274" s="34"/>
      <c r="R274" s="34"/>
      <c r="S274" s="34"/>
      <c r="T274" s="34"/>
      <c r="U274" s="34"/>
      <c r="V274" s="34"/>
    </row>
    <row r="275" spans="2:22" x14ac:dyDescent="0.3">
      <c r="B275" s="33"/>
      <c r="C275" s="34"/>
      <c r="D275" s="34"/>
      <c r="E275" s="34"/>
      <c r="F275" s="34"/>
      <c r="G275" s="34"/>
      <c r="H275" s="34"/>
      <c r="I275" s="34"/>
      <c r="J275" s="34"/>
      <c r="K275" s="35"/>
      <c r="L275" s="34"/>
      <c r="M275" s="32"/>
      <c r="N275" s="34"/>
      <c r="O275" s="34"/>
      <c r="P275" s="34"/>
      <c r="Q275" s="34"/>
      <c r="R275" s="34"/>
      <c r="S275" s="34"/>
      <c r="T275" s="34"/>
      <c r="U275" s="34"/>
      <c r="V275" s="34"/>
    </row>
    <row r="276" spans="2:22" x14ac:dyDescent="0.3">
      <c r="B276" s="33"/>
      <c r="C276" s="34"/>
      <c r="D276" s="34"/>
      <c r="E276" s="34"/>
      <c r="F276" s="34"/>
      <c r="G276" s="34"/>
      <c r="H276" s="34"/>
      <c r="I276" s="34"/>
      <c r="J276" s="34"/>
      <c r="K276" s="35"/>
      <c r="L276" s="34"/>
      <c r="M276" s="32"/>
      <c r="N276" s="34"/>
      <c r="O276" s="34"/>
      <c r="P276" s="34"/>
      <c r="Q276" s="34"/>
      <c r="R276" s="34"/>
      <c r="S276" s="34"/>
      <c r="T276" s="34"/>
      <c r="U276" s="34"/>
      <c r="V276" s="34"/>
    </row>
    <row r="277" spans="2:22" x14ac:dyDescent="0.3">
      <c r="B277" s="33"/>
      <c r="C277" s="34"/>
      <c r="D277" s="34"/>
      <c r="E277" s="34"/>
      <c r="F277" s="34"/>
      <c r="G277" s="34"/>
      <c r="H277" s="34"/>
      <c r="I277" s="34"/>
      <c r="J277" s="34"/>
      <c r="K277" s="35"/>
      <c r="L277" s="34"/>
      <c r="M277" s="32"/>
      <c r="N277" s="34"/>
      <c r="O277" s="34"/>
      <c r="P277" s="34"/>
      <c r="Q277" s="34"/>
      <c r="R277" s="34"/>
      <c r="S277" s="34"/>
      <c r="T277" s="34"/>
      <c r="U277" s="34"/>
      <c r="V277" s="34"/>
    </row>
    <row r="278" spans="2:22" x14ac:dyDescent="0.3">
      <c r="B278" s="33"/>
      <c r="C278" s="34"/>
      <c r="D278" s="34"/>
      <c r="E278" s="34"/>
      <c r="F278" s="34"/>
      <c r="G278" s="34"/>
      <c r="H278" s="34"/>
      <c r="I278" s="34"/>
      <c r="J278" s="34"/>
      <c r="K278" s="35"/>
      <c r="L278" s="34"/>
      <c r="M278" s="32"/>
      <c r="N278" s="34"/>
      <c r="O278" s="34"/>
      <c r="P278" s="34"/>
      <c r="Q278" s="34"/>
      <c r="R278" s="34"/>
      <c r="S278" s="34"/>
      <c r="T278" s="34"/>
      <c r="U278" s="34"/>
      <c r="V278" s="34"/>
    </row>
    <row r="279" spans="2:22" x14ac:dyDescent="0.3">
      <c r="B279" s="33"/>
      <c r="C279" s="34"/>
      <c r="D279" s="34"/>
      <c r="E279" s="34"/>
      <c r="F279" s="34"/>
      <c r="G279" s="34"/>
      <c r="H279" s="34"/>
      <c r="I279" s="34"/>
      <c r="J279" s="34"/>
      <c r="K279" s="35"/>
      <c r="L279" s="34"/>
      <c r="M279" s="32"/>
      <c r="N279" s="34"/>
      <c r="O279" s="34"/>
      <c r="P279" s="34"/>
      <c r="Q279" s="34"/>
      <c r="R279" s="34"/>
      <c r="S279" s="34"/>
      <c r="T279" s="34"/>
      <c r="U279" s="34"/>
      <c r="V279" s="34"/>
    </row>
    <row r="280" spans="2:22" x14ac:dyDescent="0.3">
      <c r="B280" s="33"/>
      <c r="C280" s="34"/>
      <c r="D280" s="34"/>
      <c r="E280" s="34"/>
      <c r="F280" s="34"/>
      <c r="G280" s="34"/>
      <c r="H280" s="34"/>
      <c r="I280" s="34"/>
      <c r="J280" s="34"/>
      <c r="K280" s="35"/>
      <c r="L280" s="34"/>
      <c r="M280" s="32"/>
      <c r="N280" s="34"/>
      <c r="O280" s="34"/>
      <c r="P280" s="34"/>
      <c r="Q280" s="34"/>
      <c r="R280" s="34"/>
      <c r="S280" s="34"/>
      <c r="T280" s="34"/>
      <c r="U280" s="34"/>
      <c r="V280" s="34"/>
    </row>
    <row r="281" spans="2:22" x14ac:dyDescent="0.3">
      <c r="B281" s="33"/>
      <c r="C281" s="34"/>
      <c r="D281" s="34"/>
      <c r="E281" s="34"/>
      <c r="F281" s="34"/>
      <c r="G281" s="34"/>
      <c r="H281" s="34"/>
      <c r="I281" s="34"/>
      <c r="J281" s="34"/>
      <c r="K281" s="35"/>
      <c r="L281" s="34"/>
      <c r="M281" s="32"/>
      <c r="N281" s="34"/>
      <c r="O281" s="34"/>
      <c r="P281" s="34"/>
      <c r="Q281" s="34"/>
      <c r="R281" s="34"/>
      <c r="S281" s="34"/>
      <c r="T281" s="34"/>
      <c r="U281" s="34"/>
      <c r="V281" s="34"/>
    </row>
    <row r="282" spans="2:22" x14ac:dyDescent="0.3">
      <c r="B282" s="33"/>
      <c r="C282" s="34"/>
      <c r="D282" s="34"/>
      <c r="E282" s="34"/>
      <c r="F282" s="34"/>
      <c r="G282" s="34"/>
      <c r="H282" s="34"/>
      <c r="I282" s="34"/>
      <c r="J282" s="34"/>
      <c r="K282" s="35"/>
      <c r="L282" s="34"/>
      <c r="M282" s="32"/>
      <c r="N282" s="34"/>
      <c r="O282" s="34"/>
      <c r="P282" s="34"/>
      <c r="Q282" s="34"/>
      <c r="R282" s="34"/>
      <c r="S282" s="34"/>
      <c r="T282" s="34"/>
      <c r="U282" s="34"/>
      <c r="V282" s="34"/>
    </row>
    <row r="283" spans="2:22" x14ac:dyDescent="0.3">
      <c r="B283" s="33"/>
      <c r="C283" s="34"/>
      <c r="D283" s="34"/>
      <c r="E283" s="34"/>
      <c r="F283" s="34"/>
      <c r="G283" s="34"/>
      <c r="H283" s="34"/>
      <c r="I283" s="34"/>
      <c r="J283" s="34"/>
      <c r="K283" s="35"/>
      <c r="L283" s="34"/>
      <c r="M283" s="32"/>
      <c r="N283" s="34"/>
      <c r="O283" s="34"/>
      <c r="P283" s="34"/>
      <c r="Q283" s="34"/>
      <c r="R283" s="34"/>
      <c r="S283" s="34"/>
      <c r="T283" s="34"/>
      <c r="U283" s="34"/>
      <c r="V283" s="34"/>
    </row>
    <row r="284" spans="2:22" x14ac:dyDescent="0.3">
      <c r="B284" s="33"/>
      <c r="C284" s="34"/>
      <c r="D284" s="34"/>
      <c r="E284" s="34"/>
      <c r="F284" s="34"/>
      <c r="G284" s="34"/>
      <c r="H284" s="34"/>
      <c r="I284" s="34"/>
      <c r="J284" s="34"/>
      <c r="K284" s="35"/>
      <c r="L284" s="34"/>
      <c r="M284" s="32"/>
      <c r="N284" s="34"/>
      <c r="O284" s="34"/>
      <c r="P284" s="34"/>
      <c r="Q284" s="34"/>
      <c r="R284" s="34"/>
      <c r="S284" s="34"/>
      <c r="T284" s="34"/>
      <c r="U284" s="34"/>
      <c r="V284" s="34"/>
    </row>
    <row r="285" spans="2:22" x14ac:dyDescent="0.3">
      <c r="B285" s="33"/>
      <c r="C285" s="34"/>
      <c r="D285" s="34"/>
      <c r="E285" s="34"/>
      <c r="F285" s="34"/>
      <c r="G285" s="34"/>
      <c r="H285" s="34"/>
      <c r="I285" s="34"/>
      <c r="J285" s="34"/>
      <c r="K285" s="35"/>
      <c r="L285" s="34"/>
      <c r="M285" s="32"/>
      <c r="N285" s="34"/>
      <c r="O285" s="34"/>
      <c r="P285" s="34"/>
      <c r="Q285" s="34"/>
      <c r="R285" s="34"/>
      <c r="S285" s="34"/>
      <c r="T285" s="34"/>
      <c r="U285" s="34"/>
      <c r="V285" s="34"/>
    </row>
    <row r="286" spans="2:22" x14ac:dyDescent="0.3">
      <c r="B286" s="33"/>
      <c r="C286" s="34"/>
      <c r="D286" s="34"/>
      <c r="E286" s="34"/>
      <c r="F286" s="34"/>
      <c r="G286" s="34"/>
      <c r="H286" s="34"/>
      <c r="I286" s="34"/>
      <c r="J286" s="34"/>
      <c r="K286" s="35"/>
      <c r="L286" s="34"/>
      <c r="M286" s="32"/>
      <c r="N286" s="34"/>
      <c r="O286" s="34"/>
      <c r="P286" s="34"/>
      <c r="Q286" s="34"/>
      <c r="R286" s="34"/>
      <c r="S286" s="34"/>
      <c r="T286" s="34"/>
      <c r="U286" s="34"/>
      <c r="V286" s="34"/>
    </row>
    <row r="287" spans="2:22" x14ac:dyDescent="0.3">
      <c r="B287" s="33"/>
      <c r="C287" s="34"/>
      <c r="D287" s="34"/>
      <c r="E287" s="34"/>
      <c r="F287" s="34"/>
      <c r="G287" s="34"/>
      <c r="H287" s="34"/>
      <c r="I287" s="34"/>
      <c r="J287" s="34"/>
      <c r="K287" s="35"/>
      <c r="L287" s="34"/>
      <c r="M287" s="32"/>
      <c r="N287" s="34"/>
      <c r="O287" s="34"/>
      <c r="P287" s="34"/>
      <c r="Q287" s="34"/>
      <c r="R287" s="34"/>
      <c r="S287" s="34"/>
      <c r="T287" s="34"/>
      <c r="U287" s="34"/>
      <c r="V287" s="34"/>
    </row>
    <row r="288" spans="2:22" x14ac:dyDescent="0.3">
      <c r="B288" s="33"/>
      <c r="C288" s="34"/>
      <c r="D288" s="34"/>
      <c r="E288" s="34"/>
      <c r="F288" s="34"/>
      <c r="G288" s="34"/>
      <c r="H288" s="34"/>
      <c r="I288" s="34"/>
      <c r="J288" s="34"/>
      <c r="K288" s="35"/>
      <c r="L288" s="34"/>
      <c r="M288" s="32"/>
      <c r="N288" s="34"/>
      <c r="O288" s="34"/>
      <c r="P288" s="34"/>
      <c r="Q288" s="34"/>
      <c r="R288" s="34"/>
      <c r="S288" s="34"/>
      <c r="T288" s="34"/>
      <c r="U288" s="34"/>
      <c r="V288" s="34"/>
    </row>
    <row r="289" spans="2:22" x14ac:dyDescent="0.3">
      <c r="B289" s="33"/>
      <c r="C289" s="34"/>
      <c r="D289" s="34"/>
      <c r="E289" s="34"/>
      <c r="F289" s="34"/>
      <c r="G289" s="34"/>
      <c r="H289" s="34"/>
      <c r="I289" s="34"/>
      <c r="J289" s="34"/>
      <c r="K289" s="35"/>
      <c r="L289" s="34"/>
      <c r="M289" s="32"/>
      <c r="N289" s="34"/>
      <c r="O289" s="34"/>
      <c r="P289" s="34"/>
      <c r="Q289" s="34"/>
      <c r="R289" s="34"/>
      <c r="S289" s="34"/>
      <c r="T289" s="34"/>
      <c r="U289" s="34"/>
      <c r="V289" s="34"/>
    </row>
    <row r="290" spans="2:22" x14ac:dyDescent="0.3">
      <c r="B290" s="33"/>
      <c r="C290" s="34"/>
      <c r="D290" s="34"/>
      <c r="E290" s="34"/>
      <c r="F290" s="34"/>
      <c r="G290" s="34"/>
      <c r="H290" s="34"/>
      <c r="I290" s="34"/>
      <c r="J290" s="34"/>
      <c r="K290" s="35"/>
      <c r="L290" s="34"/>
      <c r="M290" s="32"/>
      <c r="N290" s="34"/>
      <c r="O290" s="34"/>
      <c r="P290" s="34"/>
      <c r="Q290" s="34"/>
      <c r="R290" s="34"/>
      <c r="S290" s="34"/>
      <c r="T290" s="34"/>
      <c r="U290" s="34"/>
      <c r="V290" s="34"/>
    </row>
    <row r="291" spans="2:22" x14ac:dyDescent="0.3">
      <c r="B291" s="33"/>
      <c r="C291" s="34"/>
      <c r="D291" s="34"/>
      <c r="E291" s="34"/>
      <c r="F291" s="34"/>
      <c r="G291" s="34"/>
      <c r="H291" s="34"/>
      <c r="I291" s="34"/>
      <c r="J291" s="34"/>
      <c r="K291" s="35"/>
      <c r="L291" s="34"/>
      <c r="M291" s="32"/>
      <c r="N291" s="34"/>
      <c r="O291" s="34"/>
      <c r="P291" s="34"/>
      <c r="Q291" s="34"/>
      <c r="R291" s="34"/>
      <c r="S291" s="34"/>
      <c r="T291" s="34"/>
      <c r="U291" s="34"/>
      <c r="V291" s="34"/>
    </row>
    <row r="292" spans="2:22" x14ac:dyDescent="0.3">
      <c r="B292" s="33"/>
      <c r="C292" s="34"/>
      <c r="D292" s="34"/>
      <c r="E292" s="34"/>
      <c r="F292" s="34"/>
      <c r="G292" s="34"/>
      <c r="H292" s="34"/>
      <c r="I292" s="34"/>
      <c r="J292" s="34"/>
      <c r="K292" s="35"/>
      <c r="L292" s="34"/>
      <c r="M292" s="32"/>
      <c r="N292" s="34"/>
      <c r="O292" s="34"/>
      <c r="P292" s="34"/>
      <c r="Q292" s="34"/>
      <c r="R292" s="34"/>
      <c r="S292" s="34"/>
      <c r="T292" s="34"/>
      <c r="U292" s="34"/>
      <c r="V292" s="34"/>
    </row>
    <row r="293" spans="2:22" x14ac:dyDescent="0.3">
      <c r="B293" s="33"/>
      <c r="C293" s="34"/>
      <c r="D293" s="34"/>
      <c r="E293" s="34"/>
      <c r="F293" s="34"/>
      <c r="G293" s="34"/>
      <c r="H293" s="34"/>
      <c r="I293" s="34"/>
      <c r="J293" s="34"/>
      <c r="K293" s="35"/>
      <c r="L293" s="34"/>
      <c r="M293" s="32"/>
      <c r="N293" s="34"/>
      <c r="O293" s="34"/>
      <c r="P293" s="34"/>
      <c r="Q293" s="34"/>
      <c r="R293" s="34"/>
      <c r="S293" s="34"/>
      <c r="T293" s="34"/>
      <c r="U293" s="34"/>
      <c r="V293" s="34"/>
    </row>
    <row r="294" spans="2:22" x14ac:dyDescent="0.3">
      <c r="B294" s="33"/>
      <c r="C294" s="34"/>
      <c r="D294" s="34"/>
      <c r="E294" s="34"/>
      <c r="F294" s="34"/>
      <c r="G294" s="34"/>
      <c r="H294" s="34"/>
      <c r="I294" s="34"/>
      <c r="J294" s="34"/>
      <c r="K294" s="35"/>
      <c r="L294" s="34"/>
      <c r="M294" s="32"/>
      <c r="N294" s="34"/>
      <c r="O294" s="34"/>
      <c r="P294" s="34"/>
      <c r="Q294" s="34"/>
      <c r="R294" s="34"/>
      <c r="S294" s="34"/>
      <c r="T294" s="34"/>
      <c r="U294" s="34"/>
      <c r="V294" s="34"/>
    </row>
    <row r="295" spans="2:22" x14ac:dyDescent="0.3">
      <c r="B295" s="33"/>
      <c r="C295" s="34"/>
      <c r="D295" s="34"/>
      <c r="E295" s="34"/>
      <c r="F295" s="34"/>
      <c r="G295" s="34"/>
      <c r="H295" s="34"/>
      <c r="I295" s="34"/>
      <c r="J295" s="34"/>
      <c r="K295" s="35"/>
      <c r="L295" s="34"/>
      <c r="M295" s="32"/>
      <c r="N295" s="34"/>
      <c r="O295" s="34"/>
      <c r="P295" s="34"/>
      <c r="Q295" s="34"/>
      <c r="R295" s="34"/>
      <c r="S295" s="34"/>
      <c r="T295" s="34"/>
      <c r="U295" s="34"/>
      <c r="V295" s="34"/>
    </row>
    <row r="296" spans="2:22" x14ac:dyDescent="0.3">
      <c r="B296" s="33"/>
      <c r="C296" s="34"/>
      <c r="D296" s="34"/>
      <c r="E296" s="34"/>
      <c r="F296" s="34"/>
      <c r="G296" s="34"/>
      <c r="H296" s="34"/>
      <c r="I296" s="34"/>
      <c r="J296" s="34"/>
      <c r="K296" s="35"/>
      <c r="L296" s="34"/>
      <c r="M296" s="32"/>
      <c r="N296" s="34"/>
      <c r="O296" s="34"/>
      <c r="P296" s="34"/>
      <c r="Q296" s="34"/>
      <c r="R296" s="34"/>
      <c r="S296" s="34"/>
      <c r="T296" s="34"/>
      <c r="U296" s="34"/>
      <c r="V296" s="34"/>
    </row>
    <row r="297" spans="2:22" x14ac:dyDescent="0.3">
      <c r="B297" s="33"/>
      <c r="C297" s="34"/>
      <c r="D297" s="34"/>
      <c r="E297" s="34"/>
      <c r="F297" s="34"/>
      <c r="G297" s="34"/>
      <c r="H297" s="34"/>
      <c r="I297" s="34"/>
      <c r="J297" s="34"/>
      <c r="K297" s="35"/>
      <c r="L297" s="34"/>
      <c r="M297" s="32"/>
      <c r="N297" s="34"/>
      <c r="O297" s="34"/>
      <c r="P297" s="34"/>
      <c r="Q297" s="34"/>
      <c r="R297" s="34"/>
      <c r="S297" s="34"/>
      <c r="T297" s="34"/>
      <c r="U297" s="34"/>
      <c r="V297" s="34"/>
    </row>
    <row r="298" spans="2:22" x14ac:dyDescent="0.3">
      <c r="B298" s="33"/>
      <c r="C298" s="34"/>
      <c r="D298" s="34"/>
      <c r="E298" s="34"/>
      <c r="F298" s="34"/>
      <c r="G298" s="34"/>
      <c r="H298" s="34"/>
      <c r="I298" s="34"/>
      <c r="J298" s="34"/>
      <c r="K298" s="35"/>
      <c r="L298" s="34"/>
      <c r="M298" s="32"/>
      <c r="N298" s="34"/>
      <c r="O298" s="34"/>
      <c r="P298" s="34"/>
      <c r="Q298" s="34"/>
      <c r="R298" s="34"/>
      <c r="S298" s="34"/>
      <c r="T298" s="34"/>
      <c r="U298" s="34"/>
      <c r="V298" s="34"/>
    </row>
    <row r="299" spans="2:22" x14ac:dyDescent="0.3">
      <c r="B299" s="33"/>
      <c r="C299" s="34"/>
      <c r="D299" s="34"/>
      <c r="E299" s="34"/>
      <c r="F299" s="34"/>
      <c r="G299" s="34"/>
      <c r="H299" s="34"/>
      <c r="I299" s="34"/>
      <c r="J299" s="34"/>
      <c r="K299" s="35"/>
      <c r="L299" s="34"/>
      <c r="M299" s="32"/>
      <c r="N299" s="34"/>
      <c r="O299" s="34"/>
      <c r="P299" s="34"/>
      <c r="Q299" s="34"/>
      <c r="R299" s="34"/>
      <c r="S299" s="34"/>
      <c r="T299" s="34"/>
      <c r="U299" s="34"/>
      <c r="V299" s="34"/>
    </row>
    <row r="300" spans="2:22" x14ac:dyDescent="0.3">
      <c r="B300" s="33"/>
      <c r="C300" s="34"/>
      <c r="D300" s="34"/>
      <c r="E300" s="34"/>
      <c r="F300" s="34"/>
      <c r="G300" s="34"/>
      <c r="H300" s="34"/>
      <c r="I300" s="34"/>
      <c r="J300" s="34"/>
      <c r="K300" s="35"/>
      <c r="L300" s="34"/>
      <c r="M300" s="32"/>
      <c r="N300" s="34"/>
      <c r="O300" s="34"/>
      <c r="P300" s="34"/>
      <c r="Q300" s="34"/>
      <c r="R300" s="34"/>
      <c r="S300" s="34"/>
      <c r="T300" s="34"/>
      <c r="U300" s="34"/>
      <c r="V300" s="34"/>
    </row>
    <row r="301" spans="2:22" x14ac:dyDescent="0.3">
      <c r="B301" s="33"/>
      <c r="C301" s="34"/>
      <c r="D301" s="34"/>
      <c r="E301" s="34"/>
      <c r="F301" s="34"/>
      <c r="G301" s="34"/>
      <c r="H301" s="34"/>
      <c r="I301" s="34"/>
      <c r="J301" s="34"/>
      <c r="K301" s="35"/>
      <c r="L301" s="34"/>
      <c r="M301" s="32"/>
      <c r="N301" s="34"/>
      <c r="O301" s="34"/>
      <c r="P301" s="34"/>
      <c r="Q301" s="34"/>
      <c r="R301" s="34"/>
      <c r="S301" s="34"/>
      <c r="T301" s="34"/>
      <c r="U301" s="34"/>
      <c r="V301" s="34"/>
    </row>
    <row r="302" spans="2:22" x14ac:dyDescent="0.3">
      <c r="B302" s="33"/>
      <c r="C302" s="34"/>
      <c r="D302" s="34"/>
      <c r="E302" s="34"/>
      <c r="F302" s="34"/>
      <c r="G302" s="34"/>
      <c r="H302" s="34"/>
      <c r="I302" s="34"/>
      <c r="J302" s="34"/>
      <c r="K302" s="35"/>
      <c r="L302" s="34"/>
      <c r="M302" s="32"/>
      <c r="N302" s="34"/>
      <c r="O302" s="34"/>
      <c r="P302" s="34"/>
      <c r="Q302" s="34"/>
      <c r="R302" s="34"/>
      <c r="S302" s="34"/>
      <c r="T302" s="34"/>
      <c r="U302" s="34"/>
      <c r="V302" s="34"/>
    </row>
    <row r="303" spans="2:22" x14ac:dyDescent="0.3">
      <c r="B303" s="33"/>
      <c r="C303" s="34"/>
      <c r="D303" s="34"/>
      <c r="E303" s="34"/>
      <c r="F303" s="34"/>
      <c r="G303" s="34"/>
      <c r="H303" s="34"/>
      <c r="I303" s="34"/>
      <c r="J303" s="34"/>
      <c r="K303" s="35"/>
      <c r="L303" s="34"/>
      <c r="M303" s="32"/>
      <c r="N303" s="34"/>
      <c r="O303" s="34"/>
      <c r="P303" s="34"/>
      <c r="Q303" s="34"/>
      <c r="R303" s="34"/>
      <c r="S303" s="34"/>
      <c r="T303" s="34"/>
      <c r="U303" s="34"/>
      <c r="V303" s="34"/>
    </row>
    <row r="304" spans="2:22" x14ac:dyDescent="0.3">
      <c r="B304" s="33"/>
      <c r="C304" s="34"/>
      <c r="D304" s="34"/>
      <c r="E304" s="34"/>
      <c r="F304" s="34"/>
      <c r="G304" s="34"/>
      <c r="H304" s="34"/>
      <c r="I304" s="34"/>
      <c r="J304" s="34"/>
      <c r="K304" s="35"/>
      <c r="L304" s="34"/>
      <c r="M304" s="32"/>
      <c r="N304" s="34"/>
      <c r="O304" s="34"/>
      <c r="P304" s="34"/>
      <c r="Q304" s="34"/>
      <c r="R304" s="34"/>
      <c r="S304" s="34"/>
      <c r="T304" s="34"/>
      <c r="U304" s="34"/>
      <c r="V304" s="34"/>
    </row>
    <row r="305" spans="2:22" x14ac:dyDescent="0.3">
      <c r="B305" s="33"/>
      <c r="C305" s="34"/>
      <c r="D305" s="34"/>
      <c r="E305" s="34"/>
      <c r="F305" s="34"/>
      <c r="G305" s="34"/>
      <c r="H305" s="34"/>
      <c r="I305" s="34"/>
      <c r="J305" s="34"/>
      <c r="K305" s="35"/>
      <c r="L305" s="34"/>
      <c r="M305" s="32"/>
      <c r="N305" s="34"/>
      <c r="O305" s="34"/>
      <c r="P305" s="34"/>
      <c r="Q305" s="34"/>
      <c r="R305" s="34"/>
      <c r="S305" s="34"/>
      <c r="T305" s="34"/>
      <c r="U305" s="34"/>
      <c r="V305" s="34"/>
    </row>
    <row r="306" spans="2:22" x14ac:dyDescent="0.3">
      <c r="B306" s="33"/>
      <c r="C306" s="34"/>
      <c r="D306" s="34"/>
      <c r="E306" s="34"/>
      <c r="F306" s="34"/>
      <c r="G306" s="34"/>
      <c r="H306" s="34"/>
      <c r="I306" s="34"/>
      <c r="J306" s="34"/>
      <c r="K306" s="35"/>
      <c r="L306" s="34"/>
      <c r="M306" s="32"/>
      <c r="N306" s="34"/>
      <c r="O306" s="34"/>
      <c r="P306" s="34"/>
      <c r="Q306" s="34"/>
      <c r="R306" s="34"/>
      <c r="S306" s="34"/>
      <c r="T306" s="34"/>
      <c r="U306" s="34"/>
      <c r="V306" s="34"/>
    </row>
    <row r="307" spans="2:22" x14ac:dyDescent="0.3">
      <c r="B307" s="33"/>
      <c r="C307" s="34"/>
      <c r="D307" s="34"/>
      <c r="E307" s="34"/>
      <c r="F307" s="34"/>
      <c r="G307" s="34"/>
      <c r="H307" s="34"/>
      <c r="I307" s="34"/>
      <c r="J307" s="34"/>
      <c r="K307" s="35"/>
      <c r="L307" s="34"/>
      <c r="M307" s="32"/>
      <c r="N307" s="34"/>
      <c r="O307" s="34"/>
      <c r="P307" s="34"/>
      <c r="Q307" s="34"/>
      <c r="R307" s="34"/>
      <c r="S307" s="34"/>
      <c r="T307" s="34"/>
      <c r="U307" s="34"/>
      <c r="V307" s="34"/>
    </row>
    <row r="308" spans="2:22" x14ac:dyDescent="0.3">
      <c r="B308" s="33"/>
      <c r="C308" s="34"/>
      <c r="D308" s="34"/>
      <c r="E308" s="34"/>
      <c r="F308" s="34"/>
      <c r="G308" s="34"/>
      <c r="H308" s="34"/>
      <c r="I308" s="34"/>
      <c r="J308" s="34"/>
      <c r="K308" s="35"/>
      <c r="L308" s="34"/>
      <c r="M308" s="32"/>
      <c r="N308" s="34"/>
      <c r="O308" s="34"/>
      <c r="P308" s="34"/>
      <c r="Q308" s="34"/>
      <c r="R308" s="34"/>
      <c r="S308" s="34"/>
      <c r="T308" s="34"/>
      <c r="U308" s="34"/>
      <c r="V308" s="34"/>
    </row>
    <row r="309" spans="2:22" x14ac:dyDescent="0.3">
      <c r="B309" s="33"/>
      <c r="C309" s="34"/>
      <c r="D309" s="34"/>
      <c r="E309" s="34"/>
      <c r="F309" s="34"/>
      <c r="G309" s="34"/>
      <c r="H309" s="34"/>
      <c r="I309" s="34"/>
      <c r="J309" s="34"/>
      <c r="K309" s="35"/>
      <c r="L309" s="34"/>
      <c r="M309" s="32"/>
      <c r="N309" s="34"/>
      <c r="O309" s="34"/>
      <c r="P309" s="34"/>
      <c r="Q309" s="34"/>
      <c r="R309" s="34"/>
      <c r="S309" s="34"/>
      <c r="T309" s="34"/>
      <c r="U309" s="34"/>
      <c r="V309" s="34"/>
    </row>
    <row r="310" spans="2:22" x14ac:dyDescent="0.3">
      <c r="B310" s="33"/>
      <c r="C310" s="34"/>
      <c r="D310" s="34"/>
      <c r="E310" s="34"/>
      <c r="F310" s="34"/>
      <c r="G310" s="34"/>
      <c r="H310" s="34"/>
      <c r="I310" s="34"/>
      <c r="J310" s="34"/>
      <c r="K310" s="35"/>
      <c r="L310" s="34"/>
      <c r="M310" s="32"/>
      <c r="N310" s="34"/>
      <c r="O310" s="34"/>
      <c r="P310" s="34"/>
      <c r="Q310" s="34"/>
      <c r="R310" s="34"/>
      <c r="S310" s="34"/>
      <c r="T310" s="34"/>
      <c r="U310" s="34"/>
      <c r="V310" s="34"/>
    </row>
    <row r="311" spans="2:22" x14ac:dyDescent="0.3">
      <c r="B311" s="33"/>
      <c r="C311" s="34"/>
      <c r="D311" s="34"/>
      <c r="E311" s="34"/>
      <c r="F311" s="34"/>
      <c r="G311" s="34"/>
      <c r="H311" s="34"/>
      <c r="I311" s="34"/>
      <c r="J311" s="34"/>
      <c r="K311" s="35"/>
      <c r="L311" s="34"/>
      <c r="M311" s="32"/>
      <c r="N311" s="34"/>
      <c r="O311" s="34"/>
      <c r="P311" s="34"/>
      <c r="Q311" s="34"/>
      <c r="R311" s="34"/>
      <c r="S311" s="34"/>
      <c r="T311" s="34"/>
      <c r="U311" s="34"/>
      <c r="V311" s="34"/>
    </row>
    <row r="312" spans="2:22" x14ac:dyDescent="0.3">
      <c r="B312" s="33"/>
      <c r="C312" s="34"/>
      <c r="D312" s="34"/>
      <c r="E312" s="34"/>
      <c r="F312" s="34"/>
      <c r="G312" s="34"/>
      <c r="H312" s="34"/>
      <c r="I312" s="34"/>
      <c r="J312" s="34"/>
      <c r="K312" s="35"/>
      <c r="L312" s="34"/>
      <c r="M312" s="32"/>
      <c r="N312" s="34"/>
      <c r="O312" s="34"/>
      <c r="P312" s="34"/>
      <c r="Q312" s="34"/>
      <c r="R312" s="34"/>
      <c r="S312" s="34"/>
      <c r="T312" s="34"/>
      <c r="U312" s="34"/>
      <c r="V312" s="34"/>
    </row>
    <row r="313" spans="2:22" x14ac:dyDescent="0.3">
      <c r="B313" s="33"/>
      <c r="C313" s="34"/>
      <c r="D313" s="34"/>
      <c r="E313" s="34"/>
      <c r="F313" s="34"/>
      <c r="G313" s="34"/>
      <c r="H313" s="34"/>
      <c r="I313" s="34"/>
      <c r="J313" s="34"/>
      <c r="K313" s="35"/>
      <c r="L313" s="34"/>
      <c r="M313" s="32"/>
      <c r="N313" s="34"/>
      <c r="O313" s="34"/>
      <c r="P313" s="34"/>
      <c r="Q313" s="34"/>
      <c r="R313" s="34"/>
      <c r="S313" s="34"/>
      <c r="T313" s="34"/>
      <c r="U313" s="34"/>
      <c r="V313" s="34"/>
    </row>
    <row r="314" spans="2:22" x14ac:dyDescent="0.3">
      <c r="B314" s="33"/>
      <c r="C314" s="34"/>
      <c r="D314" s="34"/>
      <c r="E314" s="34"/>
      <c r="F314" s="34"/>
      <c r="G314" s="34"/>
      <c r="H314" s="34"/>
      <c r="I314" s="34"/>
      <c r="J314" s="34"/>
      <c r="K314" s="35"/>
      <c r="L314" s="34"/>
      <c r="M314" s="32"/>
      <c r="N314" s="34"/>
      <c r="O314" s="34"/>
      <c r="P314" s="34"/>
      <c r="Q314" s="34"/>
      <c r="R314" s="34"/>
      <c r="S314" s="34"/>
      <c r="T314" s="34"/>
      <c r="U314" s="34"/>
      <c r="V314" s="34"/>
    </row>
    <row r="315" spans="2:22" x14ac:dyDescent="0.3">
      <c r="B315" s="33"/>
      <c r="C315" s="34"/>
      <c r="D315" s="34"/>
      <c r="E315" s="34"/>
      <c r="F315" s="34"/>
      <c r="G315" s="34"/>
      <c r="H315" s="34"/>
      <c r="I315" s="34"/>
      <c r="J315" s="34"/>
      <c r="K315" s="35"/>
      <c r="L315" s="34"/>
      <c r="M315" s="32"/>
      <c r="N315" s="34"/>
      <c r="O315" s="34"/>
      <c r="P315" s="34"/>
      <c r="Q315" s="34"/>
      <c r="R315" s="34"/>
      <c r="S315" s="34"/>
      <c r="T315" s="34"/>
      <c r="U315" s="34"/>
      <c r="V315" s="34"/>
    </row>
    <row r="316" spans="2:22" x14ac:dyDescent="0.3">
      <c r="B316" s="33"/>
      <c r="C316" s="34"/>
      <c r="D316" s="34"/>
      <c r="E316" s="34"/>
      <c r="F316" s="34"/>
      <c r="G316" s="34"/>
      <c r="H316" s="34"/>
      <c r="I316" s="34"/>
      <c r="J316" s="34"/>
      <c r="K316" s="35"/>
      <c r="L316" s="34"/>
      <c r="M316" s="32"/>
      <c r="N316" s="34"/>
      <c r="O316" s="34"/>
      <c r="P316" s="34"/>
      <c r="Q316" s="34"/>
      <c r="R316" s="34"/>
      <c r="S316" s="34"/>
      <c r="T316" s="34"/>
      <c r="U316" s="34"/>
      <c r="V316" s="34"/>
    </row>
    <row r="317" spans="2:22" x14ac:dyDescent="0.3">
      <c r="B317" s="33"/>
      <c r="C317" s="34"/>
      <c r="D317" s="34"/>
      <c r="E317" s="34"/>
      <c r="F317" s="34"/>
      <c r="G317" s="34"/>
      <c r="H317" s="34"/>
      <c r="I317" s="34"/>
      <c r="J317" s="34"/>
      <c r="K317" s="35"/>
      <c r="L317" s="34"/>
      <c r="M317" s="32"/>
      <c r="N317" s="34"/>
      <c r="O317" s="34"/>
      <c r="P317" s="34"/>
      <c r="Q317" s="34"/>
      <c r="R317" s="34"/>
      <c r="S317" s="34"/>
      <c r="T317" s="34"/>
      <c r="U317" s="34"/>
      <c r="V317" s="34"/>
    </row>
    <row r="318" spans="2:22" x14ac:dyDescent="0.3">
      <c r="B318" s="33"/>
      <c r="C318" s="34"/>
      <c r="D318" s="34"/>
      <c r="E318" s="34"/>
      <c r="F318" s="34"/>
      <c r="G318" s="34"/>
      <c r="H318" s="34"/>
      <c r="I318" s="34"/>
      <c r="J318" s="34"/>
      <c r="K318" s="35"/>
      <c r="L318" s="34"/>
      <c r="M318" s="32"/>
      <c r="N318" s="34"/>
      <c r="O318" s="34"/>
      <c r="P318" s="34"/>
      <c r="Q318" s="34"/>
      <c r="R318" s="34"/>
      <c r="S318" s="34"/>
      <c r="T318" s="34"/>
      <c r="U318" s="34"/>
      <c r="V318" s="34"/>
    </row>
    <row r="319" spans="2:22" x14ac:dyDescent="0.3">
      <c r="B319" s="33"/>
      <c r="C319" s="34"/>
      <c r="D319" s="34"/>
      <c r="E319" s="34"/>
      <c r="F319" s="34"/>
      <c r="G319" s="34"/>
      <c r="H319" s="34"/>
      <c r="I319" s="34"/>
      <c r="J319" s="34"/>
      <c r="K319" s="35"/>
      <c r="L319" s="34"/>
      <c r="M319" s="32"/>
      <c r="N319" s="34"/>
      <c r="O319" s="34"/>
      <c r="P319" s="34"/>
      <c r="Q319" s="34"/>
      <c r="R319" s="34"/>
      <c r="S319" s="34"/>
      <c r="T319" s="34"/>
      <c r="U319" s="34"/>
      <c r="V319" s="34"/>
    </row>
    <row r="320" spans="2:22" x14ac:dyDescent="0.3">
      <c r="B320" s="33"/>
      <c r="C320" s="34"/>
      <c r="D320" s="34"/>
      <c r="E320" s="34"/>
      <c r="F320" s="34"/>
      <c r="G320" s="34"/>
      <c r="H320" s="34"/>
      <c r="I320" s="34"/>
      <c r="J320" s="34"/>
      <c r="K320" s="35"/>
      <c r="L320" s="34"/>
      <c r="M320" s="32"/>
      <c r="N320" s="34"/>
      <c r="O320" s="34"/>
      <c r="P320" s="34"/>
      <c r="Q320" s="34"/>
      <c r="R320" s="34"/>
      <c r="S320" s="34"/>
      <c r="T320" s="34"/>
      <c r="U320" s="34"/>
      <c r="V320" s="34"/>
    </row>
    <row r="321" spans="2:22" x14ac:dyDescent="0.3">
      <c r="B321" s="33"/>
      <c r="C321" s="34"/>
      <c r="D321" s="34"/>
      <c r="E321" s="34"/>
      <c r="F321" s="34"/>
      <c r="G321" s="34"/>
      <c r="H321" s="34"/>
      <c r="I321" s="34"/>
      <c r="J321" s="34"/>
      <c r="K321" s="35"/>
      <c r="L321" s="34"/>
      <c r="M321" s="32"/>
      <c r="N321" s="34"/>
      <c r="O321" s="34"/>
      <c r="P321" s="34"/>
      <c r="Q321" s="34"/>
      <c r="R321" s="34"/>
      <c r="S321" s="34"/>
      <c r="T321" s="34"/>
      <c r="U321" s="34"/>
      <c r="V321" s="34"/>
    </row>
    <row r="322" spans="2:22" x14ac:dyDescent="0.3">
      <c r="B322" s="33"/>
      <c r="C322" s="34"/>
      <c r="D322" s="34"/>
      <c r="E322" s="34"/>
      <c r="F322" s="34"/>
      <c r="G322" s="34"/>
      <c r="H322" s="34"/>
      <c r="I322" s="34"/>
      <c r="J322" s="34"/>
      <c r="K322" s="35"/>
      <c r="L322" s="34"/>
      <c r="M322" s="32"/>
      <c r="N322" s="34"/>
      <c r="O322" s="34"/>
      <c r="P322" s="34"/>
      <c r="Q322" s="34"/>
      <c r="R322" s="34"/>
      <c r="S322" s="34"/>
      <c r="T322" s="34"/>
      <c r="U322" s="34"/>
      <c r="V322" s="34"/>
    </row>
    <row r="323" spans="2:22" x14ac:dyDescent="0.3">
      <c r="B323" s="33"/>
      <c r="C323" s="34"/>
      <c r="D323" s="34"/>
      <c r="E323" s="34"/>
      <c r="F323" s="34"/>
      <c r="G323" s="34"/>
      <c r="H323" s="34"/>
      <c r="I323" s="34"/>
      <c r="J323" s="34"/>
      <c r="K323" s="35"/>
      <c r="L323" s="34"/>
      <c r="M323" s="32"/>
      <c r="N323" s="34"/>
      <c r="O323" s="34"/>
      <c r="P323" s="34"/>
      <c r="Q323" s="34"/>
      <c r="R323" s="34"/>
      <c r="S323" s="34"/>
      <c r="T323" s="34"/>
      <c r="U323" s="34"/>
      <c r="V323" s="34"/>
    </row>
    <row r="324" spans="2:22" x14ac:dyDescent="0.3">
      <c r="B324" s="33"/>
      <c r="C324" s="34"/>
      <c r="D324" s="34"/>
      <c r="E324" s="34"/>
      <c r="F324" s="34"/>
      <c r="G324" s="34"/>
      <c r="H324" s="34"/>
      <c r="I324" s="34"/>
      <c r="J324" s="34"/>
      <c r="K324" s="35"/>
      <c r="L324" s="34"/>
      <c r="M324" s="32"/>
      <c r="N324" s="34"/>
      <c r="O324" s="34"/>
      <c r="P324" s="34"/>
      <c r="Q324" s="34"/>
      <c r="R324" s="34"/>
      <c r="S324" s="34"/>
      <c r="T324" s="34"/>
      <c r="U324" s="34"/>
      <c r="V324" s="34"/>
    </row>
    <row r="325" spans="2:22" x14ac:dyDescent="0.3">
      <c r="B325" s="33"/>
      <c r="C325" s="34"/>
      <c r="D325" s="34"/>
      <c r="E325" s="34"/>
      <c r="F325" s="34"/>
      <c r="G325" s="34"/>
      <c r="H325" s="34"/>
      <c r="I325" s="34"/>
      <c r="J325" s="34"/>
      <c r="K325" s="35"/>
      <c r="L325" s="34"/>
      <c r="M325" s="32"/>
      <c r="N325" s="34"/>
      <c r="O325" s="34"/>
      <c r="P325" s="34"/>
      <c r="Q325" s="34"/>
      <c r="R325" s="34"/>
      <c r="S325" s="34"/>
      <c r="T325" s="34"/>
      <c r="U325" s="34"/>
      <c r="V325" s="34"/>
    </row>
    <row r="326" spans="2:22" x14ac:dyDescent="0.3">
      <c r="B326" s="33"/>
      <c r="C326" s="34"/>
      <c r="D326" s="34"/>
      <c r="E326" s="34"/>
      <c r="F326" s="34"/>
      <c r="G326" s="34"/>
      <c r="H326" s="34"/>
      <c r="I326" s="34"/>
      <c r="J326" s="34"/>
      <c r="K326" s="35"/>
      <c r="L326" s="34"/>
      <c r="M326" s="32"/>
      <c r="N326" s="34"/>
      <c r="O326" s="34"/>
      <c r="P326" s="34"/>
      <c r="Q326" s="34"/>
      <c r="R326" s="34"/>
      <c r="S326" s="34"/>
      <c r="T326" s="34"/>
      <c r="U326" s="34"/>
      <c r="V326" s="34"/>
    </row>
    <row r="327" spans="2:22" x14ac:dyDescent="0.3">
      <c r="B327" s="33"/>
      <c r="C327" s="34"/>
      <c r="D327" s="34"/>
      <c r="E327" s="34"/>
      <c r="F327" s="34"/>
      <c r="G327" s="34"/>
      <c r="H327" s="34"/>
      <c r="I327" s="34"/>
      <c r="J327" s="34"/>
      <c r="K327" s="35"/>
      <c r="L327" s="34"/>
      <c r="M327" s="32"/>
      <c r="N327" s="34"/>
      <c r="O327" s="34"/>
      <c r="P327" s="34"/>
      <c r="Q327" s="34"/>
      <c r="R327" s="34"/>
      <c r="S327" s="34"/>
      <c r="T327" s="34"/>
      <c r="U327" s="34"/>
      <c r="V327" s="34"/>
    </row>
    <row r="328" spans="2:22" x14ac:dyDescent="0.3">
      <c r="B328" s="33"/>
      <c r="C328" s="34"/>
      <c r="D328" s="34"/>
      <c r="E328" s="34"/>
      <c r="F328" s="34"/>
      <c r="G328" s="34"/>
      <c r="H328" s="34"/>
      <c r="I328" s="34"/>
      <c r="J328" s="34"/>
      <c r="K328" s="35"/>
      <c r="L328" s="34"/>
      <c r="M328" s="32"/>
      <c r="N328" s="34"/>
      <c r="O328" s="34"/>
      <c r="P328" s="34"/>
      <c r="Q328" s="34"/>
      <c r="R328" s="34"/>
      <c r="S328" s="34"/>
      <c r="T328" s="34"/>
      <c r="U328" s="34"/>
      <c r="V328" s="34"/>
    </row>
    <row r="329" spans="2:22" x14ac:dyDescent="0.3">
      <c r="B329" s="33"/>
      <c r="C329" s="34"/>
      <c r="D329" s="34"/>
      <c r="E329" s="34"/>
      <c r="F329" s="34"/>
      <c r="G329" s="34"/>
      <c r="H329" s="34"/>
      <c r="I329" s="34"/>
      <c r="J329" s="34"/>
      <c r="K329" s="35"/>
      <c r="L329" s="34"/>
      <c r="M329" s="32"/>
      <c r="N329" s="34"/>
      <c r="O329" s="34"/>
      <c r="P329" s="34"/>
      <c r="Q329" s="34"/>
      <c r="R329" s="34"/>
      <c r="S329" s="34"/>
      <c r="T329" s="34"/>
      <c r="U329" s="34"/>
      <c r="V329" s="34"/>
    </row>
    <row r="330" spans="2:22" x14ac:dyDescent="0.3">
      <c r="B330" s="33"/>
      <c r="C330" s="34"/>
      <c r="D330" s="34"/>
      <c r="E330" s="34"/>
      <c r="F330" s="34"/>
      <c r="G330" s="34"/>
      <c r="H330" s="34"/>
      <c r="I330" s="34"/>
      <c r="J330" s="34"/>
      <c r="K330" s="35"/>
      <c r="L330" s="34"/>
      <c r="M330" s="32"/>
      <c r="N330" s="34"/>
      <c r="O330" s="34"/>
      <c r="P330" s="34"/>
      <c r="Q330" s="34"/>
      <c r="R330" s="34"/>
      <c r="S330" s="34"/>
      <c r="T330" s="34"/>
      <c r="U330" s="34"/>
      <c r="V330" s="34"/>
    </row>
    <row r="331" spans="2:22" x14ac:dyDescent="0.3">
      <c r="B331" s="33"/>
      <c r="C331" s="34"/>
      <c r="D331" s="34"/>
      <c r="E331" s="34"/>
      <c r="F331" s="34"/>
      <c r="G331" s="34"/>
      <c r="H331" s="34"/>
      <c r="I331" s="34"/>
      <c r="J331" s="34"/>
      <c r="K331" s="35"/>
      <c r="L331" s="34"/>
      <c r="M331" s="32"/>
      <c r="N331" s="34"/>
      <c r="O331" s="34"/>
      <c r="P331" s="34"/>
      <c r="Q331" s="34"/>
      <c r="R331" s="34"/>
      <c r="S331" s="34"/>
      <c r="T331" s="34"/>
      <c r="U331" s="34"/>
      <c r="V331" s="34"/>
    </row>
    <row r="332" spans="2:22" x14ac:dyDescent="0.3">
      <c r="B332" s="33"/>
      <c r="C332" s="34"/>
      <c r="D332" s="34"/>
      <c r="E332" s="34"/>
      <c r="F332" s="34"/>
      <c r="G332" s="34"/>
      <c r="H332" s="34"/>
      <c r="I332" s="34"/>
      <c r="J332" s="34"/>
      <c r="K332" s="35"/>
      <c r="L332" s="34"/>
      <c r="M332" s="32"/>
      <c r="N332" s="34"/>
      <c r="O332" s="34"/>
      <c r="P332" s="34"/>
      <c r="Q332" s="34"/>
      <c r="R332" s="34"/>
      <c r="S332" s="34"/>
      <c r="T332" s="34"/>
      <c r="U332" s="34"/>
      <c r="V332" s="34"/>
    </row>
    <row r="333" spans="2:22" x14ac:dyDescent="0.3">
      <c r="B333" s="33"/>
      <c r="C333" s="34"/>
      <c r="D333" s="34"/>
      <c r="E333" s="34"/>
      <c r="F333" s="34"/>
      <c r="G333" s="34"/>
      <c r="H333" s="34"/>
      <c r="I333" s="34"/>
      <c r="J333" s="34"/>
      <c r="K333" s="35"/>
      <c r="L333" s="34"/>
      <c r="M333" s="32"/>
      <c r="N333" s="34"/>
      <c r="O333" s="34"/>
      <c r="P333" s="34"/>
      <c r="Q333" s="34"/>
      <c r="R333" s="34"/>
      <c r="S333" s="34"/>
      <c r="T333" s="34"/>
      <c r="U333" s="34"/>
      <c r="V333" s="34"/>
    </row>
    <row r="334" spans="2:22" x14ac:dyDescent="0.3">
      <c r="B334" s="33"/>
      <c r="C334" s="34"/>
      <c r="D334" s="34"/>
      <c r="E334" s="34"/>
      <c r="F334" s="34"/>
      <c r="G334" s="34"/>
      <c r="H334" s="34"/>
      <c r="I334" s="34"/>
      <c r="J334" s="34"/>
      <c r="K334" s="35"/>
      <c r="L334" s="34"/>
      <c r="M334" s="32"/>
      <c r="N334" s="34"/>
      <c r="O334" s="34"/>
      <c r="P334" s="34"/>
      <c r="Q334" s="34"/>
      <c r="R334" s="34"/>
      <c r="S334" s="34"/>
      <c r="T334" s="34"/>
      <c r="U334" s="34"/>
      <c r="V334" s="34"/>
    </row>
    <row r="335" spans="2:22" x14ac:dyDescent="0.3">
      <c r="B335" s="33"/>
      <c r="C335" s="34"/>
      <c r="D335" s="34"/>
      <c r="E335" s="34"/>
      <c r="F335" s="34"/>
      <c r="G335" s="34"/>
      <c r="H335" s="34"/>
      <c r="I335" s="34"/>
      <c r="J335" s="34"/>
      <c r="K335" s="35"/>
      <c r="L335" s="34"/>
      <c r="M335" s="32"/>
      <c r="N335" s="34"/>
      <c r="O335" s="34"/>
      <c r="P335" s="34"/>
      <c r="Q335" s="34"/>
      <c r="R335" s="34"/>
      <c r="S335" s="34"/>
      <c r="T335" s="34"/>
      <c r="U335" s="34"/>
      <c r="V335" s="34"/>
    </row>
    <row r="336" spans="2:22" x14ac:dyDescent="0.3">
      <c r="B336" s="33"/>
      <c r="C336" s="34"/>
      <c r="D336" s="34"/>
      <c r="E336" s="34"/>
      <c r="F336" s="34"/>
      <c r="G336" s="34"/>
      <c r="H336" s="34"/>
      <c r="I336" s="34"/>
      <c r="J336" s="34"/>
      <c r="K336" s="35"/>
      <c r="L336" s="34"/>
      <c r="M336" s="32"/>
      <c r="N336" s="34"/>
      <c r="O336" s="34"/>
      <c r="P336" s="34"/>
      <c r="Q336" s="34"/>
      <c r="R336" s="34"/>
      <c r="S336" s="34"/>
      <c r="T336" s="34"/>
      <c r="U336" s="34"/>
      <c r="V336" s="34"/>
    </row>
    <row r="337" spans="2:22" x14ac:dyDescent="0.3">
      <c r="B337" s="33"/>
      <c r="C337" s="34"/>
      <c r="D337" s="34"/>
      <c r="E337" s="34"/>
      <c r="F337" s="34"/>
      <c r="G337" s="34"/>
      <c r="H337" s="34"/>
      <c r="I337" s="34"/>
      <c r="J337" s="34"/>
      <c r="K337" s="35"/>
      <c r="L337" s="34"/>
      <c r="M337" s="32"/>
      <c r="N337" s="34"/>
      <c r="O337" s="34"/>
      <c r="P337" s="34"/>
      <c r="Q337" s="34"/>
      <c r="R337" s="34"/>
      <c r="S337" s="34"/>
      <c r="T337" s="34"/>
      <c r="U337" s="34"/>
      <c r="V337" s="34"/>
    </row>
    <row r="338" spans="2:22" x14ac:dyDescent="0.3">
      <c r="B338" s="33"/>
      <c r="C338" s="34"/>
      <c r="D338" s="34"/>
      <c r="E338" s="34"/>
      <c r="F338" s="34"/>
      <c r="G338" s="34"/>
      <c r="H338" s="34"/>
      <c r="I338" s="34"/>
      <c r="J338" s="34"/>
      <c r="K338" s="35"/>
      <c r="L338" s="34"/>
      <c r="M338" s="32"/>
      <c r="N338" s="34"/>
      <c r="O338" s="34"/>
      <c r="P338" s="34"/>
      <c r="Q338" s="34"/>
      <c r="R338" s="34"/>
      <c r="S338" s="34"/>
      <c r="T338" s="34"/>
      <c r="U338" s="34"/>
      <c r="V338" s="34"/>
    </row>
    <row r="339" spans="2:22" x14ac:dyDescent="0.3">
      <c r="B339" s="33"/>
      <c r="C339" s="34"/>
      <c r="D339" s="34"/>
      <c r="E339" s="34"/>
      <c r="F339" s="34"/>
      <c r="G339" s="34"/>
      <c r="H339" s="34"/>
      <c r="I339" s="34"/>
      <c r="J339" s="34"/>
      <c r="K339" s="35"/>
      <c r="L339" s="34"/>
      <c r="M339" s="32"/>
      <c r="N339" s="34"/>
      <c r="O339" s="34"/>
      <c r="P339" s="34"/>
      <c r="Q339" s="34"/>
      <c r="R339" s="34"/>
      <c r="S339" s="34"/>
      <c r="T339" s="34"/>
      <c r="U339" s="34"/>
      <c r="V339" s="34"/>
    </row>
    <row r="340" spans="2:22" x14ac:dyDescent="0.3">
      <c r="B340" s="33"/>
      <c r="C340" s="34"/>
      <c r="D340" s="34"/>
      <c r="E340" s="34"/>
      <c r="F340" s="34"/>
      <c r="G340" s="34"/>
      <c r="H340" s="34"/>
      <c r="I340" s="34"/>
      <c r="J340" s="34"/>
      <c r="K340" s="35"/>
      <c r="L340" s="34"/>
      <c r="M340" s="32"/>
      <c r="N340" s="34"/>
      <c r="O340" s="34"/>
      <c r="P340" s="34"/>
      <c r="Q340" s="34"/>
      <c r="R340" s="34"/>
      <c r="S340" s="34"/>
      <c r="T340" s="34"/>
      <c r="U340" s="34"/>
      <c r="V340" s="34"/>
    </row>
    <row r="341" spans="2:22" x14ac:dyDescent="0.3">
      <c r="B341" s="33"/>
      <c r="C341" s="34"/>
      <c r="D341" s="34"/>
      <c r="E341" s="34"/>
      <c r="F341" s="34"/>
      <c r="G341" s="34"/>
      <c r="H341" s="34"/>
      <c r="I341" s="34"/>
      <c r="J341" s="34"/>
      <c r="K341" s="35"/>
      <c r="L341" s="34"/>
      <c r="M341" s="32"/>
      <c r="N341" s="34"/>
      <c r="O341" s="34"/>
      <c r="P341" s="34"/>
      <c r="Q341" s="34"/>
      <c r="R341" s="34"/>
      <c r="S341" s="34"/>
      <c r="T341" s="34"/>
      <c r="U341" s="34"/>
      <c r="V341" s="34"/>
    </row>
    <row r="342" spans="2:22" x14ac:dyDescent="0.3">
      <c r="B342" s="33"/>
      <c r="C342" s="34"/>
      <c r="D342" s="34"/>
      <c r="E342" s="34"/>
      <c r="F342" s="34"/>
      <c r="G342" s="34"/>
      <c r="H342" s="34"/>
      <c r="I342" s="34"/>
      <c r="J342" s="34"/>
      <c r="K342" s="35"/>
      <c r="L342" s="34"/>
      <c r="M342" s="32"/>
      <c r="N342" s="34"/>
      <c r="O342" s="34"/>
      <c r="P342" s="34"/>
      <c r="Q342" s="34"/>
      <c r="R342" s="34"/>
      <c r="S342" s="34"/>
      <c r="T342" s="34"/>
      <c r="U342" s="34"/>
      <c r="V342" s="34"/>
    </row>
    <row r="343" spans="2:22" x14ac:dyDescent="0.3">
      <c r="B343" s="33"/>
      <c r="C343" s="34"/>
      <c r="D343" s="34"/>
      <c r="E343" s="34"/>
      <c r="F343" s="34"/>
      <c r="G343" s="34"/>
      <c r="H343" s="34"/>
      <c r="I343" s="34"/>
      <c r="J343" s="34"/>
      <c r="K343" s="35"/>
      <c r="L343" s="34"/>
      <c r="M343" s="32"/>
      <c r="N343" s="34"/>
      <c r="O343" s="34"/>
      <c r="P343" s="34"/>
      <c r="Q343" s="34"/>
      <c r="R343" s="34"/>
      <c r="S343" s="34"/>
      <c r="T343" s="34"/>
      <c r="U343" s="34"/>
      <c r="V343" s="34"/>
    </row>
    <row r="344" spans="2:22" x14ac:dyDescent="0.3">
      <c r="B344" s="33"/>
      <c r="C344" s="34"/>
      <c r="D344" s="34"/>
      <c r="E344" s="34"/>
      <c r="F344" s="34"/>
      <c r="G344" s="34"/>
      <c r="H344" s="34"/>
      <c r="I344" s="34"/>
      <c r="J344" s="34"/>
      <c r="K344" s="35"/>
      <c r="L344" s="34"/>
      <c r="M344" s="32"/>
      <c r="N344" s="34"/>
      <c r="O344" s="34"/>
      <c r="P344" s="34"/>
      <c r="Q344" s="34"/>
      <c r="R344" s="34"/>
      <c r="S344" s="34"/>
      <c r="T344" s="34"/>
      <c r="U344" s="34"/>
      <c r="V344" s="34"/>
    </row>
    <row r="345" spans="2:22" x14ac:dyDescent="0.3">
      <c r="B345" s="33"/>
      <c r="C345" s="34"/>
      <c r="D345" s="34"/>
      <c r="E345" s="34"/>
      <c r="F345" s="34"/>
      <c r="G345" s="34"/>
      <c r="H345" s="34"/>
      <c r="I345" s="34"/>
      <c r="J345" s="34"/>
      <c r="K345" s="35"/>
      <c r="L345" s="34"/>
      <c r="M345" s="32"/>
      <c r="N345" s="34"/>
      <c r="O345" s="34"/>
      <c r="P345" s="34"/>
      <c r="Q345" s="34"/>
      <c r="R345" s="34"/>
      <c r="S345" s="34"/>
      <c r="T345" s="34"/>
      <c r="U345" s="34"/>
      <c r="V345" s="34"/>
    </row>
    <row r="346" spans="2:22" x14ac:dyDescent="0.3">
      <c r="B346" s="33"/>
      <c r="C346" s="34"/>
      <c r="D346" s="34"/>
      <c r="E346" s="34"/>
      <c r="F346" s="34"/>
      <c r="G346" s="34"/>
      <c r="H346" s="34"/>
      <c r="I346" s="34"/>
      <c r="J346" s="34"/>
      <c r="K346" s="35"/>
      <c r="L346" s="34"/>
      <c r="M346" s="32"/>
      <c r="N346" s="34"/>
      <c r="O346" s="34"/>
      <c r="P346" s="34"/>
      <c r="Q346" s="34"/>
      <c r="R346" s="34"/>
      <c r="S346" s="34"/>
      <c r="T346" s="34"/>
      <c r="U346" s="34"/>
      <c r="V346" s="34"/>
    </row>
    <row r="347" spans="2:22" x14ac:dyDescent="0.3">
      <c r="B347" s="33"/>
      <c r="C347" s="34"/>
      <c r="D347" s="34"/>
      <c r="E347" s="34"/>
      <c r="F347" s="34"/>
      <c r="G347" s="34"/>
      <c r="H347" s="34"/>
      <c r="I347" s="34"/>
      <c r="J347" s="34"/>
      <c r="K347" s="35"/>
      <c r="L347" s="34"/>
      <c r="M347" s="32"/>
      <c r="N347" s="34"/>
      <c r="O347" s="34"/>
      <c r="P347" s="34"/>
      <c r="Q347" s="34"/>
      <c r="R347" s="34"/>
      <c r="S347" s="34"/>
      <c r="T347" s="34"/>
      <c r="U347" s="34"/>
      <c r="V347" s="34"/>
    </row>
    <row r="348" spans="2:22" x14ac:dyDescent="0.3">
      <c r="B348" s="33"/>
      <c r="C348" s="34"/>
      <c r="D348" s="34"/>
      <c r="E348" s="34"/>
      <c r="F348" s="34"/>
      <c r="G348" s="34"/>
      <c r="H348" s="34"/>
      <c r="I348" s="34"/>
      <c r="J348" s="34"/>
      <c r="K348" s="35"/>
      <c r="L348" s="34"/>
      <c r="M348" s="32"/>
      <c r="N348" s="34"/>
      <c r="O348" s="34"/>
      <c r="P348" s="34"/>
      <c r="Q348" s="34"/>
      <c r="R348" s="34"/>
      <c r="S348" s="34"/>
      <c r="T348" s="34"/>
      <c r="U348" s="34"/>
      <c r="V348" s="34"/>
    </row>
    <row r="349" spans="2:22" x14ac:dyDescent="0.3">
      <c r="B349" s="33"/>
      <c r="C349" s="34"/>
      <c r="D349" s="34"/>
      <c r="E349" s="34"/>
      <c r="F349" s="34"/>
      <c r="G349" s="34"/>
      <c r="H349" s="34"/>
      <c r="I349" s="34"/>
      <c r="J349" s="34"/>
      <c r="K349" s="35"/>
      <c r="L349" s="34"/>
      <c r="M349" s="32"/>
      <c r="N349" s="34"/>
      <c r="O349" s="34"/>
      <c r="P349" s="34"/>
      <c r="Q349" s="34"/>
      <c r="R349" s="34"/>
      <c r="S349" s="34"/>
      <c r="T349" s="34"/>
      <c r="U349" s="34"/>
      <c r="V349" s="34"/>
    </row>
    <row r="350" spans="2:22" x14ac:dyDescent="0.3">
      <c r="B350" s="33"/>
      <c r="C350" s="34"/>
      <c r="D350" s="34"/>
      <c r="E350" s="34"/>
      <c r="F350" s="34"/>
      <c r="G350" s="34"/>
      <c r="H350" s="34"/>
      <c r="I350" s="34"/>
      <c r="J350" s="34"/>
      <c r="K350" s="35"/>
      <c r="L350" s="34"/>
      <c r="M350" s="32"/>
      <c r="N350" s="34"/>
      <c r="O350" s="34"/>
      <c r="P350" s="34"/>
      <c r="Q350" s="34"/>
      <c r="R350" s="34"/>
      <c r="S350" s="34"/>
      <c r="T350" s="34"/>
      <c r="U350" s="34"/>
      <c r="V350" s="34"/>
    </row>
    <row r="351" spans="2:22" x14ac:dyDescent="0.3">
      <c r="B351" s="33"/>
      <c r="C351" s="34"/>
      <c r="D351" s="34"/>
      <c r="E351" s="34"/>
      <c r="F351" s="34"/>
      <c r="G351" s="34"/>
      <c r="H351" s="34"/>
      <c r="I351" s="34"/>
      <c r="J351" s="34"/>
      <c r="K351" s="35"/>
      <c r="L351" s="34"/>
      <c r="M351" s="32"/>
      <c r="N351" s="34"/>
      <c r="O351" s="34"/>
      <c r="P351" s="34"/>
      <c r="Q351" s="34"/>
      <c r="R351" s="34"/>
      <c r="S351" s="34"/>
      <c r="T351" s="34"/>
      <c r="U351" s="34"/>
      <c r="V351" s="34"/>
    </row>
    <row r="352" spans="2:22" x14ac:dyDescent="0.3">
      <c r="B352" s="33"/>
      <c r="C352" s="34"/>
      <c r="D352" s="34"/>
      <c r="E352" s="34"/>
      <c r="F352" s="34"/>
      <c r="G352" s="34"/>
      <c r="H352" s="34"/>
      <c r="I352" s="34"/>
      <c r="J352" s="34"/>
      <c r="K352" s="35"/>
      <c r="L352" s="34"/>
      <c r="M352" s="32"/>
      <c r="N352" s="34"/>
      <c r="O352" s="34"/>
      <c r="P352" s="34"/>
      <c r="Q352" s="34"/>
      <c r="R352" s="34"/>
      <c r="S352" s="34"/>
      <c r="T352" s="34"/>
      <c r="U352" s="34"/>
      <c r="V352" s="34"/>
    </row>
    <row r="353" spans="2:22" x14ac:dyDescent="0.3">
      <c r="B353" s="33"/>
      <c r="C353" s="34"/>
      <c r="D353" s="34"/>
      <c r="E353" s="34"/>
      <c r="F353" s="34"/>
      <c r="G353" s="34"/>
      <c r="H353" s="34"/>
      <c r="I353" s="34"/>
      <c r="J353" s="34"/>
      <c r="K353" s="35"/>
      <c r="L353" s="34"/>
      <c r="M353" s="32"/>
      <c r="N353" s="34"/>
      <c r="O353" s="34"/>
      <c r="P353" s="34"/>
      <c r="Q353" s="34"/>
      <c r="R353" s="34"/>
      <c r="S353" s="34"/>
      <c r="T353" s="34"/>
      <c r="U353" s="34"/>
      <c r="V353" s="34"/>
    </row>
    <row r="354" spans="2:22" x14ac:dyDescent="0.3">
      <c r="B354" s="33"/>
      <c r="C354" s="34"/>
      <c r="D354" s="34"/>
      <c r="E354" s="34"/>
      <c r="F354" s="34"/>
      <c r="G354" s="34"/>
      <c r="H354" s="34"/>
      <c r="I354" s="34"/>
      <c r="J354" s="34"/>
      <c r="K354" s="35"/>
      <c r="L354" s="34"/>
      <c r="M354" s="32"/>
      <c r="N354" s="34"/>
      <c r="O354" s="34"/>
      <c r="P354" s="34"/>
      <c r="Q354" s="34"/>
      <c r="R354" s="34"/>
      <c r="S354" s="34"/>
      <c r="T354" s="34"/>
      <c r="U354" s="34"/>
      <c r="V354" s="34"/>
    </row>
    <row r="355" spans="2:22" x14ac:dyDescent="0.3">
      <c r="B355" s="33"/>
      <c r="C355" s="34"/>
      <c r="D355" s="34"/>
      <c r="E355" s="34"/>
      <c r="F355" s="34"/>
      <c r="G355" s="34"/>
      <c r="H355" s="34"/>
      <c r="I355" s="34"/>
      <c r="J355" s="34"/>
      <c r="K355" s="35"/>
      <c r="L355" s="34"/>
      <c r="M355" s="32"/>
      <c r="N355" s="34"/>
      <c r="O355" s="34"/>
      <c r="P355" s="34"/>
      <c r="Q355" s="34"/>
      <c r="R355" s="34"/>
      <c r="S355" s="34"/>
      <c r="T355" s="34"/>
      <c r="U355" s="34"/>
      <c r="V355" s="34"/>
    </row>
    <row r="356" spans="2:22" x14ac:dyDescent="0.3">
      <c r="B356" s="33"/>
      <c r="C356" s="34"/>
      <c r="D356" s="34"/>
      <c r="E356" s="34"/>
      <c r="F356" s="34"/>
      <c r="G356" s="34"/>
      <c r="H356" s="34"/>
      <c r="I356" s="34"/>
      <c r="J356" s="34"/>
      <c r="K356" s="35"/>
      <c r="L356" s="34"/>
      <c r="M356" s="32"/>
      <c r="N356" s="34"/>
      <c r="O356" s="34"/>
      <c r="P356" s="34"/>
      <c r="Q356" s="34"/>
      <c r="R356" s="34"/>
      <c r="S356" s="34"/>
      <c r="T356" s="34"/>
      <c r="U356" s="34"/>
      <c r="V356" s="34"/>
    </row>
    <row r="357" spans="2:22" x14ac:dyDescent="0.3">
      <c r="B357" s="33"/>
      <c r="C357" s="34"/>
      <c r="D357" s="34"/>
      <c r="E357" s="34"/>
      <c r="F357" s="34"/>
      <c r="G357" s="34"/>
      <c r="H357" s="34"/>
      <c r="I357" s="34"/>
      <c r="J357" s="34"/>
      <c r="K357" s="35"/>
      <c r="L357" s="34"/>
      <c r="M357" s="32"/>
      <c r="N357" s="34"/>
      <c r="O357" s="34"/>
      <c r="P357" s="34"/>
      <c r="Q357" s="34"/>
      <c r="R357" s="34"/>
      <c r="S357" s="34"/>
      <c r="T357" s="34"/>
      <c r="U357" s="34"/>
      <c r="V357" s="34"/>
    </row>
    <row r="358" spans="2:22" x14ac:dyDescent="0.3">
      <c r="B358" s="33"/>
      <c r="C358" s="34"/>
      <c r="D358" s="34"/>
      <c r="E358" s="34"/>
      <c r="F358" s="34"/>
      <c r="G358" s="34"/>
      <c r="H358" s="34"/>
      <c r="I358" s="34"/>
      <c r="J358" s="34"/>
      <c r="K358" s="35"/>
      <c r="L358" s="34"/>
      <c r="M358" s="32"/>
      <c r="N358" s="34"/>
      <c r="O358" s="34"/>
      <c r="P358" s="34"/>
      <c r="Q358" s="34"/>
      <c r="R358" s="34"/>
      <c r="S358" s="34"/>
      <c r="T358" s="34"/>
      <c r="U358" s="34"/>
      <c r="V358" s="34"/>
    </row>
    <row r="359" spans="2:22" x14ac:dyDescent="0.3">
      <c r="B359" s="33"/>
      <c r="C359" s="34"/>
      <c r="D359" s="34"/>
      <c r="E359" s="34"/>
      <c r="F359" s="34"/>
      <c r="G359" s="34"/>
      <c r="H359" s="34"/>
      <c r="I359" s="34"/>
      <c r="J359" s="34"/>
      <c r="K359" s="35"/>
      <c r="L359" s="34"/>
      <c r="M359" s="32"/>
      <c r="N359" s="34"/>
      <c r="O359" s="34"/>
      <c r="P359" s="34"/>
      <c r="Q359" s="34"/>
      <c r="R359" s="34"/>
      <c r="S359" s="34"/>
      <c r="T359" s="34"/>
      <c r="U359" s="34"/>
      <c r="V359" s="34"/>
    </row>
    <row r="360" spans="2:22" x14ac:dyDescent="0.3">
      <c r="B360" s="33"/>
      <c r="C360" s="34"/>
      <c r="D360" s="34"/>
      <c r="E360" s="34"/>
      <c r="F360" s="34"/>
      <c r="G360" s="34"/>
      <c r="H360" s="34"/>
      <c r="I360" s="34"/>
      <c r="J360" s="34"/>
      <c r="K360" s="35"/>
      <c r="L360" s="34"/>
      <c r="M360" s="32"/>
      <c r="N360" s="34"/>
      <c r="O360" s="34"/>
      <c r="P360" s="34"/>
      <c r="Q360" s="34"/>
      <c r="R360" s="34"/>
      <c r="S360" s="34"/>
      <c r="T360" s="34"/>
      <c r="U360" s="34"/>
      <c r="V360" s="34"/>
    </row>
    <row r="361" spans="2:22" x14ac:dyDescent="0.3">
      <c r="B361" s="33"/>
      <c r="C361" s="34"/>
      <c r="D361" s="34"/>
      <c r="E361" s="34"/>
      <c r="F361" s="34"/>
      <c r="G361" s="34"/>
      <c r="H361" s="34"/>
      <c r="I361" s="34"/>
      <c r="J361" s="34"/>
      <c r="K361" s="35"/>
      <c r="L361" s="34"/>
      <c r="M361" s="32"/>
      <c r="N361" s="34"/>
      <c r="O361" s="34"/>
      <c r="P361" s="34"/>
      <c r="Q361" s="34"/>
      <c r="R361" s="34"/>
      <c r="S361" s="34"/>
      <c r="T361" s="34"/>
      <c r="U361" s="34"/>
      <c r="V361" s="34"/>
    </row>
    <row r="362" spans="2:22" x14ac:dyDescent="0.3">
      <c r="B362" s="33"/>
      <c r="C362" s="34"/>
      <c r="D362" s="34"/>
      <c r="E362" s="34"/>
      <c r="F362" s="34"/>
      <c r="G362" s="34"/>
      <c r="H362" s="34"/>
      <c r="I362" s="34"/>
      <c r="J362" s="34"/>
      <c r="K362" s="35"/>
      <c r="L362" s="34"/>
      <c r="M362" s="32"/>
      <c r="N362" s="34"/>
      <c r="O362" s="34"/>
      <c r="P362" s="34"/>
      <c r="Q362" s="34"/>
      <c r="R362" s="34"/>
      <c r="S362" s="34"/>
      <c r="T362" s="34"/>
      <c r="U362" s="34"/>
      <c r="V362" s="34"/>
    </row>
    <row r="363" spans="2:22" x14ac:dyDescent="0.3">
      <c r="B363" s="33"/>
      <c r="C363" s="34"/>
      <c r="D363" s="34"/>
      <c r="E363" s="34"/>
      <c r="F363" s="34"/>
      <c r="G363" s="34"/>
      <c r="H363" s="34"/>
      <c r="I363" s="34"/>
      <c r="J363" s="34"/>
      <c r="K363" s="35"/>
      <c r="L363" s="34"/>
      <c r="M363" s="32"/>
      <c r="N363" s="34"/>
      <c r="O363" s="34"/>
      <c r="P363" s="34"/>
      <c r="Q363" s="34"/>
      <c r="R363" s="34"/>
      <c r="S363" s="34"/>
      <c r="T363" s="34"/>
      <c r="U363" s="34"/>
      <c r="V363" s="34"/>
    </row>
    <row r="364" spans="2:22" x14ac:dyDescent="0.3">
      <c r="B364" s="33"/>
      <c r="C364" s="34"/>
      <c r="D364" s="34"/>
      <c r="E364" s="34"/>
      <c r="F364" s="34"/>
      <c r="G364" s="34"/>
      <c r="H364" s="34"/>
      <c r="I364" s="34"/>
      <c r="J364" s="34"/>
      <c r="K364" s="35"/>
      <c r="L364" s="34"/>
      <c r="M364" s="32"/>
      <c r="N364" s="34"/>
      <c r="O364" s="34"/>
      <c r="P364" s="34"/>
      <c r="Q364" s="34"/>
      <c r="R364" s="34"/>
      <c r="S364" s="34"/>
      <c r="T364" s="34"/>
      <c r="U364" s="34"/>
      <c r="V364" s="34"/>
    </row>
    <row r="365" spans="2:22" x14ac:dyDescent="0.3">
      <c r="B365" s="33"/>
      <c r="C365" s="34"/>
      <c r="D365" s="34"/>
      <c r="E365" s="34"/>
      <c r="F365" s="34"/>
      <c r="G365" s="34"/>
      <c r="H365" s="34"/>
      <c r="I365" s="34"/>
      <c r="J365" s="34"/>
      <c r="K365" s="35"/>
      <c r="L365" s="34"/>
      <c r="M365" s="32"/>
      <c r="N365" s="34"/>
      <c r="O365" s="34"/>
      <c r="P365" s="34"/>
      <c r="Q365" s="34"/>
      <c r="R365" s="34"/>
      <c r="S365" s="34"/>
      <c r="T365" s="34"/>
      <c r="U365" s="34"/>
      <c r="V365" s="34"/>
    </row>
    <row r="366" spans="2:22" x14ac:dyDescent="0.3">
      <c r="B366" s="33"/>
      <c r="C366" s="34"/>
      <c r="D366" s="34"/>
      <c r="E366" s="34"/>
      <c r="F366" s="34"/>
      <c r="G366" s="34"/>
      <c r="H366" s="34"/>
      <c r="I366" s="34"/>
      <c r="J366" s="34"/>
      <c r="K366" s="35"/>
      <c r="L366" s="34"/>
      <c r="M366" s="32"/>
      <c r="N366" s="34"/>
      <c r="O366" s="34"/>
      <c r="P366" s="34"/>
      <c r="Q366" s="34"/>
      <c r="R366" s="34"/>
      <c r="S366" s="34"/>
      <c r="T366" s="34"/>
      <c r="U366" s="34"/>
      <c r="V366" s="34"/>
    </row>
    <row r="367" spans="2:22" x14ac:dyDescent="0.3">
      <c r="B367" s="33"/>
      <c r="C367" s="34"/>
      <c r="D367" s="34"/>
      <c r="E367" s="34"/>
      <c r="F367" s="34"/>
      <c r="G367" s="34"/>
      <c r="H367" s="34"/>
      <c r="I367" s="34"/>
      <c r="J367" s="34"/>
      <c r="K367" s="35"/>
      <c r="L367" s="34"/>
      <c r="M367" s="32"/>
      <c r="N367" s="34"/>
      <c r="O367" s="34"/>
      <c r="P367" s="34"/>
      <c r="Q367" s="34"/>
      <c r="R367" s="34"/>
      <c r="S367" s="34"/>
      <c r="T367" s="34"/>
      <c r="U367" s="34"/>
      <c r="V367" s="34"/>
    </row>
    <row r="368" spans="2:22" x14ac:dyDescent="0.3">
      <c r="B368" s="33"/>
      <c r="C368" s="34"/>
      <c r="D368" s="34"/>
      <c r="E368" s="34"/>
      <c r="F368" s="34"/>
      <c r="G368" s="34"/>
      <c r="H368" s="34"/>
      <c r="I368" s="34"/>
      <c r="J368" s="34"/>
      <c r="K368" s="35"/>
      <c r="L368" s="34"/>
      <c r="M368" s="32"/>
      <c r="N368" s="34"/>
      <c r="O368" s="34"/>
      <c r="P368" s="34"/>
      <c r="Q368" s="34"/>
      <c r="R368" s="34"/>
      <c r="S368" s="34"/>
      <c r="T368" s="34"/>
      <c r="U368" s="34"/>
      <c r="V368" s="34"/>
    </row>
    <row r="369" spans="2:22" x14ac:dyDescent="0.3">
      <c r="B369" s="33"/>
      <c r="C369" s="34"/>
      <c r="D369" s="34"/>
      <c r="E369" s="34"/>
      <c r="F369" s="34"/>
      <c r="G369" s="34"/>
      <c r="H369" s="34"/>
      <c r="I369" s="34"/>
      <c r="J369" s="34"/>
      <c r="K369" s="35"/>
      <c r="L369" s="34"/>
      <c r="M369" s="32"/>
      <c r="N369" s="34"/>
      <c r="O369" s="34"/>
      <c r="P369" s="34"/>
      <c r="Q369" s="34"/>
      <c r="R369" s="34"/>
      <c r="S369" s="34"/>
      <c r="T369" s="34"/>
      <c r="U369" s="34"/>
      <c r="V369" s="34"/>
    </row>
    <row r="370" spans="2:22" x14ac:dyDescent="0.3">
      <c r="B370" s="33"/>
      <c r="C370" s="34"/>
      <c r="D370" s="34"/>
      <c r="E370" s="34"/>
      <c r="F370" s="34"/>
      <c r="G370" s="34"/>
      <c r="H370" s="34"/>
      <c r="I370" s="34"/>
      <c r="J370" s="34"/>
      <c r="K370" s="35"/>
      <c r="L370" s="34"/>
      <c r="M370" s="32"/>
      <c r="N370" s="34"/>
      <c r="O370" s="34"/>
      <c r="P370" s="34"/>
      <c r="Q370" s="34"/>
      <c r="R370" s="34"/>
      <c r="S370" s="34"/>
      <c r="T370" s="34"/>
      <c r="U370" s="34"/>
      <c r="V370" s="34"/>
    </row>
    <row r="371" spans="2:22" x14ac:dyDescent="0.3">
      <c r="B371" s="33"/>
      <c r="C371" s="34"/>
      <c r="D371" s="34"/>
      <c r="E371" s="34"/>
      <c r="F371" s="34"/>
      <c r="G371" s="34"/>
      <c r="H371" s="34"/>
      <c r="I371" s="34"/>
      <c r="J371" s="34"/>
      <c r="K371" s="35"/>
      <c r="L371" s="34"/>
      <c r="M371" s="32"/>
      <c r="N371" s="34"/>
      <c r="O371" s="34"/>
      <c r="P371" s="34"/>
      <c r="Q371" s="34"/>
      <c r="R371" s="34"/>
      <c r="S371" s="34"/>
      <c r="T371" s="34"/>
      <c r="U371" s="34"/>
      <c r="V371" s="34"/>
    </row>
    <row r="372" spans="2:22" x14ac:dyDescent="0.3">
      <c r="B372" s="33"/>
      <c r="C372" s="34"/>
      <c r="D372" s="34"/>
      <c r="E372" s="34"/>
      <c r="F372" s="34"/>
      <c r="G372" s="34"/>
      <c r="H372" s="34"/>
      <c r="I372" s="34"/>
      <c r="J372" s="34"/>
      <c r="K372" s="35"/>
      <c r="L372" s="34"/>
      <c r="M372" s="32"/>
      <c r="N372" s="34"/>
      <c r="O372" s="34"/>
      <c r="P372" s="34"/>
      <c r="Q372" s="34"/>
      <c r="R372" s="34"/>
      <c r="S372" s="34"/>
      <c r="T372" s="34"/>
      <c r="U372" s="34"/>
      <c r="V372" s="34"/>
    </row>
    <row r="373" spans="2:22" x14ac:dyDescent="0.3">
      <c r="B373" s="33"/>
      <c r="C373" s="34"/>
      <c r="D373" s="34"/>
      <c r="E373" s="34"/>
      <c r="F373" s="34"/>
      <c r="G373" s="34"/>
      <c r="H373" s="34"/>
      <c r="I373" s="34"/>
      <c r="J373" s="34"/>
      <c r="K373" s="35"/>
      <c r="L373" s="34"/>
      <c r="M373" s="32"/>
      <c r="N373" s="34"/>
      <c r="O373" s="34"/>
      <c r="P373" s="34"/>
      <c r="Q373" s="34"/>
      <c r="R373" s="34"/>
      <c r="S373" s="34"/>
      <c r="T373" s="34"/>
      <c r="U373" s="34"/>
      <c r="V373" s="34"/>
    </row>
    <row r="374" spans="2:22" x14ac:dyDescent="0.3">
      <c r="B374" s="33"/>
      <c r="C374" s="34"/>
      <c r="D374" s="34"/>
      <c r="E374" s="34"/>
      <c r="F374" s="34"/>
      <c r="G374" s="34"/>
      <c r="H374" s="34"/>
      <c r="I374" s="34"/>
      <c r="J374" s="34"/>
      <c r="K374" s="35"/>
      <c r="L374" s="34"/>
      <c r="M374" s="32"/>
      <c r="N374" s="34"/>
      <c r="O374" s="34"/>
      <c r="P374" s="34"/>
      <c r="Q374" s="34"/>
      <c r="R374" s="34"/>
      <c r="S374" s="34"/>
      <c r="T374" s="34"/>
      <c r="U374" s="34"/>
      <c r="V374" s="34"/>
    </row>
    <row r="375" spans="2:22" x14ac:dyDescent="0.3">
      <c r="B375" s="33"/>
      <c r="C375" s="34"/>
      <c r="D375" s="34"/>
      <c r="E375" s="34"/>
      <c r="F375" s="34"/>
      <c r="G375" s="34"/>
      <c r="H375" s="34"/>
      <c r="I375" s="34"/>
      <c r="J375" s="34"/>
      <c r="K375" s="35"/>
      <c r="L375" s="34"/>
      <c r="M375" s="32"/>
      <c r="N375" s="34"/>
      <c r="O375" s="34"/>
      <c r="P375" s="34"/>
      <c r="Q375" s="34"/>
      <c r="R375" s="34"/>
      <c r="S375" s="34"/>
      <c r="T375" s="34"/>
      <c r="U375" s="34"/>
      <c r="V375" s="34"/>
    </row>
    <row r="376" spans="2:22" x14ac:dyDescent="0.3">
      <c r="B376" s="33"/>
      <c r="C376" s="34"/>
      <c r="D376" s="34"/>
      <c r="E376" s="34"/>
      <c r="F376" s="34"/>
      <c r="G376" s="34"/>
      <c r="H376" s="34"/>
      <c r="I376" s="34"/>
      <c r="J376" s="34"/>
      <c r="K376" s="35"/>
      <c r="L376" s="34"/>
      <c r="M376" s="32"/>
      <c r="N376" s="34"/>
      <c r="O376" s="34"/>
      <c r="P376" s="34"/>
      <c r="Q376" s="34"/>
      <c r="R376" s="34"/>
      <c r="S376" s="34"/>
      <c r="T376" s="34"/>
      <c r="U376" s="34"/>
      <c r="V376" s="34"/>
    </row>
    <row r="377" spans="2:22" x14ac:dyDescent="0.3">
      <c r="B377" s="33"/>
      <c r="C377" s="34"/>
      <c r="D377" s="34"/>
      <c r="E377" s="34"/>
      <c r="F377" s="34"/>
      <c r="G377" s="34"/>
      <c r="H377" s="34"/>
      <c r="I377" s="34"/>
      <c r="J377" s="34"/>
      <c r="K377" s="35"/>
      <c r="L377" s="34"/>
      <c r="M377" s="32"/>
      <c r="N377" s="34"/>
      <c r="O377" s="34"/>
      <c r="P377" s="34"/>
      <c r="Q377" s="34"/>
      <c r="R377" s="34"/>
      <c r="S377" s="34"/>
      <c r="T377" s="34"/>
      <c r="U377" s="34"/>
      <c r="V377" s="34"/>
    </row>
    <row r="378" spans="2:22" x14ac:dyDescent="0.3">
      <c r="B378" s="33"/>
      <c r="C378" s="34"/>
      <c r="D378" s="34"/>
      <c r="E378" s="34"/>
      <c r="F378" s="34"/>
      <c r="G378" s="34"/>
      <c r="H378" s="34"/>
      <c r="I378" s="34"/>
      <c r="J378" s="34"/>
      <c r="K378" s="35"/>
      <c r="L378" s="34"/>
      <c r="M378" s="32"/>
      <c r="N378" s="34"/>
      <c r="O378" s="34"/>
      <c r="P378" s="34"/>
      <c r="Q378" s="34"/>
      <c r="R378" s="34"/>
      <c r="S378" s="34"/>
      <c r="T378" s="34"/>
      <c r="U378" s="34"/>
      <c r="V378" s="34"/>
    </row>
    <row r="379" spans="2:22" x14ac:dyDescent="0.3">
      <c r="B379" s="33"/>
      <c r="C379" s="34"/>
      <c r="D379" s="34"/>
      <c r="E379" s="34"/>
      <c r="F379" s="34"/>
      <c r="G379" s="34"/>
      <c r="H379" s="34"/>
      <c r="I379" s="34"/>
      <c r="J379" s="34"/>
      <c r="K379" s="35"/>
      <c r="L379" s="34"/>
      <c r="M379" s="32"/>
      <c r="N379" s="34"/>
      <c r="O379" s="34"/>
      <c r="P379" s="34"/>
      <c r="Q379" s="34"/>
      <c r="R379" s="34"/>
      <c r="S379" s="34"/>
      <c r="T379" s="34"/>
      <c r="U379" s="34"/>
      <c r="V379" s="34"/>
    </row>
    <row r="380" spans="2:22" x14ac:dyDescent="0.3">
      <c r="B380" s="33"/>
      <c r="C380" s="34"/>
      <c r="D380" s="34"/>
      <c r="E380" s="34"/>
      <c r="F380" s="34"/>
      <c r="G380" s="34"/>
      <c r="H380" s="34"/>
      <c r="I380" s="34"/>
      <c r="J380" s="34"/>
      <c r="K380" s="35"/>
      <c r="L380" s="34"/>
      <c r="M380" s="32"/>
      <c r="N380" s="34"/>
      <c r="O380" s="34"/>
      <c r="P380" s="34"/>
      <c r="Q380" s="34"/>
      <c r="R380" s="34"/>
      <c r="S380" s="34"/>
      <c r="T380" s="34"/>
      <c r="U380" s="34"/>
      <c r="V380" s="34"/>
    </row>
    <row r="381" spans="2:22" x14ac:dyDescent="0.3">
      <c r="B381" s="33"/>
      <c r="C381" s="34"/>
      <c r="D381" s="34"/>
      <c r="E381" s="34"/>
      <c r="F381" s="34"/>
      <c r="G381" s="34"/>
      <c r="H381" s="34"/>
      <c r="I381" s="34"/>
      <c r="J381" s="34"/>
      <c r="K381" s="35"/>
      <c r="L381" s="34"/>
      <c r="M381" s="32"/>
      <c r="N381" s="34"/>
      <c r="O381" s="34"/>
      <c r="P381" s="34"/>
      <c r="Q381" s="34"/>
      <c r="R381" s="34"/>
      <c r="S381" s="34"/>
      <c r="T381" s="34"/>
      <c r="U381" s="34"/>
      <c r="V381" s="34"/>
    </row>
    <row r="382" spans="2:22" x14ac:dyDescent="0.3">
      <c r="B382" s="33"/>
      <c r="C382" s="34"/>
      <c r="D382" s="34"/>
      <c r="E382" s="34"/>
      <c r="F382" s="34"/>
      <c r="G382" s="34"/>
      <c r="H382" s="34"/>
      <c r="I382" s="34"/>
      <c r="J382" s="34"/>
      <c r="K382" s="35"/>
      <c r="L382" s="34"/>
      <c r="M382" s="32"/>
      <c r="N382" s="34"/>
      <c r="O382" s="34"/>
      <c r="P382" s="34"/>
      <c r="Q382" s="34"/>
      <c r="R382" s="34"/>
      <c r="S382" s="34"/>
      <c r="T382" s="34"/>
      <c r="U382" s="34"/>
      <c r="V382" s="34"/>
    </row>
    <row r="383" spans="2:22" x14ac:dyDescent="0.3">
      <c r="B383" s="33"/>
      <c r="C383" s="34"/>
      <c r="D383" s="34"/>
      <c r="E383" s="34"/>
      <c r="F383" s="34"/>
      <c r="G383" s="34"/>
      <c r="H383" s="34"/>
      <c r="I383" s="34"/>
      <c r="J383" s="34"/>
      <c r="K383" s="35"/>
      <c r="L383" s="34"/>
      <c r="M383" s="32"/>
      <c r="N383" s="34"/>
      <c r="O383" s="34"/>
      <c r="P383" s="34"/>
      <c r="Q383" s="34"/>
      <c r="R383" s="34"/>
      <c r="S383" s="34"/>
      <c r="T383" s="34"/>
      <c r="U383" s="34"/>
      <c r="V383" s="34"/>
    </row>
    <row r="384" spans="2:22" x14ac:dyDescent="0.3">
      <c r="B384" s="33"/>
      <c r="C384" s="34"/>
      <c r="D384" s="34"/>
      <c r="E384" s="34"/>
      <c r="F384" s="34"/>
      <c r="G384" s="34"/>
      <c r="H384" s="34"/>
      <c r="I384" s="34"/>
      <c r="J384" s="34"/>
      <c r="K384" s="35"/>
      <c r="L384" s="34"/>
      <c r="M384" s="32"/>
      <c r="N384" s="34"/>
      <c r="O384" s="34"/>
      <c r="P384" s="34"/>
      <c r="Q384" s="34"/>
      <c r="R384" s="34"/>
      <c r="S384" s="34"/>
      <c r="T384" s="34"/>
      <c r="U384" s="34"/>
      <c r="V384" s="34"/>
    </row>
    <row r="385" spans="2:22" x14ac:dyDescent="0.3">
      <c r="B385" s="33"/>
      <c r="C385" s="34"/>
      <c r="D385" s="34"/>
      <c r="E385" s="34"/>
      <c r="F385" s="34"/>
      <c r="G385" s="34"/>
      <c r="H385" s="34"/>
      <c r="I385" s="34"/>
      <c r="J385" s="34"/>
      <c r="K385" s="35"/>
      <c r="L385" s="34"/>
      <c r="M385" s="32"/>
      <c r="N385" s="34"/>
      <c r="O385" s="34"/>
      <c r="P385" s="34"/>
      <c r="Q385" s="34"/>
      <c r="R385" s="34"/>
      <c r="S385" s="34"/>
      <c r="T385" s="34"/>
      <c r="U385" s="34"/>
      <c r="V385" s="34"/>
    </row>
    <row r="386" spans="2:22" x14ac:dyDescent="0.3">
      <c r="B386" s="33"/>
      <c r="C386" s="34"/>
      <c r="D386" s="34"/>
      <c r="E386" s="34"/>
      <c r="F386" s="34"/>
      <c r="G386" s="34"/>
      <c r="H386" s="34"/>
      <c r="I386" s="34"/>
      <c r="J386" s="34"/>
      <c r="K386" s="35"/>
      <c r="L386" s="34"/>
      <c r="M386" s="32"/>
      <c r="N386" s="34"/>
      <c r="O386" s="34"/>
      <c r="P386" s="34"/>
      <c r="Q386" s="34"/>
      <c r="R386" s="34"/>
      <c r="S386" s="34"/>
      <c r="T386" s="34"/>
      <c r="U386" s="34"/>
      <c r="V386" s="34"/>
    </row>
    <row r="387" spans="2:22" x14ac:dyDescent="0.3">
      <c r="B387" s="33"/>
      <c r="C387" s="34"/>
      <c r="D387" s="34"/>
      <c r="E387" s="34"/>
      <c r="F387" s="34"/>
      <c r="G387" s="34"/>
      <c r="H387" s="34"/>
      <c r="I387" s="34"/>
      <c r="J387" s="34"/>
      <c r="K387" s="35"/>
      <c r="L387" s="34"/>
      <c r="M387" s="32"/>
      <c r="N387" s="34"/>
      <c r="O387" s="34"/>
      <c r="P387" s="34"/>
      <c r="Q387" s="34"/>
      <c r="R387" s="34"/>
      <c r="S387" s="34"/>
      <c r="T387" s="34"/>
      <c r="U387" s="34"/>
      <c r="V387" s="34"/>
    </row>
    <row r="388" spans="2:22" x14ac:dyDescent="0.3">
      <c r="B388" s="33"/>
      <c r="C388" s="34"/>
      <c r="D388" s="34"/>
      <c r="E388" s="34"/>
      <c r="F388" s="34"/>
      <c r="G388" s="34"/>
      <c r="H388" s="34"/>
      <c r="I388" s="34"/>
      <c r="J388" s="34"/>
      <c r="K388" s="35"/>
      <c r="L388" s="34"/>
      <c r="M388" s="32"/>
      <c r="N388" s="34"/>
      <c r="O388" s="34"/>
      <c r="P388" s="34"/>
      <c r="Q388" s="34"/>
      <c r="R388" s="34"/>
      <c r="S388" s="34"/>
      <c r="T388" s="34"/>
      <c r="U388" s="34"/>
      <c r="V388" s="34"/>
    </row>
    <row r="389" spans="2:22" x14ac:dyDescent="0.3">
      <c r="B389" s="33"/>
      <c r="C389" s="34"/>
      <c r="D389" s="34"/>
      <c r="E389" s="34"/>
      <c r="F389" s="34"/>
      <c r="G389" s="34"/>
      <c r="H389" s="34"/>
      <c r="I389" s="34"/>
      <c r="J389" s="34"/>
      <c r="K389" s="35"/>
      <c r="L389" s="34"/>
      <c r="M389" s="32"/>
      <c r="N389" s="34"/>
      <c r="O389" s="34"/>
      <c r="P389" s="34"/>
      <c r="Q389" s="34"/>
      <c r="R389" s="34"/>
      <c r="S389" s="34"/>
      <c r="T389" s="34"/>
      <c r="U389" s="34"/>
      <c r="V389" s="34"/>
    </row>
    <row r="390" spans="2:22" x14ac:dyDescent="0.3">
      <c r="B390" s="33"/>
      <c r="C390" s="34"/>
      <c r="D390" s="34"/>
      <c r="E390" s="34"/>
      <c r="F390" s="34"/>
      <c r="G390" s="34"/>
      <c r="H390" s="34"/>
      <c r="I390" s="34"/>
      <c r="J390" s="34"/>
      <c r="K390" s="35"/>
      <c r="L390" s="34"/>
      <c r="M390" s="32"/>
      <c r="N390" s="34"/>
      <c r="O390" s="34"/>
      <c r="P390" s="34"/>
      <c r="Q390" s="34"/>
      <c r="R390" s="34"/>
      <c r="S390" s="34"/>
      <c r="T390" s="34"/>
      <c r="U390" s="34"/>
      <c r="V390" s="34"/>
    </row>
    <row r="391" spans="2:22" x14ac:dyDescent="0.3">
      <c r="B391" s="33"/>
      <c r="C391" s="34"/>
      <c r="D391" s="34"/>
      <c r="E391" s="34"/>
      <c r="F391" s="34"/>
      <c r="G391" s="34"/>
      <c r="H391" s="34"/>
      <c r="I391" s="34"/>
      <c r="J391" s="34"/>
      <c r="K391" s="35"/>
      <c r="L391" s="34"/>
      <c r="M391" s="32"/>
      <c r="N391" s="34"/>
      <c r="O391" s="34"/>
      <c r="P391" s="34"/>
      <c r="Q391" s="34"/>
      <c r="R391" s="34"/>
      <c r="S391" s="34"/>
      <c r="T391" s="34"/>
      <c r="U391" s="34"/>
      <c r="V391" s="34"/>
    </row>
    <row r="392" spans="2:22" x14ac:dyDescent="0.3">
      <c r="B392" s="33"/>
      <c r="C392" s="34"/>
      <c r="D392" s="34"/>
      <c r="E392" s="34"/>
      <c r="F392" s="34"/>
      <c r="G392" s="34"/>
      <c r="H392" s="34"/>
      <c r="I392" s="34"/>
      <c r="J392" s="34"/>
      <c r="K392" s="35"/>
      <c r="L392" s="34"/>
      <c r="M392" s="32"/>
      <c r="N392" s="34"/>
      <c r="O392" s="34"/>
      <c r="P392" s="34"/>
      <c r="Q392" s="34"/>
      <c r="R392" s="34"/>
      <c r="S392" s="34"/>
      <c r="T392" s="34"/>
      <c r="U392" s="34"/>
      <c r="V392" s="34"/>
    </row>
    <row r="393" spans="2:22" x14ac:dyDescent="0.3">
      <c r="B393" s="33"/>
      <c r="C393" s="34"/>
      <c r="D393" s="34"/>
      <c r="E393" s="34"/>
      <c r="F393" s="34"/>
      <c r="G393" s="34"/>
      <c r="H393" s="34"/>
      <c r="I393" s="34"/>
      <c r="J393" s="34"/>
      <c r="K393" s="35"/>
      <c r="L393" s="34"/>
      <c r="M393" s="32"/>
      <c r="N393" s="34"/>
      <c r="O393" s="34"/>
      <c r="P393" s="34"/>
      <c r="Q393" s="34"/>
      <c r="R393" s="34"/>
      <c r="S393" s="34"/>
      <c r="T393" s="34"/>
      <c r="U393" s="34"/>
      <c r="V393" s="34"/>
    </row>
    <row r="394" spans="2:22" x14ac:dyDescent="0.3">
      <c r="B394" s="33"/>
      <c r="C394" s="34"/>
      <c r="D394" s="34"/>
      <c r="E394" s="34"/>
      <c r="F394" s="34"/>
      <c r="G394" s="34"/>
      <c r="H394" s="34"/>
      <c r="I394" s="34"/>
      <c r="J394" s="34"/>
      <c r="K394" s="35"/>
      <c r="L394" s="34"/>
      <c r="M394" s="32"/>
      <c r="N394" s="34"/>
      <c r="O394" s="34"/>
      <c r="P394" s="34"/>
      <c r="Q394" s="34"/>
      <c r="R394" s="34"/>
      <c r="S394" s="34"/>
      <c r="T394" s="34"/>
      <c r="U394" s="34"/>
      <c r="V394" s="34"/>
    </row>
    <row r="395" spans="2:22" x14ac:dyDescent="0.3">
      <c r="B395" s="33"/>
      <c r="C395" s="34"/>
      <c r="D395" s="34"/>
      <c r="E395" s="34"/>
      <c r="F395" s="34"/>
      <c r="G395" s="34"/>
      <c r="H395" s="34"/>
      <c r="I395" s="34"/>
      <c r="J395" s="34"/>
      <c r="K395" s="35"/>
      <c r="L395" s="34"/>
      <c r="M395" s="32"/>
      <c r="N395" s="34"/>
      <c r="O395" s="34"/>
      <c r="P395" s="34"/>
      <c r="Q395" s="34"/>
      <c r="R395" s="34"/>
      <c r="S395" s="34"/>
      <c r="T395" s="34"/>
      <c r="U395" s="34"/>
      <c r="V395" s="34"/>
    </row>
    <row r="396" spans="2:22" x14ac:dyDescent="0.3">
      <c r="B396" s="33"/>
      <c r="C396" s="34"/>
      <c r="D396" s="34"/>
      <c r="E396" s="34"/>
      <c r="F396" s="34"/>
      <c r="G396" s="34"/>
      <c r="H396" s="34"/>
      <c r="I396" s="34"/>
      <c r="J396" s="34"/>
      <c r="K396" s="35"/>
      <c r="L396" s="34"/>
      <c r="M396" s="32"/>
      <c r="N396" s="34"/>
      <c r="O396" s="34"/>
      <c r="P396" s="34"/>
      <c r="Q396" s="34"/>
      <c r="R396" s="34"/>
      <c r="S396" s="34"/>
      <c r="T396" s="34"/>
      <c r="U396" s="34"/>
      <c r="V396" s="34"/>
    </row>
    <row r="397" spans="2:22" x14ac:dyDescent="0.3">
      <c r="B397" s="33"/>
      <c r="C397" s="34"/>
      <c r="D397" s="34"/>
      <c r="E397" s="34"/>
      <c r="F397" s="34"/>
      <c r="G397" s="34"/>
      <c r="H397" s="34"/>
      <c r="I397" s="34"/>
      <c r="J397" s="34"/>
      <c r="K397" s="35"/>
      <c r="L397" s="34"/>
      <c r="M397" s="32"/>
      <c r="N397" s="34"/>
      <c r="O397" s="34"/>
      <c r="P397" s="34"/>
      <c r="Q397" s="34"/>
      <c r="R397" s="34"/>
      <c r="S397" s="34"/>
      <c r="T397" s="34"/>
      <c r="U397" s="34"/>
      <c r="V397" s="34"/>
    </row>
    <row r="398" spans="2:22" x14ac:dyDescent="0.3">
      <c r="B398" s="33"/>
      <c r="C398" s="34"/>
      <c r="D398" s="34"/>
      <c r="E398" s="34"/>
      <c r="F398" s="34"/>
      <c r="G398" s="34"/>
      <c r="H398" s="34"/>
      <c r="I398" s="34"/>
      <c r="J398" s="34"/>
      <c r="K398" s="35"/>
      <c r="L398" s="34"/>
      <c r="M398" s="32"/>
      <c r="N398" s="34"/>
      <c r="O398" s="34"/>
      <c r="P398" s="34"/>
      <c r="Q398" s="34"/>
      <c r="R398" s="34"/>
      <c r="S398" s="34"/>
      <c r="T398" s="34"/>
      <c r="U398" s="34"/>
      <c r="V398" s="34"/>
    </row>
    <row r="399" spans="2:22" x14ac:dyDescent="0.3">
      <c r="B399" s="33"/>
      <c r="C399" s="34"/>
      <c r="D399" s="34"/>
      <c r="E399" s="34"/>
      <c r="F399" s="34"/>
      <c r="G399" s="34"/>
      <c r="H399" s="34"/>
      <c r="I399" s="34"/>
      <c r="J399" s="34"/>
      <c r="K399" s="35"/>
      <c r="L399" s="34"/>
      <c r="M399" s="32"/>
      <c r="N399" s="34"/>
      <c r="O399" s="34"/>
      <c r="P399" s="34"/>
      <c r="Q399" s="34"/>
      <c r="R399" s="34"/>
      <c r="S399" s="34"/>
      <c r="T399" s="34"/>
      <c r="U399" s="34"/>
      <c r="V399" s="34"/>
    </row>
    <row r="400" spans="2:22" x14ac:dyDescent="0.3">
      <c r="B400" s="33"/>
      <c r="C400" s="34"/>
      <c r="D400" s="34"/>
      <c r="E400" s="34"/>
      <c r="F400" s="34"/>
      <c r="G400" s="34"/>
      <c r="H400" s="34"/>
      <c r="I400" s="34"/>
      <c r="J400" s="34"/>
      <c r="K400" s="35"/>
      <c r="L400" s="34"/>
      <c r="M400" s="32"/>
      <c r="N400" s="34"/>
      <c r="O400" s="34"/>
      <c r="P400" s="34"/>
      <c r="Q400" s="34"/>
      <c r="R400" s="34"/>
      <c r="S400" s="34"/>
      <c r="T400" s="34"/>
      <c r="U400" s="34"/>
      <c r="V400" s="34"/>
    </row>
    <row r="401" spans="2:22" x14ac:dyDescent="0.3">
      <c r="B401" s="33"/>
      <c r="C401" s="34"/>
      <c r="D401" s="34"/>
      <c r="E401" s="34"/>
      <c r="F401" s="34"/>
      <c r="G401" s="34"/>
      <c r="H401" s="34"/>
      <c r="I401" s="34"/>
      <c r="J401" s="34"/>
      <c r="K401" s="35"/>
      <c r="L401" s="34"/>
      <c r="M401" s="32"/>
      <c r="N401" s="34"/>
      <c r="O401" s="34"/>
      <c r="P401" s="34"/>
      <c r="Q401" s="34"/>
      <c r="R401" s="34"/>
      <c r="S401" s="34"/>
      <c r="T401" s="34"/>
      <c r="U401" s="34"/>
      <c r="V401" s="34"/>
    </row>
    <row r="402" spans="2:22" x14ac:dyDescent="0.3">
      <c r="B402" s="33"/>
      <c r="C402" s="34"/>
      <c r="D402" s="34"/>
      <c r="E402" s="34"/>
      <c r="F402" s="34"/>
      <c r="G402" s="34"/>
      <c r="H402" s="34"/>
      <c r="I402" s="34"/>
      <c r="J402" s="34"/>
      <c r="K402" s="35"/>
      <c r="L402" s="34"/>
      <c r="M402" s="32"/>
      <c r="N402" s="34"/>
      <c r="O402" s="34"/>
      <c r="P402" s="34"/>
      <c r="Q402" s="34"/>
      <c r="R402" s="34"/>
      <c r="S402" s="34"/>
      <c r="T402" s="34"/>
      <c r="U402" s="34"/>
      <c r="V402" s="34"/>
    </row>
    <row r="403" spans="2:22" x14ac:dyDescent="0.3">
      <c r="B403" s="33"/>
      <c r="C403" s="34"/>
      <c r="D403" s="34"/>
      <c r="E403" s="34"/>
      <c r="F403" s="34"/>
      <c r="G403" s="34"/>
      <c r="H403" s="34"/>
      <c r="I403" s="34"/>
      <c r="J403" s="34"/>
      <c r="K403" s="35"/>
      <c r="L403" s="34"/>
      <c r="M403" s="32"/>
      <c r="N403" s="34"/>
      <c r="O403" s="34"/>
      <c r="P403" s="34"/>
      <c r="Q403" s="34"/>
      <c r="R403" s="34"/>
      <c r="S403" s="34"/>
      <c r="T403" s="34"/>
      <c r="U403" s="34"/>
      <c r="V403" s="34"/>
    </row>
    <row r="404" spans="2:22" x14ac:dyDescent="0.3">
      <c r="B404" s="33"/>
      <c r="C404" s="34"/>
      <c r="D404" s="34"/>
      <c r="E404" s="34"/>
      <c r="F404" s="34"/>
      <c r="G404" s="34"/>
      <c r="H404" s="34"/>
      <c r="I404" s="34"/>
      <c r="J404" s="34"/>
      <c r="K404" s="35"/>
      <c r="L404" s="34"/>
      <c r="M404" s="32"/>
      <c r="N404" s="34"/>
      <c r="O404" s="34"/>
      <c r="P404" s="34"/>
      <c r="Q404" s="34"/>
      <c r="R404" s="34"/>
      <c r="S404" s="34"/>
      <c r="T404" s="34"/>
      <c r="U404" s="34"/>
      <c r="V404" s="34"/>
    </row>
    <row r="405" spans="2:22" x14ac:dyDescent="0.3">
      <c r="B405" s="33"/>
      <c r="C405" s="34"/>
      <c r="D405" s="34"/>
      <c r="E405" s="34"/>
      <c r="F405" s="34"/>
      <c r="G405" s="34"/>
      <c r="H405" s="34"/>
      <c r="I405" s="34"/>
      <c r="J405" s="34"/>
      <c r="K405" s="35"/>
      <c r="L405" s="34"/>
      <c r="M405" s="32"/>
      <c r="N405" s="34"/>
      <c r="O405" s="34"/>
      <c r="P405" s="34"/>
      <c r="Q405" s="34"/>
      <c r="R405" s="34"/>
      <c r="S405" s="34"/>
      <c r="T405" s="34"/>
      <c r="U405" s="34"/>
      <c r="V405" s="34"/>
    </row>
    <row r="406" spans="2:22" x14ac:dyDescent="0.3">
      <c r="B406" s="33"/>
      <c r="C406" s="34"/>
      <c r="D406" s="34"/>
      <c r="E406" s="34"/>
      <c r="F406" s="34"/>
      <c r="G406" s="34"/>
      <c r="H406" s="34"/>
      <c r="I406" s="34"/>
      <c r="J406" s="34"/>
      <c r="K406" s="35"/>
      <c r="L406" s="34"/>
      <c r="M406" s="32"/>
      <c r="N406" s="34"/>
      <c r="O406" s="34"/>
      <c r="P406" s="34"/>
      <c r="Q406" s="34"/>
      <c r="R406" s="34"/>
      <c r="S406" s="34"/>
      <c r="T406" s="34"/>
      <c r="U406" s="34"/>
      <c r="V406" s="34"/>
    </row>
    <row r="407" spans="2:22" x14ac:dyDescent="0.3">
      <c r="B407" s="33"/>
      <c r="C407" s="34"/>
      <c r="D407" s="34"/>
      <c r="E407" s="34"/>
      <c r="F407" s="34"/>
      <c r="G407" s="34"/>
      <c r="H407" s="34"/>
      <c r="I407" s="34"/>
      <c r="J407" s="34"/>
      <c r="K407" s="35"/>
      <c r="L407" s="34"/>
      <c r="M407" s="32"/>
      <c r="N407" s="34"/>
      <c r="O407" s="34"/>
      <c r="P407" s="34"/>
      <c r="Q407" s="34"/>
      <c r="R407" s="34"/>
      <c r="S407" s="34"/>
      <c r="T407" s="34"/>
      <c r="U407" s="34"/>
      <c r="V407" s="34"/>
    </row>
    <row r="408" spans="2:22" x14ac:dyDescent="0.3">
      <c r="B408" s="33"/>
      <c r="C408" s="34"/>
      <c r="D408" s="34"/>
      <c r="E408" s="34"/>
      <c r="F408" s="34"/>
      <c r="G408" s="34"/>
      <c r="H408" s="34"/>
      <c r="I408" s="34"/>
      <c r="J408" s="34"/>
      <c r="K408" s="35"/>
      <c r="L408" s="34"/>
      <c r="M408" s="32"/>
      <c r="N408" s="34"/>
      <c r="O408" s="34"/>
      <c r="P408" s="34"/>
      <c r="Q408" s="34"/>
      <c r="R408" s="34"/>
      <c r="S408" s="34"/>
      <c r="T408" s="34"/>
      <c r="U408" s="34"/>
      <c r="V408" s="34"/>
    </row>
    <row r="409" spans="2:22" x14ac:dyDescent="0.3">
      <c r="B409" s="33"/>
      <c r="C409" s="34"/>
      <c r="D409" s="34"/>
      <c r="E409" s="34"/>
      <c r="F409" s="34"/>
      <c r="G409" s="34"/>
      <c r="H409" s="34"/>
      <c r="I409" s="34"/>
      <c r="J409" s="34"/>
      <c r="K409" s="35"/>
      <c r="L409" s="34"/>
      <c r="M409" s="32"/>
      <c r="N409" s="34"/>
      <c r="O409" s="34"/>
      <c r="P409" s="34"/>
      <c r="Q409" s="34"/>
      <c r="R409" s="34"/>
      <c r="S409" s="34"/>
      <c r="T409" s="34"/>
      <c r="U409" s="34"/>
      <c r="V409" s="34"/>
    </row>
    <row r="410" spans="2:22" x14ac:dyDescent="0.3">
      <c r="B410" s="33"/>
      <c r="C410" s="34"/>
      <c r="D410" s="34"/>
      <c r="E410" s="34"/>
      <c r="F410" s="34"/>
      <c r="G410" s="34"/>
      <c r="H410" s="34"/>
      <c r="I410" s="34"/>
      <c r="J410" s="34"/>
      <c r="K410" s="35"/>
      <c r="L410" s="34"/>
      <c r="M410" s="32"/>
      <c r="N410" s="34"/>
      <c r="O410" s="34"/>
      <c r="P410" s="34"/>
      <c r="Q410" s="34"/>
      <c r="R410" s="34"/>
      <c r="S410" s="34"/>
      <c r="T410" s="34"/>
      <c r="U410" s="34"/>
      <c r="V410" s="34"/>
    </row>
    <row r="411" spans="2:22" x14ac:dyDescent="0.3">
      <c r="B411" s="33"/>
      <c r="C411" s="34"/>
      <c r="D411" s="34"/>
      <c r="E411" s="34"/>
      <c r="F411" s="34"/>
      <c r="G411" s="34"/>
      <c r="H411" s="34"/>
      <c r="I411" s="34"/>
      <c r="J411" s="34"/>
      <c r="K411" s="35"/>
      <c r="L411" s="34"/>
      <c r="M411" s="32"/>
      <c r="N411" s="34"/>
      <c r="O411" s="34"/>
      <c r="P411" s="34"/>
      <c r="Q411" s="34"/>
      <c r="R411" s="34"/>
      <c r="S411" s="34"/>
      <c r="T411" s="34"/>
      <c r="U411" s="34"/>
      <c r="V411" s="34"/>
    </row>
    <row r="412" spans="2:22" x14ac:dyDescent="0.3">
      <c r="B412" s="33"/>
      <c r="C412" s="34"/>
      <c r="D412" s="34"/>
      <c r="E412" s="34"/>
      <c r="F412" s="34"/>
      <c r="G412" s="34"/>
      <c r="H412" s="34"/>
      <c r="I412" s="34"/>
      <c r="J412" s="34"/>
      <c r="K412" s="35"/>
      <c r="L412" s="34"/>
      <c r="M412" s="32"/>
      <c r="N412" s="34"/>
      <c r="O412" s="34"/>
      <c r="P412" s="34"/>
      <c r="Q412" s="34"/>
      <c r="R412" s="34"/>
      <c r="S412" s="34"/>
      <c r="T412" s="34"/>
      <c r="U412" s="34"/>
      <c r="V412" s="34"/>
    </row>
    <row r="413" spans="2:22" x14ac:dyDescent="0.3">
      <c r="B413" s="33"/>
      <c r="C413" s="34"/>
      <c r="D413" s="34"/>
      <c r="E413" s="34"/>
      <c r="F413" s="34"/>
      <c r="G413" s="34"/>
      <c r="H413" s="34"/>
      <c r="I413" s="34"/>
      <c r="J413" s="34"/>
      <c r="K413" s="35"/>
      <c r="L413" s="34"/>
      <c r="M413" s="32"/>
      <c r="N413" s="34"/>
      <c r="O413" s="34"/>
      <c r="P413" s="34"/>
      <c r="Q413" s="34"/>
      <c r="R413" s="34"/>
      <c r="S413" s="34"/>
      <c r="T413" s="34"/>
      <c r="U413" s="34"/>
      <c r="V413" s="34"/>
    </row>
    <row r="414" spans="2:22" x14ac:dyDescent="0.3">
      <c r="B414" s="33"/>
      <c r="C414" s="34"/>
      <c r="D414" s="34"/>
      <c r="E414" s="34"/>
      <c r="F414" s="34"/>
      <c r="G414" s="34"/>
      <c r="H414" s="34"/>
      <c r="I414" s="34"/>
      <c r="J414" s="34"/>
      <c r="K414" s="35"/>
      <c r="L414" s="34"/>
      <c r="M414" s="32"/>
      <c r="N414" s="34"/>
      <c r="O414" s="34"/>
      <c r="P414" s="34"/>
      <c r="Q414" s="34"/>
      <c r="R414" s="34"/>
      <c r="S414" s="34"/>
      <c r="T414" s="34"/>
      <c r="U414" s="34"/>
      <c r="V414" s="34"/>
    </row>
    <row r="415" spans="2:22" x14ac:dyDescent="0.3">
      <c r="B415" s="33"/>
      <c r="C415" s="34"/>
      <c r="D415" s="34"/>
      <c r="E415" s="34"/>
      <c r="F415" s="34"/>
      <c r="G415" s="34"/>
      <c r="H415" s="34"/>
      <c r="I415" s="34"/>
      <c r="J415" s="34"/>
      <c r="K415" s="35"/>
      <c r="L415" s="34"/>
      <c r="M415" s="32"/>
      <c r="N415" s="34"/>
      <c r="O415" s="34"/>
      <c r="P415" s="34"/>
      <c r="Q415" s="34"/>
      <c r="R415" s="34"/>
      <c r="S415" s="34"/>
      <c r="T415" s="34"/>
      <c r="U415" s="34"/>
      <c r="V415" s="34"/>
    </row>
    <row r="416" spans="2:22" x14ac:dyDescent="0.3">
      <c r="B416" s="33"/>
      <c r="C416" s="34"/>
      <c r="D416" s="34"/>
      <c r="E416" s="34"/>
      <c r="F416" s="34"/>
      <c r="G416" s="34"/>
      <c r="H416" s="34"/>
      <c r="I416" s="34"/>
      <c r="J416" s="34"/>
      <c r="K416" s="35"/>
      <c r="L416" s="34"/>
      <c r="M416" s="32"/>
      <c r="N416" s="34"/>
      <c r="O416" s="34"/>
      <c r="P416" s="34"/>
      <c r="Q416" s="34"/>
      <c r="R416" s="34"/>
      <c r="S416" s="34"/>
      <c r="T416" s="34"/>
      <c r="U416" s="34"/>
      <c r="V416" s="34"/>
    </row>
    <row r="417" spans="2:22" x14ac:dyDescent="0.3">
      <c r="B417" s="33"/>
      <c r="C417" s="34"/>
      <c r="D417" s="34"/>
      <c r="E417" s="34"/>
      <c r="F417" s="34"/>
      <c r="G417" s="34"/>
      <c r="H417" s="34"/>
      <c r="I417" s="34"/>
      <c r="J417" s="34"/>
      <c r="K417" s="35"/>
      <c r="L417" s="34"/>
      <c r="M417" s="32"/>
      <c r="N417" s="34"/>
      <c r="O417" s="34"/>
      <c r="P417" s="34"/>
      <c r="Q417" s="34"/>
      <c r="R417" s="34"/>
      <c r="S417" s="34"/>
      <c r="T417" s="34"/>
      <c r="U417" s="34"/>
      <c r="V417" s="34"/>
    </row>
    <row r="418" spans="2:22" x14ac:dyDescent="0.3">
      <c r="B418" s="33"/>
      <c r="C418" s="34"/>
      <c r="D418" s="34"/>
      <c r="E418" s="34"/>
      <c r="F418" s="34"/>
      <c r="G418" s="34"/>
      <c r="H418" s="34"/>
      <c r="I418" s="34"/>
      <c r="J418" s="34"/>
      <c r="K418" s="35"/>
      <c r="L418" s="34"/>
      <c r="M418" s="32"/>
      <c r="N418" s="34"/>
      <c r="O418" s="34"/>
      <c r="P418" s="34"/>
      <c r="Q418" s="34"/>
      <c r="R418" s="34"/>
      <c r="S418" s="34"/>
      <c r="T418" s="34"/>
      <c r="U418" s="34"/>
      <c r="V418" s="34"/>
    </row>
    <row r="419" spans="2:22" x14ac:dyDescent="0.3">
      <c r="B419" s="33"/>
      <c r="C419" s="34"/>
      <c r="D419" s="34"/>
      <c r="E419" s="34"/>
      <c r="F419" s="34"/>
      <c r="G419" s="34"/>
      <c r="H419" s="34"/>
      <c r="I419" s="34"/>
      <c r="J419" s="34"/>
      <c r="K419" s="35"/>
      <c r="L419" s="34"/>
      <c r="M419" s="32"/>
      <c r="N419" s="34"/>
      <c r="O419" s="34"/>
      <c r="P419" s="34"/>
      <c r="Q419" s="34"/>
      <c r="R419" s="34"/>
      <c r="S419" s="34"/>
      <c r="T419" s="34"/>
      <c r="U419" s="34"/>
      <c r="V419" s="34"/>
    </row>
    <row r="420" spans="2:22" x14ac:dyDescent="0.3">
      <c r="B420" s="33"/>
      <c r="C420" s="34"/>
      <c r="D420" s="34"/>
      <c r="E420" s="34"/>
      <c r="F420" s="34"/>
      <c r="G420" s="34"/>
      <c r="H420" s="34"/>
      <c r="I420" s="34"/>
      <c r="J420" s="34"/>
      <c r="K420" s="35"/>
      <c r="L420" s="34"/>
      <c r="M420" s="32"/>
      <c r="N420" s="34"/>
      <c r="O420" s="34"/>
      <c r="P420" s="34"/>
      <c r="Q420" s="34"/>
      <c r="R420" s="34"/>
      <c r="S420" s="34"/>
      <c r="T420" s="34"/>
      <c r="U420" s="34"/>
      <c r="V420" s="34"/>
    </row>
    <row r="421" spans="2:22" x14ac:dyDescent="0.3">
      <c r="B421" s="33"/>
      <c r="C421" s="34"/>
      <c r="D421" s="34"/>
      <c r="E421" s="34"/>
      <c r="F421" s="34"/>
      <c r="G421" s="34"/>
      <c r="H421" s="34"/>
      <c r="I421" s="34"/>
      <c r="J421" s="34"/>
      <c r="K421" s="35"/>
      <c r="L421" s="34"/>
      <c r="M421" s="32"/>
      <c r="N421" s="34"/>
      <c r="O421" s="34"/>
      <c r="P421" s="34"/>
      <c r="Q421" s="34"/>
      <c r="R421" s="34"/>
      <c r="S421" s="34"/>
      <c r="T421" s="34"/>
      <c r="U421" s="34"/>
      <c r="V421" s="34"/>
    </row>
    <row r="422" spans="2:22" x14ac:dyDescent="0.3">
      <c r="B422" s="33"/>
      <c r="C422" s="34"/>
      <c r="D422" s="34"/>
      <c r="E422" s="34"/>
      <c r="F422" s="34"/>
      <c r="G422" s="34"/>
      <c r="H422" s="34"/>
      <c r="I422" s="34"/>
      <c r="J422" s="34"/>
      <c r="K422" s="35"/>
      <c r="L422" s="34"/>
      <c r="M422" s="32"/>
      <c r="N422" s="34"/>
      <c r="O422" s="34"/>
      <c r="P422" s="34"/>
      <c r="Q422" s="34"/>
      <c r="R422" s="34"/>
      <c r="S422" s="34"/>
      <c r="T422" s="34"/>
      <c r="U422" s="34"/>
      <c r="V422" s="34"/>
    </row>
    <row r="423" spans="2:22" x14ac:dyDescent="0.3">
      <c r="B423" s="33"/>
      <c r="C423" s="34"/>
      <c r="D423" s="34"/>
      <c r="E423" s="34"/>
      <c r="F423" s="34"/>
      <c r="G423" s="34"/>
      <c r="H423" s="34"/>
      <c r="I423" s="34"/>
      <c r="J423" s="34"/>
      <c r="K423" s="35"/>
      <c r="L423" s="34"/>
      <c r="M423" s="32"/>
      <c r="N423" s="34"/>
      <c r="O423" s="34"/>
      <c r="P423" s="34"/>
      <c r="Q423" s="34"/>
      <c r="R423" s="34"/>
      <c r="S423" s="34"/>
      <c r="T423" s="34"/>
      <c r="U423" s="34"/>
      <c r="V423" s="34"/>
    </row>
    <row r="424" spans="2:22" x14ac:dyDescent="0.3">
      <c r="B424" s="33"/>
      <c r="C424" s="34"/>
      <c r="D424" s="34"/>
      <c r="E424" s="34"/>
      <c r="F424" s="34"/>
      <c r="G424" s="34"/>
      <c r="H424" s="34"/>
      <c r="I424" s="34"/>
      <c r="J424" s="34"/>
      <c r="K424" s="35"/>
      <c r="L424" s="34"/>
      <c r="M424" s="32"/>
      <c r="N424" s="34"/>
      <c r="O424" s="34"/>
      <c r="P424" s="34"/>
      <c r="Q424" s="34"/>
      <c r="R424" s="34"/>
      <c r="S424" s="34"/>
      <c r="T424" s="34"/>
      <c r="U424" s="34"/>
      <c r="V424" s="34"/>
    </row>
    <row r="425" spans="2:22" x14ac:dyDescent="0.3">
      <c r="B425" s="33"/>
      <c r="C425" s="34"/>
      <c r="D425" s="34"/>
      <c r="E425" s="34"/>
      <c r="F425" s="34"/>
      <c r="G425" s="34"/>
      <c r="H425" s="34"/>
      <c r="I425" s="34"/>
      <c r="J425" s="34"/>
      <c r="K425" s="35"/>
      <c r="L425" s="34"/>
      <c r="M425" s="32"/>
      <c r="N425" s="34"/>
      <c r="O425" s="34"/>
      <c r="P425" s="34"/>
      <c r="Q425" s="34"/>
      <c r="R425" s="34"/>
      <c r="S425" s="34"/>
      <c r="T425" s="34"/>
      <c r="U425" s="34"/>
      <c r="V425" s="34"/>
    </row>
    <row r="426" spans="2:22" x14ac:dyDescent="0.3">
      <c r="B426" s="33"/>
      <c r="C426" s="34"/>
      <c r="D426" s="34"/>
      <c r="E426" s="34"/>
      <c r="F426" s="34"/>
      <c r="G426" s="34"/>
      <c r="H426" s="34"/>
      <c r="I426" s="34"/>
      <c r="J426" s="34"/>
      <c r="K426" s="35"/>
      <c r="L426" s="34"/>
      <c r="M426" s="32"/>
      <c r="N426" s="34"/>
      <c r="O426" s="34"/>
      <c r="P426" s="34"/>
      <c r="Q426" s="34"/>
      <c r="R426" s="34"/>
      <c r="S426" s="34"/>
      <c r="T426" s="34"/>
      <c r="U426" s="34"/>
      <c r="V426" s="34"/>
    </row>
    <row r="427" spans="2:22" x14ac:dyDescent="0.3">
      <c r="B427" s="33"/>
      <c r="C427" s="34"/>
      <c r="D427" s="34"/>
      <c r="E427" s="34"/>
      <c r="F427" s="34"/>
      <c r="G427" s="34"/>
      <c r="H427" s="34"/>
      <c r="I427" s="34"/>
      <c r="J427" s="34"/>
      <c r="K427" s="35"/>
      <c r="L427" s="34"/>
      <c r="M427" s="32"/>
      <c r="N427" s="34"/>
      <c r="O427" s="34"/>
      <c r="P427" s="34"/>
      <c r="Q427" s="34"/>
      <c r="R427" s="34"/>
      <c r="S427" s="34"/>
      <c r="T427" s="34"/>
      <c r="U427" s="34"/>
      <c r="V427" s="34"/>
    </row>
    <row r="428" spans="2:22" x14ac:dyDescent="0.3">
      <c r="B428" s="33"/>
      <c r="C428" s="34"/>
      <c r="D428" s="34"/>
      <c r="E428" s="34"/>
      <c r="F428" s="34"/>
      <c r="G428" s="34"/>
      <c r="H428" s="34"/>
      <c r="I428" s="34"/>
      <c r="J428" s="34"/>
      <c r="K428" s="35"/>
      <c r="L428" s="34"/>
      <c r="M428" s="32"/>
      <c r="N428" s="34"/>
      <c r="O428" s="34"/>
      <c r="P428" s="34"/>
      <c r="Q428" s="34"/>
      <c r="R428" s="34"/>
      <c r="S428" s="34"/>
      <c r="T428" s="34"/>
      <c r="U428" s="34"/>
      <c r="V428" s="34"/>
    </row>
    <row r="429" spans="2:22" x14ac:dyDescent="0.3">
      <c r="B429" s="33"/>
      <c r="C429" s="34"/>
      <c r="D429" s="34"/>
      <c r="E429" s="34"/>
      <c r="F429" s="34"/>
      <c r="G429" s="34"/>
      <c r="H429" s="34"/>
      <c r="I429" s="34"/>
      <c r="J429" s="34"/>
      <c r="K429" s="35"/>
      <c r="L429" s="34"/>
      <c r="M429" s="32"/>
      <c r="N429" s="34"/>
      <c r="O429" s="34"/>
      <c r="P429" s="34"/>
      <c r="Q429" s="34"/>
      <c r="R429" s="34"/>
      <c r="S429" s="34"/>
      <c r="T429" s="34"/>
      <c r="U429" s="34"/>
      <c r="V429" s="34"/>
    </row>
    <row r="430" spans="2:22" x14ac:dyDescent="0.3">
      <c r="B430" s="33"/>
      <c r="C430" s="34"/>
      <c r="D430" s="34"/>
      <c r="E430" s="34"/>
      <c r="F430" s="34"/>
      <c r="G430" s="34"/>
      <c r="H430" s="34"/>
      <c r="I430" s="34"/>
      <c r="J430" s="34"/>
      <c r="K430" s="35"/>
      <c r="L430" s="34"/>
      <c r="M430" s="32"/>
      <c r="N430" s="34"/>
      <c r="O430" s="34"/>
      <c r="P430" s="34"/>
      <c r="Q430" s="34"/>
      <c r="R430" s="34"/>
      <c r="S430" s="34"/>
      <c r="T430" s="34"/>
      <c r="U430" s="34"/>
      <c r="V430" s="34"/>
    </row>
    <row r="431" spans="2:22" x14ac:dyDescent="0.3">
      <c r="B431" s="33"/>
      <c r="C431" s="34"/>
      <c r="D431" s="34"/>
      <c r="E431" s="34"/>
      <c r="F431" s="34"/>
      <c r="G431" s="34"/>
      <c r="H431" s="34"/>
      <c r="I431" s="34"/>
      <c r="J431" s="34"/>
      <c r="K431" s="35"/>
      <c r="L431" s="34"/>
      <c r="M431" s="32"/>
      <c r="N431" s="34"/>
      <c r="O431" s="34"/>
      <c r="P431" s="34"/>
      <c r="Q431" s="34"/>
      <c r="R431" s="34"/>
      <c r="S431" s="34"/>
      <c r="T431" s="34"/>
      <c r="U431" s="34"/>
      <c r="V431" s="34"/>
    </row>
    <row r="432" spans="2:22" x14ac:dyDescent="0.3">
      <c r="B432" s="33"/>
      <c r="C432" s="34"/>
      <c r="D432" s="34"/>
      <c r="E432" s="34"/>
      <c r="F432" s="34"/>
      <c r="G432" s="34"/>
      <c r="H432" s="34"/>
      <c r="I432" s="34"/>
      <c r="J432" s="34"/>
      <c r="K432" s="35"/>
      <c r="L432" s="34"/>
      <c r="M432" s="32"/>
      <c r="N432" s="34"/>
      <c r="O432" s="34"/>
      <c r="P432" s="34"/>
      <c r="Q432" s="34"/>
      <c r="R432" s="34"/>
      <c r="S432" s="34"/>
      <c r="T432" s="34"/>
      <c r="U432" s="34"/>
      <c r="V432" s="34"/>
    </row>
    <row r="433" spans="2:22" x14ac:dyDescent="0.3">
      <c r="B433" s="33"/>
      <c r="C433" s="34"/>
      <c r="D433" s="34"/>
      <c r="E433" s="34"/>
      <c r="F433" s="34"/>
      <c r="G433" s="34"/>
      <c r="H433" s="34"/>
      <c r="I433" s="34"/>
      <c r="J433" s="34"/>
      <c r="K433" s="35"/>
      <c r="L433" s="34"/>
      <c r="M433" s="32"/>
      <c r="N433" s="34"/>
      <c r="O433" s="34"/>
      <c r="P433" s="34"/>
      <c r="Q433" s="34"/>
      <c r="R433" s="34"/>
      <c r="S433" s="34"/>
      <c r="T433" s="34"/>
      <c r="U433" s="34"/>
      <c r="V433" s="34"/>
    </row>
    <row r="434" spans="2:22" x14ac:dyDescent="0.3">
      <c r="B434" s="33"/>
      <c r="C434" s="34"/>
      <c r="D434" s="34"/>
      <c r="E434" s="34"/>
      <c r="F434" s="34"/>
      <c r="G434" s="34"/>
      <c r="H434" s="34"/>
      <c r="I434" s="34"/>
      <c r="J434" s="34"/>
      <c r="K434" s="35"/>
      <c r="L434" s="34"/>
      <c r="M434" s="32"/>
      <c r="N434" s="34"/>
      <c r="O434" s="34"/>
      <c r="P434" s="34"/>
      <c r="Q434" s="34"/>
      <c r="R434" s="34"/>
      <c r="S434" s="34"/>
      <c r="T434" s="34"/>
      <c r="U434" s="34"/>
      <c r="V434" s="34"/>
    </row>
    <row r="435" spans="2:22" x14ac:dyDescent="0.3">
      <c r="B435" s="33"/>
      <c r="C435" s="34"/>
      <c r="D435" s="34"/>
      <c r="E435" s="34"/>
      <c r="F435" s="34"/>
      <c r="G435" s="34"/>
      <c r="H435" s="34"/>
      <c r="I435" s="34"/>
      <c r="J435" s="34"/>
      <c r="K435" s="35"/>
      <c r="L435" s="34"/>
      <c r="M435" s="32"/>
      <c r="N435" s="34"/>
      <c r="O435" s="34"/>
      <c r="P435" s="34"/>
      <c r="Q435" s="34"/>
      <c r="R435" s="34"/>
      <c r="S435" s="34"/>
      <c r="T435" s="34"/>
      <c r="U435" s="34"/>
      <c r="V435" s="34"/>
    </row>
    <row r="436" spans="2:22" x14ac:dyDescent="0.3">
      <c r="B436" s="33"/>
      <c r="C436" s="34"/>
      <c r="D436" s="34"/>
      <c r="E436" s="34"/>
      <c r="F436" s="34"/>
      <c r="G436" s="34"/>
      <c r="H436" s="34"/>
      <c r="I436" s="34"/>
      <c r="J436" s="34"/>
      <c r="K436" s="35"/>
      <c r="L436" s="34"/>
      <c r="M436" s="32"/>
      <c r="N436" s="34"/>
      <c r="O436" s="34"/>
      <c r="P436" s="34"/>
      <c r="Q436" s="34"/>
      <c r="R436" s="34"/>
      <c r="S436" s="34"/>
      <c r="T436" s="34"/>
      <c r="U436" s="34"/>
      <c r="V436" s="34"/>
    </row>
    <row r="437" spans="2:22" x14ac:dyDescent="0.3">
      <c r="B437" s="33"/>
      <c r="C437" s="34"/>
      <c r="D437" s="34"/>
      <c r="E437" s="34"/>
      <c r="F437" s="34"/>
      <c r="G437" s="34"/>
      <c r="H437" s="34"/>
      <c r="I437" s="34"/>
      <c r="J437" s="34"/>
      <c r="K437" s="35"/>
      <c r="L437" s="34"/>
      <c r="M437" s="32"/>
      <c r="N437" s="34"/>
      <c r="O437" s="34"/>
      <c r="P437" s="34"/>
      <c r="Q437" s="34"/>
      <c r="R437" s="34"/>
      <c r="S437" s="34"/>
      <c r="T437" s="34"/>
      <c r="U437" s="34"/>
      <c r="V437" s="34"/>
    </row>
    <row r="438" spans="2:22" x14ac:dyDescent="0.3">
      <c r="B438" s="33"/>
      <c r="C438" s="34"/>
      <c r="D438" s="34"/>
      <c r="E438" s="34"/>
      <c r="F438" s="34"/>
      <c r="G438" s="34"/>
      <c r="H438" s="34"/>
      <c r="I438" s="34"/>
      <c r="J438" s="34"/>
      <c r="K438" s="35"/>
      <c r="L438" s="34"/>
      <c r="M438" s="32"/>
      <c r="N438" s="34"/>
      <c r="O438" s="34"/>
      <c r="P438" s="34"/>
      <c r="Q438" s="34"/>
      <c r="R438" s="34"/>
      <c r="S438" s="34"/>
      <c r="T438" s="34"/>
      <c r="U438" s="34"/>
      <c r="V438" s="34"/>
    </row>
    <row r="439" spans="2:22" x14ac:dyDescent="0.3">
      <c r="B439" s="33"/>
      <c r="C439" s="34"/>
      <c r="D439" s="34"/>
      <c r="E439" s="34"/>
      <c r="F439" s="34"/>
      <c r="G439" s="34"/>
      <c r="H439" s="34"/>
      <c r="I439" s="34"/>
      <c r="J439" s="34"/>
      <c r="K439" s="35"/>
      <c r="L439" s="34"/>
      <c r="M439" s="32"/>
      <c r="N439" s="34"/>
      <c r="O439" s="34"/>
      <c r="P439" s="34"/>
      <c r="Q439" s="34"/>
      <c r="R439" s="34"/>
      <c r="S439" s="34"/>
      <c r="T439" s="34"/>
      <c r="U439" s="34"/>
      <c r="V439" s="34"/>
    </row>
    <row r="440" spans="2:22" x14ac:dyDescent="0.3">
      <c r="B440" s="33"/>
      <c r="C440" s="34"/>
      <c r="D440" s="34"/>
      <c r="E440" s="34"/>
      <c r="F440" s="34"/>
      <c r="G440" s="34"/>
      <c r="H440" s="34"/>
      <c r="I440" s="34"/>
      <c r="J440" s="34"/>
      <c r="K440" s="35"/>
      <c r="L440" s="34"/>
      <c r="M440" s="32"/>
      <c r="N440" s="34"/>
      <c r="O440" s="34"/>
      <c r="P440" s="34"/>
      <c r="Q440" s="34"/>
      <c r="R440" s="34"/>
      <c r="S440" s="34"/>
      <c r="T440" s="34"/>
      <c r="U440" s="34"/>
      <c r="V440" s="34"/>
    </row>
    <row r="441" spans="2:22" x14ac:dyDescent="0.3">
      <c r="B441" s="33"/>
      <c r="C441" s="34"/>
      <c r="D441" s="34"/>
      <c r="E441" s="34"/>
      <c r="F441" s="34"/>
      <c r="G441" s="34"/>
      <c r="H441" s="34"/>
      <c r="I441" s="34"/>
      <c r="J441" s="34"/>
      <c r="K441" s="35"/>
      <c r="L441" s="34"/>
      <c r="M441" s="32"/>
      <c r="N441" s="34"/>
      <c r="O441" s="34"/>
      <c r="P441" s="34"/>
      <c r="Q441" s="34"/>
      <c r="R441" s="34"/>
      <c r="S441" s="34"/>
      <c r="T441" s="34"/>
      <c r="U441" s="34"/>
      <c r="V441" s="34"/>
    </row>
    <row r="442" spans="2:22" x14ac:dyDescent="0.3">
      <c r="B442" s="33"/>
      <c r="C442" s="34"/>
      <c r="D442" s="34"/>
      <c r="E442" s="34"/>
      <c r="F442" s="34"/>
      <c r="G442" s="34"/>
      <c r="H442" s="34"/>
      <c r="I442" s="34"/>
      <c r="J442" s="34"/>
      <c r="K442" s="35"/>
      <c r="L442" s="34"/>
      <c r="M442" s="32"/>
      <c r="N442" s="34"/>
      <c r="O442" s="34"/>
      <c r="P442" s="34"/>
      <c r="Q442" s="34"/>
      <c r="R442" s="34"/>
      <c r="S442" s="34"/>
      <c r="T442" s="34"/>
      <c r="U442" s="34"/>
      <c r="V442" s="34"/>
    </row>
    <row r="443" spans="2:22" x14ac:dyDescent="0.3">
      <c r="B443" s="33"/>
      <c r="C443" s="34"/>
      <c r="D443" s="34"/>
      <c r="E443" s="34"/>
      <c r="F443" s="34"/>
      <c r="G443" s="34"/>
      <c r="H443" s="34"/>
      <c r="I443" s="34"/>
      <c r="J443" s="34"/>
      <c r="K443" s="35"/>
      <c r="L443" s="34"/>
      <c r="M443" s="32"/>
      <c r="N443" s="34"/>
      <c r="O443" s="34"/>
      <c r="P443" s="34"/>
      <c r="Q443" s="34"/>
      <c r="R443" s="34"/>
      <c r="S443" s="34"/>
      <c r="T443" s="34"/>
      <c r="U443" s="34"/>
      <c r="V443" s="34"/>
    </row>
    <row r="444" spans="2:22" x14ac:dyDescent="0.3">
      <c r="B444" s="33"/>
      <c r="C444" s="34"/>
      <c r="D444" s="34"/>
      <c r="E444" s="34"/>
      <c r="F444" s="34"/>
      <c r="G444" s="34"/>
      <c r="H444" s="34"/>
      <c r="I444" s="34"/>
      <c r="J444" s="34"/>
      <c r="K444" s="35"/>
      <c r="L444" s="34"/>
      <c r="M444" s="32"/>
      <c r="N444" s="34"/>
      <c r="O444" s="34"/>
      <c r="P444" s="34"/>
      <c r="Q444" s="34"/>
      <c r="R444" s="34"/>
      <c r="S444" s="34"/>
      <c r="T444" s="34"/>
      <c r="U444" s="34"/>
      <c r="V444" s="34"/>
    </row>
    <row r="445" spans="2:22" x14ac:dyDescent="0.3">
      <c r="B445" s="33"/>
      <c r="C445" s="34"/>
      <c r="D445" s="34"/>
      <c r="E445" s="34"/>
      <c r="F445" s="34"/>
      <c r="G445" s="34"/>
      <c r="H445" s="34"/>
      <c r="I445" s="34"/>
      <c r="J445" s="34"/>
      <c r="K445" s="35"/>
      <c r="L445" s="34"/>
      <c r="M445" s="32"/>
      <c r="N445" s="34"/>
      <c r="O445" s="34"/>
      <c r="P445" s="34"/>
      <c r="Q445" s="34"/>
      <c r="R445" s="34"/>
      <c r="S445" s="34"/>
      <c r="T445" s="34"/>
      <c r="U445" s="34"/>
      <c r="V445" s="34"/>
    </row>
    <row r="446" spans="2:22" x14ac:dyDescent="0.3">
      <c r="B446" s="33"/>
      <c r="C446" s="34"/>
      <c r="D446" s="34"/>
      <c r="E446" s="34"/>
      <c r="F446" s="34"/>
      <c r="G446" s="34"/>
      <c r="H446" s="34"/>
      <c r="I446" s="34"/>
      <c r="J446" s="34"/>
      <c r="K446" s="35"/>
      <c r="L446" s="34"/>
      <c r="M446" s="32"/>
      <c r="N446" s="34"/>
      <c r="O446" s="34"/>
      <c r="P446" s="34"/>
      <c r="Q446" s="34"/>
      <c r="R446" s="34"/>
      <c r="S446" s="34"/>
      <c r="T446" s="34"/>
      <c r="U446" s="34"/>
      <c r="V446" s="34"/>
    </row>
    <row r="447" spans="2:22" x14ac:dyDescent="0.3">
      <c r="B447" s="33"/>
      <c r="C447" s="34"/>
      <c r="D447" s="34"/>
      <c r="E447" s="34"/>
      <c r="F447" s="34"/>
      <c r="G447" s="34"/>
      <c r="H447" s="34"/>
      <c r="I447" s="34"/>
      <c r="J447" s="34"/>
      <c r="K447" s="35"/>
      <c r="L447" s="34"/>
      <c r="M447" s="32"/>
      <c r="N447" s="34"/>
      <c r="O447" s="34"/>
      <c r="P447" s="34"/>
      <c r="Q447" s="34"/>
      <c r="R447" s="34"/>
      <c r="S447" s="34"/>
      <c r="T447" s="34"/>
      <c r="U447" s="34"/>
      <c r="V447" s="34"/>
    </row>
    <row r="448" spans="2:22" x14ac:dyDescent="0.3">
      <c r="B448" s="33"/>
      <c r="C448" s="34"/>
      <c r="D448" s="34"/>
      <c r="E448" s="34"/>
      <c r="F448" s="34"/>
      <c r="G448" s="34"/>
      <c r="H448" s="34"/>
      <c r="I448" s="34"/>
      <c r="J448" s="34"/>
      <c r="K448" s="35"/>
      <c r="L448" s="34"/>
      <c r="M448" s="32"/>
      <c r="N448" s="34"/>
      <c r="O448" s="34"/>
      <c r="P448" s="34"/>
      <c r="Q448" s="34"/>
      <c r="R448" s="34"/>
      <c r="S448" s="34"/>
      <c r="T448" s="34"/>
      <c r="U448" s="34"/>
      <c r="V448" s="34"/>
    </row>
    <row r="449" spans="2:22" x14ac:dyDescent="0.3">
      <c r="B449" s="33"/>
      <c r="C449" s="34"/>
      <c r="D449" s="34"/>
      <c r="E449" s="34"/>
      <c r="F449" s="34"/>
      <c r="G449" s="34"/>
      <c r="H449" s="34"/>
      <c r="I449" s="34"/>
      <c r="J449" s="34"/>
      <c r="K449" s="35"/>
      <c r="L449" s="34"/>
      <c r="M449" s="32"/>
      <c r="N449" s="34"/>
      <c r="O449" s="34"/>
      <c r="P449" s="34"/>
      <c r="Q449" s="34"/>
      <c r="R449" s="34"/>
      <c r="S449" s="34"/>
      <c r="T449" s="34"/>
      <c r="U449" s="34"/>
      <c r="V449" s="34"/>
    </row>
    <row r="450" spans="2:22" x14ac:dyDescent="0.3">
      <c r="B450" s="33"/>
      <c r="C450" s="34"/>
      <c r="D450" s="34"/>
      <c r="E450" s="34"/>
      <c r="F450" s="34"/>
      <c r="G450" s="34"/>
      <c r="H450" s="34"/>
      <c r="I450" s="34"/>
      <c r="J450" s="34"/>
      <c r="K450" s="35"/>
      <c r="L450" s="34"/>
      <c r="M450" s="32"/>
      <c r="N450" s="34"/>
      <c r="O450" s="34"/>
      <c r="P450" s="34"/>
      <c r="Q450" s="34"/>
      <c r="R450" s="34"/>
      <c r="S450" s="34"/>
      <c r="T450" s="34"/>
      <c r="U450" s="34"/>
      <c r="V450" s="34"/>
    </row>
    <row r="451" spans="2:22" x14ac:dyDescent="0.3">
      <c r="B451" s="33"/>
      <c r="C451" s="34"/>
      <c r="D451" s="34"/>
      <c r="E451" s="34"/>
      <c r="F451" s="34"/>
      <c r="G451" s="34"/>
      <c r="H451" s="34"/>
      <c r="I451" s="34"/>
      <c r="J451" s="34"/>
      <c r="K451" s="35"/>
      <c r="L451" s="34"/>
      <c r="M451" s="32"/>
      <c r="N451" s="34"/>
      <c r="O451" s="34"/>
      <c r="P451" s="34"/>
      <c r="Q451" s="34"/>
      <c r="R451" s="34"/>
      <c r="S451" s="34"/>
      <c r="T451" s="34"/>
      <c r="U451" s="34"/>
      <c r="V451" s="34"/>
    </row>
    <row r="452" spans="2:22" x14ac:dyDescent="0.3">
      <c r="B452" s="33"/>
      <c r="C452" s="34"/>
      <c r="D452" s="34"/>
      <c r="E452" s="34"/>
      <c r="F452" s="34"/>
      <c r="G452" s="34"/>
      <c r="H452" s="34"/>
      <c r="I452" s="34"/>
      <c r="J452" s="34"/>
      <c r="K452" s="35"/>
      <c r="L452" s="34"/>
      <c r="M452" s="32"/>
      <c r="N452" s="34"/>
      <c r="O452" s="34"/>
      <c r="P452" s="34"/>
      <c r="Q452" s="34"/>
      <c r="R452" s="34"/>
      <c r="S452" s="34"/>
      <c r="T452" s="34"/>
      <c r="U452" s="34"/>
      <c r="V452" s="34"/>
    </row>
    <row r="453" spans="2:22" x14ac:dyDescent="0.3">
      <c r="B453" s="33"/>
      <c r="C453" s="34"/>
      <c r="D453" s="34"/>
      <c r="E453" s="34"/>
      <c r="F453" s="34"/>
      <c r="G453" s="34"/>
      <c r="H453" s="34"/>
      <c r="I453" s="34"/>
      <c r="J453" s="34"/>
      <c r="K453" s="35"/>
      <c r="L453" s="34"/>
      <c r="M453" s="32"/>
      <c r="N453" s="34"/>
      <c r="O453" s="34"/>
      <c r="P453" s="34"/>
      <c r="Q453" s="34"/>
      <c r="R453" s="34"/>
      <c r="S453" s="34"/>
      <c r="T453" s="34"/>
      <c r="U453" s="34"/>
      <c r="V453" s="34"/>
    </row>
    <row r="454" spans="2:22" x14ac:dyDescent="0.3">
      <c r="B454" s="33"/>
      <c r="C454" s="34"/>
      <c r="D454" s="34"/>
      <c r="E454" s="34"/>
      <c r="F454" s="34"/>
      <c r="G454" s="34"/>
      <c r="H454" s="34"/>
      <c r="I454" s="34"/>
      <c r="J454" s="34"/>
      <c r="K454" s="35"/>
      <c r="L454" s="34"/>
      <c r="M454" s="32"/>
      <c r="N454" s="34"/>
      <c r="O454" s="34"/>
      <c r="P454" s="34"/>
      <c r="Q454" s="34"/>
      <c r="R454" s="34"/>
      <c r="S454" s="34"/>
      <c r="T454" s="34"/>
      <c r="U454" s="34"/>
      <c r="V454" s="34"/>
    </row>
    <row r="455" spans="2:22" x14ac:dyDescent="0.3">
      <c r="B455" s="33"/>
      <c r="C455" s="34"/>
      <c r="D455" s="34"/>
      <c r="E455" s="34"/>
      <c r="F455" s="34"/>
      <c r="G455" s="34"/>
      <c r="H455" s="34"/>
      <c r="I455" s="34"/>
      <c r="J455" s="34"/>
      <c r="K455" s="35"/>
      <c r="L455" s="34"/>
      <c r="M455" s="32"/>
      <c r="N455" s="34"/>
      <c r="O455" s="34"/>
      <c r="P455" s="34"/>
      <c r="Q455" s="34"/>
      <c r="R455" s="34"/>
      <c r="S455" s="34"/>
      <c r="T455" s="34"/>
      <c r="U455" s="34"/>
      <c r="V455" s="34"/>
    </row>
    <row r="456" spans="2:22" x14ac:dyDescent="0.3">
      <c r="B456" s="33"/>
      <c r="C456" s="34"/>
      <c r="D456" s="34"/>
      <c r="E456" s="34"/>
      <c r="F456" s="34"/>
      <c r="G456" s="34"/>
      <c r="H456" s="34"/>
      <c r="I456" s="34"/>
      <c r="J456" s="34"/>
      <c r="K456" s="35"/>
      <c r="L456" s="34"/>
      <c r="M456" s="32"/>
      <c r="N456" s="34"/>
      <c r="O456" s="34"/>
      <c r="P456" s="34"/>
      <c r="Q456" s="34"/>
      <c r="R456" s="34"/>
      <c r="S456" s="34"/>
      <c r="T456" s="34"/>
      <c r="U456" s="34"/>
      <c r="V456" s="34"/>
    </row>
    <row r="457" spans="2:22" x14ac:dyDescent="0.3">
      <c r="B457" s="33"/>
      <c r="C457" s="34"/>
      <c r="D457" s="34"/>
      <c r="E457" s="34"/>
      <c r="F457" s="34"/>
      <c r="G457" s="34"/>
      <c r="H457" s="34"/>
      <c r="I457" s="34"/>
      <c r="J457" s="34"/>
      <c r="K457" s="35"/>
      <c r="L457" s="34"/>
      <c r="M457" s="32"/>
      <c r="N457" s="34"/>
      <c r="O457" s="34"/>
      <c r="P457" s="34"/>
      <c r="Q457" s="34"/>
      <c r="R457" s="34"/>
      <c r="S457" s="34"/>
      <c r="T457" s="34"/>
      <c r="U457" s="34"/>
      <c r="V457" s="34"/>
    </row>
    <row r="458" spans="2:22" x14ac:dyDescent="0.3">
      <c r="B458" s="33"/>
      <c r="C458" s="34"/>
      <c r="D458" s="34"/>
      <c r="E458" s="34"/>
      <c r="F458" s="34"/>
      <c r="G458" s="34"/>
      <c r="H458" s="34"/>
      <c r="I458" s="34"/>
      <c r="J458" s="34"/>
      <c r="K458" s="35"/>
      <c r="L458" s="34"/>
      <c r="M458" s="32"/>
      <c r="N458" s="34"/>
      <c r="O458" s="34"/>
      <c r="P458" s="34"/>
      <c r="Q458" s="34"/>
      <c r="R458" s="34"/>
      <c r="S458" s="34"/>
      <c r="T458" s="34"/>
      <c r="U458" s="34"/>
      <c r="V458" s="34"/>
    </row>
    <row r="459" spans="2:22" x14ac:dyDescent="0.3">
      <c r="B459" s="33"/>
      <c r="C459" s="34"/>
      <c r="D459" s="34"/>
      <c r="E459" s="34"/>
      <c r="F459" s="34"/>
      <c r="G459" s="34"/>
      <c r="H459" s="34"/>
      <c r="I459" s="34"/>
      <c r="J459" s="34"/>
      <c r="K459" s="35"/>
      <c r="L459" s="34"/>
      <c r="M459" s="32"/>
      <c r="N459" s="34"/>
      <c r="O459" s="34"/>
      <c r="P459" s="34"/>
      <c r="Q459" s="34"/>
      <c r="R459" s="34"/>
      <c r="S459" s="34"/>
      <c r="T459" s="34"/>
      <c r="U459" s="34"/>
      <c r="V459" s="34"/>
    </row>
    <row r="460" spans="2:22" x14ac:dyDescent="0.3">
      <c r="B460" s="33"/>
      <c r="C460" s="34"/>
      <c r="D460" s="34"/>
      <c r="E460" s="34"/>
      <c r="F460" s="34"/>
      <c r="G460" s="34"/>
      <c r="H460" s="34"/>
      <c r="I460" s="34"/>
      <c r="J460" s="34"/>
      <c r="K460" s="35"/>
      <c r="L460" s="34"/>
      <c r="M460" s="32"/>
      <c r="N460" s="34"/>
      <c r="O460" s="34"/>
      <c r="P460" s="34"/>
      <c r="Q460" s="34"/>
      <c r="R460" s="34"/>
      <c r="S460" s="34"/>
      <c r="T460" s="34"/>
      <c r="U460" s="34"/>
      <c r="V460" s="34"/>
    </row>
    <row r="461" spans="2:22" x14ac:dyDescent="0.3">
      <c r="B461" s="33"/>
      <c r="C461" s="34"/>
      <c r="D461" s="34"/>
      <c r="E461" s="34"/>
      <c r="F461" s="34"/>
      <c r="G461" s="34"/>
      <c r="H461" s="34"/>
      <c r="I461" s="34"/>
      <c r="J461" s="34"/>
      <c r="K461" s="35"/>
      <c r="L461" s="34"/>
      <c r="M461" s="32"/>
      <c r="N461" s="34"/>
      <c r="O461" s="34"/>
      <c r="P461" s="34"/>
      <c r="Q461" s="34"/>
      <c r="R461" s="34"/>
      <c r="S461" s="34"/>
      <c r="T461" s="34"/>
      <c r="U461" s="34"/>
      <c r="V461" s="34"/>
    </row>
    <row r="462" spans="2:22" x14ac:dyDescent="0.3">
      <c r="B462" s="33"/>
      <c r="C462" s="34"/>
      <c r="D462" s="34"/>
      <c r="E462" s="34"/>
      <c r="F462" s="34"/>
      <c r="G462" s="34"/>
      <c r="H462" s="34"/>
      <c r="I462" s="34"/>
      <c r="J462" s="34"/>
      <c r="K462" s="35"/>
      <c r="L462" s="34"/>
      <c r="M462" s="32"/>
      <c r="N462" s="34"/>
      <c r="O462" s="34"/>
      <c r="P462" s="34"/>
      <c r="Q462" s="34"/>
      <c r="R462" s="34"/>
      <c r="S462" s="34"/>
      <c r="T462" s="34"/>
      <c r="U462" s="34"/>
      <c r="V462" s="34"/>
    </row>
    <row r="463" spans="2:22" x14ac:dyDescent="0.3">
      <c r="B463" s="33"/>
      <c r="C463" s="34"/>
      <c r="D463" s="34"/>
      <c r="E463" s="34"/>
      <c r="F463" s="34"/>
      <c r="G463" s="34"/>
      <c r="H463" s="34"/>
      <c r="I463" s="34"/>
      <c r="J463" s="34"/>
      <c r="K463" s="35"/>
      <c r="L463" s="34"/>
      <c r="M463" s="32"/>
      <c r="N463" s="34"/>
      <c r="O463" s="34"/>
      <c r="P463" s="34"/>
      <c r="Q463" s="34"/>
      <c r="R463" s="34"/>
      <c r="S463" s="34"/>
      <c r="T463" s="34"/>
      <c r="U463" s="34"/>
      <c r="V463" s="34"/>
    </row>
    <row r="464" spans="2:22" x14ac:dyDescent="0.3">
      <c r="B464" s="33"/>
      <c r="C464" s="34"/>
      <c r="D464" s="34"/>
      <c r="E464" s="34"/>
      <c r="F464" s="34"/>
      <c r="G464" s="34"/>
      <c r="H464" s="34"/>
      <c r="I464" s="34"/>
      <c r="J464" s="34"/>
      <c r="K464" s="35"/>
      <c r="L464" s="34"/>
      <c r="M464" s="32"/>
      <c r="N464" s="34"/>
      <c r="O464" s="34"/>
      <c r="P464" s="34"/>
      <c r="Q464" s="34"/>
      <c r="R464" s="34"/>
      <c r="S464" s="34"/>
      <c r="T464" s="34"/>
      <c r="U464" s="34"/>
      <c r="V464" s="34"/>
    </row>
    <row r="465" spans="2:22" x14ac:dyDescent="0.3">
      <c r="B465" s="33"/>
      <c r="C465" s="34"/>
      <c r="D465" s="34"/>
      <c r="E465" s="34"/>
      <c r="F465" s="34"/>
      <c r="G465" s="34"/>
      <c r="H465" s="34"/>
      <c r="I465" s="34"/>
      <c r="J465" s="34"/>
      <c r="K465" s="35"/>
      <c r="L465" s="34"/>
      <c r="M465" s="32"/>
      <c r="N465" s="34"/>
      <c r="O465" s="34"/>
      <c r="P465" s="34"/>
      <c r="Q465" s="34"/>
      <c r="R465" s="34"/>
      <c r="S465" s="34"/>
      <c r="T465" s="34"/>
      <c r="U465" s="34"/>
      <c r="V465" s="34"/>
    </row>
    <row r="466" spans="2:22" x14ac:dyDescent="0.3">
      <c r="B466" s="33"/>
      <c r="C466" s="34"/>
      <c r="D466" s="34"/>
      <c r="E466" s="34"/>
      <c r="F466" s="34"/>
      <c r="G466" s="34"/>
      <c r="H466" s="34"/>
      <c r="I466" s="34"/>
      <c r="J466" s="34"/>
      <c r="K466" s="35"/>
      <c r="L466" s="34"/>
      <c r="M466" s="32"/>
      <c r="N466" s="34"/>
      <c r="O466" s="34"/>
      <c r="P466" s="34"/>
      <c r="Q466" s="34"/>
      <c r="R466" s="34"/>
      <c r="S466" s="34"/>
      <c r="T466" s="34"/>
      <c r="U466" s="34"/>
      <c r="V466" s="34"/>
    </row>
    <row r="467" spans="2:22" x14ac:dyDescent="0.3">
      <c r="B467" s="33"/>
      <c r="C467" s="34"/>
      <c r="D467" s="34"/>
      <c r="E467" s="34"/>
      <c r="F467" s="34"/>
      <c r="G467" s="34"/>
      <c r="H467" s="34"/>
      <c r="I467" s="34"/>
      <c r="J467" s="34"/>
      <c r="K467" s="35"/>
      <c r="L467" s="34"/>
      <c r="M467" s="32"/>
      <c r="N467" s="34"/>
      <c r="O467" s="34"/>
      <c r="P467" s="34"/>
      <c r="Q467" s="34"/>
      <c r="R467" s="34"/>
      <c r="S467" s="34"/>
      <c r="T467" s="34"/>
      <c r="U467" s="34"/>
      <c r="V467" s="34"/>
    </row>
    <row r="468" spans="2:22" x14ac:dyDescent="0.3">
      <c r="B468" s="33"/>
      <c r="C468" s="34"/>
      <c r="D468" s="34"/>
      <c r="E468" s="34"/>
      <c r="F468" s="34"/>
      <c r="G468" s="34"/>
      <c r="H468" s="34"/>
      <c r="I468" s="34"/>
      <c r="J468" s="34"/>
      <c r="K468" s="35"/>
      <c r="L468" s="34"/>
      <c r="M468" s="32"/>
      <c r="N468" s="34"/>
      <c r="O468" s="34"/>
      <c r="P468" s="34"/>
      <c r="Q468" s="34"/>
      <c r="R468" s="34"/>
      <c r="S468" s="34"/>
      <c r="T468" s="34"/>
      <c r="U468" s="34"/>
      <c r="V468" s="34"/>
    </row>
    <row r="469" spans="2:22" x14ac:dyDescent="0.3">
      <c r="B469" s="33"/>
      <c r="C469" s="34"/>
      <c r="D469" s="34"/>
      <c r="E469" s="34"/>
      <c r="F469" s="34"/>
      <c r="G469" s="34"/>
      <c r="H469" s="34"/>
      <c r="I469" s="34"/>
      <c r="J469" s="34"/>
      <c r="K469" s="35"/>
      <c r="L469" s="34"/>
      <c r="M469" s="32"/>
      <c r="N469" s="34"/>
      <c r="O469" s="34"/>
      <c r="P469" s="34"/>
      <c r="Q469" s="34"/>
      <c r="R469" s="34"/>
      <c r="S469" s="34"/>
      <c r="T469" s="34"/>
      <c r="U469" s="34"/>
      <c r="V469" s="34"/>
    </row>
    <row r="470" spans="2:22" x14ac:dyDescent="0.3">
      <c r="B470" s="33"/>
      <c r="C470" s="34"/>
      <c r="D470" s="34"/>
      <c r="E470" s="34"/>
      <c r="F470" s="34"/>
      <c r="G470" s="34"/>
      <c r="H470" s="34"/>
      <c r="I470" s="34"/>
      <c r="J470" s="34"/>
      <c r="K470" s="35"/>
      <c r="L470" s="34"/>
      <c r="M470" s="32"/>
      <c r="N470" s="34"/>
      <c r="O470" s="34"/>
      <c r="P470" s="34"/>
      <c r="Q470" s="34"/>
      <c r="R470" s="34"/>
      <c r="S470" s="34"/>
      <c r="T470" s="34"/>
      <c r="U470" s="34"/>
      <c r="V470" s="34"/>
    </row>
    <row r="471" spans="2:22" x14ac:dyDescent="0.3">
      <c r="B471" s="33"/>
      <c r="C471" s="34"/>
      <c r="D471" s="34"/>
      <c r="E471" s="34"/>
      <c r="F471" s="34"/>
      <c r="G471" s="34"/>
      <c r="H471" s="34"/>
      <c r="I471" s="34"/>
      <c r="J471" s="34"/>
      <c r="K471" s="35"/>
      <c r="L471" s="34"/>
      <c r="M471" s="32"/>
      <c r="N471" s="34"/>
      <c r="O471" s="34"/>
      <c r="P471" s="34"/>
      <c r="Q471" s="34"/>
      <c r="R471" s="34"/>
      <c r="S471" s="34"/>
      <c r="T471" s="34"/>
      <c r="U471" s="34"/>
      <c r="V471" s="34"/>
    </row>
    <row r="472" spans="2:22" x14ac:dyDescent="0.3">
      <c r="B472" s="33"/>
      <c r="C472" s="34"/>
      <c r="D472" s="34"/>
      <c r="E472" s="34"/>
      <c r="F472" s="34"/>
      <c r="G472" s="34"/>
      <c r="H472" s="34"/>
      <c r="I472" s="34"/>
      <c r="J472" s="34"/>
      <c r="K472" s="35"/>
      <c r="L472" s="34"/>
      <c r="M472" s="32"/>
      <c r="N472" s="34"/>
      <c r="O472" s="34"/>
      <c r="P472" s="34"/>
      <c r="Q472" s="34"/>
      <c r="R472" s="34"/>
      <c r="S472" s="34"/>
      <c r="T472" s="34"/>
      <c r="U472" s="34"/>
      <c r="V472" s="34"/>
    </row>
    <row r="473" spans="2:22" x14ac:dyDescent="0.3">
      <c r="B473" s="33"/>
      <c r="C473" s="34"/>
      <c r="D473" s="34"/>
      <c r="E473" s="34"/>
      <c r="F473" s="34"/>
      <c r="G473" s="34"/>
      <c r="H473" s="34"/>
      <c r="I473" s="34"/>
      <c r="J473" s="34"/>
      <c r="K473" s="35"/>
      <c r="L473" s="34"/>
      <c r="M473" s="32"/>
      <c r="N473" s="34"/>
      <c r="O473" s="34"/>
      <c r="P473" s="34"/>
      <c r="Q473" s="34"/>
      <c r="R473" s="34"/>
      <c r="S473" s="34"/>
      <c r="T473" s="34"/>
      <c r="U473" s="34"/>
      <c r="V473" s="34"/>
    </row>
    <row r="474" spans="2:22" x14ac:dyDescent="0.3">
      <c r="B474" s="33"/>
      <c r="C474" s="34"/>
      <c r="D474" s="34"/>
      <c r="E474" s="34"/>
      <c r="F474" s="34"/>
      <c r="G474" s="34"/>
      <c r="H474" s="34"/>
      <c r="I474" s="34"/>
      <c r="J474" s="34"/>
      <c r="K474" s="35"/>
      <c r="L474" s="34"/>
      <c r="M474" s="32"/>
      <c r="N474" s="34"/>
      <c r="O474" s="34"/>
      <c r="P474" s="34"/>
      <c r="Q474" s="34"/>
      <c r="R474" s="34"/>
      <c r="S474" s="34"/>
      <c r="T474" s="34"/>
      <c r="U474" s="34"/>
      <c r="V474" s="34"/>
    </row>
    <row r="475" spans="2:22" x14ac:dyDescent="0.3">
      <c r="B475" s="33"/>
      <c r="C475" s="34"/>
      <c r="D475" s="34"/>
      <c r="E475" s="34"/>
      <c r="F475" s="34"/>
      <c r="G475" s="34"/>
      <c r="H475" s="34"/>
      <c r="I475" s="34"/>
      <c r="J475" s="34"/>
      <c r="K475" s="35"/>
      <c r="L475" s="34"/>
      <c r="M475" s="32"/>
      <c r="N475" s="34"/>
      <c r="O475" s="34"/>
      <c r="P475" s="34"/>
      <c r="Q475" s="34"/>
      <c r="R475" s="34"/>
      <c r="S475" s="34"/>
      <c r="T475" s="34"/>
      <c r="U475" s="34"/>
      <c r="V475" s="34"/>
    </row>
    <row r="476" spans="2:22" x14ac:dyDescent="0.3">
      <c r="B476" s="33"/>
      <c r="C476" s="34"/>
      <c r="D476" s="34"/>
      <c r="E476" s="34"/>
      <c r="F476" s="34"/>
      <c r="G476" s="34"/>
      <c r="H476" s="34"/>
      <c r="I476" s="34"/>
      <c r="J476" s="34"/>
      <c r="K476" s="35"/>
      <c r="L476" s="34"/>
      <c r="M476" s="32"/>
      <c r="N476" s="34"/>
      <c r="O476" s="34"/>
      <c r="P476" s="34"/>
      <c r="Q476" s="34"/>
      <c r="R476" s="34"/>
      <c r="S476" s="34"/>
      <c r="T476" s="34"/>
      <c r="U476" s="34"/>
      <c r="V476" s="34"/>
    </row>
    <row r="477" spans="2:22" x14ac:dyDescent="0.3">
      <c r="B477" s="33"/>
      <c r="C477" s="34"/>
      <c r="D477" s="34"/>
      <c r="E477" s="34"/>
      <c r="F477" s="34"/>
      <c r="G477" s="34"/>
      <c r="H477" s="34"/>
      <c r="I477" s="34"/>
      <c r="J477" s="34"/>
      <c r="K477" s="35"/>
      <c r="L477" s="34"/>
      <c r="M477" s="32"/>
      <c r="N477" s="34"/>
      <c r="O477" s="34"/>
      <c r="P477" s="34"/>
      <c r="Q477" s="34"/>
      <c r="R477" s="34"/>
      <c r="S477" s="34"/>
      <c r="T477" s="34"/>
      <c r="U477" s="34"/>
      <c r="V477" s="34"/>
    </row>
    <row r="478" spans="2:22" x14ac:dyDescent="0.3">
      <c r="B478" s="33"/>
      <c r="C478" s="34"/>
      <c r="D478" s="34"/>
      <c r="E478" s="34"/>
      <c r="F478" s="34"/>
      <c r="G478" s="34"/>
      <c r="H478" s="34"/>
      <c r="I478" s="34"/>
      <c r="J478" s="34"/>
      <c r="K478" s="35"/>
      <c r="L478" s="34"/>
      <c r="M478" s="32"/>
      <c r="N478" s="34"/>
      <c r="O478" s="34"/>
      <c r="P478" s="34"/>
      <c r="Q478" s="34"/>
      <c r="R478" s="34"/>
      <c r="S478" s="34"/>
      <c r="T478" s="34"/>
      <c r="U478" s="34"/>
      <c r="V478" s="34"/>
    </row>
    <row r="479" spans="2:22" x14ac:dyDescent="0.3">
      <c r="B479" s="33"/>
      <c r="C479" s="34"/>
      <c r="D479" s="34"/>
      <c r="E479" s="34"/>
      <c r="F479" s="34"/>
      <c r="G479" s="34"/>
      <c r="H479" s="34"/>
      <c r="I479" s="34"/>
      <c r="J479" s="34"/>
      <c r="K479" s="35"/>
      <c r="L479" s="34"/>
      <c r="M479" s="32"/>
      <c r="N479" s="34"/>
      <c r="O479" s="34"/>
      <c r="P479" s="34"/>
      <c r="Q479" s="34"/>
      <c r="R479" s="34"/>
      <c r="S479" s="34"/>
      <c r="T479" s="34"/>
      <c r="U479" s="34"/>
      <c r="V479" s="34"/>
    </row>
    <row r="480" spans="2:22" x14ac:dyDescent="0.3">
      <c r="B480" s="33"/>
      <c r="C480" s="34"/>
      <c r="D480" s="34"/>
      <c r="E480" s="34"/>
      <c r="F480" s="34"/>
      <c r="G480" s="34"/>
      <c r="H480" s="34"/>
      <c r="I480" s="34"/>
      <c r="J480" s="34"/>
      <c r="K480" s="35"/>
      <c r="L480" s="34"/>
      <c r="M480" s="32"/>
      <c r="N480" s="34"/>
      <c r="O480" s="34"/>
      <c r="P480" s="34"/>
      <c r="Q480" s="34"/>
      <c r="R480" s="34"/>
      <c r="S480" s="34"/>
      <c r="T480" s="34"/>
      <c r="U480" s="34"/>
      <c r="V480" s="34"/>
    </row>
    <row r="481" spans="2:22" x14ac:dyDescent="0.3">
      <c r="B481" s="33"/>
      <c r="C481" s="34"/>
      <c r="D481" s="34"/>
      <c r="E481" s="34"/>
      <c r="F481" s="34"/>
      <c r="G481" s="34"/>
      <c r="H481" s="34"/>
      <c r="I481" s="34"/>
      <c r="J481" s="34"/>
      <c r="K481" s="35"/>
      <c r="L481" s="34"/>
      <c r="M481" s="32"/>
      <c r="N481" s="34"/>
      <c r="O481" s="34"/>
      <c r="P481" s="34"/>
      <c r="Q481" s="34"/>
      <c r="R481" s="34"/>
      <c r="S481" s="34"/>
      <c r="T481" s="34"/>
      <c r="U481" s="34"/>
      <c r="V481" s="34"/>
    </row>
    <row r="482" spans="2:22" x14ac:dyDescent="0.3">
      <c r="B482" s="33"/>
      <c r="C482" s="34"/>
      <c r="D482" s="34"/>
      <c r="E482" s="34"/>
      <c r="F482" s="34"/>
      <c r="G482" s="34"/>
      <c r="H482" s="34"/>
      <c r="I482" s="34"/>
      <c r="J482" s="34"/>
      <c r="K482" s="35"/>
      <c r="L482" s="34"/>
      <c r="M482" s="32"/>
      <c r="N482" s="34"/>
      <c r="O482" s="34"/>
      <c r="P482" s="34"/>
      <c r="Q482" s="34"/>
      <c r="R482" s="34"/>
      <c r="S482" s="34"/>
      <c r="T482" s="34"/>
      <c r="U482" s="34"/>
      <c r="V482" s="34"/>
    </row>
    <row r="483" spans="2:22" x14ac:dyDescent="0.3">
      <c r="B483" s="33"/>
      <c r="C483" s="34"/>
      <c r="D483" s="34"/>
      <c r="E483" s="34"/>
      <c r="F483" s="34"/>
      <c r="G483" s="34"/>
      <c r="H483" s="34"/>
      <c r="I483" s="34"/>
      <c r="J483" s="34"/>
      <c r="K483" s="35"/>
      <c r="L483" s="34"/>
      <c r="M483" s="32"/>
      <c r="N483" s="34"/>
      <c r="O483" s="34"/>
      <c r="P483" s="34"/>
      <c r="Q483" s="34"/>
      <c r="R483" s="34"/>
      <c r="S483" s="34"/>
      <c r="T483" s="34"/>
      <c r="U483" s="34"/>
      <c r="V483" s="34"/>
    </row>
    <row r="484" spans="2:22" x14ac:dyDescent="0.3">
      <c r="B484" s="33"/>
      <c r="C484" s="34"/>
      <c r="D484" s="34"/>
      <c r="E484" s="34"/>
      <c r="F484" s="34"/>
      <c r="G484" s="34"/>
      <c r="H484" s="34"/>
      <c r="I484" s="34"/>
      <c r="J484" s="34"/>
      <c r="K484" s="35"/>
      <c r="L484" s="34"/>
      <c r="M484" s="32"/>
      <c r="N484" s="34"/>
      <c r="O484" s="34"/>
      <c r="P484" s="34"/>
      <c r="Q484" s="34"/>
      <c r="R484" s="34"/>
      <c r="S484" s="34"/>
      <c r="T484" s="34"/>
      <c r="U484" s="34"/>
      <c r="V484" s="34"/>
    </row>
    <row r="485" spans="2:22" x14ac:dyDescent="0.3">
      <c r="B485" s="33"/>
      <c r="C485" s="34"/>
      <c r="D485" s="34"/>
      <c r="E485" s="34"/>
      <c r="F485" s="34"/>
      <c r="G485" s="34"/>
      <c r="H485" s="34"/>
      <c r="I485" s="34"/>
      <c r="J485" s="34"/>
      <c r="K485" s="35"/>
      <c r="L485" s="34"/>
      <c r="M485" s="32"/>
      <c r="N485" s="34"/>
      <c r="O485" s="34"/>
      <c r="P485" s="34"/>
      <c r="Q485" s="34"/>
      <c r="R485" s="34"/>
      <c r="S485" s="34"/>
      <c r="T485" s="34"/>
      <c r="U485" s="34"/>
      <c r="V485" s="34"/>
    </row>
    <row r="486" spans="2:22" x14ac:dyDescent="0.3">
      <c r="B486" s="33"/>
      <c r="C486" s="34"/>
      <c r="D486" s="34"/>
      <c r="E486" s="34"/>
      <c r="F486" s="34"/>
      <c r="G486" s="34"/>
      <c r="H486" s="34"/>
      <c r="I486" s="34"/>
      <c r="J486" s="34"/>
      <c r="K486" s="35"/>
      <c r="L486" s="34"/>
      <c r="M486" s="32"/>
      <c r="N486" s="34"/>
      <c r="O486" s="34"/>
      <c r="P486" s="34"/>
      <c r="Q486" s="34"/>
      <c r="R486" s="34"/>
      <c r="S486" s="34"/>
      <c r="T486" s="34"/>
      <c r="U486" s="34"/>
      <c r="V486" s="34"/>
    </row>
    <row r="487" spans="2:22" x14ac:dyDescent="0.3">
      <c r="B487" s="33"/>
      <c r="C487" s="34"/>
      <c r="D487" s="34"/>
      <c r="E487" s="34"/>
      <c r="F487" s="34"/>
      <c r="G487" s="34"/>
      <c r="H487" s="34"/>
      <c r="I487" s="34"/>
      <c r="J487" s="34"/>
      <c r="K487" s="35"/>
      <c r="L487" s="34"/>
      <c r="M487" s="32"/>
      <c r="N487" s="34"/>
      <c r="O487" s="34"/>
      <c r="P487" s="34"/>
      <c r="Q487" s="34"/>
      <c r="R487" s="34"/>
      <c r="S487" s="34"/>
      <c r="T487" s="34"/>
      <c r="U487" s="34"/>
      <c r="V487" s="34"/>
    </row>
    <row r="488" spans="2:22" x14ac:dyDescent="0.3">
      <c r="B488" s="33"/>
      <c r="C488" s="34"/>
      <c r="D488" s="34"/>
      <c r="E488" s="34"/>
      <c r="F488" s="34"/>
      <c r="G488" s="34"/>
      <c r="H488" s="34"/>
      <c r="I488" s="34"/>
      <c r="J488" s="34"/>
      <c r="K488" s="35"/>
      <c r="L488" s="34"/>
      <c r="M488" s="32"/>
      <c r="N488" s="34"/>
      <c r="O488" s="34"/>
      <c r="P488" s="34"/>
      <c r="Q488" s="34"/>
      <c r="R488" s="34"/>
      <c r="S488" s="34"/>
      <c r="T488" s="34"/>
      <c r="U488" s="34"/>
      <c r="V488" s="34"/>
    </row>
    <row r="489" spans="2:22" x14ac:dyDescent="0.3">
      <c r="B489" s="33"/>
      <c r="C489" s="34"/>
      <c r="D489" s="34"/>
      <c r="E489" s="34"/>
      <c r="F489" s="34"/>
      <c r="G489" s="34"/>
      <c r="H489" s="34"/>
      <c r="I489" s="34"/>
      <c r="J489" s="34"/>
      <c r="K489" s="35"/>
      <c r="L489" s="34"/>
      <c r="M489" s="32"/>
      <c r="N489" s="34"/>
      <c r="O489" s="34"/>
      <c r="P489" s="34"/>
      <c r="Q489" s="34"/>
      <c r="R489" s="34"/>
      <c r="S489" s="34"/>
      <c r="T489" s="34"/>
      <c r="U489" s="34"/>
      <c r="V489" s="34"/>
    </row>
    <row r="490" spans="2:22" x14ac:dyDescent="0.3">
      <c r="B490" s="33"/>
      <c r="C490" s="34"/>
      <c r="D490" s="34"/>
      <c r="E490" s="34"/>
      <c r="F490" s="34"/>
      <c r="G490" s="34"/>
      <c r="H490" s="34"/>
      <c r="I490" s="34"/>
      <c r="J490" s="34"/>
      <c r="K490" s="35"/>
      <c r="L490" s="34"/>
      <c r="M490" s="32"/>
      <c r="N490" s="34"/>
      <c r="O490" s="34"/>
      <c r="P490" s="34"/>
      <c r="Q490" s="34"/>
      <c r="R490" s="34"/>
      <c r="S490" s="34"/>
      <c r="T490" s="34"/>
      <c r="U490" s="34"/>
      <c r="V490" s="34"/>
    </row>
    <row r="491" spans="2:22" x14ac:dyDescent="0.3">
      <c r="B491" s="33"/>
      <c r="C491" s="34"/>
      <c r="D491" s="34"/>
      <c r="E491" s="34"/>
      <c r="F491" s="34"/>
      <c r="G491" s="34"/>
      <c r="H491" s="34"/>
      <c r="I491" s="34"/>
      <c r="J491" s="34"/>
      <c r="K491" s="35"/>
      <c r="L491" s="34"/>
      <c r="M491" s="32"/>
      <c r="N491" s="34"/>
      <c r="O491" s="34"/>
      <c r="P491" s="34"/>
      <c r="Q491" s="34"/>
      <c r="R491" s="34"/>
      <c r="S491" s="34"/>
      <c r="T491" s="34"/>
      <c r="U491" s="34"/>
      <c r="V491" s="34"/>
    </row>
    <row r="492" spans="2:22" x14ac:dyDescent="0.3">
      <c r="B492" s="33"/>
      <c r="C492" s="34"/>
      <c r="D492" s="34"/>
      <c r="E492" s="34"/>
      <c r="F492" s="34"/>
      <c r="G492" s="34"/>
      <c r="H492" s="34"/>
      <c r="I492" s="34"/>
      <c r="J492" s="34"/>
      <c r="K492" s="35"/>
      <c r="L492" s="34"/>
      <c r="M492" s="32"/>
      <c r="N492" s="34"/>
      <c r="O492" s="34"/>
      <c r="P492" s="34"/>
      <c r="Q492" s="34"/>
      <c r="R492" s="34"/>
      <c r="S492" s="34"/>
      <c r="T492" s="34"/>
      <c r="U492" s="34"/>
      <c r="V492" s="34"/>
    </row>
    <row r="493" spans="2:22" x14ac:dyDescent="0.3">
      <c r="B493" s="33"/>
      <c r="C493" s="34"/>
      <c r="D493" s="34"/>
      <c r="E493" s="34"/>
      <c r="F493" s="34"/>
      <c r="G493" s="34"/>
      <c r="H493" s="34"/>
      <c r="I493" s="34"/>
      <c r="J493" s="34"/>
      <c r="K493" s="35"/>
      <c r="L493" s="34"/>
      <c r="M493" s="32"/>
      <c r="N493" s="34"/>
      <c r="O493" s="34"/>
      <c r="P493" s="34"/>
      <c r="Q493" s="34"/>
      <c r="R493" s="34"/>
      <c r="S493" s="34"/>
      <c r="T493" s="34"/>
      <c r="U493" s="34"/>
      <c r="V493" s="34"/>
    </row>
    <row r="494" spans="2:22" x14ac:dyDescent="0.3">
      <c r="B494" s="33"/>
      <c r="C494" s="34"/>
      <c r="D494" s="34"/>
      <c r="E494" s="34"/>
      <c r="F494" s="34"/>
      <c r="G494" s="34"/>
      <c r="H494" s="34"/>
      <c r="I494" s="34"/>
      <c r="J494" s="34"/>
      <c r="K494" s="35"/>
      <c r="L494" s="34"/>
      <c r="M494" s="32"/>
      <c r="N494" s="34"/>
      <c r="O494" s="34"/>
      <c r="P494" s="34"/>
      <c r="Q494" s="34"/>
      <c r="R494" s="34"/>
      <c r="S494" s="34"/>
      <c r="T494" s="34"/>
      <c r="U494" s="34"/>
      <c r="V494" s="34"/>
    </row>
    <row r="495" spans="2:22" x14ac:dyDescent="0.3">
      <c r="B495" s="33"/>
      <c r="C495" s="34"/>
      <c r="D495" s="34"/>
      <c r="E495" s="34"/>
      <c r="F495" s="34"/>
      <c r="G495" s="34"/>
      <c r="H495" s="34"/>
      <c r="I495" s="34"/>
      <c r="J495" s="34"/>
      <c r="K495" s="35"/>
      <c r="L495" s="34"/>
      <c r="M495" s="32"/>
      <c r="N495" s="34"/>
      <c r="O495" s="34"/>
      <c r="P495" s="34"/>
      <c r="Q495" s="34"/>
      <c r="R495" s="34"/>
      <c r="S495" s="34"/>
      <c r="T495" s="34"/>
      <c r="U495" s="34"/>
      <c r="V495" s="34"/>
    </row>
    <row r="496" spans="2:22" x14ac:dyDescent="0.3">
      <c r="B496" s="33"/>
      <c r="C496" s="34"/>
      <c r="D496" s="34"/>
      <c r="E496" s="34"/>
      <c r="F496" s="34"/>
      <c r="G496" s="34"/>
      <c r="H496" s="34"/>
      <c r="I496" s="34"/>
      <c r="J496" s="34"/>
      <c r="K496" s="35"/>
      <c r="L496" s="34"/>
      <c r="M496" s="32"/>
      <c r="N496" s="34"/>
      <c r="O496" s="34"/>
      <c r="P496" s="34"/>
      <c r="Q496" s="34"/>
      <c r="R496" s="34"/>
      <c r="S496" s="34"/>
      <c r="T496" s="34"/>
      <c r="U496" s="34"/>
      <c r="V496" s="34"/>
    </row>
    <row r="497" spans="2:22" x14ac:dyDescent="0.3">
      <c r="B497" s="33"/>
      <c r="C497" s="34"/>
      <c r="D497" s="34"/>
      <c r="E497" s="34"/>
      <c r="F497" s="34"/>
      <c r="G497" s="34"/>
      <c r="H497" s="34"/>
      <c r="I497" s="34"/>
      <c r="J497" s="34"/>
      <c r="K497" s="35"/>
      <c r="L497" s="34"/>
      <c r="M497" s="32"/>
      <c r="N497" s="34"/>
      <c r="O497" s="34"/>
      <c r="P497" s="34"/>
      <c r="Q497" s="34"/>
      <c r="R497" s="34"/>
      <c r="S497" s="34"/>
      <c r="T497" s="34"/>
      <c r="U497" s="34"/>
      <c r="V497" s="34"/>
    </row>
    <row r="498" spans="2:22" x14ac:dyDescent="0.3">
      <c r="B498" s="33"/>
      <c r="C498" s="34"/>
      <c r="D498" s="34"/>
      <c r="E498" s="34"/>
      <c r="F498" s="34"/>
      <c r="G498" s="34"/>
      <c r="H498" s="34"/>
      <c r="I498" s="34"/>
      <c r="J498" s="34"/>
      <c r="K498" s="35"/>
      <c r="L498" s="34"/>
      <c r="M498" s="32"/>
      <c r="N498" s="34"/>
      <c r="O498" s="34"/>
      <c r="P498" s="34"/>
      <c r="Q498" s="34"/>
      <c r="R498" s="34"/>
      <c r="S498" s="34"/>
      <c r="T498" s="34"/>
      <c r="U498" s="34"/>
      <c r="V498" s="34"/>
    </row>
    <row r="499" spans="2:22" x14ac:dyDescent="0.3">
      <c r="B499" s="33"/>
      <c r="C499" s="34"/>
      <c r="D499" s="34"/>
      <c r="E499" s="34"/>
      <c r="F499" s="34"/>
      <c r="G499" s="34"/>
      <c r="H499" s="34"/>
      <c r="I499" s="34"/>
      <c r="J499" s="34"/>
      <c r="K499" s="35"/>
      <c r="L499" s="34"/>
      <c r="M499" s="32"/>
      <c r="N499" s="34"/>
      <c r="O499" s="34"/>
      <c r="P499" s="34"/>
      <c r="Q499" s="34"/>
      <c r="R499" s="34"/>
      <c r="S499" s="34"/>
      <c r="T499" s="34"/>
      <c r="U499" s="34"/>
      <c r="V499" s="34"/>
    </row>
    <row r="500" spans="2:22" x14ac:dyDescent="0.3">
      <c r="B500" s="33"/>
      <c r="C500" s="34"/>
      <c r="D500" s="34"/>
      <c r="E500" s="34"/>
      <c r="F500" s="34"/>
      <c r="G500" s="34"/>
      <c r="H500" s="34"/>
      <c r="I500" s="34"/>
      <c r="J500" s="34"/>
      <c r="K500" s="35"/>
      <c r="L500" s="34"/>
      <c r="M500" s="32"/>
      <c r="N500" s="34"/>
      <c r="O500" s="34"/>
      <c r="P500" s="34"/>
      <c r="Q500" s="34"/>
      <c r="R500" s="34"/>
      <c r="S500" s="34"/>
      <c r="T500" s="34"/>
      <c r="U500" s="34"/>
      <c r="V500" s="34"/>
    </row>
    <row r="501" spans="2:22" x14ac:dyDescent="0.3">
      <c r="B501" s="33"/>
      <c r="C501" s="34"/>
      <c r="D501" s="34"/>
      <c r="E501" s="34"/>
      <c r="F501" s="34"/>
      <c r="G501" s="34"/>
      <c r="H501" s="34"/>
      <c r="I501" s="34"/>
      <c r="J501" s="34"/>
      <c r="K501" s="35"/>
      <c r="L501" s="34"/>
      <c r="M501" s="32"/>
      <c r="N501" s="34"/>
      <c r="O501" s="34"/>
      <c r="P501" s="34"/>
      <c r="Q501" s="34"/>
      <c r="R501" s="34"/>
      <c r="S501" s="34"/>
      <c r="T501" s="34"/>
      <c r="U501" s="34"/>
      <c r="V501" s="34"/>
    </row>
    <row r="502" spans="2:22" x14ac:dyDescent="0.3">
      <c r="B502" s="33"/>
      <c r="C502" s="34"/>
      <c r="D502" s="34"/>
      <c r="E502" s="34"/>
      <c r="F502" s="34"/>
      <c r="G502" s="34"/>
      <c r="H502" s="34"/>
      <c r="I502" s="34"/>
      <c r="J502" s="34"/>
      <c r="K502" s="35"/>
      <c r="L502" s="34"/>
      <c r="M502" s="32"/>
      <c r="N502" s="34"/>
      <c r="O502" s="34"/>
      <c r="P502" s="34"/>
      <c r="Q502" s="34"/>
      <c r="R502" s="34"/>
      <c r="S502" s="34"/>
      <c r="T502" s="34"/>
      <c r="U502" s="34"/>
      <c r="V502" s="34"/>
    </row>
    <row r="503" spans="2:22" x14ac:dyDescent="0.3">
      <c r="B503" s="33"/>
      <c r="C503" s="34"/>
      <c r="D503" s="34"/>
      <c r="E503" s="34"/>
      <c r="F503" s="34"/>
      <c r="G503" s="34"/>
      <c r="H503" s="34"/>
      <c r="I503" s="34"/>
      <c r="J503" s="34"/>
      <c r="K503" s="35"/>
      <c r="L503" s="34"/>
      <c r="M503" s="32"/>
      <c r="N503" s="34"/>
      <c r="O503" s="34"/>
      <c r="P503" s="34"/>
      <c r="Q503" s="34"/>
      <c r="R503" s="34"/>
      <c r="S503" s="34"/>
      <c r="T503" s="34"/>
      <c r="U503" s="34"/>
      <c r="V503" s="34"/>
    </row>
    <row r="504" spans="2:22" x14ac:dyDescent="0.3">
      <c r="B504" s="33"/>
      <c r="C504" s="34"/>
      <c r="D504" s="34"/>
      <c r="E504" s="34"/>
      <c r="F504" s="34"/>
      <c r="G504" s="34"/>
      <c r="H504" s="34"/>
      <c r="I504" s="34"/>
      <c r="J504" s="34"/>
      <c r="K504" s="35"/>
      <c r="L504" s="34"/>
      <c r="M504" s="32"/>
      <c r="N504" s="34"/>
      <c r="O504" s="34"/>
      <c r="P504" s="34"/>
      <c r="Q504" s="34"/>
      <c r="R504" s="34"/>
      <c r="S504" s="34"/>
      <c r="T504" s="34"/>
      <c r="U504" s="34"/>
      <c r="V504" s="34"/>
    </row>
    <row r="505" spans="2:22" x14ac:dyDescent="0.3">
      <c r="B505" s="33"/>
      <c r="C505" s="34"/>
      <c r="D505" s="34"/>
      <c r="E505" s="34"/>
      <c r="F505" s="34"/>
      <c r="G505" s="34"/>
      <c r="H505" s="34"/>
      <c r="I505" s="34"/>
      <c r="J505" s="34"/>
      <c r="K505" s="35"/>
      <c r="L505" s="34"/>
      <c r="M505" s="32"/>
      <c r="N505" s="34"/>
      <c r="O505" s="34"/>
      <c r="P505" s="34"/>
      <c r="Q505" s="34"/>
      <c r="R505" s="34"/>
      <c r="S505" s="34"/>
      <c r="T505" s="34"/>
      <c r="U505" s="34"/>
      <c r="V505" s="34"/>
    </row>
    <row r="506" spans="2:22" x14ac:dyDescent="0.3">
      <c r="B506" s="33"/>
      <c r="C506" s="34"/>
      <c r="D506" s="34"/>
      <c r="E506" s="34"/>
      <c r="F506" s="34"/>
      <c r="G506" s="34"/>
      <c r="H506" s="34"/>
      <c r="I506" s="34"/>
      <c r="J506" s="34"/>
      <c r="K506" s="35"/>
      <c r="L506" s="34"/>
      <c r="M506" s="32"/>
      <c r="N506" s="34"/>
      <c r="O506" s="34"/>
      <c r="P506" s="34"/>
      <c r="Q506" s="34"/>
      <c r="R506" s="34"/>
      <c r="S506" s="34"/>
      <c r="T506" s="34"/>
      <c r="U506" s="34"/>
      <c r="V506" s="34"/>
    </row>
    <row r="507" spans="2:22" x14ac:dyDescent="0.3">
      <c r="B507" s="33"/>
      <c r="C507" s="34"/>
      <c r="D507" s="34"/>
      <c r="E507" s="34"/>
      <c r="F507" s="34"/>
      <c r="G507" s="34"/>
      <c r="H507" s="34"/>
      <c r="I507" s="34"/>
      <c r="J507" s="34"/>
      <c r="K507" s="35"/>
      <c r="L507" s="34"/>
      <c r="M507" s="32"/>
      <c r="N507" s="34"/>
      <c r="O507" s="34"/>
      <c r="P507" s="34"/>
      <c r="Q507" s="34"/>
      <c r="R507" s="34"/>
      <c r="S507" s="34"/>
      <c r="T507" s="34"/>
      <c r="U507" s="34"/>
      <c r="V507" s="34"/>
    </row>
    <row r="508" spans="2:22" x14ac:dyDescent="0.3">
      <c r="B508" s="33"/>
      <c r="C508" s="34"/>
      <c r="D508" s="34"/>
      <c r="E508" s="34"/>
      <c r="F508" s="34"/>
      <c r="G508" s="34"/>
      <c r="H508" s="34"/>
      <c r="I508" s="34"/>
      <c r="J508" s="34"/>
      <c r="K508" s="35"/>
      <c r="L508" s="34"/>
      <c r="M508" s="32"/>
      <c r="N508" s="34"/>
      <c r="O508" s="34"/>
      <c r="P508" s="34"/>
      <c r="Q508" s="34"/>
      <c r="R508" s="34"/>
      <c r="S508" s="34"/>
      <c r="T508" s="34"/>
      <c r="U508" s="34"/>
      <c r="V508" s="34"/>
    </row>
    <row r="509" spans="2:22" x14ac:dyDescent="0.3">
      <c r="B509" s="33"/>
      <c r="C509" s="34"/>
      <c r="D509" s="34"/>
      <c r="E509" s="34"/>
      <c r="F509" s="34"/>
      <c r="G509" s="34"/>
      <c r="H509" s="34"/>
      <c r="I509" s="34"/>
      <c r="J509" s="34"/>
      <c r="K509" s="35"/>
      <c r="L509" s="34"/>
      <c r="M509" s="32"/>
      <c r="N509" s="34"/>
      <c r="O509" s="34"/>
      <c r="P509" s="34"/>
      <c r="Q509" s="34"/>
      <c r="R509" s="34"/>
      <c r="S509" s="34"/>
      <c r="T509" s="34"/>
      <c r="U509" s="34"/>
      <c r="V509" s="34"/>
    </row>
    <row r="510" spans="2:22" x14ac:dyDescent="0.3">
      <c r="B510" s="33"/>
      <c r="C510" s="34"/>
      <c r="D510" s="34"/>
      <c r="E510" s="34"/>
      <c r="F510" s="34"/>
      <c r="G510" s="34"/>
      <c r="H510" s="34"/>
      <c r="I510" s="34"/>
      <c r="J510" s="34"/>
      <c r="K510" s="35"/>
      <c r="L510" s="34"/>
      <c r="M510" s="32"/>
      <c r="N510" s="34"/>
      <c r="O510" s="34"/>
      <c r="P510" s="34"/>
      <c r="Q510" s="34"/>
      <c r="R510" s="34"/>
      <c r="S510" s="34"/>
      <c r="T510" s="34"/>
      <c r="U510" s="34"/>
      <c r="V510" s="34"/>
    </row>
    <row r="511" spans="2:22" x14ac:dyDescent="0.3">
      <c r="B511" s="33"/>
      <c r="C511" s="34"/>
      <c r="D511" s="34"/>
      <c r="E511" s="34"/>
      <c r="F511" s="34"/>
      <c r="G511" s="34"/>
      <c r="H511" s="34"/>
      <c r="I511" s="34"/>
      <c r="J511" s="34"/>
      <c r="K511" s="35"/>
      <c r="L511" s="34"/>
      <c r="M511" s="32"/>
      <c r="N511" s="34"/>
      <c r="O511" s="34"/>
      <c r="P511" s="34"/>
      <c r="Q511" s="34"/>
      <c r="R511" s="34"/>
      <c r="S511" s="34"/>
      <c r="T511" s="34"/>
      <c r="U511" s="34"/>
      <c r="V511" s="34"/>
    </row>
    <row r="512" spans="2:22" x14ac:dyDescent="0.3">
      <c r="B512" s="33"/>
      <c r="C512" s="34"/>
      <c r="D512" s="34"/>
      <c r="E512" s="34"/>
      <c r="F512" s="34"/>
      <c r="G512" s="34"/>
      <c r="H512" s="34"/>
      <c r="I512" s="34"/>
      <c r="J512" s="34"/>
      <c r="K512" s="35"/>
      <c r="L512" s="34"/>
      <c r="M512" s="32"/>
      <c r="N512" s="34"/>
      <c r="O512" s="34"/>
      <c r="P512" s="34"/>
      <c r="Q512" s="34"/>
      <c r="R512" s="34"/>
      <c r="S512" s="34"/>
      <c r="T512" s="34"/>
      <c r="U512" s="34"/>
      <c r="V512" s="34"/>
    </row>
    <row r="513" spans="2:22" x14ac:dyDescent="0.3">
      <c r="B513" s="33"/>
      <c r="C513" s="34"/>
      <c r="D513" s="34"/>
      <c r="E513" s="34"/>
      <c r="F513" s="34"/>
      <c r="G513" s="34"/>
      <c r="H513" s="34"/>
      <c r="I513" s="34"/>
      <c r="J513" s="34"/>
      <c r="K513" s="35"/>
      <c r="L513" s="34"/>
      <c r="M513" s="32"/>
      <c r="N513" s="34"/>
      <c r="O513" s="34"/>
      <c r="P513" s="34"/>
      <c r="Q513" s="34"/>
      <c r="R513" s="34"/>
      <c r="S513" s="34"/>
      <c r="T513" s="34"/>
      <c r="U513" s="34"/>
      <c r="V513" s="34"/>
    </row>
    <row r="514" spans="2:22" x14ac:dyDescent="0.3">
      <c r="B514" s="33"/>
      <c r="C514" s="34"/>
      <c r="D514" s="34"/>
      <c r="E514" s="34"/>
      <c r="F514" s="34"/>
      <c r="G514" s="34"/>
      <c r="H514" s="34"/>
      <c r="I514" s="34"/>
      <c r="J514" s="34"/>
      <c r="K514" s="35"/>
      <c r="L514" s="34"/>
      <c r="M514" s="32"/>
      <c r="N514" s="34"/>
      <c r="O514" s="34"/>
      <c r="P514" s="34"/>
      <c r="Q514" s="34"/>
      <c r="R514" s="34"/>
      <c r="S514" s="34"/>
      <c r="T514" s="34"/>
      <c r="U514" s="34"/>
      <c r="V514" s="34"/>
    </row>
    <row r="515" spans="2:22" x14ac:dyDescent="0.3">
      <c r="B515" s="33"/>
      <c r="C515" s="34"/>
      <c r="D515" s="34"/>
      <c r="E515" s="34"/>
      <c r="F515" s="34"/>
      <c r="G515" s="34"/>
      <c r="H515" s="34"/>
      <c r="I515" s="34"/>
      <c r="J515" s="34"/>
      <c r="K515" s="35"/>
      <c r="L515" s="34"/>
      <c r="M515" s="32"/>
      <c r="N515" s="34"/>
      <c r="O515" s="34"/>
      <c r="P515" s="34"/>
      <c r="Q515" s="34"/>
      <c r="R515" s="34"/>
      <c r="S515" s="34"/>
      <c r="T515" s="34"/>
      <c r="U515" s="34"/>
      <c r="V515" s="34"/>
    </row>
    <row r="516" spans="2:22" x14ac:dyDescent="0.3">
      <c r="B516" s="33"/>
      <c r="C516" s="34"/>
      <c r="D516" s="34"/>
      <c r="E516" s="34"/>
      <c r="F516" s="34"/>
      <c r="G516" s="34"/>
      <c r="H516" s="34"/>
      <c r="I516" s="34"/>
      <c r="J516" s="34"/>
      <c r="K516" s="35"/>
      <c r="L516" s="34"/>
      <c r="M516" s="32"/>
      <c r="N516" s="34"/>
      <c r="O516" s="34"/>
      <c r="P516" s="34"/>
      <c r="Q516" s="34"/>
      <c r="R516" s="34"/>
      <c r="S516" s="34"/>
      <c r="T516" s="34"/>
      <c r="U516" s="34"/>
      <c r="V516" s="34"/>
    </row>
    <row r="517" spans="2:22" x14ac:dyDescent="0.3">
      <c r="B517" s="33"/>
      <c r="C517" s="34"/>
      <c r="D517" s="34"/>
      <c r="E517" s="34"/>
      <c r="F517" s="34"/>
      <c r="G517" s="34"/>
      <c r="H517" s="34"/>
      <c r="I517" s="34"/>
      <c r="J517" s="34"/>
      <c r="K517" s="35"/>
      <c r="L517" s="34"/>
      <c r="M517" s="32"/>
      <c r="N517" s="34"/>
      <c r="O517" s="34"/>
      <c r="P517" s="34"/>
      <c r="Q517" s="34"/>
      <c r="R517" s="34"/>
      <c r="S517" s="34"/>
      <c r="T517" s="34"/>
      <c r="U517" s="34"/>
      <c r="V517" s="34"/>
    </row>
    <row r="518" spans="2:22" x14ac:dyDescent="0.3">
      <c r="B518" s="33"/>
      <c r="C518" s="34"/>
      <c r="D518" s="34"/>
      <c r="E518" s="34"/>
      <c r="F518" s="34"/>
      <c r="G518" s="34"/>
      <c r="H518" s="34"/>
      <c r="I518" s="34"/>
      <c r="J518" s="34"/>
      <c r="K518" s="35"/>
      <c r="L518" s="34"/>
      <c r="M518" s="32"/>
      <c r="N518" s="34"/>
      <c r="O518" s="34"/>
      <c r="P518" s="34"/>
      <c r="Q518" s="34"/>
      <c r="R518" s="34"/>
      <c r="S518" s="34"/>
      <c r="T518" s="34"/>
      <c r="U518" s="34"/>
      <c r="V518" s="34"/>
    </row>
    <row r="519" spans="2:22" x14ac:dyDescent="0.3">
      <c r="B519" s="33"/>
      <c r="C519" s="34"/>
      <c r="D519" s="34"/>
      <c r="E519" s="34"/>
      <c r="F519" s="34"/>
      <c r="G519" s="34"/>
      <c r="H519" s="34"/>
      <c r="I519" s="34"/>
      <c r="J519" s="34"/>
      <c r="K519" s="35"/>
      <c r="L519" s="34"/>
      <c r="M519" s="32"/>
      <c r="N519" s="34"/>
      <c r="O519" s="34"/>
      <c r="P519" s="34"/>
      <c r="Q519" s="34"/>
      <c r="R519" s="34"/>
      <c r="S519" s="34"/>
      <c r="T519" s="34"/>
      <c r="U519" s="34"/>
      <c r="V519" s="34"/>
    </row>
    <row r="520" spans="2:22" x14ac:dyDescent="0.3">
      <c r="B520" s="33"/>
      <c r="C520" s="34"/>
      <c r="D520" s="34"/>
      <c r="E520" s="34"/>
      <c r="F520" s="34"/>
      <c r="G520" s="34"/>
      <c r="H520" s="34"/>
      <c r="I520" s="34"/>
      <c r="J520" s="34"/>
      <c r="K520" s="35"/>
      <c r="L520" s="34"/>
      <c r="M520" s="32"/>
      <c r="N520" s="34"/>
      <c r="O520" s="34"/>
      <c r="P520" s="34"/>
      <c r="Q520" s="34"/>
      <c r="R520" s="34"/>
      <c r="S520" s="34"/>
      <c r="T520" s="34"/>
      <c r="U520" s="34"/>
      <c r="V520" s="34"/>
    </row>
    <row r="521" spans="2:22" x14ac:dyDescent="0.3">
      <c r="B521" s="33"/>
      <c r="C521" s="34"/>
      <c r="D521" s="34"/>
      <c r="E521" s="34"/>
      <c r="F521" s="34"/>
      <c r="G521" s="34"/>
      <c r="H521" s="34"/>
      <c r="I521" s="34"/>
      <c r="J521" s="34"/>
      <c r="K521" s="35"/>
      <c r="L521" s="34"/>
      <c r="M521" s="32"/>
      <c r="N521" s="34"/>
      <c r="O521" s="34"/>
      <c r="P521" s="34"/>
      <c r="Q521" s="34"/>
      <c r="R521" s="34"/>
      <c r="S521" s="34"/>
      <c r="T521" s="34"/>
      <c r="U521" s="34"/>
      <c r="V521" s="34"/>
    </row>
    <row r="522" spans="2:22" x14ac:dyDescent="0.3">
      <c r="B522" s="33"/>
      <c r="C522" s="34"/>
      <c r="D522" s="34"/>
      <c r="E522" s="34"/>
      <c r="F522" s="34"/>
      <c r="G522" s="34"/>
      <c r="H522" s="34"/>
      <c r="I522" s="34"/>
      <c r="J522" s="34"/>
      <c r="K522" s="35"/>
      <c r="L522" s="34"/>
      <c r="M522" s="32"/>
      <c r="N522" s="34"/>
      <c r="O522" s="34"/>
      <c r="P522" s="34"/>
      <c r="Q522" s="34"/>
      <c r="R522" s="34"/>
      <c r="S522" s="34"/>
      <c r="T522" s="34"/>
      <c r="U522" s="34"/>
      <c r="V522" s="34"/>
    </row>
    <row r="523" spans="2:22" x14ac:dyDescent="0.3">
      <c r="B523" s="33"/>
      <c r="C523" s="34"/>
      <c r="D523" s="34"/>
      <c r="E523" s="34"/>
      <c r="F523" s="34"/>
      <c r="G523" s="34"/>
      <c r="H523" s="34"/>
      <c r="I523" s="34"/>
      <c r="J523" s="34"/>
      <c r="K523" s="35"/>
      <c r="L523" s="34"/>
      <c r="M523" s="32"/>
      <c r="N523" s="34"/>
      <c r="O523" s="34"/>
      <c r="P523" s="34"/>
      <c r="Q523" s="34"/>
      <c r="R523" s="34"/>
      <c r="S523" s="34"/>
      <c r="T523" s="34"/>
      <c r="U523" s="34"/>
      <c r="V523" s="34"/>
    </row>
    <row r="524" spans="2:22" x14ac:dyDescent="0.3">
      <c r="B524" s="33"/>
      <c r="C524" s="34"/>
      <c r="D524" s="34"/>
      <c r="E524" s="34"/>
      <c r="F524" s="34"/>
      <c r="G524" s="34"/>
      <c r="H524" s="34"/>
      <c r="I524" s="34"/>
      <c r="J524" s="34"/>
      <c r="K524" s="35"/>
      <c r="L524" s="34"/>
      <c r="M524" s="32"/>
      <c r="N524" s="34"/>
      <c r="O524" s="34"/>
      <c r="P524" s="34"/>
      <c r="Q524" s="34"/>
      <c r="R524" s="34"/>
      <c r="S524" s="34"/>
      <c r="T524" s="34"/>
      <c r="U524" s="34"/>
      <c r="V524" s="34"/>
    </row>
    <row r="525" spans="2:22" x14ac:dyDescent="0.3">
      <c r="B525" s="33"/>
      <c r="C525" s="34"/>
      <c r="D525" s="34"/>
      <c r="E525" s="34"/>
      <c r="F525" s="34"/>
      <c r="G525" s="34"/>
      <c r="H525" s="34"/>
      <c r="I525" s="34"/>
      <c r="J525" s="34"/>
      <c r="K525" s="35"/>
      <c r="L525" s="34"/>
      <c r="M525" s="32"/>
      <c r="N525" s="34"/>
      <c r="O525" s="34"/>
      <c r="P525" s="34"/>
      <c r="Q525" s="34"/>
      <c r="R525" s="34"/>
      <c r="S525" s="34"/>
      <c r="T525" s="34"/>
      <c r="U525" s="34"/>
      <c r="V525" s="34"/>
    </row>
    <row r="526" spans="2:22" x14ac:dyDescent="0.3">
      <c r="B526" s="33"/>
      <c r="C526" s="34"/>
      <c r="D526" s="34"/>
      <c r="E526" s="34"/>
      <c r="F526" s="34"/>
      <c r="G526" s="34"/>
      <c r="H526" s="34"/>
      <c r="I526" s="34"/>
      <c r="J526" s="34"/>
      <c r="K526" s="35"/>
      <c r="L526" s="34"/>
      <c r="M526" s="32"/>
      <c r="N526" s="34"/>
      <c r="O526" s="34"/>
      <c r="P526" s="34"/>
      <c r="Q526" s="34"/>
      <c r="R526" s="34"/>
      <c r="S526" s="34"/>
      <c r="T526" s="34"/>
      <c r="U526" s="34"/>
      <c r="V526" s="34"/>
    </row>
    <row r="527" spans="2:22" x14ac:dyDescent="0.3">
      <c r="B527" s="33"/>
      <c r="C527" s="34"/>
      <c r="D527" s="34"/>
      <c r="E527" s="34"/>
      <c r="F527" s="34"/>
      <c r="G527" s="34"/>
      <c r="H527" s="34"/>
      <c r="I527" s="34"/>
      <c r="J527" s="34"/>
      <c r="K527" s="35"/>
      <c r="L527" s="34"/>
      <c r="M527" s="32"/>
      <c r="N527" s="34"/>
      <c r="O527" s="34"/>
      <c r="P527" s="34"/>
      <c r="Q527" s="34"/>
      <c r="R527" s="34"/>
      <c r="S527" s="34"/>
      <c r="T527" s="34"/>
      <c r="U527" s="34"/>
      <c r="V527" s="34"/>
    </row>
    <row r="528" spans="2:22" x14ac:dyDescent="0.3">
      <c r="B528" s="33"/>
      <c r="C528" s="34"/>
      <c r="D528" s="34"/>
      <c r="E528" s="34"/>
      <c r="F528" s="34"/>
      <c r="G528" s="34"/>
      <c r="H528" s="34"/>
      <c r="I528" s="34"/>
      <c r="J528" s="34"/>
      <c r="K528" s="35"/>
      <c r="L528" s="34"/>
      <c r="M528" s="32"/>
      <c r="N528" s="34"/>
      <c r="O528" s="34"/>
      <c r="P528" s="34"/>
      <c r="Q528" s="34"/>
      <c r="R528" s="34"/>
      <c r="S528" s="34"/>
      <c r="T528" s="34"/>
      <c r="U528" s="34"/>
      <c r="V528" s="34"/>
    </row>
    <row r="529" spans="2:22" x14ac:dyDescent="0.3">
      <c r="B529" s="33"/>
      <c r="C529" s="34"/>
      <c r="D529" s="34"/>
      <c r="E529" s="34"/>
      <c r="F529" s="34"/>
      <c r="G529" s="34"/>
      <c r="H529" s="34"/>
      <c r="I529" s="34"/>
      <c r="J529" s="34"/>
      <c r="K529" s="35"/>
      <c r="L529" s="34"/>
      <c r="M529" s="32"/>
      <c r="N529" s="34"/>
      <c r="O529" s="34"/>
      <c r="P529" s="34"/>
      <c r="Q529" s="34"/>
      <c r="R529" s="34"/>
      <c r="S529" s="34"/>
      <c r="T529" s="34"/>
      <c r="U529" s="34"/>
      <c r="V529" s="34"/>
    </row>
    <row r="530" spans="2:22" x14ac:dyDescent="0.3">
      <c r="B530" s="33"/>
      <c r="C530" s="34"/>
      <c r="D530" s="34"/>
      <c r="E530" s="34"/>
      <c r="F530" s="34"/>
      <c r="G530" s="34"/>
      <c r="H530" s="34"/>
      <c r="I530" s="34"/>
      <c r="J530" s="34"/>
      <c r="K530" s="35"/>
      <c r="L530" s="34"/>
      <c r="M530" s="32"/>
      <c r="N530" s="34"/>
      <c r="O530" s="34"/>
      <c r="P530" s="34"/>
      <c r="Q530" s="34"/>
      <c r="R530" s="34"/>
      <c r="S530" s="34"/>
      <c r="T530" s="34"/>
      <c r="U530" s="34"/>
      <c r="V530" s="34"/>
    </row>
    <row r="531" spans="2:22" x14ac:dyDescent="0.3">
      <c r="B531" s="33"/>
      <c r="C531" s="34"/>
      <c r="D531" s="34"/>
      <c r="E531" s="34"/>
      <c r="F531" s="34"/>
      <c r="G531" s="34"/>
      <c r="H531" s="34"/>
      <c r="I531" s="34"/>
      <c r="J531" s="34"/>
      <c r="K531" s="35"/>
      <c r="L531" s="34"/>
      <c r="M531" s="32"/>
      <c r="N531" s="34"/>
      <c r="O531" s="34"/>
      <c r="P531" s="34"/>
      <c r="Q531" s="34"/>
      <c r="R531" s="34"/>
      <c r="S531" s="34"/>
      <c r="T531" s="34"/>
      <c r="U531" s="34"/>
      <c r="V531" s="34"/>
    </row>
    <row r="532" spans="2:22" x14ac:dyDescent="0.3">
      <c r="B532" s="33"/>
      <c r="C532" s="34"/>
      <c r="D532" s="34"/>
      <c r="E532" s="34"/>
      <c r="F532" s="34"/>
      <c r="G532" s="34"/>
      <c r="H532" s="34"/>
      <c r="I532" s="34"/>
      <c r="J532" s="34"/>
      <c r="K532" s="35"/>
      <c r="L532" s="34"/>
      <c r="M532" s="32"/>
      <c r="N532" s="34"/>
      <c r="O532" s="34"/>
      <c r="P532" s="34"/>
      <c r="Q532" s="34"/>
      <c r="R532" s="34"/>
      <c r="S532" s="34"/>
      <c r="T532" s="34"/>
      <c r="U532" s="34"/>
      <c r="V532" s="34"/>
    </row>
    <row r="533" spans="2:22" x14ac:dyDescent="0.3">
      <c r="B533" s="33"/>
      <c r="C533" s="34"/>
      <c r="D533" s="34"/>
      <c r="E533" s="34"/>
      <c r="F533" s="34"/>
      <c r="G533" s="34"/>
      <c r="H533" s="34"/>
      <c r="I533" s="34"/>
      <c r="J533" s="34"/>
      <c r="K533" s="35"/>
      <c r="L533" s="34"/>
      <c r="M533" s="32"/>
      <c r="N533" s="34"/>
      <c r="O533" s="34"/>
      <c r="P533" s="34"/>
      <c r="Q533" s="34"/>
      <c r="R533" s="34"/>
      <c r="S533" s="34"/>
      <c r="T533" s="34"/>
      <c r="U533" s="34"/>
      <c r="V533" s="34"/>
    </row>
    <row r="534" spans="2:22" x14ac:dyDescent="0.3">
      <c r="B534" s="33"/>
      <c r="C534" s="34"/>
      <c r="D534" s="34"/>
      <c r="E534" s="34"/>
      <c r="F534" s="34"/>
      <c r="G534" s="34"/>
      <c r="H534" s="34"/>
      <c r="I534" s="34"/>
      <c r="J534" s="34"/>
      <c r="K534" s="35"/>
      <c r="L534" s="34"/>
      <c r="M534" s="32"/>
      <c r="N534" s="34"/>
      <c r="O534" s="34"/>
      <c r="P534" s="34"/>
      <c r="Q534" s="34"/>
      <c r="R534" s="34"/>
      <c r="S534" s="34"/>
      <c r="T534" s="34"/>
      <c r="U534" s="34"/>
      <c r="V534" s="34"/>
    </row>
    <row r="535" spans="2:22" x14ac:dyDescent="0.3">
      <c r="B535" s="33"/>
      <c r="C535" s="34"/>
      <c r="D535" s="34"/>
      <c r="E535" s="34"/>
      <c r="F535" s="34"/>
      <c r="G535" s="34"/>
      <c r="H535" s="34"/>
      <c r="I535" s="34"/>
      <c r="J535" s="34"/>
      <c r="K535" s="35"/>
      <c r="L535" s="34"/>
      <c r="M535" s="32"/>
      <c r="N535" s="34"/>
      <c r="O535" s="34"/>
      <c r="P535" s="34"/>
      <c r="Q535" s="34"/>
      <c r="R535" s="34"/>
      <c r="S535" s="34"/>
      <c r="T535" s="34"/>
      <c r="U535" s="34"/>
      <c r="V535" s="34"/>
    </row>
    <row r="536" spans="2:22" x14ac:dyDescent="0.3">
      <c r="B536" s="33"/>
      <c r="C536" s="34"/>
      <c r="D536" s="34"/>
      <c r="E536" s="34"/>
      <c r="F536" s="34"/>
      <c r="G536" s="34"/>
      <c r="H536" s="34"/>
      <c r="I536" s="34"/>
      <c r="J536" s="34"/>
      <c r="K536" s="35"/>
      <c r="L536" s="34"/>
      <c r="M536" s="32"/>
      <c r="N536" s="34"/>
      <c r="O536" s="34"/>
      <c r="P536" s="34"/>
      <c r="Q536" s="34"/>
      <c r="R536" s="34"/>
      <c r="S536" s="34"/>
      <c r="T536" s="34"/>
      <c r="U536" s="34"/>
      <c r="V536" s="34"/>
    </row>
    <row r="537" spans="2:22" x14ac:dyDescent="0.3">
      <c r="B537" s="33"/>
      <c r="C537" s="34"/>
      <c r="D537" s="34"/>
      <c r="E537" s="34"/>
      <c r="F537" s="34"/>
      <c r="G537" s="34"/>
      <c r="H537" s="34"/>
      <c r="I537" s="34"/>
      <c r="J537" s="34"/>
      <c r="K537" s="35"/>
      <c r="L537" s="34"/>
      <c r="M537" s="32"/>
      <c r="N537" s="34"/>
      <c r="O537" s="34"/>
      <c r="P537" s="34"/>
      <c r="Q537" s="34"/>
      <c r="R537" s="34"/>
      <c r="S537" s="34"/>
      <c r="T537" s="34"/>
      <c r="U537" s="34"/>
      <c r="V537" s="34"/>
    </row>
    <row r="538" spans="2:22" x14ac:dyDescent="0.3">
      <c r="B538" s="33"/>
      <c r="C538" s="34"/>
      <c r="D538" s="34"/>
      <c r="E538" s="34"/>
      <c r="F538" s="34"/>
      <c r="G538" s="34"/>
      <c r="H538" s="34"/>
      <c r="I538" s="34"/>
      <c r="J538" s="34"/>
      <c r="K538" s="35"/>
      <c r="L538" s="34"/>
      <c r="M538" s="32"/>
      <c r="N538" s="34"/>
      <c r="O538" s="34"/>
      <c r="P538" s="34"/>
      <c r="Q538" s="34"/>
      <c r="R538" s="34"/>
      <c r="S538" s="34"/>
      <c r="T538" s="34"/>
      <c r="U538" s="34"/>
      <c r="V538" s="34"/>
    </row>
    <row r="539" spans="2:22" x14ac:dyDescent="0.3">
      <c r="B539" s="33"/>
      <c r="C539" s="34"/>
      <c r="D539" s="34"/>
      <c r="E539" s="34"/>
      <c r="F539" s="34"/>
      <c r="G539" s="34"/>
      <c r="H539" s="34"/>
      <c r="I539" s="34"/>
      <c r="J539" s="34"/>
      <c r="K539" s="35"/>
      <c r="L539" s="34"/>
      <c r="M539" s="32"/>
      <c r="N539" s="34"/>
      <c r="O539" s="34"/>
      <c r="P539" s="34"/>
      <c r="Q539" s="34"/>
      <c r="R539" s="34"/>
      <c r="S539" s="34"/>
      <c r="T539" s="34"/>
      <c r="U539" s="34"/>
      <c r="V539" s="34"/>
    </row>
    <row r="540" spans="2:22" x14ac:dyDescent="0.3">
      <c r="B540" s="33"/>
      <c r="C540" s="34"/>
      <c r="D540" s="34"/>
      <c r="E540" s="34"/>
      <c r="F540" s="34"/>
      <c r="G540" s="34"/>
      <c r="H540" s="34"/>
      <c r="I540" s="34"/>
      <c r="J540" s="34"/>
      <c r="K540" s="35"/>
      <c r="L540" s="34"/>
      <c r="M540" s="32"/>
      <c r="N540" s="34"/>
      <c r="O540" s="34"/>
      <c r="P540" s="34"/>
      <c r="Q540" s="34"/>
      <c r="R540" s="34"/>
      <c r="S540" s="34"/>
      <c r="T540" s="34"/>
      <c r="U540" s="34"/>
      <c r="V540" s="34"/>
    </row>
    <row r="541" spans="2:22" x14ac:dyDescent="0.3">
      <c r="B541" s="33"/>
      <c r="C541" s="34"/>
      <c r="D541" s="34"/>
      <c r="E541" s="34"/>
      <c r="F541" s="34"/>
      <c r="G541" s="34"/>
      <c r="H541" s="34"/>
      <c r="I541" s="34"/>
      <c r="J541" s="34"/>
      <c r="K541" s="35"/>
      <c r="L541" s="34"/>
      <c r="M541" s="32"/>
      <c r="N541" s="34"/>
      <c r="O541" s="34"/>
      <c r="P541" s="34"/>
      <c r="Q541" s="34"/>
      <c r="R541" s="34"/>
      <c r="S541" s="34"/>
      <c r="T541" s="34"/>
      <c r="U541" s="34"/>
      <c r="V541" s="34"/>
    </row>
    <row r="542" spans="2:22" x14ac:dyDescent="0.3">
      <c r="B542" s="33"/>
      <c r="C542" s="34"/>
      <c r="D542" s="34"/>
      <c r="E542" s="34"/>
      <c r="F542" s="34"/>
      <c r="G542" s="34"/>
      <c r="H542" s="34"/>
      <c r="I542" s="34"/>
      <c r="J542" s="34"/>
      <c r="K542" s="35"/>
      <c r="L542" s="34"/>
      <c r="M542" s="32"/>
      <c r="N542" s="34"/>
      <c r="O542" s="34"/>
      <c r="P542" s="34"/>
      <c r="Q542" s="34"/>
      <c r="R542" s="34"/>
      <c r="S542" s="34"/>
      <c r="T542" s="34"/>
      <c r="U542" s="34"/>
      <c r="V542" s="34"/>
    </row>
    <row r="543" spans="2:22" x14ac:dyDescent="0.3">
      <c r="B543" s="33"/>
      <c r="C543" s="34"/>
      <c r="D543" s="34"/>
      <c r="E543" s="34"/>
      <c r="F543" s="34"/>
      <c r="G543" s="34"/>
      <c r="H543" s="34"/>
      <c r="I543" s="34"/>
      <c r="J543" s="34"/>
      <c r="K543" s="35"/>
      <c r="L543" s="34"/>
      <c r="M543" s="32"/>
      <c r="N543" s="34"/>
      <c r="O543" s="34"/>
      <c r="P543" s="34"/>
      <c r="Q543" s="34"/>
      <c r="R543" s="34"/>
      <c r="S543" s="34"/>
      <c r="T543" s="34"/>
      <c r="U543" s="34"/>
      <c r="V543" s="34"/>
    </row>
    <row r="544" spans="2:22" x14ac:dyDescent="0.3">
      <c r="B544" s="33"/>
      <c r="C544" s="34"/>
      <c r="D544" s="34"/>
      <c r="E544" s="34"/>
      <c r="F544" s="34"/>
      <c r="G544" s="34"/>
      <c r="H544" s="34"/>
      <c r="I544" s="34"/>
      <c r="J544" s="34"/>
      <c r="K544" s="35"/>
      <c r="L544" s="34"/>
      <c r="M544" s="32"/>
      <c r="N544" s="34"/>
      <c r="O544" s="34"/>
      <c r="P544" s="34"/>
      <c r="Q544" s="34"/>
      <c r="R544" s="34"/>
      <c r="S544" s="34"/>
      <c r="T544" s="34"/>
      <c r="U544" s="34"/>
      <c r="V544" s="34"/>
    </row>
    <row r="545" spans="2:22" x14ac:dyDescent="0.3">
      <c r="B545" s="33"/>
      <c r="C545" s="34"/>
      <c r="D545" s="34"/>
      <c r="E545" s="34"/>
      <c r="F545" s="34"/>
      <c r="G545" s="34"/>
      <c r="H545" s="34"/>
      <c r="I545" s="34"/>
      <c r="J545" s="34"/>
      <c r="K545" s="35"/>
      <c r="L545" s="34"/>
      <c r="M545" s="32"/>
      <c r="N545" s="34"/>
      <c r="O545" s="34"/>
      <c r="P545" s="34"/>
      <c r="Q545" s="34"/>
      <c r="R545" s="34"/>
      <c r="S545" s="34"/>
      <c r="T545" s="34"/>
      <c r="U545" s="34"/>
      <c r="V545" s="34"/>
    </row>
    <row r="546" spans="2:22" x14ac:dyDescent="0.3">
      <c r="B546" s="33"/>
      <c r="C546" s="34"/>
      <c r="D546" s="34"/>
      <c r="E546" s="34"/>
      <c r="F546" s="34"/>
      <c r="G546" s="34"/>
      <c r="H546" s="34"/>
      <c r="I546" s="34"/>
      <c r="J546" s="34"/>
      <c r="K546" s="35"/>
      <c r="L546" s="34"/>
      <c r="M546" s="32"/>
      <c r="N546" s="34"/>
      <c r="O546" s="34"/>
      <c r="P546" s="34"/>
      <c r="Q546" s="34"/>
      <c r="R546" s="34"/>
      <c r="S546" s="34"/>
      <c r="T546" s="34"/>
      <c r="U546" s="34"/>
      <c r="V546" s="34"/>
    </row>
    <row r="547" spans="2:22" x14ac:dyDescent="0.3">
      <c r="B547" s="33"/>
      <c r="C547" s="34"/>
      <c r="D547" s="34"/>
      <c r="E547" s="34"/>
      <c r="F547" s="34"/>
      <c r="G547" s="34"/>
      <c r="H547" s="34"/>
      <c r="I547" s="34"/>
      <c r="J547" s="34"/>
      <c r="K547" s="35"/>
      <c r="L547" s="34"/>
      <c r="M547" s="32"/>
      <c r="N547" s="34"/>
      <c r="O547" s="34"/>
      <c r="P547" s="34"/>
      <c r="Q547" s="34"/>
      <c r="R547" s="34"/>
      <c r="S547" s="34"/>
      <c r="T547" s="34"/>
      <c r="U547" s="34"/>
      <c r="V547" s="34"/>
    </row>
    <row r="548" spans="2:22" x14ac:dyDescent="0.3">
      <c r="B548" s="33"/>
      <c r="C548" s="34"/>
      <c r="D548" s="34"/>
      <c r="E548" s="34"/>
      <c r="F548" s="34"/>
      <c r="G548" s="34"/>
      <c r="H548" s="34"/>
      <c r="I548" s="34"/>
      <c r="J548" s="34"/>
      <c r="K548" s="35"/>
      <c r="L548" s="34"/>
      <c r="M548" s="32"/>
      <c r="N548" s="34"/>
      <c r="O548" s="34"/>
      <c r="P548" s="34"/>
      <c r="Q548" s="34"/>
      <c r="R548" s="34"/>
      <c r="S548" s="34"/>
      <c r="T548" s="34"/>
      <c r="U548" s="34"/>
      <c r="V548" s="34"/>
    </row>
    <row r="549" spans="2:22" x14ac:dyDescent="0.3">
      <c r="B549" s="33"/>
      <c r="C549" s="34"/>
      <c r="D549" s="34"/>
      <c r="E549" s="34"/>
      <c r="F549" s="34"/>
      <c r="G549" s="34"/>
      <c r="H549" s="34"/>
      <c r="I549" s="34"/>
      <c r="J549" s="34"/>
      <c r="K549" s="35"/>
      <c r="L549" s="34"/>
      <c r="M549" s="32"/>
      <c r="N549" s="34"/>
      <c r="O549" s="34"/>
      <c r="P549" s="34"/>
      <c r="Q549" s="34"/>
      <c r="R549" s="34"/>
      <c r="S549" s="34"/>
      <c r="T549" s="34"/>
      <c r="U549" s="34"/>
      <c r="V549" s="34"/>
    </row>
    <row r="550" spans="2:22" x14ac:dyDescent="0.3">
      <c r="B550" s="33"/>
      <c r="C550" s="34"/>
      <c r="D550" s="34"/>
      <c r="E550" s="34"/>
      <c r="F550" s="34"/>
      <c r="G550" s="34"/>
      <c r="H550" s="34"/>
      <c r="I550" s="34"/>
      <c r="J550" s="34"/>
      <c r="K550" s="35"/>
      <c r="L550" s="34"/>
      <c r="M550" s="32"/>
      <c r="N550" s="34"/>
      <c r="O550" s="34"/>
      <c r="P550" s="34"/>
      <c r="Q550" s="34"/>
      <c r="R550" s="34"/>
      <c r="S550" s="34"/>
      <c r="T550" s="34"/>
      <c r="U550" s="34"/>
      <c r="V550" s="34"/>
    </row>
    <row r="551" spans="2:22" x14ac:dyDescent="0.3">
      <c r="B551" s="33"/>
      <c r="C551" s="34"/>
      <c r="D551" s="34"/>
      <c r="E551" s="34"/>
      <c r="F551" s="34"/>
      <c r="G551" s="34"/>
      <c r="H551" s="34"/>
      <c r="I551" s="34"/>
      <c r="J551" s="34"/>
      <c r="K551" s="35"/>
      <c r="L551" s="34"/>
      <c r="M551" s="32"/>
      <c r="N551" s="34"/>
      <c r="O551" s="34"/>
      <c r="P551" s="34"/>
      <c r="Q551" s="34"/>
      <c r="R551" s="34"/>
      <c r="S551" s="34"/>
      <c r="T551" s="34"/>
      <c r="U551" s="34"/>
      <c r="V551" s="34"/>
    </row>
    <row r="552" spans="2:22" x14ac:dyDescent="0.3">
      <c r="B552" s="33"/>
      <c r="C552" s="34"/>
      <c r="D552" s="34"/>
      <c r="E552" s="34"/>
      <c r="F552" s="34"/>
      <c r="G552" s="34"/>
      <c r="H552" s="34"/>
      <c r="I552" s="34"/>
      <c r="J552" s="34"/>
      <c r="K552" s="35"/>
      <c r="L552" s="34"/>
      <c r="M552" s="32"/>
      <c r="N552" s="34"/>
      <c r="O552" s="34"/>
      <c r="P552" s="34"/>
      <c r="Q552" s="34"/>
      <c r="R552" s="34"/>
      <c r="S552" s="34"/>
      <c r="T552" s="34"/>
      <c r="U552" s="34"/>
      <c r="V552" s="34"/>
    </row>
    <row r="553" spans="2:22" x14ac:dyDescent="0.3">
      <c r="B553" s="33"/>
      <c r="C553" s="34"/>
      <c r="D553" s="34"/>
      <c r="E553" s="34"/>
      <c r="F553" s="34"/>
      <c r="G553" s="34"/>
      <c r="H553" s="34"/>
      <c r="I553" s="34"/>
      <c r="J553" s="34"/>
      <c r="K553" s="35"/>
      <c r="L553" s="34"/>
      <c r="M553" s="32"/>
      <c r="N553" s="34"/>
      <c r="O553" s="34"/>
      <c r="P553" s="34"/>
      <c r="Q553" s="34"/>
      <c r="R553" s="34"/>
      <c r="S553" s="34"/>
      <c r="T553" s="34"/>
      <c r="U553" s="34"/>
      <c r="V553" s="34"/>
    </row>
    <row r="554" spans="2:22" x14ac:dyDescent="0.3">
      <c r="B554" s="33"/>
      <c r="C554" s="34"/>
      <c r="D554" s="34"/>
      <c r="E554" s="34"/>
      <c r="F554" s="34"/>
      <c r="G554" s="34"/>
      <c r="H554" s="34"/>
      <c r="I554" s="34"/>
      <c r="J554" s="34"/>
      <c r="K554" s="35"/>
      <c r="L554" s="34"/>
      <c r="M554" s="32"/>
      <c r="N554" s="34"/>
      <c r="O554" s="34"/>
      <c r="P554" s="34"/>
      <c r="Q554" s="34"/>
      <c r="R554" s="34"/>
      <c r="S554" s="34"/>
      <c r="T554" s="34"/>
      <c r="U554" s="34"/>
      <c r="V554" s="34"/>
    </row>
    <row r="555" spans="2:22" x14ac:dyDescent="0.3">
      <c r="B555" s="33"/>
      <c r="C555" s="34"/>
      <c r="D555" s="34"/>
      <c r="E555" s="34"/>
      <c r="F555" s="34"/>
      <c r="G555" s="34"/>
      <c r="H555" s="34"/>
      <c r="I555" s="34"/>
      <c r="J555" s="34"/>
      <c r="K555" s="35"/>
      <c r="L555" s="34"/>
      <c r="M555" s="32"/>
      <c r="N555" s="34"/>
      <c r="O555" s="34"/>
      <c r="P555" s="34"/>
      <c r="Q555" s="34"/>
      <c r="R555" s="34"/>
      <c r="S555" s="34"/>
      <c r="T555" s="34"/>
      <c r="U555" s="34"/>
      <c r="V555" s="34"/>
    </row>
    <row r="556" spans="2:22" x14ac:dyDescent="0.3">
      <c r="B556" s="33"/>
      <c r="C556" s="34"/>
      <c r="D556" s="34"/>
      <c r="E556" s="34"/>
      <c r="F556" s="34"/>
      <c r="G556" s="34"/>
      <c r="H556" s="34"/>
      <c r="I556" s="34"/>
      <c r="J556" s="34"/>
      <c r="K556" s="35"/>
      <c r="L556" s="34"/>
      <c r="M556" s="32"/>
      <c r="N556" s="34"/>
      <c r="O556" s="34"/>
      <c r="P556" s="34"/>
      <c r="Q556" s="34"/>
      <c r="R556" s="34"/>
      <c r="S556" s="34"/>
      <c r="T556" s="34"/>
      <c r="U556" s="34"/>
      <c r="V556" s="34"/>
    </row>
    <row r="557" spans="2:22" x14ac:dyDescent="0.3">
      <c r="B557" s="33"/>
      <c r="C557" s="34"/>
      <c r="D557" s="34"/>
      <c r="E557" s="34"/>
      <c r="F557" s="34"/>
      <c r="G557" s="34"/>
      <c r="H557" s="34"/>
      <c r="I557" s="34"/>
      <c r="J557" s="34"/>
      <c r="K557" s="35"/>
      <c r="L557" s="34"/>
      <c r="M557" s="32"/>
      <c r="N557" s="34"/>
      <c r="O557" s="34"/>
      <c r="P557" s="34"/>
      <c r="Q557" s="34"/>
      <c r="R557" s="34"/>
      <c r="S557" s="34"/>
      <c r="T557" s="34"/>
      <c r="U557" s="34"/>
      <c r="V557" s="34"/>
    </row>
    <row r="558" spans="2:22" x14ac:dyDescent="0.3">
      <c r="B558" s="33"/>
      <c r="C558" s="34"/>
      <c r="D558" s="34"/>
      <c r="E558" s="34"/>
      <c r="F558" s="34"/>
      <c r="G558" s="34"/>
      <c r="H558" s="34"/>
      <c r="I558" s="34"/>
      <c r="J558" s="34"/>
      <c r="K558" s="35"/>
      <c r="L558" s="34"/>
      <c r="M558" s="32"/>
      <c r="N558" s="34"/>
      <c r="O558" s="34"/>
      <c r="P558" s="34"/>
      <c r="Q558" s="34"/>
      <c r="R558" s="34"/>
      <c r="S558" s="34"/>
      <c r="T558" s="34"/>
      <c r="U558" s="34"/>
      <c r="V558" s="34"/>
    </row>
    <row r="559" spans="2:22" x14ac:dyDescent="0.3">
      <c r="B559" s="33"/>
      <c r="C559" s="34"/>
      <c r="D559" s="34"/>
      <c r="E559" s="34"/>
      <c r="F559" s="34"/>
      <c r="G559" s="34"/>
      <c r="H559" s="34"/>
      <c r="I559" s="34"/>
      <c r="J559" s="34"/>
      <c r="K559" s="35"/>
      <c r="L559" s="34"/>
      <c r="M559" s="32"/>
      <c r="N559" s="34"/>
      <c r="O559" s="34"/>
      <c r="P559" s="34"/>
      <c r="Q559" s="34"/>
      <c r="R559" s="34"/>
      <c r="S559" s="34"/>
      <c r="T559" s="34"/>
      <c r="U559" s="34"/>
      <c r="V559" s="34"/>
    </row>
    <row r="560" spans="2:22" x14ac:dyDescent="0.3">
      <c r="B560" s="33"/>
      <c r="C560" s="34"/>
      <c r="D560" s="34"/>
      <c r="E560" s="34"/>
      <c r="F560" s="34"/>
      <c r="G560" s="34"/>
      <c r="H560" s="34"/>
      <c r="I560" s="34"/>
      <c r="J560" s="34"/>
      <c r="K560" s="35"/>
      <c r="L560" s="34"/>
      <c r="M560" s="32"/>
      <c r="N560" s="34"/>
      <c r="O560" s="34"/>
      <c r="P560" s="34"/>
      <c r="Q560" s="34"/>
      <c r="R560" s="34"/>
      <c r="S560" s="34"/>
      <c r="T560" s="34"/>
      <c r="U560" s="34"/>
      <c r="V560" s="34"/>
    </row>
    <row r="561" spans="2:22" x14ac:dyDescent="0.3">
      <c r="B561" s="33"/>
      <c r="C561" s="34"/>
      <c r="D561" s="34"/>
      <c r="E561" s="34"/>
      <c r="F561" s="34"/>
      <c r="G561" s="34"/>
      <c r="H561" s="34"/>
      <c r="I561" s="34"/>
      <c r="J561" s="34"/>
      <c r="K561" s="35"/>
      <c r="L561" s="34"/>
      <c r="M561" s="32"/>
      <c r="N561" s="34"/>
      <c r="O561" s="34"/>
      <c r="P561" s="34"/>
      <c r="Q561" s="34"/>
      <c r="R561" s="34"/>
      <c r="S561" s="34"/>
      <c r="T561" s="34"/>
      <c r="U561" s="34"/>
      <c r="V561" s="34"/>
    </row>
    <row r="562" spans="2:22" x14ac:dyDescent="0.3">
      <c r="B562" s="33"/>
      <c r="C562" s="34"/>
      <c r="D562" s="34"/>
      <c r="E562" s="34"/>
      <c r="F562" s="34"/>
      <c r="G562" s="34"/>
      <c r="H562" s="34"/>
      <c r="I562" s="34"/>
      <c r="J562" s="34"/>
      <c r="K562" s="35"/>
      <c r="L562" s="34"/>
      <c r="M562" s="32"/>
      <c r="N562" s="34"/>
      <c r="O562" s="34"/>
      <c r="P562" s="34"/>
      <c r="Q562" s="34"/>
      <c r="R562" s="34"/>
      <c r="S562" s="34"/>
      <c r="T562" s="34"/>
      <c r="U562" s="34"/>
      <c r="V562" s="34"/>
    </row>
    <row r="563" spans="2:22" x14ac:dyDescent="0.3">
      <c r="B563" s="33"/>
      <c r="C563" s="34"/>
      <c r="D563" s="34"/>
      <c r="E563" s="34"/>
      <c r="F563" s="34"/>
      <c r="G563" s="34"/>
      <c r="H563" s="34"/>
      <c r="I563" s="34"/>
      <c r="J563" s="34"/>
      <c r="K563" s="35"/>
      <c r="L563" s="34"/>
      <c r="M563" s="32"/>
      <c r="N563" s="34"/>
      <c r="O563" s="34"/>
      <c r="P563" s="34"/>
      <c r="Q563" s="34"/>
      <c r="R563" s="34"/>
      <c r="S563" s="34"/>
      <c r="T563" s="34"/>
      <c r="U563" s="34"/>
      <c r="V563" s="34"/>
    </row>
    <row r="564" spans="2:22" x14ac:dyDescent="0.3">
      <c r="B564" s="33"/>
      <c r="C564" s="34"/>
      <c r="D564" s="34"/>
      <c r="E564" s="34"/>
      <c r="F564" s="34"/>
      <c r="G564" s="34"/>
      <c r="H564" s="34"/>
      <c r="I564" s="34"/>
      <c r="J564" s="34"/>
      <c r="K564" s="35"/>
      <c r="L564" s="34"/>
      <c r="M564" s="32"/>
      <c r="N564" s="34"/>
      <c r="O564" s="34"/>
      <c r="P564" s="34"/>
      <c r="Q564" s="34"/>
      <c r="R564" s="34"/>
      <c r="S564" s="34"/>
      <c r="T564" s="34"/>
      <c r="U564" s="34"/>
      <c r="V564" s="34"/>
    </row>
    <row r="565" spans="2:22" x14ac:dyDescent="0.3">
      <c r="B565" s="33"/>
      <c r="C565" s="34"/>
      <c r="D565" s="34"/>
      <c r="E565" s="34"/>
      <c r="F565" s="34"/>
      <c r="G565" s="34"/>
      <c r="H565" s="34"/>
      <c r="I565" s="34"/>
      <c r="J565" s="34"/>
      <c r="K565" s="35"/>
      <c r="L565" s="34"/>
      <c r="M565" s="32"/>
      <c r="N565" s="34"/>
      <c r="O565" s="34"/>
      <c r="P565" s="34"/>
      <c r="Q565" s="34"/>
      <c r="R565" s="34"/>
      <c r="S565" s="34"/>
      <c r="T565" s="34"/>
      <c r="U565" s="34"/>
      <c r="V565" s="34"/>
    </row>
    <row r="566" spans="2:22" x14ac:dyDescent="0.3">
      <c r="B566" s="33"/>
      <c r="C566" s="34"/>
      <c r="D566" s="34"/>
      <c r="E566" s="34"/>
      <c r="F566" s="34"/>
      <c r="G566" s="34"/>
      <c r="H566" s="34"/>
      <c r="I566" s="34"/>
      <c r="J566" s="34"/>
      <c r="K566" s="35"/>
      <c r="L566" s="34"/>
      <c r="M566" s="32"/>
      <c r="N566" s="34"/>
      <c r="O566" s="34"/>
      <c r="P566" s="34"/>
      <c r="Q566" s="34"/>
      <c r="R566" s="34"/>
      <c r="S566" s="34"/>
      <c r="T566" s="34"/>
      <c r="U566" s="34"/>
      <c r="V566" s="34"/>
    </row>
    <row r="567" spans="2:22" x14ac:dyDescent="0.3">
      <c r="B567" s="33"/>
      <c r="C567" s="34"/>
      <c r="D567" s="34"/>
      <c r="E567" s="34"/>
      <c r="F567" s="34"/>
      <c r="G567" s="34"/>
      <c r="H567" s="34"/>
      <c r="I567" s="34"/>
      <c r="J567" s="34"/>
      <c r="K567" s="35"/>
      <c r="L567" s="34"/>
      <c r="M567" s="32"/>
      <c r="N567" s="34"/>
      <c r="O567" s="34"/>
      <c r="P567" s="34"/>
      <c r="Q567" s="34"/>
      <c r="R567" s="34"/>
      <c r="S567" s="34"/>
      <c r="T567" s="34"/>
      <c r="U567" s="34"/>
      <c r="V567" s="34"/>
    </row>
    <row r="568" spans="2:22" x14ac:dyDescent="0.3">
      <c r="B568" s="33"/>
      <c r="C568" s="34"/>
      <c r="D568" s="34"/>
      <c r="E568" s="34"/>
      <c r="F568" s="34"/>
      <c r="G568" s="34"/>
      <c r="H568" s="34"/>
      <c r="I568" s="34"/>
      <c r="J568" s="34"/>
      <c r="K568" s="35"/>
      <c r="L568" s="34"/>
      <c r="M568" s="32"/>
      <c r="N568" s="34"/>
      <c r="O568" s="34"/>
      <c r="P568" s="34"/>
      <c r="Q568" s="34"/>
      <c r="R568" s="34"/>
      <c r="S568" s="34"/>
      <c r="T568" s="34"/>
      <c r="U568" s="34"/>
      <c r="V568" s="34"/>
    </row>
    <row r="569" spans="2:22" x14ac:dyDescent="0.3">
      <c r="B569" s="33"/>
      <c r="C569" s="34"/>
      <c r="D569" s="34"/>
      <c r="E569" s="34"/>
      <c r="F569" s="34"/>
      <c r="G569" s="34"/>
      <c r="H569" s="34"/>
      <c r="I569" s="34"/>
      <c r="J569" s="34"/>
      <c r="K569" s="35"/>
      <c r="L569" s="34"/>
      <c r="M569" s="32"/>
      <c r="N569" s="34"/>
      <c r="O569" s="34"/>
      <c r="P569" s="34"/>
      <c r="Q569" s="34"/>
      <c r="R569" s="34"/>
      <c r="S569" s="34"/>
      <c r="T569" s="34"/>
      <c r="U569" s="34"/>
      <c r="V569" s="34"/>
    </row>
    <row r="570" spans="2:22" x14ac:dyDescent="0.3">
      <c r="B570" s="33"/>
      <c r="C570" s="34"/>
      <c r="D570" s="34"/>
      <c r="E570" s="34"/>
      <c r="F570" s="34"/>
      <c r="G570" s="34"/>
      <c r="H570" s="34"/>
      <c r="I570" s="34"/>
      <c r="J570" s="34"/>
      <c r="K570" s="35"/>
      <c r="L570" s="34"/>
      <c r="M570" s="32"/>
      <c r="N570" s="34"/>
      <c r="O570" s="34"/>
      <c r="P570" s="34"/>
      <c r="Q570" s="34"/>
      <c r="R570" s="34"/>
      <c r="S570" s="34"/>
      <c r="T570" s="34"/>
      <c r="U570" s="34"/>
      <c r="V570" s="34"/>
    </row>
    <row r="571" spans="2:22" x14ac:dyDescent="0.3">
      <c r="B571" s="33"/>
      <c r="C571" s="34"/>
      <c r="D571" s="34"/>
      <c r="E571" s="34"/>
      <c r="F571" s="34"/>
      <c r="G571" s="34"/>
      <c r="H571" s="34"/>
      <c r="I571" s="34"/>
      <c r="J571" s="34"/>
      <c r="K571" s="35"/>
      <c r="L571" s="34"/>
      <c r="M571" s="32"/>
      <c r="N571" s="34"/>
      <c r="O571" s="34"/>
      <c r="P571" s="34"/>
      <c r="Q571" s="34"/>
      <c r="R571" s="34"/>
      <c r="S571" s="34"/>
      <c r="T571" s="34"/>
      <c r="U571" s="34"/>
      <c r="V571" s="34"/>
    </row>
    <row r="572" spans="2:22" x14ac:dyDescent="0.3">
      <c r="B572" s="33"/>
      <c r="C572" s="34"/>
      <c r="D572" s="34"/>
      <c r="E572" s="34"/>
      <c r="F572" s="34"/>
      <c r="G572" s="34"/>
      <c r="H572" s="34"/>
      <c r="I572" s="34"/>
      <c r="J572" s="34"/>
      <c r="K572" s="35"/>
      <c r="L572" s="34"/>
      <c r="M572" s="32"/>
      <c r="N572" s="34"/>
      <c r="O572" s="34"/>
      <c r="P572" s="34"/>
      <c r="Q572" s="34"/>
      <c r="R572" s="34"/>
      <c r="S572" s="34"/>
      <c r="T572" s="34"/>
      <c r="U572" s="34"/>
      <c r="V572" s="34"/>
    </row>
    <row r="573" spans="2:22" x14ac:dyDescent="0.3">
      <c r="B573" s="33"/>
      <c r="C573" s="34"/>
      <c r="D573" s="34"/>
      <c r="E573" s="34"/>
      <c r="F573" s="34"/>
      <c r="G573" s="34"/>
      <c r="H573" s="34"/>
      <c r="I573" s="34"/>
      <c r="J573" s="34"/>
      <c r="K573" s="35"/>
      <c r="L573" s="34"/>
      <c r="M573" s="32"/>
      <c r="N573" s="34"/>
      <c r="O573" s="34"/>
      <c r="P573" s="34"/>
      <c r="Q573" s="34"/>
      <c r="R573" s="34"/>
      <c r="S573" s="34"/>
      <c r="T573" s="34"/>
      <c r="U573" s="34"/>
      <c r="V573" s="34"/>
    </row>
    <row r="574" spans="2:22" x14ac:dyDescent="0.3">
      <c r="B574" s="33"/>
      <c r="C574" s="34"/>
      <c r="D574" s="34"/>
      <c r="E574" s="34"/>
      <c r="F574" s="34"/>
      <c r="G574" s="34"/>
      <c r="H574" s="34"/>
      <c r="I574" s="34"/>
      <c r="J574" s="34"/>
      <c r="K574" s="35"/>
      <c r="L574" s="34"/>
      <c r="M574" s="32"/>
      <c r="N574" s="34"/>
      <c r="O574" s="34"/>
      <c r="P574" s="34"/>
      <c r="Q574" s="34"/>
      <c r="R574" s="34"/>
      <c r="S574" s="34"/>
      <c r="T574" s="34"/>
      <c r="U574" s="34"/>
      <c r="V574" s="34"/>
    </row>
    <row r="575" spans="2:22" x14ac:dyDescent="0.3">
      <c r="B575" s="33"/>
      <c r="C575" s="34"/>
      <c r="D575" s="34"/>
      <c r="E575" s="34"/>
      <c r="F575" s="34"/>
      <c r="G575" s="34"/>
      <c r="H575" s="34"/>
      <c r="I575" s="34"/>
      <c r="J575" s="34"/>
      <c r="K575" s="35"/>
      <c r="L575" s="34"/>
      <c r="M575" s="32"/>
      <c r="N575" s="34"/>
      <c r="O575" s="34"/>
      <c r="P575" s="34"/>
      <c r="Q575" s="34"/>
      <c r="R575" s="34"/>
      <c r="S575" s="34"/>
      <c r="T575" s="34"/>
      <c r="U575" s="34"/>
      <c r="V575" s="34"/>
    </row>
    <row r="576" spans="2:22" x14ac:dyDescent="0.3">
      <c r="B576" s="33"/>
      <c r="C576" s="34"/>
      <c r="D576" s="34"/>
      <c r="E576" s="34"/>
      <c r="F576" s="34"/>
      <c r="G576" s="34"/>
      <c r="H576" s="34"/>
      <c r="I576" s="34"/>
      <c r="J576" s="34"/>
      <c r="K576" s="35"/>
      <c r="L576" s="34"/>
      <c r="M576" s="32"/>
      <c r="N576" s="34"/>
      <c r="O576" s="34"/>
      <c r="P576" s="34"/>
      <c r="Q576" s="34"/>
      <c r="R576" s="34"/>
      <c r="S576" s="34"/>
      <c r="T576" s="34"/>
      <c r="U576" s="34"/>
      <c r="V576" s="34"/>
    </row>
    <row r="577" spans="2:22" x14ac:dyDescent="0.3">
      <c r="B577" s="33"/>
      <c r="C577" s="34"/>
      <c r="D577" s="34"/>
      <c r="E577" s="34"/>
      <c r="F577" s="34"/>
      <c r="G577" s="34"/>
      <c r="H577" s="34"/>
      <c r="I577" s="34"/>
      <c r="J577" s="34"/>
      <c r="K577" s="35"/>
      <c r="L577" s="34"/>
      <c r="M577" s="32"/>
      <c r="N577" s="34"/>
      <c r="O577" s="34"/>
      <c r="P577" s="34"/>
      <c r="Q577" s="34"/>
      <c r="R577" s="34"/>
      <c r="S577" s="34"/>
      <c r="T577" s="34"/>
      <c r="U577" s="34"/>
      <c r="V577" s="34"/>
    </row>
    <row r="578" spans="2:22" x14ac:dyDescent="0.3">
      <c r="B578" s="33"/>
      <c r="C578" s="34"/>
      <c r="D578" s="34"/>
      <c r="E578" s="34"/>
      <c r="F578" s="34"/>
      <c r="G578" s="34"/>
      <c r="H578" s="34"/>
      <c r="I578" s="34"/>
      <c r="J578" s="34"/>
      <c r="K578" s="35"/>
      <c r="L578" s="34"/>
      <c r="M578" s="32"/>
      <c r="N578" s="34"/>
      <c r="O578" s="34"/>
      <c r="P578" s="34"/>
      <c r="Q578" s="34"/>
      <c r="R578" s="34"/>
      <c r="S578" s="34"/>
      <c r="T578" s="34"/>
      <c r="U578" s="34"/>
      <c r="V578" s="34"/>
    </row>
    <row r="579" spans="2:22" x14ac:dyDescent="0.3">
      <c r="B579" s="33"/>
      <c r="C579" s="34"/>
      <c r="D579" s="34"/>
      <c r="E579" s="34"/>
      <c r="F579" s="34"/>
      <c r="G579" s="34"/>
      <c r="H579" s="34"/>
      <c r="I579" s="34"/>
      <c r="J579" s="34"/>
      <c r="K579" s="35"/>
      <c r="L579" s="34"/>
      <c r="M579" s="32"/>
      <c r="N579" s="34"/>
      <c r="O579" s="34"/>
      <c r="P579" s="34"/>
      <c r="Q579" s="34"/>
      <c r="R579" s="34"/>
      <c r="S579" s="34"/>
      <c r="T579" s="34"/>
      <c r="U579" s="34"/>
      <c r="V579" s="34"/>
    </row>
    <row r="580" spans="2:22" x14ac:dyDescent="0.3">
      <c r="B580" s="33"/>
      <c r="C580" s="34"/>
      <c r="D580" s="34"/>
      <c r="E580" s="34"/>
      <c r="F580" s="34"/>
      <c r="G580" s="34"/>
      <c r="H580" s="34"/>
      <c r="I580" s="34"/>
      <c r="J580" s="34"/>
      <c r="K580" s="35"/>
      <c r="L580" s="34"/>
      <c r="M580" s="32"/>
      <c r="N580" s="34"/>
      <c r="O580" s="34"/>
      <c r="P580" s="34"/>
      <c r="Q580" s="34"/>
      <c r="R580" s="34"/>
      <c r="S580" s="34"/>
      <c r="T580" s="34"/>
      <c r="U580" s="34"/>
      <c r="V580" s="34"/>
    </row>
    <row r="581" spans="2:22" x14ac:dyDescent="0.3">
      <c r="B581" s="33"/>
      <c r="C581" s="34"/>
      <c r="D581" s="34"/>
      <c r="E581" s="34"/>
      <c r="F581" s="34"/>
      <c r="G581" s="34"/>
      <c r="H581" s="34"/>
      <c r="I581" s="34"/>
      <c r="J581" s="34"/>
      <c r="K581" s="35"/>
      <c r="L581" s="34"/>
      <c r="M581" s="34"/>
      <c r="N581" s="34"/>
      <c r="O581" s="34"/>
      <c r="P581" s="34"/>
      <c r="Q581" s="34"/>
      <c r="R581" s="34"/>
      <c r="S581" s="34"/>
      <c r="T581" s="34"/>
      <c r="U581" s="34"/>
      <c r="V581" s="34"/>
    </row>
    <row r="582" spans="2:22" x14ac:dyDescent="0.3">
      <c r="B582" s="33"/>
      <c r="C582" s="34"/>
      <c r="D582" s="34"/>
      <c r="E582" s="34"/>
      <c r="F582" s="34"/>
      <c r="G582" s="34"/>
      <c r="H582" s="34"/>
      <c r="I582" s="34"/>
      <c r="J582" s="34"/>
      <c r="K582" s="35"/>
      <c r="L582" s="34"/>
      <c r="M582" s="34"/>
      <c r="N582" s="34"/>
      <c r="O582" s="34"/>
      <c r="P582" s="34"/>
      <c r="Q582" s="34"/>
      <c r="R582" s="34"/>
      <c r="S582" s="34"/>
      <c r="T582" s="34"/>
      <c r="U582" s="34"/>
      <c r="V582" s="34"/>
    </row>
    <row r="583" spans="2:22" x14ac:dyDescent="0.3">
      <c r="B583" s="33"/>
      <c r="C583" s="34"/>
      <c r="D583" s="34"/>
      <c r="E583" s="34"/>
      <c r="F583" s="34"/>
      <c r="G583" s="34"/>
      <c r="H583" s="34"/>
      <c r="I583" s="34"/>
      <c r="J583" s="34"/>
      <c r="K583" s="35"/>
      <c r="L583" s="34"/>
      <c r="M583" s="34"/>
      <c r="N583" s="34"/>
      <c r="O583" s="34"/>
      <c r="P583" s="34"/>
      <c r="Q583" s="34"/>
      <c r="R583" s="34"/>
      <c r="S583" s="34"/>
      <c r="T583" s="34"/>
      <c r="U583" s="34"/>
      <c r="V583" s="34"/>
    </row>
    <row r="584" spans="2:22" x14ac:dyDescent="0.3">
      <c r="B584" s="33"/>
      <c r="C584" s="34"/>
      <c r="D584" s="34"/>
      <c r="E584" s="34"/>
      <c r="F584" s="34"/>
      <c r="G584" s="34"/>
      <c r="H584" s="34"/>
      <c r="I584" s="34"/>
      <c r="J584" s="34"/>
      <c r="K584" s="35"/>
      <c r="L584" s="34"/>
      <c r="M584" s="34"/>
      <c r="N584" s="34"/>
      <c r="O584" s="34"/>
      <c r="P584" s="34"/>
      <c r="Q584" s="34"/>
      <c r="R584" s="34"/>
      <c r="S584" s="34"/>
      <c r="T584" s="34"/>
      <c r="U584" s="34"/>
      <c r="V584" s="34"/>
    </row>
    <row r="585" spans="2:22" x14ac:dyDescent="0.3">
      <c r="B585" s="33"/>
      <c r="C585" s="34"/>
      <c r="D585" s="34"/>
      <c r="E585" s="34"/>
      <c r="F585" s="34"/>
      <c r="G585" s="34"/>
      <c r="H585" s="34"/>
      <c r="I585" s="34"/>
      <c r="J585" s="34"/>
      <c r="K585" s="35"/>
      <c r="L585" s="34"/>
      <c r="M585" s="34"/>
      <c r="N585" s="34"/>
      <c r="O585" s="34"/>
      <c r="P585" s="34"/>
      <c r="Q585" s="34"/>
      <c r="R585" s="34"/>
      <c r="S585" s="34"/>
      <c r="T585" s="34"/>
      <c r="U585" s="34"/>
      <c r="V585" s="34"/>
    </row>
    <row r="586" spans="2:22" x14ac:dyDescent="0.3">
      <c r="B586" s="33"/>
      <c r="C586" s="34"/>
      <c r="D586" s="34"/>
      <c r="E586" s="34"/>
      <c r="F586" s="34"/>
      <c r="G586" s="34"/>
      <c r="H586" s="34"/>
      <c r="I586" s="34"/>
      <c r="J586" s="34"/>
      <c r="K586" s="35"/>
      <c r="L586" s="34"/>
      <c r="M586" s="34"/>
      <c r="N586" s="34"/>
      <c r="O586" s="34"/>
      <c r="P586" s="34"/>
      <c r="Q586" s="34"/>
      <c r="R586" s="34"/>
      <c r="S586" s="34"/>
      <c r="T586" s="34"/>
      <c r="U586" s="34"/>
      <c r="V586" s="34"/>
    </row>
    <row r="587" spans="2:22" x14ac:dyDescent="0.3">
      <c r="B587" s="33"/>
      <c r="C587" s="34"/>
      <c r="D587" s="34"/>
      <c r="E587" s="34"/>
      <c r="F587" s="34"/>
      <c r="G587" s="34"/>
      <c r="H587" s="34"/>
      <c r="I587" s="34"/>
      <c r="J587" s="34"/>
      <c r="K587" s="35"/>
      <c r="L587" s="34"/>
      <c r="M587" s="34"/>
      <c r="N587" s="34"/>
      <c r="O587" s="34"/>
      <c r="P587" s="34"/>
      <c r="Q587" s="34"/>
      <c r="R587" s="34"/>
      <c r="S587" s="34"/>
      <c r="T587" s="34"/>
      <c r="U587" s="34"/>
      <c r="V587" s="34"/>
    </row>
    <row r="588" spans="2:22" x14ac:dyDescent="0.3">
      <c r="B588" s="33"/>
      <c r="C588" s="34"/>
      <c r="D588" s="34"/>
      <c r="E588" s="34"/>
      <c r="F588" s="34"/>
      <c r="G588" s="34"/>
      <c r="H588" s="34"/>
      <c r="I588" s="34"/>
      <c r="J588" s="34"/>
      <c r="K588" s="35"/>
      <c r="L588" s="34"/>
      <c r="M588" s="34"/>
      <c r="N588" s="34"/>
      <c r="O588" s="34"/>
      <c r="P588" s="34"/>
      <c r="Q588" s="34"/>
      <c r="R588" s="34"/>
      <c r="S588" s="34"/>
      <c r="T588" s="34"/>
      <c r="U588" s="34"/>
      <c r="V588" s="34"/>
    </row>
    <row r="589" spans="2:22" x14ac:dyDescent="0.3">
      <c r="B589" s="33"/>
      <c r="C589" s="34"/>
      <c r="D589" s="34"/>
      <c r="E589" s="34"/>
      <c r="F589" s="34"/>
      <c r="G589" s="34"/>
      <c r="H589" s="34"/>
      <c r="I589" s="34"/>
      <c r="J589" s="34"/>
      <c r="K589" s="35"/>
      <c r="L589" s="34"/>
      <c r="M589" s="34"/>
      <c r="N589" s="34"/>
      <c r="O589" s="34"/>
      <c r="P589" s="34"/>
      <c r="Q589" s="34"/>
      <c r="R589" s="34"/>
      <c r="S589" s="34"/>
      <c r="T589" s="34"/>
      <c r="U589" s="34"/>
      <c r="V589" s="34"/>
    </row>
    <row r="590" spans="2:22" x14ac:dyDescent="0.3">
      <c r="B590" s="33"/>
      <c r="C590" s="34"/>
      <c r="D590" s="34"/>
      <c r="E590" s="34"/>
      <c r="F590" s="34"/>
      <c r="G590" s="34"/>
      <c r="H590" s="34"/>
      <c r="I590" s="34"/>
      <c r="J590" s="34"/>
      <c r="K590" s="35"/>
      <c r="L590" s="34"/>
      <c r="M590" s="34"/>
      <c r="N590" s="34"/>
      <c r="O590" s="34"/>
      <c r="P590" s="34"/>
      <c r="Q590" s="34"/>
      <c r="R590" s="34"/>
      <c r="S590" s="34"/>
      <c r="T590" s="34"/>
      <c r="U590" s="34"/>
      <c r="V590" s="34"/>
    </row>
    <row r="591" spans="2:22" x14ac:dyDescent="0.3">
      <c r="B591" s="33"/>
      <c r="C591" s="34"/>
      <c r="D591" s="34"/>
      <c r="E591" s="34"/>
      <c r="F591" s="34"/>
      <c r="G591" s="34"/>
      <c r="H591" s="34"/>
      <c r="I591" s="34"/>
      <c r="J591" s="34"/>
      <c r="K591" s="35"/>
      <c r="L591" s="34"/>
      <c r="M591" s="34"/>
      <c r="N591" s="34"/>
      <c r="O591" s="34"/>
      <c r="P591" s="34"/>
      <c r="Q591" s="34"/>
      <c r="R591" s="34"/>
      <c r="S591" s="34"/>
      <c r="T591" s="34"/>
      <c r="U591" s="34"/>
      <c r="V591" s="34"/>
    </row>
    <row r="592" spans="2:22" x14ac:dyDescent="0.3">
      <c r="B592" s="33"/>
      <c r="C592" s="34"/>
      <c r="D592" s="34"/>
      <c r="E592" s="34"/>
      <c r="F592" s="34"/>
      <c r="G592" s="34"/>
      <c r="H592" s="34"/>
      <c r="I592" s="34"/>
      <c r="J592" s="34"/>
      <c r="K592" s="35"/>
      <c r="L592" s="34"/>
      <c r="M592" s="34"/>
      <c r="N592" s="34"/>
      <c r="O592" s="34"/>
      <c r="P592" s="34"/>
      <c r="Q592" s="34"/>
      <c r="R592" s="34"/>
      <c r="S592" s="34"/>
      <c r="T592" s="34"/>
      <c r="U592" s="34"/>
      <c r="V592" s="34"/>
    </row>
    <row r="593" spans="2:22" x14ac:dyDescent="0.3">
      <c r="B593" s="33"/>
      <c r="C593" s="34"/>
      <c r="D593" s="34"/>
      <c r="E593" s="34"/>
      <c r="F593" s="34"/>
      <c r="G593" s="34"/>
      <c r="H593" s="34"/>
      <c r="I593" s="34"/>
      <c r="J593" s="34"/>
      <c r="K593" s="35"/>
      <c r="L593" s="34"/>
      <c r="M593" s="34"/>
      <c r="N593" s="34"/>
      <c r="O593" s="34"/>
      <c r="P593" s="34"/>
      <c r="Q593" s="34"/>
      <c r="R593" s="34"/>
      <c r="S593" s="34"/>
      <c r="T593" s="34"/>
      <c r="U593" s="34"/>
      <c r="V593" s="34"/>
    </row>
    <row r="594" spans="2:22" x14ac:dyDescent="0.3">
      <c r="B594" s="33"/>
      <c r="C594" s="34"/>
      <c r="D594" s="34"/>
      <c r="E594" s="34"/>
      <c r="F594" s="34"/>
      <c r="G594" s="34"/>
      <c r="H594" s="34"/>
      <c r="I594" s="34"/>
      <c r="J594" s="34"/>
      <c r="K594" s="35"/>
      <c r="L594" s="34"/>
      <c r="M594" s="34"/>
      <c r="N594" s="34"/>
      <c r="O594" s="34"/>
      <c r="P594" s="34"/>
      <c r="Q594" s="34"/>
      <c r="R594" s="34"/>
      <c r="S594" s="34"/>
      <c r="T594" s="34"/>
      <c r="U594" s="34"/>
      <c r="V594" s="34"/>
    </row>
    <row r="595" spans="2:22" x14ac:dyDescent="0.3">
      <c r="B595" s="33"/>
      <c r="C595" s="34"/>
      <c r="D595" s="34"/>
      <c r="E595" s="34"/>
      <c r="F595" s="34"/>
      <c r="G595" s="34"/>
      <c r="H595" s="34"/>
      <c r="I595" s="34"/>
      <c r="J595" s="34"/>
      <c r="K595" s="35"/>
      <c r="L595" s="34"/>
      <c r="M595" s="34"/>
      <c r="N595" s="34"/>
      <c r="O595" s="34"/>
      <c r="P595" s="34"/>
      <c r="Q595" s="34"/>
      <c r="R595" s="34"/>
      <c r="S595" s="34"/>
      <c r="T595" s="34"/>
      <c r="U595" s="34"/>
      <c r="V595" s="34"/>
    </row>
    <row r="596" spans="2:22" x14ac:dyDescent="0.3">
      <c r="B596" s="33"/>
      <c r="C596" s="34"/>
      <c r="D596" s="34"/>
      <c r="E596" s="34"/>
      <c r="F596" s="34"/>
      <c r="G596" s="34"/>
      <c r="H596" s="34"/>
      <c r="I596" s="34"/>
      <c r="J596" s="34"/>
      <c r="K596" s="35"/>
      <c r="L596" s="34"/>
      <c r="M596" s="34"/>
      <c r="N596" s="34"/>
      <c r="O596" s="34"/>
      <c r="P596" s="34"/>
      <c r="Q596" s="34"/>
      <c r="R596" s="34"/>
      <c r="S596" s="34"/>
      <c r="T596" s="34"/>
      <c r="U596" s="34"/>
      <c r="V596" s="34"/>
    </row>
    <row r="597" spans="2:22" x14ac:dyDescent="0.3">
      <c r="B597" s="33"/>
      <c r="C597" s="34"/>
      <c r="D597" s="34"/>
      <c r="E597" s="34"/>
      <c r="F597" s="34"/>
      <c r="G597" s="34"/>
      <c r="H597" s="34"/>
      <c r="I597" s="34"/>
      <c r="J597" s="34"/>
      <c r="K597" s="35"/>
      <c r="L597" s="34"/>
      <c r="M597" s="34"/>
      <c r="N597" s="34"/>
      <c r="O597" s="34"/>
      <c r="P597" s="34"/>
      <c r="Q597" s="34"/>
      <c r="R597" s="34"/>
      <c r="S597" s="34"/>
      <c r="T597" s="34"/>
      <c r="U597" s="34"/>
      <c r="V597" s="34"/>
    </row>
    <row r="598" spans="2:22" x14ac:dyDescent="0.3">
      <c r="B598" s="33"/>
      <c r="C598" s="34"/>
      <c r="D598" s="34"/>
      <c r="E598" s="34"/>
      <c r="F598" s="34"/>
      <c r="G598" s="34"/>
      <c r="H598" s="34"/>
      <c r="I598" s="34"/>
      <c r="J598" s="34"/>
      <c r="K598" s="35"/>
      <c r="L598" s="34"/>
      <c r="M598" s="34"/>
      <c r="N598" s="34"/>
      <c r="O598" s="34"/>
      <c r="P598" s="34"/>
      <c r="Q598" s="34"/>
      <c r="R598" s="34"/>
      <c r="S598" s="34"/>
      <c r="T598" s="34"/>
      <c r="U598" s="34"/>
      <c r="V598" s="34"/>
    </row>
    <row r="599" spans="2:22" x14ac:dyDescent="0.3">
      <c r="B599" s="33"/>
      <c r="C599" s="34"/>
      <c r="D599" s="34"/>
      <c r="E599" s="34"/>
      <c r="F599" s="34"/>
      <c r="G599" s="34"/>
      <c r="H599" s="34"/>
      <c r="I599" s="34"/>
      <c r="J599" s="34"/>
      <c r="K599" s="35"/>
      <c r="L599" s="34"/>
      <c r="M599" s="34"/>
      <c r="N599" s="34"/>
      <c r="O599" s="34"/>
      <c r="P599" s="34"/>
      <c r="Q599" s="34"/>
      <c r="R599" s="34"/>
      <c r="S599" s="34"/>
      <c r="T599" s="34"/>
      <c r="U599" s="34"/>
      <c r="V599" s="34"/>
    </row>
    <row r="600" spans="2:22" x14ac:dyDescent="0.3">
      <c r="B600" s="33"/>
      <c r="C600" s="34"/>
      <c r="D600" s="34"/>
      <c r="E600" s="34"/>
      <c r="F600" s="34"/>
      <c r="G600" s="34"/>
      <c r="H600" s="34"/>
      <c r="I600" s="34"/>
      <c r="J600" s="34"/>
      <c r="K600" s="35"/>
      <c r="L600" s="34"/>
      <c r="M600" s="34"/>
      <c r="N600" s="34"/>
      <c r="O600" s="34"/>
      <c r="P600" s="34"/>
      <c r="Q600" s="34"/>
      <c r="R600" s="34"/>
      <c r="S600" s="34"/>
      <c r="T600" s="34"/>
      <c r="U600" s="34"/>
      <c r="V600" s="34"/>
    </row>
    <row r="601" spans="2:22" x14ac:dyDescent="0.3">
      <c r="B601" s="33"/>
      <c r="C601" s="34"/>
      <c r="D601" s="34"/>
      <c r="E601" s="34"/>
      <c r="F601" s="34"/>
      <c r="G601" s="34"/>
      <c r="H601" s="34"/>
      <c r="I601" s="34"/>
      <c r="J601" s="34"/>
      <c r="K601" s="35"/>
      <c r="L601" s="34"/>
      <c r="M601" s="34"/>
      <c r="N601" s="34"/>
      <c r="O601" s="34"/>
      <c r="P601" s="34"/>
      <c r="Q601" s="34"/>
      <c r="R601" s="34"/>
      <c r="S601" s="34"/>
      <c r="T601" s="34"/>
      <c r="U601" s="34"/>
      <c r="V601" s="34"/>
    </row>
    <row r="602" spans="2:22" x14ac:dyDescent="0.3">
      <c r="B602" s="33"/>
      <c r="C602" s="34"/>
      <c r="D602" s="34"/>
      <c r="E602" s="34"/>
      <c r="F602" s="34"/>
      <c r="G602" s="34"/>
      <c r="H602" s="34"/>
      <c r="I602" s="34"/>
      <c r="J602" s="34"/>
      <c r="K602" s="35"/>
      <c r="L602" s="34"/>
      <c r="M602" s="34"/>
      <c r="N602" s="34"/>
      <c r="O602" s="34"/>
      <c r="P602" s="34"/>
      <c r="Q602" s="34"/>
      <c r="R602" s="34"/>
      <c r="S602" s="34"/>
      <c r="T602" s="34"/>
      <c r="U602" s="34"/>
      <c r="V602" s="34"/>
    </row>
    <row r="603" spans="2:22" x14ac:dyDescent="0.3">
      <c r="B603" s="33"/>
      <c r="C603" s="34"/>
      <c r="D603" s="34"/>
      <c r="E603" s="34"/>
      <c r="F603" s="34"/>
      <c r="G603" s="34"/>
      <c r="H603" s="34"/>
      <c r="I603" s="34"/>
      <c r="J603" s="34"/>
      <c r="K603" s="35"/>
      <c r="L603" s="34"/>
      <c r="M603" s="34"/>
      <c r="N603" s="34"/>
      <c r="O603" s="34"/>
      <c r="P603" s="34"/>
      <c r="Q603" s="34"/>
      <c r="R603" s="34"/>
      <c r="S603" s="34"/>
      <c r="T603" s="34"/>
      <c r="U603" s="34"/>
      <c r="V603" s="34"/>
    </row>
    <row r="604" spans="2:22" x14ac:dyDescent="0.3">
      <c r="B604" s="33"/>
      <c r="C604" s="34"/>
      <c r="D604" s="34"/>
      <c r="E604" s="34"/>
      <c r="F604" s="34"/>
      <c r="G604" s="34"/>
      <c r="H604" s="34"/>
      <c r="I604" s="34"/>
      <c r="J604" s="34"/>
      <c r="K604" s="35"/>
      <c r="L604" s="34"/>
      <c r="M604" s="34"/>
      <c r="N604" s="34"/>
      <c r="O604" s="34"/>
      <c r="P604" s="34"/>
      <c r="Q604" s="34"/>
      <c r="R604" s="34"/>
      <c r="S604" s="34"/>
      <c r="T604" s="34"/>
      <c r="U604" s="34"/>
      <c r="V604" s="34"/>
    </row>
    <row r="605" spans="2:22" x14ac:dyDescent="0.3">
      <c r="B605" s="33"/>
      <c r="C605" s="34"/>
      <c r="D605" s="34"/>
      <c r="E605" s="34"/>
      <c r="F605" s="34"/>
      <c r="G605" s="34"/>
      <c r="H605" s="34"/>
      <c r="I605" s="34"/>
      <c r="J605" s="34"/>
      <c r="K605" s="35"/>
      <c r="L605" s="34"/>
      <c r="M605" s="34"/>
      <c r="N605" s="34"/>
      <c r="O605" s="34"/>
      <c r="P605" s="34"/>
      <c r="Q605" s="34"/>
      <c r="R605" s="34"/>
      <c r="S605" s="34"/>
      <c r="T605" s="34"/>
      <c r="U605" s="34"/>
      <c r="V605" s="34"/>
    </row>
    <row r="606" spans="2:22" x14ac:dyDescent="0.3">
      <c r="B606" s="33"/>
      <c r="C606" s="34"/>
      <c r="D606" s="34"/>
      <c r="E606" s="34"/>
      <c r="F606" s="34"/>
      <c r="G606" s="34"/>
      <c r="H606" s="34"/>
      <c r="I606" s="34"/>
      <c r="J606" s="34"/>
      <c r="K606" s="35"/>
      <c r="L606" s="34"/>
      <c r="M606" s="34"/>
      <c r="N606" s="34"/>
      <c r="O606" s="34"/>
      <c r="P606" s="34"/>
      <c r="Q606" s="34"/>
      <c r="R606" s="34"/>
      <c r="S606" s="34"/>
      <c r="T606" s="34"/>
      <c r="U606" s="34"/>
      <c r="V606" s="34"/>
    </row>
    <row r="607" spans="2:22" x14ac:dyDescent="0.3">
      <c r="B607" s="33"/>
      <c r="C607" s="34"/>
      <c r="D607" s="34"/>
      <c r="E607" s="34"/>
      <c r="F607" s="34"/>
      <c r="G607" s="34"/>
      <c r="H607" s="34"/>
      <c r="I607" s="34"/>
      <c r="J607" s="34"/>
      <c r="K607" s="35"/>
      <c r="L607" s="34"/>
      <c r="M607" s="34"/>
      <c r="N607" s="34"/>
      <c r="O607" s="34"/>
      <c r="P607" s="34"/>
      <c r="Q607" s="34"/>
      <c r="R607" s="34"/>
      <c r="S607" s="34"/>
      <c r="T607" s="34"/>
      <c r="U607" s="34"/>
      <c r="V607" s="34"/>
    </row>
    <row r="608" spans="2:22" x14ac:dyDescent="0.3">
      <c r="B608" s="33"/>
      <c r="C608" s="34"/>
      <c r="D608" s="34"/>
      <c r="E608" s="34"/>
      <c r="F608" s="34"/>
      <c r="G608" s="34"/>
      <c r="H608" s="34"/>
      <c r="I608" s="34"/>
      <c r="J608" s="34"/>
      <c r="K608" s="35"/>
      <c r="L608" s="34"/>
      <c r="M608" s="34"/>
      <c r="N608" s="34"/>
      <c r="O608" s="34"/>
      <c r="P608" s="34"/>
      <c r="Q608" s="34"/>
      <c r="R608" s="34"/>
      <c r="S608" s="34"/>
      <c r="T608" s="34"/>
      <c r="U608" s="34"/>
      <c r="V608" s="34"/>
    </row>
    <row r="609" spans="2:22" x14ac:dyDescent="0.3">
      <c r="B609" s="33"/>
      <c r="C609" s="34"/>
      <c r="D609" s="34"/>
      <c r="E609" s="34"/>
      <c r="F609" s="34"/>
      <c r="G609" s="34"/>
      <c r="H609" s="34"/>
      <c r="I609" s="34"/>
      <c r="J609" s="34"/>
      <c r="K609" s="35"/>
      <c r="L609" s="34"/>
      <c r="M609" s="34"/>
      <c r="N609" s="34"/>
      <c r="O609" s="34"/>
      <c r="P609" s="34"/>
      <c r="Q609" s="34"/>
      <c r="R609" s="34"/>
      <c r="S609" s="34"/>
      <c r="T609" s="34"/>
      <c r="U609" s="34"/>
      <c r="V609" s="34"/>
    </row>
    <row r="610" spans="2:22" x14ac:dyDescent="0.3">
      <c r="B610" s="33"/>
      <c r="C610" s="34"/>
      <c r="D610" s="34"/>
      <c r="E610" s="34"/>
      <c r="F610" s="34"/>
      <c r="G610" s="34"/>
      <c r="H610" s="34"/>
      <c r="I610" s="34"/>
      <c r="J610" s="34"/>
      <c r="K610" s="35"/>
      <c r="L610" s="34"/>
      <c r="M610" s="34"/>
      <c r="N610" s="34"/>
      <c r="O610" s="34"/>
      <c r="P610" s="34"/>
      <c r="Q610" s="34"/>
      <c r="R610" s="34"/>
      <c r="S610" s="34"/>
      <c r="T610" s="34"/>
      <c r="U610" s="34"/>
      <c r="V610" s="34"/>
    </row>
    <row r="611" spans="2:22" x14ac:dyDescent="0.3">
      <c r="B611" s="33"/>
      <c r="C611" s="34"/>
      <c r="D611" s="34"/>
      <c r="E611" s="34"/>
      <c r="F611" s="34"/>
      <c r="G611" s="34"/>
      <c r="H611" s="34"/>
      <c r="I611" s="34"/>
      <c r="J611" s="34"/>
      <c r="K611" s="35"/>
      <c r="L611" s="34"/>
      <c r="M611" s="34"/>
      <c r="N611" s="34"/>
      <c r="O611" s="34"/>
      <c r="P611" s="34"/>
      <c r="Q611" s="34"/>
      <c r="R611" s="34"/>
      <c r="S611" s="34"/>
      <c r="T611" s="34"/>
      <c r="U611" s="34"/>
      <c r="V611" s="34"/>
    </row>
    <row r="612" spans="2:22" x14ac:dyDescent="0.3">
      <c r="B612" s="33"/>
      <c r="C612" s="34"/>
      <c r="D612" s="34"/>
      <c r="E612" s="34"/>
      <c r="F612" s="34"/>
      <c r="G612" s="34"/>
      <c r="H612" s="34"/>
      <c r="I612" s="34"/>
      <c r="J612" s="34"/>
      <c r="K612" s="35"/>
      <c r="L612" s="34"/>
      <c r="M612" s="34"/>
      <c r="N612" s="34"/>
      <c r="O612" s="34"/>
      <c r="P612" s="34"/>
      <c r="Q612" s="34"/>
      <c r="R612" s="34"/>
      <c r="S612" s="34"/>
      <c r="T612" s="34"/>
      <c r="U612" s="34"/>
      <c r="V612" s="34"/>
    </row>
    <row r="613" spans="2:22" x14ac:dyDescent="0.3">
      <c r="B613" s="33"/>
      <c r="C613" s="34"/>
      <c r="D613" s="34"/>
      <c r="E613" s="34"/>
      <c r="F613" s="34"/>
      <c r="G613" s="34"/>
      <c r="H613" s="34"/>
      <c r="I613" s="34"/>
      <c r="J613" s="34"/>
      <c r="K613" s="35"/>
      <c r="L613" s="34"/>
      <c r="M613" s="34"/>
      <c r="N613" s="34"/>
      <c r="O613" s="34"/>
      <c r="P613" s="34"/>
      <c r="Q613" s="34"/>
      <c r="R613" s="34"/>
      <c r="S613" s="34"/>
      <c r="T613" s="34"/>
      <c r="U613" s="34"/>
      <c r="V613" s="34"/>
    </row>
    <row r="614" spans="2:22" x14ac:dyDescent="0.3">
      <c r="B614" s="33"/>
      <c r="C614" s="34"/>
      <c r="D614" s="34"/>
      <c r="E614" s="34"/>
      <c r="F614" s="34"/>
      <c r="G614" s="34"/>
      <c r="H614" s="34"/>
      <c r="I614" s="34"/>
      <c r="J614" s="34"/>
      <c r="K614" s="35"/>
      <c r="L614" s="34"/>
      <c r="M614" s="34"/>
      <c r="N614" s="34"/>
      <c r="O614" s="34"/>
      <c r="P614" s="34"/>
      <c r="Q614" s="34"/>
      <c r="R614" s="34"/>
      <c r="S614" s="34"/>
      <c r="T614" s="34"/>
      <c r="U614" s="34"/>
      <c r="V614" s="34"/>
    </row>
    <row r="615" spans="2:22" x14ac:dyDescent="0.3">
      <c r="B615" s="33"/>
      <c r="C615" s="34"/>
      <c r="D615" s="34"/>
      <c r="E615" s="34"/>
      <c r="F615" s="34"/>
      <c r="G615" s="34"/>
      <c r="H615" s="34"/>
      <c r="I615" s="34"/>
      <c r="J615" s="34"/>
      <c r="K615" s="35"/>
      <c r="L615" s="34"/>
      <c r="M615" s="34"/>
      <c r="N615" s="34"/>
      <c r="O615" s="34"/>
      <c r="P615" s="34"/>
      <c r="Q615" s="34"/>
      <c r="R615" s="34"/>
      <c r="S615" s="34"/>
      <c r="T615" s="34"/>
      <c r="U615" s="34"/>
      <c r="V615" s="34"/>
    </row>
    <row r="616" spans="2:22" x14ac:dyDescent="0.3">
      <c r="B616" s="33"/>
      <c r="C616" s="34"/>
      <c r="D616" s="34"/>
      <c r="E616" s="34"/>
      <c r="F616" s="34"/>
      <c r="G616" s="34"/>
      <c r="H616" s="34"/>
      <c r="I616" s="34"/>
      <c r="J616" s="34"/>
      <c r="K616" s="35"/>
      <c r="L616" s="34"/>
      <c r="M616" s="34"/>
      <c r="N616" s="34"/>
      <c r="O616" s="34"/>
      <c r="P616" s="34"/>
      <c r="Q616" s="34"/>
      <c r="R616" s="34"/>
      <c r="S616" s="34"/>
      <c r="T616" s="34"/>
      <c r="U616" s="34"/>
      <c r="V616" s="34"/>
    </row>
    <row r="617" spans="2:22" x14ac:dyDescent="0.3">
      <c r="B617" s="33"/>
      <c r="C617" s="34"/>
      <c r="D617" s="34"/>
      <c r="E617" s="34"/>
      <c r="F617" s="34"/>
      <c r="G617" s="34"/>
      <c r="H617" s="34"/>
      <c r="I617" s="34"/>
      <c r="J617" s="34"/>
      <c r="K617" s="35"/>
      <c r="L617" s="34"/>
      <c r="M617" s="34"/>
      <c r="N617" s="34"/>
      <c r="O617" s="34"/>
      <c r="P617" s="34"/>
      <c r="Q617" s="34"/>
      <c r="R617" s="34"/>
      <c r="S617" s="34"/>
      <c r="T617" s="34"/>
      <c r="U617" s="34"/>
      <c r="V617" s="34"/>
    </row>
    <row r="618" spans="2:22" x14ac:dyDescent="0.3">
      <c r="B618" s="33"/>
      <c r="C618" s="34"/>
      <c r="D618" s="34"/>
      <c r="E618" s="34"/>
      <c r="F618" s="34"/>
      <c r="G618" s="34"/>
      <c r="H618" s="34"/>
      <c r="I618" s="34"/>
      <c r="J618" s="34"/>
      <c r="K618" s="35"/>
      <c r="L618" s="34"/>
      <c r="M618" s="34"/>
      <c r="N618" s="34"/>
      <c r="O618" s="34"/>
      <c r="P618" s="34"/>
      <c r="Q618" s="34"/>
      <c r="R618" s="34"/>
      <c r="S618" s="34"/>
      <c r="T618" s="34"/>
      <c r="U618" s="34"/>
      <c r="V618" s="34"/>
    </row>
    <row r="619" spans="2:22" x14ac:dyDescent="0.3">
      <c r="B619" s="33"/>
      <c r="C619" s="34"/>
      <c r="D619" s="34"/>
      <c r="E619" s="34"/>
      <c r="F619" s="34"/>
      <c r="G619" s="34"/>
      <c r="H619" s="34"/>
      <c r="I619" s="34"/>
      <c r="J619" s="34"/>
      <c r="K619" s="35"/>
      <c r="L619" s="34"/>
      <c r="M619" s="34"/>
      <c r="N619" s="34"/>
      <c r="O619" s="34"/>
      <c r="P619" s="34"/>
      <c r="Q619" s="34"/>
      <c r="R619" s="34"/>
      <c r="S619" s="34"/>
      <c r="T619" s="34"/>
      <c r="U619" s="34"/>
      <c r="V619" s="34"/>
    </row>
    <row r="620" spans="2:22" x14ac:dyDescent="0.3">
      <c r="B620" s="33"/>
      <c r="C620" s="34"/>
      <c r="D620" s="34"/>
      <c r="E620" s="34"/>
      <c r="F620" s="34"/>
      <c r="G620" s="34"/>
      <c r="H620" s="34"/>
      <c r="I620" s="34"/>
      <c r="J620" s="34"/>
      <c r="K620" s="35"/>
      <c r="L620" s="34"/>
      <c r="M620" s="34"/>
      <c r="N620" s="34"/>
      <c r="O620" s="34"/>
      <c r="P620" s="34"/>
      <c r="Q620" s="34"/>
      <c r="R620" s="34"/>
      <c r="S620" s="34"/>
      <c r="T620" s="34"/>
      <c r="U620" s="34"/>
      <c r="V620" s="34"/>
    </row>
    <row r="621" spans="2:22" x14ac:dyDescent="0.3">
      <c r="B621" s="33"/>
      <c r="C621" s="34"/>
      <c r="D621" s="34"/>
      <c r="E621" s="34"/>
      <c r="F621" s="34"/>
      <c r="G621" s="34"/>
      <c r="H621" s="34"/>
      <c r="I621" s="34"/>
      <c r="J621" s="34"/>
      <c r="K621" s="35"/>
      <c r="L621" s="34"/>
      <c r="M621" s="34"/>
      <c r="N621" s="34"/>
      <c r="O621" s="34"/>
      <c r="P621" s="34"/>
      <c r="Q621" s="34"/>
      <c r="R621" s="34"/>
      <c r="S621" s="34"/>
      <c r="T621" s="34"/>
      <c r="U621" s="34"/>
      <c r="V621" s="34"/>
    </row>
    <row r="622" spans="2:22" x14ac:dyDescent="0.3">
      <c r="B622" s="33"/>
      <c r="C622" s="34"/>
      <c r="D622" s="34"/>
      <c r="E622" s="34"/>
      <c r="F622" s="34"/>
      <c r="G622" s="34"/>
      <c r="H622" s="34"/>
      <c r="I622" s="34"/>
      <c r="J622" s="34"/>
      <c r="K622" s="35"/>
      <c r="L622" s="34"/>
      <c r="M622" s="34"/>
      <c r="N622" s="34"/>
      <c r="O622" s="34"/>
      <c r="P622" s="34"/>
      <c r="Q622" s="34"/>
      <c r="R622" s="34"/>
      <c r="S622" s="34"/>
      <c r="T622" s="34"/>
      <c r="U622" s="34"/>
      <c r="V622" s="34"/>
    </row>
    <row r="623" spans="2:22" x14ac:dyDescent="0.3">
      <c r="B623" s="33"/>
      <c r="C623" s="34"/>
      <c r="D623" s="34"/>
      <c r="E623" s="34"/>
      <c r="F623" s="34"/>
      <c r="G623" s="34"/>
      <c r="H623" s="34"/>
      <c r="I623" s="34"/>
      <c r="J623" s="34"/>
      <c r="K623" s="35"/>
      <c r="L623" s="34"/>
      <c r="M623" s="34"/>
      <c r="N623" s="34"/>
      <c r="O623" s="34"/>
      <c r="P623" s="34"/>
      <c r="Q623" s="34"/>
      <c r="R623" s="34"/>
      <c r="S623" s="34"/>
      <c r="T623" s="34"/>
      <c r="U623" s="34"/>
      <c r="V623" s="34"/>
    </row>
    <row r="624" spans="2:22" x14ac:dyDescent="0.3">
      <c r="B624" s="33"/>
      <c r="C624" s="34"/>
      <c r="D624" s="34"/>
      <c r="E624" s="34"/>
      <c r="F624" s="34"/>
      <c r="G624" s="34"/>
      <c r="H624" s="34"/>
      <c r="I624" s="34"/>
      <c r="J624" s="34"/>
      <c r="K624" s="35"/>
      <c r="L624" s="34"/>
      <c r="M624" s="34"/>
      <c r="N624" s="34"/>
      <c r="O624" s="34"/>
      <c r="P624" s="34"/>
      <c r="Q624" s="34"/>
      <c r="R624" s="34"/>
      <c r="S624" s="34"/>
      <c r="T624" s="34"/>
      <c r="U624" s="34"/>
      <c r="V624" s="34"/>
    </row>
    <row r="625" spans="2:22" x14ac:dyDescent="0.3">
      <c r="B625" s="33"/>
      <c r="C625" s="34"/>
      <c r="D625" s="34"/>
      <c r="E625" s="34"/>
      <c r="F625" s="34"/>
      <c r="G625" s="34"/>
      <c r="H625" s="34"/>
      <c r="I625" s="34"/>
      <c r="J625" s="34"/>
      <c r="K625" s="35"/>
      <c r="L625" s="34"/>
      <c r="M625" s="34"/>
      <c r="N625" s="34"/>
      <c r="O625" s="34"/>
      <c r="P625" s="34"/>
      <c r="Q625" s="34"/>
      <c r="R625" s="34"/>
      <c r="S625" s="34"/>
      <c r="T625" s="34"/>
      <c r="U625" s="34"/>
      <c r="V625" s="34"/>
    </row>
    <row r="626" spans="2:22" x14ac:dyDescent="0.3">
      <c r="B626" s="33"/>
      <c r="C626" s="34"/>
      <c r="D626" s="34"/>
      <c r="E626" s="34"/>
      <c r="F626" s="34"/>
      <c r="G626" s="34"/>
      <c r="H626" s="34"/>
      <c r="I626" s="34"/>
      <c r="J626" s="34"/>
      <c r="K626" s="35"/>
      <c r="L626" s="34"/>
      <c r="M626" s="34"/>
      <c r="N626" s="34"/>
      <c r="O626" s="34"/>
      <c r="P626" s="34"/>
      <c r="Q626" s="34"/>
      <c r="R626" s="34"/>
      <c r="S626" s="34"/>
      <c r="T626" s="34"/>
      <c r="U626" s="34"/>
      <c r="V626" s="34"/>
    </row>
    <row r="627" spans="2:22" x14ac:dyDescent="0.3">
      <c r="B627" s="33"/>
      <c r="C627" s="34"/>
      <c r="D627" s="34"/>
      <c r="E627" s="34"/>
      <c r="F627" s="34"/>
      <c r="G627" s="34"/>
      <c r="H627" s="34"/>
      <c r="I627" s="34"/>
      <c r="J627" s="34"/>
      <c r="K627" s="35"/>
      <c r="L627" s="34"/>
      <c r="M627" s="34"/>
      <c r="N627" s="34"/>
      <c r="O627" s="34"/>
      <c r="P627" s="34"/>
      <c r="Q627" s="34"/>
      <c r="R627" s="34"/>
      <c r="S627" s="34"/>
      <c r="T627" s="34"/>
      <c r="U627" s="34"/>
      <c r="V627" s="34"/>
    </row>
    <row r="628" spans="2:22" x14ac:dyDescent="0.3">
      <c r="B628" s="33"/>
      <c r="C628" s="34"/>
      <c r="D628" s="34"/>
      <c r="E628" s="34"/>
      <c r="F628" s="34"/>
      <c r="G628" s="34"/>
      <c r="H628" s="34"/>
      <c r="I628" s="34"/>
      <c r="J628" s="34"/>
      <c r="K628" s="35"/>
      <c r="L628" s="34"/>
      <c r="M628" s="34"/>
      <c r="N628" s="34"/>
      <c r="O628" s="34"/>
      <c r="P628" s="34"/>
      <c r="Q628" s="34"/>
      <c r="R628" s="34"/>
      <c r="S628" s="34"/>
      <c r="T628" s="34"/>
      <c r="U628" s="34"/>
      <c r="V628" s="34"/>
    </row>
    <row r="629" spans="2:22" x14ac:dyDescent="0.3">
      <c r="B629" s="33"/>
      <c r="C629" s="34"/>
      <c r="D629" s="34"/>
      <c r="E629" s="34"/>
      <c r="F629" s="34"/>
      <c r="G629" s="34"/>
      <c r="H629" s="34"/>
      <c r="I629" s="34"/>
      <c r="J629" s="34"/>
      <c r="K629" s="35"/>
      <c r="L629" s="34"/>
      <c r="M629" s="34"/>
      <c r="N629" s="34"/>
      <c r="O629" s="34"/>
      <c r="P629" s="34"/>
      <c r="Q629" s="34"/>
      <c r="R629" s="34"/>
      <c r="S629" s="34"/>
      <c r="T629" s="34"/>
      <c r="U629" s="34"/>
      <c r="V629" s="34"/>
    </row>
    <row r="630" spans="2:22" x14ac:dyDescent="0.3">
      <c r="B630" s="33"/>
      <c r="C630" s="34"/>
      <c r="D630" s="34"/>
      <c r="E630" s="34"/>
      <c r="F630" s="34"/>
      <c r="G630" s="34"/>
      <c r="H630" s="34"/>
      <c r="I630" s="34"/>
      <c r="J630" s="34"/>
      <c r="K630" s="35"/>
      <c r="L630" s="34"/>
      <c r="M630" s="34"/>
      <c r="N630" s="34"/>
      <c r="O630" s="34"/>
      <c r="P630" s="34"/>
      <c r="Q630" s="34"/>
      <c r="R630" s="34"/>
      <c r="S630" s="34"/>
      <c r="T630" s="34"/>
      <c r="U630" s="34"/>
      <c r="V630" s="34"/>
    </row>
    <row r="631" spans="2:22" x14ac:dyDescent="0.3">
      <c r="B631" s="33"/>
      <c r="C631" s="34"/>
      <c r="D631" s="34"/>
      <c r="E631" s="34"/>
      <c r="F631" s="34"/>
      <c r="G631" s="34"/>
      <c r="H631" s="34"/>
      <c r="I631" s="34"/>
      <c r="J631" s="34"/>
      <c r="K631" s="35"/>
      <c r="L631" s="34"/>
      <c r="M631" s="34"/>
      <c r="N631" s="34"/>
      <c r="O631" s="34"/>
      <c r="P631" s="34"/>
      <c r="Q631" s="34"/>
      <c r="R631" s="34"/>
      <c r="S631" s="34"/>
      <c r="T631" s="34"/>
      <c r="U631" s="34"/>
      <c r="V631" s="34"/>
    </row>
    <row r="632" spans="2:22" x14ac:dyDescent="0.3">
      <c r="B632" s="33"/>
      <c r="C632" s="34"/>
      <c r="D632" s="34"/>
      <c r="E632" s="34"/>
      <c r="F632" s="34"/>
      <c r="G632" s="34"/>
      <c r="H632" s="34"/>
      <c r="I632" s="34"/>
      <c r="J632" s="34"/>
      <c r="K632" s="35"/>
      <c r="L632" s="34"/>
      <c r="M632" s="34"/>
      <c r="N632" s="34"/>
      <c r="O632" s="34"/>
      <c r="P632" s="34"/>
      <c r="Q632" s="34"/>
      <c r="R632" s="34"/>
      <c r="S632" s="34"/>
      <c r="T632" s="34"/>
      <c r="U632" s="34"/>
      <c r="V632" s="34"/>
    </row>
    <row r="633" spans="2:22" x14ac:dyDescent="0.3">
      <c r="B633" s="33"/>
      <c r="C633" s="34"/>
      <c r="D633" s="34"/>
      <c r="E633" s="34"/>
      <c r="F633" s="34"/>
      <c r="G633" s="34"/>
      <c r="H633" s="34"/>
      <c r="I633" s="34"/>
      <c r="J633" s="34"/>
      <c r="K633" s="35"/>
      <c r="L633" s="34"/>
      <c r="M633" s="34"/>
      <c r="N633" s="34"/>
      <c r="O633" s="34"/>
      <c r="P633" s="34"/>
      <c r="Q633" s="34"/>
      <c r="R633" s="34"/>
      <c r="S633" s="34"/>
      <c r="T633" s="34"/>
      <c r="U633" s="34"/>
      <c r="V633" s="34"/>
    </row>
    <row r="634" spans="2:22" x14ac:dyDescent="0.3">
      <c r="B634" s="33"/>
      <c r="C634" s="34"/>
      <c r="D634" s="34"/>
      <c r="E634" s="34"/>
      <c r="F634" s="34"/>
      <c r="G634" s="34"/>
      <c r="H634" s="34"/>
      <c r="I634" s="34"/>
      <c r="J634" s="34"/>
      <c r="K634" s="35"/>
      <c r="L634" s="34"/>
      <c r="M634" s="34"/>
      <c r="N634" s="34"/>
      <c r="O634" s="34"/>
      <c r="P634" s="34"/>
      <c r="Q634" s="34"/>
      <c r="R634" s="34"/>
      <c r="S634" s="34"/>
      <c r="T634" s="34"/>
      <c r="U634" s="34"/>
      <c r="V634" s="34"/>
    </row>
    <row r="635" spans="2:22" x14ac:dyDescent="0.3">
      <c r="B635" s="33"/>
      <c r="C635" s="34"/>
      <c r="D635" s="34"/>
      <c r="E635" s="34"/>
      <c r="F635" s="34"/>
      <c r="G635" s="34"/>
      <c r="H635" s="34"/>
      <c r="I635" s="34"/>
      <c r="J635" s="34"/>
      <c r="K635" s="35"/>
      <c r="L635" s="34"/>
      <c r="M635" s="34"/>
      <c r="N635" s="34"/>
      <c r="O635" s="34"/>
      <c r="P635" s="34"/>
      <c r="Q635" s="34"/>
      <c r="R635" s="34"/>
      <c r="S635" s="34"/>
      <c r="T635" s="34"/>
      <c r="U635" s="34"/>
      <c r="V635" s="34"/>
    </row>
    <row r="636" spans="2:22" x14ac:dyDescent="0.3">
      <c r="B636" s="33"/>
      <c r="C636" s="34"/>
      <c r="D636" s="34"/>
      <c r="E636" s="34"/>
      <c r="F636" s="34"/>
      <c r="G636" s="34"/>
      <c r="H636" s="34"/>
      <c r="I636" s="34"/>
      <c r="J636" s="34"/>
      <c r="K636" s="35"/>
      <c r="L636" s="34"/>
      <c r="M636" s="34"/>
      <c r="N636" s="34"/>
      <c r="O636" s="34"/>
      <c r="P636" s="34"/>
      <c r="Q636" s="34"/>
      <c r="R636" s="34"/>
      <c r="S636" s="34"/>
      <c r="T636" s="34"/>
      <c r="U636" s="34"/>
      <c r="V636" s="34"/>
    </row>
    <row r="637" spans="2:22" x14ac:dyDescent="0.3">
      <c r="B637" s="33"/>
      <c r="C637" s="34"/>
      <c r="D637" s="34"/>
      <c r="E637" s="34"/>
      <c r="F637" s="34"/>
      <c r="G637" s="34"/>
      <c r="H637" s="34"/>
      <c r="I637" s="34"/>
      <c r="J637" s="34"/>
      <c r="K637" s="35"/>
      <c r="L637" s="34"/>
      <c r="M637" s="34"/>
      <c r="N637" s="34"/>
      <c r="O637" s="34"/>
      <c r="P637" s="34"/>
      <c r="Q637" s="34"/>
      <c r="R637" s="34"/>
      <c r="S637" s="34"/>
      <c r="T637" s="34"/>
      <c r="U637" s="34"/>
      <c r="V637" s="34"/>
    </row>
    <row r="638" spans="2:22" x14ac:dyDescent="0.3">
      <c r="B638" s="33"/>
      <c r="C638" s="34"/>
      <c r="D638" s="34"/>
      <c r="E638" s="34"/>
      <c r="F638" s="34"/>
      <c r="G638" s="34"/>
      <c r="H638" s="34"/>
      <c r="I638" s="34"/>
      <c r="J638" s="34"/>
      <c r="K638" s="35"/>
      <c r="L638" s="34"/>
      <c r="M638" s="34"/>
      <c r="N638" s="34"/>
      <c r="O638" s="34"/>
      <c r="P638" s="34"/>
      <c r="Q638" s="34"/>
      <c r="R638" s="34"/>
      <c r="S638" s="34"/>
      <c r="T638" s="34"/>
      <c r="U638" s="34"/>
      <c r="V638" s="34"/>
    </row>
    <row r="639" spans="2:22" x14ac:dyDescent="0.3">
      <c r="B639" s="33"/>
      <c r="C639" s="34"/>
      <c r="D639" s="34"/>
      <c r="E639" s="34"/>
      <c r="F639" s="34"/>
      <c r="G639" s="34"/>
      <c r="H639" s="34"/>
      <c r="I639" s="34"/>
      <c r="J639" s="34"/>
      <c r="K639" s="35"/>
      <c r="L639" s="34"/>
      <c r="M639" s="34"/>
      <c r="N639" s="34"/>
      <c r="O639" s="34"/>
      <c r="P639" s="34"/>
      <c r="Q639" s="34"/>
      <c r="R639" s="34"/>
      <c r="S639" s="34"/>
      <c r="T639" s="34"/>
      <c r="U639" s="34"/>
      <c r="V639" s="34"/>
    </row>
    <row r="640" spans="2:22" x14ac:dyDescent="0.3">
      <c r="B640" s="33"/>
      <c r="C640" s="34"/>
      <c r="D640" s="34"/>
      <c r="E640" s="34"/>
      <c r="F640" s="34"/>
      <c r="G640" s="34"/>
      <c r="H640" s="34"/>
      <c r="I640" s="34"/>
      <c r="J640" s="34"/>
      <c r="K640" s="35"/>
      <c r="L640" s="34"/>
      <c r="M640" s="34"/>
      <c r="N640" s="34"/>
      <c r="O640" s="34"/>
      <c r="P640" s="34"/>
      <c r="Q640" s="34"/>
      <c r="R640" s="34"/>
      <c r="S640" s="34"/>
      <c r="T640" s="34"/>
      <c r="U640" s="34"/>
      <c r="V640" s="34"/>
    </row>
    <row r="641" spans="2:22" x14ac:dyDescent="0.3">
      <c r="B641" s="33"/>
      <c r="C641" s="34"/>
      <c r="D641" s="34"/>
      <c r="E641" s="34"/>
      <c r="F641" s="34"/>
      <c r="G641" s="34"/>
      <c r="H641" s="34"/>
      <c r="I641" s="34"/>
      <c r="J641" s="34"/>
      <c r="K641" s="35"/>
      <c r="L641" s="34"/>
      <c r="M641" s="34"/>
      <c r="N641" s="34"/>
      <c r="O641" s="34"/>
      <c r="P641" s="34"/>
      <c r="Q641" s="34"/>
      <c r="R641" s="34"/>
      <c r="S641" s="34"/>
      <c r="T641" s="34"/>
      <c r="U641" s="34"/>
      <c r="V641" s="34"/>
    </row>
    <row r="642" spans="2:22" x14ac:dyDescent="0.3">
      <c r="B642" s="33"/>
      <c r="C642" s="34"/>
      <c r="D642" s="34"/>
      <c r="E642" s="34"/>
      <c r="F642" s="34"/>
      <c r="G642" s="34"/>
      <c r="H642" s="34"/>
      <c r="I642" s="34"/>
      <c r="J642" s="34"/>
      <c r="K642" s="35"/>
      <c r="L642" s="34"/>
      <c r="M642" s="34"/>
      <c r="N642" s="34"/>
      <c r="O642" s="34"/>
      <c r="P642" s="34"/>
      <c r="Q642" s="34"/>
      <c r="R642" s="34"/>
      <c r="S642" s="34"/>
      <c r="T642" s="34"/>
      <c r="U642" s="34"/>
      <c r="V642" s="34"/>
    </row>
    <row r="643" spans="2:22" x14ac:dyDescent="0.3">
      <c r="B643" s="33"/>
      <c r="C643" s="34"/>
      <c r="D643" s="34"/>
      <c r="E643" s="34"/>
      <c r="F643" s="34"/>
      <c r="G643" s="34"/>
      <c r="H643" s="34"/>
      <c r="I643" s="34"/>
      <c r="J643" s="34"/>
      <c r="K643" s="35"/>
      <c r="L643" s="34"/>
      <c r="M643" s="34"/>
      <c r="N643" s="34"/>
      <c r="O643" s="34"/>
      <c r="P643" s="34"/>
      <c r="Q643" s="34"/>
      <c r="R643" s="34"/>
      <c r="S643" s="34"/>
      <c r="T643" s="34"/>
      <c r="U643" s="34"/>
      <c r="V643" s="34"/>
    </row>
    <row r="644" spans="2:22" x14ac:dyDescent="0.3">
      <c r="B644" s="33"/>
      <c r="C644" s="34"/>
      <c r="D644" s="34"/>
      <c r="E644" s="34"/>
      <c r="F644" s="34"/>
      <c r="G644" s="34"/>
      <c r="H644" s="34"/>
      <c r="I644" s="34"/>
      <c r="J644" s="34"/>
      <c r="K644" s="35"/>
      <c r="L644" s="34"/>
      <c r="M644" s="34"/>
      <c r="N644" s="34"/>
      <c r="O644" s="34"/>
      <c r="P644" s="34"/>
      <c r="Q644" s="34"/>
      <c r="R644" s="34"/>
      <c r="S644" s="34"/>
      <c r="T644" s="34"/>
      <c r="U644" s="34"/>
      <c r="V644" s="34"/>
    </row>
    <row r="645" spans="2:22" x14ac:dyDescent="0.3">
      <c r="B645" s="33"/>
      <c r="C645" s="34"/>
      <c r="D645" s="34"/>
      <c r="E645" s="34"/>
      <c r="F645" s="34"/>
      <c r="G645" s="34"/>
      <c r="H645" s="34"/>
      <c r="I645" s="34"/>
      <c r="J645" s="34"/>
      <c r="K645" s="35"/>
      <c r="L645" s="34"/>
      <c r="M645" s="34"/>
      <c r="N645" s="34"/>
      <c r="O645" s="34"/>
      <c r="P645" s="34"/>
      <c r="Q645" s="34"/>
      <c r="R645" s="34"/>
      <c r="S645" s="34"/>
      <c r="T645" s="34"/>
      <c r="U645" s="34"/>
      <c r="V645" s="34"/>
    </row>
    <row r="646" spans="2:22" x14ac:dyDescent="0.3">
      <c r="B646" s="33"/>
      <c r="C646" s="34"/>
      <c r="D646" s="34"/>
      <c r="E646" s="34"/>
      <c r="F646" s="34"/>
      <c r="G646" s="34"/>
      <c r="H646" s="34"/>
      <c r="I646" s="34"/>
      <c r="J646" s="34"/>
      <c r="K646" s="35"/>
      <c r="L646" s="34"/>
      <c r="M646" s="34"/>
      <c r="N646" s="34"/>
      <c r="O646" s="34"/>
      <c r="P646" s="34"/>
      <c r="Q646" s="34"/>
      <c r="R646" s="34"/>
      <c r="S646" s="34"/>
      <c r="T646" s="34"/>
      <c r="U646" s="34"/>
      <c r="V646" s="34"/>
    </row>
    <row r="647" spans="2:22" x14ac:dyDescent="0.3">
      <c r="B647" s="33"/>
      <c r="C647" s="34"/>
      <c r="D647" s="34"/>
      <c r="E647" s="34"/>
      <c r="F647" s="34"/>
      <c r="G647" s="34"/>
      <c r="H647" s="34"/>
      <c r="I647" s="34"/>
      <c r="J647" s="34"/>
      <c r="K647" s="35"/>
      <c r="L647" s="34"/>
      <c r="M647" s="34"/>
      <c r="N647" s="34"/>
      <c r="O647" s="34"/>
      <c r="P647" s="34"/>
      <c r="Q647" s="34"/>
      <c r="R647" s="34"/>
      <c r="S647" s="34"/>
      <c r="T647" s="34"/>
      <c r="U647" s="34"/>
      <c r="V647" s="34"/>
    </row>
    <row r="648" spans="2:22" x14ac:dyDescent="0.3">
      <c r="B648" s="33"/>
      <c r="C648" s="34"/>
      <c r="D648" s="34"/>
      <c r="E648" s="34"/>
      <c r="F648" s="34"/>
      <c r="G648" s="34"/>
      <c r="H648" s="34"/>
      <c r="I648" s="34"/>
      <c r="J648" s="34"/>
      <c r="K648" s="35"/>
      <c r="L648" s="34"/>
      <c r="M648" s="34"/>
      <c r="N648" s="34"/>
      <c r="O648" s="34"/>
      <c r="P648" s="34"/>
      <c r="Q648" s="34"/>
      <c r="R648" s="34"/>
      <c r="S648" s="34"/>
      <c r="T648" s="34"/>
      <c r="U648" s="34"/>
      <c r="V648" s="34"/>
    </row>
    <row r="649" spans="2:22" x14ac:dyDescent="0.3">
      <c r="B649" s="33"/>
      <c r="C649" s="34"/>
      <c r="D649" s="34"/>
      <c r="E649" s="34"/>
      <c r="F649" s="34"/>
      <c r="G649" s="34"/>
      <c r="H649" s="34"/>
      <c r="I649" s="34"/>
      <c r="J649" s="34"/>
      <c r="K649" s="35"/>
      <c r="L649" s="34"/>
      <c r="M649" s="34"/>
      <c r="N649" s="34"/>
      <c r="O649" s="34"/>
      <c r="P649" s="34"/>
      <c r="Q649" s="34"/>
      <c r="R649" s="34"/>
      <c r="S649" s="34"/>
      <c r="T649" s="34"/>
      <c r="U649" s="34"/>
      <c r="V649" s="34"/>
    </row>
    <row r="650" spans="2:22" x14ac:dyDescent="0.3">
      <c r="B650" s="33"/>
      <c r="C650" s="34"/>
      <c r="D650" s="34"/>
      <c r="E650" s="34"/>
      <c r="F650" s="34"/>
      <c r="G650" s="34"/>
      <c r="H650" s="34"/>
      <c r="I650" s="34"/>
      <c r="J650" s="34"/>
      <c r="K650" s="35"/>
      <c r="L650" s="34"/>
      <c r="M650" s="34"/>
      <c r="N650" s="34"/>
      <c r="O650" s="34"/>
      <c r="P650" s="34"/>
      <c r="Q650" s="34"/>
      <c r="R650" s="34"/>
      <c r="S650" s="34"/>
      <c r="T650" s="34"/>
      <c r="U650" s="34"/>
      <c r="V650" s="34"/>
    </row>
    <row r="651" spans="2:22" x14ac:dyDescent="0.3">
      <c r="B651" s="33"/>
      <c r="C651" s="34"/>
      <c r="D651" s="34"/>
      <c r="E651" s="34"/>
      <c r="F651" s="34"/>
      <c r="G651" s="34"/>
      <c r="H651" s="34"/>
      <c r="I651" s="34"/>
      <c r="J651" s="34"/>
      <c r="K651" s="35"/>
      <c r="L651" s="34"/>
      <c r="M651" s="34"/>
      <c r="N651" s="34"/>
      <c r="O651" s="34"/>
      <c r="P651" s="34"/>
      <c r="Q651" s="34"/>
      <c r="R651" s="34"/>
      <c r="S651" s="34"/>
      <c r="T651" s="34"/>
      <c r="U651" s="34"/>
      <c r="V651" s="34"/>
    </row>
    <row r="652" spans="2:22" x14ac:dyDescent="0.3">
      <c r="B652" s="33"/>
      <c r="C652" s="34"/>
      <c r="D652" s="34"/>
      <c r="E652" s="34"/>
      <c r="F652" s="34"/>
      <c r="G652" s="34"/>
      <c r="H652" s="34"/>
      <c r="I652" s="34"/>
      <c r="J652" s="34"/>
      <c r="K652" s="35"/>
      <c r="L652" s="34"/>
      <c r="M652" s="34"/>
      <c r="N652" s="34"/>
      <c r="O652" s="34"/>
      <c r="P652" s="34"/>
      <c r="Q652" s="34"/>
      <c r="R652" s="34"/>
      <c r="S652" s="34"/>
      <c r="T652" s="34"/>
      <c r="U652" s="34"/>
      <c r="V652" s="34"/>
    </row>
    <row r="653" spans="2:22" x14ac:dyDescent="0.3">
      <c r="B653" s="33"/>
      <c r="C653" s="34"/>
      <c r="D653" s="34"/>
      <c r="E653" s="34"/>
      <c r="F653" s="34"/>
      <c r="G653" s="34"/>
      <c r="H653" s="34"/>
      <c r="I653" s="34"/>
      <c r="J653" s="34"/>
      <c r="K653" s="35"/>
      <c r="L653" s="34"/>
      <c r="M653" s="34"/>
      <c r="N653" s="34"/>
      <c r="O653" s="34"/>
      <c r="P653" s="34"/>
      <c r="Q653" s="34"/>
      <c r="R653" s="34"/>
      <c r="S653" s="34"/>
      <c r="T653" s="34"/>
      <c r="U653" s="34"/>
      <c r="V653" s="34"/>
    </row>
    <row r="654" spans="2:22" x14ac:dyDescent="0.3">
      <c r="B654" s="33"/>
      <c r="C654" s="34"/>
      <c r="D654" s="34"/>
      <c r="E654" s="34"/>
      <c r="F654" s="34"/>
      <c r="G654" s="34"/>
      <c r="H654" s="34"/>
      <c r="I654" s="34"/>
      <c r="J654" s="34"/>
      <c r="K654" s="35"/>
      <c r="L654" s="34"/>
      <c r="M654" s="34"/>
      <c r="N654" s="34"/>
      <c r="O654" s="34"/>
      <c r="P654" s="34"/>
      <c r="Q654" s="34"/>
      <c r="R654" s="34"/>
      <c r="S654" s="34"/>
      <c r="T654" s="34"/>
      <c r="U654" s="34"/>
      <c r="V654" s="34"/>
    </row>
    <row r="655" spans="2:22" x14ac:dyDescent="0.3">
      <c r="B655" s="33"/>
      <c r="C655" s="34"/>
      <c r="D655" s="34"/>
      <c r="E655" s="34"/>
      <c r="F655" s="34"/>
      <c r="G655" s="34"/>
      <c r="H655" s="34"/>
      <c r="I655" s="34"/>
      <c r="J655" s="34"/>
      <c r="K655" s="35"/>
      <c r="L655" s="34"/>
      <c r="M655" s="34"/>
      <c r="N655" s="34"/>
      <c r="O655" s="34"/>
      <c r="P655" s="34"/>
      <c r="Q655" s="34"/>
      <c r="R655" s="34"/>
      <c r="S655" s="34"/>
      <c r="T655" s="34"/>
      <c r="U655" s="34"/>
      <c r="V655" s="34"/>
    </row>
    <row r="656" spans="2:22" x14ac:dyDescent="0.3">
      <c r="B656" s="33"/>
      <c r="C656" s="34"/>
      <c r="D656" s="34"/>
      <c r="E656" s="34"/>
      <c r="F656" s="34"/>
      <c r="G656" s="34"/>
      <c r="H656" s="34"/>
      <c r="I656" s="34"/>
      <c r="J656" s="34"/>
      <c r="K656" s="35"/>
      <c r="L656" s="34"/>
      <c r="M656" s="34"/>
      <c r="N656" s="34"/>
      <c r="O656" s="34"/>
      <c r="P656" s="34"/>
      <c r="Q656" s="34"/>
      <c r="R656" s="34"/>
      <c r="S656" s="34"/>
      <c r="T656" s="34"/>
      <c r="U656" s="34"/>
      <c r="V656" s="34"/>
    </row>
    <row r="657" spans="2:22" x14ac:dyDescent="0.3">
      <c r="B657" s="33"/>
      <c r="C657" s="34"/>
      <c r="D657" s="34"/>
      <c r="E657" s="34"/>
      <c r="F657" s="34"/>
      <c r="G657" s="34"/>
      <c r="H657" s="34"/>
      <c r="I657" s="34"/>
      <c r="J657" s="34"/>
      <c r="K657" s="35"/>
      <c r="L657" s="34"/>
      <c r="M657" s="34"/>
      <c r="N657" s="34"/>
      <c r="O657" s="34"/>
      <c r="P657" s="34"/>
      <c r="Q657" s="34"/>
      <c r="R657" s="34"/>
      <c r="S657" s="34"/>
      <c r="T657" s="34"/>
      <c r="U657" s="34"/>
      <c r="V657" s="34"/>
    </row>
    <row r="658" spans="2:22" x14ac:dyDescent="0.3">
      <c r="B658" s="33"/>
      <c r="C658" s="34"/>
      <c r="D658" s="34"/>
      <c r="E658" s="34"/>
      <c r="F658" s="34"/>
      <c r="G658" s="34"/>
      <c r="H658" s="34"/>
      <c r="I658" s="34"/>
      <c r="J658" s="34"/>
      <c r="K658" s="35"/>
      <c r="L658" s="34"/>
      <c r="M658" s="34"/>
      <c r="N658" s="34"/>
      <c r="O658" s="34"/>
      <c r="P658" s="34"/>
      <c r="Q658" s="34"/>
      <c r="R658" s="34"/>
      <c r="S658" s="34"/>
      <c r="T658" s="34"/>
      <c r="U658" s="34"/>
      <c r="V658" s="34"/>
    </row>
    <row r="659" spans="2:22" x14ac:dyDescent="0.3">
      <c r="B659" s="33"/>
      <c r="C659" s="34"/>
      <c r="D659" s="34"/>
      <c r="E659" s="34"/>
      <c r="F659" s="34"/>
      <c r="G659" s="34"/>
      <c r="H659" s="34"/>
      <c r="I659" s="34"/>
      <c r="J659" s="34"/>
      <c r="K659" s="35"/>
      <c r="L659" s="34"/>
      <c r="M659" s="34"/>
      <c r="N659" s="34"/>
      <c r="O659" s="34"/>
      <c r="P659" s="34"/>
      <c r="Q659" s="34"/>
      <c r="R659" s="34"/>
      <c r="S659" s="34"/>
      <c r="T659" s="34"/>
      <c r="U659" s="34"/>
      <c r="V659" s="34"/>
    </row>
    <row r="660" spans="2:22" x14ac:dyDescent="0.3">
      <c r="B660" s="33"/>
      <c r="C660" s="34"/>
      <c r="D660" s="34"/>
      <c r="E660" s="34"/>
      <c r="F660" s="34"/>
      <c r="G660" s="34"/>
      <c r="H660" s="34"/>
      <c r="I660" s="34"/>
      <c r="J660" s="34"/>
      <c r="K660" s="35"/>
      <c r="L660" s="34"/>
      <c r="M660" s="34"/>
      <c r="N660" s="34"/>
      <c r="O660" s="34"/>
      <c r="P660" s="34"/>
      <c r="Q660" s="34"/>
      <c r="R660" s="34"/>
      <c r="S660" s="34"/>
      <c r="T660" s="34"/>
      <c r="U660" s="34"/>
      <c r="V660" s="34"/>
    </row>
    <row r="661" spans="2:22" x14ac:dyDescent="0.3">
      <c r="B661" s="33"/>
      <c r="C661" s="34"/>
      <c r="D661" s="34"/>
      <c r="E661" s="34"/>
      <c r="F661" s="34"/>
      <c r="G661" s="34"/>
      <c r="H661" s="34"/>
      <c r="I661" s="34"/>
      <c r="J661" s="34"/>
      <c r="K661" s="35"/>
      <c r="L661" s="34"/>
      <c r="M661" s="34"/>
      <c r="N661" s="34"/>
      <c r="O661" s="34"/>
      <c r="P661" s="34"/>
      <c r="Q661" s="34"/>
      <c r="R661" s="34"/>
      <c r="S661" s="34"/>
      <c r="T661" s="34"/>
      <c r="U661" s="34"/>
      <c r="V661" s="34"/>
    </row>
    <row r="662" spans="2:22" x14ac:dyDescent="0.3">
      <c r="B662" s="33"/>
      <c r="C662" s="34"/>
      <c r="D662" s="34"/>
      <c r="E662" s="34"/>
      <c r="F662" s="34"/>
      <c r="G662" s="34"/>
      <c r="H662" s="34"/>
      <c r="I662" s="34"/>
      <c r="J662" s="34"/>
      <c r="K662" s="35"/>
      <c r="L662" s="34"/>
      <c r="M662" s="34"/>
      <c r="N662" s="34"/>
      <c r="O662" s="34"/>
      <c r="P662" s="34"/>
      <c r="Q662" s="34"/>
      <c r="R662" s="34"/>
      <c r="S662" s="34"/>
      <c r="T662" s="34"/>
      <c r="U662" s="34"/>
      <c r="V662" s="34"/>
    </row>
    <row r="663" spans="2:22" x14ac:dyDescent="0.3">
      <c r="B663" s="33"/>
      <c r="C663" s="34"/>
      <c r="D663" s="34"/>
      <c r="E663" s="34"/>
      <c r="F663" s="34"/>
      <c r="G663" s="34"/>
      <c r="H663" s="34"/>
      <c r="I663" s="34"/>
      <c r="J663" s="34"/>
      <c r="K663" s="35"/>
      <c r="L663" s="34"/>
      <c r="M663" s="34"/>
      <c r="N663" s="34"/>
      <c r="O663" s="34"/>
      <c r="P663" s="34"/>
      <c r="Q663" s="34"/>
      <c r="R663" s="34"/>
      <c r="S663" s="34"/>
      <c r="T663" s="34"/>
      <c r="U663" s="34"/>
      <c r="V663" s="34"/>
    </row>
    <row r="664" spans="2:22" x14ac:dyDescent="0.3">
      <c r="B664" s="33"/>
      <c r="C664" s="34"/>
      <c r="D664" s="34"/>
      <c r="E664" s="34"/>
      <c r="F664" s="34"/>
      <c r="G664" s="34"/>
      <c r="H664" s="34"/>
      <c r="I664" s="34"/>
      <c r="J664" s="34"/>
      <c r="K664" s="35"/>
      <c r="L664" s="34"/>
      <c r="M664" s="34"/>
      <c r="N664" s="34"/>
      <c r="O664" s="34"/>
      <c r="P664" s="34"/>
      <c r="Q664" s="34"/>
      <c r="R664" s="34"/>
      <c r="S664" s="34"/>
      <c r="T664" s="34"/>
      <c r="U664" s="34"/>
      <c r="V664" s="34"/>
    </row>
    <row r="665" spans="2:22" x14ac:dyDescent="0.3">
      <c r="B665" s="33"/>
      <c r="C665" s="34"/>
      <c r="D665" s="34"/>
      <c r="E665" s="34"/>
      <c r="F665" s="34"/>
      <c r="G665" s="34"/>
      <c r="H665" s="34"/>
      <c r="I665" s="34"/>
      <c r="J665" s="34"/>
      <c r="K665" s="35"/>
      <c r="L665" s="34"/>
      <c r="M665" s="34"/>
      <c r="N665" s="34"/>
      <c r="O665" s="34"/>
      <c r="P665" s="34"/>
      <c r="Q665" s="34"/>
      <c r="R665" s="34"/>
      <c r="S665" s="34"/>
      <c r="T665" s="34"/>
      <c r="U665" s="34"/>
      <c r="V665" s="34"/>
    </row>
    <row r="666" spans="2:22" x14ac:dyDescent="0.3">
      <c r="B666" s="33"/>
      <c r="C666" s="34"/>
      <c r="D666" s="34"/>
      <c r="E666" s="34"/>
      <c r="F666" s="34"/>
      <c r="G666" s="34"/>
      <c r="H666" s="34"/>
      <c r="I666" s="34"/>
      <c r="J666" s="34"/>
      <c r="K666" s="35"/>
      <c r="L666" s="34"/>
      <c r="M666" s="34"/>
      <c r="N666" s="34"/>
      <c r="O666" s="34"/>
      <c r="P666" s="34"/>
      <c r="Q666" s="34"/>
      <c r="R666" s="34"/>
      <c r="S666" s="34"/>
      <c r="T666" s="34"/>
      <c r="U666" s="34"/>
      <c r="V666" s="34"/>
    </row>
    <row r="667" spans="2:22" x14ac:dyDescent="0.3">
      <c r="B667" s="33"/>
      <c r="C667" s="34"/>
      <c r="D667" s="34"/>
      <c r="E667" s="34"/>
      <c r="F667" s="34"/>
      <c r="G667" s="34"/>
      <c r="H667" s="34"/>
      <c r="I667" s="34"/>
      <c r="J667" s="34"/>
      <c r="K667" s="35"/>
      <c r="L667" s="34"/>
      <c r="M667" s="34"/>
      <c r="N667" s="34"/>
      <c r="O667" s="34"/>
      <c r="P667" s="34"/>
      <c r="Q667" s="34"/>
      <c r="R667" s="34"/>
      <c r="S667" s="34"/>
      <c r="T667" s="34"/>
      <c r="U667" s="34"/>
      <c r="V667" s="34"/>
    </row>
    <row r="668" spans="2:22" x14ac:dyDescent="0.3">
      <c r="B668" s="33"/>
      <c r="C668" s="34"/>
      <c r="D668" s="34"/>
      <c r="E668" s="34"/>
      <c r="F668" s="34"/>
      <c r="G668" s="34"/>
      <c r="H668" s="34"/>
      <c r="I668" s="34"/>
      <c r="J668" s="34"/>
      <c r="K668" s="35"/>
      <c r="L668" s="34"/>
      <c r="M668" s="34"/>
      <c r="N668" s="34"/>
      <c r="O668" s="34"/>
      <c r="P668" s="34"/>
      <c r="Q668" s="34"/>
      <c r="R668" s="34"/>
      <c r="S668" s="34"/>
      <c r="T668" s="34"/>
      <c r="U668" s="34"/>
      <c r="V668" s="34"/>
    </row>
    <row r="669" spans="2:22" x14ac:dyDescent="0.3">
      <c r="B669" s="33"/>
      <c r="C669" s="34"/>
      <c r="D669" s="34"/>
      <c r="E669" s="34"/>
      <c r="F669" s="34"/>
      <c r="G669" s="34"/>
      <c r="H669" s="34"/>
      <c r="I669" s="34"/>
      <c r="J669" s="34"/>
      <c r="K669" s="35"/>
      <c r="L669" s="34"/>
      <c r="M669" s="34"/>
      <c r="N669" s="34"/>
      <c r="O669" s="34"/>
      <c r="P669" s="34"/>
      <c r="Q669" s="34"/>
      <c r="R669" s="34"/>
      <c r="S669" s="34"/>
      <c r="T669" s="34"/>
      <c r="U669" s="34"/>
      <c r="V669" s="34"/>
    </row>
    <row r="670" spans="2:22" x14ac:dyDescent="0.3">
      <c r="B670" s="33"/>
      <c r="C670" s="34"/>
      <c r="D670" s="34"/>
      <c r="E670" s="34"/>
      <c r="F670" s="34"/>
      <c r="G670" s="34"/>
      <c r="H670" s="34"/>
      <c r="I670" s="34"/>
      <c r="J670" s="34"/>
      <c r="K670" s="35"/>
      <c r="L670" s="34"/>
      <c r="M670" s="34"/>
      <c r="N670" s="34"/>
      <c r="O670" s="34"/>
      <c r="P670" s="34"/>
      <c r="Q670" s="34"/>
      <c r="R670" s="34"/>
      <c r="S670" s="34"/>
      <c r="T670" s="34"/>
      <c r="U670" s="34"/>
      <c r="V670" s="34"/>
    </row>
    <row r="671" spans="2:22" x14ac:dyDescent="0.3">
      <c r="B671" s="33"/>
      <c r="C671" s="34"/>
      <c r="D671" s="34"/>
      <c r="E671" s="34"/>
      <c r="F671" s="34"/>
      <c r="G671" s="34"/>
      <c r="H671" s="34"/>
      <c r="I671" s="34"/>
      <c r="J671" s="34"/>
      <c r="K671" s="35"/>
      <c r="L671" s="34"/>
      <c r="M671" s="34"/>
      <c r="N671" s="34"/>
      <c r="O671" s="34"/>
      <c r="P671" s="34"/>
      <c r="Q671" s="34"/>
      <c r="R671" s="34"/>
      <c r="S671" s="34"/>
      <c r="T671" s="34"/>
      <c r="U671" s="34"/>
      <c r="V671" s="34"/>
    </row>
    <row r="672" spans="2:22" x14ac:dyDescent="0.3">
      <c r="B672" s="33"/>
      <c r="C672" s="34"/>
      <c r="D672" s="34"/>
      <c r="E672" s="34"/>
      <c r="F672" s="34"/>
      <c r="G672" s="34"/>
      <c r="H672" s="34"/>
      <c r="I672" s="34"/>
      <c r="J672" s="34"/>
      <c r="K672" s="35"/>
      <c r="L672" s="34"/>
      <c r="M672" s="34"/>
      <c r="N672" s="34"/>
      <c r="O672" s="34"/>
      <c r="P672" s="34"/>
      <c r="Q672" s="34"/>
      <c r="R672" s="34"/>
      <c r="S672" s="34"/>
      <c r="T672" s="34"/>
      <c r="U672" s="34"/>
      <c r="V672" s="34"/>
    </row>
    <row r="673" spans="2:22" x14ac:dyDescent="0.3">
      <c r="B673" s="33"/>
      <c r="C673" s="34"/>
      <c r="D673" s="34"/>
      <c r="E673" s="34"/>
      <c r="F673" s="34"/>
      <c r="G673" s="34"/>
      <c r="H673" s="34"/>
      <c r="I673" s="34"/>
      <c r="J673" s="34"/>
      <c r="K673" s="35"/>
      <c r="L673" s="34"/>
      <c r="M673" s="34"/>
      <c r="N673" s="34"/>
      <c r="O673" s="34"/>
      <c r="P673" s="34"/>
      <c r="Q673" s="34"/>
      <c r="R673" s="34"/>
      <c r="S673" s="34"/>
      <c r="T673" s="34"/>
      <c r="U673" s="34"/>
      <c r="V673" s="34"/>
    </row>
    <row r="674" spans="2:22" x14ac:dyDescent="0.3">
      <c r="B674" s="33"/>
      <c r="C674" s="34"/>
      <c r="D674" s="34"/>
      <c r="E674" s="34"/>
      <c r="F674" s="34"/>
      <c r="G674" s="34"/>
      <c r="H674" s="34"/>
      <c r="I674" s="34"/>
      <c r="J674" s="34"/>
      <c r="K674" s="35"/>
      <c r="L674" s="34"/>
      <c r="M674" s="34"/>
      <c r="N674" s="34"/>
      <c r="O674" s="34"/>
      <c r="P674" s="34"/>
      <c r="Q674" s="34"/>
      <c r="R674" s="34"/>
      <c r="S674" s="34"/>
      <c r="T674" s="34"/>
      <c r="U674" s="34"/>
      <c r="V674" s="34"/>
    </row>
    <row r="675" spans="2:22" x14ac:dyDescent="0.3">
      <c r="B675" s="33"/>
      <c r="C675" s="34"/>
      <c r="D675" s="34"/>
      <c r="E675" s="34"/>
      <c r="F675" s="34"/>
      <c r="G675" s="34"/>
      <c r="H675" s="34"/>
      <c r="I675" s="34"/>
      <c r="J675" s="34"/>
      <c r="K675" s="35"/>
      <c r="L675" s="34"/>
      <c r="M675" s="34"/>
      <c r="N675" s="34"/>
      <c r="O675" s="34"/>
      <c r="P675" s="34"/>
      <c r="Q675" s="34"/>
      <c r="R675" s="34"/>
      <c r="S675" s="34"/>
      <c r="T675" s="34"/>
      <c r="U675" s="34"/>
      <c r="V675" s="34"/>
    </row>
    <row r="676" spans="2:22" x14ac:dyDescent="0.3">
      <c r="B676" s="33"/>
      <c r="C676" s="34"/>
      <c r="D676" s="34"/>
      <c r="E676" s="34"/>
      <c r="F676" s="34"/>
      <c r="G676" s="34"/>
      <c r="H676" s="34"/>
      <c r="I676" s="34"/>
      <c r="J676" s="34"/>
      <c r="K676" s="35"/>
      <c r="L676" s="34"/>
      <c r="M676" s="34"/>
      <c r="N676" s="34"/>
      <c r="O676" s="34"/>
      <c r="P676" s="34"/>
      <c r="Q676" s="34"/>
      <c r="R676" s="34"/>
      <c r="S676" s="34"/>
      <c r="T676" s="34"/>
      <c r="U676" s="34"/>
      <c r="V676" s="34"/>
    </row>
    <row r="677" spans="2:22" x14ac:dyDescent="0.3">
      <c r="B677" s="33"/>
      <c r="C677" s="34"/>
      <c r="D677" s="34"/>
      <c r="E677" s="34"/>
      <c r="F677" s="34"/>
      <c r="G677" s="34"/>
      <c r="H677" s="34"/>
      <c r="I677" s="34"/>
      <c r="J677" s="34"/>
      <c r="K677" s="35"/>
      <c r="L677" s="34"/>
      <c r="M677" s="34"/>
      <c r="N677" s="34"/>
      <c r="O677" s="34"/>
      <c r="P677" s="34"/>
      <c r="Q677" s="34"/>
      <c r="R677" s="34"/>
      <c r="S677" s="34"/>
      <c r="T677" s="34"/>
      <c r="U677" s="34"/>
      <c r="V677" s="34"/>
    </row>
    <row r="678" spans="2:22" x14ac:dyDescent="0.3">
      <c r="B678" s="33"/>
      <c r="C678" s="34"/>
      <c r="D678" s="34"/>
      <c r="E678" s="34"/>
      <c r="F678" s="34"/>
      <c r="G678" s="34"/>
      <c r="H678" s="34"/>
      <c r="I678" s="34"/>
      <c r="J678" s="34"/>
      <c r="K678" s="35"/>
      <c r="L678" s="34"/>
      <c r="M678" s="34"/>
      <c r="N678" s="34"/>
      <c r="O678" s="34"/>
      <c r="P678" s="34"/>
      <c r="Q678" s="34"/>
      <c r="R678" s="34"/>
      <c r="S678" s="34"/>
      <c r="T678" s="34"/>
      <c r="U678" s="34"/>
      <c r="V678" s="34"/>
    </row>
    <row r="679" spans="2:22" x14ac:dyDescent="0.3">
      <c r="B679" s="33"/>
      <c r="C679" s="34"/>
      <c r="D679" s="34"/>
      <c r="E679" s="34"/>
      <c r="F679" s="34"/>
      <c r="G679" s="34"/>
      <c r="H679" s="34"/>
      <c r="I679" s="34"/>
      <c r="J679" s="34"/>
      <c r="K679" s="35"/>
      <c r="L679" s="34"/>
      <c r="M679" s="34"/>
      <c r="N679" s="34"/>
      <c r="O679" s="34"/>
      <c r="P679" s="34"/>
      <c r="Q679" s="34"/>
      <c r="R679" s="34"/>
      <c r="S679" s="34"/>
      <c r="T679" s="34"/>
      <c r="U679" s="34"/>
      <c r="V679" s="34"/>
    </row>
    <row r="680" spans="2:22" x14ac:dyDescent="0.3">
      <c r="B680" s="33"/>
      <c r="C680" s="34"/>
      <c r="D680" s="34"/>
      <c r="E680" s="34"/>
      <c r="F680" s="34"/>
      <c r="G680" s="34"/>
      <c r="H680" s="34"/>
      <c r="I680" s="34"/>
      <c r="J680" s="34"/>
      <c r="K680" s="35"/>
      <c r="L680" s="34"/>
      <c r="M680" s="34"/>
      <c r="N680" s="34"/>
      <c r="O680" s="34"/>
      <c r="P680" s="34"/>
      <c r="Q680" s="34"/>
      <c r="R680" s="34"/>
      <c r="S680" s="34"/>
      <c r="T680" s="34"/>
      <c r="U680" s="34"/>
      <c r="V680" s="34"/>
    </row>
    <row r="681" spans="2:22" x14ac:dyDescent="0.3">
      <c r="B681" s="33"/>
      <c r="C681" s="34"/>
      <c r="D681" s="34"/>
      <c r="E681" s="34"/>
      <c r="F681" s="34"/>
      <c r="G681" s="34"/>
      <c r="H681" s="34"/>
      <c r="I681" s="34"/>
      <c r="J681" s="34"/>
      <c r="K681" s="35"/>
      <c r="L681" s="34"/>
      <c r="M681" s="34"/>
      <c r="N681" s="34"/>
      <c r="O681" s="34"/>
      <c r="P681" s="34"/>
      <c r="Q681" s="34"/>
      <c r="R681" s="34"/>
      <c r="S681" s="34"/>
      <c r="T681" s="34"/>
      <c r="U681" s="34"/>
      <c r="V681" s="34"/>
    </row>
    <row r="682" spans="2:22" x14ac:dyDescent="0.3">
      <c r="B682" s="33"/>
      <c r="C682" s="34"/>
      <c r="D682" s="34"/>
      <c r="E682" s="34"/>
      <c r="F682" s="34"/>
      <c r="G682" s="34"/>
      <c r="H682" s="34"/>
      <c r="I682" s="34"/>
      <c r="J682" s="34"/>
      <c r="K682" s="35"/>
      <c r="L682" s="34"/>
      <c r="M682" s="34"/>
      <c r="N682" s="34"/>
      <c r="O682" s="34"/>
      <c r="P682" s="34"/>
      <c r="Q682" s="34"/>
      <c r="R682" s="34"/>
      <c r="S682" s="34"/>
      <c r="T682" s="34"/>
      <c r="U682" s="34"/>
      <c r="V682" s="34"/>
    </row>
    <row r="683" spans="2:22" x14ac:dyDescent="0.3">
      <c r="B683" s="33"/>
      <c r="C683" s="34"/>
      <c r="D683" s="34"/>
      <c r="E683" s="34"/>
      <c r="F683" s="34"/>
      <c r="G683" s="34"/>
      <c r="H683" s="34"/>
      <c r="I683" s="34"/>
      <c r="J683" s="34"/>
      <c r="K683" s="35"/>
      <c r="L683" s="34"/>
      <c r="M683" s="34"/>
      <c r="N683" s="34"/>
      <c r="O683" s="34"/>
      <c r="P683" s="34"/>
      <c r="Q683" s="34"/>
      <c r="R683" s="34"/>
      <c r="S683" s="34"/>
      <c r="T683" s="34"/>
      <c r="U683" s="34"/>
      <c r="V683" s="34"/>
    </row>
    <row r="684" spans="2:22" x14ac:dyDescent="0.3">
      <c r="B684" s="33"/>
      <c r="C684" s="34"/>
      <c r="D684" s="34"/>
      <c r="E684" s="34"/>
      <c r="F684" s="34"/>
      <c r="G684" s="34"/>
      <c r="H684" s="34"/>
      <c r="I684" s="34"/>
      <c r="J684" s="34"/>
      <c r="K684" s="35"/>
      <c r="L684" s="34"/>
      <c r="M684" s="34"/>
      <c r="N684" s="34"/>
      <c r="O684" s="34"/>
      <c r="P684" s="34"/>
      <c r="Q684" s="34"/>
      <c r="R684" s="34"/>
      <c r="S684" s="34"/>
      <c r="T684" s="34"/>
      <c r="U684" s="34"/>
      <c r="V684" s="34"/>
    </row>
    <row r="685" spans="2:22" x14ac:dyDescent="0.3">
      <c r="B685" s="33"/>
      <c r="C685" s="34"/>
      <c r="D685" s="34"/>
      <c r="E685" s="34"/>
      <c r="F685" s="34"/>
      <c r="G685" s="34"/>
      <c r="H685" s="34"/>
      <c r="I685" s="34"/>
      <c r="J685" s="34"/>
      <c r="K685" s="35"/>
      <c r="L685" s="34"/>
      <c r="M685" s="34"/>
      <c r="N685" s="34"/>
      <c r="O685" s="34"/>
      <c r="P685" s="34"/>
      <c r="Q685" s="34"/>
      <c r="R685" s="34"/>
      <c r="S685" s="34"/>
      <c r="T685" s="34"/>
      <c r="U685" s="34"/>
      <c r="V685" s="34"/>
    </row>
    <row r="686" spans="2:22" x14ac:dyDescent="0.3">
      <c r="B686" s="33"/>
      <c r="C686" s="34"/>
      <c r="D686" s="34"/>
      <c r="E686" s="34"/>
      <c r="F686" s="34"/>
      <c r="G686" s="34"/>
      <c r="H686" s="34"/>
      <c r="I686" s="34"/>
      <c r="J686" s="34"/>
      <c r="K686" s="35"/>
      <c r="L686" s="34"/>
      <c r="M686" s="34"/>
      <c r="N686" s="34"/>
      <c r="O686" s="34"/>
      <c r="P686" s="34"/>
      <c r="Q686" s="34"/>
      <c r="R686" s="34"/>
      <c r="S686" s="34"/>
      <c r="T686" s="34"/>
      <c r="U686" s="34"/>
      <c r="V686" s="34"/>
    </row>
    <row r="687" spans="2:22" x14ac:dyDescent="0.3">
      <c r="B687" s="33"/>
      <c r="C687" s="34"/>
      <c r="D687" s="34"/>
      <c r="E687" s="34"/>
      <c r="F687" s="34"/>
      <c r="G687" s="34"/>
      <c r="H687" s="34"/>
      <c r="I687" s="34"/>
      <c r="J687" s="34"/>
      <c r="K687" s="35"/>
      <c r="L687" s="34"/>
      <c r="M687" s="34"/>
      <c r="N687" s="34"/>
      <c r="O687" s="34"/>
      <c r="P687" s="34"/>
      <c r="Q687" s="34"/>
      <c r="R687" s="34"/>
      <c r="S687" s="34"/>
      <c r="T687" s="34"/>
      <c r="U687" s="34"/>
      <c r="V687" s="34"/>
    </row>
    <row r="688" spans="2:22" x14ac:dyDescent="0.3">
      <c r="B688" s="33"/>
      <c r="C688" s="34"/>
      <c r="D688" s="34"/>
      <c r="E688" s="34"/>
      <c r="F688" s="34"/>
      <c r="G688" s="34"/>
      <c r="H688" s="34"/>
      <c r="I688" s="34"/>
      <c r="J688" s="34"/>
      <c r="K688" s="35"/>
      <c r="L688" s="34"/>
      <c r="M688" s="34"/>
      <c r="N688" s="34"/>
      <c r="O688" s="34"/>
      <c r="P688" s="34"/>
      <c r="Q688" s="34"/>
      <c r="R688" s="34"/>
      <c r="S688" s="34"/>
      <c r="T688" s="34"/>
      <c r="U688" s="34"/>
      <c r="V688" s="34"/>
    </row>
    <row r="689" spans="2:22" x14ac:dyDescent="0.3">
      <c r="B689" s="33"/>
      <c r="C689" s="34"/>
      <c r="D689" s="34"/>
      <c r="E689" s="34"/>
      <c r="F689" s="34"/>
      <c r="G689" s="34"/>
      <c r="H689" s="34"/>
      <c r="I689" s="34"/>
      <c r="J689" s="34"/>
      <c r="K689" s="35"/>
      <c r="L689" s="34"/>
      <c r="M689" s="34"/>
      <c r="N689" s="34"/>
      <c r="O689" s="34"/>
      <c r="P689" s="34"/>
      <c r="Q689" s="34"/>
      <c r="R689" s="34"/>
      <c r="S689" s="34"/>
      <c r="T689" s="34"/>
      <c r="U689" s="34"/>
      <c r="V689" s="34"/>
    </row>
    <row r="690" spans="2:22" x14ac:dyDescent="0.3">
      <c r="B690" s="33"/>
      <c r="C690" s="34"/>
      <c r="D690" s="34"/>
      <c r="E690" s="34"/>
      <c r="F690" s="34"/>
      <c r="G690" s="34"/>
      <c r="H690" s="34"/>
      <c r="I690" s="34"/>
      <c r="J690" s="34"/>
      <c r="K690" s="35"/>
      <c r="L690" s="34"/>
      <c r="M690" s="34"/>
      <c r="N690" s="34"/>
      <c r="O690" s="34"/>
      <c r="P690" s="34"/>
      <c r="Q690" s="34"/>
      <c r="R690" s="34"/>
      <c r="S690" s="34"/>
      <c r="T690" s="34"/>
      <c r="U690" s="34"/>
      <c r="V690" s="34"/>
    </row>
    <row r="691" spans="2:22" x14ac:dyDescent="0.3">
      <c r="B691" s="33"/>
      <c r="C691" s="34"/>
      <c r="D691" s="34"/>
      <c r="E691" s="34"/>
      <c r="F691" s="34"/>
      <c r="G691" s="34"/>
      <c r="H691" s="34"/>
      <c r="I691" s="34"/>
      <c r="J691" s="34"/>
      <c r="K691" s="35"/>
      <c r="L691" s="34"/>
      <c r="M691" s="34"/>
      <c r="N691" s="34"/>
      <c r="O691" s="34"/>
      <c r="P691" s="34"/>
      <c r="Q691" s="34"/>
      <c r="R691" s="34"/>
      <c r="S691" s="34"/>
      <c r="T691" s="34"/>
      <c r="U691" s="34"/>
      <c r="V691" s="34"/>
    </row>
    <row r="692" spans="2:22" x14ac:dyDescent="0.3">
      <c r="B692" s="33"/>
      <c r="C692" s="34"/>
      <c r="D692" s="34"/>
      <c r="E692" s="34"/>
      <c r="F692" s="34"/>
      <c r="G692" s="34"/>
      <c r="H692" s="34"/>
      <c r="I692" s="34"/>
      <c r="J692" s="34"/>
      <c r="K692" s="35"/>
      <c r="L692" s="34"/>
      <c r="M692" s="34"/>
      <c r="N692" s="34"/>
      <c r="O692" s="34"/>
      <c r="P692" s="34"/>
      <c r="Q692" s="34"/>
      <c r="R692" s="34"/>
      <c r="S692" s="34"/>
      <c r="T692" s="34"/>
      <c r="U692" s="34"/>
      <c r="V692" s="34"/>
    </row>
    <row r="693" spans="2:22" x14ac:dyDescent="0.3">
      <c r="B693" s="33"/>
      <c r="C693" s="34"/>
      <c r="D693" s="34"/>
      <c r="E693" s="34"/>
      <c r="F693" s="34"/>
      <c r="G693" s="34"/>
      <c r="H693" s="34"/>
      <c r="I693" s="34"/>
      <c r="J693" s="34"/>
      <c r="K693" s="35"/>
      <c r="L693" s="34"/>
      <c r="M693" s="34"/>
      <c r="N693" s="34"/>
      <c r="O693" s="34"/>
      <c r="P693" s="34"/>
      <c r="Q693" s="34"/>
      <c r="R693" s="34"/>
      <c r="S693" s="34"/>
      <c r="T693" s="34"/>
      <c r="U693" s="34"/>
      <c r="V693" s="34"/>
    </row>
    <row r="694" spans="2:22" x14ac:dyDescent="0.3">
      <c r="B694" s="33"/>
      <c r="C694" s="34"/>
      <c r="D694" s="34"/>
      <c r="E694" s="34"/>
      <c r="F694" s="34"/>
      <c r="G694" s="34"/>
      <c r="H694" s="34"/>
      <c r="I694" s="34"/>
      <c r="J694" s="34"/>
      <c r="K694" s="35"/>
      <c r="L694" s="34"/>
      <c r="M694" s="34"/>
      <c r="N694" s="34"/>
      <c r="O694" s="34"/>
      <c r="P694" s="34"/>
      <c r="Q694" s="34"/>
      <c r="R694" s="34"/>
      <c r="S694" s="34"/>
      <c r="T694" s="34"/>
      <c r="U694" s="34"/>
      <c r="V694" s="34"/>
    </row>
    <row r="695" spans="2:22" x14ac:dyDescent="0.3">
      <c r="B695" s="33"/>
      <c r="C695" s="34"/>
      <c r="D695" s="34"/>
      <c r="E695" s="34"/>
      <c r="F695" s="34"/>
      <c r="G695" s="34"/>
      <c r="H695" s="34"/>
      <c r="I695" s="34"/>
      <c r="J695" s="34"/>
      <c r="K695" s="35"/>
      <c r="L695" s="34"/>
      <c r="M695" s="34"/>
      <c r="N695" s="34"/>
      <c r="O695" s="34"/>
      <c r="P695" s="34"/>
      <c r="Q695" s="34"/>
      <c r="R695" s="34"/>
      <c r="S695" s="34"/>
      <c r="T695" s="34"/>
      <c r="U695" s="34"/>
      <c r="V695" s="34"/>
    </row>
    <row r="696" spans="2:22" x14ac:dyDescent="0.3">
      <c r="B696" s="33"/>
      <c r="C696" s="34"/>
      <c r="D696" s="34"/>
      <c r="E696" s="34"/>
      <c r="F696" s="34"/>
      <c r="G696" s="34"/>
      <c r="H696" s="34"/>
      <c r="I696" s="34"/>
      <c r="J696" s="34"/>
      <c r="K696" s="35"/>
      <c r="L696" s="34"/>
      <c r="M696" s="34"/>
      <c r="N696" s="34"/>
      <c r="O696" s="34"/>
      <c r="P696" s="34"/>
      <c r="Q696" s="34"/>
      <c r="R696" s="34"/>
      <c r="S696" s="34"/>
      <c r="T696" s="34"/>
      <c r="U696" s="34"/>
      <c r="V696" s="34"/>
    </row>
    <row r="697" spans="2:22" x14ac:dyDescent="0.3">
      <c r="B697" s="33"/>
      <c r="C697" s="34"/>
      <c r="D697" s="34"/>
      <c r="E697" s="34"/>
      <c r="F697" s="34"/>
      <c r="G697" s="34"/>
      <c r="H697" s="34"/>
      <c r="I697" s="34"/>
      <c r="J697" s="34"/>
      <c r="K697" s="35"/>
      <c r="L697" s="34"/>
      <c r="M697" s="34"/>
      <c r="N697" s="34"/>
      <c r="O697" s="34"/>
      <c r="P697" s="34"/>
      <c r="Q697" s="34"/>
      <c r="R697" s="34"/>
      <c r="S697" s="34"/>
      <c r="T697" s="34"/>
      <c r="U697" s="34"/>
      <c r="V697" s="34"/>
    </row>
    <row r="698" spans="2:22" x14ac:dyDescent="0.3">
      <c r="B698" s="33"/>
      <c r="C698" s="34"/>
      <c r="D698" s="34"/>
      <c r="E698" s="34"/>
      <c r="F698" s="34"/>
      <c r="G698" s="34"/>
      <c r="H698" s="34"/>
      <c r="I698" s="34"/>
      <c r="J698" s="34"/>
      <c r="K698" s="35"/>
      <c r="L698" s="34"/>
      <c r="M698" s="34"/>
      <c r="N698" s="34"/>
      <c r="O698" s="34"/>
      <c r="P698" s="34"/>
      <c r="Q698" s="34"/>
      <c r="R698" s="34"/>
      <c r="S698" s="34"/>
      <c r="T698" s="34"/>
      <c r="U698" s="34"/>
      <c r="V698" s="34"/>
    </row>
    <row r="699" spans="2:22" x14ac:dyDescent="0.3">
      <c r="B699" s="33"/>
      <c r="C699" s="34"/>
      <c r="D699" s="34"/>
      <c r="E699" s="34"/>
      <c r="F699" s="34"/>
      <c r="G699" s="34"/>
      <c r="H699" s="34"/>
      <c r="I699" s="34"/>
      <c r="J699" s="34"/>
      <c r="K699" s="35"/>
      <c r="L699" s="34"/>
      <c r="M699" s="34"/>
      <c r="N699" s="34"/>
      <c r="O699" s="34"/>
      <c r="P699" s="34"/>
      <c r="Q699" s="34"/>
      <c r="R699" s="34"/>
      <c r="S699" s="34"/>
      <c r="T699" s="34"/>
      <c r="U699" s="34"/>
      <c r="V699" s="34"/>
    </row>
    <row r="700" spans="2:22" x14ac:dyDescent="0.3">
      <c r="B700" s="33"/>
      <c r="C700" s="34"/>
      <c r="D700" s="34"/>
      <c r="E700" s="34"/>
      <c r="F700" s="34"/>
      <c r="G700" s="34"/>
      <c r="H700" s="34"/>
      <c r="I700" s="34"/>
      <c r="J700" s="34"/>
      <c r="K700" s="35"/>
      <c r="L700" s="34"/>
      <c r="M700" s="34"/>
      <c r="N700" s="34"/>
      <c r="O700" s="34"/>
      <c r="P700" s="34"/>
      <c r="Q700" s="34"/>
      <c r="R700" s="34"/>
      <c r="S700" s="34"/>
      <c r="T700" s="34"/>
      <c r="U700" s="34"/>
      <c r="V700" s="34"/>
    </row>
    <row r="701" spans="2:22" x14ac:dyDescent="0.3">
      <c r="B701" s="33"/>
      <c r="C701" s="34"/>
      <c r="D701" s="34"/>
      <c r="E701" s="34"/>
      <c r="F701" s="34"/>
      <c r="G701" s="34"/>
      <c r="H701" s="34"/>
      <c r="I701" s="34"/>
      <c r="J701" s="34"/>
      <c r="K701" s="35"/>
      <c r="L701" s="34"/>
      <c r="M701" s="34"/>
      <c r="N701" s="34"/>
      <c r="O701" s="34"/>
      <c r="P701" s="34"/>
      <c r="Q701" s="34"/>
      <c r="R701" s="34"/>
      <c r="S701" s="34"/>
      <c r="T701" s="34"/>
      <c r="U701" s="34"/>
      <c r="V701" s="34"/>
    </row>
    <row r="702" spans="2:22" x14ac:dyDescent="0.3">
      <c r="B702" s="33"/>
      <c r="C702" s="34"/>
      <c r="D702" s="34"/>
      <c r="E702" s="34"/>
      <c r="F702" s="34"/>
      <c r="G702" s="34"/>
      <c r="H702" s="34"/>
      <c r="I702" s="34"/>
      <c r="J702" s="34"/>
      <c r="K702" s="35"/>
      <c r="L702" s="34"/>
      <c r="M702" s="34"/>
      <c r="N702" s="34"/>
      <c r="O702" s="34"/>
      <c r="P702" s="34"/>
      <c r="Q702" s="34"/>
      <c r="R702" s="34"/>
      <c r="S702" s="34"/>
      <c r="T702" s="34"/>
      <c r="U702" s="34"/>
      <c r="V702" s="34"/>
    </row>
    <row r="703" spans="2:22" x14ac:dyDescent="0.3">
      <c r="B703" s="33"/>
      <c r="C703" s="34"/>
      <c r="D703" s="34"/>
      <c r="E703" s="34"/>
      <c r="F703" s="34"/>
      <c r="G703" s="34"/>
      <c r="H703" s="34"/>
      <c r="I703" s="34"/>
      <c r="J703" s="34"/>
      <c r="K703" s="35"/>
      <c r="L703" s="34"/>
      <c r="M703" s="34"/>
      <c r="N703" s="34"/>
      <c r="O703" s="34"/>
      <c r="P703" s="34"/>
      <c r="Q703" s="34"/>
      <c r="R703" s="34"/>
      <c r="S703" s="34"/>
      <c r="T703" s="34"/>
      <c r="U703" s="34"/>
      <c r="V703" s="34"/>
    </row>
    <row r="704" spans="2:22" x14ac:dyDescent="0.3">
      <c r="B704" s="33"/>
      <c r="C704" s="34"/>
      <c r="D704" s="34"/>
      <c r="E704" s="34"/>
      <c r="F704" s="34"/>
      <c r="G704" s="34"/>
      <c r="H704" s="34"/>
      <c r="I704" s="34"/>
      <c r="J704" s="34"/>
      <c r="K704" s="35"/>
      <c r="L704" s="34"/>
      <c r="M704" s="34"/>
      <c r="N704" s="34"/>
      <c r="O704" s="34"/>
      <c r="P704" s="34"/>
      <c r="Q704" s="34"/>
      <c r="R704" s="34"/>
      <c r="S704" s="34"/>
      <c r="T704" s="34"/>
      <c r="U704" s="34"/>
      <c r="V704" s="34"/>
    </row>
    <row r="705" spans="2:22" x14ac:dyDescent="0.3">
      <c r="B705" s="33"/>
      <c r="C705" s="34"/>
      <c r="D705" s="34"/>
      <c r="E705" s="34"/>
      <c r="F705" s="34"/>
      <c r="G705" s="34"/>
      <c r="H705" s="34"/>
      <c r="I705" s="34"/>
      <c r="J705" s="34"/>
      <c r="K705" s="35"/>
      <c r="L705" s="34"/>
      <c r="M705" s="34"/>
      <c r="N705" s="34"/>
      <c r="O705" s="34"/>
      <c r="P705" s="34"/>
      <c r="Q705" s="34"/>
      <c r="R705" s="34"/>
      <c r="S705" s="34"/>
      <c r="T705" s="34"/>
      <c r="U705" s="34"/>
      <c r="V705" s="34"/>
    </row>
    <row r="706" spans="2:22" x14ac:dyDescent="0.3">
      <c r="B706" s="33"/>
      <c r="C706" s="34"/>
      <c r="D706" s="34"/>
      <c r="E706" s="34"/>
      <c r="F706" s="34"/>
      <c r="G706" s="34"/>
      <c r="H706" s="34"/>
      <c r="I706" s="34"/>
      <c r="J706" s="34"/>
      <c r="K706" s="35"/>
      <c r="L706" s="34"/>
      <c r="M706" s="34"/>
      <c r="N706" s="34"/>
      <c r="O706" s="34"/>
      <c r="P706" s="34"/>
      <c r="Q706" s="34"/>
      <c r="R706" s="34"/>
      <c r="S706" s="34"/>
      <c r="T706" s="34"/>
      <c r="U706" s="34"/>
      <c r="V706" s="34"/>
    </row>
    <row r="707" spans="2:22" x14ac:dyDescent="0.3">
      <c r="B707" s="33"/>
      <c r="C707" s="34"/>
      <c r="D707" s="34"/>
      <c r="E707" s="34"/>
      <c r="F707" s="34"/>
      <c r="G707" s="34"/>
      <c r="H707" s="34"/>
      <c r="I707" s="34"/>
      <c r="J707" s="34"/>
      <c r="K707" s="35"/>
      <c r="L707" s="34"/>
      <c r="M707" s="34"/>
      <c r="N707" s="34"/>
      <c r="O707" s="34"/>
      <c r="P707" s="34"/>
      <c r="Q707" s="34"/>
      <c r="R707" s="34"/>
      <c r="S707" s="34"/>
      <c r="T707" s="34"/>
      <c r="U707" s="34"/>
      <c r="V707" s="34"/>
    </row>
    <row r="708" spans="2:22" x14ac:dyDescent="0.3">
      <c r="B708" s="33"/>
      <c r="C708" s="34"/>
      <c r="D708" s="34"/>
      <c r="E708" s="34"/>
      <c r="F708" s="34"/>
      <c r="G708" s="34"/>
      <c r="H708" s="34"/>
      <c r="I708" s="34"/>
      <c r="J708" s="34"/>
      <c r="K708" s="35"/>
      <c r="L708" s="34"/>
      <c r="M708" s="34"/>
      <c r="N708" s="34"/>
      <c r="O708" s="34"/>
      <c r="P708" s="34"/>
      <c r="Q708" s="34"/>
      <c r="R708" s="34"/>
      <c r="S708" s="34"/>
      <c r="T708" s="34"/>
      <c r="U708" s="34"/>
      <c r="V708" s="34"/>
    </row>
    <row r="709" spans="2:22" x14ac:dyDescent="0.3">
      <c r="B709" s="33"/>
      <c r="C709" s="34"/>
      <c r="D709" s="34"/>
      <c r="E709" s="34"/>
      <c r="F709" s="34"/>
      <c r="G709" s="34"/>
      <c r="H709" s="34"/>
      <c r="I709" s="34"/>
      <c r="J709" s="34"/>
      <c r="K709" s="35"/>
      <c r="L709" s="34"/>
      <c r="M709" s="34"/>
      <c r="N709" s="34"/>
      <c r="O709" s="34"/>
      <c r="P709" s="34"/>
      <c r="Q709" s="34"/>
      <c r="R709" s="34"/>
      <c r="S709" s="34"/>
      <c r="T709" s="34"/>
      <c r="U709" s="34"/>
      <c r="V709" s="34"/>
    </row>
    <row r="710" spans="2:22" x14ac:dyDescent="0.3">
      <c r="B710" s="33"/>
      <c r="C710" s="34"/>
      <c r="D710" s="34"/>
      <c r="E710" s="34"/>
      <c r="F710" s="34"/>
      <c r="G710" s="34"/>
      <c r="H710" s="34"/>
      <c r="I710" s="34"/>
      <c r="J710" s="34"/>
      <c r="K710" s="35"/>
      <c r="L710" s="34"/>
      <c r="M710" s="34"/>
      <c r="N710" s="34"/>
      <c r="O710" s="34"/>
      <c r="P710" s="34"/>
      <c r="Q710" s="34"/>
      <c r="R710" s="34"/>
      <c r="S710" s="34"/>
      <c r="T710" s="34"/>
      <c r="U710" s="34"/>
      <c r="V710" s="34"/>
    </row>
    <row r="711" spans="2:22" x14ac:dyDescent="0.3">
      <c r="B711" s="33"/>
      <c r="C711" s="34"/>
      <c r="D711" s="34"/>
      <c r="E711" s="34"/>
      <c r="F711" s="34"/>
      <c r="G711" s="34"/>
      <c r="H711" s="34"/>
      <c r="I711" s="34"/>
      <c r="J711" s="34"/>
      <c r="K711" s="35"/>
      <c r="L711" s="34"/>
      <c r="M711" s="34"/>
      <c r="N711" s="34"/>
      <c r="O711" s="34"/>
      <c r="P711" s="34"/>
      <c r="Q711" s="34"/>
      <c r="R711" s="34"/>
      <c r="S711" s="34"/>
      <c r="T711" s="34"/>
      <c r="U711" s="34"/>
      <c r="V711" s="34"/>
    </row>
    <row r="712" spans="2:22" x14ac:dyDescent="0.3">
      <c r="B712" s="33"/>
      <c r="C712" s="34"/>
      <c r="D712" s="34"/>
      <c r="E712" s="34"/>
      <c r="F712" s="34"/>
      <c r="G712" s="34"/>
      <c r="H712" s="34"/>
      <c r="I712" s="34"/>
      <c r="J712" s="34"/>
      <c r="K712" s="35"/>
      <c r="L712" s="34"/>
      <c r="M712" s="34"/>
      <c r="N712" s="34"/>
      <c r="O712" s="34"/>
      <c r="P712" s="34"/>
      <c r="Q712" s="34"/>
      <c r="R712" s="34"/>
      <c r="S712" s="34"/>
      <c r="T712" s="34"/>
      <c r="U712" s="34"/>
      <c r="V712" s="34"/>
    </row>
    <row r="713" spans="2:22" x14ac:dyDescent="0.3">
      <c r="B713" s="33"/>
      <c r="C713" s="34"/>
      <c r="D713" s="34"/>
      <c r="E713" s="34"/>
      <c r="F713" s="34"/>
      <c r="G713" s="34"/>
      <c r="H713" s="34"/>
      <c r="I713" s="34"/>
      <c r="J713" s="34"/>
      <c r="K713" s="35"/>
      <c r="L713" s="34"/>
      <c r="M713" s="34"/>
      <c r="N713" s="34"/>
      <c r="O713" s="34"/>
      <c r="P713" s="34"/>
      <c r="Q713" s="34"/>
      <c r="R713" s="34"/>
      <c r="S713" s="34"/>
      <c r="T713" s="34"/>
      <c r="U713" s="34"/>
      <c r="V713" s="34"/>
    </row>
    <row r="714" spans="2:22" x14ac:dyDescent="0.3">
      <c r="B714" s="33"/>
      <c r="C714" s="34"/>
      <c r="D714" s="34"/>
      <c r="E714" s="34"/>
      <c r="F714" s="34"/>
      <c r="G714" s="34"/>
      <c r="H714" s="34"/>
      <c r="I714" s="34"/>
      <c r="J714" s="34"/>
      <c r="K714" s="35"/>
      <c r="L714" s="34"/>
      <c r="M714" s="34"/>
      <c r="N714" s="34"/>
      <c r="O714" s="34"/>
      <c r="P714" s="34"/>
      <c r="Q714" s="34"/>
      <c r="R714" s="34"/>
      <c r="S714" s="34"/>
      <c r="T714" s="34"/>
      <c r="U714" s="34"/>
      <c r="V714" s="34"/>
    </row>
    <row r="715" spans="2:22" x14ac:dyDescent="0.3">
      <c r="B715" s="33"/>
      <c r="C715" s="34"/>
      <c r="D715" s="34"/>
      <c r="E715" s="34"/>
      <c r="F715" s="34"/>
      <c r="G715" s="34"/>
      <c r="H715" s="34"/>
      <c r="I715" s="34"/>
      <c r="J715" s="34"/>
      <c r="K715" s="35"/>
      <c r="L715" s="34"/>
      <c r="M715" s="34"/>
      <c r="N715" s="34"/>
      <c r="O715" s="34"/>
      <c r="P715" s="34"/>
      <c r="Q715" s="34"/>
      <c r="R715" s="34"/>
      <c r="S715" s="34"/>
      <c r="T715" s="34"/>
      <c r="U715" s="34"/>
      <c r="V715" s="34"/>
    </row>
    <row r="716" spans="2:22" x14ac:dyDescent="0.3">
      <c r="B716" s="33"/>
      <c r="C716" s="34"/>
      <c r="D716" s="34"/>
      <c r="E716" s="34"/>
      <c r="F716" s="34"/>
      <c r="G716" s="34"/>
      <c r="H716" s="34"/>
      <c r="I716" s="34"/>
      <c r="J716" s="34"/>
      <c r="K716" s="35"/>
      <c r="L716" s="34"/>
      <c r="M716" s="34"/>
      <c r="N716" s="34"/>
      <c r="O716" s="34"/>
      <c r="P716" s="34"/>
      <c r="Q716" s="34"/>
      <c r="R716" s="34"/>
      <c r="S716" s="34"/>
      <c r="T716" s="34"/>
      <c r="U716" s="34"/>
      <c r="V716" s="34"/>
    </row>
    <row r="717" spans="2:22" x14ac:dyDescent="0.3">
      <c r="B717" s="33"/>
      <c r="C717" s="34"/>
      <c r="D717" s="34"/>
      <c r="E717" s="34"/>
      <c r="F717" s="34"/>
      <c r="G717" s="34"/>
      <c r="H717" s="34"/>
      <c r="I717" s="34"/>
      <c r="J717" s="34"/>
      <c r="K717" s="35"/>
      <c r="L717" s="34"/>
      <c r="M717" s="34"/>
      <c r="N717" s="34"/>
      <c r="O717" s="34"/>
      <c r="P717" s="34"/>
      <c r="Q717" s="34"/>
      <c r="R717" s="34"/>
      <c r="S717" s="34"/>
      <c r="T717" s="34"/>
      <c r="U717" s="34"/>
      <c r="V717" s="34"/>
    </row>
    <row r="718" spans="2:22" x14ac:dyDescent="0.3">
      <c r="B718" s="33"/>
      <c r="C718" s="34"/>
      <c r="D718" s="34"/>
      <c r="E718" s="34"/>
      <c r="F718" s="34"/>
      <c r="G718" s="34"/>
      <c r="H718" s="34"/>
      <c r="I718" s="34"/>
      <c r="J718" s="34"/>
      <c r="K718" s="35"/>
      <c r="L718" s="34"/>
      <c r="M718" s="34"/>
      <c r="N718" s="34"/>
      <c r="O718" s="34"/>
      <c r="P718" s="34"/>
      <c r="Q718" s="34"/>
      <c r="R718" s="34"/>
      <c r="S718" s="34"/>
      <c r="T718" s="34"/>
      <c r="U718" s="34"/>
      <c r="V718" s="34"/>
    </row>
    <row r="719" spans="2:22" x14ac:dyDescent="0.3">
      <c r="B719" s="33"/>
      <c r="C719" s="34"/>
      <c r="D719" s="34"/>
      <c r="E719" s="34"/>
      <c r="F719" s="34"/>
      <c r="G719" s="34"/>
      <c r="H719" s="34"/>
      <c r="I719" s="34"/>
      <c r="J719" s="34"/>
      <c r="K719" s="35"/>
      <c r="L719" s="34"/>
      <c r="M719" s="34"/>
      <c r="N719" s="34"/>
      <c r="O719" s="34"/>
      <c r="P719" s="34"/>
      <c r="Q719" s="34"/>
      <c r="R719" s="34"/>
      <c r="S719" s="34"/>
      <c r="T719" s="34"/>
      <c r="U719" s="34"/>
      <c r="V719" s="34"/>
    </row>
    <row r="720" spans="2:22" x14ac:dyDescent="0.3">
      <c r="B720" s="33"/>
      <c r="C720" s="34"/>
      <c r="D720" s="34"/>
      <c r="E720" s="34"/>
      <c r="F720" s="34"/>
      <c r="G720" s="34"/>
      <c r="H720" s="34"/>
      <c r="I720" s="34"/>
      <c r="J720" s="34"/>
      <c r="K720" s="35"/>
      <c r="L720" s="34"/>
      <c r="M720" s="34"/>
      <c r="N720" s="34"/>
      <c r="O720" s="34"/>
      <c r="P720" s="34"/>
      <c r="Q720" s="34"/>
      <c r="R720" s="34"/>
      <c r="S720" s="34"/>
      <c r="T720" s="34"/>
      <c r="U720" s="34"/>
      <c r="V720" s="34"/>
    </row>
    <row r="721" spans="2:22" x14ac:dyDescent="0.3">
      <c r="B721" s="33"/>
      <c r="C721" s="34"/>
      <c r="D721" s="34"/>
      <c r="E721" s="34"/>
      <c r="F721" s="34"/>
      <c r="G721" s="34"/>
      <c r="H721" s="34"/>
      <c r="I721" s="34"/>
      <c r="J721" s="34"/>
      <c r="K721" s="35"/>
      <c r="L721" s="34"/>
      <c r="M721" s="34"/>
      <c r="N721" s="34"/>
      <c r="O721" s="34"/>
      <c r="P721" s="34"/>
      <c r="Q721" s="34"/>
      <c r="R721" s="34"/>
      <c r="S721" s="34"/>
      <c r="T721" s="34"/>
      <c r="U721" s="34"/>
      <c r="V721" s="34"/>
    </row>
    <row r="722" spans="2:22" x14ac:dyDescent="0.3">
      <c r="B722" s="33"/>
      <c r="C722" s="34"/>
      <c r="D722" s="34"/>
      <c r="E722" s="34"/>
      <c r="F722" s="34"/>
      <c r="G722" s="34"/>
      <c r="H722" s="34"/>
      <c r="I722" s="34"/>
      <c r="J722" s="34"/>
      <c r="K722" s="35"/>
      <c r="L722" s="34"/>
      <c r="M722" s="34"/>
      <c r="N722" s="34"/>
      <c r="O722" s="34"/>
      <c r="P722" s="34"/>
      <c r="Q722" s="34"/>
      <c r="R722" s="34"/>
      <c r="S722" s="34"/>
      <c r="T722" s="34"/>
      <c r="U722" s="34"/>
      <c r="V722" s="34"/>
    </row>
    <row r="723" spans="2:22" x14ac:dyDescent="0.3">
      <c r="B723" s="33"/>
      <c r="C723" s="34"/>
      <c r="D723" s="34"/>
      <c r="E723" s="34"/>
      <c r="F723" s="34"/>
      <c r="G723" s="34"/>
      <c r="H723" s="34"/>
      <c r="I723" s="34"/>
      <c r="J723" s="34"/>
      <c r="K723" s="35"/>
      <c r="L723" s="34"/>
      <c r="M723" s="34"/>
      <c r="N723" s="34"/>
      <c r="O723" s="34"/>
      <c r="P723" s="34"/>
      <c r="Q723" s="34"/>
      <c r="R723" s="34"/>
      <c r="S723" s="34"/>
      <c r="T723" s="34"/>
      <c r="U723" s="34"/>
      <c r="V723" s="34"/>
    </row>
    <row r="724" spans="2:22" x14ac:dyDescent="0.3">
      <c r="B724" s="33"/>
      <c r="C724" s="34"/>
      <c r="D724" s="34"/>
      <c r="E724" s="34"/>
      <c r="F724" s="34"/>
      <c r="G724" s="34"/>
      <c r="H724" s="34"/>
      <c r="I724" s="34"/>
      <c r="J724" s="34"/>
      <c r="K724" s="35"/>
      <c r="L724" s="34"/>
      <c r="M724" s="34"/>
      <c r="N724" s="34"/>
      <c r="O724" s="34"/>
      <c r="P724" s="34"/>
      <c r="Q724" s="34"/>
      <c r="R724" s="34"/>
      <c r="S724" s="34"/>
      <c r="T724" s="34"/>
      <c r="U724" s="34"/>
      <c r="V724" s="34"/>
    </row>
    <row r="725" spans="2:22" x14ac:dyDescent="0.3">
      <c r="B725" s="33"/>
      <c r="C725" s="34"/>
      <c r="D725" s="34"/>
      <c r="E725" s="34"/>
      <c r="F725" s="34"/>
      <c r="G725" s="34"/>
      <c r="H725" s="34"/>
      <c r="I725" s="34"/>
      <c r="J725" s="34"/>
      <c r="K725" s="35"/>
      <c r="L725" s="34"/>
      <c r="M725" s="34"/>
      <c r="N725" s="34"/>
      <c r="O725" s="34"/>
      <c r="P725" s="34"/>
      <c r="Q725" s="34"/>
      <c r="R725" s="34"/>
      <c r="S725" s="34"/>
      <c r="T725" s="34"/>
      <c r="U725" s="34"/>
      <c r="V725" s="34"/>
    </row>
    <row r="726" spans="2:22" x14ac:dyDescent="0.3">
      <c r="B726" s="33"/>
      <c r="C726" s="34"/>
      <c r="D726" s="34"/>
      <c r="E726" s="34"/>
      <c r="F726" s="34"/>
      <c r="G726" s="34"/>
      <c r="H726" s="34"/>
      <c r="I726" s="34"/>
      <c r="J726" s="34"/>
      <c r="K726" s="35"/>
      <c r="L726" s="34"/>
      <c r="M726" s="34"/>
      <c r="N726" s="34"/>
      <c r="O726" s="34"/>
      <c r="P726" s="34"/>
      <c r="Q726" s="34"/>
      <c r="R726" s="34"/>
      <c r="S726" s="34"/>
      <c r="T726" s="34"/>
      <c r="U726" s="34"/>
      <c r="V726" s="34"/>
    </row>
    <row r="727" spans="2:22" x14ac:dyDescent="0.3">
      <c r="B727" s="33"/>
      <c r="C727" s="34"/>
      <c r="D727" s="34"/>
      <c r="E727" s="34"/>
      <c r="F727" s="34"/>
      <c r="G727" s="34"/>
      <c r="H727" s="34"/>
      <c r="I727" s="34"/>
      <c r="J727" s="34"/>
      <c r="K727" s="35"/>
      <c r="L727" s="34"/>
      <c r="M727" s="34"/>
      <c r="N727" s="34"/>
      <c r="O727" s="34"/>
      <c r="P727" s="34"/>
      <c r="Q727" s="34"/>
      <c r="R727" s="34"/>
      <c r="S727" s="34"/>
      <c r="T727" s="34"/>
      <c r="U727" s="34"/>
      <c r="V727" s="34"/>
    </row>
    <row r="728" spans="2:22" x14ac:dyDescent="0.3">
      <c r="B728" s="33"/>
      <c r="C728" s="34"/>
      <c r="D728" s="34"/>
      <c r="E728" s="34"/>
      <c r="F728" s="34"/>
      <c r="G728" s="34"/>
      <c r="H728" s="34"/>
      <c r="I728" s="34"/>
      <c r="J728" s="34"/>
      <c r="K728" s="35"/>
      <c r="L728" s="34"/>
      <c r="M728" s="34"/>
      <c r="N728" s="34"/>
      <c r="O728" s="34"/>
      <c r="P728" s="34"/>
      <c r="Q728" s="34"/>
      <c r="R728" s="34"/>
      <c r="S728" s="34"/>
      <c r="T728" s="34"/>
      <c r="U728" s="34"/>
      <c r="V728" s="34"/>
    </row>
    <row r="729" spans="2:22" x14ac:dyDescent="0.3">
      <c r="B729" s="33"/>
      <c r="C729" s="34"/>
      <c r="D729" s="34"/>
      <c r="E729" s="34"/>
      <c r="F729" s="34"/>
      <c r="G729" s="34"/>
      <c r="H729" s="34"/>
      <c r="I729" s="34"/>
      <c r="J729" s="34"/>
      <c r="K729" s="35"/>
      <c r="L729" s="34"/>
      <c r="M729" s="34"/>
      <c r="N729" s="34"/>
      <c r="O729" s="34"/>
      <c r="P729" s="34"/>
      <c r="Q729" s="34"/>
      <c r="R729" s="34"/>
      <c r="S729" s="34"/>
      <c r="T729" s="34"/>
      <c r="U729" s="34"/>
      <c r="V729" s="34"/>
    </row>
    <row r="730" spans="2:22" x14ac:dyDescent="0.3">
      <c r="B730" s="33"/>
      <c r="C730" s="34"/>
      <c r="D730" s="34"/>
      <c r="E730" s="34"/>
      <c r="F730" s="34"/>
      <c r="G730" s="34"/>
      <c r="H730" s="34"/>
      <c r="I730" s="34"/>
      <c r="J730" s="34"/>
      <c r="K730" s="35"/>
      <c r="L730" s="34"/>
      <c r="M730" s="34"/>
      <c r="N730" s="34"/>
      <c r="O730" s="34"/>
      <c r="P730" s="34"/>
      <c r="Q730" s="34"/>
      <c r="R730" s="34"/>
      <c r="S730" s="34"/>
      <c r="T730" s="34"/>
      <c r="U730" s="34"/>
      <c r="V730" s="34"/>
    </row>
    <row r="731" spans="2:22" x14ac:dyDescent="0.3">
      <c r="B731" s="33"/>
      <c r="C731" s="34"/>
      <c r="D731" s="34"/>
      <c r="E731" s="34"/>
      <c r="F731" s="34"/>
      <c r="G731" s="34"/>
      <c r="H731" s="34"/>
      <c r="I731" s="34"/>
      <c r="J731" s="34"/>
      <c r="K731" s="35"/>
      <c r="L731" s="34"/>
      <c r="M731" s="34"/>
      <c r="N731" s="34"/>
      <c r="O731" s="34"/>
      <c r="P731" s="34"/>
      <c r="Q731" s="34"/>
      <c r="R731" s="34"/>
      <c r="S731" s="34"/>
      <c r="T731" s="34"/>
      <c r="U731" s="34"/>
      <c r="V731" s="34"/>
    </row>
    <row r="732" spans="2:22" x14ac:dyDescent="0.3">
      <c r="B732" s="33"/>
      <c r="C732" s="34"/>
      <c r="D732" s="34"/>
      <c r="E732" s="34"/>
      <c r="F732" s="34"/>
      <c r="G732" s="34"/>
      <c r="H732" s="34"/>
      <c r="I732" s="34"/>
      <c r="J732" s="34"/>
      <c r="K732" s="35"/>
      <c r="L732" s="34"/>
      <c r="M732" s="34"/>
      <c r="N732" s="34"/>
      <c r="O732" s="34"/>
      <c r="P732" s="34"/>
      <c r="Q732" s="34"/>
      <c r="R732" s="34"/>
      <c r="S732" s="34"/>
      <c r="T732" s="34"/>
      <c r="U732" s="34"/>
      <c r="V732" s="34"/>
    </row>
    <row r="733" spans="2:22" x14ac:dyDescent="0.3">
      <c r="B733" s="33"/>
      <c r="C733" s="34"/>
      <c r="D733" s="34"/>
      <c r="E733" s="34"/>
      <c r="F733" s="34"/>
      <c r="G733" s="34"/>
      <c r="H733" s="34"/>
      <c r="I733" s="34"/>
      <c r="J733" s="34"/>
      <c r="K733" s="35"/>
      <c r="L733" s="34"/>
      <c r="M733" s="34"/>
      <c r="N733" s="34"/>
      <c r="O733" s="34"/>
      <c r="P733" s="34"/>
      <c r="Q733" s="34"/>
      <c r="R733" s="34"/>
      <c r="S733" s="34"/>
      <c r="T733" s="34"/>
      <c r="U733" s="34"/>
      <c r="V733" s="34"/>
    </row>
    <row r="734" spans="2:22" x14ac:dyDescent="0.3">
      <c r="B734" s="33"/>
      <c r="C734" s="34"/>
      <c r="D734" s="34"/>
      <c r="E734" s="34"/>
      <c r="F734" s="34"/>
      <c r="G734" s="34"/>
      <c r="H734" s="34"/>
      <c r="I734" s="34"/>
      <c r="J734" s="34"/>
      <c r="K734" s="35"/>
      <c r="L734" s="34"/>
      <c r="M734" s="34"/>
      <c r="N734" s="34"/>
      <c r="O734" s="34"/>
      <c r="P734" s="34"/>
      <c r="Q734" s="34"/>
      <c r="R734" s="34"/>
      <c r="S734" s="34"/>
      <c r="T734" s="34"/>
      <c r="U734" s="34"/>
      <c r="V734" s="34"/>
    </row>
    <row r="735" spans="2:22" x14ac:dyDescent="0.3">
      <c r="B735" s="33"/>
      <c r="C735" s="34"/>
      <c r="D735" s="34"/>
      <c r="E735" s="34"/>
      <c r="F735" s="34"/>
      <c r="G735" s="34"/>
      <c r="H735" s="34"/>
      <c r="I735" s="34"/>
      <c r="J735" s="34"/>
      <c r="K735" s="35"/>
      <c r="L735" s="34"/>
      <c r="M735" s="34"/>
      <c r="N735" s="34"/>
      <c r="O735" s="34"/>
      <c r="P735" s="34"/>
      <c r="Q735" s="34"/>
      <c r="R735" s="34"/>
      <c r="S735" s="34"/>
      <c r="T735" s="34"/>
      <c r="U735" s="34"/>
      <c r="V735" s="34"/>
    </row>
    <row r="736" spans="2:22" x14ac:dyDescent="0.3">
      <c r="B736" s="33"/>
      <c r="C736" s="34"/>
      <c r="D736" s="34"/>
      <c r="E736" s="34"/>
      <c r="F736" s="34"/>
      <c r="G736" s="34"/>
      <c r="H736" s="34"/>
      <c r="I736" s="34"/>
      <c r="J736" s="34"/>
      <c r="K736" s="35"/>
      <c r="L736" s="34"/>
      <c r="M736" s="34"/>
      <c r="N736" s="34"/>
      <c r="O736" s="34"/>
      <c r="P736" s="34"/>
      <c r="Q736" s="34"/>
      <c r="R736" s="34"/>
      <c r="S736" s="34"/>
      <c r="T736" s="34"/>
      <c r="U736" s="34"/>
      <c r="V736" s="34"/>
    </row>
    <row r="737" spans="2:22" x14ac:dyDescent="0.3">
      <c r="B737" s="33"/>
      <c r="C737" s="34"/>
      <c r="D737" s="34"/>
      <c r="E737" s="34"/>
      <c r="F737" s="34"/>
      <c r="G737" s="34"/>
      <c r="H737" s="34"/>
      <c r="I737" s="34"/>
      <c r="J737" s="34"/>
      <c r="K737" s="35"/>
      <c r="L737" s="34"/>
      <c r="M737" s="34"/>
      <c r="N737" s="34"/>
      <c r="O737" s="34"/>
      <c r="P737" s="34"/>
      <c r="Q737" s="34"/>
      <c r="R737" s="34"/>
      <c r="S737" s="34"/>
      <c r="T737" s="34"/>
      <c r="U737" s="34"/>
      <c r="V737" s="34"/>
    </row>
    <row r="738" spans="2:22" x14ac:dyDescent="0.3">
      <c r="B738" s="33"/>
      <c r="C738" s="34"/>
      <c r="D738" s="34"/>
      <c r="E738" s="34"/>
      <c r="F738" s="34"/>
      <c r="G738" s="34"/>
      <c r="H738" s="34"/>
      <c r="I738" s="34"/>
      <c r="J738" s="34"/>
      <c r="K738" s="35"/>
      <c r="L738" s="34"/>
      <c r="M738" s="34"/>
      <c r="N738" s="34"/>
      <c r="O738" s="34"/>
      <c r="P738" s="34"/>
      <c r="Q738" s="34"/>
      <c r="R738" s="34"/>
      <c r="S738" s="34"/>
      <c r="T738" s="34"/>
      <c r="U738" s="34"/>
      <c r="V738" s="34"/>
    </row>
    <row r="739" spans="2:22" x14ac:dyDescent="0.3">
      <c r="B739" s="33"/>
      <c r="C739" s="34"/>
      <c r="D739" s="34"/>
      <c r="E739" s="34"/>
      <c r="F739" s="34"/>
      <c r="G739" s="34"/>
      <c r="H739" s="34"/>
      <c r="I739" s="34"/>
      <c r="J739" s="34"/>
      <c r="K739" s="35"/>
      <c r="L739" s="34"/>
      <c r="M739" s="34"/>
      <c r="N739" s="34"/>
      <c r="O739" s="34"/>
      <c r="P739" s="34"/>
      <c r="Q739" s="34"/>
      <c r="R739" s="34"/>
      <c r="S739" s="34"/>
      <c r="T739" s="34"/>
      <c r="U739" s="34"/>
      <c r="V739" s="34"/>
    </row>
    <row r="740" spans="2:22" x14ac:dyDescent="0.3">
      <c r="B740" s="33"/>
      <c r="C740" s="34"/>
      <c r="D740" s="34"/>
      <c r="E740" s="34"/>
      <c r="F740" s="34"/>
      <c r="G740" s="34"/>
      <c r="H740" s="34"/>
      <c r="I740" s="34"/>
      <c r="J740" s="34"/>
      <c r="K740" s="35"/>
      <c r="L740" s="34"/>
      <c r="M740" s="34"/>
      <c r="N740" s="34"/>
      <c r="O740" s="34"/>
      <c r="P740" s="34"/>
      <c r="Q740" s="34"/>
      <c r="R740" s="34"/>
      <c r="S740" s="34"/>
      <c r="T740" s="34"/>
      <c r="U740" s="34"/>
      <c r="V740" s="34"/>
    </row>
    <row r="741" spans="2:22" x14ac:dyDescent="0.3">
      <c r="B741" s="33"/>
      <c r="C741" s="34"/>
      <c r="D741" s="34"/>
      <c r="E741" s="34"/>
      <c r="F741" s="34"/>
      <c r="G741" s="34"/>
      <c r="H741" s="34"/>
      <c r="I741" s="34"/>
      <c r="J741" s="34"/>
      <c r="K741" s="35"/>
      <c r="L741" s="34"/>
      <c r="M741" s="34"/>
      <c r="N741" s="34"/>
      <c r="O741" s="34"/>
      <c r="P741" s="34"/>
      <c r="Q741" s="34"/>
      <c r="R741" s="34"/>
      <c r="S741" s="34"/>
      <c r="T741" s="34"/>
      <c r="U741" s="34"/>
      <c r="V741" s="34"/>
    </row>
    <row r="742" spans="2:22" x14ac:dyDescent="0.3">
      <c r="B742" s="33"/>
      <c r="C742" s="34"/>
      <c r="D742" s="34"/>
      <c r="E742" s="34"/>
      <c r="F742" s="34"/>
      <c r="G742" s="34"/>
      <c r="H742" s="34"/>
      <c r="I742" s="34"/>
      <c r="J742" s="34"/>
      <c r="K742" s="35"/>
      <c r="L742" s="34"/>
      <c r="M742" s="34"/>
      <c r="N742" s="34"/>
      <c r="O742" s="34"/>
      <c r="P742" s="34"/>
      <c r="Q742" s="34"/>
      <c r="R742" s="34"/>
      <c r="S742" s="34"/>
      <c r="T742" s="34"/>
      <c r="U742" s="34"/>
      <c r="V742" s="34"/>
    </row>
    <row r="743" spans="2:22" x14ac:dyDescent="0.3">
      <c r="B743" s="33"/>
      <c r="C743" s="34"/>
      <c r="D743" s="34"/>
      <c r="E743" s="34"/>
      <c r="F743" s="34"/>
      <c r="G743" s="34"/>
      <c r="H743" s="34"/>
      <c r="I743" s="34"/>
      <c r="J743" s="34"/>
      <c r="K743" s="35"/>
      <c r="L743" s="34"/>
      <c r="M743" s="34"/>
      <c r="N743" s="34"/>
      <c r="O743" s="34"/>
      <c r="P743" s="34"/>
      <c r="Q743" s="34"/>
      <c r="R743" s="34"/>
      <c r="S743" s="34"/>
      <c r="T743" s="34"/>
      <c r="U743" s="34"/>
      <c r="V743" s="34"/>
    </row>
    <row r="744" spans="2:22" x14ac:dyDescent="0.3">
      <c r="B744" s="33"/>
      <c r="C744" s="34"/>
      <c r="D744" s="34"/>
      <c r="E744" s="34"/>
      <c r="F744" s="34"/>
      <c r="G744" s="34"/>
      <c r="H744" s="34"/>
      <c r="I744" s="34"/>
      <c r="J744" s="34"/>
      <c r="K744" s="35"/>
      <c r="L744" s="34"/>
      <c r="M744" s="34"/>
      <c r="N744" s="34"/>
      <c r="O744" s="34"/>
      <c r="P744" s="34"/>
      <c r="Q744" s="34"/>
      <c r="R744" s="34"/>
      <c r="S744" s="34"/>
      <c r="T744" s="34"/>
      <c r="U744" s="34"/>
      <c r="V744" s="34"/>
    </row>
    <row r="745" spans="2:22" x14ac:dyDescent="0.3">
      <c r="B745" s="33"/>
      <c r="C745" s="34"/>
      <c r="D745" s="34"/>
      <c r="E745" s="34"/>
      <c r="F745" s="34"/>
      <c r="G745" s="34"/>
      <c r="H745" s="34"/>
      <c r="I745" s="34"/>
      <c r="J745" s="34"/>
      <c r="K745" s="35"/>
      <c r="L745" s="34"/>
      <c r="M745" s="34"/>
      <c r="N745" s="34"/>
      <c r="O745" s="34"/>
      <c r="P745" s="34"/>
      <c r="Q745" s="34"/>
      <c r="R745" s="34"/>
      <c r="S745" s="34"/>
      <c r="T745" s="34"/>
      <c r="U745" s="34"/>
      <c r="V745" s="34"/>
    </row>
    <row r="746" spans="2:22" x14ac:dyDescent="0.3">
      <c r="B746" s="33"/>
      <c r="C746" s="34"/>
      <c r="D746" s="34"/>
      <c r="E746" s="34"/>
      <c r="F746" s="34"/>
      <c r="G746" s="34"/>
      <c r="H746" s="34"/>
      <c r="I746" s="34"/>
      <c r="J746" s="34"/>
      <c r="K746" s="35"/>
      <c r="L746" s="34"/>
      <c r="M746" s="34"/>
      <c r="N746" s="34"/>
      <c r="O746" s="34"/>
      <c r="P746" s="34"/>
      <c r="Q746" s="34"/>
      <c r="R746" s="34"/>
      <c r="S746" s="34"/>
      <c r="T746" s="34"/>
      <c r="U746" s="34"/>
      <c r="V746" s="34"/>
    </row>
    <row r="747" spans="2:22" x14ac:dyDescent="0.3">
      <c r="B747" s="33"/>
      <c r="C747" s="34"/>
      <c r="D747" s="34"/>
      <c r="E747" s="34"/>
      <c r="F747" s="34"/>
      <c r="G747" s="34"/>
      <c r="H747" s="34"/>
      <c r="I747" s="34"/>
      <c r="J747" s="34"/>
      <c r="K747" s="35"/>
      <c r="L747" s="34"/>
      <c r="M747" s="34"/>
      <c r="N747" s="34"/>
      <c r="O747" s="34"/>
      <c r="P747" s="34"/>
      <c r="Q747" s="34"/>
      <c r="R747" s="34"/>
      <c r="S747" s="34"/>
      <c r="T747" s="34"/>
      <c r="U747" s="34"/>
      <c r="V747" s="34"/>
    </row>
    <row r="748" spans="2:22" x14ac:dyDescent="0.3">
      <c r="B748" s="33"/>
      <c r="C748" s="34"/>
      <c r="D748" s="34"/>
      <c r="E748" s="34"/>
      <c r="F748" s="34"/>
      <c r="G748" s="34"/>
      <c r="H748" s="34"/>
      <c r="I748" s="34"/>
      <c r="J748" s="34"/>
      <c r="K748" s="35"/>
      <c r="L748" s="34"/>
      <c r="M748" s="34"/>
      <c r="N748" s="34"/>
      <c r="O748" s="34"/>
      <c r="P748" s="34"/>
      <c r="Q748" s="34"/>
      <c r="R748" s="34"/>
      <c r="S748" s="34"/>
      <c r="T748" s="34"/>
      <c r="U748" s="34"/>
      <c r="V748" s="34"/>
    </row>
    <row r="749" spans="2:22" x14ac:dyDescent="0.3">
      <c r="B749" s="33"/>
      <c r="C749" s="34"/>
      <c r="D749" s="34"/>
      <c r="E749" s="34"/>
      <c r="F749" s="34"/>
      <c r="G749" s="34"/>
      <c r="H749" s="34"/>
      <c r="I749" s="34"/>
      <c r="J749" s="34"/>
      <c r="K749" s="35"/>
      <c r="L749" s="34"/>
      <c r="M749" s="34"/>
      <c r="N749" s="34"/>
      <c r="O749" s="34"/>
      <c r="P749" s="34"/>
      <c r="Q749" s="34"/>
      <c r="R749" s="34"/>
      <c r="S749" s="34"/>
      <c r="T749" s="34"/>
      <c r="U749" s="34"/>
      <c r="V749" s="34"/>
    </row>
    <row r="750" spans="2:22" x14ac:dyDescent="0.3">
      <c r="B750" s="33"/>
      <c r="C750" s="34"/>
      <c r="D750" s="34"/>
      <c r="E750" s="34"/>
      <c r="F750" s="34"/>
      <c r="G750" s="34"/>
      <c r="H750" s="34"/>
      <c r="I750" s="34"/>
      <c r="J750" s="34"/>
      <c r="K750" s="35"/>
      <c r="L750" s="34"/>
      <c r="M750" s="34"/>
      <c r="N750" s="34"/>
      <c r="O750" s="34"/>
      <c r="P750" s="34"/>
      <c r="Q750" s="34"/>
      <c r="R750" s="34"/>
      <c r="S750" s="34"/>
      <c r="T750" s="34"/>
      <c r="U750" s="34"/>
      <c r="V750" s="34"/>
    </row>
    <row r="751" spans="2:22" x14ac:dyDescent="0.3">
      <c r="B751" s="33"/>
      <c r="C751" s="34"/>
      <c r="D751" s="34"/>
      <c r="E751" s="34"/>
      <c r="F751" s="34"/>
      <c r="G751" s="34"/>
      <c r="H751" s="34"/>
      <c r="I751" s="34"/>
      <c r="J751" s="34"/>
      <c r="K751" s="35"/>
      <c r="L751" s="34"/>
      <c r="M751" s="34"/>
      <c r="N751" s="34"/>
      <c r="O751" s="34"/>
      <c r="P751" s="34"/>
      <c r="Q751" s="34"/>
      <c r="R751" s="34"/>
      <c r="S751" s="34"/>
      <c r="T751" s="34"/>
      <c r="U751" s="34"/>
      <c r="V751" s="34"/>
    </row>
    <row r="752" spans="2:22" x14ac:dyDescent="0.3">
      <c r="B752" s="33"/>
      <c r="C752" s="34"/>
      <c r="D752" s="34"/>
      <c r="E752" s="34"/>
      <c r="F752" s="34"/>
      <c r="G752" s="34"/>
      <c r="H752" s="34"/>
      <c r="I752" s="34"/>
      <c r="J752" s="34"/>
      <c r="K752" s="35"/>
      <c r="L752" s="34"/>
      <c r="M752" s="34"/>
      <c r="N752" s="34"/>
      <c r="O752" s="34"/>
      <c r="P752" s="34"/>
      <c r="Q752" s="34"/>
      <c r="R752" s="34"/>
      <c r="S752" s="34"/>
      <c r="T752" s="34"/>
      <c r="U752" s="34"/>
      <c r="V752" s="34"/>
    </row>
    <row r="753" spans="2:22" x14ac:dyDescent="0.3">
      <c r="B753" s="33"/>
      <c r="C753" s="34"/>
      <c r="D753" s="34"/>
      <c r="E753" s="34"/>
      <c r="F753" s="34"/>
      <c r="G753" s="34"/>
      <c r="H753" s="34"/>
      <c r="I753" s="34"/>
      <c r="J753" s="34"/>
      <c r="K753" s="35"/>
      <c r="L753" s="34"/>
      <c r="M753" s="34"/>
      <c r="N753" s="34"/>
      <c r="O753" s="34"/>
      <c r="P753" s="34"/>
      <c r="Q753" s="34"/>
      <c r="R753" s="34"/>
      <c r="S753" s="34"/>
      <c r="T753" s="34"/>
      <c r="U753" s="34"/>
      <c r="V753" s="34"/>
    </row>
    <row r="754" spans="2:22" x14ac:dyDescent="0.3">
      <c r="B754" s="33"/>
      <c r="C754" s="34"/>
      <c r="D754" s="34"/>
      <c r="E754" s="34"/>
      <c r="F754" s="34"/>
      <c r="G754" s="34"/>
      <c r="H754" s="34"/>
      <c r="I754" s="34"/>
      <c r="J754" s="34"/>
      <c r="K754" s="35"/>
      <c r="L754" s="34"/>
      <c r="M754" s="34"/>
      <c r="N754" s="34"/>
      <c r="O754" s="34"/>
      <c r="P754" s="34"/>
      <c r="Q754" s="34"/>
      <c r="R754" s="34"/>
      <c r="S754" s="34"/>
      <c r="T754" s="34"/>
      <c r="U754" s="34"/>
      <c r="V754" s="34"/>
    </row>
    <row r="755" spans="2:22" x14ac:dyDescent="0.3">
      <c r="B755" s="33"/>
      <c r="C755" s="34"/>
      <c r="D755" s="34"/>
      <c r="E755" s="34"/>
      <c r="F755" s="34"/>
      <c r="G755" s="34"/>
      <c r="H755" s="34"/>
      <c r="I755" s="34"/>
      <c r="J755" s="34"/>
      <c r="K755" s="35"/>
      <c r="L755" s="34"/>
      <c r="M755" s="34"/>
      <c r="N755" s="34"/>
      <c r="O755" s="34"/>
      <c r="P755" s="34"/>
      <c r="Q755" s="34"/>
      <c r="R755" s="34"/>
      <c r="S755" s="34"/>
      <c r="T755" s="34"/>
      <c r="U755" s="34"/>
      <c r="V755" s="34"/>
    </row>
    <row r="756" spans="2:22" x14ac:dyDescent="0.3">
      <c r="B756" s="33"/>
      <c r="C756" s="34"/>
      <c r="D756" s="34"/>
      <c r="E756" s="34"/>
      <c r="F756" s="34"/>
      <c r="G756" s="34"/>
      <c r="H756" s="34"/>
      <c r="I756" s="34"/>
      <c r="J756" s="34"/>
      <c r="K756" s="35"/>
      <c r="L756" s="34"/>
      <c r="M756" s="34"/>
      <c r="N756" s="34"/>
      <c r="O756" s="34"/>
      <c r="P756" s="34"/>
      <c r="Q756" s="34"/>
      <c r="R756" s="34"/>
      <c r="S756" s="34"/>
      <c r="T756" s="34"/>
      <c r="U756" s="34"/>
      <c r="V756" s="34"/>
    </row>
    <row r="757" spans="2:22" x14ac:dyDescent="0.3">
      <c r="B757" s="33"/>
      <c r="C757" s="34"/>
      <c r="D757" s="34"/>
      <c r="E757" s="34"/>
      <c r="F757" s="34"/>
      <c r="G757" s="34"/>
      <c r="H757" s="34"/>
      <c r="I757" s="34"/>
      <c r="J757" s="34"/>
      <c r="K757" s="35"/>
      <c r="L757" s="34"/>
      <c r="M757" s="34"/>
      <c r="N757" s="34"/>
      <c r="O757" s="34"/>
      <c r="P757" s="34"/>
      <c r="Q757" s="34"/>
      <c r="R757" s="34"/>
      <c r="S757" s="34"/>
      <c r="T757" s="34"/>
      <c r="U757" s="34"/>
      <c r="V757" s="34"/>
    </row>
    <row r="758" spans="2:22" x14ac:dyDescent="0.3">
      <c r="B758" s="33"/>
      <c r="C758" s="34"/>
      <c r="D758" s="34"/>
      <c r="E758" s="34"/>
      <c r="F758" s="34"/>
      <c r="G758" s="34"/>
      <c r="H758" s="34"/>
      <c r="I758" s="34"/>
      <c r="J758" s="34"/>
      <c r="K758" s="35"/>
      <c r="L758" s="34"/>
      <c r="M758" s="34"/>
      <c r="N758" s="34"/>
      <c r="O758" s="34"/>
      <c r="P758" s="34"/>
      <c r="Q758" s="34"/>
      <c r="R758" s="34"/>
      <c r="S758" s="34"/>
      <c r="T758" s="34"/>
      <c r="U758" s="34"/>
      <c r="V758" s="34"/>
    </row>
    <row r="759" spans="2:22" x14ac:dyDescent="0.3">
      <c r="B759" s="33"/>
      <c r="C759" s="34"/>
      <c r="D759" s="34"/>
      <c r="E759" s="34"/>
      <c r="F759" s="34"/>
      <c r="G759" s="34"/>
      <c r="H759" s="34"/>
      <c r="I759" s="34"/>
      <c r="J759" s="34"/>
      <c r="K759" s="35"/>
      <c r="L759" s="34"/>
      <c r="M759" s="34"/>
      <c r="N759" s="34"/>
      <c r="O759" s="34"/>
      <c r="P759" s="34"/>
      <c r="Q759" s="34"/>
      <c r="R759" s="34"/>
      <c r="S759" s="34"/>
      <c r="T759" s="34"/>
      <c r="U759" s="34"/>
      <c r="V759" s="34"/>
    </row>
    <row r="760" spans="2:22" x14ac:dyDescent="0.3">
      <c r="B760" s="33"/>
      <c r="C760" s="34"/>
      <c r="D760" s="34"/>
      <c r="E760" s="34"/>
      <c r="F760" s="34"/>
      <c r="G760" s="34"/>
      <c r="H760" s="34"/>
      <c r="I760" s="34"/>
      <c r="J760" s="34"/>
      <c r="K760" s="35"/>
      <c r="L760" s="34"/>
      <c r="M760" s="34"/>
      <c r="N760" s="34"/>
      <c r="O760" s="34"/>
      <c r="P760" s="34"/>
      <c r="Q760" s="34"/>
      <c r="R760" s="34"/>
      <c r="S760" s="34"/>
      <c r="T760" s="34"/>
      <c r="U760" s="34"/>
      <c r="V760" s="34"/>
    </row>
    <row r="761" spans="2:22" x14ac:dyDescent="0.3">
      <c r="B761" s="33"/>
      <c r="C761" s="34"/>
      <c r="D761" s="34"/>
      <c r="E761" s="34"/>
      <c r="F761" s="34"/>
      <c r="G761" s="34"/>
      <c r="H761" s="34"/>
      <c r="I761" s="34"/>
      <c r="J761" s="34"/>
      <c r="K761" s="35"/>
      <c r="L761" s="34"/>
      <c r="M761" s="34"/>
      <c r="N761" s="34"/>
      <c r="O761" s="34"/>
      <c r="P761" s="34"/>
      <c r="Q761" s="34"/>
      <c r="R761" s="34"/>
      <c r="S761" s="34"/>
      <c r="T761" s="34"/>
      <c r="U761" s="34"/>
      <c r="V761" s="34"/>
    </row>
    <row r="762" spans="2:22" x14ac:dyDescent="0.3">
      <c r="B762" s="33"/>
      <c r="C762" s="34"/>
      <c r="D762" s="34"/>
      <c r="E762" s="34"/>
      <c r="F762" s="34"/>
      <c r="G762" s="34"/>
      <c r="H762" s="34"/>
      <c r="I762" s="34"/>
      <c r="J762" s="34"/>
      <c r="K762" s="35"/>
      <c r="L762" s="34"/>
      <c r="M762" s="34"/>
      <c r="N762" s="34"/>
      <c r="O762" s="34"/>
      <c r="P762" s="34"/>
      <c r="Q762" s="34"/>
      <c r="R762" s="34"/>
      <c r="S762" s="34"/>
      <c r="T762" s="34"/>
      <c r="U762" s="34"/>
      <c r="V762" s="34"/>
    </row>
    <row r="763" spans="2:22" x14ac:dyDescent="0.3">
      <c r="B763" s="33"/>
      <c r="C763" s="34"/>
      <c r="D763" s="34"/>
      <c r="E763" s="34"/>
      <c r="F763" s="34"/>
      <c r="G763" s="34"/>
      <c r="H763" s="34"/>
      <c r="I763" s="34"/>
      <c r="J763" s="34"/>
      <c r="K763" s="35"/>
      <c r="L763" s="34"/>
      <c r="M763" s="34"/>
      <c r="N763" s="34"/>
      <c r="O763" s="34"/>
      <c r="P763" s="34"/>
      <c r="Q763" s="34"/>
      <c r="R763" s="34"/>
      <c r="S763" s="34"/>
      <c r="T763" s="34"/>
      <c r="U763" s="34"/>
      <c r="V763" s="34"/>
    </row>
    <row r="764" spans="2:22" x14ac:dyDescent="0.3">
      <c r="B764" s="33"/>
      <c r="C764" s="34"/>
      <c r="D764" s="34"/>
      <c r="E764" s="34"/>
      <c r="F764" s="34"/>
      <c r="G764" s="34"/>
      <c r="H764" s="34"/>
      <c r="I764" s="34"/>
      <c r="J764" s="34"/>
      <c r="K764" s="35"/>
      <c r="L764" s="34"/>
      <c r="M764" s="34"/>
      <c r="N764" s="34"/>
      <c r="O764" s="34"/>
      <c r="P764" s="34"/>
      <c r="Q764" s="34"/>
      <c r="R764" s="34"/>
      <c r="S764" s="34"/>
      <c r="T764" s="34"/>
      <c r="U764" s="34"/>
      <c r="V764" s="34"/>
    </row>
    <row r="765" spans="2:22" x14ac:dyDescent="0.3">
      <c r="B765" s="33"/>
      <c r="C765" s="34"/>
      <c r="D765" s="34"/>
      <c r="E765" s="34"/>
      <c r="F765" s="34"/>
      <c r="G765" s="34"/>
      <c r="H765" s="34"/>
      <c r="I765" s="34"/>
      <c r="J765" s="34"/>
      <c r="K765" s="35"/>
      <c r="L765" s="34"/>
      <c r="M765" s="34"/>
      <c r="N765" s="34"/>
      <c r="O765" s="34"/>
      <c r="P765" s="34"/>
      <c r="Q765" s="34"/>
      <c r="R765" s="34"/>
      <c r="S765" s="34"/>
      <c r="T765" s="34"/>
      <c r="U765" s="34"/>
      <c r="V765" s="34"/>
    </row>
    <row r="766" spans="2:22" x14ac:dyDescent="0.3">
      <c r="B766" s="33"/>
      <c r="C766" s="34"/>
      <c r="D766" s="34"/>
      <c r="E766" s="34"/>
      <c r="F766" s="34"/>
      <c r="G766" s="34"/>
      <c r="H766" s="34"/>
      <c r="I766" s="34"/>
      <c r="J766" s="34"/>
      <c r="K766" s="35"/>
      <c r="L766" s="34"/>
      <c r="M766" s="34"/>
      <c r="N766" s="34"/>
      <c r="O766" s="34"/>
      <c r="P766" s="34"/>
      <c r="Q766" s="34"/>
      <c r="R766" s="34"/>
      <c r="S766" s="34"/>
      <c r="T766" s="34"/>
      <c r="U766" s="34"/>
      <c r="V766" s="34"/>
    </row>
    <row r="767" spans="2:22" x14ac:dyDescent="0.3">
      <c r="B767" s="33"/>
      <c r="C767" s="34"/>
      <c r="D767" s="34"/>
      <c r="E767" s="34"/>
      <c r="F767" s="34"/>
      <c r="G767" s="34"/>
      <c r="H767" s="34"/>
      <c r="I767" s="34"/>
      <c r="J767" s="34"/>
      <c r="K767" s="35"/>
      <c r="L767" s="34"/>
      <c r="M767" s="34"/>
      <c r="N767" s="34"/>
      <c r="O767" s="34"/>
      <c r="P767" s="34"/>
      <c r="Q767" s="34"/>
      <c r="R767" s="34"/>
      <c r="S767" s="34"/>
      <c r="T767" s="34"/>
      <c r="U767" s="34"/>
      <c r="V767" s="34"/>
    </row>
    <row r="768" spans="2:22" x14ac:dyDescent="0.3">
      <c r="B768" s="33"/>
      <c r="C768" s="34"/>
      <c r="D768" s="34"/>
      <c r="E768" s="34"/>
      <c r="F768" s="34"/>
      <c r="G768" s="34"/>
      <c r="H768" s="34"/>
      <c r="I768" s="34"/>
      <c r="J768" s="34"/>
      <c r="K768" s="35"/>
      <c r="L768" s="34"/>
      <c r="M768" s="34"/>
      <c r="N768" s="34"/>
      <c r="O768" s="34"/>
      <c r="P768" s="34"/>
      <c r="Q768" s="34"/>
      <c r="R768" s="34"/>
      <c r="S768" s="34"/>
      <c r="T768" s="34"/>
      <c r="U768" s="34"/>
      <c r="V768" s="34"/>
    </row>
    <row r="769" spans="2:22" x14ac:dyDescent="0.3">
      <c r="B769" s="33"/>
      <c r="C769" s="34"/>
      <c r="D769" s="34"/>
      <c r="E769" s="34"/>
      <c r="F769" s="34"/>
      <c r="G769" s="34"/>
      <c r="H769" s="34"/>
      <c r="I769" s="34"/>
      <c r="J769" s="34"/>
      <c r="K769" s="35"/>
      <c r="L769" s="34"/>
      <c r="M769" s="34"/>
      <c r="N769" s="34"/>
      <c r="O769" s="34"/>
      <c r="P769" s="34"/>
      <c r="Q769" s="34"/>
      <c r="R769" s="34"/>
      <c r="S769" s="34"/>
      <c r="T769" s="34"/>
      <c r="U769" s="34"/>
      <c r="V769" s="34"/>
    </row>
    <row r="770" spans="2:22" x14ac:dyDescent="0.3">
      <c r="B770" s="33"/>
      <c r="C770" s="34"/>
      <c r="D770" s="34"/>
      <c r="E770" s="34"/>
      <c r="F770" s="34"/>
      <c r="G770" s="34"/>
      <c r="H770" s="34"/>
      <c r="I770" s="34"/>
      <c r="J770" s="34"/>
      <c r="K770" s="35"/>
      <c r="L770" s="34"/>
      <c r="M770" s="34"/>
      <c r="N770" s="34"/>
      <c r="O770" s="34"/>
      <c r="P770" s="34"/>
      <c r="Q770" s="34"/>
      <c r="R770" s="34"/>
      <c r="S770" s="34"/>
      <c r="T770" s="34"/>
      <c r="U770" s="34"/>
      <c r="V770" s="34"/>
    </row>
    <row r="771" spans="2:22" x14ac:dyDescent="0.3">
      <c r="B771" s="33"/>
      <c r="C771" s="34"/>
      <c r="D771" s="34"/>
      <c r="E771" s="34"/>
      <c r="F771" s="34"/>
      <c r="G771" s="34"/>
      <c r="H771" s="34"/>
      <c r="I771" s="34"/>
      <c r="J771" s="34"/>
      <c r="K771" s="35"/>
      <c r="L771" s="34"/>
      <c r="M771" s="34"/>
      <c r="N771" s="34"/>
      <c r="O771" s="34"/>
      <c r="P771" s="34"/>
      <c r="Q771" s="34"/>
      <c r="R771" s="34"/>
      <c r="S771" s="34"/>
      <c r="T771" s="34"/>
      <c r="U771" s="34"/>
      <c r="V771" s="34"/>
    </row>
    <row r="772" spans="2:22" x14ac:dyDescent="0.3">
      <c r="B772" s="33"/>
      <c r="C772" s="34"/>
      <c r="D772" s="34"/>
      <c r="E772" s="34"/>
      <c r="F772" s="34"/>
      <c r="G772" s="34"/>
      <c r="H772" s="34"/>
      <c r="I772" s="34"/>
      <c r="J772" s="34"/>
      <c r="K772" s="35"/>
      <c r="L772" s="34"/>
      <c r="M772" s="34"/>
      <c r="N772" s="34"/>
      <c r="O772" s="34"/>
      <c r="P772" s="34"/>
      <c r="Q772" s="34"/>
      <c r="R772" s="34"/>
      <c r="S772" s="34"/>
      <c r="T772" s="34"/>
      <c r="U772" s="34"/>
      <c r="V772" s="34"/>
    </row>
    <row r="773" spans="2:22" x14ac:dyDescent="0.3">
      <c r="B773" s="33"/>
      <c r="C773" s="34"/>
      <c r="D773" s="34"/>
      <c r="E773" s="34"/>
      <c r="F773" s="34"/>
      <c r="G773" s="34"/>
      <c r="H773" s="34"/>
      <c r="I773" s="34"/>
      <c r="J773" s="34"/>
      <c r="K773" s="35"/>
      <c r="L773" s="34"/>
      <c r="M773" s="34"/>
      <c r="N773" s="34"/>
      <c r="O773" s="34"/>
      <c r="P773" s="34"/>
      <c r="Q773" s="34"/>
      <c r="R773" s="34"/>
      <c r="S773" s="34"/>
      <c r="T773" s="34"/>
      <c r="U773" s="34"/>
      <c r="V773" s="34"/>
    </row>
    <row r="774" spans="2:22" x14ac:dyDescent="0.3">
      <c r="B774" s="33"/>
      <c r="C774" s="34"/>
      <c r="D774" s="34"/>
      <c r="E774" s="34"/>
      <c r="F774" s="34"/>
      <c r="G774" s="34"/>
      <c r="H774" s="34"/>
      <c r="I774" s="34"/>
      <c r="J774" s="34"/>
      <c r="K774" s="35"/>
      <c r="L774" s="34"/>
      <c r="M774" s="34"/>
      <c r="N774" s="34"/>
      <c r="O774" s="34"/>
      <c r="P774" s="34"/>
      <c r="Q774" s="34"/>
      <c r="R774" s="34"/>
      <c r="S774" s="34"/>
      <c r="T774" s="34"/>
      <c r="U774" s="34"/>
      <c r="V774" s="34"/>
    </row>
    <row r="775" spans="2:22" x14ac:dyDescent="0.3">
      <c r="B775" s="33"/>
      <c r="C775" s="34"/>
      <c r="D775" s="34"/>
      <c r="E775" s="34"/>
      <c r="F775" s="34"/>
      <c r="G775" s="34"/>
      <c r="H775" s="34"/>
      <c r="I775" s="34"/>
      <c r="J775" s="34"/>
      <c r="K775" s="35"/>
      <c r="L775" s="34"/>
      <c r="M775" s="34"/>
      <c r="N775" s="34"/>
      <c r="O775" s="34"/>
      <c r="P775" s="34"/>
      <c r="Q775" s="34"/>
      <c r="R775" s="34"/>
      <c r="S775" s="34"/>
      <c r="T775" s="34"/>
      <c r="U775" s="34"/>
      <c r="V775" s="34"/>
    </row>
    <row r="776" spans="2:22" x14ac:dyDescent="0.3">
      <c r="B776" s="33"/>
      <c r="C776" s="34"/>
      <c r="D776" s="34"/>
      <c r="E776" s="34"/>
      <c r="F776" s="34"/>
      <c r="G776" s="34"/>
      <c r="H776" s="34"/>
      <c r="I776" s="34"/>
      <c r="J776" s="34"/>
      <c r="K776" s="35"/>
      <c r="L776" s="34"/>
      <c r="M776" s="34"/>
      <c r="N776" s="34"/>
      <c r="O776" s="34"/>
      <c r="P776" s="34"/>
      <c r="Q776" s="34"/>
      <c r="R776" s="34"/>
      <c r="S776" s="34"/>
      <c r="T776" s="34"/>
      <c r="U776" s="34"/>
      <c r="V776" s="34"/>
    </row>
    <row r="777" spans="2:22" x14ac:dyDescent="0.3">
      <c r="B777" s="33"/>
      <c r="C777" s="34"/>
      <c r="D777" s="34"/>
      <c r="E777" s="34"/>
      <c r="F777" s="34"/>
      <c r="G777" s="34"/>
      <c r="H777" s="34"/>
      <c r="I777" s="34"/>
      <c r="J777" s="34"/>
      <c r="K777" s="35"/>
      <c r="L777" s="34"/>
      <c r="M777" s="34"/>
      <c r="N777" s="34"/>
      <c r="O777" s="34"/>
      <c r="P777" s="34"/>
      <c r="Q777" s="34"/>
      <c r="R777" s="34"/>
      <c r="S777" s="34"/>
      <c r="T777" s="34"/>
      <c r="U777" s="34"/>
      <c r="V777" s="34"/>
    </row>
    <row r="778" spans="2:22" x14ac:dyDescent="0.3">
      <c r="B778" s="33"/>
      <c r="C778" s="34"/>
      <c r="D778" s="34"/>
      <c r="E778" s="34"/>
      <c r="F778" s="34"/>
      <c r="G778" s="34"/>
      <c r="H778" s="34"/>
      <c r="I778" s="34"/>
      <c r="J778" s="34"/>
      <c r="K778" s="35"/>
      <c r="L778" s="34"/>
      <c r="M778" s="34"/>
      <c r="N778" s="34"/>
      <c r="O778" s="34"/>
      <c r="P778" s="34"/>
      <c r="Q778" s="34"/>
      <c r="R778" s="34"/>
      <c r="S778" s="34"/>
      <c r="T778" s="34"/>
      <c r="U778" s="34"/>
      <c r="V778" s="34"/>
    </row>
    <row r="779" spans="2:22" x14ac:dyDescent="0.3">
      <c r="B779" s="33"/>
      <c r="C779" s="34"/>
      <c r="D779" s="34"/>
      <c r="E779" s="34"/>
      <c r="F779" s="34"/>
      <c r="G779" s="34"/>
      <c r="H779" s="34"/>
      <c r="I779" s="34"/>
      <c r="J779" s="34"/>
      <c r="K779" s="35"/>
      <c r="L779" s="34"/>
      <c r="M779" s="34"/>
      <c r="N779" s="34"/>
      <c r="O779" s="34"/>
      <c r="P779" s="34"/>
      <c r="Q779" s="34"/>
      <c r="R779" s="34"/>
      <c r="S779" s="34"/>
      <c r="T779" s="34"/>
      <c r="U779" s="34"/>
      <c r="V779" s="34"/>
    </row>
    <row r="780" spans="2:22" x14ac:dyDescent="0.3">
      <c r="B780" s="33"/>
      <c r="C780" s="34"/>
      <c r="D780" s="34"/>
      <c r="E780" s="34"/>
      <c r="F780" s="34"/>
      <c r="G780" s="34"/>
      <c r="H780" s="34"/>
      <c r="I780" s="34"/>
      <c r="J780" s="34"/>
      <c r="K780" s="35"/>
      <c r="L780" s="34"/>
      <c r="M780" s="34"/>
      <c r="N780" s="34"/>
      <c r="O780" s="34"/>
      <c r="P780" s="34"/>
      <c r="Q780" s="34"/>
      <c r="R780" s="34"/>
      <c r="S780" s="34"/>
      <c r="T780" s="34"/>
      <c r="U780" s="34"/>
      <c r="V780" s="34"/>
    </row>
    <row r="781" spans="2:22" x14ac:dyDescent="0.3">
      <c r="B781" s="33"/>
      <c r="C781" s="34"/>
      <c r="D781" s="34"/>
      <c r="E781" s="34"/>
      <c r="F781" s="34"/>
      <c r="G781" s="34"/>
      <c r="H781" s="34"/>
      <c r="I781" s="34"/>
      <c r="J781" s="34"/>
      <c r="K781" s="35"/>
      <c r="L781" s="34"/>
      <c r="M781" s="34"/>
      <c r="N781" s="34"/>
      <c r="O781" s="34"/>
      <c r="P781" s="34"/>
      <c r="Q781" s="34"/>
      <c r="R781" s="34"/>
      <c r="S781" s="34"/>
      <c r="T781" s="34"/>
      <c r="U781" s="34"/>
      <c r="V781" s="34"/>
    </row>
    <row r="782" spans="2:22" x14ac:dyDescent="0.3">
      <c r="B782" s="33"/>
      <c r="C782" s="34"/>
      <c r="D782" s="34"/>
      <c r="E782" s="34"/>
      <c r="F782" s="34"/>
      <c r="G782" s="34"/>
      <c r="H782" s="34"/>
      <c r="I782" s="34"/>
      <c r="J782" s="34"/>
      <c r="K782" s="35"/>
      <c r="L782" s="34"/>
      <c r="M782" s="34"/>
      <c r="N782" s="34"/>
      <c r="O782" s="34"/>
      <c r="P782" s="34"/>
      <c r="Q782" s="34"/>
      <c r="R782" s="34"/>
      <c r="S782" s="34"/>
      <c r="T782" s="34"/>
      <c r="U782" s="34"/>
      <c r="V782" s="34"/>
    </row>
    <row r="783" spans="2:22" x14ac:dyDescent="0.3">
      <c r="B783" s="33"/>
      <c r="C783" s="34"/>
      <c r="D783" s="34"/>
      <c r="E783" s="34"/>
      <c r="F783" s="34"/>
      <c r="G783" s="34"/>
      <c r="H783" s="34"/>
      <c r="I783" s="34"/>
      <c r="J783" s="34"/>
      <c r="K783" s="35"/>
      <c r="L783" s="34"/>
      <c r="M783" s="34"/>
      <c r="N783" s="34"/>
      <c r="O783" s="34"/>
      <c r="P783" s="34"/>
      <c r="Q783" s="34"/>
      <c r="R783" s="34"/>
      <c r="S783" s="34"/>
      <c r="T783" s="34"/>
      <c r="U783" s="34"/>
      <c r="V783" s="34"/>
    </row>
    <row r="784" spans="2:22" x14ac:dyDescent="0.3">
      <c r="B784" s="33"/>
      <c r="C784" s="34"/>
      <c r="D784" s="34"/>
      <c r="E784" s="34"/>
      <c r="F784" s="34"/>
      <c r="G784" s="34"/>
      <c r="H784" s="34"/>
      <c r="I784" s="34"/>
      <c r="J784" s="34"/>
      <c r="K784" s="35"/>
      <c r="L784" s="34"/>
      <c r="M784" s="34"/>
      <c r="N784" s="34"/>
      <c r="O784" s="34"/>
      <c r="P784" s="34"/>
      <c r="Q784" s="34"/>
      <c r="R784" s="34"/>
      <c r="S784" s="34"/>
      <c r="T784" s="34"/>
      <c r="U784" s="34"/>
      <c r="V784" s="34"/>
    </row>
    <row r="785" spans="2:22" x14ac:dyDescent="0.3">
      <c r="B785" s="33"/>
      <c r="C785" s="34"/>
      <c r="D785" s="34"/>
      <c r="E785" s="34"/>
      <c r="F785" s="34"/>
      <c r="G785" s="34"/>
      <c r="H785" s="34"/>
      <c r="I785" s="34"/>
      <c r="J785" s="34"/>
      <c r="K785" s="35"/>
      <c r="L785" s="34"/>
      <c r="M785" s="34"/>
      <c r="N785" s="34"/>
      <c r="O785" s="34"/>
      <c r="P785" s="34"/>
      <c r="Q785" s="34"/>
      <c r="R785" s="34"/>
      <c r="S785" s="34"/>
      <c r="T785" s="34"/>
      <c r="U785" s="34"/>
      <c r="V785" s="34"/>
    </row>
    <row r="786" spans="2:22" x14ac:dyDescent="0.3">
      <c r="B786" s="33"/>
      <c r="C786" s="34"/>
      <c r="D786" s="34"/>
      <c r="E786" s="34"/>
      <c r="F786" s="34"/>
      <c r="G786" s="34"/>
      <c r="H786" s="34"/>
      <c r="I786" s="34"/>
      <c r="J786" s="34"/>
      <c r="K786" s="35"/>
      <c r="L786" s="34"/>
      <c r="M786" s="34"/>
      <c r="N786" s="34"/>
      <c r="O786" s="34"/>
      <c r="P786" s="34"/>
      <c r="Q786" s="34"/>
      <c r="R786" s="34"/>
      <c r="S786" s="34"/>
      <c r="T786" s="34"/>
      <c r="U786" s="34"/>
      <c r="V786" s="34"/>
    </row>
    <row r="787" spans="2:22" x14ac:dyDescent="0.3">
      <c r="B787" s="33"/>
      <c r="C787" s="34"/>
      <c r="D787" s="34"/>
      <c r="E787" s="34"/>
      <c r="F787" s="34"/>
      <c r="G787" s="34"/>
      <c r="H787" s="34"/>
      <c r="I787" s="34"/>
      <c r="J787" s="34"/>
      <c r="K787" s="35"/>
      <c r="L787" s="34"/>
      <c r="M787" s="34"/>
      <c r="N787" s="34"/>
      <c r="O787" s="34"/>
      <c r="P787" s="34"/>
      <c r="Q787" s="34"/>
      <c r="R787" s="34"/>
      <c r="S787" s="34"/>
      <c r="T787" s="34"/>
      <c r="U787" s="34"/>
      <c r="V787" s="34"/>
    </row>
    <row r="788" spans="2:22" x14ac:dyDescent="0.3">
      <c r="B788" s="33"/>
      <c r="C788" s="34"/>
      <c r="D788" s="34"/>
      <c r="E788" s="34"/>
      <c r="F788" s="34"/>
      <c r="G788" s="34"/>
      <c r="H788" s="34"/>
      <c r="I788" s="34"/>
      <c r="J788" s="34"/>
      <c r="K788" s="35"/>
      <c r="L788" s="34"/>
      <c r="M788" s="34"/>
      <c r="N788" s="34"/>
      <c r="O788" s="34"/>
      <c r="P788" s="34"/>
      <c r="Q788" s="34"/>
      <c r="R788" s="34"/>
      <c r="S788" s="34"/>
      <c r="T788" s="34"/>
      <c r="U788" s="34"/>
      <c r="V788" s="34"/>
    </row>
    <row r="789" spans="2:22" x14ac:dyDescent="0.3">
      <c r="B789" s="33"/>
      <c r="C789" s="34"/>
      <c r="D789" s="34"/>
      <c r="E789" s="34"/>
      <c r="F789" s="34"/>
      <c r="G789" s="34"/>
      <c r="H789" s="34"/>
      <c r="I789" s="34"/>
      <c r="J789" s="34"/>
      <c r="K789" s="35"/>
      <c r="L789" s="34"/>
      <c r="M789" s="34"/>
      <c r="N789" s="34"/>
      <c r="O789" s="34"/>
      <c r="P789" s="34"/>
      <c r="Q789" s="34"/>
      <c r="R789" s="34"/>
      <c r="S789" s="34"/>
      <c r="T789" s="34"/>
      <c r="U789" s="34"/>
      <c r="V789" s="34"/>
    </row>
    <row r="790" spans="2:22" x14ac:dyDescent="0.3">
      <c r="B790" s="33"/>
      <c r="C790" s="34"/>
      <c r="D790" s="34"/>
      <c r="E790" s="34"/>
      <c r="F790" s="34"/>
      <c r="G790" s="34"/>
      <c r="H790" s="34"/>
      <c r="I790" s="34"/>
      <c r="J790" s="34"/>
      <c r="K790" s="35"/>
      <c r="L790" s="34"/>
      <c r="M790" s="34"/>
      <c r="N790" s="34"/>
      <c r="O790" s="34"/>
      <c r="P790" s="34"/>
      <c r="Q790" s="34"/>
      <c r="R790" s="34"/>
      <c r="S790" s="34"/>
      <c r="T790" s="34"/>
      <c r="U790" s="34"/>
      <c r="V790" s="34"/>
    </row>
    <row r="791" spans="2:22" x14ac:dyDescent="0.3">
      <c r="B791" s="33"/>
      <c r="C791" s="34"/>
      <c r="D791" s="34"/>
      <c r="E791" s="34"/>
      <c r="F791" s="34"/>
      <c r="G791" s="34"/>
      <c r="H791" s="34"/>
      <c r="I791" s="34"/>
      <c r="J791" s="34"/>
      <c r="K791" s="35"/>
      <c r="L791" s="34"/>
      <c r="M791" s="34"/>
      <c r="N791" s="34"/>
      <c r="O791" s="34"/>
      <c r="P791" s="34"/>
      <c r="Q791" s="34"/>
      <c r="R791" s="34"/>
      <c r="S791" s="34"/>
      <c r="T791" s="34"/>
      <c r="U791" s="34"/>
      <c r="V791" s="34"/>
    </row>
    <row r="792" spans="2:22" x14ac:dyDescent="0.3">
      <c r="B792" s="33"/>
      <c r="C792" s="34"/>
      <c r="D792" s="34"/>
      <c r="E792" s="34"/>
      <c r="F792" s="34"/>
      <c r="G792" s="34"/>
      <c r="H792" s="34"/>
      <c r="I792" s="34"/>
      <c r="J792" s="34"/>
      <c r="K792" s="35"/>
      <c r="L792" s="34"/>
      <c r="M792" s="34"/>
      <c r="N792" s="34"/>
      <c r="O792" s="34"/>
      <c r="P792" s="34"/>
      <c r="Q792" s="34"/>
      <c r="R792" s="34"/>
      <c r="S792" s="34"/>
      <c r="T792" s="34"/>
      <c r="U792" s="34"/>
      <c r="V792" s="34"/>
    </row>
    <row r="793" spans="2:22" x14ac:dyDescent="0.3">
      <c r="B793" s="33"/>
      <c r="C793" s="34"/>
      <c r="D793" s="34"/>
      <c r="E793" s="34"/>
      <c r="F793" s="34"/>
      <c r="G793" s="34"/>
      <c r="H793" s="34"/>
      <c r="I793" s="34"/>
      <c r="J793" s="34"/>
      <c r="K793" s="35"/>
      <c r="L793" s="34"/>
      <c r="M793" s="34"/>
      <c r="N793" s="34"/>
      <c r="O793" s="34"/>
      <c r="P793" s="34"/>
      <c r="Q793" s="34"/>
      <c r="R793" s="34"/>
      <c r="S793" s="34"/>
      <c r="T793" s="34"/>
      <c r="U793" s="34"/>
      <c r="V793" s="34"/>
    </row>
    <row r="794" spans="2:22" x14ac:dyDescent="0.3">
      <c r="B794" s="33"/>
      <c r="C794" s="34"/>
      <c r="D794" s="34"/>
      <c r="E794" s="34"/>
      <c r="F794" s="34"/>
      <c r="G794" s="34"/>
      <c r="H794" s="34"/>
      <c r="I794" s="34"/>
      <c r="J794" s="34"/>
      <c r="K794" s="35"/>
      <c r="L794" s="34"/>
      <c r="M794" s="34"/>
      <c r="N794" s="34"/>
      <c r="O794" s="34"/>
      <c r="P794" s="34"/>
      <c r="Q794" s="34"/>
      <c r="R794" s="34"/>
      <c r="S794" s="34"/>
      <c r="T794" s="34"/>
      <c r="U794" s="34"/>
      <c r="V794" s="34"/>
    </row>
    <row r="795" spans="2:22" x14ac:dyDescent="0.3">
      <c r="B795" s="33"/>
      <c r="C795" s="34"/>
      <c r="D795" s="34"/>
      <c r="E795" s="34"/>
      <c r="F795" s="34"/>
      <c r="G795" s="34"/>
      <c r="H795" s="34"/>
      <c r="I795" s="34"/>
      <c r="J795" s="34"/>
      <c r="K795" s="35"/>
      <c r="L795" s="34"/>
      <c r="M795" s="34"/>
      <c r="N795" s="34"/>
      <c r="O795" s="34"/>
      <c r="P795" s="34"/>
      <c r="Q795" s="34"/>
      <c r="R795" s="34"/>
      <c r="S795" s="34"/>
      <c r="T795" s="34"/>
      <c r="U795" s="34"/>
      <c r="V795" s="34"/>
    </row>
    <row r="796" spans="2:22" x14ac:dyDescent="0.3">
      <c r="B796" s="33"/>
      <c r="C796" s="34"/>
      <c r="D796" s="34"/>
      <c r="E796" s="34"/>
      <c r="F796" s="34"/>
      <c r="G796" s="34"/>
      <c r="H796" s="34"/>
      <c r="I796" s="34"/>
      <c r="J796" s="34"/>
      <c r="K796" s="35"/>
      <c r="L796" s="34"/>
      <c r="M796" s="34"/>
      <c r="N796" s="34"/>
      <c r="O796" s="34"/>
      <c r="P796" s="34"/>
      <c r="Q796" s="34"/>
      <c r="R796" s="34"/>
      <c r="S796" s="34"/>
      <c r="T796" s="34"/>
      <c r="U796" s="34"/>
      <c r="V796" s="34"/>
    </row>
    <row r="797" spans="2:22" x14ac:dyDescent="0.3">
      <c r="B797" s="33"/>
      <c r="C797" s="34"/>
      <c r="D797" s="34"/>
      <c r="E797" s="34"/>
      <c r="F797" s="34"/>
      <c r="G797" s="34"/>
      <c r="H797" s="34"/>
      <c r="I797" s="34"/>
      <c r="J797" s="34"/>
      <c r="K797" s="35"/>
      <c r="L797" s="34"/>
      <c r="M797" s="34"/>
      <c r="N797" s="34"/>
      <c r="O797" s="34"/>
      <c r="P797" s="34"/>
      <c r="Q797" s="34"/>
      <c r="R797" s="34"/>
      <c r="S797" s="34"/>
      <c r="T797" s="34"/>
      <c r="U797" s="34"/>
      <c r="V797" s="34"/>
    </row>
    <row r="798" spans="2:22" x14ac:dyDescent="0.3">
      <c r="B798" s="33"/>
      <c r="C798" s="34"/>
      <c r="D798" s="34"/>
      <c r="E798" s="34"/>
      <c r="F798" s="34"/>
      <c r="G798" s="34"/>
      <c r="H798" s="34"/>
      <c r="I798" s="34"/>
      <c r="J798" s="34"/>
      <c r="K798" s="35"/>
      <c r="L798" s="34"/>
      <c r="M798" s="34"/>
      <c r="N798" s="34"/>
      <c r="O798" s="34"/>
      <c r="P798" s="34"/>
      <c r="Q798" s="34"/>
      <c r="R798" s="34"/>
      <c r="S798" s="34"/>
      <c r="T798" s="34"/>
      <c r="U798" s="34"/>
      <c r="V798" s="34"/>
    </row>
    <row r="799" spans="2:22" x14ac:dyDescent="0.3">
      <c r="B799" s="33"/>
      <c r="C799" s="34"/>
      <c r="D799" s="34"/>
      <c r="E799" s="34"/>
      <c r="F799" s="34"/>
      <c r="G799" s="34"/>
      <c r="H799" s="34"/>
      <c r="I799" s="34"/>
      <c r="J799" s="34"/>
      <c r="K799" s="35"/>
      <c r="L799" s="34"/>
      <c r="M799" s="34"/>
      <c r="N799" s="34"/>
      <c r="O799" s="34"/>
      <c r="P799" s="34"/>
      <c r="Q799" s="34"/>
      <c r="R799" s="34"/>
      <c r="S799" s="34"/>
      <c r="T799" s="34"/>
      <c r="U799" s="34"/>
      <c r="V799" s="34"/>
    </row>
    <row r="800" spans="2:22" x14ac:dyDescent="0.3">
      <c r="B800" s="33"/>
      <c r="C800" s="34"/>
      <c r="D800" s="34"/>
      <c r="E800" s="34"/>
      <c r="F800" s="34"/>
      <c r="G800" s="34"/>
      <c r="H800" s="34"/>
      <c r="I800" s="34"/>
      <c r="J800" s="34"/>
      <c r="K800" s="35"/>
      <c r="L800" s="34"/>
      <c r="M800" s="34"/>
      <c r="N800" s="34"/>
      <c r="O800" s="34"/>
      <c r="P800" s="34"/>
      <c r="Q800" s="34"/>
      <c r="R800" s="34"/>
      <c r="S800" s="34"/>
      <c r="T800" s="34"/>
      <c r="U800" s="34"/>
      <c r="V800" s="34"/>
    </row>
    <row r="801" spans="2:22" x14ac:dyDescent="0.3">
      <c r="B801" s="33"/>
      <c r="C801" s="34"/>
      <c r="D801" s="34"/>
      <c r="E801" s="34"/>
      <c r="F801" s="34"/>
      <c r="G801" s="34"/>
      <c r="H801" s="34"/>
      <c r="I801" s="34"/>
      <c r="J801" s="34"/>
      <c r="K801" s="35"/>
      <c r="L801" s="34"/>
      <c r="M801" s="34"/>
      <c r="N801" s="34"/>
      <c r="O801" s="34"/>
      <c r="P801" s="34"/>
      <c r="Q801" s="34"/>
      <c r="R801" s="34"/>
      <c r="S801" s="34"/>
      <c r="T801" s="34"/>
      <c r="U801" s="34"/>
      <c r="V801" s="34"/>
    </row>
    <row r="802" spans="2:22" x14ac:dyDescent="0.3">
      <c r="B802" s="33"/>
      <c r="C802" s="34"/>
      <c r="D802" s="34"/>
      <c r="E802" s="34"/>
      <c r="F802" s="34"/>
      <c r="G802" s="34"/>
      <c r="H802" s="34"/>
      <c r="I802" s="34"/>
      <c r="J802" s="34"/>
      <c r="K802" s="35"/>
      <c r="L802" s="34"/>
      <c r="M802" s="34"/>
      <c r="N802" s="34"/>
      <c r="O802" s="34"/>
      <c r="P802" s="34"/>
      <c r="Q802" s="34"/>
      <c r="R802" s="34"/>
      <c r="S802" s="34"/>
      <c r="T802" s="34"/>
      <c r="U802" s="34"/>
      <c r="V802" s="34"/>
    </row>
    <row r="803" spans="2:22" x14ac:dyDescent="0.3">
      <c r="B803" s="33"/>
      <c r="C803" s="34"/>
      <c r="D803" s="34"/>
      <c r="E803" s="34"/>
      <c r="F803" s="34"/>
      <c r="G803" s="34"/>
      <c r="H803" s="34"/>
      <c r="I803" s="34"/>
      <c r="J803" s="34"/>
      <c r="K803" s="35"/>
      <c r="L803" s="34"/>
      <c r="M803" s="34"/>
      <c r="N803" s="34"/>
      <c r="O803" s="34"/>
      <c r="P803" s="34"/>
      <c r="Q803" s="34"/>
      <c r="R803" s="34"/>
      <c r="S803" s="34"/>
      <c r="T803" s="34"/>
      <c r="U803" s="34"/>
      <c r="V803" s="34"/>
    </row>
    <row r="804" spans="2:22" x14ac:dyDescent="0.3">
      <c r="B804" s="33"/>
      <c r="C804" s="34"/>
      <c r="D804" s="34"/>
      <c r="E804" s="34"/>
      <c r="F804" s="34"/>
      <c r="G804" s="34"/>
      <c r="H804" s="34"/>
      <c r="I804" s="34"/>
      <c r="J804" s="34"/>
      <c r="K804" s="35"/>
      <c r="L804" s="34"/>
      <c r="M804" s="34"/>
      <c r="N804" s="34"/>
      <c r="O804" s="34"/>
      <c r="P804" s="34"/>
      <c r="Q804" s="34"/>
      <c r="R804" s="34"/>
      <c r="S804" s="34"/>
      <c r="T804" s="34"/>
      <c r="U804" s="34"/>
      <c r="V804" s="34"/>
    </row>
    <row r="805" spans="2:22" x14ac:dyDescent="0.3">
      <c r="B805" s="33"/>
      <c r="C805" s="34"/>
      <c r="D805" s="34"/>
      <c r="E805" s="34"/>
      <c r="F805" s="34"/>
      <c r="G805" s="34"/>
      <c r="H805" s="34"/>
      <c r="I805" s="34"/>
      <c r="J805" s="34"/>
      <c r="K805" s="35"/>
      <c r="L805" s="34"/>
      <c r="M805" s="34"/>
      <c r="N805" s="34"/>
      <c r="O805" s="34"/>
      <c r="P805" s="34"/>
      <c r="Q805" s="34"/>
      <c r="R805" s="34"/>
      <c r="S805" s="34"/>
      <c r="T805" s="34"/>
      <c r="U805" s="34"/>
      <c r="V805" s="34"/>
    </row>
    <row r="806" spans="2:22" x14ac:dyDescent="0.3">
      <c r="B806" s="33"/>
      <c r="C806" s="34"/>
      <c r="D806" s="34"/>
      <c r="E806" s="34"/>
      <c r="F806" s="34"/>
      <c r="G806" s="34"/>
      <c r="H806" s="34"/>
      <c r="I806" s="34"/>
      <c r="J806" s="34"/>
      <c r="K806" s="35"/>
      <c r="L806" s="34"/>
      <c r="M806" s="34"/>
      <c r="N806" s="34"/>
      <c r="O806" s="34"/>
      <c r="P806" s="34"/>
      <c r="Q806" s="34"/>
      <c r="R806" s="34"/>
      <c r="S806" s="34"/>
      <c r="T806" s="34"/>
      <c r="U806" s="34"/>
      <c r="V806" s="34"/>
    </row>
    <row r="807" spans="2:22" x14ac:dyDescent="0.3">
      <c r="B807" s="33"/>
      <c r="C807" s="34"/>
      <c r="D807" s="34"/>
      <c r="E807" s="34"/>
      <c r="F807" s="34"/>
      <c r="G807" s="34"/>
      <c r="H807" s="34"/>
      <c r="I807" s="34"/>
      <c r="J807" s="34"/>
      <c r="K807" s="35"/>
      <c r="L807" s="34"/>
      <c r="M807" s="34"/>
      <c r="N807" s="34"/>
      <c r="O807" s="34"/>
      <c r="P807" s="34"/>
      <c r="Q807" s="34"/>
      <c r="R807" s="34"/>
      <c r="S807" s="34"/>
      <c r="T807" s="34"/>
      <c r="U807" s="34"/>
      <c r="V807" s="34"/>
    </row>
    <row r="808" spans="2:22" x14ac:dyDescent="0.3">
      <c r="B808" s="33"/>
      <c r="C808" s="34"/>
      <c r="D808" s="34"/>
      <c r="E808" s="34"/>
      <c r="F808" s="34"/>
      <c r="G808" s="34"/>
      <c r="H808" s="34"/>
      <c r="I808" s="34"/>
      <c r="J808" s="34"/>
      <c r="K808" s="35"/>
      <c r="L808" s="34"/>
      <c r="M808" s="34"/>
      <c r="N808" s="34"/>
      <c r="O808" s="34"/>
      <c r="P808" s="34"/>
      <c r="Q808" s="34"/>
      <c r="R808" s="34"/>
      <c r="S808" s="34"/>
      <c r="T808" s="34"/>
      <c r="U808" s="34"/>
      <c r="V808" s="34"/>
    </row>
    <row r="809" spans="2:22" x14ac:dyDescent="0.3">
      <c r="B809" s="33"/>
      <c r="C809" s="34"/>
      <c r="D809" s="34"/>
      <c r="E809" s="34"/>
      <c r="F809" s="34"/>
      <c r="G809" s="34"/>
      <c r="H809" s="34"/>
      <c r="I809" s="34"/>
      <c r="J809" s="34"/>
      <c r="K809" s="35"/>
      <c r="L809" s="34"/>
      <c r="M809" s="34"/>
      <c r="N809" s="34"/>
      <c r="O809" s="34"/>
      <c r="P809" s="34"/>
      <c r="Q809" s="34"/>
      <c r="R809" s="34"/>
      <c r="S809" s="34"/>
      <c r="T809" s="34"/>
      <c r="U809" s="34"/>
      <c r="V809" s="34"/>
    </row>
    <row r="810" spans="2:22" x14ac:dyDescent="0.3">
      <c r="B810" s="33"/>
      <c r="C810" s="34"/>
      <c r="D810" s="34"/>
      <c r="E810" s="34"/>
      <c r="F810" s="34"/>
      <c r="G810" s="34"/>
      <c r="H810" s="34"/>
      <c r="I810" s="34"/>
      <c r="J810" s="34"/>
      <c r="K810" s="35"/>
      <c r="L810" s="34"/>
      <c r="M810" s="34"/>
      <c r="N810" s="34"/>
      <c r="O810" s="34"/>
      <c r="P810" s="34"/>
      <c r="Q810" s="34"/>
      <c r="R810" s="34"/>
      <c r="S810" s="34"/>
      <c r="T810" s="34"/>
      <c r="U810" s="34"/>
      <c r="V810" s="34"/>
    </row>
    <row r="811" spans="2:22" x14ac:dyDescent="0.3">
      <c r="B811" s="33"/>
      <c r="C811" s="34"/>
      <c r="D811" s="34"/>
      <c r="E811" s="34"/>
      <c r="F811" s="34"/>
      <c r="G811" s="34"/>
      <c r="H811" s="34"/>
      <c r="I811" s="34"/>
      <c r="J811" s="34"/>
      <c r="K811" s="35"/>
      <c r="L811" s="34"/>
      <c r="M811" s="34"/>
      <c r="N811" s="34"/>
      <c r="O811" s="34"/>
      <c r="P811" s="34"/>
      <c r="Q811" s="34"/>
      <c r="R811" s="34"/>
      <c r="S811" s="34"/>
      <c r="T811" s="34"/>
      <c r="U811" s="34"/>
      <c r="V811" s="34"/>
    </row>
    <row r="812" spans="2:22" x14ac:dyDescent="0.3">
      <c r="B812" s="33"/>
      <c r="C812" s="34"/>
      <c r="D812" s="34"/>
      <c r="E812" s="34"/>
      <c r="F812" s="34"/>
      <c r="G812" s="34"/>
      <c r="H812" s="34"/>
      <c r="I812" s="34"/>
      <c r="J812" s="34"/>
      <c r="K812" s="35"/>
      <c r="L812" s="34"/>
      <c r="M812" s="34"/>
      <c r="N812" s="34"/>
      <c r="O812" s="34"/>
      <c r="P812" s="34"/>
      <c r="Q812" s="34"/>
      <c r="R812" s="34"/>
      <c r="S812" s="34"/>
      <c r="T812" s="34"/>
      <c r="U812" s="34"/>
      <c r="V812" s="34"/>
    </row>
    <row r="813" spans="2:22" x14ac:dyDescent="0.3">
      <c r="B813" s="33"/>
      <c r="C813" s="34"/>
      <c r="D813" s="34"/>
      <c r="E813" s="34"/>
      <c r="F813" s="34"/>
      <c r="G813" s="34"/>
      <c r="H813" s="34"/>
      <c r="I813" s="34"/>
      <c r="J813" s="34"/>
      <c r="K813" s="35"/>
      <c r="L813" s="34"/>
      <c r="M813" s="34"/>
      <c r="N813" s="34"/>
      <c r="O813" s="34"/>
      <c r="P813" s="34"/>
      <c r="Q813" s="34"/>
      <c r="R813" s="34"/>
      <c r="S813" s="34"/>
      <c r="T813" s="34"/>
      <c r="U813" s="34"/>
      <c r="V813" s="34"/>
    </row>
    <row r="814" spans="2:22" x14ac:dyDescent="0.3">
      <c r="B814" s="33"/>
      <c r="C814" s="34"/>
      <c r="D814" s="34"/>
      <c r="E814" s="34"/>
      <c r="F814" s="34"/>
      <c r="G814" s="34"/>
      <c r="H814" s="34"/>
      <c r="I814" s="34"/>
      <c r="J814" s="34"/>
      <c r="K814" s="35"/>
      <c r="L814" s="34"/>
      <c r="M814" s="34"/>
      <c r="N814" s="34"/>
      <c r="O814" s="34"/>
      <c r="P814" s="34"/>
      <c r="Q814" s="34"/>
      <c r="R814" s="34"/>
      <c r="S814" s="34"/>
      <c r="T814" s="34"/>
      <c r="U814" s="34"/>
      <c r="V814" s="34"/>
    </row>
    <row r="815" spans="2:22" x14ac:dyDescent="0.3">
      <c r="B815" s="33"/>
      <c r="C815" s="34"/>
      <c r="D815" s="34"/>
      <c r="E815" s="34"/>
      <c r="F815" s="34"/>
      <c r="G815" s="34"/>
      <c r="H815" s="34"/>
      <c r="I815" s="34"/>
      <c r="J815" s="34"/>
      <c r="K815" s="35"/>
      <c r="L815" s="34"/>
      <c r="M815" s="34"/>
      <c r="N815" s="34"/>
      <c r="O815" s="34"/>
      <c r="P815" s="34"/>
      <c r="Q815" s="34"/>
      <c r="R815" s="34"/>
      <c r="S815" s="34"/>
      <c r="T815" s="34"/>
      <c r="U815" s="34"/>
      <c r="V815" s="34"/>
    </row>
    <row r="816" spans="2:22" x14ac:dyDescent="0.3">
      <c r="B816" s="33"/>
      <c r="C816" s="34"/>
      <c r="D816" s="34"/>
      <c r="E816" s="34"/>
      <c r="F816" s="34"/>
      <c r="G816" s="34"/>
      <c r="H816" s="34"/>
      <c r="I816" s="34"/>
      <c r="J816" s="34"/>
      <c r="K816" s="35"/>
      <c r="L816" s="34"/>
      <c r="M816" s="34"/>
      <c r="N816" s="34"/>
      <c r="O816" s="34"/>
      <c r="P816" s="34"/>
      <c r="Q816" s="34"/>
      <c r="R816" s="34"/>
      <c r="S816" s="34"/>
      <c r="T816" s="34"/>
      <c r="U816" s="34"/>
      <c r="V816" s="34"/>
    </row>
    <row r="817" spans="2:22" x14ac:dyDescent="0.3">
      <c r="B817" s="33"/>
      <c r="C817" s="34"/>
      <c r="D817" s="34"/>
      <c r="E817" s="34"/>
      <c r="F817" s="34"/>
      <c r="G817" s="34"/>
      <c r="H817" s="34"/>
      <c r="I817" s="34"/>
      <c r="J817" s="34"/>
      <c r="K817" s="35"/>
      <c r="L817" s="34"/>
      <c r="M817" s="34"/>
      <c r="N817" s="34"/>
      <c r="O817" s="34"/>
      <c r="P817" s="34"/>
      <c r="Q817" s="34"/>
      <c r="R817" s="34"/>
      <c r="S817" s="34"/>
      <c r="T817" s="34"/>
      <c r="U817" s="34"/>
      <c r="V817" s="34"/>
    </row>
    <row r="818" spans="2:22" x14ac:dyDescent="0.3">
      <c r="B818" s="33"/>
      <c r="C818" s="34"/>
      <c r="D818" s="34"/>
      <c r="E818" s="34"/>
      <c r="F818" s="34"/>
      <c r="G818" s="34"/>
      <c r="H818" s="34"/>
      <c r="I818" s="34"/>
      <c r="J818" s="34"/>
      <c r="K818" s="35"/>
      <c r="L818" s="34"/>
      <c r="M818" s="34"/>
      <c r="N818" s="34"/>
      <c r="O818" s="34"/>
      <c r="P818" s="34"/>
      <c r="Q818" s="34"/>
      <c r="R818" s="34"/>
      <c r="S818" s="34"/>
      <c r="T818" s="34"/>
      <c r="U818" s="34"/>
      <c r="V818" s="34"/>
    </row>
    <row r="819" spans="2:22" x14ac:dyDescent="0.3">
      <c r="B819" s="33"/>
      <c r="C819" s="34"/>
      <c r="D819" s="34"/>
      <c r="E819" s="34"/>
      <c r="F819" s="34"/>
      <c r="G819" s="34"/>
      <c r="H819" s="34"/>
      <c r="I819" s="34"/>
      <c r="J819" s="34"/>
      <c r="K819" s="35"/>
      <c r="L819" s="34"/>
      <c r="M819" s="34"/>
      <c r="N819" s="34"/>
      <c r="O819" s="34"/>
      <c r="P819" s="34"/>
      <c r="Q819" s="34"/>
      <c r="R819" s="34"/>
      <c r="S819" s="34"/>
      <c r="T819" s="34"/>
      <c r="U819" s="34"/>
      <c r="V819" s="34"/>
    </row>
    <row r="820" spans="2:22" x14ac:dyDescent="0.3">
      <c r="B820" s="33"/>
      <c r="C820" s="34"/>
      <c r="D820" s="34"/>
      <c r="E820" s="34"/>
      <c r="F820" s="34"/>
      <c r="G820" s="34"/>
      <c r="H820" s="34"/>
      <c r="I820" s="34"/>
      <c r="J820" s="34"/>
      <c r="K820" s="35"/>
      <c r="L820" s="34"/>
      <c r="M820" s="34"/>
      <c r="N820" s="34"/>
      <c r="O820" s="34"/>
      <c r="P820" s="34"/>
      <c r="Q820" s="34"/>
      <c r="R820" s="34"/>
      <c r="S820" s="34"/>
      <c r="T820" s="34"/>
      <c r="U820" s="34"/>
      <c r="V820" s="34"/>
    </row>
    <row r="821" spans="2:22" x14ac:dyDescent="0.3">
      <c r="B821" s="33"/>
      <c r="C821" s="34"/>
      <c r="D821" s="34"/>
      <c r="E821" s="34"/>
      <c r="F821" s="34"/>
      <c r="G821" s="34"/>
      <c r="H821" s="34"/>
      <c r="I821" s="34"/>
      <c r="J821" s="34"/>
      <c r="K821" s="35"/>
      <c r="L821" s="34"/>
      <c r="M821" s="34"/>
      <c r="N821" s="34"/>
      <c r="O821" s="34"/>
      <c r="P821" s="34"/>
      <c r="Q821" s="34"/>
      <c r="R821" s="34"/>
      <c r="S821" s="34"/>
      <c r="T821" s="34"/>
      <c r="U821" s="34"/>
      <c r="V821" s="34"/>
    </row>
    <row r="822" spans="2:22" x14ac:dyDescent="0.3">
      <c r="B822" s="33"/>
      <c r="C822" s="34"/>
      <c r="D822" s="34"/>
      <c r="E822" s="34"/>
      <c r="F822" s="34"/>
      <c r="G822" s="34"/>
      <c r="H822" s="34"/>
      <c r="I822" s="34"/>
      <c r="J822" s="34"/>
      <c r="K822" s="35"/>
      <c r="L822" s="34"/>
      <c r="M822" s="34"/>
      <c r="N822" s="34"/>
      <c r="O822" s="34"/>
      <c r="P822" s="34"/>
      <c r="Q822" s="34"/>
      <c r="R822" s="34"/>
      <c r="S822" s="34"/>
      <c r="T822" s="34"/>
      <c r="U822" s="34"/>
      <c r="V822" s="34"/>
    </row>
    <row r="823" spans="2:22" x14ac:dyDescent="0.3">
      <c r="B823" s="33"/>
      <c r="C823" s="34"/>
      <c r="D823" s="34"/>
      <c r="E823" s="34"/>
      <c r="F823" s="34"/>
      <c r="G823" s="34"/>
      <c r="H823" s="34"/>
      <c r="I823" s="34"/>
      <c r="J823" s="34"/>
      <c r="K823" s="35"/>
      <c r="L823" s="34"/>
      <c r="M823" s="34"/>
      <c r="N823" s="34"/>
      <c r="O823" s="34"/>
      <c r="P823" s="34"/>
      <c r="Q823" s="34"/>
      <c r="R823" s="34"/>
      <c r="S823" s="34"/>
      <c r="T823" s="34"/>
      <c r="U823" s="34"/>
      <c r="V823" s="34"/>
    </row>
    <row r="824" spans="2:22" x14ac:dyDescent="0.3">
      <c r="B824" s="33"/>
      <c r="C824" s="34"/>
      <c r="D824" s="34"/>
      <c r="E824" s="34"/>
      <c r="F824" s="34"/>
      <c r="G824" s="34"/>
      <c r="H824" s="34"/>
      <c r="I824" s="34"/>
      <c r="J824" s="34"/>
      <c r="K824" s="35"/>
      <c r="L824" s="34"/>
      <c r="M824" s="34"/>
      <c r="N824" s="34"/>
      <c r="O824" s="34"/>
      <c r="P824" s="34"/>
      <c r="Q824" s="34"/>
      <c r="R824" s="34"/>
      <c r="S824" s="34"/>
      <c r="T824" s="34"/>
      <c r="U824" s="34"/>
      <c r="V824" s="34"/>
    </row>
    <row r="825" spans="2:22" x14ac:dyDescent="0.3">
      <c r="B825" s="33"/>
      <c r="C825" s="34"/>
      <c r="D825" s="34"/>
      <c r="E825" s="34"/>
      <c r="F825" s="34"/>
      <c r="G825" s="34"/>
      <c r="H825" s="34"/>
      <c r="I825" s="34"/>
      <c r="J825" s="34"/>
      <c r="K825" s="35"/>
      <c r="L825" s="34"/>
      <c r="M825" s="34"/>
      <c r="N825" s="34"/>
      <c r="O825" s="34"/>
      <c r="P825" s="34"/>
      <c r="Q825" s="34"/>
      <c r="R825" s="34"/>
      <c r="S825" s="34"/>
      <c r="T825" s="34"/>
      <c r="U825" s="34"/>
      <c r="V825" s="34"/>
    </row>
    <row r="826" spans="2:22" x14ac:dyDescent="0.3">
      <c r="B826" s="33"/>
      <c r="C826" s="34"/>
      <c r="D826" s="34"/>
      <c r="E826" s="34"/>
      <c r="F826" s="34"/>
      <c r="G826" s="34"/>
      <c r="H826" s="34"/>
      <c r="I826" s="34"/>
      <c r="J826" s="34"/>
      <c r="K826" s="35"/>
      <c r="L826" s="34"/>
      <c r="M826" s="34"/>
      <c r="N826" s="34"/>
      <c r="O826" s="34"/>
      <c r="P826" s="34"/>
      <c r="Q826" s="34"/>
      <c r="R826" s="34"/>
      <c r="S826" s="34"/>
      <c r="T826" s="34"/>
      <c r="U826" s="34"/>
      <c r="V826" s="34"/>
    </row>
    <row r="827" spans="2:22" x14ac:dyDescent="0.3">
      <c r="B827" s="33"/>
      <c r="C827" s="34"/>
      <c r="D827" s="34"/>
      <c r="E827" s="34"/>
      <c r="F827" s="34"/>
      <c r="G827" s="34"/>
      <c r="H827" s="34"/>
      <c r="I827" s="34"/>
      <c r="J827" s="34"/>
      <c r="K827" s="35"/>
      <c r="L827" s="34"/>
      <c r="M827" s="34"/>
      <c r="N827" s="34"/>
      <c r="O827" s="34"/>
      <c r="P827" s="34"/>
      <c r="Q827" s="34"/>
      <c r="R827" s="34"/>
      <c r="S827" s="34"/>
      <c r="T827" s="34"/>
      <c r="U827" s="34"/>
      <c r="V827" s="34"/>
    </row>
    <row r="828" spans="2:22" x14ac:dyDescent="0.3">
      <c r="B828" s="33"/>
      <c r="C828" s="34"/>
      <c r="D828" s="34"/>
      <c r="E828" s="34"/>
      <c r="F828" s="34"/>
      <c r="G828" s="34"/>
      <c r="H828" s="34"/>
      <c r="I828" s="34"/>
      <c r="J828" s="34"/>
      <c r="K828" s="35"/>
      <c r="L828" s="34"/>
      <c r="M828" s="34"/>
      <c r="N828" s="34"/>
      <c r="O828" s="34"/>
      <c r="P828" s="34"/>
      <c r="Q828" s="34"/>
      <c r="R828" s="34"/>
      <c r="S828" s="34"/>
      <c r="T828" s="34"/>
      <c r="U828" s="34"/>
      <c r="V828" s="34"/>
    </row>
    <row r="829" spans="2:22" x14ac:dyDescent="0.3">
      <c r="B829" s="33"/>
      <c r="C829" s="34"/>
      <c r="D829" s="34"/>
      <c r="E829" s="34"/>
      <c r="F829" s="34"/>
      <c r="G829" s="34"/>
      <c r="H829" s="34"/>
      <c r="I829" s="34"/>
      <c r="J829" s="34"/>
      <c r="K829" s="35"/>
      <c r="L829" s="34"/>
      <c r="M829" s="34"/>
      <c r="N829" s="34"/>
      <c r="O829" s="34"/>
      <c r="P829" s="34"/>
      <c r="Q829" s="34"/>
      <c r="R829" s="34"/>
      <c r="S829" s="34"/>
      <c r="T829" s="34"/>
      <c r="U829" s="34"/>
      <c r="V829" s="34"/>
    </row>
    <row r="830" spans="2:22" x14ac:dyDescent="0.3">
      <c r="B830" s="33"/>
      <c r="C830" s="34"/>
      <c r="D830" s="34"/>
      <c r="E830" s="34"/>
      <c r="F830" s="34"/>
      <c r="G830" s="34"/>
      <c r="H830" s="34"/>
      <c r="I830" s="34"/>
      <c r="J830" s="34"/>
      <c r="K830" s="35"/>
      <c r="L830" s="34"/>
      <c r="M830" s="34"/>
      <c r="N830" s="34"/>
      <c r="O830" s="34"/>
      <c r="P830" s="34"/>
      <c r="Q830" s="34"/>
      <c r="R830" s="34"/>
      <c r="S830" s="34"/>
      <c r="T830" s="34"/>
      <c r="U830" s="34"/>
      <c r="V830" s="34"/>
    </row>
    <row r="831" spans="2:22" x14ac:dyDescent="0.3">
      <c r="B831" s="33"/>
      <c r="C831" s="34"/>
      <c r="D831" s="34"/>
      <c r="E831" s="34"/>
      <c r="F831" s="34"/>
      <c r="G831" s="34"/>
      <c r="H831" s="34"/>
      <c r="I831" s="34"/>
      <c r="J831" s="34"/>
      <c r="K831" s="35"/>
      <c r="L831" s="34"/>
      <c r="M831" s="34"/>
      <c r="N831" s="34"/>
      <c r="O831" s="34"/>
      <c r="P831" s="34"/>
      <c r="Q831" s="34"/>
      <c r="R831" s="34"/>
      <c r="S831" s="34"/>
      <c r="T831" s="34"/>
      <c r="U831" s="34"/>
      <c r="V831" s="34"/>
    </row>
    <row r="832" spans="2:22" x14ac:dyDescent="0.3">
      <c r="B832" s="33"/>
      <c r="C832" s="34"/>
      <c r="D832" s="34"/>
      <c r="E832" s="34"/>
      <c r="F832" s="34"/>
      <c r="G832" s="34"/>
      <c r="H832" s="34"/>
      <c r="I832" s="34"/>
      <c r="J832" s="34"/>
      <c r="K832" s="35"/>
      <c r="L832" s="34"/>
      <c r="M832" s="34"/>
      <c r="N832" s="34"/>
      <c r="O832" s="34"/>
      <c r="P832" s="34"/>
      <c r="Q832" s="34"/>
      <c r="R832" s="34"/>
      <c r="S832" s="34"/>
      <c r="T832" s="34"/>
      <c r="U832" s="34"/>
      <c r="V832" s="34"/>
    </row>
    <row r="833" spans="2:22" x14ac:dyDescent="0.3">
      <c r="B833" s="33"/>
      <c r="C833" s="34"/>
      <c r="D833" s="34"/>
      <c r="E833" s="34"/>
      <c r="F833" s="34"/>
      <c r="G833" s="34"/>
      <c r="H833" s="34"/>
      <c r="I833" s="34"/>
      <c r="J833" s="34"/>
      <c r="K833" s="35"/>
      <c r="L833" s="34"/>
      <c r="M833" s="34"/>
      <c r="N833" s="34"/>
      <c r="O833" s="34"/>
      <c r="P833" s="34"/>
      <c r="Q833" s="34"/>
      <c r="R833" s="34"/>
      <c r="S833" s="34"/>
      <c r="T833" s="34"/>
      <c r="U833" s="34"/>
      <c r="V833" s="34"/>
    </row>
    <row r="834" spans="2:22" x14ac:dyDescent="0.3">
      <c r="B834" s="33"/>
      <c r="C834" s="34"/>
      <c r="D834" s="34"/>
      <c r="E834" s="34"/>
      <c r="F834" s="34"/>
      <c r="G834" s="34"/>
      <c r="H834" s="34"/>
      <c r="I834" s="34"/>
      <c r="J834" s="34"/>
      <c r="K834" s="35"/>
      <c r="L834" s="34"/>
      <c r="M834" s="34"/>
      <c r="N834" s="34"/>
      <c r="O834" s="34"/>
      <c r="P834" s="34"/>
      <c r="Q834" s="34"/>
      <c r="R834" s="34"/>
      <c r="S834" s="34"/>
      <c r="T834" s="34"/>
      <c r="U834" s="34"/>
      <c r="V834" s="34"/>
    </row>
    <row r="835" spans="2:22" x14ac:dyDescent="0.3">
      <c r="B835" s="33"/>
      <c r="C835" s="34"/>
      <c r="D835" s="34"/>
      <c r="E835" s="34"/>
      <c r="F835" s="34"/>
      <c r="G835" s="34"/>
      <c r="H835" s="34"/>
      <c r="I835" s="34"/>
      <c r="J835" s="34"/>
      <c r="K835" s="35"/>
      <c r="L835" s="34"/>
      <c r="M835" s="34"/>
      <c r="N835" s="34"/>
      <c r="O835" s="34"/>
      <c r="P835" s="34"/>
      <c r="Q835" s="34"/>
      <c r="R835" s="34"/>
      <c r="S835" s="34"/>
      <c r="T835" s="34"/>
      <c r="U835" s="34"/>
      <c r="V835" s="34"/>
    </row>
    <row r="836" spans="2:22" x14ac:dyDescent="0.3">
      <c r="B836" s="33"/>
      <c r="C836" s="34"/>
      <c r="D836" s="34"/>
      <c r="E836" s="34"/>
      <c r="F836" s="34"/>
      <c r="G836" s="34"/>
      <c r="H836" s="34"/>
      <c r="I836" s="34"/>
      <c r="J836" s="34"/>
      <c r="K836" s="35"/>
      <c r="L836" s="34"/>
      <c r="M836" s="34"/>
      <c r="N836" s="34"/>
      <c r="O836" s="34"/>
      <c r="P836" s="34"/>
      <c r="Q836" s="34"/>
      <c r="R836" s="34"/>
      <c r="S836" s="34"/>
      <c r="T836" s="34"/>
      <c r="U836" s="34"/>
      <c r="V836" s="34"/>
    </row>
    <row r="837" spans="2:22" x14ac:dyDescent="0.3">
      <c r="B837" s="33"/>
      <c r="C837" s="34"/>
      <c r="D837" s="34"/>
      <c r="E837" s="34"/>
      <c r="F837" s="34"/>
      <c r="G837" s="34"/>
      <c r="H837" s="34"/>
      <c r="I837" s="34"/>
      <c r="J837" s="34"/>
      <c r="K837" s="35"/>
      <c r="L837" s="34"/>
      <c r="M837" s="34"/>
      <c r="N837" s="34"/>
      <c r="O837" s="34"/>
      <c r="P837" s="34"/>
      <c r="Q837" s="34"/>
      <c r="R837" s="34"/>
      <c r="S837" s="34"/>
      <c r="T837" s="34"/>
      <c r="U837" s="34"/>
      <c r="V837" s="34"/>
    </row>
    <row r="838" spans="2:22" x14ac:dyDescent="0.3">
      <c r="B838" s="33"/>
      <c r="C838" s="34"/>
      <c r="D838" s="34"/>
      <c r="E838" s="34"/>
      <c r="F838" s="34"/>
      <c r="G838" s="34"/>
      <c r="H838" s="34"/>
      <c r="I838" s="34"/>
      <c r="J838" s="34"/>
      <c r="K838" s="35"/>
      <c r="L838" s="34"/>
      <c r="M838" s="34"/>
      <c r="N838" s="34"/>
      <c r="O838" s="34"/>
      <c r="P838" s="34"/>
      <c r="Q838" s="34"/>
      <c r="R838" s="34"/>
      <c r="S838" s="34"/>
      <c r="T838" s="34"/>
      <c r="U838" s="34"/>
      <c r="V838" s="34"/>
    </row>
    <row r="839" spans="2:22" x14ac:dyDescent="0.3">
      <c r="B839" s="33"/>
      <c r="C839" s="34"/>
      <c r="D839" s="34"/>
      <c r="E839" s="34"/>
      <c r="F839" s="34"/>
      <c r="G839" s="34"/>
      <c r="H839" s="34"/>
      <c r="I839" s="34"/>
      <c r="J839" s="34"/>
      <c r="K839" s="35"/>
      <c r="L839" s="34"/>
      <c r="M839" s="34"/>
      <c r="N839" s="34"/>
      <c r="O839" s="34"/>
      <c r="P839" s="34"/>
      <c r="Q839" s="34"/>
      <c r="R839" s="34"/>
      <c r="S839" s="34"/>
      <c r="T839" s="34"/>
      <c r="U839" s="34"/>
      <c r="V839" s="34"/>
    </row>
    <row r="840" spans="2:22" x14ac:dyDescent="0.3">
      <c r="B840" s="33"/>
      <c r="C840" s="34"/>
      <c r="D840" s="34"/>
      <c r="E840" s="34"/>
      <c r="F840" s="34"/>
      <c r="G840" s="34"/>
      <c r="H840" s="34"/>
      <c r="I840" s="34"/>
      <c r="J840" s="34"/>
      <c r="K840" s="35"/>
      <c r="L840" s="34"/>
      <c r="M840" s="34"/>
      <c r="N840" s="34"/>
      <c r="O840" s="34"/>
      <c r="P840" s="34"/>
      <c r="Q840" s="34"/>
      <c r="R840" s="34"/>
      <c r="S840" s="34"/>
      <c r="T840" s="34"/>
      <c r="U840" s="34"/>
      <c r="V840" s="34"/>
    </row>
    <row r="841" spans="2:22" x14ac:dyDescent="0.3">
      <c r="B841" s="33"/>
      <c r="C841" s="34"/>
      <c r="D841" s="34"/>
      <c r="E841" s="34"/>
      <c r="F841" s="34"/>
      <c r="G841" s="34"/>
      <c r="H841" s="34"/>
      <c r="I841" s="34"/>
      <c r="J841" s="34"/>
      <c r="K841" s="35"/>
      <c r="L841" s="34"/>
      <c r="M841" s="34"/>
      <c r="N841" s="34"/>
      <c r="O841" s="34"/>
      <c r="P841" s="34"/>
      <c r="Q841" s="34"/>
      <c r="R841" s="34"/>
      <c r="S841" s="34"/>
      <c r="T841" s="34"/>
      <c r="U841" s="34"/>
      <c r="V841" s="34"/>
    </row>
    <row r="842" spans="2:22" x14ac:dyDescent="0.3">
      <c r="B842" s="33"/>
      <c r="C842" s="34"/>
      <c r="D842" s="34"/>
      <c r="E842" s="34"/>
      <c r="F842" s="34"/>
      <c r="G842" s="34"/>
      <c r="H842" s="34"/>
      <c r="I842" s="34"/>
      <c r="J842" s="34"/>
      <c r="K842" s="35"/>
      <c r="L842" s="34"/>
      <c r="M842" s="34"/>
      <c r="N842" s="34"/>
      <c r="O842" s="34"/>
      <c r="P842" s="34"/>
      <c r="Q842" s="34"/>
      <c r="R842" s="34"/>
      <c r="S842" s="34"/>
      <c r="T842" s="34"/>
      <c r="U842" s="34"/>
      <c r="V842" s="34"/>
    </row>
    <row r="843" spans="2:22" x14ac:dyDescent="0.3">
      <c r="B843" s="33"/>
      <c r="C843" s="34"/>
      <c r="D843" s="34"/>
      <c r="E843" s="34"/>
      <c r="F843" s="34"/>
      <c r="G843" s="34"/>
      <c r="H843" s="34"/>
      <c r="I843" s="34"/>
      <c r="J843" s="34"/>
      <c r="K843" s="35"/>
      <c r="L843" s="34"/>
      <c r="M843" s="34"/>
      <c r="N843" s="34"/>
      <c r="O843" s="34"/>
      <c r="P843" s="34"/>
      <c r="Q843" s="34"/>
      <c r="R843" s="34"/>
      <c r="S843" s="34"/>
      <c r="T843" s="34"/>
      <c r="U843" s="34"/>
      <c r="V843" s="34"/>
    </row>
    <row r="844" spans="2:22" x14ac:dyDescent="0.3">
      <c r="B844" s="33"/>
      <c r="C844" s="34"/>
      <c r="D844" s="34"/>
      <c r="E844" s="34"/>
      <c r="F844" s="34"/>
      <c r="G844" s="34"/>
      <c r="H844" s="34"/>
      <c r="I844" s="34"/>
      <c r="J844" s="34"/>
      <c r="K844" s="35"/>
      <c r="L844" s="34"/>
      <c r="M844" s="34"/>
      <c r="N844" s="34"/>
      <c r="O844" s="34"/>
      <c r="P844" s="34"/>
      <c r="Q844" s="34"/>
      <c r="R844" s="34"/>
      <c r="S844" s="34"/>
      <c r="T844" s="34"/>
      <c r="U844" s="34"/>
      <c r="V844" s="34"/>
    </row>
    <row r="845" spans="2:22" x14ac:dyDescent="0.3">
      <c r="B845" s="33"/>
      <c r="C845" s="34"/>
      <c r="D845" s="34"/>
      <c r="E845" s="34"/>
      <c r="F845" s="34"/>
      <c r="G845" s="34"/>
      <c r="H845" s="34"/>
      <c r="I845" s="34"/>
      <c r="J845" s="34"/>
      <c r="K845" s="35"/>
      <c r="L845" s="34"/>
      <c r="M845" s="34"/>
      <c r="N845" s="34"/>
      <c r="O845" s="34"/>
      <c r="P845" s="34"/>
      <c r="Q845" s="34"/>
      <c r="R845" s="34"/>
      <c r="S845" s="34"/>
      <c r="T845" s="34"/>
      <c r="U845" s="34"/>
      <c r="V845" s="34"/>
    </row>
    <row r="846" spans="2:22" x14ac:dyDescent="0.3">
      <c r="K846" s="40"/>
    </row>
    <row r="847" spans="2:22" x14ac:dyDescent="0.3">
      <c r="K847" s="40"/>
    </row>
    <row r="848" spans="2:22"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honeticPr fontId="0" type="noConversion"/>
  <pageMargins left="0.75" right="0.75" top="1" bottom="1" header="0.5" footer="0.5"/>
  <pageSetup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92"/>
  <sheetViews>
    <sheetView workbookViewId="0">
      <pane ySplit="7" topLeftCell="A109" activePane="bottomLeft" state="frozen"/>
      <selection pane="bottomLeft" activeCell="A88" sqref="A88"/>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2" x14ac:dyDescent="0.3">
      <c r="A1" s="61" t="s">
        <v>146</v>
      </c>
      <c r="B1" s="17" t="str">
        <f>model</f>
        <v>ME Grain &amp; Pulse</v>
      </c>
      <c r="E1" s="598" t="s">
        <v>106</v>
      </c>
      <c r="F1" s="55" t="s">
        <v>182</v>
      </c>
      <c r="G1" s="55" t="s">
        <v>108</v>
      </c>
      <c r="I1" s="55" t="s">
        <v>433</v>
      </c>
      <c r="J1" s="410">
        <v>7.9200000000000007E-2</v>
      </c>
      <c r="K1" s="410">
        <f>J1/J2</f>
        <v>2.5344000000000002</v>
      </c>
    </row>
    <row r="2" spans="1:12" x14ac:dyDescent="0.3">
      <c r="E2" s="598" t="s">
        <v>104</v>
      </c>
      <c r="F2" s="26">
        <f>Data!B132</f>
        <v>282.5</v>
      </c>
      <c r="G2" s="24">
        <f>F2/$F$4</f>
        <v>1</v>
      </c>
      <c r="I2" s="55" t="s">
        <v>434</v>
      </c>
      <c r="J2" s="410">
        <f>3.125/100</f>
        <v>3.125E-2</v>
      </c>
    </row>
    <row r="3" spans="1:12" x14ac:dyDescent="0.3">
      <c r="B3" s="4"/>
      <c r="E3" s="598" t="s">
        <v>426</v>
      </c>
      <c r="F3" s="76">
        <f>(Data!B188*Data!K59)/100</f>
        <v>0</v>
      </c>
      <c r="G3" s="57">
        <f>F3/$F$4</f>
        <v>0</v>
      </c>
    </row>
    <row r="4" spans="1:12" x14ac:dyDescent="0.3">
      <c r="A4" s="7" t="s">
        <v>435</v>
      </c>
      <c r="B4" s="8" t="s">
        <v>92</v>
      </c>
      <c r="C4" s="65">
        <f>oats</f>
        <v>0</v>
      </c>
      <c r="D4" s="4" t="s">
        <v>93</v>
      </c>
      <c r="F4" s="26">
        <f>SUM(F2:F3)</f>
        <v>282.5</v>
      </c>
      <c r="G4" s="24">
        <f>SUM(G2:G3)</f>
        <v>1</v>
      </c>
    </row>
    <row r="6" spans="1:12" ht="13.5" x14ac:dyDescent="0.35">
      <c r="A6" s="5" t="s">
        <v>0</v>
      </c>
      <c r="B6" s="5"/>
    </row>
    <row r="7" spans="1:12" s="27" customFormat="1" ht="26" x14ac:dyDescent="0.3">
      <c r="A7" s="41"/>
      <c r="B7" s="391" t="s">
        <v>919</v>
      </c>
      <c r="C7" s="42" t="s">
        <v>21</v>
      </c>
      <c r="D7" s="42" t="s">
        <v>22</v>
      </c>
      <c r="E7" s="646" t="s">
        <v>900</v>
      </c>
      <c r="F7" s="42" t="s">
        <v>23</v>
      </c>
      <c r="G7" s="42" t="s">
        <v>24</v>
      </c>
      <c r="H7" s="42" t="s">
        <v>65</v>
      </c>
    </row>
    <row r="8" spans="1:12" x14ac:dyDescent="0.3">
      <c r="A8" s="3" t="s">
        <v>13</v>
      </c>
      <c r="B8" s="3"/>
    </row>
    <row r="9" spans="1:12" x14ac:dyDescent="0.3">
      <c r="A9" s="638" t="s">
        <v>436</v>
      </c>
      <c r="B9" s="405">
        <f>IF(INPUT!$D$17&gt;0,1,0)</f>
        <v>1</v>
      </c>
      <c r="C9" s="816">
        <f>INPUT!$D$17</f>
        <v>100</v>
      </c>
      <c r="D9" s="34" t="s">
        <v>126</v>
      </c>
      <c r="E9" s="226">
        <f>C9*oats</f>
        <v>0</v>
      </c>
      <c r="F9" s="371">
        <f>INPUT!$D$18</f>
        <v>0.54166666666666696</v>
      </c>
      <c r="G9" s="114">
        <f>C9*F9</f>
        <v>54.1666666666667</v>
      </c>
      <c r="H9" s="109">
        <f>B9*G9*oats</f>
        <v>0</v>
      </c>
      <c r="K9" s="904" t="s">
        <v>246</v>
      </c>
      <c r="L9" s="904" t="s">
        <v>577</v>
      </c>
    </row>
    <row r="10" spans="1:12" x14ac:dyDescent="0.3">
      <c r="A10" s="638" t="s">
        <v>125</v>
      </c>
      <c r="B10" s="405">
        <f>IF(INPUT!$D$19="Clover",1,0)</f>
        <v>0</v>
      </c>
      <c r="C10" s="816">
        <f>IF(INPUT!$D$19="Clover",INPUT!$D$21,Ov!K10)</f>
        <v>8</v>
      </c>
      <c r="D10" s="34" t="s">
        <v>126</v>
      </c>
      <c r="E10" s="226">
        <f>C10*oats</f>
        <v>0</v>
      </c>
      <c r="F10" s="371">
        <f>IF(INPUT!$D$19="Clover",INPUT!$D$22,Ov!L10)</f>
        <v>2.6</v>
      </c>
      <c r="G10" s="114">
        <f>C10*F10</f>
        <v>20.8</v>
      </c>
      <c r="H10" s="109">
        <f>B10*G10*oats</f>
        <v>0</v>
      </c>
      <c r="K10" s="273">
        <f>8</f>
        <v>8</v>
      </c>
      <c r="L10" s="905">
        <f>130/50</f>
        <v>2.6</v>
      </c>
    </row>
    <row r="11" spans="1:12" x14ac:dyDescent="0.3">
      <c r="A11" s="638" t="s">
        <v>1143</v>
      </c>
      <c r="B11" s="405">
        <f>IF(INPUT!$D$19="Ryegrass",1,0)</f>
        <v>0</v>
      </c>
      <c r="C11" s="816">
        <f>IF(INPUT!$D$19="Ryegrass",INPUT!$D$21,Ov!K11)</f>
        <v>8</v>
      </c>
      <c r="D11" s="34" t="s">
        <v>126</v>
      </c>
      <c r="E11" s="226">
        <f>C11*oats</f>
        <v>0</v>
      </c>
      <c r="F11" s="371">
        <f>IF(INPUT!$D$19="Ryegrass",INPUT!$D$22,Ov!L11)</f>
        <v>1.4</v>
      </c>
      <c r="G11" s="114">
        <f>C11*F11</f>
        <v>11.2</v>
      </c>
      <c r="H11" s="109">
        <f>B11*G11*oats</f>
        <v>0</v>
      </c>
      <c r="K11" s="644">
        <v>8</v>
      </c>
      <c r="L11" s="905">
        <f>70/50</f>
        <v>1.4</v>
      </c>
    </row>
    <row r="12" spans="1:12" x14ac:dyDescent="0.3">
      <c r="A12" s="638" t="str">
        <f>IF(INPUT!$D$19="Other",INPUT!D20,"Other")</f>
        <v>Other</v>
      </c>
      <c r="B12" s="405">
        <f>IF(INPUT!$D$19="Other",1,0)</f>
        <v>0</v>
      </c>
      <c r="C12" s="816">
        <f>IF(INPUT!$D$19="Other",INPUT!$D$21,0)</f>
        <v>0</v>
      </c>
      <c r="D12" s="34" t="s">
        <v>126</v>
      </c>
      <c r="E12" s="226">
        <f>C12*oats</f>
        <v>0</v>
      </c>
      <c r="F12" s="900">
        <f>IF(INPUT!$D$19="Other",INPUT!$D$22,0)</f>
        <v>0</v>
      </c>
      <c r="G12" s="110">
        <f>C12*F12</f>
        <v>0</v>
      </c>
      <c r="H12" s="109">
        <f>B12*G12*oats</f>
        <v>0</v>
      </c>
      <c r="I12" s="108">
        <f>SUM(H8:H12)</f>
        <v>0</v>
      </c>
    </row>
    <row r="13" spans="1:12" x14ac:dyDescent="0.3">
      <c r="A13" s="3" t="s">
        <v>1</v>
      </c>
      <c r="B13" s="3"/>
      <c r="C13" s="46"/>
      <c r="D13" s="34"/>
      <c r="E13" s="226"/>
      <c r="F13" s="104"/>
      <c r="G13" s="114"/>
      <c r="H13" s="109"/>
    </row>
    <row r="14" spans="1:12" x14ac:dyDescent="0.3">
      <c r="A14" s="6" t="s">
        <v>251</v>
      </c>
      <c r="B14" s="397">
        <v>0</v>
      </c>
      <c r="C14" s="278">
        <f>IF(Data!G128=0, 37/2000, 146.67/2000)</f>
        <v>7.3334999999999997E-2</v>
      </c>
      <c r="D14" s="34" t="s">
        <v>26</v>
      </c>
      <c r="E14" s="226">
        <f t="shared" ref="E14:E19" si="0">C14*oats</f>
        <v>0</v>
      </c>
      <c r="F14" s="608">
        <v>600</v>
      </c>
      <c r="G14" s="114">
        <f>C14*F14</f>
        <v>44.000999999999998</v>
      </c>
      <c r="H14" s="109">
        <f t="shared" ref="H14:H19" si="1">B14*G14*oats</f>
        <v>0</v>
      </c>
    </row>
    <row r="15" spans="1:12" x14ac:dyDescent="0.3">
      <c r="A15" s="6" t="s">
        <v>252</v>
      </c>
      <c r="B15" s="397">
        <v>0</v>
      </c>
      <c r="C15" s="359">
        <f>IF(Data!G128=0, 5/2000, 46/2000)</f>
        <v>2.3E-2</v>
      </c>
      <c r="D15" s="34" t="s">
        <v>26</v>
      </c>
      <c r="E15" s="226">
        <f t="shared" si="0"/>
        <v>0</v>
      </c>
      <c r="F15" s="608">
        <v>600</v>
      </c>
      <c r="G15" s="114">
        <f>C15*F15</f>
        <v>13.799999999999999</v>
      </c>
      <c r="H15" s="109">
        <f t="shared" si="1"/>
        <v>0</v>
      </c>
      <c r="I15" s="108"/>
    </row>
    <row r="16" spans="1:12" x14ac:dyDescent="0.3">
      <c r="A16" s="638" t="str">
        <f>IF(INPUT!$D$29="Chicken Manure", "Chicken Manure", "None")</f>
        <v>Chicken Manure</v>
      </c>
      <c r="B16" s="405">
        <f>IF(INPUT!$D$29="Chicken Manure",1,0)</f>
        <v>1</v>
      </c>
      <c r="C16" s="816">
        <f>IF(INPUT!$D$29="Chicken Manure",INPUT!$D$32,0)</f>
        <v>1</v>
      </c>
      <c r="D16" s="34" t="str">
        <f>IF(INPUT!$D$29="Chicken Manure",INPUT!$D$31,"ton")</f>
        <v>ton</v>
      </c>
      <c r="E16" s="226">
        <f t="shared" si="0"/>
        <v>0</v>
      </c>
      <c r="F16" s="901">
        <f>IF(INPUT!$D$29="Chicken Manure",INPUT!$D$33,0)</f>
        <v>35</v>
      </c>
      <c r="G16" s="114">
        <f>C16*F16</f>
        <v>35</v>
      </c>
      <c r="H16" s="109">
        <f t="shared" si="1"/>
        <v>0</v>
      </c>
    </row>
    <row r="17" spans="1:12" x14ac:dyDescent="0.3">
      <c r="A17" s="638" t="str">
        <f>IF(INPUT!$D$29="Chilean Nitrate", "Chilean Nitrate", "None")</f>
        <v>None</v>
      </c>
      <c r="B17" s="405">
        <f>IF(INPUT!$D$29="Chilean Nitrate",1,0)</f>
        <v>0</v>
      </c>
      <c r="C17" s="816">
        <f>IF(INPUT!$D$29="Chilean Nitrate",INPUT!$D$32,0)</f>
        <v>0</v>
      </c>
      <c r="D17" s="34" t="str">
        <f>IF(INPUT!$D$29="Chilean Nitrate",INPUT!$D$31,"lb")</f>
        <v>lb</v>
      </c>
      <c r="E17" s="226">
        <f t="shared" si="0"/>
        <v>0</v>
      </c>
      <c r="F17" s="901">
        <f>IF(INPUT!$D$29="Chilean Nitrate",INPUT!$D$33,0)</f>
        <v>0</v>
      </c>
      <c r="G17" s="110">
        <f t="shared" ref="G17:G19" si="2">C17*F17</f>
        <v>0</v>
      </c>
      <c r="H17" s="109">
        <f t="shared" si="1"/>
        <v>0</v>
      </c>
      <c r="I17" s="108"/>
    </row>
    <row r="18" spans="1:12" x14ac:dyDescent="0.3">
      <c r="A18" s="638" t="str">
        <f>INPUT!D35</f>
        <v>None</v>
      </c>
      <c r="B18" s="405">
        <f>IF(INPUT!$D$35="None",0,1)</f>
        <v>0</v>
      </c>
      <c r="C18" s="816">
        <f>INPUT!$D$38</f>
        <v>0</v>
      </c>
      <c r="D18" s="34" t="str">
        <f>IF(INPUT!$D$35="None","n/a",INPUT!$D$37)</f>
        <v>n/a</v>
      </c>
      <c r="E18" s="226">
        <f t="shared" si="0"/>
        <v>0</v>
      </c>
      <c r="F18" s="902">
        <f>INPUT!$D$39</f>
        <v>0.6</v>
      </c>
      <c r="G18" s="110">
        <f t="shared" si="2"/>
        <v>0</v>
      </c>
      <c r="H18" s="109">
        <f t="shared" si="1"/>
        <v>0</v>
      </c>
      <c r="I18" s="108">
        <f>SUM(H13:H18)</f>
        <v>0</v>
      </c>
    </row>
    <row r="19" spans="1:12" x14ac:dyDescent="0.3">
      <c r="A19" s="638" t="s">
        <v>2</v>
      </c>
      <c r="B19" s="405">
        <f>INPUT!$D$41</f>
        <v>0</v>
      </c>
      <c r="C19" s="369">
        <f>INPUT!$D$43/INPUT!$D$44</f>
        <v>0.2</v>
      </c>
      <c r="D19" s="34" t="str">
        <f>INPUT!$D$42</f>
        <v>ton</v>
      </c>
      <c r="E19" s="226">
        <f t="shared" si="0"/>
        <v>0</v>
      </c>
      <c r="F19" s="109">
        <f>INPUT!$D$45</f>
        <v>38.260869565217398</v>
      </c>
      <c r="G19" s="114">
        <f t="shared" si="2"/>
        <v>7.6521739130434803</v>
      </c>
      <c r="H19" s="109">
        <f t="shared" si="1"/>
        <v>0</v>
      </c>
      <c r="I19" s="108">
        <f>SUM(H19:H19)</f>
        <v>0</v>
      </c>
    </row>
    <row r="20" spans="1:12" x14ac:dyDescent="0.3">
      <c r="A20" s="3" t="s">
        <v>1476</v>
      </c>
      <c r="B20" s="3"/>
      <c r="C20" s="46"/>
      <c r="D20" s="34"/>
      <c r="E20" s="226"/>
      <c r="F20" s="167"/>
      <c r="G20" s="114"/>
      <c r="H20" s="109"/>
    </row>
    <row r="21" spans="1:12" x14ac:dyDescent="0.3">
      <c r="A21" s="638" t="s">
        <v>1577</v>
      </c>
      <c r="B21" s="405">
        <f>IF(INPUT!$D$47=1,1,0)</f>
        <v>0</v>
      </c>
      <c r="C21" s="816">
        <f>INPUT!$D$49</f>
        <v>0</v>
      </c>
      <c r="D21" s="34" t="str">
        <f>INPUT!$D$48</f>
        <v>lb</v>
      </c>
      <c r="E21" s="226">
        <f>C21*oats</f>
        <v>0</v>
      </c>
      <c r="F21" s="900">
        <f>INPUT!$D$50</f>
        <v>0</v>
      </c>
      <c r="G21" s="110">
        <f>C21*F21</f>
        <v>0</v>
      </c>
      <c r="H21" s="109">
        <f>B21*G21*oats</f>
        <v>0</v>
      </c>
    </row>
    <row r="22" spans="1:12" x14ac:dyDescent="0.3">
      <c r="A22" s="6" t="s">
        <v>1477</v>
      </c>
      <c r="B22" s="397">
        <v>0</v>
      </c>
      <c r="C22" s="273">
        <v>0</v>
      </c>
      <c r="D22" s="34" t="s">
        <v>220</v>
      </c>
      <c r="E22" s="226">
        <f>C22*oats</f>
        <v>0</v>
      </c>
      <c r="F22" s="252">
        <v>0</v>
      </c>
      <c r="G22" s="110">
        <f>C22*F22</f>
        <v>0</v>
      </c>
      <c r="H22" s="109">
        <f>B22*G22*oats</f>
        <v>0</v>
      </c>
    </row>
    <row r="23" spans="1:12" x14ac:dyDescent="0.3">
      <c r="A23" s="6" t="s">
        <v>1479</v>
      </c>
      <c r="B23" s="397">
        <v>0</v>
      </c>
      <c r="C23" s="273">
        <v>0</v>
      </c>
      <c r="D23" s="34" t="s">
        <v>220</v>
      </c>
      <c r="E23" s="226">
        <f>C23*oats</f>
        <v>0</v>
      </c>
      <c r="F23" s="252">
        <v>0</v>
      </c>
      <c r="G23" s="110">
        <f>C23*F23</f>
        <v>0</v>
      </c>
      <c r="H23" s="109">
        <f>B23*G23*oats</f>
        <v>0</v>
      </c>
      <c r="I23" s="108">
        <f>SUM(H20:H23)</f>
        <v>0</v>
      </c>
    </row>
    <row r="24" spans="1:12" x14ac:dyDescent="0.3">
      <c r="A24" s="3" t="s">
        <v>14</v>
      </c>
      <c r="B24" s="3"/>
      <c r="C24" s="46"/>
      <c r="D24" s="34"/>
      <c r="E24" s="226"/>
      <c r="F24" s="167"/>
      <c r="G24" s="114"/>
      <c r="H24" s="109"/>
    </row>
    <row r="25" spans="1:12" x14ac:dyDescent="0.3">
      <c r="A25" s="22" t="s">
        <v>332</v>
      </c>
      <c r="B25" s="22"/>
      <c r="C25" s="46"/>
      <c r="D25" s="34"/>
      <c r="E25" s="226"/>
      <c r="F25" s="167"/>
      <c r="G25" s="114"/>
      <c r="H25" s="109"/>
    </row>
    <row r="26" spans="1:12" x14ac:dyDescent="0.3">
      <c r="A26" s="639" t="s">
        <v>1903</v>
      </c>
      <c r="B26" s="405">
        <f>IF(OS!$F$7="Moldboard Plow",OS!G7,0)</f>
        <v>0</v>
      </c>
      <c r="C26" s="156">
        <f>IF(OSI!$D$8&gt;0,(1/OSI!$D$8),Data!$H$579)</f>
        <v>0.23980815347721804</v>
      </c>
      <c r="D26" s="34" t="s">
        <v>128</v>
      </c>
      <c r="E26" s="226">
        <f>C26*oats</f>
        <v>0</v>
      </c>
      <c r="F26" s="167">
        <f t="shared" ref="F26:F27" si="3">_wage_</f>
        <v>12.29</v>
      </c>
      <c r="G26" s="114">
        <f t="shared" ref="G26" si="4">C26*F26</f>
        <v>2.9472422062350097</v>
      </c>
      <c r="H26" s="109">
        <f>B26*G26*oats</f>
        <v>0</v>
      </c>
    </row>
    <row r="27" spans="1:12" x14ac:dyDescent="0.3">
      <c r="A27" s="639" t="s">
        <v>468</v>
      </c>
      <c r="B27" s="405">
        <f>IF(OS!$F$8="Spr.Sld.Man.",OS!G8,0)</f>
        <v>1</v>
      </c>
      <c r="C27" s="156">
        <f>IF(OSI!$D$9&gt;0,(1/OSI!$D$9),Data!$H$585)</f>
        <v>0.25</v>
      </c>
      <c r="D27" s="34" t="s">
        <v>128</v>
      </c>
      <c r="E27" s="226">
        <f>C27*oats</f>
        <v>0</v>
      </c>
      <c r="F27" s="167">
        <f t="shared" si="3"/>
        <v>12.29</v>
      </c>
      <c r="G27" s="114">
        <f t="shared" ref="G27" si="5">C27*F27</f>
        <v>3.0724999999999998</v>
      </c>
      <c r="H27" s="109">
        <f>B27*G27*oats</f>
        <v>0</v>
      </c>
    </row>
    <row r="28" spans="1:12" x14ac:dyDescent="0.3">
      <c r="A28" s="640" t="s">
        <v>1427</v>
      </c>
      <c r="B28" s="405">
        <f>IF(OS!$F$9="Chisel Plow",OS!G9,0)</f>
        <v>1</v>
      </c>
      <c r="C28" s="156">
        <f>IF(OSI!$D$10&gt;0,(1/OSI!$D$10),Data!$H$580)</f>
        <v>0.11764705882352899</v>
      </c>
      <c r="D28" s="34" t="s">
        <v>128</v>
      </c>
      <c r="E28" s="226">
        <f t="shared" ref="E28:E53" si="6">C28*oats</f>
        <v>0</v>
      </c>
      <c r="F28" s="167">
        <f t="shared" ref="F28:F53" si="7">_wage_</f>
        <v>12.29</v>
      </c>
      <c r="G28" s="114">
        <f>C28*F28</f>
        <v>1.4458823529411713</v>
      </c>
      <c r="H28" s="109">
        <f t="shared" ref="H28:H42" si="8">B28*G28*oats</f>
        <v>0</v>
      </c>
    </row>
    <row r="29" spans="1:12" x14ac:dyDescent="0.3">
      <c r="A29" s="638" t="s">
        <v>485</v>
      </c>
      <c r="B29" s="405">
        <f>IF(OS!$F$10="Disk Harrow",OS!G10,0)</f>
        <v>1</v>
      </c>
      <c r="C29" s="645">
        <f>IF(OSI!$D$11&gt;0,(1/OSI!$D$11),Data!$H$581)</f>
        <v>8.1833060556464804E-2</v>
      </c>
      <c r="D29" s="34" t="s">
        <v>128</v>
      </c>
      <c r="E29" s="226">
        <f t="shared" si="6"/>
        <v>0</v>
      </c>
      <c r="F29" s="167">
        <f t="shared" si="7"/>
        <v>12.29</v>
      </c>
      <c r="G29" s="114">
        <f>C29*F29</f>
        <v>1.0057283142389524</v>
      </c>
      <c r="H29" s="109">
        <f t="shared" si="8"/>
        <v>0</v>
      </c>
      <c r="K29" s="55"/>
      <c r="L29" s="55"/>
    </row>
    <row r="30" spans="1:12" x14ac:dyDescent="0.3">
      <c r="A30" s="22" t="s">
        <v>315</v>
      </c>
      <c r="B30" s="397">
        <v>0</v>
      </c>
      <c r="C30" s="156">
        <f>Data!H582</f>
        <v>0.48</v>
      </c>
      <c r="D30" s="34" t="s">
        <v>128</v>
      </c>
      <c r="E30" s="226">
        <f t="shared" si="6"/>
        <v>0</v>
      </c>
      <c r="F30" s="167">
        <f t="shared" si="7"/>
        <v>12.29</v>
      </c>
      <c r="G30" s="114">
        <f t="shared" ref="G30:G53" si="9">C30*F30</f>
        <v>5.8991999999999996</v>
      </c>
      <c r="H30" s="109">
        <f t="shared" si="8"/>
        <v>0</v>
      </c>
      <c r="K30" s="55"/>
      <c r="L30" s="55"/>
    </row>
    <row r="31" spans="1:12" x14ac:dyDescent="0.3">
      <c r="A31" s="22" t="s">
        <v>581</v>
      </c>
      <c r="B31" s="397">
        <v>0</v>
      </c>
      <c r="C31" s="156">
        <f>Data!H583</f>
        <v>9.2929292929292931E-2</v>
      </c>
      <c r="D31" s="34" t="s">
        <v>128</v>
      </c>
      <c r="E31" s="226">
        <f t="shared" si="6"/>
        <v>0</v>
      </c>
      <c r="F31" s="167">
        <f t="shared" si="7"/>
        <v>12.29</v>
      </c>
      <c r="G31" s="114">
        <f t="shared" si="9"/>
        <v>1.1421010101010101</v>
      </c>
      <c r="H31" s="109">
        <f t="shared" si="8"/>
        <v>0</v>
      </c>
      <c r="K31" s="55"/>
      <c r="L31" s="55"/>
    </row>
    <row r="32" spans="1:12" x14ac:dyDescent="0.3">
      <c r="A32" s="22" t="s">
        <v>322</v>
      </c>
      <c r="B32" s="397">
        <v>0</v>
      </c>
      <c r="C32" s="273">
        <f>0</f>
        <v>0</v>
      </c>
      <c r="D32" s="34" t="s">
        <v>128</v>
      </c>
      <c r="E32" s="226">
        <f t="shared" si="6"/>
        <v>0</v>
      </c>
      <c r="F32" s="167">
        <f t="shared" si="7"/>
        <v>12.29</v>
      </c>
      <c r="G32" s="110">
        <f t="shared" si="9"/>
        <v>0</v>
      </c>
      <c r="H32" s="109">
        <f t="shared" si="8"/>
        <v>0</v>
      </c>
      <c r="K32" s="55"/>
      <c r="L32" s="55"/>
    </row>
    <row r="33" spans="1:12" ht="13.5" thickBot="1" x14ac:dyDescent="0.35">
      <c r="A33" s="639" t="s">
        <v>333</v>
      </c>
      <c r="B33" s="405">
        <f>IF(OS!$F$11="Finish Harrow",OS!G11,0)</f>
        <v>1</v>
      </c>
      <c r="C33" s="645">
        <f>IF(OSI!$D$12&gt;0,(1/OSI!$D$12),Data!$H$589)</f>
        <v>7.7041602465331302E-2</v>
      </c>
      <c r="D33" s="34" t="s">
        <v>128</v>
      </c>
      <c r="E33" s="226">
        <f t="shared" si="6"/>
        <v>0</v>
      </c>
      <c r="F33" s="167">
        <f t="shared" si="7"/>
        <v>12.29</v>
      </c>
      <c r="G33" s="114">
        <f t="shared" si="9"/>
        <v>0.94684129429892161</v>
      </c>
      <c r="H33" s="109">
        <f t="shared" si="8"/>
        <v>0</v>
      </c>
      <c r="I33" s="216" t="s">
        <v>2166</v>
      </c>
      <c r="K33" s="914" t="s">
        <v>1627</v>
      </c>
      <c r="L33" s="55"/>
    </row>
    <row r="34" spans="1:12" ht="13.5" thickBot="1" x14ac:dyDescent="0.35">
      <c r="A34" s="639" t="s">
        <v>334</v>
      </c>
      <c r="B34" s="405">
        <f>IF(OS!$F$12="Grain Drill",OS!G12,0)</f>
        <v>1</v>
      </c>
      <c r="C34" s="156">
        <f>IF(OSI!$D$13&gt;0,(1/OSI!$D$14),Data!$H$594)</f>
        <v>7.7041602465331302E-2</v>
      </c>
      <c r="D34" s="34" t="s">
        <v>128</v>
      </c>
      <c r="E34" s="226">
        <f t="shared" si="6"/>
        <v>0</v>
      </c>
      <c r="F34" s="167">
        <f t="shared" si="7"/>
        <v>12.29</v>
      </c>
      <c r="G34" s="114">
        <f t="shared" si="9"/>
        <v>0.94684129429892161</v>
      </c>
      <c r="H34" s="109">
        <f t="shared" si="8"/>
        <v>0</v>
      </c>
      <c r="I34" s="216" t="s">
        <v>1627</v>
      </c>
      <c r="K34" s="56" t="s">
        <v>1630</v>
      </c>
      <c r="L34" s="913" t="s">
        <v>1625</v>
      </c>
    </row>
    <row r="35" spans="1:12" ht="13.5" thickBot="1" x14ac:dyDescent="0.35">
      <c r="A35" s="639" t="s">
        <v>2218</v>
      </c>
      <c r="B35" s="405">
        <f>IF(OS!$F$13="Tine Harrow",OS!G13,0)</f>
        <v>2</v>
      </c>
      <c r="C35" s="645">
        <f>IF(OSI!$D$14&gt;0,(1/OSI!$D$14),Data!$H$591)</f>
        <v>7.7041602465331302E-2</v>
      </c>
      <c r="D35" s="34" t="s">
        <v>128</v>
      </c>
      <c r="E35" s="226">
        <f>C35*oats</f>
        <v>0</v>
      </c>
      <c r="F35" s="167">
        <f t="shared" si="7"/>
        <v>12.29</v>
      </c>
      <c r="G35" s="114">
        <f t="shared" si="9"/>
        <v>0.94684129429892161</v>
      </c>
      <c r="H35" s="109">
        <f>B35*G35*oats</f>
        <v>0</v>
      </c>
      <c r="I35" s="643">
        <v>2</v>
      </c>
      <c r="J35" s="668" t="s">
        <v>2217</v>
      </c>
      <c r="K35" s="55">
        <f>IF(OS!$F$13="None",0,1)</f>
        <v>1</v>
      </c>
      <c r="L35" s="1331">
        <f>OS!G13</f>
        <v>2</v>
      </c>
    </row>
    <row r="36" spans="1:12" ht="13.5" thickBot="1" x14ac:dyDescent="0.35">
      <c r="A36" s="639" t="s">
        <v>340</v>
      </c>
      <c r="B36" s="405">
        <f>IF(OS!$F$14="Cultivate",OS!G14,0)</f>
        <v>0</v>
      </c>
      <c r="C36" s="645">
        <f>IF(OSI!$D$15&gt;0,(1/OSI!$D$15),Data!$H$606)</f>
        <v>6.4724919093851099E-2</v>
      </c>
      <c r="D36" s="34" t="s">
        <v>128</v>
      </c>
      <c r="E36" s="226">
        <f>C36*oats</f>
        <v>0</v>
      </c>
      <c r="F36" s="167">
        <f t="shared" si="7"/>
        <v>12.29</v>
      </c>
      <c r="G36" s="114">
        <f t="shared" si="9"/>
        <v>0.79546925566342996</v>
      </c>
      <c r="H36" s="109">
        <f>B36*G36*oats</f>
        <v>0</v>
      </c>
      <c r="J36" s="668" t="s">
        <v>1607</v>
      </c>
      <c r="K36" s="55">
        <f>IF(OS!$F$14="None",0,1)</f>
        <v>0</v>
      </c>
      <c r="L36" s="1331">
        <f>OS!G14</f>
        <v>0</v>
      </c>
    </row>
    <row r="37" spans="1:12" x14ac:dyDescent="0.3">
      <c r="A37" s="639" t="s">
        <v>1626</v>
      </c>
      <c r="B37" s="405">
        <f>IF(OS!$F$15="Spr.Chilean N",OS!G15,0)</f>
        <v>0</v>
      </c>
      <c r="C37" s="645">
        <f>IF(OSI!$D$16&gt;0,(1/OSI!$D$16),Data!$H$584)</f>
        <v>9.2929292929292903E-2</v>
      </c>
      <c r="D37" s="34" t="s">
        <v>128</v>
      </c>
      <c r="E37" s="226">
        <f>C37*oats</f>
        <v>0</v>
      </c>
      <c r="F37" s="167">
        <f t="shared" si="7"/>
        <v>12.29</v>
      </c>
      <c r="G37" s="114">
        <f t="shared" si="9"/>
        <v>1.1421010101010096</v>
      </c>
      <c r="H37" s="109">
        <f>B37*G37*oats</f>
        <v>0</v>
      </c>
      <c r="K37" s="55"/>
      <c r="L37" s="55"/>
    </row>
    <row r="38" spans="1:12" x14ac:dyDescent="0.3">
      <c r="A38" s="22" t="s">
        <v>304</v>
      </c>
      <c r="B38" s="397">
        <v>0</v>
      </c>
      <c r="C38" s="156">
        <f>Data!H599</f>
        <v>0.11851851851851852</v>
      </c>
      <c r="D38" s="34" t="s">
        <v>128</v>
      </c>
      <c r="E38" s="226">
        <f t="shared" si="6"/>
        <v>0</v>
      </c>
      <c r="F38" s="167">
        <f t="shared" si="7"/>
        <v>12.29</v>
      </c>
      <c r="G38" s="114">
        <f t="shared" si="9"/>
        <v>1.4565925925925924</v>
      </c>
      <c r="H38" s="109">
        <f t="shared" si="8"/>
        <v>0</v>
      </c>
      <c r="K38" s="55"/>
      <c r="L38" s="55"/>
    </row>
    <row r="39" spans="1:12" x14ac:dyDescent="0.3">
      <c r="A39" s="639" t="s">
        <v>1628</v>
      </c>
      <c r="B39" s="405">
        <f>IF(OS!$F$16="Spray Fung.",OS!G16,0)</f>
        <v>0</v>
      </c>
      <c r="C39" s="156">
        <f>IF(OSI!$D$17&gt;0,(1/OSI!$D$17),Data!$H$601)</f>
        <v>2.169668040789759E-2</v>
      </c>
      <c r="D39" s="34" t="s">
        <v>128</v>
      </c>
      <c r="E39" s="226">
        <f t="shared" si="6"/>
        <v>0</v>
      </c>
      <c r="F39" s="167">
        <f t="shared" si="7"/>
        <v>12.29</v>
      </c>
      <c r="G39" s="114">
        <f t="shared" si="9"/>
        <v>0.26665220221306135</v>
      </c>
      <c r="H39" s="109">
        <f t="shared" si="8"/>
        <v>0</v>
      </c>
      <c r="K39" s="55"/>
      <c r="L39" s="55"/>
    </row>
    <row r="40" spans="1:12" x14ac:dyDescent="0.3">
      <c r="A40" s="639" t="s">
        <v>1318</v>
      </c>
      <c r="B40" s="405">
        <f>IF(OS!$F$18="Combine",OS!G18,0)</f>
        <v>1</v>
      </c>
      <c r="C40" s="156">
        <f>IF(OSI!$D$19&gt;0,(1/OSI!$D$19),Data!$H$614)</f>
        <v>0.33333333333333298</v>
      </c>
      <c r="D40" s="34" t="s">
        <v>128</v>
      </c>
      <c r="E40" s="226">
        <f t="shared" si="6"/>
        <v>0</v>
      </c>
      <c r="F40" s="167">
        <f t="shared" si="7"/>
        <v>12.29</v>
      </c>
      <c r="G40" s="114">
        <f t="shared" si="9"/>
        <v>4.0966666666666622</v>
      </c>
      <c r="H40" s="109">
        <f t="shared" si="8"/>
        <v>0</v>
      </c>
      <c r="K40" s="55"/>
      <c r="L40" s="55"/>
    </row>
    <row r="41" spans="1:12" x14ac:dyDescent="0.3">
      <c r="A41" s="666" t="s">
        <v>1022</v>
      </c>
      <c r="B41" s="397">
        <v>0</v>
      </c>
      <c r="C41" s="47">
        <f>Data!$H$615*Data!$F$189</f>
        <v>0</v>
      </c>
      <c r="D41" s="48" t="s">
        <v>115</v>
      </c>
      <c r="E41" s="647">
        <f>C41*oats</f>
        <v>0</v>
      </c>
      <c r="F41" s="118">
        <f>_wage_</f>
        <v>12.29</v>
      </c>
      <c r="G41" s="465">
        <f>C41*F41</f>
        <v>0</v>
      </c>
      <c r="H41" s="123">
        <f>B41*G41*oats</f>
        <v>0</v>
      </c>
      <c r="K41" s="55"/>
      <c r="L41" s="55"/>
    </row>
    <row r="42" spans="1:12" x14ac:dyDescent="0.3">
      <c r="A42" s="639" t="s">
        <v>2083</v>
      </c>
      <c r="B42" s="405">
        <f>IF(OS!$F$19="Truck",OS!G19,0)</f>
        <v>1</v>
      </c>
      <c r="C42" s="156">
        <f>IF(OSI!$D$20&gt;0,(1/OSI!$D$20),Data!$H$626)</f>
        <v>0.136219747992402</v>
      </c>
      <c r="D42" s="34" t="s">
        <v>128</v>
      </c>
      <c r="E42" s="226">
        <f t="shared" si="6"/>
        <v>0</v>
      </c>
      <c r="F42" s="167">
        <f t="shared" si="7"/>
        <v>12.29</v>
      </c>
      <c r="G42" s="114">
        <f t="shared" si="9"/>
        <v>1.6741407028266204</v>
      </c>
      <c r="H42" s="109">
        <f t="shared" si="8"/>
        <v>0</v>
      </c>
      <c r="K42" s="55"/>
      <c r="L42" s="55"/>
    </row>
    <row r="43" spans="1:12" x14ac:dyDescent="0.3">
      <c r="A43" s="666" t="s">
        <v>1022</v>
      </c>
      <c r="B43" s="405">
        <f>B42</f>
        <v>1</v>
      </c>
      <c r="C43" s="47">
        <f>Data!$H$627*Data!$F$189</f>
        <v>0</v>
      </c>
      <c r="D43" s="48" t="s">
        <v>115</v>
      </c>
      <c r="E43" s="647">
        <f>C43*oats</f>
        <v>0</v>
      </c>
      <c r="F43" s="118">
        <f>_wage_</f>
        <v>12.29</v>
      </c>
      <c r="G43" s="465">
        <f>C43*F43</f>
        <v>0</v>
      </c>
      <c r="H43" s="123">
        <f>B43*G43*oats</f>
        <v>0</v>
      </c>
      <c r="K43" s="55"/>
      <c r="L43" s="55"/>
    </row>
    <row r="44" spans="1:12" x14ac:dyDescent="0.3">
      <c r="A44" s="22" t="s">
        <v>756</v>
      </c>
      <c r="B44" s="405">
        <f>Data!$B$30</f>
        <v>0</v>
      </c>
      <c r="C44" s="156">
        <f>Data!H648*Data!B30</f>
        <v>0</v>
      </c>
      <c r="D44" s="34" t="s">
        <v>128</v>
      </c>
      <c r="E44" s="226">
        <f t="shared" si="6"/>
        <v>0</v>
      </c>
      <c r="F44" s="167">
        <f t="shared" si="7"/>
        <v>12.29</v>
      </c>
      <c r="G44" s="114">
        <f t="shared" si="9"/>
        <v>0</v>
      </c>
      <c r="H44" s="109">
        <f>(B44*G44*oats)*Data!$B$30*Data!$H$30</f>
        <v>0</v>
      </c>
      <c r="I44" s="87"/>
    </row>
    <row r="45" spans="1:12" x14ac:dyDescent="0.3">
      <c r="A45" s="22" t="s">
        <v>757</v>
      </c>
      <c r="B45" s="405">
        <f>Data!$B$30*Data!$C$30</f>
        <v>0</v>
      </c>
      <c r="C45" s="156">
        <f>Data!H649*Data!B30</f>
        <v>0</v>
      </c>
      <c r="D45" s="34" t="s">
        <v>128</v>
      </c>
      <c r="E45" s="226">
        <f t="shared" si="6"/>
        <v>0</v>
      </c>
      <c r="F45" s="167">
        <f t="shared" si="7"/>
        <v>12.29</v>
      </c>
      <c r="G45" s="114">
        <f t="shared" si="9"/>
        <v>0</v>
      </c>
      <c r="H45" s="109">
        <f>(B45*G45*oats)*Data!$B$30*Data!$C$30*Data!$F$30</f>
        <v>0</v>
      </c>
      <c r="I45" s="87"/>
    </row>
    <row r="46" spans="1:12" x14ac:dyDescent="0.3">
      <c r="A46" s="9" t="s">
        <v>1022</v>
      </c>
      <c r="B46" s="405">
        <f>Data!$B$30*Data!$C$30*0</f>
        <v>0</v>
      </c>
      <c r="C46" s="47">
        <f>Data!$H$650*Data!$F$189*Data!B30</f>
        <v>0</v>
      </c>
      <c r="D46" s="48" t="s">
        <v>115</v>
      </c>
      <c r="E46" s="647">
        <f>C46*oats</f>
        <v>0</v>
      </c>
      <c r="F46" s="118">
        <f>_wage_</f>
        <v>12.29</v>
      </c>
      <c r="G46" s="465">
        <f>C46*F46</f>
        <v>0</v>
      </c>
      <c r="H46" s="123">
        <f>(B46*G46*oats)*Data!$B$30*Data!$C$30*Data!$F$30</f>
        <v>0</v>
      </c>
      <c r="I46" s="87"/>
    </row>
    <row r="47" spans="1:12" x14ac:dyDescent="0.3">
      <c r="A47" s="22" t="s">
        <v>752</v>
      </c>
      <c r="B47" s="405">
        <f>Data!$B$30*Data!$C$30</f>
        <v>0</v>
      </c>
      <c r="C47" s="156">
        <f>Data!H651*Data!B30</f>
        <v>0</v>
      </c>
      <c r="D47" s="34" t="s">
        <v>128</v>
      </c>
      <c r="E47" s="226">
        <f t="shared" si="6"/>
        <v>0</v>
      </c>
      <c r="F47" s="167">
        <f t="shared" si="7"/>
        <v>12.29</v>
      </c>
      <c r="G47" s="114">
        <f t="shared" si="9"/>
        <v>0</v>
      </c>
      <c r="H47" s="109">
        <f>(B47*G47*oats)*Data!$B$30*Data!$C$30*Data!$F$30</f>
        <v>0</v>
      </c>
      <c r="I47" s="87"/>
    </row>
    <row r="48" spans="1:12" x14ac:dyDescent="0.3">
      <c r="A48" s="9" t="s">
        <v>1022</v>
      </c>
      <c r="B48" s="405">
        <f>Data!$B$30*Data!$C$30</f>
        <v>0</v>
      </c>
      <c r="C48" s="47">
        <f>Data!$H$652*Data!$F$189*Data!B30</f>
        <v>0</v>
      </c>
      <c r="D48" s="48" t="s">
        <v>115</v>
      </c>
      <c r="E48" s="647">
        <f>C48*oats</f>
        <v>0</v>
      </c>
      <c r="F48" s="118">
        <f>_wage_</f>
        <v>12.29</v>
      </c>
      <c r="G48" s="465">
        <f>C48*F48</f>
        <v>0</v>
      </c>
      <c r="H48" s="123">
        <f>(B48*G48*oats)*Data!$B$30*Data!$C$30*Data!$F$30</f>
        <v>0</v>
      </c>
      <c r="I48" s="87"/>
    </row>
    <row r="49" spans="1:22" x14ac:dyDescent="0.3">
      <c r="A49" s="22" t="s">
        <v>758</v>
      </c>
      <c r="B49" s="405">
        <f>Data!$B$30*Data!$D$30</f>
        <v>0</v>
      </c>
      <c r="C49" s="156">
        <f>Data!H653*Data!B30</f>
        <v>0</v>
      </c>
      <c r="D49" s="34" t="s">
        <v>128</v>
      </c>
      <c r="E49" s="226">
        <f t="shared" si="6"/>
        <v>0</v>
      </c>
      <c r="F49" s="167">
        <f t="shared" si="7"/>
        <v>12.29</v>
      </c>
      <c r="G49" s="114">
        <f t="shared" si="9"/>
        <v>0</v>
      </c>
      <c r="H49" s="109">
        <f>(B49*G49*oats)*Data!$B$30*Data!$D$30*Data!$G$30</f>
        <v>0</v>
      </c>
      <c r="I49" s="87"/>
    </row>
    <row r="50" spans="1:22" x14ac:dyDescent="0.3">
      <c r="A50" s="9" t="s">
        <v>1022</v>
      </c>
      <c r="B50" s="405">
        <f>Data!$B$30*Data!$D$30*0</f>
        <v>0</v>
      </c>
      <c r="C50" s="47">
        <f>Data!$H$654*Data!$F$189*Data!B30</f>
        <v>0</v>
      </c>
      <c r="D50" s="48" t="s">
        <v>115</v>
      </c>
      <c r="E50" s="647">
        <f>C50*oats</f>
        <v>0</v>
      </c>
      <c r="F50" s="118">
        <f>_wage_</f>
        <v>12.29</v>
      </c>
      <c r="G50" s="465">
        <f>C50*F50</f>
        <v>0</v>
      </c>
      <c r="H50" s="123">
        <f>(B50*G50*oats)*Data!$B$30*Data!$D$30*Data!$G$30</f>
        <v>0</v>
      </c>
      <c r="I50" s="87"/>
    </row>
    <row r="51" spans="1:22" x14ac:dyDescent="0.3">
      <c r="A51" s="22" t="s">
        <v>753</v>
      </c>
      <c r="B51" s="405">
        <f>Data!$B$30*Data!$D$30</f>
        <v>0</v>
      </c>
      <c r="C51" s="156">
        <f>Data!H655*Data!B30</f>
        <v>0</v>
      </c>
      <c r="D51" s="34" t="s">
        <v>128</v>
      </c>
      <c r="E51" s="226">
        <f t="shared" si="6"/>
        <v>0</v>
      </c>
      <c r="F51" s="167">
        <f t="shared" si="7"/>
        <v>12.29</v>
      </c>
      <c r="G51" s="114">
        <f t="shared" si="9"/>
        <v>0</v>
      </c>
      <c r="H51" s="109">
        <f>(B51*G51*oats)*Data!$B$30*Data!$D$30*Data!$G$30</f>
        <v>0</v>
      </c>
      <c r="I51" s="87"/>
    </row>
    <row r="52" spans="1:22" x14ac:dyDescent="0.3">
      <c r="A52" s="9" t="s">
        <v>1022</v>
      </c>
      <c r="B52" s="405">
        <f>Data!$B$30*Data!$D$30</f>
        <v>0</v>
      </c>
      <c r="C52" s="47">
        <f>Data!$H$656*Data!$F$189*Data!B30</f>
        <v>0</v>
      </c>
      <c r="D52" s="48" t="s">
        <v>115</v>
      </c>
      <c r="E52" s="647">
        <f>C52*oats</f>
        <v>0</v>
      </c>
      <c r="F52" s="118">
        <f>_wage_</f>
        <v>12.29</v>
      </c>
      <c r="G52" s="465">
        <f>C52*F52</f>
        <v>0</v>
      </c>
      <c r="H52" s="123">
        <f>(B52*G52*oats)*Data!$B$30*Data!$D$30*Data!$G$30</f>
        <v>0</v>
      </c>
      <c r="I52" s="87"/>
    </row>
    <row r="53" spans="1:22" x14ac:dyDescent="0.3">
      <c r="A53" s="22" t="s">
        <v>759</v>
      </c>
      <c r="B53" s="397">
        <v>0</v>
      </c>
      <c r="C53" s="156">
        <f>Data!H657*Data!B30</f>
        <v>0</v>
      </c>
      <c r="D53" s="34" t="s">
        <v>128</v>
      </c>
      <c r="E53" s="226">
        <f t="shared" si="6"/>
        <v>0</v>
      </c>
      <c r="F53" s="167">
        <f t="shared" si="7"/>
        <v>12.29</v>
      </c>
      <c r="G53" s="114">
        <f t="shared" si="9"/>
        <v>0</v>
      </c>
      <c r="H53" s="109">
        <f>(B53*G53*oats)*Data!$B$30*Data!$H$30</f>
        <v>0</v>
      </c>
      <c r="I53" s="87"/>
    </row>
    <row r="54" spans="1:22" x14ac:dyDescent="0.3">
      <c r="A54" s="9" t="s">
        <v>1022</v>
      </c>
      <c r="B54" s="405">
        <f>B53</f>
        <v>0</v>
      </c>
      <c r="C54" s="47">
        <f>Data!$H$658*Data!$F$189*Data!B30</f>
        <v>0</v>
      </c>
      <c r="D54" s="48" t="s">
        <v>115</v>
      </c>
      <c r="E54" s="647">
        <f>C54*oats</f>
        <v>0</v>
      </c>
      <c r="F54" s="118">
        <f>_wage_</f>
        <v>12.29</v>
      </c>
      <c r="G54" s="465">
        <f>C54*F54</f>
        <v>0</v>
      </c>
      <c r="H54" s="123">
        <f>(B54*G54*oats)*Data!$B$30*Data!$H$30</f>
        <v>0</v>
      </c>
      <c r="I54" s="87"/>
    </row>
    <row r="55" spans="1:22" x14ac:dyDescent="0.3">
      <c r="A55" s="639" t="s">
        <v>1435</v>
      </c>
      <c r="B55" s="832"/>
      <c r="C55" s="47"/>
      <c r="D55" s="48"/>
      <c r="E55" s="647"/>
      <c r="F55" s="118"/>
      <c r="G55" s="465"/>
      <c r="H55" s="123"/>
      <c r="I55" s="87"/>
    </row>
    <row r="56" spans="1:22" x14ac:dyDescent="0.3">
      <c r="A56" s="638" t="s">
        <v>1436</v>
      </c>
      <c r="B56" s="405">
        <f>IF(OS!$F$20="Clean",OS!G20,0)</f>
        <v>1</v>
      </c>
      <c r="C56" s="156">
        <f>IF(OSI!$D$21&gt;0,(1/OSI!$D$21),Data!$H$661)</f>
        <v>0.99199999999999999</v>
      </c>
      <c r="D56" s="34" t="s">
        <v>128</v>
      </c>
      <c r="E56" s="226">
        <f t="shared" ref="E56" si="10">C56*oats</f>
        <v>0</v>
      </c>
      <c r="F56" s="167">
        <f t="shared" ref="F56" si="11">_wage_</f>
        <v>12.29</v>
      </c>
      <c r="G56" s="114">
        <f t="shared" ref="G56" si="12">C56*F56</f>
        <v>12.19168</v>
      </c>
      <c r="H56" s="109">
        <f>B56*G56*oats</f>
        <v>0</v>
      </c>
      <c r="I56" s="87"/>
    </row>
    <row r="57" spans="1:22" x14ac:dyDescent="0.3">
      <c r="A57" s="666" t="s">
        <v>1022</v>
      </c>
      <c r="B57" s="405">
        <f>B56</f>
        <v>1</v>
      </c>
      <c r="C57" s="47">
        <f>Data!H662*Data!$F$189</f>
        <v>0</v>
      </c>
      <c r="D57" s="48" t="s">
        <v>115</v>
      </c>
      <c r="E57" s="647">
        <f>C57*oats</f>
        <v>0</v>
      </c>
      <c r="F57" s="118">
        <f>_wage_</f>
        <v>12.29</v>
      </c>
      <c r="G57" s="465">
        <f>C57*F57</f>
        <v>0</v>
      </c>
      <c r="H57" s="123">
        <f>B57*G57*oats</f>
        <v>0</v>
      </c>
      <c r="I57" s="87"/>
      <c r="K57" s="55"/>
      <c r="L57" s="4" t="s">
        <v>1077</v>
      </c>
    </row>
    <row r="58" spans="1:22" x14ac:dyDescent="0.3">
      <c r="A58" s="639" t="s">
        <v>1147</v>
      </c>
      <c r="B58" s="22"/>
      <c r="C58" s="46"/>
      <c r="D58" s="34"/>
      <c r="E58" s="226"/>
      <c r="F58" s="90"/>
      <c r="G58" s="114"/>
      <c r="H58" s="109"/>
      <c r="J58" s="588">
        <f>OSI!$E$69</f>
        <v>30000</v>
      </c>
      <c r="K58" s="17" t="s">
        <v>220</v>
      </c>
      <c r="L58" s="17">
        <f>J58/2000</f>
        <v>15</v>
      </c>
      <c r="M58" s="17" t="s">
        <v>26</v>
      </c>
      <c r="N58" s="588">
        <f>OSI!$C$69</f>
        <v>500</v>
      </c>
      <c r="O58" s="17" t="s">
        <v>931</v>
      </c>
      <c r="P58" s="93" t="s">
        <v>944</v>
      </c>
      <c r="Q58" s="93"/>
      <c r="S58" s="588">
        <f>N58*Data!$K$59</f>
        <v>16000</v>
      </c>
      <c r="T58" s="17" t="s">
        <v>220</v>
      </c>
      <c r="U58" s="589">
        <f>S58/J58</f>
        <v>0.53333333333333333</v>
      </c>
    </row>
    <row r="59" spans="1:22" x14ac:dyDescent="0.3">
      <c r="A59" s="638" t="s">
        <v>1145</v>
      </c>
      <c r="B59" s="405">
        <f>IF(OS!$F$21="Dry",OS!G21,0)</f>
        <v>1</v>
      </c>
      <c r="C59" s="369">
        <f>IF(OSI!$D$22&gt;0,(1/OSI!$D$22),Data!$H$681)</f>
        <v>0.65031930369603297</v>
      </c>
      <c r="D59" s="34" t="s">
        <v>115</v>
      </c>
      <c r="E59" s="226">
        <f>C59*oats</f>
        <v>0</v>
      </c>
      <c r="F59" s="167">
        <f>_wage_</f>
        <v>12.29</v>
      </c>
      <c r="G59" s="114">
        <f>C59*F59</f>
        <v>7.9924242424242449</v>
      </c>
      <c r="H59" s="110">
        <f>B59*G59*oats*G3</f>
        <v>0</v>
      </c>
      <c r="I59" s="108"/>
      <c r="J59" s="588">
        <f>OSI!$E$70</f>
        <v>180</v>
      </c>
      <c r="K59" s="17" t="s">
        <v>220</v>
      </c>
      <c r="L59" s="17">
        <f>J59/2000</f>
        <v>0.09</v>
      </c>
      <c r="M59" s="17" t="s">
        <v>26</v>
      </c>
      <c r="N59" s="588">
        <f>OSI!$C$70</f>
        <v>3</v>
      </c>
      <c r="O59" s="17" t="s">
        <v>931</v>
      </c>
      <c r="P59" s="93" t="s">
        <v>945</v>
      </c>
      <c r="Q59" s="93"/>
      <c r="S59" s="588">
        <f>N59*Data!$K$59</f>
        <v>96</v>
      </c>
      <c r="T59" s="17" t="s">
        <v>220</v>
      </c>
      <c r="U59" s="589">
        <f>S59/J59</f>
        <v>0.53333333333333333</v>
      </c>
    </row>
    <row r="60" spans="1:22" x14ac:dyDescent="0.3">
      <c r="A60" s="666" t="s">
        <v>1022</v>
      </c>
      <c r="B60" s="405">
        <f>B59</f>
        <v>1</v>
      </c>
      <c r="C60" s="47">
        <f>C59*Data!$F$189</f>
        <v>0</v>
      </c>
      <c r="D60" s="48" t="s">
        <v>115</v>
      </c>
      <c r="E60" s="647">
        <f>C60*oats</f>
        <v>0</v>
      </c>
      <c r="F60" s="118">
        <f>_wage_</f>
        <v>12.29</v>
      </c>
      <c r="G60" s="465">
        <f>C60*F60</f>
        <v>0</v>
      </c>
      <c r="H60" s="123">
        <f>B60*G60*oats</f>
        <v>0</v>
      </c>
      <c r="I60" s="108">
        <f>SUM(H25:H60)</f>
        <v>0</v>
      </c>
      <c r="J60" s="108"/>
      <c r="K60" s="55"/>
      <c r="L60" s="55"/>
    </row>
    <row r="61" spans="1:22" x14ac:dyDescent="0.3">
      <c r="A61" s="1258" t="s">
        <v>2082</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IF(OSI!$D$77&gt;0,1*$P$73,0)</f>
        <v>1</v>
      </c>
      <c r="C63" s="410">
        <f>IF(oats&gt;0,($T$63*((Data!$B$188*oats)/$N$58))/oats,0)</f>
        <v>0</v>
      </c>
      <c r="D63" s="34" t="s">
        <v>115</v>
      </c>
      <c r="E63" s="46">
        <f t="shared" ref="E63:E68" si="13">C63*oats</f>
        <v>0</v>
      </c>
      <c r="F63" s="167">
        <f t="shared" ref="F63:F68" si="14">_wage_</f>
        <v>12.29</v>
      </c>
      <c r="G63" s="114">
        <f t="shared" ref="G63:G68" si="15">C63*F63</f>
        <v>0</v>
      </c>
      <c r="H63" s="110">
        <f t="shared" ref="H63:H68" si="16">B63*G63*oats</f>
        <v>0</v>
      </c>
      <c r="J63" s="55" t="s">
        <v>762</v>
      </c>
      <c r="K63" s="816">
        <f>B63</f>
        <v>1</v>
      </c>
      <c r="L63" s="168">
        <f>IF(oats&gt;0,(K63*(T63*_wage_)*((Data!$B$188*oats)/$N$58))/oats,0)</f>
        <v>0</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IF(Data!$F$189=0,0,1*$P$73)</f>
        <v>0</v>
      </c>
      <c r="C64" s="593">
        <f>C63*Data!$F$189</f>
        <v>0</v>
      </c>
      <c r="D64" s="48" t="s">
        <v>115</v>
      </c>
      <c r="E64" s="47">
        <f t="shared" si="13"/>
        <v>0</v>
      </c>
      <c r="F64" s="118">
        <f t="shared" si="14"/>
        <v>12.29</v>
      </c>
      <c r="G64" s="465">
        <f t="shared" si="15"/>
        <v>0</v>
      </c>
      <c r="H64" s="123">
        <f t="shared" si="16"/>
        <v>0</v>
      </c>
      <c r="J64" s="55" t="s">
        <v>943</v>
      </c>
      <c r="K64" s="816">
        <f>B65</f>
        <v>0</v>
      </c>
      <c r="L64" s="114">
        <f>IF(oats&gt;0,(K64*(T64*_wage_)*((Data!$E$188*oats)/$U$64))/oats,0)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(U64*Data!$E$186)/Data!$H$186</f>
        <v>200</v>
      </c>
    </row>
    <row r="65" spans="1:22" x14ac:dyDescent="0.3">
      <c r="A65" s="638" t="s">
        <v>940</v>
      </c>
      <c r="B65" s="405">
        <f>IF(OSI!$D$81&gt;0,Data!$B$30*Data!$C$30*$P$74,0)</f>
        <v>0</v>
      </c>
      <c r="C65" s="410">
        <f>IF(oats&gt;0,($T$64*(Ob!$B$17/Ov!$S$116))/oats,0)</f>
        <v>0</v>
      </c>
      <c r="D65" s="34" t="s">
        <v>115</v>
      </c>
      <c r="E65" s="46">
        <f t="shared" si="13"/>
        <v>0</v>
      </c>
      <c r="F65" s="167">
        <f t="shared" si="14"/>
        <v>12.29</v>
      </c>
      <c r="G65" s="114">
        <f t="shared" si="15"/>
        <v>0</v>
      </c>
      <c r="H65" s="110">
        <f t="shared" si="16"/>
        <v>0</v>
      </c>
      <c r="J65" s="55" t="s">
        <v>948</v>
      </c>
      <c r="K65" s="816">
        <f>B67</f>
        <v>0</v>
      </c>
      <c r="L65" s="114">
        <f>IF(oats&gt;0,(K65*(T65*_wage_)*((Data!$H$188*oats)/$V$64))/oats,0)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IF(Data!$F$190=0,0,1*$P$74)</f>
        <v>0</v>
      </c>
      <c r="C66" s="593">
        <f>C65*Data!$F$190</f>
        <v>0</v>
      </c>
      <c r="D66" s="48" t="s">
        <v>115</v>
      </c>
      <c r="E66" s="47">
        <f t="shared" si="13"/>
        <v>0</v>
      </c>
      <c r="F66" s="118">
        <f t="shared" si="14"/>
        <v>12.29</v>
      </c>
      <c r="G66" s="465">
        <f t="shared" si="15"/>
        <v>0</v>
      </c>
      <c r="H66" s="123">
        <f t="shared" si="16"/>
        <v>0</v>
      </c>
      <c r="Q66" s="216" t="s">
        <v>933</v>
      </c>
      <c r="R66" s="216" t="s">
        <v>933</v>
      </c>
      <c r="S66" s="216" t="s">
        <v>2047</v>
      </c>
      <c r="T66" s="216" t="s">
        <v>2050</v>
      </c>
    </row>
    <row r="67" spans="1:22" x14ac:dyDescent="0.3">
      <c r="A67" s="638" t="s">
        <v>941</v>
      </c>
      <c r="B67" s="405">
        <f>IF(OSI!$D$85&gt;0,Data!$B$30*Data!$D$30*$P$75,0)</f>
        <v>0</v>
      </c>
      <c r="C67" s="410">
        <f>IF(oats&gt;0,($T$65*(Ob!$B$19/Ov!$T$116))/oats,0)</f>
        <v>0</v>
      </c>
      <c r="D67" s="34" t="s">
        <v>115</v>
      </c>
      <c r="E67" s="46">
        <f t="shared" si="13"/>
        <v>0</v>
      </c>
      <c r="F67" s="167">
        <f t="shared" si="14"/>
        <v>12.29</v>
      </c>
      <c r="G67" s="114">
        <f t="shared" si="15"/>
        <v>0</v>
      </c>
      <c r="H67" s="110">
        <f t="shared" si="16"/>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IF(Data!$F$190=0,0,1*$P$75)</f>
        <v>0</v>
      </c>
      <c r="C68" s="593">
        <f>C67*Data!$F$190</f>
        <v>0</v>
      </c>
      <c r="D68" s="48" t="s">
        <v>115</v>
      </c>
      <c r="E68" s="47">
        <f t="shared" si="13"/>
        <v>0</v>
      </c>
      <c r="F68" s="118">
        <f t="shared" si="14"/>
        <v>12.29</v>
      </c>
      <c r="G68" s="465">
        <f t="shared" si="15"/>
        <v>0</v>
      </c>
      <c r="H68" s="123">
        <f t="shared" si="16"/>
        <v>0</v>
      </c>
      <c r="J68" s="55" t="s">
        <v>762</v>
      </c>
      <c r="K68" s="816">
        <f>B70</f>
        <v>0</v>
      </c>
      <c r="L68" s="168">
        <f>IF(oats&gt;0,(K68*(T68*_wage_)*((Data!$B$188*oats)/$N$59))/oats,0)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IF(oats&gt;0,(K69*(T69*_wage_)*((Data!$E$188*oats)/$U$69))/oats,0)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(U69*Data!$E$186)/Data!$H$186</f>
        <v>400</v>
      </c>
    </row>
    <row r="70" spans="1:22" x14ac:dyDescent="0.3">
      <c r="A70" s="638" t="s">
        <v>939</v>
      </c>
      <c r="B70" s="405">
        <f>IF(OSI!$D$78&gt;0,1*$Q$73,0)</f>
        <v>0</v>
      </c>
      <c r="C70" s="410">
        <f>IF(oats&gt;0,($T$68*((Data!$B$188*oats)/$N$59))/oats,0)</f>
        <v>0</v>
      </c>
      <c r="D70" s="34" t="s">
        <v>115</v>
      </c>
      <c r="E70" s="46">
        <f t="shared" ref="E70:E75" si="17">C70*oats</f>
        <v>0</v>
      </c>
      <c r="F70" s="167">
        <f t="shared" ref="F70:F75" si="18">_wage_</f>
        <v>12.29</v>
      </c>
      <c r="G70" s="114">
        <f t="shared" ref="G70:G75" si="19">C70*F70</f>
        <v>0</v>
      </c>
      <c r="H70" s="110">
        <f t="shared" ref="H70:H75" si="20">B70*G70*oats</f>
        <v>0</v>
      </c>
      <c r="J70" s="55" t="s">
        <v>948</v>
      </c>
      <c r="K70" s="816">
        <f>B74</f>
        <v>0</v>
      </c>
      <c r="L70" s="114">
        <f>IF(oats&gt;0,(K70*(T70*_wage_)*((Data!$H$188*oats)/$V$69))/oats,0)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IF(Data!$F$181=0,0,1*$Q$73)</f>
        <v>0</v>
      </c>
      <c r="C71" s="593">
        <f>C70*Data!$F$189</f>
        <v>0</v>
      </c>
      <c r="D71" s="48" t="s">
        <v>115</v>
      </c>
      <c r="E71" s="47">
        <f t="shared" si="17"/>
        <v>0</v>
      </c>
      <c r="F71" s="118">
        <f t="shared" si="18"/>
        <v>12.29</v>
      </c>
      <c r="G71" s="465">
        <f t="shared" si="19"/>
        <v>0</v>
      </c>
      <c r="H71" s="123">
        <f t="shared" si="20"/>
        <v>0</v>
      </c>
      <c r="J71" s="55"/>
      <c r="K71" s="114"/>
      <c r="L71" s="114"/>
      <c r="M71" s="22"/>
      <c r="N71" s="114"/>
      <c r="O71" s="22"/>
      <c r="P71" s="22"/>
      <c r="Q71" s="22"/>
      <c r="R71" s="22"/>
      <c r="S71" s="22"/>
      <c r="T71" s="22"/>
      <c r="U71" s="22"/>
    </row>
    <row r="72" spans="1:22" x14ac:dyDescent="0.3">
      <c r="A72" s="638" t="s">
        <v>940</v>
      </c>
      <c r="B72" s="405">
        <f>IF(OSI!$D$82&gt;0,Data!$B$30*Data!$C$30*$Q$74,0)</f>
        <v>0</v>
      </c>
      <c r="C72" s="410">
        <f>IF(oats&gt;0,($T$69*(Ob!$B$17/Ov!$S$121))/oats,0)</f>
        <v>0</v>
      </c>
      <c r="D72" s="34" t="s">
        <v>115</v>
      </c>
      <c r="E72" s="46">
        <f t="shared" si="17"/>
        <v>0</v>
      </c>
      <c r="F72" s="167">
        <f t="shared" si="18"/>
        <v>12.29</v>
      </c>
      <c r="G72" s="114">
        <f t="shared" si="19"/>
        <v>0</v>
      </c>
      <c r="H72" s="110">
        <f t="shared" si="20"/>
        <v>0</v>
      </c>
      <c r="M72" s="22"/>
      <c r="N72" s="114"/>
      <c r="O72" s="67" t="s">
        <v>947</v>
      </c>
      <c r="P72" s="216" t="s">
        <v>932</v>
      </c>
      <c r="Q72" s="216" t="s">
        <v>934</v>
      </c>
      <c r="R72" s="216" t="s">
        <v>76</v>
      </c>
      <c r="S72" s="22"/>
      <c r="U72" s="22"/>
    </row>
    <row r="73" spans="1:22" x14ac:dyDescent="0.3">
      <c r="A73" s="666" t="s">
        <v>2025</v>
      </c>
      <c r="B73" s="405">
        <f>IF(Data!$F$182=0,0,1*$Q$74)</f>
        <v>0</v>
      </c>
      <c r="C73" s="593">
        <f>C72*Data!$F$190</f>
        <v>0</v>
      </c>
      <c r="D73" s="48" t="s">
        <v>115</v>
      </c>
      <c r="E73" s="47">
        <f t="shared" si="17"/>
        <v>0</v>
      </c>
      <c r="F73" s="118">
        <f t="shared" si="18"/>
        <v>12.29</v>
      </c>
      <c r="G73" s="465">
        <f t="shared" si="19"/>
        <v>0</v>
      </c>
      <c r="H73" s="123">
        <f t="shared" si="20"/>
        <v>0</v>
      </c>
      <c r="M73" s="22"/>
      <c r="N73" s="114"/>
      <c r="O73" s="34" t="s">
        <v>762</v>
      </c>
      <c r="P73" s="922">
        <f>OSI!$C$77</f>
        <v>1</v>
      </c>
      <c r="Q73" s="922">
        <f>OSI!$C$78</f>
        <v>0</v>
      </c>
      <c r="R73" s="412">
        <f>SUM(P73:Q73)</f>
        <v>1</v>
      </c>
      <c r="S73" s="22"/>
      <c r="U73" s="22"/>
    </row>
    <row r="74" spans="1:22" x14ac:dyDescent="0.3">
      <c r="A74" s="638" t="s">
        <v>941</v>
      </c>
      <c r="B74" s="405">
        <f>IF(OSI!$D$86&gt;0,Data!$B$30*Data!$D$30*$Q$75,0)</f>
        <v>0</v>
      </c>
      <c r="C74" s="410">
        <f>IF(oats&gt;0,($T$70*(Ob!$B$19/Ov!$T$121))/oats,0)</f>
        <v>0</v>
      </c>
      <c r="D74" s="34" t="s">
        <v>115</v>
      </c>
      <c r="E74" s="46">
        <f t="shared" si="17"/>
        <v>0</v>
      </c>
      <c r="F74" s="167">
        <f t="shared" si="18"/>
        <v>12.29</v>
      </c>
      <c r="G74" s="114">
        <f t="shared" si="19"/>
        <v>0</v>
      </c>
      <c r="H74" s="110">
        <f t="shared" si="20"/>
        <v>0</v>
      </c>
      <c r="I74" s="50"/>
      <c r="M74" s="22"/>
      <c r="N74" s="114"/>
      <c r="O74" s="55" t="s">
        <v>943</v>
      </c>
      <c r="P74" s="922">
        <f>OSI!$C$81</f>
        <v>1</v>
      </c>
      <c r="Q74" s="922">
        <f>OSI!$C$82</f>
        <v>0</v>
      </c>
      <c r="R74" s="412">
        <f>SUM(P74:Q74)</f>
        <v>1</v>
      </c>
      <c r="S74" s="22"/>
      <c r="U74" s="22"/>
    </row>
    <row r="75" spans="1:22" x14ac:dyDescent="0.3">
      <c r="A75" s="666" t="s">
        <v>2025</v>
      </c>
      <c r="B75" s="405">
        <f>IF(Data!$F$182=0,0,1*$Q$75)</f>
        <v>0</v>
      </c>
      <c r="C75" s="593">
        <f>C74*Data!$F$190</f>
        <v>0</v>
      </c>
      <c r="D75" s="48" t="s">
        <v>115</v>
      </c>
      <c r="E75" s="47">
        <f t="shared" si="17"/>
        <v>0</v>
      </c>
      <c r="F75" s="118">
        <f t="shared" si="18"/>
        <v>12.29</v>
      </c>
      <c r="G75" s="465">
        <f t="shared" si="19"/>
        <v>0</v>
      </c>
      <c r="H75" s="123">
        <f t="shared" si="20"/>
        <v>0</v>
      </c>
      <c r="I75" s="108">
        <f>SUM(H62:H75)</f>
        <v>0</v>
      </c>
      <c r="M75" s="22"/>
      <c r="N75" s="114"/>
      <c r="O75" s="55" t="s">
        <v>948</v>
      </c>
      <c r="P75" s="922">
        <f>OSI!$C$85</f>
        <v>1</v>
      </c>
      <c r="Q75" s="922">
        <f>OSI!$C$86</f>
        <v>0</v>
      </c>
      <c r="R75" s="412">
        <f>SUM(P75:Q75)</f>
        <v>1</v>
      </c>
      <c r="S75" s="22"/>
      <c r="T75" s="22"/>
      <c r="U75" s="22"/>
    </row>
    <row r="76" spans="1:22" x14ac:dyDescent="0.3">
      <c r="A76" s="3" t="s">
        <v>66</v>
      </c>
      <c r="B76" s="3"/>
      <c r="C76" s="46"/>
      <c r="D76" s="34"/>
      <c r="E76" s="226"/>
      <c r="F76" s="167"/>
      <c r="G76" s="114"/>
      <c r="H76" s="109"/>
    </row>
    <row r="77" spans="1:22" x14ac:dyDescent="0.3">
      <c r="A77" s="22" t="s">
        <v>332</v>
      </c>
      <c r="B77" s="22"/>
      <c r="C77" s="46"/>
      <c r="D77" s="34"/>
      <c r="E77" s="226"/>
      <c r="F77" s="167"/>
      <c r="G77" s="114"/>
      <c r="H77" s="109"/>
    </row>
    <row r="78" spans="1:22" x14ac:dyDescent="0.3">
      <c r="A78" s="638" t="s">
        <v>1911</v>
      </c>
      <c r="B78" s="405">
        <f t="shared" ref="B78:B106" si="21">B26</f>
        <v>0</v>
      </c>
      <c r="C78" s="156">
        <f>IF(OSI!$D$28&gt;0,OSI!$D$28,Data!$R$579)</f>
        <v>1.32</v>
      </c>
      <c r="D78" s="34" t="s">
        <v>117</v>
      </c>
      <c r="E78" s="226">
        <f>C78*oats</f>
        <v>0</v>
      </c>
      <c r="F78" s="167">
        <f>diesel_fuel</f>
        <v>2.56</v>
      </c>
      <c r="G78" s="114">
        <f>C78*F78</f>
        <v>3.3792000000000004</v>
      </c>
      <c r="H78" s="109">
        <f>B78*G78*oats</f>
        <v>0</v>
      </c>
      <c r="K78" s="55"/>
    </row>
    <row r="79" spans="1:22" x14ac:dyDescent="0.3">
      <c r="A79" s="638" t="s">
        <v>1144</v>
      </c>
      <c r="B79" s="405">
        <f t="shared" si="21"/>
        <v>1</v>
      </c>
      <c r="C79" s="156">
        <f>IF(OSI!$D$29&gt;0,OSI!$D$29,Data!$R$585)</f>
        <v>0.44023863292066601</v>
      </c>
      <c r="D79" s="34" t="s">
        <v>117</v>
      </c>
      <c r="E79" s="226">
        <f>C79*oats</f>
        <v>0</v>
      </c>
      <c r="F79" s="167">
        <f>diesel_fuel</f>
        <v>2.56</v>
      </c>
      <c r="G79" s="114">
        <f>C79*F79</f>
        <v>1.1270109002769051</v>
      </c>
      <c r="H79" s="109">
        <f>B79*G79*oats</f>
        <v>0</v>
      </c>
      <c r="K79" s="55"/>
      <c r="L79" s="55"/>
    </row>
    <row r="80" spans="1:22" x14ac:dyDescent="0.3">
      <c r="A80" s="640" t="s">
        <v>1427</v>
      </c>
      <c r="B80" s="405">
        <f t="shared" si="21"/>
        <v>1</v>
      </c>
      <c r="C80" s="156">
        <f>IF(OSI!$D$30&gt;0,OSI!$D$30,Data!$R$580)</f>
        <v>0.64</v>
      </c>
      <c r="D80" s="34" t="s">
        <v>117</v>
      </c>
      <c r="E80" s="226">
        <f t="shared" ref="E80:E105" si="22">C80*oats</f>
        <v>0</v>
      </c>
      <c r="F80" s="167">
        <f t="shared" ref="F80:F111" si="23">diesel_fuel</f>
        <v>2.56</v>
      </c>
      <c r="G80" s="114">
        <f>C80*F80</f>
        <v>1.6384000000000001</v>
      </c>
      <c r="H80" s="109">
        <f t="shared" ref="H80:H94" si="24">B80*G80*oats</f>
        <v>0</v>
      </c>
    </row>
    <row r="81" spans="1:12" x14ac:dyDescent="0.3">
      <c r="A81" s="638" t="s">
        <v>485</v>
      </c>
      <c r="B81" s="405">
        <f t="shared" si="21"/>
        <v>1</v>
      </c>
      <c r="C81" s="156">
        <f>IF(OSI!$D$31&gt;0,OSI!$D$31,Data!$R$581)</f>
        <v>0.74</v>
      </c>
      <c r="D81" s="34" t="s">
        <v>117</v>
      </c>
      <c r="E81" s="226">
        <f t="shared" si="22"/>
        <v>0</v>
      </c>
      <c r="F81" s="167">
        <f t="shared" si="23"/>
        <v>2.56</v>
      </c>
      <c r="G81" s="114">
        <f>C81*F81</f>
        <v>1.8944000000000001</v>
      </c>
      <c r="H81" s="109">
        <f t="shared" si="24"/>
        <v>0</v>
      </c>
    </row>
    <row r="82" spans="1:12" x14ac:dyDescent="0.3">
      <c r="A82" s="22" t="s">
        <v>315</v>
      </c>
      <c r="B82" s="405">
        <f t="shared" si="21"/>
        <v>0</v>
      </c>
      <c r="C82" s="156">
        <f>Data!R582</f>
        <v>0.2</v>
      </c>
      <c r="D82" s="34" t="s">
        <v>117</v>
      </c>
      <c r="E82" s="226">
        <f t="shared" si="22"/>
        <v>0</v>
      </c>
      <c r="F82" s="167">
        <f t="shared" si="23"/>
        <v>2.56</v>
      </c>
      <c r="G82" s="114">
        <f t="shared" ref="G82:G105" si="25">C82*F82</f>
        <v>0.51200000000000001</v>
      </c>
      <c r="H82" s="109">
        <f t="shared" si="24"/>
        <v>0</v>
      </c>
    </row>
    <row r="83" spans="1:12" x14ac:dyDescent="0.3">
      <c r="A83" s="22" t="s">
        <v>581</v>
      </c>
      <c r="B83" s="405">
        <f t="shared" si="21"/>
        <v>0</v>
      </c>
      <c r="C83" s="156">
        <f>Data!R583</f>
        <v>0.13183670241332501</v>
      </c>
      <c r="D83" s="34" t="s">
        <v>117</v>
      </c>
      <c r="E83" s="226">
        <f t="shared" si="22"/>
        <v>0</v>
      </c>
      <c r="F83" s="167">
        <f t="shared" si="23"/>
        <v>2.56</v>
      </c>
      <c r="G83" s="114">
        <f t="shared" si="25"/>
        <v>0.33750195817811202</v>
      </c>
      <c r="H83" s="109">
        <f t="shared" si="24"/>
        <v>0</v>
      </c>
    </row>
    <row r="84" spans="1:12" x14ac:dyDescent="0.3">
      <c r="A84" s="22" t="s">
        <v>322</v>
      </c>
      <c r="B84" s="405">
        <f t="shared" si="21"/>
        <v>0</v>
      </c>
      <c r="C84" s="273">
        <f>0</f>
        <v>0</v>
      </c>
      <c r="D84" s="34" t="s">
        <v>117</v>
      </c>
      <c r="E84" s="226">
        <f t="shared" si="22"/>
        <v>0</v>
      </c>
      <c r="F84" s="167">
        <f t="shared" si="23"/>
        <v>2.56</v>
      </c>
      <c r="G84" s="110">
        <f t="shared" si="25"/>
        <v>0</v>
      </c>
      <c r="H84" s="109">
        <f t="shared" si="24"/>
        <v>0</v>
      </c>
    </row>
    <row r="85" spans="1:12" x14ac:dyDescent="0.3">
      <c r="A85" s="639" t="s">
        <v>333</v>
      </c>
      <c r="B85" s="405">
        <f t="shared" si="21"/>
        <v>1</v>
      </c>
      <c r="C85" s="156">
        <f>IF(OSI!$D$32&gt;0,OSI!$D$32,Data!$R$589)</f>
        <v>0.34</v>
      </c>
      <c r="D85" s="34" t="s">
        <v>117</v>
      </c>
      <c r="E85" s="226">
        <f t="shared" si="22"/>
        <v>0</v>
      </c>
      <c r="F85" s="167">
        <f t="shared" si="23"/>
        <v>2.56</v>
      </c>
      <c r="G85" s="114">
        <f t="shared" si="25"/>
        <v>0.87040000000000006</v>
      </c>
      <c r="H85" s="109">
        <f t="shared" si="24"/>
        <v>0</v>
      </c>
    </row>
    <row r="86" spans="1:12" x14ac:dyDescent="0.3">
      <c r="A86" s="639" t="s">
        <v>334</v>
      </c>
      <c r="B86" s="405">
        <f t="shared" si="21"/>
        <v>1</v>
      </c>
      <c r="C86" s="156">
        <f>IF(OSI!$D$33&gt;0,OSI!$D$33,Data!$R$594)</f>
        <v>0.61</v>
      </c>
      <c r="D86" s="34" t="s">
        <v>117</v>
      </c>
      <c r="E86" s="226">
        <f t="shared" si="22"/>
        <v>0</v>
      </c>
      <c r="F86" s="167">
        <f t="shared" si="23"/>
        <v>2.56</v>
      </c>
      <c r="G86" s="114">
        <f t="shared" si="25"/>
        <v>1.5616000000000001</v>
      </c>
      <c r="H86" s="109">
        <f t="shared" si="24"/>
        <v>0</v>
      </c>
    </row>
    <row r="87" spans="1:12" x14ac:dyDescent="0.3">
      <c r="A87" s="639" t="s">
        <v>2218</v>
      </c>
      <c r="B87" s="405">
        <f t="shared" si="21"/>
        <v>2</v>
      </c>
      <c r="C87" s="156">
        <f>IF(OSI!$D$34&gt;0,OSI!$D$34,Data!$R$591)</f>
        <v>0.34</v>
      </c>
      <c r="D87" s="34" t="s">
        <v>117</v>
      </c>
      <c r="E87" s="226">
        <f t="shared" si="22"/>
        <v>0</v>
      </c>
      <c r="F87" s="167">
        <f t="shared" si="23"/>
        <v>2.56</v>
      </c>
      <c r="G87" s="114">
        <f t="shared" si="25"/>
        <v>0.87040000000000006</v>
      </c>
      <c r="H87" s="109">
        <f t="shared" si="24"/>
        <v>0</v>
      </c>
    </row>
    <row r="88" spans="1:12" x14ac:dyDescent="0.3">
      <c r="A88" s="639" t="s">
        <v>340</v>
      </c>
      <c r="B88" s="405">
        <f t="shared" si="21"/>
        <v>0</v>
      </c>
      <c r="C88" s="156">
        <f>IF(OSI!$D$35&gt;0,OSI!$D$35,Data!$R$606)</f>
        <v>0.46</v>
      </c>
      <c r="D88" s="34" t="s">
        <v>117</v>
      </c>
      <c r="E88" s="226">
        <f t="shared" si="22"/>
        <v>0</v>
      </c>
      <c r="F88" s="167">
        <f t="shared" si="23"/>
        <v>2.56</v>
      </c>
      <c r="G88" s="114">
        <f t="shared" si="25"/>
        <v>1.1776</v>
      </c>
      <c r="H88" s="109">
        <f t="shared" si="24"/>
        <v>0</v>
      </c>
    </row>
    <row r="89" spans="1:12" x14ac:dyDescent="0.3">
      <c r="A89" s="639" t="s">
        <v>1626</v>
      </c>
      <c r="B89" s="405">
        <f t="shared" si="21"/>
        <v>0</v>
      </c>
      <c r="C89" s="156">
        <f>IF(OSI!$D$36&gt;0,OSI!$D$36,Data!$R$584)</f>
        <v>0.13183670241332501</v>
      </c>
      <c r="D89" s="34" t="s">
        <v>117</v>
      </c>
      <c r="E89" s="226">
        <f t="shared" si="22"/>
        <v>0</v>
      </c>
      <c r="F89" s="167">
        <f t="shared" si="23"/>
        <v>2.56</v>
      </c>
      <c r="G89" s="114">
        <f t="shared" si="25"/>
        <v>0.33750195817811202</v>
      </c>
      <c r="H89" s="109">
        <f t="shared" si="24"/>
        <v>0</v>
      </c>
    </row>
    <row r="90" spans="1:12" x14ac:dyDescent="0.3">
      <c r="A90" s="22" t="s">
        <v>304</v>
      </c>
      <c r="B90" s="405">
        <f t="shared" si="21"/>
        <v>0</v>
      </c>
      <c r="C90" s="156">
        <f>Data!R599</f>
        <v>0.11981642612033799</v>
      </c>
      <c r="D90" s="34" t="s">
        <v>117</v>
      </c>
      <c r="E90" s="226">
        <f t="shared" si="22"/>
        <v>0</v>
      </c>
      <c r="F90" s="167">
        <f t="shared" si="23"/>
        <v>2.56</v>
      </c>
      <c r="G90" s="114">
        <f t="shared" si="25"/>
        <v>0.30673005086806526</v>
      </c>
      <c r="H90" s="109">
        <f t="shared" si="24"/>
        <v>0</v>
      </c>
    </row>
    <row r="91" spans="1:12" x14ac:dyDescent="0.3">
      <c r="A91" s="639" t="s">
        <v>1628</v>
      </c>
      <c r="B91" s="405">
        <f t="shared" si="21"/>
        <v>0</v>
      </c>
      <c r="C91" s="156">
        <f>IF(OSI!$D$37&gt;0,OSI!$D$37,Data!$R$601)</f>
        <v>0.12</v>
      </c>
      <c r="D91" s="34" t="s">
        <v>117</v>
      </c>
      <c r="E91" s="226">
        <f t="shared" si="22"/>
        <v>0</v>
      </c>
      <c r="F91" s="167">
        <f t="shared" si="23"/>
        <v>2.56</v>
      </c>
      <c r="G91" s="114">
        <f t="shared" si="25"/>
        <v>0.30719999999999997</v>
      </c>
      <c r="H91" s="109">
        <f t="shared" si="24"/>
        <v>0</v>
      </c>
    </row>
    <row r="92" spans="1:12" x14ac:dyDescent="0.3">
      <c r="A92" s="639" t="s">
        <v>1318</v>
      </c>
      <c r="B92" s="405">
        <f t="shared" si="21"/>
        <v>1</v>
      </c>
      <c r="C92" s="156">
        <f>IF(OSI!$D$39&gt;0,OSI!$D$39,Data!$R$614)</f>
        <v>2</v>
      </c>
      <c r="D92" s="34" t="s">
        <v>117</v>
      </c>
      <c r="E92" s="226">
        <f t="shared" si="22"/>
        <v>0</v>
      </c>
      <c r="F92" s="167">
        <f t="shared" si="23"/>
        <v>2.56</v>
      </c>
      <c r="G92" s="114">
        <f t="shared" si="25"/>
        <v>5.12</v>
      </c>
      <c r="H92" s="109">
        <f t="shared" si="24"/>
        <v>0</v>
      </c>
    </row>
    <row r="93" spans="1:12" x14ac:dyDescent="0.3">
      <c r="A93" s="666" t="s">
        <v>1022</v>
      </c>
      <c r="B93" s="405">
        <f t="shared" si="21"/>
        <v>0</v>
      </c>
      <c r="C93" s="47">
        <f>Data!$R$615*Data!$F$189</f>
        <v>0</v>
      </c>
      <c r="D93" s="48" t="s">
        <v>117</v>
      </c>
      <c r="E93" s="647">
        <f>C93*oats</f>
        <v>0</v>
      </c>
      <c r="F93" s="118">
        <f>diesel_fuel</f>
        <v>2.56</v>
      </c>
      <c r="G93" s="465">
        <f>C93*F93</f>
        <v>0</v>
      </c>
      <c r="H93" s="123">
        <f>B93*G93*oats</f>
        <v>0</v>
      </c>
    </row>
    <row r="94" spans="1:12" x14ac:dyDescent="0.3">
      <c r="A94" s="639" t="s">
        <v>2083</v>
      </c>
      <c r="B94" s="405">
        <f t="shared" si="21"/>
        <v>1</v>
      </c>
      <c r="C94" s="156">
        <f>IF(OSI!$D$40&gt;0,OSI!$D$40,Data!$R$626)</f>
        <v>0.13964373885596201</v>
      </c>
      <c r="D94" s="34" t="s">
        <v>117</v>
      </c>
      <c r="E94" s="226">
        <f t="shared" si="22"/>
        <v>0</v>
      </c>
      <c r="F94" s="167">
        <f t="shared" si="23"/>
        <v>2.56</v>
      </c>
      <c r="G94" s="114">
        <f t="shared" si="25"/>
        <v>0.35748797147126277</v>
      </c>
      <c r="H94" s="109">
        <f t="shared" si="24"/>
        <v>0</v>
      </c>
    </row>
    <row r="95" spans="1:12" x14ac:dyDescent="0.3">
      <c r="A95" s="666" t="s">
        <v>1022</v>
      </c>
      <c r="B95" s="405">
        <f t="shared" si="21"/>
        <v>1</v>
      </c>
      <c r="C95" s="47">
        <f>Data!$R$627*Data!$F$189</f>
        <v>0</v>
      </c>
      <c r="D95" s="48" t="s">
        <v>117</v>
      </c>
      <c r="E95" s="647">
        <f>C95*oats</f>
        <v>0</v>
      </c>
      <c r="F95" s="118">
        <f>diesel_fuel</f>
        <v>2.56</v>
      </c>
      <c r="G95" s="465">
        <f>C95*F95</f>
        <v>0</v>
      </c>
      <c r="H95" s="123">
        <f>B95*G95*oats</f>
        <v>0</v>
      </c>
    </row>
    <row r="96" spans="1:12" x14ac:dyDescent="0.3">
      <c r="A96" s="22" t="s">
        <v>756</v>
      </c>
      <c r="B96" s="405">
        <f t="shared" si="21"/>
        <v>0</v>
      </c>
      <c r="C96" s="156">
        <f>Data!R648</f>
        <v>0.28809523809523802</v>
      </c>
      <c r="D96" s="34" t="s">
        <v>117</v>
      </c>
      <c r="E96" s="226">
        <f t="shared" si="22"/>
        <v>0</v>
      </c>
      <c r="F96" s="167">
        <f t="shared" si="23"/>
        <v>2.56</v>
      </c>
      <c r="G96" s="114">
        <f t="shared" si="25"/>
        <v>0.73752380952380936</v>
      </c>
      <c r="H96" s="109">
        <f>(B96*G96*oats)*Data!$B$30*Data!$H$30</f>
        <v>0</v>
      </c>
      <c r="K96" s="55"/>
      <c r="L96" s="55"/>
    </row>
    <row r="97" spans="1:21" x14ac:dyDescent="0.3">
      <c r="A97" s="22" t="s">
        <v>757</v>
      </c>
      <c r="B97" s="405">
        <f t="shared" si="21"/>
        <v>0</v>
      </c>
      <c r="C97" s="156">
        <f>Data!R649</f>
        <v>0.34903846153846102</v>
      </c>
      <c r="D97" s="34" t="s">
        <v>117</v>
      </c>
      <c r="E97" s="226">
        <f t="shared" si="22"/>
        <v>0</v>
      </c>
      <c r="F97" s="167">
        <f t="shared" si="23"/>
        <v>2.56</v>
      </c>
      <c r="G97" s="114">
        <f t="shared" si="25"/>
        <v>0.89353846153846028</v>
      </c>
      <c r="H97" s="109">
        <f>(B97*G97*oats)*Data!$B$30*Data!$C$30*Data!$F$30</f>
        <v>0</v>
      </c>
      <c r="K97" s="55"/>
      <c r="L97" s="55"/>
    </row>
    <row r="98" spans="1:21" x14ac:dyDescent="0.3">
      <c r="A98" s="9" t="s">
        <v>1022</v>
      </c>
      <c r="B98" s="405">
        <f t="shared" si="21"/>
        <v>0</v>
      </c>
      <c r="C98" s="47">
        <f>Data!$R$650*Data!$F$189</f>
        <v>0</v>
      </c>
      <c r="D98" s="48" t="s">
        <v>117</v>
      </c>
      <c r="E98" s="647">
        <f>C98*oats</f>
        <v>0</v>
      </c>
      <c r="F98" s="118">
        <f>diesel_fuel</f>
        <v>2.56</v>
      </c>
      <c r="G98" s="465">
        <f>C98*F98</f>
        <v>0</v>
      </c>
      <c r="H98" s="123">
        <f>(B98*G98*oats)*Data!$B$30*Data!$C$30*Data!$F$30</f>
        <v>0</v>
      </c>
      <c r="K98" s="55"/>
      <c r="L98" s="55"/>
    </row>
    <row r="99" spans="1:21" x14ac:dyDescent="0.3">
      <c r="A99" s="22" t="s">
        <v>752</v>
      </c>
      <c r="B99" s="405">
        <f t="shared" si="21"/>
        <v>0</v>
      </c>
      <c r="C99" s="156">
        <f>Data!R651</f>
        <v>0.1</v>
      </c>
      <c r="D99" s="34" t="s">
        <v>117</v>
      </c>
      <c r="E99" s="226">
        <f t="shared" si="22"/>
        <v>0</v>
      </c>
      <c r="F99" s="167">
        <f t="shared" si="23"/>
        <v>2.56</v>
      </c>
      <c r="G99" s="114">
        <f t="shared" si="25"/>
        <v>0.25600000000000001</v>
      </c>
      <c r="H99" s="109">
        <f>(B99*G99*oats)*Data!$B$30*Data!$C$30*Data!$F$30</f>
        <v>0</v>
      </c>
      <c r="K99" s="55"/>
      <c r="L99" s="55"/>
    </row>
    <row r="100" spans="1:21" x14ac:dyDescent="0.3">
      <c r="A100" s="9" t="s">
        <v>1022</v>
      </c>
      <c r="B100" s="405">
        <f t="shared" si="21"/>
        <v>0</v>
      </c>
      <c r="C100" s="47">
        <f>Data!$R$652*Data!$F$189</f>
        <v>0</v>
      </c>
      <c r="D100" s="48" t="s">
        <v>117</v>
      </c>
      <c r="E100" s="647">
        <f>C100*oats</f>
        <v>0</v>
      </c>
      <c r="F100" s="118">
        <f>diesel_fuel</f>
        <v>2.56</v>
      </c>
      <c r="G100" s="465">
        <f>C100*F100</f>
        <v>0</v>
      </c>
      <c r="H100" s="123">
        <f>(B100*G100*oats)*Data!$B$30*Data!$C$30*Data!$F$30</f>
        <v>0</v>
      </c>
      <c r="K100" s="55"/>
      <c r="L100" s="55"/>
    </row>
    <row r="101" spans="1:21" x14ac:dyDescent="0.3">
      <c r="A101" s="22" t="s">
        <v>758</v>
      </c>
      <c r="B101" s="405">
        <f t="shared" si="21"/>
        <v>0</v>
      </c>
      <c r="C101" s="156">
        <f>Data!R653</f>
        <v>0.40333333333333299</v>
      </c>
      <c r="D101" s="34" t="s">
        <v>117</v>
      </c>
      <c r="E101" s="226">
        <f t="shared" si="22"/>
        <v>0</v>
      </c>
      <c r="F101" s="167">
        <f t="shared" si="23"/>
        <v>2.56</v>
      </c>
      <c r="G101" s="114">
        <f t="shared" si="25"/>
        <v>1.0325333333333324</v>
      </c>
      <c r="H101" s="109">
        <f>(B101*G101*oats)*Data!$B$30*Data!$D$30*Data!$G$30</f>
        <v>0</v>
      </c>
      <c r="K101" s="55"/>
      <c r="L101" s="55"/>
    </row>
    <row r="102" spans="1:21" x14ac:dyDescent="0.3">
      <c r="A102" s="9" t="s">
        <v>1022</v>
      </c>
      <c r="B102" s="405">
        <f t="shared" si="21"/>
        <v>0</v>
      </c>
      <c r="C102" s="47">
        <f>Data!$R$654*Data!$F$189</f>
        <v>0</v>
      </c>
      <c r="D102" s="48" t="s">
        <v>117</v>
      </c>
      <c r="E102" s="647">
        <f>C102*oats</f>
        <v>0</v>
      </c>
      <c r="F102" s="118">
        <f>diesel_fuel</f>
        <v>2.56</v>
      </c>
      <c r="G102" s="465">
        <f>C102*F102</f>
        <v>0</v>
      </c>
      <c r="H102" s="123">
        <f>(B102*G102*oats)*Data!$B$30*Data!$D$30*Data!$G$30</f>
        <v>0</v>
      </c>
      <c r="K102" s="55"/>
      <c r="L102" s="55"/>
    </row>
    <row r="103" spans="1:21" x14ac:dyDescent="0.3">
      <c r="A103" s="22" t="s">
        <v>753</v>
      </c>
      <c r="B103" s="405">
        <f t="shared" si="21"/>
        <v>0</v>
      </c>
      <c r="C103" s="165">
        <f>Data!R655</f>
        <v>0</v>
      </c>
      <c r="D103" s="34" t="s">
        <v>117</v>
      </c>
      <c r="E103" s="226">
        <f t="shared" si="22"/>
        <v>0</v>
      </c>
      <c r="F103" s="167">
        <f t="shared" si="23"/>
        <v>2.56</v>
      </c>
      <c r="G103" s="114">
        <f t="shared" si="25"/>
        <v>0</v>
      </c>
      <c r="H103" s="109">
        <f>(B103*G103*oats)*Data!$B$30*Data!$D$30*Data!$G$30</f>
        <v>0</v>
      </c>
      <c r="K103" s="55"/>
      <c r="L103" s="55"/>
    </row>
    <row r="104" spans="1:21" x14ac:dyDescent="0.3">
      <c r="A104" s="9" t="s">
        <v>1022</v>
      </c>
      <c r="B104" s="405">
        <f t="shared" si="21"/>
        <v>0</v>
      </c>
      <c r="C104" s="83">
        <f>Data!$R$656*Data!$F$189</f>
        <v>0</v>
      </c>
      <c r="D104" s="48" t="s">
        <v>117</v>
      </c>
      <c r="E104" s="647">
        <f>C104*oats</f>
        <v>0</v>
      </c>
      <c r="F104" s="118">
        <f>diesel_fuel</f>
        <v>2.56</v>
      </c>
      <c r="G104" s="465">
        <f>C104*F104</f>
        <v>0</v>
      </c>
      <c r="H104" s="123">
        <f>(B104*G104*oats)*Data!$B$30*Data!$D$30*Data!$G$30</f>
        <v>0</v>
      </c>
      <c r="K104" s="55"/>
      <c r="L104" s="55"/>
    </row>
    <row r="105" spans="1:21" x14ac:dyDescent="0.3">
      <c r="A105" s="22" t="s">
        <v>759</v>
      </c>
      <c r="B105" s="405">
        <f t="shared" si="21"/>
        <v>0</v>
      </c>
      <c r="C105" s="156">
        <f>Data!R657</f>
        <v>0.11</v>
      </c>
      <c r="D105" s="34" t="s">
        <v>117</v>
      </c>
      <c r="E105" s="226">
        <f t="shared" si="22"/>
        <v>0</v>
      </c>
      <c r="F105" s="167">
        <f t="shared" si="23"/>
        <v>2.56</v>
      </c>
      <c r="G105" s="114">
        <f t="shared" si="25"/>
        <v>0.28160000000000002</v>
      </c>
      <c r="H105" s="109">
        <f>(B105*G105*oats)*Data!$B$30*Data!$H$30</f>
        <v>0</v>
      </c>
      <c r="K105" s="55"/>
      <c r="L105" s="55"/>
    </row>
    <row r="106" spans="1:21" x14ac:dyDescent="0.3">
      <c r="A106" s="9" t="s">
        <v>1022</v>
      </c>
      <c r="B106" s="405">
        <f t="shared" si="21"/>
        <v>0</v>
      </c>
      <c r="C106" s="47">
        <f>Data!$R$658*Data!$F$189</f>
        <v>0</v>
      </c>
      <c r="D106" s="48" t="s">
        <v>117</v>
      </c>
      <c r="E106" s="647">
        <f>C106*oats</f>
        <v>0</v>
      </c>
      <c r="F106" s="118">
        <f>diesel_fuel</f>
        <v>2.56</v>
      </c>
      <c r="G106" s="465">
        <f>C106*F106</f>
        <v>0</v>
      </c>
      <c r="H106" s="123">
        <f>(B106*G106*oats)*Data!$B$30*Data!$H$30</f>
        <v>0</v>
      </c>
      <c r="K106" s="55"/>
      <c r="L106" s="55"/>
    </row>
    <row r="107" spans="1:21" x14ac:dyDescent="0.3">
      <c r="A107" s="639" t="s">
        <v>1435</v>
      </c>
      <c r="B107" s="832"/>
      <c r="C107" s="47"/>
      <c r="D107" s="48"/>
      <c r="E107" s="647"/>
      <c r="F107" s="118"/>
      <c r="G107" s="465"/>
      <c r="H107" s="123"/>
      <c r="K107" s="55"/>
      <c r="L107" s="55"/>
    </row>
    <row r="108" spans="1:21" x14ac:dyDescent="0.3">
      <c r="A108" s="638" t="s">
        <v>1436</v>
      </c>
      <c r="B108" s="405">
        <f>B56</f>
        <v>1</v>
      </c>
      <c r="C108" s="165">
        <f>IF(OSI!$D$41&gt;0,OSI!$D$41,Data!$R$661)</f>
        <v>0</v>
      </c>
      <c r="D108" s="34" t="s">
        <v>117</v>
      </c>
      <c r="E108" s="226">
        <f t="shared" ref="E108" si="26">C108*oats</f>
        <v>0</v>
      </c>
      <c r="F108" s="167">
        <f t="shared" si="23"/>
        <v>2.56</v>
      </c>
      <c r="G108" s="114">
        <f t="shared" ref="G108" si="27">C108*F108</f>
        <v>0</v>
      </c>
      <c r="H108" s="109">
        <f>B108*G108*oats</f>
        <v>0</v>
      </c>
      <c r="K108" s="55"/>
      <c r="L108" s="55"/>
    </row>
    <row r="109" spans="1:21" x14ac:dyDescent="0.3">
      <c r="A109" s="666" t="s">
        <v>1022</v>
      </c>
      <c r="B109" s="405">
        <f>B57</f>
        <v>1</v>
      </c>
      <c r="C109" s="83">
        <f>Data!R662*Data!$F$189</f>
        <v>0</v>
      </c>
      <c r="D109" s="48" t="s">
        <v>117</v>
      </c>
      <c r="E109" s="647">
        <f>C109*oats</f>
        <v>0</v>
      </c>
      <c r="F109" s="118">
        <f>diesel_fuel</f>
        <v>2.56</v>
      </c>
      <c r="G109" s="465">
        <f>C109*F109</f>
        <v>0</v>
      </c>
      <c r="H109" s="123">
        <f>B109*G109*oats</f>
        <v>0</v>
      </c>
      <c r="K109" s="55"/>
      <c r="L109" s="4" t="s">
        <v>1077</v>
      </c>
    </row>
    <row r="110" spans="1:21" x14ac:dyDescent="0.3">
      <c r="A110" s="639" t="s">
        <v>1147</v>
      </c>
      <c r="B110" s="60"/>
      <c r="C110" s="60"/>
      <c r="D110" s="34"/>
      <c r="E110" s="226"/>
      <c r="F110" s="167"/>
      <c r="G110" s="114"/>
      <c r="H110" s="109"/>
      <c r="J110" s="588">
        <f>OSI!$E$69</f>
        <v>30000</v>
      </c>
      <c r="K110" s="17" t="s">
        <v>220</v>
      </c>
      <c r="L110" s="17">
        <f>J110/2000</f>
        <v>15</v>
      </c>
      <c r="M110" s="17" t="s">
        <v>26</v>
      </c>
      <c r="N110" s="588">
        <f>OSI!$C$69</f>
        <v>500</v>
      </c>
      <c r="O110" s="17" t="s">
        <v>931</v>
      </c>
      <c r="P110" s="93" t="s">
        <v>944</v>
      </c>
      <c r="Q110" s="93"/>
      <c r="S110" s="588">
        <f>N110*Data!$K$59</f>
        <v>16000</v>
      </c>
      <c r="T110" s="17" t="s">
        <v>220</v>
      </c>
      <c r="U110" s="589">
        <f>S110/J110</f>
        <v>0.53333333333333333</v>
      </c>
    </row>
    <row r="111" spans="1:21" x14ac:dyDescent="0.3">
      <c r="A111" s="638" t="s">
        <v>1146</v>
      </c>
      <c r="B111" s="405">
        <f>B59</f>
        <v>1</v>
      </c>
      <c r="C111" s="816">
        <f>IF(OSI!$D$42&gt;0,OSI!$D$42,Data!$R$681)</f>
        <v>0</v>
      </c>
      <c r="D111" s="34" t="s">
        <v>116</v>
      </c>
      <c r="E111" s="226">
        <f>C111*oats</f>
        <v>0</v>
      </c>
      <c r="F111" s="167">
        <f t="shared" si="23"/>
        <v>2.56</v>
      </c>
      <c r="G111" s="114">
        <f>C111*F111</f>
        <v>0</v>
      </c>
      <c r="H111" s="110">
        <f>B111*G111*oats*G3</f>
        <v>0</v>
      </c>
      <c r="I111" s="108"/>
      <c r="J111" s="588">
        <f>OSI!$E$70</f>
        <v>180</v>
      </c>
      <c r="K111" s="17" t="s">
        <v>220</v>
      </c>
      <c r="L111" s="17">
        <f>J111/2000</f>
        <v>0.09</v>
      </c>
      <c r="M111" s="17" t="s">
        <v>26</v>
      </c>
      <c r="N111" s="588">
        <f>OSI!$C$70</f>
        <v>3</v>
      </c>
      <c r="O111" s="17" t="s">
        <v>931</v>
      </c>
      <c r="P111" s="93" t="s">
        <v>945</v>
      </c>
      <c r="Q111" s="93"/>
      <c r="S111" s="588">
        <f>N111*Data!$K$59</f>
        <v>96</v>
      </c>
      <c r="T111" s="17" t="s">
        <v>220</v>
      </c>
      <c r="U111" s="589">
        <f>S111/J111</f>
        <v>0.53333333333333333</v>
      </c>
    </row>
    <row r="112" spans="1:21" x14ac:dyDescent="0.3">
      <c r="A112" s="666" t="s">
        <v>1022</v>
      </c>
      <c r="B112" s="405">
        <f t="shared" ref="B112" si="28">B60</f>
        <v>1</v>
      </c>
      <c r="C112" s="83">
        <f>C111*Data!$F$189</f>
        <v>0</v>
      </c>
      <c r="D112" s="48" t="s">
        <v>117</v>
      </c>
      <c r="E112" s="647">
        <f>C112*oats</f>
        <v>0</v>
      </c>
      <c r="F112" s="118">
        <f>diesel_fuel</f>
        <v>2.56</v>
      </c>
      <c r="G112" s="465">
        <f>C112*F112</f>
        <v>0</v>
      </c>
      <c r="H112" s="123">
        <f>B112*G112*oats</f>
        <v>0</v>
      </c>
      <c r="I112" s="108">
        <f>SUM(H77:H112)</f>
        <v>0</v>
      </c>
      <c r="J112" s="108"/>
    </row>
    <row r="113" spans="1:21" x14ac:dyDescent="0.3">
      <c r="A113" s="1258" t="s">
        <v>2082</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IF(OSI!$D$77&gt;0,1*$P$125,0)</f>
        <v>1</v>
      </c>
      <c r="C115" s="410">
        <f>IF(oats&gt;0,($R$115*((Data!$B$188*oats)/$N$110))/oats,0)</f>
        <v>0</v>
      </c>
      <c r="D115" s="34" t="s">
        <v>117</v>
      </c>
      <c r="E115" s="46">
        <f t="shared" ref="E115:E120" si="29">C115*oats</f>
        <v>0</v>
      </c>
      <c r="F115" s="167">
        <f t="shared" ref="F115:F119" si="30">diesel_fuel</f>
        <v>2.56</v>
      </c>
      <c r="G115" s="114">
        <f t="shared" ref="G115:G120" si="31">C115*F115</f>
        <v>0</v>
      </c>
      <c r="H115" s="110">
        <f t="shared" ref="H115:H120" si="32">B115*G115*oats</f>
        <v>0</v>
      </c>
      <c r="J115" s="55" t="s">
        <v>762</v>
      </c>
      <c r="K115" s="369">
        <f>B115</f>
        <v>1</v>
      </c>
      <c r="L115" s="168">
        <f>IF(oats&gt;0,(K115*(R115*diesel_fuel)*((Data!$B$188*oats)/$N$110))/oats,0)</f>
        <v>0</v>
      </c>
      <c r="M115" s="22" t="s">
        <v>254</v>
      </c>
      <c r="N115" s="168">
        <f>(R115*diesel_fuel)</f>
        <v>1.8204444444444443</v>
      </c>
      <c r="O115" s="22" t="s">
        <v>935</v>
      </c>
      <c r="P115" s="816">
        <f>OSI!$G$69</f>
        <v>20</v>
      </c>
      <c r="Q115" s="816">
        <f>OSI!$G$70</f>
        <v>15</v>
      </c>
      <c r="R115" s="46">
        <f>(P115/Q115)*$U$110</f>
        <v>0.71111111111111103</v>
      </c>
      <c r="S115" s="216" t="s">
        <v>936</v>
      </c>
      <c r="T115" s="216" t="s">
        <v>937</v>
      </c>
    </row>
    <row r="116" spans="1:21" x14ac:dyDescent="0.3">
      <c r="A116" s="666" t="s">
        <v>2025</v>
      </c>
      <c r="B116" s="405">
        <f>IF(Data!$F$189=0,0,1*$P$125)</f>
        <v>0</v>
      </c>
      <c r="C116" s="593">
        <f>C115*Data!$F$189</f>
        <v>0</v>
      </c>
      <c r="D116" s="48" t="s">
        <v>117</v>
      </c>
      <c r="E116" s="47">
        <f t="shared" si="29"/>
        <v>0</v>
      </c>
      <c r="F116" s="118">
        <f>diesel_fuel</f>
        <v>2.56</v>
      </c>
      <c r="G116" s="465">
        <f t="shared" si="31"/>
        <v>0</v>
      </c>
      <c r="H116" s="123">
        <f t="shared" si="32"/>
        <v>0</v>
      </c>
      <c r="J116" s="55" t="s">
        <v>943</v>
      </c>
      <c r="K116" s="369">
        <f>B117</f>
        <v>0</v>
      </c>
      <c r="L116" s="114">
        <f>IF(oats&gt;0,(K116*(R116*diesel_fuel)*((Data!$E$188*oats)/$S$116))/oats,0)</f>
        <v>0</v>
      </c>
      <c r="M116" s="22" t="s">
        <v>254</v>
      </c>
      <c r="N116" s="114">
        <f>R116*diesel_fuel</f>
        <v>1.8204444444444443</v>
      </c>
      <c r="O116" s="22" t="s">
        <v>935</v>
      </c>
      <c r="P116" s="816">
        <f>OSI!$G$69</f>
        <v>20</v>
      </c>
      <c r="Q116" s="816">
        <f>OSI!$G$70</f>
        <v>15</v>
      </c>
      <c r="R116" s="46">
        <f>(P116/Q116)*$U$110</f>
        <v>0.71111111111111103</v>
      </c>
      <c r="S116" s="816">
        <f>OSI!$G$71</f>
        <v>8</v>
      </c>
      <c r="T116" s="90">
        <f>(S116*Data!$E$186)/Data!$H$186</f>
        <v>200</v>
      </c>
    </row>
    <row r="117" spans="1:21" x14ac:dyDescent="0.3">
      <c r="A117" s="638" t="s">
        <v>940</v>
      </c>
      <c r="B117" s="405">
        <f>IF(OSI!$D$81&gt;0,Data!$B$30*Data!$C$30*$P$126,0)</f>
        <v>0</v>
      </c>
      <c r="C117" s="410">
        <f>IF(oats&gt;0,($R$116*(Ob!$B$17/Ov!$S$116))/oats,0)</f>
        <v>0</v>
      </c>
      <c r="D117" s="34" t="s">
        <v>117</v>
      </c>
      <c r="E117" s="46">
        <f t="shared" si="29"/>
        <v>0</v>
      </c>
      <c r="F117" s="167">
        <f t="shared" si="30"/>
        <v>2.56</v>
      </c>
      <c r="G117" s="114">
        <f t="shared" si="31"/>
        <v>0</v>
      </c>
      <c r="H117" s="110">
        <f t="shared" si="32"/>
        <v>0</v>
      </c>
      <c r="J117" s="55" t="s">
        <v>948</v>
      </c>
      <c r="K117" s="369">
        <f>B119</f>
        <v>0</v>
      </c>
      <c r="L117" s="114">
        <f>IF(oats&gt;0,(K117*(R117*diesel_fuel)*((Data!$H$188*oats)/$T$116))/oats,0)</f>
        <v>0</v>
      </c>
      <c r="M117" s="22" t="s">
        <v>254</v>
      </c>
      <c r="N117" s="114">
        <f>R117*diesel_fuel</f>
        <v>1.8204444444444443</v>
      </c>
      <c r="O117" s="22" t="s">
        <v>935</v>
      </c>
      <c r="P117" s="816">
        <f>OSI!$G$69</f>
        <v>20</v>
      </c>
      <c r="Q117" s="816">
        <f>OSI!$G$70</f>
        <v>15</v>
      </c>
      <c r="R117" s="46">
        <f>(P117/Q117)*$U$110</f>
        <v>0.71111111111111103</v>
      </c>
    </row>
    <row r="118" spans="1:21" x14ac:dyDescent="0.3">
      <c r="A118" s="666" t="s">
        <v>2025</v>
      </c>
      <c r="B118" s="405">
        <f>IF(Data!$F$190=0,0,1*$P$126)</f>
        <v>0</v>
      </c>
      <c r="C118" s="593">
        <f>C117*Data!$F$190</f>
        <v>0</v>
      </c>
      <c r="D118" s="48" t="s">
        <v>117</v>
      </c>
      <c r="E118" s="47">
        <f t="shared" si="29"/>
        <v>0</v>
      </c>
      <c r="F118" s="118">
        <f>diesel_fuel</f>
        <v>2.56</v>
      </c>
      <c r="G118" s="465">
        <f t="shared" si="31"/>
        <v>0</v>
      </c>
      <c r="H118" s="123">
        <f t="shared" si="32"/>
        <v>0</v>
      </c>
      <c r="Q118" s="216" t="s">
        <v>933</v>
      </c>
      <c r="R118" s="216" t="s">
        <v>933</v>
      </c>
    </row>
    <row r="119" spans="1:21" x14ac:dyDescent="0.3">
      <c r="A119" s="638" t="s">
        <v>941</v>
      </c>
      <c r="B119" s="405">
        <f>IF(OSI!$D$85&gt;0,Data!$B$30*Data!$D$30*$P$127,0)</f>
        <v>0</v>
      </c>
      <c r="C119" s="410">
        <f>IF(oats&gt;0,($R$117*(Ob!$B$19/Ov!$T$116))/oats,0)</f>
        <v>0</v>
      </c>
      <c r="D119" s="34" t="s">
        <v>117</v>
      </c>
      <c r="E119" s="46">
        <f t="shared" si="29"/>
        <v>0</v>
      </c>
      <c r="F119" s="167">
        <f t="shared" si="30"/>
        <v>2.56</v>
      </c>
      <c r="G119" s="114">
        <f t="shared" si="31"/>
        <v>0</v>
      </c>
      <c r="H119" s="110">
        <f t="shared" si="32"/>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IF(Data!$F$190=0,0,1*$P$127)</f>
        <v>0</v>
      </c>
      <c r="C120" s="593">
        <f>C119*Data!$F$190</f>
        <v>0</v>
      </c>
      <c r="D120" s="48" t="s">
        <v>117</v>
      </c>
      <c r="E120" s="47">
        <f t="shared" si="29"/>
        <v>0</v>
      </c>
      <c r="F120" s="118">
        <f>diesel_fuel</f>
        <v>2.56</v>
      </c>
      <c r="G120" s="465">
        <f t="shared" si="31"/>
        <v>0</v>
      </c>
      <c r="H120" s="123">
        <f t="shared" si="32"/>
        <v>0</v>
      </c>
      <c r="J120" s="55" t="s">
        <v>762</v>
      </c>
      <c r="K120" s="369">
        <f>B122</f>
        <v>0</v>
      </c>
      <c r="L120" s="168">
        <f>IF(oats&gt;0,(K120*(R120*diesel_fuel)*((Data!$B$188*oats)/$N$111))/oats,0)</f>
        <v>0</v>
      </c>
      <c r="M120" s="22" t="s">
        <v>254</v>
      </c>
      <c r="N120" s="168">
        <f>(R120*diesel_fuel)</f>
        <v>3.9009523809523809</v>
      </c>
      <c r="O120" s="22" t="s">
        <v>935</v>
      </c>
      <c r="P120" s="816">
        <f>OSI!$I$69</f>
        <v>20</v>
      </c>
      <c r="Q120" s="816">
        <f>OSI!$I$70</f>
        <v>7</v>
      </c>
      <c r="R120" s="46">
        <f>(P120/Q120)*$U$111</f>
        <v>1.5238095238095237</v>
      </c>
      <c r="S120" s="216" t="s">
        <v>936</v>
      </c>
      <c r="T120" s="216" t="s">
        <v>937</v>
      </c>
    </row>
    <row r="121" spans="1:21" x14ac:dyDescent="0.3">
      <c r="A121" s="638" t="s">
        <v>942</v>
      </c>
      <c r="B121" s="34"/>
      <c r="C121" s="34"/>
      <c r="D121" s="34"/>
      <c r="E121" s="46"/>
      <c r="F121" s="68"/>
      <c r="G121" s="114"/>
      <c r="H121" s="110"/>
      <c r="J121" s="55" t="s">
        <v>943</v>
      </c>
      <c r="K121" s="369">
        <f>B124</f>
        <v>0</v>
      </c>
      <c r="L121" s="114">
        <f>IF(oats&gt;0,(K121*(R121*diesel_fuel)*((Data!$E$188*oats)/$S$121))/oats,0)</f>
        <v>0</v>
      </c>
      <c r="M121" s="22" t="s">
        <v>254</v>
      </c>
      <c r="N121" s="114">
        <f>R121*diesel_fuel</f>
        <v>3.9009523809523809</v>
      </c>
      <c r="O121" s="22" t="s">
        <v>935</v>
      </c>
      <c r="P121" s="816">
        <f>OSI!$I$69</f>
        <v>20</v>
      </c>
      <c r="Q121" s="816">
        <f>OSI!$I$70</f>
        <v>7</v>
      </c>
      <c r="R121" s="46">
        <f>(P121/Q121)*$U$111</f>
        <v>1.5238095238095237</v>
      </c>
      <c r="S121" s="816">
        <f>OSI!$I$71</f>
        <v>16</v>
      </c>
      <c r="T121" s="90">
        <f>(S121*Data!$E$186)/Data!$H$186</f>
        <v>400</v>
      </c>
    </row>
    <row r="122" spans="1:21" x14ac:dyDescent="0.3">
      <c r="A122" s="638" t="s">
        <v>939</v>
      </c>
      <c r="B122" s="405">
        <f>IF(OSI!$D$78&gt;0,1*$Q$125,0)</f>
        <v>0</v>
      </c>
      <c r="C122" s="410">
        <f>IF(oats&gt;0,($R$120*((Data!$B$188*oats)/$N$111))/oats,0)</f>
        <v>0</v>
      </c>
      <c r="D122" s="34" t="s">
        <v>117</v>
      </c>
      <c r="E122" s="46">
        <f t="shared" ref="E122:E127" si="33">C122*oats</f>
        <v>0</v>
      </c>
      <c r="F122" s="167">
        <f t="shared" ref="F122:F126" si="34">diesel_fuel</f>
        <v>2.56</v>
      </c>
      <c r="G122" s="114">
        <f t="shared" ref="G122:G127" si="35">C122*F122</f>
        <v>0</v>
      </c>
      <c r="H122" s="110">
        <f t="shared" ref="H122:H127" si="36">B122*G122*oats</f>
        <v>0</v>
      </c>
      <c r="J122" s="55" t="s">
        <v>948</v>
      </c>
      <c r="K122" s="369">
        <f>B126</f>
        <v>0</v>
      </c>
      <c r="L122" s="114">
        <f>IF(oats&gt;0,(K122*(R122*diesel_fuel)*((Data!$H$188*oats)/$T$121))/oats,0)</f>
        <v>0</v>
      </c>
      <c r="M122" s="22" t="s">
        <v>254</v>
      </c>
      <c r="N122" s="114">
        <f>R122*diesel_fuel</f>
        <v>3.9009523809523809</v>
      </c>
      <c r="O122" s="22" t="s">
        <v>935</v>
      </c>
      <c r="P122" s="816">
        <f>OSI!$I$69</f>
        <v>20</v>
      </c>
      <c r="Q122" s="816">
        <f>OSI!$I$70</f>
        <v>7</v>
      </c>
      <c r="R122" s="46">
        <f>(P122/Q122)*$U$111</f>
        <v>1.5238095238095237</v>
      </c>
    </row>
    <row r="123" spans="1:21" x14ac:dyDescent="0.3">
      <c r="A123" s="666" t="s">
        <v>2025</v>
      </c>
      <c r="B123" s="405">
        <f>IF(Data!$F$189=0,0,1*$Q$125)</f>
        <v>0</v>
      </c>
      <c r="C123" s="593">
        <f>C122*Data!$F$189</f>
        <v>0</v>
      </c>
      <c r="D123" s="48" t="s">
        <v>117</v>
      </c>
      <c r="E123" s="47">
        <f t="shared" si="33"/>
        <v>0</v>
      </c>
      <c r="F123" s="118">
        <f>diesel_fuel</f>
        <v>2.56</v>
      </c>
      <c r="G123" s="465">
        <f t="shared" si="35"/>
        <v>0</v>
      </c>
      <c r="H123" s="123">
        <f t="shared" si="36"/>
        <v>0</v>
      </c>
      <c r="J123" s="55"/>
      <c r="K123" s="114"/>
      <c r="L123" s="114"/>
      <c r="M123" s="22"/>
      <c r="N123" s="114"/>
      <c r="O123" s="22"/>
      <c r="P123" s="22"/>
      <c r="Q123" s="22"/>
      <c r="R123" s="22"/>
      <c r="S123" s="22"/>
      <c r="T123" s="22"/>
      <c r="U123" s="22"/>
    </row>
    <row r="124" spans="1:21" x14ac:dyDescent="0.3">
      <c r="A124" s="638" t="s">
        <v>940</v>
      </c>
      <c r="B124" s="405">
        <f>IF(OSI!$D$82&gt;0,Data!$B$30*Data!$C$30*$Q$126,0)</f>
        <v>0</v>
      </c>
      <c r="C124" s="410">
        <f>IF(oats&gt;0,($R$121*(Ob!$B$17/Ov!$S$121))/oats,0)</f>
        <v>0</v>
      </c>
      <c r="D124" s="34" t="s">
        <v>117</v>
      </c>
      <c r="E124" s="46">
        <f t="shared" si="33"/>
        <v>0</v>
      </c>
      <c r="F124" s="167">
        <f t="shared" si="34"/>
        <v>2.56</v>
      </c>
      <c r="G124" s="114">
        <f t="shared" si="35"/>
        <v>0</v>
      </c>
      <c r="H124" s="110">
        <f t="shared" si="36"/>
        <v>0</v>
      </c>
      <c r="M124" s="22"/>
      <c r="N124" s="114"/>
      <c r="O124" s="67" t="s">
        <v>2045</v>
      </c>
      <c r="P124" s="216" t="s">
        <v>932</v>
      </c>
      <c r="Q124" s="216" t="s">
        <v>934</v>
      </c>
      <c r="R124" s="216" t="s">
        <v>76</v>
      </c>
      <c r="S124" s="22"/>
      <c r="T124" s="22"/>
      <c r="U124" s="22"/>
    </row>
    <row r="125" spans="1:21" x14ac:dyDescent="0.3">
      <c r="A125" s="666" t="s">
        <v>2025</v>
      </c>
      <c r="B125" s="405">
        <f>IF(Data!$F$190=0,0,1*$Q$126)</f>
        <v>0</v>
      </c>
      <c r="C125" s="593">
        <f>C124*Data!$F$190</f>
        <v>0</v>
      </c>
      <c r="D125" s="48" t="s">
        <v>117</v>
      </c>
      <c r="E125" s="47">
        <f t="shared" si="33"/>
        <v>0</v>
      </c>
      <c r="F125" s="118">
        <f>diesel_fuel</f>
        <v>2.56</v>
      </c>
      <c r="G125" s="465">
        <f t="shared" si="35"/>
        <v>0</v>
      </c>
      <c r="H125" s="123">
        <f t="shared" si="36"/>
        <v>0</v>
      </c>
      <c r="M125" s="22"/>
      <c r="N125" s="114"/>
      <c r="O125" s="34" t="s">
        <v>762</v>
      </c>
      <c r="P125" s="922">
        <f>OSI!$C$77</f>
        <v>1</v>
      </c>
      <c r="Q125" s="922">
        <f>OSI!$C$78</f>
        <v>0</v>
      </c>
      <c r="R125" s="412">
        <f>SUM(P125:Q125)</f>
        <v>1</v>
      </c>
      <c r="S125" s="22"/>
      <c r="T125" s="22"/>
      <c r="U125" s="22"/>
    </row>
    <row r="126" spans="1:21" x14ac:dyDescent="0.3">
      <c r="A126" s="638" t="s">
        <v>941</v>
      </c>
      <c r="B126" s="405">
        <f>IF(OSI!$D$86&gt;0,Data!$B$30*Data!$D$30*$Q$127,0)</f>
        <v>0</v>
      </c>
      <c r="C126" s="410">
        <f>IF(oats&gt;0,($R$122*(Ob!$B$19/Ov!$T$121))/oats,0)</f>
        <v>0</v>
      </c>
      <c r="D126" s="34" t="s">
        <v>117</v>
      </c>
      <c r="E126" s="46">
        <f t="shared" si="33"/>
        <v>0</v>
      </c>
      <c r="F126" s="167">
        <f t="shared" si="34"/>
        <v>2.56</v>
      </c>
      <c r="G126" s="114">
        <f t="shared" si="35"/>
        <v>0</v>
      </c>
      <c r="H126" s="110">
        <f t="shared" si="36"/>
        <v>0</v>
      </c>
      <c r="I126" s="50"/>
      <c r="M126" s="22"/>
      <c r="N126" s="114"/>
      <c r="O126" s="55" t="s">
        <v>943</v>
      </c>
      <c r="P126" s="922">
        <f>OSI!$C$81</f>
        <v>1</v>
      </c>
      <c r="Q126" s="922">
        <f>OSI!$C$82</f>
        <v>0</v>
      </c>
      <c r="R126" s="412">
        <f>SUM(P126:Q126)</f>
        <v>1</v>
      </c>
      <c r="S126" s="22"/>
      <c r="T126" s="22"/>
      <c r="U126" s="22"/>
    </row>
    <row r="127" spans="1:21" x14ac:dyDescent="0.3">
      <c r="A127" s="666" t="s">
        <v>2025</v>
      </c>
      <c r="B127" s="405">
        <f>IF(Data!$F$190=0,0,1*$Q$127)</f>
        <v>0</v>
      </c>
      <c r="C127" s="593">
        <f>C126*Data!$F$190</f>
        <v>0</v>
      </c>
      <c r="D127" s="48" t="s">
        <v>117</v>
      </c>
      <c r="E127" s="47">
        <f t="shared" si="33"/>
        <v>0</v>
      </c>
      <c r="F127" s="118">
        <f>diesel_fuel</f>
        <v>2.56</v>
      </c>
      <c r="G127" s="465">
        <f t="shared" si="35"/>
        <v>0</v>
      </c>
      <c r="H127" s="123">
        <f t="shared" si="36"/>
        <v>0</v>
      </c>
      <c r="I127" s="108">
        <f>SUM(H114:H127)</f>
        <v>0</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34" t="s">
        <v>45</v>
      </c>
      <c r="E128" s="226" t="s">
        <v>45</v>
      </c>
      <c r="F128" s="55" t="s">
        <v>45</v>
      </c>
      <c r="G128" s="114">
        <f>IF(FARM!$C$16=0,0,H128/oats)</f>
        <v>0</v>
      </c>
      <c r="H128" s="104">
        <f>B128*lube*SUM(H77:H127)</f>
        <v>0</v>
      </c>
      <c r="I128" s="108">
        <f>SUM(H128:H128)</f>
        <v>0</v>
      </c>
      <c r="K128" s="55"/>
      <c r="L128" s="24"/>
      <c r="M128" s="82"/>
    </row>
    <row r="129" spans="1:13" x14ac:dyDescent="0.3">
      <c r="A129" s="3" t="s">
        <v>67</v>
      </c>
      <c r="B129" s="644">
        <v>1</v>
      </c>
      <c r="C129" s="46" t="s">
        <v>45</v>
      </c>
      <c r="D129" s="34" t="s">
        <v>45</v>
      </c>
      <c r="E129" s="226" t="s">
        <v>45</v>
      </c>
      <c r="F129" s="55" t="s">
        <v>45</v>
      </c>
      <c r="G129" s="114">
        <f>IF(FARM!$C$16=0,0,H129/oats)</f>
        <v>0</v>
      </c>
      <c r="H129" s="109">
        <f>B129*Of!J121*Data!D13</f>
        <v>0</v>
      </c>
      <c r="K129" s="55"/>
      <c r="L129" s="81"/>
      <c r="M129" s="81"/>
    </row>
    <row r="130" spans="1:13" x14ac:dyDescent="0.3">
      <c r="A130" s="3"/>
      <c r="B130" s="397">
        <v>0</v>
      </c>
      <c r="C130" s="46" t="s">
        <v>45</v>
      </c>
      <c r="D130" s="34" t="s">
        <v>45</v>
      </c>
      <c r="E130" s="226" t="s">
        <v>45</v>
      </c>
      <c r="F130" s="55" t="s">
        <v>45</v>
      </c>
      <c r="G130" s="272">
        <f>0</f>
        <v>0</v>
      </c>
      <c r="H130" s="109">
        <f>B130*G130*oats</f>
        <v>0</v>
      </c>
      <c r="I130" s="108">
        <f>SUM(H129:H130)</f>
        <v>0</v>
      </c>
      <c r="L130" s="27"/>
      <c r="M130" s="27"/>
    </row>
    <row r="131" spans="1:13" x14ac:dyDescent="0.3">
      <c r="A131" s="3" t="s">
        <v>170</v>
      </c>
      <c r="B131" s="405">
        <f>IF(OSI!$D$52=0,0,1)</f>
        <v>0</v>
      </c>
      <c r="C131" s="46" t="s">
        <v>45</v>
      </c>
      <c r="D131" s="34" t="s">
        <v>45</v>
      </c>
      <c r="E131" s="226" t="s">
        <v>45</v>
      </c>
      <c r="F131" s="55" t="s">
        <v>45</v>
      </c>
      <c r="G131" s="114">
        <f>IF(FARM!$C$16=0,0,OSI!$D$52/oats)</f>
        <v>0</v>
      </c>
      <c r="H131" s="109">
        <f>B131*G131*oats</f>
        <v>0</v>
      </c>
      <c r="I131" s="108">
        <f>SUM(H131:H131)</f>
        <v>0</v>
      </c>
      <c r="L131" s="81"/>
      <c r="M131" s="81"/>
    </row>
    <row r="132" spans="1:13" x14ac:dyDescent="0.3">
      <c r="A132" s="3" t="s">
        <v>75</v>
      </c>
      <c r="B132" s="405">
        <f>IF(OSI!$D$53=0,0,1)</f>
        <v>1</v>
      </c>
      <c r="C132" s="46" t="s">
        <v>45</v>
      </c>
      <c r="D132" s="34" t="s">
        <v>45</v>
      </c>
      <c r="E132" s="226" t="s">
        <v>45</v>
      </c>
      <c r="F132" s="114">
        <f>G132</f>
        <v>0</v>
      </c>
      <c r="G132" s="114">
        <f>IF(FARM!$C$16=0,0,OSI!$D$53/oats)</f>
        <v>0</v>
      </c>
      <c r="H132" s="109">
        <f>B132*G132*oats</f>
        <v>0</v>
      </c>
      <c r="K132" s="55"/>
      <c r="L132" s="81"/>
      <c r="M132" s="81"/>
    </row>
    <row r="133" spans="1:13" x14ac:dyDescent="0.3">
      <c r="A133" s="3"/>
      <c r="B133" s="397">
        <v>0</v>
      </c>
      <c r="C133" s="46" t="s">
        <v>45</v>
      </c>
      <c r="D133" s="34" t="s">
        <v>45</v>
      </c>
      <c r="E133" s="34" t="s">
        <v>45</v>
      </c>
      <c r="F133" s="55" t="s">
        <v>45</v>
      </c>
      <c r="G133" s="272">
        <f>0</f>
        <v>0</v>
      </c>
      <c r="H133" s="109">
        <f>B133*G133*oats</f>
        <v>0</v>
      </c>
      <c r="I133" s="108">
        <f>SUM(H132:H133)</f>
        <v>0</v>
      </c>
      <c r="K133" s="55"/>
    </row>
    <row r="134" spans="1:13" x14ac:dyDescent="0.3">
      <c r="A134" s="69" t="s">
        <v>173</v>
      </c>
      <c r="B134" s="69"/>
      <c r="C134" s="46"/>
      <c r="D134" s="34"/>
      <c r="E134" s="226"/>
      <c r="F134" s="114"/>
      <c r="G134" s="114"/>
      <c r="H134" s="109"/>
      <c r="L134" s="24"/>
      <c r="M134" s="24"/>
    </row>
    <row r="135" spans="1:13" x14ac:dyDescent="0.3">
      <c r="A135" s="856" t="s">
        <v>1504</v>
      </c>
      <c r="B135" s="405">
        <f>IF(Data!$F$75=0,0,1)</f>
        <v>1</v>
      </c>
      <c r="C135" s="46" t="s">
        <v>45</v>
      </c>
      <c r="D135" s="34" t="s">
        <v>45</v>
      </c>
      <c r="E135" s="226" t="s">
        <v>45</v>
      </c>
      <c r="F135" s="55" t="s">
        <v>45</v>
      </c>
      <c r="G135" s="676">
        <f>Data!$F$75</f>
        <v>1.5</v>
      </c>
      <c r="H135" s="109">
        <f>B135*G135*oats</f>
        <v>0</v>
      </c>
      <c r="I135" s="108">
        <f>SUM(H135:H135)</f>
        <v>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09">
        <f>B137*G137*oats</f>
        <v>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09">
        <f>B138*G138*oats</f>
        <v>0</v>
      </c>
      <c r="I138" s="108">
        <f>SUM(H136:H138)</f>
        <v>0</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09">
        <f>B140*G140*oats</f>
        <v>0</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09">
        <f>B141*G141*oats</f>
        <v>0</v>
      </c>
      <c r="I141" s="108">
        <f>SUM(H139:H141)</f>
        <v>0</v>
      </c>
    </row>
    <row r="142" spans="1:13" x14ac:dyDescent="0.3">
      <c r="A142" s="856" t="s">
        <v>1503</v>
      </c>
      <c r="B142" s="677">
        <f>limeapp</f>
        <v>0.2</v>
      </c>
      <c r="C142" s="46" t="s">
        <v>45</v>
      </c>
      <c r="D142" s="46" t="s">
        <v>45</v>
      </c>
      <c r="E142" s="226" t="s">
        <v>45</v>
      </c>
      <c r="F142" s="110">
        <f>Data!$E$97</f>
        <v>75</v>
      </c>
      <c r="G142" s="114">
        <f>B142*F142</f>
        <v>15</v>
      </c>
      <c r="H142" s="109">
        <f>G142*oats</f>
        <v>0</v>
      </c>
      <c r="I142" s="108">
        <f>SUM(H142:H142)</f>
        <v>0</v>
      </c>
    </row>
    <row r="143" spans="1:13" x14ac:dyDescent="0.3">
      <c r="A143" s="70" t="s">
        <v>177</v>
      </c>
      <c r="B143" s="70"/>
      <c r="C143" s="46"/>
      <c r="D143" s="34"/>
      <c r="E143" s="226"/>
      <c r="F143" s="55"/>
      <c r="G143" s="114"/>
      <c r="H143" s="110"/>
    </row>
    <row r="144" spans="1:13" x14ac:dyDescent="0.3">
      <c r="A144" s="22" t="s">
        <v>174</v>
      </c>
      <c r="B144" s="816">
        <f>IF(Data!$E$57&gt;0,1,0)</f>
        <v>1</v>
      </c>
      <c r="C144" s="34" t="s">
        <v>45</v>
      </c>
      <c r="D144" s="34" t="s">
        <v>81</v>
      </c>
      <c r="E144" s="226" t="s">
        <v>45</v>
      </c>
      <c r="F144" s="110">
        <f>Data!D61</f>
        <v>50</v>
      </c>
      <c r="G144" s="110">
        <f>IF(oats&gt;0,H144/oats,0)</f>
        <v>0</v>
      </c>
      <c r="H144" s="110">
        <f>B144*F144*oats*Data!E57*Data!D13</f>
        <v>0</v>
      </c>
    </row>
    <row r="145" spans="1:15" x14ac:dyDescent="0.3">
      <c r="A145" s="22" t="s">
        <v>224</v>
      </c>
      <c r="B145" s="1305">
        <f>IF(Data!$F$65&gt;0,1,0)</f>
        <v>0</v>
      </c>
      <c r="C145" s="34" t="s">
        <v>45</v>
      </c>
      <c r="D145" s="34" t="s">
        <v>225</v>
      </c>
      <c r="E145" s="226" t="s">
        <v>45</v>
      </c>
      <c r="F145" s="55" t="s">
        <v>45</v>
      </c>
      <c r="G145" s="1306">
        <f>Data!$F$65</f>
        <v>0</v>
      </c>
      <c r="H145" s="110">
        <f>B145*G145*oats</f>
        <v>0</v>
      </c>
      <c r="I145" s="108">
        <f>SUM(H143:H145)</f>
        <v>0</v>
      </c>
    </row>
    <row r="146" spans="1:15" x14ac:dyDescent="0.3">
      <c r="A146" s="70" t="s">
        <v>179</v>
      </c>
      <c r="I146" s="50"/>
      <c r="J146" s="27"/>
      <c r="K146" s="1293" t="s">
        <v>2104</v>
      </c>
      <c r="L146" s="1293" t="s">
        <v>236</v>
      </c>
      <c r="M146" s="1293" t="s">
        <v>393</v>
      </c>
      <c r="N146" s="216"/>
      <c r="O146" s="216"/>
    </row>
    <row r="147" spans="1:15" x14ac:dyDescent="0.3">
      <c r="A147" s="22" t="s">
        <v>957</v>
      </c>
      <c r="B147" s="405">
        <f>IF(OS!$F$21="Dry",1,0)</f>
        <v>1</v>
      </c>
      <c r="C147" s="34" t="s">
        <v>45</v>
      </c>
      <c r="D147" s="75" t="s">
        <v>45</v>
      </c>
      <c r="E147" s="226" t="s">
        <v>45</v>
      </c>
      <c r="F147" s="55" t="s">
        <v>45</v>
      </c>
      <c r="G147" s="367">
        <f>Data!$I$72*Data!B189</f>
        <v>33.183352312167727</v>
      </c>
      <c r="H147" s="110">
        <f>B147*G147*oats</f>
        <v>0</v>
      </c>
      <c r="I147" s="50"/>
      <c r="K147" s="114">
        <f>Data!$I$72</f>
        <v>0.53521535987367308</v>
      </c>
      <c r="L147" s="17">
        <f>Data!B189</f>
        <v>62</v>
      </c>
      <c r="M147" s="98">
        <f>K147*L147</f>
        <v>33.183352312167727</v>
      </c>
    </row>
    <row r="148" spans="1:15" x14ac:dyDescent="0.3">
      <c r="A148" s="9" t="s">
        <v>1022</v>
      </c>
      <c r="B148" s="405">
        <f>B147</f>
        <v>1</v>
      </c>
      <c r="C148" s="47" t="s">
        <v>45</v>
      </c>
      <c r="D148" s="47" t="s">
        <v>45</v>
      </c>
      <c r="E148" s="647" t="s">
        <v>45</v>
      </c>
      <c r="F148" s="590" t="s">
        <v>45</v>
      </c>
      <c r="G148" s="465">
        <f>Data!$I$72*(Data!B188-Data!B189)</f>
        <v>-33.183352312167727</v>
      </c>
      <c r="H148" s="123">
        <f>B148*G148*oats</f>
        <v>0</v>
      </c>
      <c r="I148" s="108">
        <f>SUM(H146:H148)</f>
        <v>0</v>
      </c>
    </row>
    <row r="149" spans="1:15" x14ac:dyDescent="0.3">
      <c r="A149" s="22" t="s">
        <v>952</v>
      </c>
      <c r="B149" s="110"/>
      <c r="C149" s="110"/>
      <c r="D149" s="110"/>
      <c r="E149" s="598"/>
      <c r="F149" s="110"/>
      <c r="G149" s="110"/>
      <c r="H149" s="110"/>
      <c r="K149" s="415" t="s">
        <v>1075</v>
      </c>
      <c r="L149" s="114"/>
    </row>
    <row r="150" spans="1:15" x14ac:dyDescent="0.3">
      <c r="A150" s="411" t="s">
        <v>953</v>
      </c>
      <c r="B150" s="405">
        <f>IF(Of!$B$76=1,1,0)</f>
        <v>0</v>
      </c>
      <c r="C150" s="46" t="s">
        <v>45</v>
      </c>
      <c r="D150" s="34" t="s">
        <v>956</v>
      </c>
      <c r="E150" s="226" t="s">
        <v>45</v>
      </c>
      <c r="F150" s="1290">
        <f>Straw!$E$33</f>
        <v>5.42372881355932</v>
      </c>
      <c r="G150" s="414">
        <f>B150*F150*Data!$E$188</f>
        <v>0</v>
      </c>
      <c r="H150" s="110">
        <f>B150*G150*oats*Data!$C$30*K150*Data!B30</f>
        <v>0</v>
      </c>
      <c r="J150" s="55" t="s">
        <v>1076</v>
      </c>
      <c r="K150" s="1291">
        <f>Straw!$E$31</f>
        <v>0</v>
      </c>
      <c r="L150" s="114"/>
    </row>
    <row r="151" spans="1:15" x14ac:dyDescent="0.3">
      <c r="A151" s="9" t="s">
        <v>1022</v>
      </c>
      <c r="B151" s="405">
        <f>B150</f>
        <v>0</v>
      </c>
      <c r="C151" s="47" t="s">
        <v>45</v>
      </c>
      <c r="D151" s="47" t="s">
        <v>45</v>
      </c>
      <c r="E151" s="647" t="s">
        <v>45</v>
      </c>
      <c r="F151" s="465">
        <f>F150</f>
        <v>5.42372881355932</v>
      </c>
      <c r="G151" s="465">
        <f>B151*F151*Data!$E$188*Data!$F$189</f>
        <v>0</v>
      </c>
      <c r="H151" s="123">
        <f>B151*G151*oats*Data!$C$30*$K$150*Data!B30</f>
        <v>0</v>
      </c>
      <c r="J151" s="55" t="s">
        <v>1040</v>
      </c>
      <c r="K151" s="1292">
        <f>Straw!$E$32</f>
        <v>1</v>
      </c>
      <c r="L151" s="114"/>
    </row>
    <row r="152" spans="1:15" x14ac:dyDescent="0.3">
      <c r="A152" s="411" t="s">
        <v>954</v>
      </c>
      <c r="B152" s="405">
        <f>IF(Of!$B$76=1,1,0)</f>
        <v>0</v>
      </c>
      <c r="C152" s="46" t="s">
        <v>45</v>
      </c>
      <c r="D152" s="34" t="s">
        <v>956</v>
      </c>
      <c r="E152" s="226" t="s">
        <v>45</v>
      </c>
      <c r="F152" s="1290">
        <f>Straw!$E$34</f>
        <v>0.86</v>
      </c>
      <c r="G152" s="414">
        <f>B152*F152*Data!$E$188</f>
        <v>0</v>
      </c>
      <c r="H152" s="110">
        <f>B152*G152*oats*Data!$C$30*K151*Data!B30</f>
        <v>0</v>
      </c>
      <c r="K152" s="587">
        <f>SUM(K150:K151)</f>
        <v>1</v>
      </c>
      <c r="L152" s="114"/>
    </row>
    <row r="153" spans="1:15" x14ac:dyDescent="0.3">
      <c r="A153" s="9" t="s">
        <v>1022</v>
      </c>
      <c r="B153" s="405">
        <f>B152</f>
        <v>0</v>
      </c>
      <c r="C153" s="47" t="s">
        <v>45</v>
      </c>
      <c r="D153" s="47" t="s">
        <v>45</v>
      </c>
      <c r="E153" s="647" t="s">
        <v>45</v>
      </c>
      <c r="F153" s="465">
        <f>F152</f>
        <v>0.86</v>
      </c>
      <c r="G153" s="465">
        <f>B153*F153*Data!$E$188*Data!$F$189</f>
        <v>0</v>
      </c>
      <c r="H153" s="123">
        <f>B153*G153*oats*Data!$C$30*$K$151*Data!B30</f>
        <v>0</v>
      </c>
    </row>
    <row r="154" spans="1:15" x14ac:dyDescent="0.3">
      <c r="A154" s="411" t="s">
        <v>955</v>
      </c>
      <c r="B154" s="405">
        <f>IF(Of!$B$77=1,1,0)</f>
        <v>0</v>
      </c>
      <c r="C154" s="46" t="s">
        <v>45</v>
      </c>
      <c r="D154" s="34" t="s">
        <v>956</v>
      </c>
      <c r="E154" s="226" t="s">
        <v>45</v>
      </c>
      <c r="F154" s="1290">
        <f>Straw!$E$35</f>
        <v>7.0000000000000007E-2</v>
      </c>
      <c r="G154" s="414">
        <f>B154*F154*Data!$H$188</f>
        <v>0</v>
      </c>
      <c r="H154" s="110">
        <f>B154*G154*oats*Data!$D$30*Data!B30</f>
        <v>0</v>
      </c>
    </row>
    <row r="155" spans="1:15" x14ac:dyDescent="0.3">
      <c r="A155" s="9" t="s">
        <v>1022</v>
      </c>
      <c r="B155" s="405">
        <f>B154</f>
        <v>0</v>
      </c>
      <c r="C155" s="47" t="s">
        <v>45</v>
      </c>
      <c r="D155" s="47" t="s">
        <v>45</v>
      </c>
      <c r="E155" s="647" t="s">
        <v>45</v>
      </c>
      <c r="F155" s="465">
        <f>F154</f>
        <v>7.0000000000000007E-2</v>
      </c>
      <c r="G155" s="465">
        <f>B155*F155*Data!$H$188*Data!$F$189</f>
        <v>0</v>
      </c>
      <c r="H155" s="123">
        <f>B155*G155*oats*Data!$D$30*Data!B30</f>
        <v>0</v>
      </c>
      <c r="I155" s="108">
        <f>SUM(H147:H155)</f>
        <v>0</v>
      </c>
    </row>
    <row r="156" spans="1:15" x14ac:dyDescent="0.3">
      <c r="A156" s="665" t="s">
        <v>2075</v>
      </c>
      <c r="E156" s="17"/>
    </row>
    <row r="157" spans="1:15" x14ac:dyDescent="0.3">
      <c r="A157" s="639" t="s">
        <v>2026</v>
      </c>
      <c r="B157" s="405">
        <f>IF(OSI!$D$92&gt;0,OSI!$D$92,0)</f>
        <v>0</v>
      </c>
      <c r="C157" s="643">
        <v>1</v>
      </c>
      <c r="D157" s="34" t="s">
        <v>1517</v>
      </c>
      <c r="E157" s="34">
        <f>B157*C157</f>
        <v>0</v>
      </c>
      <c r="F157" s="676">
        <f>OSI!$D$92</f>
        <v>0</v>
      </c>
      <c r="G157" s="114">
        <f>(C157*F157)/crops</f>
        <v>0</v>
      </c>
      <c r="H157" s="110">
        <f>B157*G157*oats</f>
        <v>0</v>
      </c>
    </row>
    <row r="158" spans="1:15" x14ac:dyDescent="0.3">
      <c r="A158" s="639" t="s">
        <v>2027</v>
      </c>
      <c r="B158" s="405">
        <f>IF(OSI!$D$94&gt;0,OSI!$D$94,0)</f>
        <v>0</v>
      </c>
      <c r="C158" s="405">
        <f>OSI!$D$94</f>
        <v>0</v>
      </c>
      <c r="D158" s="34" t="s">
        <v>2028</v>
      </c>
      <c r="E158" s="34">
        <f>B158*C158</f>
        <v>0</v>
      </c>
      <c r="F158" s="367">
        <f>OSI!$D$95</f>
        <v>0</v>
      </c>
      <c r="G158" s="114">
        <f>(C158*F158)/crops</f>
        <v>0</v>
      </c>
      <c r="H158" s="110">
        <f>B158*G158*oats</f>
        <v>0</v>
      </c>
      <c r="I158" s="108">
        <f>SUM(H156:H158)</f>
        <v>0</v>
      </c>
    </row>
    <row r="159" spans="1:15" x14ac:dyDescent="0.3">
      <c r="A159" s="856" t="s">
        <v>1518</v>
      </c>
      <c r="B159" s="644"/>
      <c r="C159" s="47"/>
      <c r="D159" s="48"/>
      <c r="E159" s="48"/>
      <c r="F159" s="118"/>
      <c r="G159" s="465"/>
      <c r="H159" s="124"/>
      <c r="I159" s="110"/>
    </row>
    <row r="160" spans="1:15" x14ac:dyDescent="0.3">
      <c r="A160" s="638" t="s">
        <v>1519</v>
      </c>
      <c r="B160" s="816">
        <f>IF(Data!$P$108&gt;0,1,0)</f>
        <v>1</v>
      </c>
      <c r="C160" s="862">
        <f>Data!$Q$108</f>
        <v>0.1</v>
      </c>
      <c r="D160" s="34" t="s">
        <v>128</v>
      </c>
      <c r="E160" s="228">
        <f>C160*oats</f>
        <v>0</v>
      </c>
      <c r="F160" s="167">
        <f t="shared" ref="F160:F163" si="37">_wage_</f>
        <v>12.29</v>
      </c>
      <c r="G160" s="114">
        <f t="shared" ref="G160:G165" si="38">C160*F160</f>
        <v>1.2290000000000001</v>
      </c>
      <c r="H160" s="110">
        <f>B160*G160*oats</f>
        <v>0</v>
      </c>
      <c r="I160" s="110"/>
    </row>
    <row r="161" spans="1:9" x14ac:dyDescent="0.3">
      <c r="A161" s="638" t="s">
        <v>1520</v>
      </c>
      <c r="B161" s="816">
        <f>IF(Data!$P$109&gt;0,1,0)</f>
        <v>1</v>
      </c>
      <c r="C161" s="862">
        <f>Data!$Q$109</f>
        <v>0.02</v>
      </c>
      <c r="D161" s="34" t="s">
        <v>128</v>
      </c>
      <c r="E161" s="228">
        <f>C161*oats</f>
        <v>0</v>
      </c>
      <c r="F161" s="167">
        <f t="shared" si="37"/>
        <v>12.29</v>
      </c>
      <c r="G161" s="114">
        <f t="shared" si="38"/>
        <v>0.24579999999999999</v>
      </c>
      <c r="H161" s="110">
        <f>B161*G161*oats</f>
        <v>0</v>
      </c>
      <c r="I161" s="110"/>
    </row>
    <row r="162" spans="1:9" x14ac:dyDescent="0.3">
      <c r="A162" s="638" t="s">
        <v>1521</v>
      </c>
      <c r="B162" s="816">
        <f>IF(Data!$P$110&gt;0,1,0)</f>
        <v>1</v>
      </c>
      <c r="C162" s="862">
        <f>Data!$Q$110</f>
        <v>0.45500000000000002</v>
      </c>
      <c r="D162" s="34" t="s">
        <v>128</v>
      </c>
      <c r="E162" s="228">
        <f>C162*oats</f>
        <v>0</v>
      </c>
      <c r="F162" s="167">
        <f t="shared" si="37"/>
        <v>12.29</v>
      </c>
      <c r="G162" s="114">
        <f t="shared" si="38"/>
        <v>5.5919499999999998</v>
      </c>
      <c r="H162" s="110">
        <f>B162*G162*oats</f>
        <v>0</v>
      </c>
      <c r="I162" s="110"/>
    </row>
    <row r="163" spans="1:9" x14ac:dyDescent="0.3">
      <c r="A163" s="638" t="s">
        <v>1522</v>
      </c>
      <c r="B163" s="816">
        <f>IF(Data!$P$111&gt;0,1,0)</f>
        <v>1</v>
      </c>
      <c r="C163" s="862">
        <f>Data!$Q$111</f>
        <v>0.32500000000000001</v>
      </c>
      <c r="D163" s="34" t="s">
        <v>128</v>
      </c>
      <c r="E163" s="228">
        <f>C163*oats</f>
        <v>0</v>
      </c>
      <c r="F163" s="167">
        <f t="shared" si="37"/>
        <v>12.29</v>
      </c>
      <c r="G163" s="114">
        <f t="shared" si="38"/>
        <v>3.9942500000000001</v>
      </c>
      <c r="H163" s="110">
        <f>B163*G163*oats</f>
        <v>0</v>
      </c>
      <c r="I163" s="110">
        <f>SUM(H159:H163)</f>
        <v>0</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C165*oats</f>
        <v>0</v>
      </c>
      <c r="F165" s="167">
        <f>Data!$S$271</f>
        <v>45</v>
      </c>
      <c r="G165" s="110">
        <f t="shared" si="38"/>
        <v>0</v>
      </c>
      <c r="H165" s="110">
        <f t="shared" ref="H165:H171" si="39">B165*G165*oats</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39"/>
        <v>0</v>
      </c>
      <c r="I166" s="110"/>
    </row>
    <row r="167" spans="1:9" x14ac:dyDescent="0.3">
      <c r="A167" s="856" t="s">
        <v>1513</v>
      </c>
      <c r="B167" s="816">
        <f>Data!$G$114</f>
        <v>1</v>
      </c>
      <c r="C167" s="46" t="s">
        <v>45</v>
      </c>
      <c r="D167" s="46" t="s">
        <v>1517</v>
      </c>
      <c r="E167" s="46" t="s">
        <v>45</v>
      </c>
      <c r="F167" s="676">
        <f>Data!$I$114</f>
        <v>500</v>
      </c>
      <c r="G167" s="114">
        <f>F167/crops</f>
        <v>1.25</v>
      </c>
      <c r="H167" s="110">
        <f t="shared" si="39"/>
        <v>0</v>
      </c>
      <c r="I167" s="110"/>
    </row>
    <row r="168" spans="1:9" x14ac:dyDescent="0.3">
      <c r="A168" s="856" t="s">
        <v>1514</v>
      </c>
      <c r="B168" s="816">
        <f>Data!$G$115</f>
        <v>1</v>
      </c>
      <c r="C168" s="46" t="s">
        <v>45</v>
      </c>
      <c r="D168" s="46" t="s">
        <v>1517</v>
      </c>
      <c r="E168" s="46" t="s">
        <v>45</v>
      </c>
      <c r="F168" s="676">
        <f>Data!$I$115</f>
        <v>250</v>
      </c>
      <c r="G168" s="114">
        <f>F168/crops</f>
        <v>0.625</v>
      </c>
      <c r="H168" s="110">
        <f t="shared" si="39"/>
        <v>0</v>
      </c>
      <c r="I168" s="110">
        <f>SUM(H166:H168)</f>
        <v>0</v>
      </c>
    </row>
    <row r="169" spans="1:9" x14ac:dyDescent="0.3">
      <c r="A169" s="70" t="s">
        <v>180</v>
      </c>
      <c r="B169" s="405">
        <f>IF(othexp&gt;0,1,0)</f>
        <v>0</v>
      </c>
      <c r="C169" s="46" t="s">
        <v>45</v>
      </c>
      <c r="D169" s="34" t="s">
        <v>45</v>
      </c>
      <c r="E169" s="226" t="s">
        <v>45</v>
      </c>
      <c r="F169" s="55" t="s">
        <v>45</v>
      </c>
      <c r="G169" s="114">
        <f>othexp</f>
        <v>0</v>
      </c>
      <c r="H169" s="110">
        <f t="shared" si="39"/>
        <v>0</v>
      </c>
    </row>
    <row r="170" spans="1:9" x14ac:dyDescent="0.3">
      <c r="A170" s="22" t="s">
        <v>181</v>
      </c>
      <c r="B170" s="397">
        <v>0</v>
      </c>
      <c r="C170" s="46" t="s">
        <v>45</v>
      </c>
      <c r="D170" s="34" t="s">
        <v>45</v>
      </c>
      <c r="E170" s="226" t="s">
        <v>45</v>
      </c>
      <c r="F170" s="55" t="s">
        <v>45</v>
      </c>
      <c r="G170" s="272">
        <f>0</f>
        <v>0</v>
      </c>
      <c r="H170" s="110">
        <f t="shared" si="39"/>
        <v>0</v>
      </c>
      <c r="I170" s="108">
        <f>SUM(H169:H170)</f>
        <v>0</v>
      </c>
    </row>
    <row r="171" spans="1:9" x14ac:dyDescent="0.3">
      <c r="A171" s="3" t="s">
        <v>226</v>
      </c>
      <c r="B171" s="397">
        <v>0</v>
      </c>
      <c r="C171" s="46" t="s">
        <v>45</v>
      </c>
      <c r="D171" s="75" t="s">
        <v>45</v>
      </c>
      <c r="E171" s="226" t="s">
        <v>45</v>
      </c>
      <c r="F171" s="55" t="s">
        <v>45</v>
      </c>
      <c r="G171" s="272">
        <f>0</f>
        <v>0</v>
      </c>
      <c r="H171" s="110">
        <f t="shared" si="39"/>
        <v>0</v>
      </c>
    </row>
    <row r="172" spans="1:9" x14ac:dyDescent="0.3">
      <c r="A172" s="3" t="s">
        <v>73</v>
      </c>
      <c r="B172" s="3"/>
      <c r="F172" s="114"/>
      <c r="G172" s="119">
        <f>SUM(G8:G171)</f>
        <v>300.77337346197879</v>
      </c>
      <c r="H172" s="111">
        <f>SUM(H8:H171)</f>
        <v>0</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5">
        <f>_int_oper_</f>
        <v>4.7341710603787002E-2</v>
      </c>
      <c r="D175" s="34">
        <f>Data!$B$48</f>
        <v>7</v>
      </c>
      <c r="E175" s="226"/>
      <c r="F175" s="114"/>
      <c r="G175" s="104">
        <f>IF(oats&gt;0,H175/oats,0)</f>
        <v>0</v>
      </c>
      <c r="H175" s="109">
        <f>C175*(D175/12)*(H172)</f>
        <v>0</v>
      </c>
    </row>
    <row r="176" spans="1:9" x14ac:dyDescent="0.3">
      <c r="F176" s="114"/>
      <c r="G176" s="103"/>
      <c r="H176" s="127"/>
    </row>
    <row r="177" spans="1:8" ht="14" thickBot="1" x14ac:dyDescent="0.4">
      <c r="A177" s="1" t="s">
        <v>74</v>
      </c>
      <c r="B177" s="1"/>
      <c r="F177" s="114"/>
      <c r="G177" s="121">
        <f>G172+G175</f>
        <v>300.77337346197879</v>
      </c>
      <c r="H177" s="128">
        <f>H172+H175</f>
        <v>0</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34"/>
    </row>
    <row r="185" spans="1:8" x14ac:dyDescent="0.3">
      <c r="F185" s="34"/>
      <c r="G185" s="34"/>
      <c r="H185" s="34"/>
    </row>
    <row r="186" spans="1:8" x14ac:dyDescent="0.3">
      <c r="F186" s="34"/>
      <c r="G186" s="34"/>
      <c r="H186" s="34"/>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row>
    <row r="672" spans="6:8" x14ac:dyDescent="0.3">
      <c r="F672" s="34"/>
    </row>
    <row r="673" spans="6:6" x14ac:dyDescent="0.3">
      <c r="F673" s="34"/>
    </row>
    <row r="674" spans="6:6" x14ac:dyDescent="0.3">
      <c r="F674" s="34"/>
    </row>
    <row r="675" spans="6:6" x14ac:dyDescent="0.3">
      <c r="F675" s="34"/>
    </row>
    <row r="676" spans="6:6" x14ac:dyDescent="0.3">
      <c r="F676" s="34"/>
    </row>
    <row r="677" spans="6:6" x14ac:dyDescent="0.3">
      <c r="F677" s="34"/>
    </row>
    <row r="678" spans="6:6" x14ac:dyDescent="0.3">
      <c r="F678" s="34"/>
    </row>
    <row r="679" spans="6:6" x14ac:dyDescent="0.3">
      <c r="F679" s="34"/>
    </row>
    <row r="680" spans="6:6" x14ac:dyDescent="0.3">
      <c r="F680" s="34"/>
    </row>
    <row r="681" spans="6:6" x14ac:dyDescent="0.3">
      <c r="F681" s="34"/>
    </row>
    <row r="682" spans="6:6" x14ac:dyDescent="0.3">
      <c r="F682" s="34"/>
    </row>
    <row r="683" spans="6:6" x14ac:dyDescent="0.3">
      <c r="F683" s="34"/>
    </row>
    <row r="684" spans="6:6" x14ac:dyDescent="0.3">
      <c r="F684" s="34"/>
    </row>
    <row r="685" spans="6:6" x14ac:dyDescent="0.3">
      <c r="F685" s="34"/>
    </row>
    <row r="686" spans="6:6" x14ac:dyDescent="0.3">
      <c r="F686" s="34"/>
    </row>
    <row r="687" spans="6:6" x14ac:dyDescent="0.3">
      <c r="F687" s="34"/>
    </row>
    <row r="688" spans="6:6" x14ac:dyDescent="0.3">
      <c r="F688" s="34"/>
    </row>
    <row r="689" spans="6:6" x14ac:dyDescent="0.3">
      <c r="F689" s="34"/>
    </row>
    <row r="690" spans="6:6" x14ac:dyDescent="0.3">
      <c r="F690" s="34"/>
    </row>
    <row r="691" spans="6:6" x14ac:dyDescent="0.3">
      <c r="F691" s="34"/>
    </row>
    <row r="692" spans="6:6" x14ac:dyDescent="0.3">
      <c r="F692" s="34"/>
    </row>
  </sheetData>
  <phoneticPr fontId="0" type="noConversion"/>
  <pageMargins left="0.75" right="0.75" top="1" bottom="1" header="0.5" footer="0.5"/>
  <pageSetup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pane="bottomLeft" activeCell="J7" sqref="J7"/>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18" x14ac:dyDescent="0.3">
      <c r="A1" s="61" t="s">
        <v>146</v>
      </c>
      <c r="B1" s="17" t="str">
        <f>model</f>
        <v>ME Grain &amp; Pulse</v>
      </c>
    </row>
    <row r="4" spans="1:18" x14ac:dyDescent="0.3">
      <c r="A4" s="16" t="s">
        <v>427</v>
      </c>
      <c r="B4" s="8" t="s">
        <v>92</v>
      </c>
      <c r="C4" s="65">
        <f>oats</f>
        <v>0</v>
      </c>
      <c r="D4" s="4" t="s">
        <v>93</v>
      </c>
    </row>
    <row r="5" spans="1:18" x14ac:dyDescent="0.3">
      <c r="H5" s="28"/>
    </row>
    <row r="6" spans="1:18"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Data!D276*Data!$H$13*CP!$H$5</f>
        <v>0</v>
      </c>
      <c r="E9" s="109">
        <f t="shared" ref="E9:E18" si="0">D9*B9</f>
        <v>0</v>
      </c>
      <c r="F9" s="109">
        <f>IF(CP!K10=0,Data!I276*E9,CP!K10*B9)</f>
        <v>0</v>
      </c>
      <c r="G9" s="60">
        <f>IF(CP!$G$10=0,Data!$F$276,CP!$G$10)</f>
        <v>50</v>
      </c>
      <c r="H9" s="109">
        <f t="shared" ref="H9:H13" si="1">(E9*(_int_inv_*(1+_int_inv_)^G9)/((1+_int_inv_)^G9-1))-(F9*_int_inv_/((1+_int_inv_)^G9-1))</f>
        <v>0</v>
      </c>
      <c r="I9" s="36">
        <f>IF(CP!I10=0,Data!H276*Data!$J$271,CP!I10/CP!E10)</f>
        <v>1.4153846153846152E-2</v>
      </c>
      <c r="J9" s="109">
        <f t="shared" ref="J9:J18" si="2">E9*I9</f>
        <v>0</v>
      </c>
      <c r="K9" s="36">
        <f t="shared" ref="K9:K23" si="3">_tax_ins_</f>
        <v>6.7999999999999996E-3</v>
      </c>
      <c r="L9" s="109">
        <f t="shared" ref="L9:L18" si="4">E9*K9</f>
        <v>0</v>
      </c>
      <c r="M9" s="109">
        <f t="shared" ref="M9:M18" si="5">H9+J9+L9</f>
        <v>0</v>
      </c>
      <c r="N9" s="34"/>
      <c r="O9" s="34"/>
      <c r="P9" s="34"/>
      <c r="Q9" s="34"/>
      <c r="R9" s="34"/>
    </row>
    <row r="10" spans="1:18" x14ac:dyDescent="0.3">
      <c r="A10" s="664" t="str">
        <f>Data!A277</f>
        <v>Medium tractor (105 hp) - SMALL SIZE</v>
      </c>
      <c r="B10" s="33">
        <f>Data!B277</f>
        <v>0</v>
      </c>
      <c r="C10" s="34" t="str">
        <f>Data!C277</f>
        <v>tractor</v>
      </c>
      <c r="D10" s="109">
        <f>Data!D277*Data!$H$13*CP!$H$5</f>
        <v>0</v>
      </c>
      <c r="E10" s="109">
        <f t="shared" si="0"/>
        <v>0</v>
      </c>
      <c r="F10" s="109">
        <f>IF(CP!K11=0,Data!I277*E10,CP!K11*B10)</f>
        <v>0</v>
      </c>
      <c r="G10" s="60">
        <f>IF(CP!$G$11=0,Data!$F$277,CP!$G$11)</f>
        <v>40</v>
      </c>
      <c r="H10" s="109">
        <f t="shared" si="1"/>
        <v>0</v>
      </c>
      <c r="I10" s="36">
        <f>IF(CP!I11=0,Data!H277*Data!$J$271,CP!I11/CP!E11)</f>
        <v>1.35E-2</v>
      </c>
      <c r="J10" s="109">
        <f t="shared" si="2"/>
        <v>0</v>
      </c>
      <c r="K10" s="36">
        <f t="shared" si="3"/>
        <v>6.7999999999999996E-3</v>
      </c>
      <c r="L10" s="109">
        <f t="shared" si="4"/>
        <v>0</v>
      </c>
      <c r="M10" s="109">
        <f t="shared" si="5"/>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Data!D278*Data!$H$13*CP!$H$5</f>
        <v>0</v>
      </c>
      <c r="E11" s="109">
        <f t="shared" si="0"/>
        <v>0</v>
      </c>
      <c r="F11" s="109">
        <f>IF(CP!K12=0,Data!I278*E11,CP!K12*B11)</f>
        <v>0</v>
      </c>
      <c r="G11" s="60">
        <f>IF(CP!$G$12=0,Data!$F$278,CP!$G$12)</f>
        <v>50</v>
      </c>
      <c r="H11" s="109">
        <f t="shared" si="1"/>
        <v>0</v>
      </c>
      <c r="I11" s="36">
        <f>IF(CP!I12=0,Data!H278*Data!$J$271,CP!I12/CP!E12)</f>
        <v>1.3500000000000002E-2</v>
      </c>
      <c r="J11" s="109">
        <f t="shared" si="2"/>
        <v>0</v>
      </c>
      <c r="K11" s="36">
        <f t="shared" si="3"/>
        <v>6.7999999999999996E-3</v>
      </c>
      <c r="L11" s="109">
        <f t="shared" si="4"/>
        <v>0</v>
      </c>
      <c r="M11" s="109">
        <f t="shared" si="5"/>
        <v>0</v>
      </c>
      <c r="N11" s="34"/>
      <c r="O11" s="34"/>
      <c r="P11" s="34"/>
      <c r="Q11" s="34"/>
      <c r="R11" s="34"/>
    </row>
    <row r="12" spans="1:18" x14ac:dyDescent="0.3">
      <c r="A12" s="664" t="str">
        <f>Data!A279</f>
        <v>Large tractor (160 hp) - SMALL SIZE</v>
      </c>
      <c r="B12" s="33">
        <f>Data!B279</f>
        <v>0</v>
      </c>
      <c r="C12" s="34" t="str">
        <f>Data!C279</f>
        <v>tractor</v>
      </c>
      <c r="D12" s="109">
        <f>Data!D279*Data!$H$13*CP!$H$5</f>
        <v>0</v>
      </c>
      <c r="E12" s="109">
        <f t="shared" si="0"/>
        <v>0</v>
      </c>
      <c r="F12" s="109">
        <f>IF(CP!K13=0,Data!I279*E12,CP!K13*B12)</f>
        <v>0</v>
      </c>
      <c r="G12" s="60">
        <f>IF(CP!$G$13=0,Data!$F$279,CP!$G$13)</f>
        <v>30</v>
      </c>
      <c r="H12" s="109">
        <f t="shared" si="1"/>
        <v>0</v>
      </c>
      <c r="I12" s="36">
        <f>IF(CP!I13=0,Data!H279*Data!$J$271,CP!I13/CP!E13)</f>
        <v>1.6666666666666666E-2</v>
      </c>
      <c r="J12" s="109">
        <f t="shared" si="2"/>
        <v>0</v>
      </c>
      <c r="K12" s="36">
        <f t="shared" si="3"/>
        <v>6.7999999999999996E-3</v>
      </c>
      <c r="L12" s="109">
        <f t="shared" si="4"/>
        <v>0</v>
      </c>
      <c r="M12" s="109">
        <f t="shared" si="5"/>
        <v>0</v>
      </c>
      <c r="N12" s="34"/>
      <c r="O12" s="34"/>
      <c r="P12" s="34"/>
      <c r="Q12" s="34"/>
      <c r="R12" s="34"/>
    </row>
    <row r="13" spans="1:18" x14ac:dyDescent="0.3">
      <c r="A13" s="664" t="str">
        <f>Data!A280</f>
        <v>Large tractor (200 hp) - SMALL SIZE</v>
      </c>
      <c r="B13" s="33">
        <f>Data!B280</f>
        <v>0</v>
      </c>
      <c r="C13" s="34" t="str">
        <f>Data!C280</f>
        <v>tractor</v>
      </c>
      <c r="D13" s="109">
        <f>Data!D280*Data!$H$13*CP!$H$5</f>
        <v>0</v>
      </c>
      <c r="E13" s="109">
        <f t="shared" si="0"/>
        <v>0</v>
      </c>
      <c r="F13" s="109">
        <f>IF(CP!K14=0,Data!I280*E13,CP!K14*B13)</f>
        <v>0</v>
      </c>
      <c r="G13" s="60">
        <f>IF(CP!$G$14=0,Data!$F$280,CP!$G$14)</f>
        <v>20</v>
      </c>
      <c r="H13" s="109">
        <f t="shared" si="1"/>
        <v>0</v>
      </c>
      <c r="I13" s="36">
        <f>IF(CP!I14=0,Data!H280*Data!$J$271,CP!I14/CP!E14)</f>
        <v>1.6659574468085105E-2</v>
      </c>
      <c r="J13" s="109">
        <f t="shared" si="2"/>
        <v>0</v>
      </c>
      <c r="K13" s="36">
        <f t="shared" si="3"/>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Data!D282*Data!$H$13</f>
        <v>0</v>
      </c>
      <c r="E14" s="109">
        <f t="shared" si="0"/>
        <v>0</v>
      </c>
      <c r="F14" s="109">
        <f>IF(CP!K10=0,Data!I282*E14,CP!K10*B14)</f>
        <v>0</v>
      </c>
      <c r="G14" s="60">
        <f>IF(CP!$G$10=0,Data!$F$282,CP!$G$10)</f>
        <v>50</v>
      </c>
      <c r="H14" s="109">
        <f>(E14*(_int_inv_m*(1+_int_inv_m)^G14)/((1+_int_inv_m)^G14-1))-(F14*_int_inv_m/((1+_int_inv_m)^G14-1))</f>
        <v>0</v>
      </c>
      <c r="I14" s="36">
        <f>IF(CP!I10=0,Data!H282*Data!$J$271,CP!I10/CP!E10)</f>
        <v>1.4153846153846152E-2</v>
      </c>
      <c r="J14" s="109">
        <f t="shared" si="2"/>
        <v>0</v>
      </c>
      <c r="K14" s="36">
        <f t="shared" si="3"/>
        <v>6.7999999999999996E-3</v>
      </c>
      <c r="L14" s="109">
        <f t="shared" si="4"/>
        <v>0</v>
      </c>
      <c r="M14" s="109">
        <f t="shared" si="5"/>
        <v>0</v>
      </c>
      <c r="N14" s="34"/>
      <c r="O14" s="34"/>
      <c r="P14" s="34"/>
      <c r="Q14" s="34"/>
      <c r="R14" s="34"/>
    </row>
    <row r="15" spans="1:18" x14ac:dyDescent="0.3">
      <c r="A15" s="664" t="str">
        <f>Data!A283</f>
        <v>Medium tractor (105 hp) - MEDIUM SIZE</v>
      </c>
      <c r="B15" s="33">
        <f>Data!B283</f>
        <v>1</v>
      </c>
      <c r="C15" s="34" t="str">
        <f>Data!C283</f>
        <v>tractor</v>
      </c>
      <c r="D15" s="109">
        <f>Data!D283*Data!$H$13</f>
        <v>0</v>
      </c>
      <c r="E15" s="109">
        <f t="shared" si="0"/>
        <v>0</v>
      </c>
      <c r="F15" s="109">
        <f>IF(CP!K11=0,Data!I283*E15,CP!K11*B15)</f>
        <v>0</v>
      </c>
      <c r="G15" s="60">
        <f>IF(CP!$G$11=0,Data!$F$283,CP!$G$11)</f>
        <v>40</v>
      </c>
      <c r="H15" s="109">
        <f>(E15*(_int_inv_m*(1+_int_inv_m)^G15)/((1+_int_inv_m)^G15-1))-(F15*_int_inv_m/((1+_int_inv_m)^G15-1))</f>
        <v>0</v>
      </c>
      <c r="I15" s="36">
        <f>IF(CP!I11=0,Data!H283*Data!$J$271,CP!I11/CP!E11)</f>
        <v>1.35E-2</v>
      </c>
      <c r="J15" s="109">
        <f t="shared" si="2"/>
        <v>0</v>
      </c>
      <c r="K15" s="36">
        <f t="shared" si="3"/>
        <v>6.7999999999999996E-3</v>
      </c>
      <c r="L15" s="109">
        <f t="shared" si="4"/>
        <v>0</v>
      </c>
      <c r="M15" s="109">
        <f t="shared" si="5"/>
        <v>0</v>
      </c>
      <c r="N15" s="34"/>
      <c r="O15" s="34"/>
      <c r="P15" s="34"/>
      <c r="Q15" s="34"/>
      <c r="R15" s="34"/>
    </row>
    <row r="16" spans="1:18" x14ac:dyDescent="0.3">
      <c r="A16" s="664" t="str">
        <f>Data!A284</f>
        <v>Medium/Large tractor (130 hp) - MEDIUM SIZE</v>
      </c>
      <c r="B16" s="33">
        <f>Data!B284</f>
        <v>0</v>
      </c>
      <c r="C16" s="34" t="str">
        <f>Data!C284</f>
        <v>tractor</v>
      </c>
      <c r="D16" s="109">
        <f>Data!D284*Data!$H$13</f>
        <v>0</v>
      </c>
      <c r="E16" s="109">
        <f t="shared" si="0"/>
        <v>0</v>
      </c>
      <c r="F16" s="109">
        <f>IF(CP!K12=0,Data!I284*E16,CP!K12*B16)</f>
        <v>0</v>
      </c>
      <c r="G16" s="60">
        <f>IF(CP!$G$12=0,Data!$F$284,CP!$G$12)</f>
        <v>50</v>
      </c>
      <c r="H16" s="109">
        <f>(E16*(_int_inv_m*(1+_int_inv_m)^G16)/((1+_int_inv_m)^G16-1))-(F16*_int_inv_m/((1+_int_inv_m)^G16-1))</f>
        <v>0</v>
      </c>
      <c r="I16" s="36">
        <f>IF(CP!I12=0,Data!H284*Data!$J$271,CP!I12/CP!E12)</f>
        <v>1.3500000000000002E-2</v>
      </c>
      <c r="J16" s="109">
        <f t="shared" si="2"/>
        <v>0</v>
      </c>
      <c r="K16" s="36">
        <f t="shared" si="3"/>
        <v>6.7999999999999996E-3</v>
      </c>
      <c r="L16" s="109">
        <f t="shared" si="4"/>
        <v>0</v>
      </c>
      <c r="M16" s="109">
        <f t="shared" si="5"/>
        <v>0</v>
      </c>
      <c r="N16" s="34"/>
      <c r="O16" s="34"/>
      <c r="P16" s="34"/>
      <c r="Q16" s="34"/>
      <c r="R16" s="34"/>
    </row>
    <row r="17" spans="1:23" x14ac:dyDescent="0.3">
      <c r="A17" s="664" t="str">
        <f>Data!A285</f>
        <v>Large tractor (160 hp) - MEDIUM SIZE</v>
      </c>
      <c r="B17" s="33">
        <f>Data!B285</f>
        <v>1</v>
      </c>
      <c r="C17" s="34" t="str">
        <f>Data!C285</f>
        <v>tractor</v>
      </c>
      <c r="D17" s="109">
        <f>Data!D285*Data!$H$13</f>
        <v>0</v>
      </c>
      <c r="E17" s="109">
        <f t="shared" si="0"/>
        <v>0</v>
      </c>
      <c r="F17" s="109">
        <f>IF(CP!K13=0,Data!I285*E17,CP!K13*B17)</f>
        <v>0</v>
      </c>
      <c r="G17" s="60">
        <f>IF(CP!$G$13=0,Data!$F$285,CP!$G$13)</f>
        <v>30</v>
      </c>
      <c r="H17" s="109">
        <f>(E17*(_int_inv_m*(1+_int_inv_m)^G17)/((1+_int_inv_m)^G17-1))-(F17*_int_inv_m/((1+_int_inv_m)^G17-1))</f>
        <v>0</v>
      </c>
      <c r="I17" s="36">
        <f>IF(CP!I13=0,Data!H285*Data!$J$271,CP!I13/CP!E13)</f>
        <v>1.6666666666666666E-2</v>
      </c>
      <c r="J17" s="109">
        <f t="shared" si="2"/>
        <v>0</v>
      </c>
      <c r="K17" s="36">
        <f t="shared" si="3"/>
        <v>6.7999999999999996E-3</v>
      </c>
      <c r="L17" s="109">
        <f t="shared" si="4"/>
        <v>0</v>
      </c>
      <c r="M17" s="109">
        <f t="shared" si="5"/>
        <v>0</v>
      </c>
      <c r="N17" s="34"/>
      <c r="O17" s="34"/>
      <c r="P17" s="34"/>
      <c r="Q17" s="34"/>
      <c r="R17" s="34"/>
    </row>
    <row r="18" spans="1:23" x14ac:dyDescent="0.3">
      <c r="A18" s="664" t="str">
        <f>Data!A286</f>
        <v>Large tractor (200 hp) - MEDIUM SIZE</v>
      </c>
      <c r="B18" s="33">
        <f>Data!B286</f>
        <v>0</v>
      </c>
      <c r="C18" s="34" t="str">
        <f>Data!C286</f>
        <v>tractor</v>
      </c>
      <c r="D18" s="109">
        <f>Data!D286*Data!$H$13</f>
        <v>0</v>
      </c>
      <c r="E18" s="109">
        <f t="shared" si="0"/>
        <v>0</v>
      </c>
      <c r="F18" s="109">
        <f>IF(CP!K14=0,Data!I286*E18,CP!K14*B18)</f>
        <v>0</v>
      </c>
      <c r="G18" s="60">
        <f>IF(CP!$G$14=0,Data!$F$286,CP!$G$14)</f>
        <v>20</v>
      </c>
      <c r="H18" s="109">
        <f>(E18*(_int_inv_m*(1+_int_inv_m)^G18)/((1+_int_inv_m)^G18-1))-(F18*_int_inv_m/((1+_int_inv_m)^G18-1))</f>
        <v>0</v>
      </c>
      <c r="I18" s="36">
        <f>IF(CP!I14=0,Data!H286*Data!$J$271,CP!I14/CP!E14)</f>
        <v>1.6659574468085105E-2</v>
      </c>
      <c r="J18" s="109">
        <f t="shared" si="2"/>
        <v>0</v>
      </c>
      <c r="K18" s="36">
        <f t="shared" si="3"/>
        <v>6.7999999999999996E-3</v>
      </c>
      <c r="L18" s="109">
        <f t="shared" si="4"/>
        <v>0</v>
      </c>
      <c r="M18" s="109">
        <f t="shared" si="5"/>
        <v>0</v>
      </c>
      <c r="N18" s="34"/>
      <c r="O18" s="34"/>
      <c r="P18" s="34"/>
      <c r="Q18" s="34"/>
      <c r="R18" s="34"/>
    </row>
    <row r="19" spans="1:23" x14ac:dyDescent="0.3">
      <c r="A19" s="664" t="str">
        <f>Data!A288</f>
        <v>Smaller tractor (75 hp) - LARGE SIZE</v>
      </c>
      <c r="B19" s="33">
        <f>Data!B288</f>
        <v>0</v>
      </c>
      <c r="C19" s="34" t="str">
        <f>Data!C288</f>
        <v>tractor</v>
      </c>
      <c r="D19" s="109">
        <f>Data!D288*Data!$H$13</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3"/>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Data!D289*Data!$H$13</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3"/>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Data!D290*Data!$H$13</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3"/>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Data!D291*Data!$H$13</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3"/>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Data!D292*Data!$H$13</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3"/>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664" t="str">
        <f>Data!A297</f>
        <v>Bulk Body Truck(s) - SMALL SIZE</v>
      </c>
      <c r="B26" s="84">
        <f>Data!B297</f>
        <v>0</v>
      </c>
      <c r="C26" s="34" t="str">
        <f>Data!C297</f>
        <v>truck</v>
      </c>
      <c r="D26" s="109">
        <f>Data!D297*Data!$J$13*CP!$H$5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23" x14ac:dyDescent="0.3">
      <c r="A27" s="664" t="str">
        <f>Data!A298</f>
        <v>Bulk Body Truck(s) - MEDIUM SIZE</v>
      </c>
      <c r="B27" s="84">
        <f>Data!B298</f>
        <v>3</v>
      </c>
      <c r="C27" s="34" t="str">
        <f>Data!C298</f>
        <v>truck</v>
      </c>
      <c r="D27" s="109">
        <f>Data!D298*Data!$J$13</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34"/>
      <c r="P27" s="34"/>
      <c r="Q27" s="34"/>
      <c r="R27" s="34"/>
    </row>
    <row r="28" spans="1:23" x14ac:dyDescent="0.3">
      <c r="A28" s="664" t="str">
        <f>Data!A299</f>
        <v>Bulk Body Truck(s) - LARGE SIZE</v>
      </c>
      <c r="B28" s="84">
        <f>Data!B299</f>
        <v>0</v>
      </c>
      <c r="C28" s="34" t="str">
        <f>Data!C299</f>
        <v>truck</v>
      </c>
      <c r="D28" s="109">
        <f>Data!D299*Data!$J$13</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23" x14ac:dyDescent="0.3">
      <c r="A29" s="664" t="str">
        <f>Data!A300</f>
        <v>Flat Bed Truck(s) - SMALL SIZE</v>
      </c>
      <c r="B29" s="84">
        <f>Data!B300</f>
        <v>0</v>
      </c>
      <c r="C29" s="34" t="str">
        <f>Data!C300</f>
        <v>truck</v>
      </c>
      <c r="D29" s="109">
        <f>Data!D300*Data!$J$13*CP!$H$5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Data!D301*Data!$J$13</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Data!D302*Data!$J$13</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Data!D303*Data!$J$13</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Data!D310*Data!$P$13*CP!$H$5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23" x14ac:dyDescent="0.3">
      <c r="A36" s="664" t="str">
        <f>Data!A311</f>
        <v>Moldboard Plow (9 ft) - MEDIUM SIZE</v>
      </c>
      <c r="B36" s="33">
        <f>Data!B311</f>
        <v>1</v>
      </c>
      <c r="C36" s="34" t="str">
        <f>Data!C311</f>
        <v>moldboard plow</v>
      </c>
      <c r="D36" s="109">
        <f>Data!D311*Data!$P$13</f>
        <v>0</v>
      </c>
      <c r="E36" s="109">
        <f t="shared" ref="E36:E37" si="20">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1">E36*I36</f>
        <v>0</v>
      </c>
      <c r="K36" s="36">
        <f t="shared" si="19"/>
        <v>6.7999999999999996E-3</v>
      </c>
      <c r="L36" s="109">
        <f t="shared" ref="L36:L37" si="22">E36*K36</f>
        <v>0</v>
      </c>
      <c r="M36" s="109">
        <f t="shared" ref="M36:M37" si="23">H36+J36+L36</f>
        <v>0</v>
      </c>
      <c r="N36" s="34"/>
      <c r="O36" s="34"/>
      <c r="P36" s="34"/>
      <c r="Q36" s="34"/>
      <c r="R36" s="34"/>
    </row>
    <row r="37" spans="1:23" x14ac:dyDescent="0.3">
      <c r="A37" s="664" t="str">
        <f>Data!A312</f>
        <v>Moldboard Plow (12 ft) - LARGE SIZE</v>
      </c>
      <c r="B37" s="33">
        <f>Data!B312</f>
        <v>0</v>
      </c>
      <c r="C37" s="34" t="str">
        <f>Data!C312</f>
        <v>moldboard plow</v>
      </c>
      <c r="D37" s="109">
        <f>Data!D312*Data!$P$13</f>
        <v>0</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23" x14ac:dyDescent="0.3">
      <c r="A38" s="664" t="str">
        <f>Data!A313</f>
        <v>Chisel Plow (15 ft) - SMALL SIZE</v>
      </c>
      <c r="B38" s="33">
        <f>Data!B313</f>
        <v>0</v>
      </c>
      <c r="C38" s="34" t="str">
        <f>Data!C313</f>
        <v>chisel plow</v>
      </c>
      <c r="D38" s="109">
        <f>Data!D313*Data!$P$13*CP!$H$5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4">_tax_ins_</f>
        <v>6.7999999999999996E-3</v>
      </c>
      <c r="L38" s="109">
        <f>E38*K38</f>
        <v>0</v>
      </c>
      <c r="M38" s="109">
        <f>H38+J38+L38</f>
        <v>0</v>
      </c>
      <c r="N38" s="34"/>
      <c r="O38" s="34"/>
      <c r="P38" s="34"/>
      <c r="Q38" s="34"/>
      <c r="R38" s="34"/>
    </row>
    <row r="39" spans="1:23" x14ac:dyDescent="0.3">
      <c r="A39" s="664" t="str">
        <f>Data!A314</f>
        <v>Chisel Plow (15 ft) - MEDIUM SIZE</v>
      </c>
      <c r="B39" s="33">
        <f>Data!B314</f>
        <v>1</v>
      </c>
      <c r="C39" s="34" t="str">
        <f>Data!C314</f>
        <v>chisel plow</v>
      </c>
      <c r="D39" s="109">
        <f>Data!D314*Data!$P$13</f>
        <v>0</v>
      </c>
      <c r="E39" s="109">
        <f t="shared" ref="E39:E40" si="25">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6">E39*I39</f>
        <v>0</v>
      </c>
      <c r="K39" s="36">
        <f t="shared" si="24"/>
        <v>6.7999999999999996E-3</v>
      </c>
      <c r="L39" s="109">
        <f t="shared" ref="L39:L40" si="27">E39*K39</f>
        <v>0</v>
      </c>
      <c r="M39" s="109">
        <f t="shared" ref="M39:M40" si="28">H39+J39+L39</f>
        <v>0</v>
      </c>
      <c r="N39" s="34"/>
      <c r="O39" s="34"/>
      <c r="P39" s="34"/>
      <c r="Q39" s="34"/>
      <c r="R39" s="34"/>
    </row>
    <row r="40" spans="1:23" x14ac:dyDescent="0.3">
      <c r="A40" s="664" t="str">
        <f>Data!A315</f>
        <v>Chisel Plow (23 ft) - LARGE SIZE</v>
      </c>
      <c r="B40" s="33">
        <f>Data!B315</f>
        <v>0</v>
      </c>
      <c r="C40" s="34" t="str">
        <f>Data!C315</f>
        <v>chisel plow</v>
      </c>
      <c r="D40" s="109">
        <f>Data!D315*Data!$P$13</f>
        <v>0</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23" x14ac:dyDescent="0.3">
      <c r="A41" s="664" t="str">
        <f>Data!A316</f>
        <v>Disk Harrow (12 ft) - SMALL SIZE</v>
      </c>
      <c r="B41" s="33">
        <f>Data!B316</f>
        <v>0</v>
      </c>
      <c r="C41" s="34" t="str">
        <f>Data!C316</f>
        <v>disk harrow</v>
      </c>
      <c r="D41" s="109">
        <f>Data!D316*Data!$P$13*CP!$H$5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23" x14ac:dyDescent="0.3">
      <c r="A42" s="664" t="str">
        <f>Data!A317</f>
        <v>Disk Harrow (21 ft) - MEDIUM SIZE</v>
      </c>
      <c r="B42" s="33">
        <f>Data!B317</f>
        <v>1</v>
      </c>
      <c r="C42" s="34" t="str">
        <f>Data!C317</f>
        <v>disk harrow</v>
      </c>
      <c r="D42" s="109">
        <f>Data!D317*Data!$P$13</f>
        <v>0</v>
      </c>
      <c r="E42" s="109">
        <f t="shared" ref="E42:E43" si="29">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0">E42*I42</f>
        <v>0</v>
      </c>
      <c r="K42" s="36">
        <f t="shared" si="24"/>
        <v>6.7999999999999996E-3</v>
      </c>
      <c r="L42" s="109">
        <f t="shared" ref="L42:L43" si="31">E42*K42</f>
        <v>0</v>
      </c>
      <c r="M42" s="109">
        <f t="shared" ref="M42:M43" si="32">H42+J42+L42</f>
        <v>0</v>
      </c>
    </row>
    <row r="43" spans="1:23" x14ac:dyDescent="0.3">
      <c r="A43" s="664" t="str">
        <f>Data!A318</f>
        <v>Disk Harrow (30 ft) - LARGE SIZE</v>
      </c>
      <c r="B43" s="33">
        <f>Data!B318</f>
        <v>0</v>
      </c>
      <c r="C43" s="34" t="str">
        <f>Data!C318</f>
        <v>disk harrow</v>
      </c>
      <c r="D43" s="109">
        <f>Data!D318*Data!$P$13</f>
        <v>0</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23" ht="13.25" customHeight="1" x14ac:dyDescent="0.3">
      <c r="A44" s="664" t="str">
        <f>Data!A319</f>
        <v>Soil Conditioner/Field Cultivator (18 ft) - SMALL SIZE</v>
      </c>
      <c r="B44" s="33">
        <f>Data!B319</f>
        <v>0</v>
      </c>
      <c r="C44" s="34" t="str">
        <f>Data!C319</f>
        <v>condit.</v>
      </c>
      <c r="D44" s="109">
        <f>Data!D319*Data!$P$13*CP!$H$5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23" ht="13.25" customHeight="1" x14ac:dyDescent="0.3">
      <c r="A45" s="664" t="str">
        <f>Data!A320</f>
        <v>Soil Conditioner/Field Cultivator (18 ft) - MEDIUM SIZE</v>
      </c>
      <c r="B45" s="33">
        <f>Data!B320</f>
        <v>1</v>
      </c>
      <c r="C45" s="34" t="str">
        <f>Data!C320</f>
        <v>condit.</v>
      </c>
      <c r="D45" s="109">
        <f>Data!D320*Data!$P$13</f>
        <v>0</v>
      </c>
      <c r="E45" s="109">
        <f t="shared" ref="E45:E46" si="33">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4">E45*I45</f>
        <v>0</v>
      </c>
      <c r="K45" s="36">
        <f t="shared" si="24"/>
        <v>6.7999999999999996E-3</v>
      </c>
      <c r="L45" s="109">
        <f t="shared" ref="L45:L46" si="35">E45*K45</f>
        <v>0</v>
      </c>
      <c r="M45" s="109">
        <f t="shared" ref="M45:M46" si="36">H45+J45+L45</f>
        <v>0</v>
      </c>
    </row>
    <row r="46" spans="1:23" ht="13.25" customHeight="1" x14ac:dyDescent="0.3">
      <c r="A46" s="664" t="str">
        <f>Data!A321</f>
        <v>Soil Conditioner/Field Cultivator (18 ft) - LARGE SIZE</v>
      </c>
      <c r="B46" s="33">
        <f>Data!B321</f>
        <v>0</v>
      </c>
      <c r="C46" s="34" t="str">
        <f>Data!C321</f>
        <v>condit.</v>
      </c>
      <c r="D46" s="109">
        <f>Data!D321*Data!$P$13</f>
        <v>0</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23" ht="13.25" customHeight="1" x14ac:dyDescent="0.3">
      <c r="A47" s="664" t="str">
        <f>Data!A325</f>
        <v>Tine-Harrow (i.e. Lely, 20-30 ft) - SMALL SIZE</v>
      </c>
      <c r="B47" s="163">
        <f>Data!B325</f>
        <v>0</v>
      </c>
      <c r="C47" s="90" t="str">
        <f>Data!C325</f>
        <v>tine-harrow</v>
      </c>
      <c r="D47" s="109">
        <f>Data!D325*Data!$P$13*CP!$H$5</f>
        <v>0</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4"/>
        <v>6.7999999999999996E-3</v>
      </c>
      <c r="L47" s="109">
        <f>E47*K47</f>
        <v>0</v>
      </c>
      <c r="M47" s="109">
        <f>H47+J47+L47</f>
        <v>0</v>
      </c>
    </row>
    <row r="48" spans="1:23" ht="13.25" customHeight="1" x14ac:dyDescent="0.3">
      <c r="A48" s="664" t="str">
        <f>Data!A326</f>
        <v>Tine-Harrow (i.e. Lely, 20-30 ft) - MEDIUM SIZE</v>
      </c>
      <c r="B48" s="163">
        <f>Data!B326</f>
        <v>1</v>
      </c>
      <c r="C48" s="90" t="str">
        <f>Data!C326</f>
        <v>tine-harrow</v>
      </c>
      <c r="D48" s="109">
        <f>Data!D326*Data!$P$13</f>
        <v>0</v>
      </c>
      <c r="E48" s="109">
        <f t="shared" ref="E48:E49" si="37">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8">E48*I48</f>
        <v>0</v>
      </c>
      <c r="K48" s="36">
        <f t="shared" si="24"/>
        <v>6.7999999999999996E-3</v>
      </c>
      <c r="L48" s="109">
        <f t="shared" ref="L48:L49" si="39">E48*K48</f>
        <v>0</v>
      </c>
      <c r="M48" s="109">
        <f t="shared" ref="M48:M49" si="40">H48+J48+L48</f>
        <v>0</v>
      </c>
    </row>
    <row r="49" spans="1:23" ht="13.25" customHeight="1" x14ac:dyDescent="0.3">
      <c r="A49" s="664" t="str">
        <f>Data!A327</f>
        <v>Tine-Harrow (i.e. Lely, 20-30 ft) - LARGE SIZE</v>
      </c>
      <c r="B49" s="163">
        <f>Data!B327</f>
        <v>0</v>
      </c>
      <c r="C49" s="90" t="str">
        <f>Data!C327</f>
        <v>tine-harrow</v>
      </c>
      <c r="D49" s="109">
        <f>Data!D327*Data!$P$13</f>
        <v>0</v>
      </c>
      <c r="E49" s="109">
        <f t="shared" si="37"/>
        <v>0</v>
      </c>
      <c r="F49" s="109">
        <f>IF(CP!$K$30=0,Data!I327*E49,CP!$K$30*B49)</f>
        <v>0</v>
      </c>
      <c r="G49" s="60">
        <f>IF(CP!$G$30=0,Data!$F$327,CP!$G$30)</f>
        <v>40</v>
      </c>
      <c r="H49" s="109">
        <f>(E49*(_int_inv_l*(1+_int_inv_l)^G49)/((1+_int_inv_l)^G49-1))-(F49*_int_inv_l/((1+_int_inv_l)^G49-1))</f>
        <v>0</v>
      </c>
      <c r="I49" s="675">
        <f>IF(CP!$I$30=0,Data!H327*Data!$J$271,CP!$I$30/CP!$E$30)</f>
        <v>0.02</v>
      </c>
      <c r="J49" s="109">
        <f t="shared" si="38"/>
        <v>0</v>
      </c>
      <c r="K49" s="36">
        <f t="shared" si="24"/>
        <v>6.7999999999999996E-3</v>
      </c>
      <c r="L49" s="109">
        <f t="shared" si="39"/>
        <v>0</v>
      </c>
      <c r="M49" s="109">
        <f t="shared" si="40"/>
        <v>0</v>
      </c>
    </row>
    <row r="50" spans="1:23"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 t="str">
        <f>Data!A334</f>
        <v xml:space="preserve">Fertilizer Spreader </v>
      </c>
      <c r="B52" s="33">
        <f>Data!B334</f>
        <v>0</v>
      </c>
      <c r="C52" s="34" t="str">
        <f>Data!C334</f>
        <v>fert.spread</v>
      </c>
      <c r="D52" s="109">
        <f>Data!D334*Data!$N$13</f>
        <v>0</v>
      </c>
      <c r="E52" s="109">
        <f>D52*B52</f>
        <v>0</v>
      </c>
      <c r="F52" s="109">
        <f>Data!I334*E52</f>
        <v>0</v>
      </c>
      <c r="G52" s="60">
        <f>Data!F334</f>
        <v>10</v>
      </c>
      <c r="H52" s="109">
        <f t="shared" ref="H52" si="41">(E52*(_int_inv_*(1+_int_inv_)^G52)/((1+_int_inv_)^G52-1))-(F52*_int_inv_/((1+_int_inv_)^G52-1))</f>
        <v>0</v>
      </c>
      <c r="I52" s="37">
        <f>Data!H334*Data!$J$271</f>
        <v>4.4999999999999998E-2</v>
      </c>
      <c r="J52" s="109">
        <f>E52*I52</f>
        <v>0</v>
      </c>
      <c r="K52" s="36">
        <f t="shared" ref="K52:K61" si="42">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Data!D335*Data!$N$13*CP!$H$5</f>
        <v>0</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2"/>
        <v>6.7999999999999996E-3</v>
      </c>
      <c r="L53" s="109">
        <f>E53*K53</f>
        <v>0</v>
      </c>
      <c r="M53" s="109">
        <f>H53+J53+L53</f>
        <v>0</v>
      </c>
    </row>
    <row r="54" spans="1:23" ht="13.25" customHeight="1" x14ac:dyDescent="0.3">
      <c r="A54" s="664" t="str">
        <f>Data!A336</f>
        <v>Spin Spreader (Chilean nitrate, 50 ft swath) - MEDIUM SIZE</v>
      </c>
      <c r="B54" s="33">
        <f>Data!B336</f>
        <v>1</v>
      </c>
      <c r="C54" s="34" t="str">
        <f>Data!C336</f>
        <v>spin spread</v>
      </c>
      <c r="D54" s="109">
        <f>Data!D336*Data!$N$13</f>
        <v>0</v>
      </c>
      <c r="E54" s="109">
        <f t="shared" ref="E54:E55" si="43">D54*B54</f>
        <v>0</v>
      </c>
      <c r="F54" s="109">
        <f>IF(CP!$K$32=0,Data!I336*E54,CP!$K$32*B54)</f>
        <v>0</v>
      </c>
      <c r="G54" s="60">
        <f>IF(CP!$G$32=0,Data!$F$336,CP!$G$32)</f>
        <v>40</v>
      </c>
      <c r="H54" s="109">
        <f>(E54*(_int_inv_m*(1+_int_inv_m)^G54)/((1+_int_inv_m)^G54-1))-(F54*_int_inv_m/((1+_int_inv_m)^G54-1))</f>
        <v>0</v>
      </c>
      <c r="I54" s="675">
        <f>IF(CP!$I$32=0,Data!H336*Data!$J$271,CP!$I$32/CP!$E$32)</f>
        <v>0.02</v>
      </c>
      <c r="J54" s="109">
        <f t="shared" ref="J54:J55" si="44">E54*I54</f>
        <v>0</v>
      </c>
      <c r="K54" s="36">
        <f t="shared" si="42"/>
        <v>6.7999999999999996E-3</v>
      </c>
      <c r="L54" s="109">
        <f t="shared" ref="L54:L55" si="45">E54*K54</f>
        <v>0</v>
      </c>
      <c r="M54" s="109">
        <f t="shared" ref="M54:M55" si="46">H54+J54+L54</f>
        <v>0</v>
      </c>
    </row>
    <row r="55" spans="1:23" ht="13.25" customHeight="1" x14ac:dyDescent="0.3">
      <c r="A55" s="664" t="str">
        <f>Data!A337</f>
        <v>Spin Spreader (Chilean nitrate, 50 ft swath) - LARGE SIZE</v>
      </c>
      <c r="B55" s="33">
        <f>Data!B337</f>
        <v>0</v>
      </c>
      <c r="C55" s="34" t="str">
        <f>Data!C337</f>
        <v>spin spread</v>
      </c>
      <c r="D55" s="109">
        <f>Data!D337*Data!$N$13</f>
        <v>0</v>
      </c>
      <c r="E55" s="109">
        <f t="shared" si="43"/>
        <v>0</v>
      </c>
      <c r="F55" s="109">
        <f>IF(CP!$K$32=0,Data!I337*E55,CP!$K$32*B55)</f>
        <v>0</v>
      </c>
      <c r="G55" s="60">
        <f>IF(CP!$G$32=0,Data!$F$337,CP!$G$32)</f>
        <v>40</v>
      </c>
      <c r="H55" s="109">
        <f>(E55*(_int_inv_l*(1+_int_inv_l)^G55)/((1+_int_inv_l)^G55-1))-(F55*_int_inv_l/((1+_int_inv_l)^G55-1))</f>
        <v>0</v>
      </c>
      <c r="I55" s="675">
        <f>IF(CP!$I$32=0,Data!H337*Data!$J$271,CP!$I$32/CP!$E$32)</f>
        <v>0.02</v>
      </c>
      <c r="J55" s="109">
        <f t="shared" si="44"/>
        <v>0</v>
      </c>
      <c r="K55" s="36">
        <f t="shared" si="42"/>
        <v>6.7999999999999996E-3</v>
      </c>
      <c r="L55" s="109">
        <f t="shared" si="45"/>
        <v>0</v>
      </c>
      <c r="M55" s="109">
        <f t="shared" si="46"/>
        <v>0</v>
      </c>
    </row>
    <row r="56" spans="1:23" x14ac:dyDescent="0.3">
      <c r="A56" s="664" t="str">
        <f>Data!A338</f>
        <v>Manure Spreader - SMALL SIZE</v>
      </c>
      <c r="B56" s="33">
        <f>Data!B338</f>
        <v>0</v>
      </c>
      <c r="C56" s="34" t="str">
        <f>Data!C338</f>
        <v>man.spread</v>
      </c>
      <c r="D56" s="109">
        <f>Data!D338*Data!$N$13*CP!$H$5</f>
        <v>0</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2"/>
        <v>6.7999999999999996E-3</v>
      </c>
      <c r="L56" s="109">
        <f>E56*K56</f>
        <v>0</v>
      </c>
      <c r="M56" s="109">
        <f>H56+J56+L56</f>
        <v>0</v>
      </c>
    </row>
    <row r="57" spans="1:23" x14ac:dyDescent="0.3">
      <c r="A57" s="664" t="str">
        <f>Data!A339</f>
        <v>Manure Spreader - MEDIUM SIZE</v>
      </c>
      <c r="B57" s="33">
        <f>Data!B339</f>
        <v>1</v>
      </c>
      <c r="C57" s="34" t="str">
        <f>Data!C339</f>
        <v>man.spread</v>
      </c>
      <c r="D57" s="109">
        <f>Data!D339*Data!$N$13</f>
        <v>0</v>
      </c>
      <c r="E57" s="109">
        <f t="shared" ref="E57:E58" si="47">D57*B57</f>
        <v>0</v>
      </c>
      <c r="F57" s="109">
        <f>IF(CP!$K$33=0,Data!I339*E57,CP!$K$33*B57)</f>
        <v>0</v>
      </c>
      <c r="G57" s="60">
        <f>IF(CP!$G$33=0,Data!$F$339,CP!$G$33)</f>
        <v>40</v>
      </c>
      <c r="H57" s="109">
        <f>(E57*(_int_inv_m*(1+_int_inv_m)^G57)/((1+_int_inv_m)^G57-1))-(F57*_int_inv_m/((1+_int_inv_m)^G57-1))</f>
        <v>0</v>
      </c>
      <c r="I57" s="36">
        <f>IF(CP!$I$33=0,Data!H339*Data!$J$271,CP!$I$33/CP!$E$33)</f>
        <v>2.2825263157894699E-2</v>
      </c>
      <c r="J57" s="109">
        <f t="shared" ref="J57:J58" si="48">E57*I57</f>
        <v>0</v>
      </c>
      <c r="K57" s="36">
        <f t="shared" si="42"/>
        <v>6.7999999999999996E-3</v>
      </c>
      <c r="L57" s="109">
        <f t="shared" ref="L57:L58" si="49">E57*K57</f>
        <v>0</v>
      </c>
      <c r="M57" s="109">
        <f t="shared" ref="M57:M58" si="50">H57+J57+L57</f>
        <v>0</v>
      </c>
    </row>
    <row r="58" spans="1:23" x14ac:dyDescent="0.3">
      <c r="A58" s="664" t="str">
        <f>Data!A340</f>
        <v>Manure Spreader - LARGE SIZE</v>
      </c>
      <c r="B58" s="33">
        <f>Data!B340</f>
        <v>0</v>
      </c>
      <c r="C58" s="34" t="str">
        <f>Data!C340</f>
        <v>man.spread</v>
      </c>
      <c r="D58" s="109">
        <f>Data!D340*Data!$N$13</f>
        <v>0</v>
      </c>
      <c r="E58" s="109">
        <f t="shared" si="47"/>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8"/>
        <v>0</v>
      </c>
      <c r="K58" s="36">
        <f t="shared" si="42"/>
        <v>6.7999999999999996E-3</v>
      </c>
      <c r="L58" s="109">
        <f t="shared" si="49"/>
        <v>0</v>
      </c>
      <c r="M58" s="109">
        <f t="shared" si="50"/>
        <v>0</v>
      </c>
    </row>
    <row r="59" spans="1:23" ht="13.25" customHeight="1" x14ac:dyDescent="0.3">
      <c r="A59" s="664" t="str">
        <f>Data!A343</f>
        <v>Grain Drill (Presswheel, 16 ft) - SMALL SIZE</v>
      </c>
      <c r="B59" s="33">
        <f>Data!B343</f>
        <v>0</v>
      </c>
      <c r="C59" s="34" t="str">
        <f>Data!C343</f>
        <v>grain drill</v>
      </c>
      <c r="D59" s="109">
        <f>Data!D343*Data!$AR$13*CP!$H$5</f>
        <v>0</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2"/>
        <v>6.7999999999999996E-3</v>
      </c>
      <c r="L59" s="109">
        <f>E59*K59</f>
        <v>0</v>
      </c>
      <c r="M59" s="109">
        <f>H59+J59+L59</f>
        <v>0</v>
      </c>
      <c r="N59" s="34"/>
      <c r="O59" s="34"/>
      <c r="P59" s="34"/>
      <c r="Q59" s="34"/>
      <c r="R59" s="34"/>
      <c r="S59" s="34"/>
      <c r="T59" s="34"/>
      <c r="U59" s="34"/>
      <c r="V59" s="34"/>
      <c r="W59" s="34"/>
    </row>
    <row r="60" spans="1:23" ht="13.25" customHeight="1" x14ac:dyDescent="0.3">
      <c r="A60" s="664" t="str">
        <f>Data!A344</f>
        <v>Grain Drill (Presswheel, 25 ft) - MEDIUM SIZE</v>
      </c>
      <c r="B60" s="33">
        <f>Data!B344</f>
        <v>1</v>
      </c>
      <c r="C60" s="34" t="str">
        <f>Data!C344</f>
        <v>grain drill</v>
      </c>
      <c r="D60" s="109">
        <f>Data!D344*Data!$AR$13</f>
        <v>0</v>
      </c>
      <c r="E60" s="109">
        <f t="shared" ref="E60:E61" si="51">D60*B60</f>
        <v>0</v>
      </c>
      <c r="F60" s="109">
        <f>IF(CP!K35=0,Data!I344*E60,CP!K35*B60)</f>
        <v>0</v>
      </c>
      <c r="G60" s="60">
        <f>IF(CP!$G$35=0,Data!$F$344,CP!$G$35)</f>
        <v>40</v>
      </c>
      <c r="H60" s="109">
        <f>(E60*(_int_inv_m*(1+_int_inv_m)^G60)/((1+_int_inv_m)^G60-1))-(F60*_int_inv_m/((1+_int_inv_m)^G60-1))</f>
        <v>0</v>
      </c>
      <c r="I60" s="36">
        <f>IF(CP!I35=0,Data!H344*Data!$J$271,CP!I35/CP!E35)</f>
        <v>2.3673333333333331E-2</v>
      </c>
      <c r="J60" s="109">
        <f t="shared" ref="J60:J61" si="52">E60*I60</f>
        <v>0</v>
      </c>
      <c r="K60" s="36">
        <f t="shared" si="42"/>
        <v>6.7999999999999996E-3</v>
      </c>
      <c r="L60" s="109">
        <f t="shared" ref="L60:L61" si="53">E60*K60</f>
        <v>0</v>
      </c>
      <c r="M60" s="109">
        <f t="shared" ref="M60:M61" si="54">H60+J60+L60</f>
        <v>0</v>
      </c>
      <c r="N60" s="34"/>
      <c r="O60" s="34"/>
      <c r="P60" s="34"/>
      <c r="Q60" s="34"/>
      <c r="R60" s="34"/>
      <c r="S60" s="34"/>
      <c r="T60" s="34"/>
      <c r="U60" s="34"/>
      <c r="V60" s="34"/>
      <c r="W60" s="34"/>
    </row>
    <row r="61" spans="1:23" ht="13.25" customHeight="1" x14ac:dyDescent="0.3">
      <c r="A61" s="664" t="str">
        <f>Data!A345</f>
        <v>Grain Drill (Presswheel, 30 ft) - LARGE SIZE</v>
      </c>
      <c r="B61" s="33">
        <f>Data!B345</f>
        <v>0</v>
      </c>
      <c r="C61" s="34" t="str">
        <f>Data!C345</f>
        <v>grain drill</v>
      </c>
      <c r="D61" s="109">
        <f>Data!D345*Data!$AR$13</f>
        <v>0</v>
      </c>
      <c r="E61" s="109">
        <f t="shared" si="51"/>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2"/>
        <v>0</v>
      </c>
      <c r="K61" s="36">
        <f t="shared" si="42"/>
        <v>6.7999999999999996E-3</v>
      </c>
      <c r="L61" s="109">
        <f t="shared" si="53"/>
        <v>0</v>
      </c>
      <c r="M61" s="109">
        <f t="shared" si="54"/>
        <v>0</v>
      </c>
      <c r="N61" s="34"/>
      <c r="O61" s="34"/>
      <c r="P61" s="34"/>
      <c r="Q61" s="34"/>
      <c r="R61" s="34"/>
      <c r="S61" s="34"/>
      <c r="T61" s="34"/>
      <c r="U61" s="34"/>
      <c r="V61" s="34"/>
      <c r="W61" s="34"/>
    </row>
    <row r="62" spans="1:23" x14ac:dyDescent="0.3">
      <c r="A62" s="9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Data!D353*Data!$P$13*CP!$H$5</f>
        <v>0</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Data!D354*Data!$P$13</f>
        <v>0</v>
      </c>
      <c r="E65" s="109">
        <f t="shared" ref="E65:E66" si="55">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6">E65*I65</f>
        <v>0</v>
      </c>
      <c r="K65" s="36">
        <f>_tax_ins_</f>
        <v>6.7999999999999996E-3</v>
      </c>
      <c r="L65" s="109">
        <f t="shared" ref="L65:L66" si="57">E65*K65</f>
        <v>0</v>
      </c>
      <c r="M65" s="109">
        <f t="shared" ref="M65:M66" si="58">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Data!D355*Data!$P$13</f>
        <v>0</v>
      </c>
      <c r="E66" s="109">
        <f t="shared" si="55"/>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6"/>
        <v>0</v>
      </c>
      <c r="K66" s="36">
        <f>_tax_ins_</f>
        <v>6.7999999999999996E-3</v>
      </c>
      <c r="L66" s="109">
        <f t="shared" si="57"/>
        <v>0</v>
      </c>
      <c r="M66" s="109">
        <f t="shared" si="58"/>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14"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Data!D381*Data!$AH$13*CP!$H$5</f>
        <v>0</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59">_tax_ins_</f>
        <v>6.7999999999999996E-3</v>
      </c>
      <c r="L69" s="109">
        <f>E69*K69</f>
        <v>0</v>
      </c>
      <c r="M69" s="109">
        <f>H69+J69+L69</f>
        <v>0</v>
      </c>
      <c r="N69" s="34"/>
      <c r="O69" s="34"/>
      <c r="P69" s="34"/>
      <c r="Q69" s="34"/>
      <c r="R69" s="34"/>
      <c r="S69" s="34"/>
      <c r="T69" s="34"/>
      <c r="U69" s="34"/>
      <c r="V69" s="34"/>
      <c r="W69" s="34"/>
    </row>
    <row r="70" spans="1:23" x14ac:dyDescent="0.3">
      <c r="A70" s="664" t="str">
        <f>Data!A382</f>
        <v>Combine (IHC) - MEDIUM SIZE</v>
      </c>
      <c r="B70" s="33">
        <f>Data!B382</f>
        <v>1</v>
      </c>
      <c r="C70" s="34" t="str">
        <f>Data!C382</f>
        <v>combine</v>
      </c>
      <c r="D70" s="109">
        <f>Data!D382*Data!$AH$13</f>
        <v>0</v>
      </c>
      <c r="E70" s="109">
        <f t="shared" ref="E70:E71" si="60">D70*B70</f>
        <v>0</v>
      </c>
      <c r="F70" s="109">
        <f>IF(CP!K49=0,Data!I382*E70,CP!K49*B70)</f>
        <v>0</v>
      </c>
      <c r="G70" s="60">
        <f>IF(CP!$G$49=0,Data!$F$382,CP!$G$49)</f>
        <v>40</v>
      </c>
      <c r="H70" s="109">
        <f>(E70*(_int_inv_m*(1+_int_inv_m)^G70)/((1+_int_inv_m)^G70-1))-(F70*_int_inv_m/((1+_int_inv_m)^G70-1))</f>
        <v>0</v>
      </c>
      <c r="I70" s="37">
        <f>IF(CP!I49=0,Data!H382*Data!$J$271,CP!I49/CP!E49)</f>
        <v>2.8219081272084806E-2</v>
      </c>
      <c r="J70" s="109">
        <f t="shared" ref="J70:J71" si="61">E70*I70</f>
        <v>0</v>
      </c>
      <c r="K70" s="36">
        <f t="shared" si="59"/>
        <v>6.7999999999999996E-3</v>
      </c>
      <c r="L70" s="109">
        <f t="shared" ref="L70:L71" si="62">E70*K70</f>
        <v>0</v>
      </c>
      <c r="M70" s="109">
        <f t="shared" ref="M70:M71" si="63">H70+J70+L70</f>
        <v>0</v>
      </c>
      <c r="N70" s="34"/>
      <c r="O70" s="34"/>
      <c r="P70" s="34"/>
      <c r="Q70" s="34"/>
      <c r="R70" s="34"/>
      <c r="S70" s="34"/>
      <c r="T70" s="34"/>
      <c r="U70" s="34"/>
      <c r="V70" s="34"/>
      <c r="W70" s="34"/>
    </row>
    <row r="71" spans="1:23" x14ac:dyDescent="0.3">
      <c r="A71" s="664" t="str">
        <f>Data!A383</f>
        <v>Combine (IHC) - LARGE SIZE</v>
      </c>
      <c r="B71" s="33">
        <f>Data!B383</f>
        <v>0</v>
      </c>
      <c r="C71" s="34" t="str">
        <f>Data!C383</f>
        <v>combine</v>
      </c>
      <c r="D71" s="109">
        <f>Data!D383*Data!$AH$13</f>
        <v>0</v>
      </c>
      <c r="E71" s="109">
        <f t="shared" si="60"/>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1"/>
        <v>0</v>
      </c>
      <c r="K71" s="36">
        <f t="shared" si="59"/>
        <v>6.7999999999999996E-3</v>
      </c>
      <c r="L71" s="109">
        <f t="shared" si="62"/>
        <v>0</v>
      </c>
      <c r="M71" s="109">
        <f t="shared" si="63"/>
        <v>0</v>
      </c>
      <c r="N71" s="34"/>
      <c r="O71" s="34"/>
      <c r="P71" s="34"/>
      <c r="Q71" s="34"/>
      <c r="R71" s="34"/>
      <c r="S71" s="34"/>
      <c r="T71" s="34"/>
      <c r="U71" s="34"/>
      <c r="V71" s="34"/>
      <c r="W71" s="34"/>
    </row>
    <row r="72" spans="1:23" x14ac:dyDescent="0.3">
      <c r="A72" s="664" t="str">
        <f>Data!A385</f>
        <v xml:space="preserve">     Combine small grain head (15 ft) - SMALL SIZE</v>
      </c>
      <c r="B72" s="33">
        <f>Data!B385</f>
        <v>0</v>
      </c>
      <c r="C72" s="34" t="str">
        <f>Data!C385</f>
        <v>sm.gr.hd.</v>
      </c>
      <c r="D72" s="109">
        <f>Data!D385*Data!$AJ$13*CP!$H$5</f>
        <v>0</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59"/>
        <v>6.7999999999999996E-3</v>
      </c>
      <c r="L72" s="109">
        <f>E72*K72</f>
        <v>0</v>
      </c>
      <c r="M72" s="109">
        <f>H72+J72+L72</f>
        <v>0</v>
      </c>
      <c r="N72" s="34"/>
      <c r="O72" s="34"/>
      <c r="P72" s="34"/>
      <c r="Q72" s="34"/>
      <c r="R72" s="34"/>
      <c r="S72" s="34"/>
      <c r="T72" s="34"/>
      <c r="U72" s="34"/>
      <c r="V72" s="34"/>
    </row>
    <row r="73" spans="1:23" x14ac:dyDescent="0.3">
      <c r="A73" s="664" t="str">
        <f>Data!A386</f>
        <v xml:space="preserve">     Combine small grain head (15 ft) - MEDIUM SIZE</v>
      </c>
      <c r="B73" s="33">
        <f>Data!B386</f>
        <v>1</v>
      </c>
      <c r="C73" s="34" t="str">
        <f>Data!C386</f>
        <v>sm.gr.hd.</v>
      </c>
      <c r="D73" s="109">
        <f>Data!D386*Data!$AJ$13</f>
        <v>0</v>
      </c>
      <c r="E73" s="109">
        <f t="shared" ref="E73:E74" si="64">D73*B73</f>
        <v>0</v>
      </c>
      <c r="F73" s="109">
        <f>IF(CP!K52=0,Data!I386*E73,CP!K52*B73)</f>
        <v>0</v>
      </c>
      <c r="G73" s="60">
        <f>IF(CP!$G$51=0,Data!$F$386,CP!$G$51)</f>
        <v>50</v>
      </c>
      <c r="H73" s="109">
        <f>(E73*(_int_inv_m*(1+_int_inv_m)^G73)/((1+_int_inv_m)^G73-1))-(F73*_int_inv_m/((1+_int_inv_m)^G73-1))</f>
        <v>0</v>
      </c>
      <c r="I73" s="37">
        <f>IF(CP!I52=0,Data!H386*Data!$J$271,CP!I52/CP!E52)</f>
        <v>2.6278604651162791E-2</v>
      </c>
      <c r="J73" s="109">
        <f t="shared" ref="J73:J74" si="65">E73*I73</f>
        <v>0</v>
      </c>
      <c r="K73" s="36">
        <f t="shared" si="59"/>
        <v>6.7999999999999996E-3</v>
      </c>
      <c r="L73" s="109">
        <f t="shared" ref="L73:L74" si="66">E73*K73</f>
        <v>0</v>
      </c>
      <c r="M73" s="109">
        <f t="shared" ref="M73:M74" si="67">H73+J73+L73</f>
        <v>0</v>
      </c>
      <c r="N73" s="34"/>
      <c r="O73" s="34"/>
      <c r="P73" s="34"/>
      <c r="Q73" s="34"/>
      <c r="R73" s="34"/>
      <c r="S73" s="34"/>
      <c r="T73" s="34"/>
      <c r="U73" s="34"/>
      <c r="V73" s="34"/>
    </row>
    <row r="74" spans="1:23" x14ac:dyDescent="0.3">
      <c r="A74" s="664" t="str">
        <f>Data!A387</f>
        <v xml:space="preserve">     Combine small grain head (20 ft) - LARGE SIZE</v>
      </c>
      <c r="B74" s="33">
        <f>Data!B387</f>
        <v>0</v>
      </c>
      <c r="C74" s="34" t="str">
        <f>Data!C387</f>
        <v>sm.gr.hd.</v>
      </c>
      <c r="D74" s="109">
        <f>Data!D387*Data!$AJ$13</f>
        <v>0</v>
      </c>
      <c r="E74" s="109">
        <f t="shared" si="64"/>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5"/>
        <v>0</v>
      </c>
      <c r="K74" s="36">
        <f t="shared" si="59"/>
        <v>6.7999999999999996E-3</v>
      </c>
      <c r="L74" s="109">
        <f t="shared" si="66"/>
        <v>0</v>
      </c>
      <c r="M74" s="109">
        <f t="shared" si="67"/>
        <v>0</v>
      </c>
      <c r="N74" s="34"/>
      <c r="O74" s="34"/>
      <c r="P74" s="34"/>
      <c r="Q74" s="34"/>
      <c r="R74" s="34"/>
      <c r="S74" s="34"/>
      <c r="T74" s="34"/>
      <c r="U74" s="34"/>
      <c r="V74" s="34"/>
    </row>
    <row r="75" spans="1:23" x14ac:dyDescent="0.3">
      <c r="A75" s="867" t="str">
        <f>Data!A378</f>
        <v xml:space="preserve">Raker </v>
      </c>
      <c r="B75" s="163">
        <f>Data!B378*Data!$B$30</f>
        <v>0</v>
      </c>
      <c r="C75" s="34" t="str">
        <f>Data!C378</f>
        <v>raker</v>
      </c>
      <c r="D75" s="109">
        <f>Data!D378*Data!$AF$13</f>
        <v>0</v>
      </c>
      <c r="E75" s="109">
        <f>D75*B75</f>
        <v>0</v>
      </c>
      <c r="F75" s="109">
        <f>Data!I378*E75</f>
        <v>0</v>
      </c>
      <c r="G75" s="60">
        <f>Data!F378</f>
        <v>50</v>
      </c>
      <c r="H75" s="109">
        <f t="shared" ref="H75:H77" si="68">(E75*(_int_inv_*(1+_int_inv_)^G75)/((1+_int_inv_)^G75-1))-(F75*_int_inv_/((1+_int_inv_)^G75-1))</f>
        <v>0</v>
      </c>
      <c r="I75" s="164">
        <f>Data!H378*Data!$J$271</f>
        <v>4.4999999999999998E-2</v>
      </c>
      <c r="J75" s="109">
        <f>E75*I75</f>
        <v>0</v>
      </c>
      <c r="K75" s="36">
        <f t="shared" si="59"/>
        <v>6.7999999999999996E-3</v>
      </c>
      <c r="L75" s="109">
        <f>E75*K75</f>
        <v>0</v>
      </c>
      <c r="M75" s="109">
        <f>H75+J75+L75</f>
        <v>0</v>
      </c>
    </row>
    <row r="76" spans="1:23" x14ac:dyDescent="0.3">
      <c r="A76" s="19" t="str">
        <f>Data!A379</f>
        <v>Baler (Round)</v>
      </c>
      <c r="B76" s="163">
        <f>Data!B379*Data!$B$30*Data!$C$30</f>
        <v>0</v>
      </c>
      <c r="C76" s="34" t="str">
        <f>Data!C379</f>
        <v>round baler</v>
      </c>
      <c r="D76" s="109">
        <f>Data!D379*Data!$AF$13</f>
        <v>0</v>
      </c>
      <c r="E76" s="109">
        <f>D76*B76</f>
        <v>0</v>
      </c>
      <c r="F76" s="109">
        <f>Data!I379*E76</f>
        <v>0</v>
      </c>
      <c r="G76" s="60">
        <f>Data!F379</f>
        <v>40</v>
      </c>
      <c r="H76" s="109">
        <f t="shared" si="68"/>
        <v>0</v>
      </c>
      <c r="I76" s="164">
        <f>Data!H379*Data!$J$271</f>
        <v>4.4999999999999998E-2</v>
      </c>
      <c r="J76" s="109">
        <f>E76*I76</f>
        <v>0</v>
      </c>
      <c r="K76" s="36">
        <f t="shared" si="59"/>
        <v>6.7999999999999996E-3</v>
      </c>
      <c r="L76" s="109">
        <f>E76*K76</f>
        <v>0</v>
      </c>
      <c r="M76" s="109">
        <f>H76+J76+L76</f>
        <v>0</v>
      </c>
    </row>
    <row r="77" spans="1:23" x14ac:dyDescent="0.3">
      <c r="A77" s="19" t="str">
        <f>Data!A380</f>
        <v>Baler (Square)</v>
      </c>
      <c r="B77" s="163">
        <f>Data!B380*Data!$B$30*Data!$D$30</f>
        <v>0</v>
      </c>
      <c r="C77" s="34" t="str">
        <f>Data!C380</f>
        <v>square baler</v>
      </c>
      <c r="D77" s="109">
        <f>Data!D380*Data!$AF$13</f>
        <v>0</v>
      </c>
      <c r="E77" s="109">
        <f>D77*B77</f>
        <v>0</v>
      </c>
      <c r="F77" s="109">
        <f>Data!I380*E77</f>
        <v>0</v>
      </c>
      <c r="G77" s="60">
        <f>Data!F380</f>
        <v>20</v>
      </c>
      <c r="H77" s="109">
        <f t="shared" si="68"/>
        <v>0</v>
      </c>
      <c r="I77" s="164">
        <f>Data!H380*Data!$J$271</f>
        <v>4.4999999999999998E-2</v>
      </c>
      <c r="J77" s="109">
        <f>E77*I77</f>
        <v>0</v>
      </c>
      <c r="K77" s="36">
        <f t="shared" si="59"/>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14"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Data!D395*Data!$H$13*CP!$H$5</f>
        <v>0</v>
      </c>
      <c r="E80" s="109">
        <f>D80*B80</f>
        <v>0</v>
      </c>
      <c r="F80" s="109">
        <f>IF(CP!K58=0,Data!I395*E80,CP!K58*B80)</f>
        <v>0</v>
      </c>
      <c r="G80" s="60">
        <f>IF(CP!$G$58=0,Data!$F$395,CP!$G$58)</f>
        <v>50</v>
      </c>
      <c r="H80" s="104">
        <f t="shared" ref="H80:H81" si="69">(E80*(_int_inv_*(1+_int_inv_)^G80)/((1+_int_inv_)^G80-1))-(F80*_int_inv_/((1+_int_inv_)^G80-1))</f>
        <v>0</v>
      </c>
      <c r="I80" s="675">
        <f>IF(CP!I58=0,Data!H395*Data!$J$271,CP!I58/CP!E58)</f>
        <v>0.02</v>
      </c>
      <c r="J80" s="104">
        <f>E80*I80</f>
        <v>0</v>
      </c>
      <c r="K80" s="36">
        <f t="shared" ref="K80:K85" si="70">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Data!D396*Data!$H$13*CP!$H$5</f>
        <v>0</v>
      </c>
      <c r="E81" s="109">
        <f>D81*B81</f>
        <v>0</v>
      </c>
      <c r="F81" s="109">
        <f>IF(CP!K61=0,Data!I396*E81,CP!K61*B81)</f>
        <v>0</v>
      </c>
      <c r="G81" s="60">
        <f>IF(CP!$G$61=0,Data!$F$396,CP!$G$61)</f>
        <v>50</v>
      </c>
      <c r="H81" s="109">
        <f t="shared" si="69"/>
        <v>0</v>
      </c>
      <c r="I81" s="675">
        <f>IF(CP!I61=0,Data!H396*Data!$J$271,CP!I61/CP!E61)</f>
        <v>0.02</v>
      </c>
      <c r="J81" s="109">
        <f>E81*I81</f>
        <v>0</v>
      </c>
      <c r="K81" s="36">
        <f t="shared" si="70"/>
        <v>6.7999999999999996E-3</v>
      </c>
      <c r="L81" s="104">
        <f>E81*K81</f>
        <v>0</v>
      </c>
      <c r="M81" s="109">
        <f>H81+J81+L81</f>
        <v>0</v>
      </c>
    </row>
    <row r="82" spans="1:23" x14ac:dyDescent="0.3">
      <c r="A82" s="664" t="str">
        <f>Data!A397</f>
        <v>Fuel Tanks - MEDIUM SIZE</v>
      </c>
      <c r="B82" s="33">
        <f>Data!B397</f>
        <v>1</v>
      </c>
      <c r="C82" s="34" t="str">
        <f>Data!C397</f>
        <v>fuel tank</v>
      </c>
      <c r="D82" s="109">
        <f>Data!D397*Data!$H$13</f>
        <v>0</v>
      </c>
      <c r="E82" s="109">
        <f t="shared" ref="E82:E85" si="71">D82*B82</f>
        <v>0</v>
      </c>
      <c r="F82" s="109">
        <f>IF(CP!K59=0,Data!I397*E82,CP!K59*B82)</f>
        <v>0</v>
      </c>
      <c r="G82" s="60">
        <f>IF(CP!$G$59=0,Data!$F$397,CP!$G$59)</f>
        <v>40</v>
      </c>
      <c r="H82" s="109">
        <f>(E82*(_int_inv_m*(1+_int_inv_m)^G82)/((1+_int_inv_m)^G82-1))-(F82*_int_inv_m/((1+_int_inv_m)^G82-1))</f>
        <v>0</v>
      </c>
      <c r="I82" s="675">
        <f>IF(CP!I59=0,Data!H397*Data!$J$271,CP!I59/CP!E59)</f>
        <v>0.02</v>
      </c>
      <c r="J82" s="104">
        <f t="shared" ref="J82:J85" si="72">E82*I82</f>
        <v>0</v>
      </c>
      <c r="K82" s="36">
        <f t="shared" si="70"/>
        <v>6.7999999999999996E-3</v>
      </c>
      <c r="L82" s="104">
        <f t="shared" ref="L82:L85" si="73">E82*K82</f>
        <v>0</v>
      </c>
      <c r="M82" s="109">
        <f t="shared" ref="M82:M85" si="74">H82+J82+L82</f>
        <v>0</v>
      </c>
    </row>
    <row r="83" spans="1:23" x14ac:dyDescent="0.3">
      <c r="A83" s="664" t="str">
        <f>Data!A398</f>
        <v>Shop Tools - MEDIUM SIZE</v>
      </c>
      <c r="B83" s="33">
        <f>Data!B398</f>
        <v>1</v>
      </c>
      <c r="C83" s="34" t="str">
        <f>Data!C398</f>
        <v>shop tools</v>
      </c>
      <c r="D83" s="109">
        <f>Data!D398*Data!$H$13</f>
        <v>0</v>
      </c>
      <c r="E83" s="109">
        <f t="shared" si="71"/>
        <v>0</v>
      </c>
      <c r="F83" s="109">
        <f>IF(CP!K62=0,Data!I398*E83,CP!K62*B83)</f>
        <v>0</v>
      </c>
      <c r="G83" s="60">
        <f>IF(CP!$G$62=0,Data!$F$398,CP!$G$62)</f>
        <v>40</v>
      </c>
      <c r="H83" s="109">
        <f>(E83*(_int_inv_m*(1+_int_inv_m)^G83)/((1+_int_inv_m)^G83-1))-(F83*_int_inv_m/((1+_int_inv_m)^G83-1))</f>
        <v>0</v>
      </c>
      <c r="I83" s="675">
        <f>IF(CP!I62=0,Data!H398*Data!$J$271,CP!I62/CP!E62)</f>
        <v>0.02</v>
      </c>
      <c r="J83" s="109">
        <f t="shared" si="72"/>
        <v>0</v>
      </c>
      <c r="K83" s="36">
        <f t="shared" si="70"/>
        <v>6.7999999999999996E-3</v>
      </c>
      <c r="L83" s="104">
        <f t="shared" si="73"/>
        <v>0</v>
      </c>
      <c r="M83" s="109">
        <f t="shared" si="74"/>
        <v>0</v>
      </c>
    </row>
    <row r="84" spans="1:23" x14ac:dyDescent="0.3">
      <c r="A84" s="664" t="str">
        <f>Data!A399</f>
        <v>Fuel Tanks - LARGE SIZE</v>
      </c>
      <c r="B84" s="33">
        <f>Data!B399</f>
        <v>0</v>
      </c>
      <c r="C84" s="34" t="str">
        <f>Data!C399</f>
        <v>fuel tank</v>
      </c>
      <c r="D84" s="109">
        <f>Data!D399*Data!$H$13</f>
        <v>0</v>
      </c>
      <c r="E84" s="109">
        <f t="shared" si="71"/>
        <v>0</v>
      </c>
      <c r="F84" s="109">
        <f>IF(CP!K60=0,Data!I399*E84,CP!K60*B84)</f>
        <v>0</v>
      </c>
      <c r="G84" s="60">
        <f>IF(CP!$G$60=0,Data!$F$399,CP!$G$60)</f>
        <v>20</v>
      </c>
      <c r="H84" s="109">
        <f>(E84*(_int_inv_l*(1+_int_inv_l)^G84)/((1+_int_inv_l)^G84-1))-(F84*_int_inv_l/((1+_int_inv_l)^G84-1))</f>
        <v>0</v>
      </c>
      <c r="I84" s="675">
        <f>IF(CP!I60=0,Data!H399*Data!$J$271,CP!I60/CP!E60)</f>
        <v>0.02</v>
      </c>
      <c r="J84" s="104">
        <f t="shared" si="72"/>
        <v>0</v>
      </c>
      <c r="K84" s="36">
        <f t="shared" si="70"/>
        <v>6.7999999999999996E-3</v>
      </c>
      <c r="L84" s="104">
        <f t="shared" si="73"/>
        <v>0</v>
      </c>
      <c r="M84" s="109">
        <f t="shared" si="74"/>
        <v>0</v>
      </c>
    </row>
    <row r="85" spans="1:23" x14ac:dyDescent="0.3">
      <c r="A85" s="664" t="str">
        <f>Data!A400</f>
        <v>Shop Tools - LARGE SIZE</v>
      </c>
      <c r="B85" s="33">
        <f>Data!B400</f>
        <v>0</v>
      </c>
      <c r="C85" s="34" t="str">
        <f>Data!C400</f>
        <v>shop tools</v>
      </c>
      <c r="D85" s="109">
        <f>Data!D400*Data!$H$13</f>
        <v>0</v>
      </c>
      <c r="E85" s="109">
        <f t="shared" si="71"/>
        <v>0</v>
      </c>
      <c r="F85" s="109">
        <f>IF(CP!K63=0,Data!I400*E85,CP!K63*B85)</f>
        <v>0</v>
      </c>
      <c r="G85" s="60">
        <f>IF(CP!$G$63=0,Data!$F$400,CP!$G$63)</f>
        <v>20</v>
      </c>
      <c r="H85" s="109">
        <f>(E85*(_int_inv_l*(1+_int_inv_l)^G85)/((1+_int_inv_l)^G85-1))-(F85*_int_inv_l/((1+_int_inv_l)^G85-1))</f>
        <v>0</v>
      </c>
      <c r="I85" s="675">
        <f>IF(CP!I63=0,Data!H400*Data!$J$271,CP!I63/CP!E63)</f>
        <v>0.02</v>
      </c>
      <c r="J85" s="109">
        <f t="shared" si="72"/>
        <v>0</v>
      </c>
      <c r="K85" s="36">
        <f t="shared" si="70"/>
        <v>6.7999999999999996E-3</v>
      </c>
      <c r="L85" s="104">
        <f t="shared" si="73"/>
        <v>0</v>
      </c>
      <c r="M85" s="109">
        <f t="shared" si="74"/>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84">
        <f>Data!B417</f>
        <v>0</v>
      </c>
      <c r="C88" s="34" t="str">
        <f>Data!C417</f>
        <v>grain cleaner</v>
      </c>
      <c r="D88" s="109">
        <f>Data!D417*Data!$H$13*CP!$H$5</f>
        <v>0</v>
      </c>
      <c r="E88" s="109">
        <f t="shared" ref="E88" si="75">D88*B88</f>
        <v>0</v>
      </c>
      <c r="F88" s="109">
        <f>IF(CP!K65=0,Data!I417*E88,CP!K65*B88)</f>
        <v>0</v>
      </c>
      <c r="G88" s="60">
        <f>IF(CP!$G$65=0,Data!$F$417,CP!$G$65)</f>
        <v>50</v>
      </c>
      <c r="H88" s="109">
        <f>(E88*(_int_inv_*(1+_int_inv_)^G88)/((1+_int_inv_)^G88-1))-(F88*_int_inv_/((1+_int_inv_)^G88-1))</f>
        <v>0</v>
      </c>
      <c r="I88" s="675">
        <f>IF(CP!I65=0,Data!H417*Data!$J$271,CP!I65/CP!E65)</f>
        <v>0.02</v>
      </c>
      <c r="J88" s="109">
        <f t="shared" ref="J88" si="76">E88*I88</f>
        <v>0</v>
      </c>
      <c r="K88" s="36">
        <f>_tax_ins_</f>
        <v>6.7999999999999996E-3</v>
      </c>
      <c r="L88" s="104">
        <f t="shared" ref="L88" si="77">E88*K88</f>
        <v>0</v>
      </c>
      <c r="M88" s="109">
        <f t="shared" ref="M88" si="78">H88+J88+L88</f>
        <v>0</v>
      </c>
    </row>
    <row r="89" spans="1:23" x14ac:dyDescent="0.3">
      <c r="A89" s="664" t="str">
        <f>Data!A418</f>
        <v>Grain Cleaner - MEDIUM SIZE</v>
      </c>
      <c r="B89" s="84">
        <f>Data!B418</f>
        <v>1</v>
      </c>
      <c r="C89" s="34" t="str">
        <f>Data!C418</f>
        <v>grain cleaner</v>
      </c>
      <c r="D89" s="109">
        <f>Data!D418*Data!$H$13</f>
        <v>0</v>
      </c>
      <c r="E89" s="109">
        <f t="shared" ref="E89:E90" si="79">D89*B89</f>
        <v>0</v>
      </c>
      <c r="F89" s="109">
        <f>IF(CP!K66=0,Data!I418*E89,CP!K66*B89)</f>
        <v>0</v>
      </c>
      <c r="G89" s="60">
        <f>IF(CP!$G$66=0,Data!$F$418,CP!$G$66)</f>
        <v>40</v>
      </c>
      <c r="H89" s="109">
        <f>(E89*(_int_inv_m*(1+_int_inv_m)^G89)/((1+_int_inv_m)^G89-1))-(F89*_int_inv_m/((1+_int_inv_m)^G89-1))</f>
        <v>0</v>
      </c>
      <c r="I89" s="675">
        <f>IF(CP!I66=0,Data!H418*Data!$J$271,CP!I66/CP!E66)</f>
        <v>0.02</v>
      </c>
      <c r="J89" s="109">
        <f t="shared" ref="J89:J90" si="80">E89*I89</f>
        <v>0</v>
      </c>
      <c r="K89" s="36">
        <f>_tax_ins_</f>
        <v>6.7999999999999996E-3</v>
      </c>
      <c r="L89" s="104">
        <f t="shared" ref="L89:L90" si="81">E89*K89</f>
        <v>0</v>
      </c>
      <c r="M89" s="109">
        <f t="shared" ref="M89:M90" si="82">H89+J89+L89</f>
        <v>0</v>
      </c>
    </row>
    <row r="90" spans="1:23" x14ac:dyDescent="0.3">
      <c r="A90" s="664" t="str">
        <f>Data!A419</f>
        <v>Grain Cleaner - LARGE SIZE</v>
      </c>
      <c r="B90" s="84">
        <f>Data!B419</f>
        <v>0</v>
      </c>
      <c r="C90" s="34" t="str">
        <f>Data!C419</f>
        <v>grain cleaner</v>
      </c>
      <c r="D90" s="109">
        <f>Data!D419*Data!$H$13</f>
        <v>0</v>
      </c>
      <c r="E90" s="109">
        <f t="shared" si="79"/>
        <v>0</v>
      </c>
      <c r="F90" s="109">
        <f>IF(CP!K67=0,Data!I419*E90,CP!K67*B90)</f>
        <v>0</v>
      </c>
      <c r="G90" s="60">
        <f>IF(CP!$G$67=0,Data!$F$419,CP!$G$67)</f>
        <v>20</v>
      </c>
      <c r="H90" s="109">
        <f>(E90*(_int_inv_l*(1+_int_inv_l)^G90)/((1+_int_inv_l)^G90-1))-(F90*_int_inv_l/((1+_int_inv_l)^G90-1))</f>
        <v>0</v>
      </c>
      <c r="I90" s="675">
        <f>IF(CP!I67=0,Data!H419*Data!$J$271,CP!I67/CP!E67)</f>
        <v>0.02</v>
      </c>
      <c r="J90" s="109">
        <f t="shared" si="80"/>
        <v>0</v>
      </c>
      <c r="K90" s="36">
        <f>_tax_ins_</f>
        <v>6.7999999999999996E-3</v>
      </c>
      <c r="L90" s="104">
        <f t="shared" si="81"/>
        <v>0</v>
      </c>
      <c r="M90" s="109">
        <f t="shared" si="82"/>
        <v>0</v>
      </c>
    </row>
    <row r="91" spans="1:23" x14ac:dyDescent="0.3">
      <c r="A91" s="664"/>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14"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Data!D423*Data!$AH$13*CP!$H$5</f>
        <v>0</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83">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Data!D424*Data!$AH$13</f>
        <v>0</v>
      </c>
      <c r="E94" s="109">
        <f t="shared" ref="E94:E95" si="84">D94*B94</f>
        <v>0</v>
      </c>
      <c r="F94" s="109">
        <f>IF(CP!K70=0,Data!I424*E94,CP!K70*B94)</f>
        <v>0</v>
      </c>
      <c r="G94" s="60">
        <f>IF(CP!$G$70=0,Data!$F$424,CP!$G$70)</f>
        <v>40</v>
      </c>
      <c r="H94" s="109">
        <f>(E94*(_int_inv_m*(1+_int_inv_m)^G94)/((1+_int_inv_m)^G94-1))-(F94*_int_inv_m/((1+_int_inv_m)^G94-1))</f>
        <v>0</v>
      </c>
      <c r="I94" s="675">
        <f>IF(CP!I70=0,Data!H424*Data!$J$271,CP!I70/CP!E70)</f>
        <v>0.02</v>
      </c>
      <c r="J94" s="109">
        <f t="shared" ref="J94:J95" si="85">E94*I94</f>
        <v>0</v>
      </c>
      <c r="K94" s="36">
        <f t="shared" si="83"/>
        <v>6.7999999999999996E-3</v>
      </c>
      <c r="L94" s="109">
        <f t="shared" ref="L94:L95" si="86">E94*K94</f>
        <v>0</v>
      </c>
      <c r="M94" s="109">
        <f t="shared" ref="M94:M95" si="87">H94+J94+L94</f>
        <v>0</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Data!D425*Data!$AH$13</f>
        <v>0</v>
      </c>
      <c r="E95" s="109">
        <f t="shared" si="84"/>
        <v>0</v>
      </c>
      <c r="F95" s="109">
        <f>IF(CP!K71=0,Data!I425*E95,CP!K71*B95)</f>
        <v>0</v>
      </c>
      <c r="G95" s="60">
        <f>IF(CP!$G$71=0,Data!$F$425,CP!$G$71)</f>
        <v>20</v>
      </c>
      <c r="H95" s="109">
        <f>(E95*(_int_inv_l*(1+_int_inv_l)^G95)/((1+_int_inv_l)^G95-1))-(F95*_int_inv_l/((1+_int_inv_l)^G95-1))</f>
        <v>0</v>
      </c>
      <c r="I95" s="675">
        <f>IF(CP!I71=0,Data!H425*Data!$J$271,CP!I71/CP!E71)</f>
        <v>0.02</v>
      </c>
      <c r="J95" s="109">
        <f t="shared" si="85"/>
        <v>0</v>
      </c>
      <c r="K95" s="36">
        <f t="shared" si="83"/>
        <v>6.7999999999999996E-3</v>
      </c>
      <c r="L95" s="109">
        <f t="shared" si="86"/>
        <v>0</v>
      </c>
      <c r="M95" s="109">
        <f t="shared" si="87"/>
        <v>0</v>
      </c>
      <c r="N95" s="34"/>
      <c r="O95" s="34"/>
      <c r="P95" s="34"/>
      <c r="Q95" s="34"/>
      <c r="R95" s="34"/>
      <c r="S95" s="34"/>
      <c r="T95" s="34"/>
      <c r="U95" s="34"/>
      <c r="V95" s="34"/>
      <c r="W95" s="34"/>
    </row>
    <row r="96" spans="1:23" x14ac:dyDescent="0.3">
      <c r="A96" s="6" t="str">
        <f>Data!A426</f>
        <v>Grain Roller</v>
      </c>
      <c r="B96" s="163">
        <f>Data!B426</f>
        <v>0</v>
      </c>
      <c r="C96" s="34" t="str">
        <f>Data!C426</f>
        <v>roller</v>
      </c>
      <c r="D96" s="109">
        <f>Data!D426*Data!$AN$13*C92</f>
        <v>0</v>
      </c>
      <c r="E96" s="109">
        <f>D96*B96</f>
        <v>0</v>
      </c>
      <c r="F96" s="109">
        <f>Data!I426*E96</f>
        <v>0</v>
      </c>
      <c r="G96" s="60">
        <f>Data!F426</f>
        <v>10</v>
      </c>
      <c r="H96" s="109">
        <f t="shared" ref="H96:H100" si="88">(E96*(_int_inv_*(1+_int_inv_)^G96)/((1+_int_inv_)^G96-1))-(F96*_int_inv_/((1+_int_inv_)^G96-1))</f>
        <v>0</v>
      </c>
      <c r="I96" s="36">
        <f>Data!H426*Data!$J$271</f>
        <v>0.02</v>
      </c>
      <c r="J96" s="109">
        <f>E96*I96</f>
        <v>0</v>
      </c>
      <c r="K96" s="36">
        <f t="shared" si="83"/>
        <v>6.7999999999999996E-3</v>
      </c>
      <c r="L96" s="109">
        <f>E96*K96</f>
        <v>0</v>
      </c>
      <c r="M96" s="109">
        <f>H96+J96+L96</f>
        <v>0</v>
      </c>
      <c r="N96" s="34"/>
      <c r="O96" s="34"/>
      <c r="P96" s="34"/>
      <c r="Q96" s="34"/>
      <c r="R96" s="34"/>
      <c r="S96" s="34"/>
      <c r="T96" s="34"/>
      <c r="U96" s="34"/>
      <c r="V96" s="34"/>
      <c r="W96" s="34"/>
    </row>
    <row r="97" spans="1:23" x14ac:dyDescent="0.3">
      <c r="A97" s="664" t="str">
        <f>Data!A437</f>
        <v>Grain Dryer (Oats) - SMALL SIZE</v>
      </c>
      <c r="B97" s="649">
        <f>Data!B437</f>
        <v>0</v>
      </c>
      <c r="C97" s="34" t="str">
        <f>Data!C437</f>
        <v>dryer</v>
      </c>
      <c r="D97" s="109">
        <f>Data!D437*Data!$D$13*$C$92*CP!$H$5</f>
        <v>0</v>
      </c>
      <c r="E97" s="109">
        <f>D97*B97</f>
        <v>0</v>
      </c>
      <c r="F97" s="109">
        <f>IF(CP!K72=0,Data!I437*E97,CP!K72*B97)</f>
        <v>0</v>
      </c>
      <c r="G97" s="60">
        <f>IF(CP!G72=0,Data!F437,CP!G72)</f>
        <v>10</v>
      </c>
      <c r="H97" s="109">
        <f t="shared" si="88"/>
        <v>0</v>
      </c>
      <c r="I97" s="675">
        <f>IF(CP!I72=0,Data!H437*Data!$J$271,CP!I72/CP!E72)</f>
        <v>0.02</v>
      </c>
      <c r="J97" s="109">
        <f>E97*I97</f>
        <v>0</v>
      </c>
      <c r="K97" s="36">
        <f t="shared" si="83"/>
        <v>6.7999999999999996E-3</v>
      </c>
      <c r="L97" s="109">
        <f>E97*K97</f>
        <v>0</v>
      </c>
      <c r="M97" s="109">
        <f>H97+J97+L97</f>
        <v>0</v>
      </c>
      <c r="N97" s="34"/>
      <c r="O97" s="34"/>
      <c r="P97" s="34"/>
      <c r="Q97" s="34"/>
      <c r="R97" s="34"/>
      <c r="S97" s="34"/>
      <c r="T97" s="34"/>
      <c r="U97" s="34"/>
      <c r="V97" s="34"/>
      <c r="W97" s="34"/>
    </row>
    <row r="98" spans="1:23" x14ac:dyDescent="0.3">
      <c r="A98" s="664" t="str">
        <f>Data!A438</f>
        <v>Grain Dryer (Oats) - MEDIUM SIZE</v>
      </c>
      <c r="B98" s="649">
        <f>Data!B438</f>
        <v>0</v>
      </c>
      <c r="C98" s="34" t="str">
        <f>Data!C438</f>
        <v>dryer</v>
      </c>
      <c r="D98" s="109">
        <f>Data!D438*Data!$D$13*$C$92</f>
        <v>0</v>
      </c>
      <c r="E98" s="109">
        <f>D98*B98</f>
        <v>0</v>
      </c>
      <c r="F98" s="109">
        <f>IF(CP!K73=0,Data!I438*E98,CP!K73*B98)</f>
        <v>0</v>
      </c>
      <c r="G98" s="60">
        <f>IF(CP!G73=0,Data!F438,CP!G73)</f>
        <v>10</v>
      </c>
      <c r="H98" s="109">
        <f t="shared" ref="H98:H99" si="89">(E98*(_int_inv_*(1+_int_inv_)^G98)/((1+_int_inv_)^G98-1))-(F98*_int_inv_/((1+_int_inv_)^G98-1))</f>
        <v>0</v>
      </c>
      <c r="I98" s="675">
        <f>IF(CP!I73=0,Data!H438*Data!$J$271,CP!I73/CP!E73)</f>
        <v>0.02</v>
      </c>
      <c r="J98" s="109">
        <f>E98*I98</f>
        <v>0</v>
      </c>
      <c r="K98" s="36">
        <f t="shared" si="83"/>
        <v>6.7999999999999996E-3</v>
      </c>
      <c r="L98" s="109">
        <f>E98*K98</f>
        <v>0</v>
      </c>
      <c r="M98" s="109">
        <f>H98+J98+L98</f>
        <v>0</v>
      </c>
      <c r="N98" s="34"/>
      <c r="O98" s="34"/>
      <c r="P98" s="34"/>
      <c r="Q98" s="34"/>
      <c r="R98" s="34"/>
      <c r="S98" s="34"/>
      <c r="T98" s="34"/>
      <c r="U98" s="34"/>
      <c r="V98" s="34"/>
      <c r="W98" s="34"/>
    </row>
    <row r="99" spans="1:23" x14ac:dyDescent="0.3">
      <c r="A99" s="664" t="str">
        <f>Data!A439</f>
        <v>Grain Dryer (Oats) - LARGE SIZE</v>
      </c>
      <c r="B99" s="649">
        <f>Data!B439</f>
        <v>0</v>
      </c>
      <c r="C99" s="34" t="str">
        <f>Data!C439</f>
        <v>dryer</v>
      </c>
      <c r="D99" s="109">
        <f>Data!D439*Data!$D$13*$C$92</f>
        <v>0</v>
      </c>
      <c r="E99" s="109">
        <f>D99*B99</f>
        <v>0</v>
      </c>
      <c r="F99" s="109">
        <f>IF(CP!K74=0,Data!I439*E99,CP!K74*B99)</f>
        <v>0</v>
      </c>
      <c r="G99" s="60">
        <f>IF(CP!G74=0,Data!F439,CP!G74)</f>
        <v>10</v>
      </c>
      <c r="H99" s="109">
        <f t="shared" si="89"/>
        <v>0</v>
      </c>
      <c r="I99" s="675">
        <f>IF(CP!I74=0,Data!H439*Data!$J$271,CP!I74/CP!E74)</f>
        <v>0.02</v>
      </c>
      <c r="J99" s="109">
        <f>E99*I99</f>
        <v>0</v>
      </c>
      <c r="K99" s="36">
        <f t="shared" si="83"/>
        <v>6.7999999999999996E-3</v>
      </c>
      <c r="L99" s="109">
        <f>E99*K99</f>
        <v>0</v>
      </c>
      <c r="M99" s="109">
        <f>H99+J99+L99</f>
        <v>0</v>
      </c>
      <c r="N99" s="34"/>
      <c r="O99" s="34"/>
      <c r="P99" s="34"/>
      <c r="Q99" s="34"/>
      <c r="R99" s="34"/>
      <c r="S99" s="34"/>
      <c r="T99" s="34"/>
      <c r="U99" s="34"/>
      <c r="V99" s="34"/>
      <c r="W99" s="34"/>
    </row>
    <row r="100" spans="1:23" x14ac:dyDescent="0.3">
      <c r="A100" s="664" t="str">
        <f>Data!A440</f>
        <v>Grain Bags (Oats) - SMALL SIZE</v>
      </c>
      <c r="B100" s="974">
        <f>Data!B440</f>
        <v>0</v>
      </c>
      <c r="C100" s="34" t="str">
        <f>Data!C440</f>
        <v>grain bag</v>
      </c>
      <c r="D100" s="109">
        <f>Data!D440*Data!$D$13*C92</f>
        <v>0</v>
      </c>
      <c r="E100" s="109">
        <f>D100*B100</f>
        <v>0</v>
      </c>
      <c r="F100" s="109">
        <f>IF(CP!K75=0,Data!I440*E100,CP!K75*B100)</f>
        <v>0</v>
      </c>
      <c r="G100" s="60">
        <f>IF(CP!$G$75=0,Data!$F$440,CP!$G$75)</f>
        <v>5</v>
      </c>
      <c r="H100" s="109">
        <f t="shared" si="88"/>
        <v>0</v>
      </c>
      <c r="I100" s="675">
        <f>IF(CP!I75=0,Data!H440*Data!$J$271,CP!I75/CP!E75)</f>
        <v>0</v>
      </c>
      <c r="J100" s="109">
        <f>E100*I100</f>
        <v>0</v>
      </c>
      <c r="K100" s="36">
        <f t="shared" si="83"/>
        <v>6.7999999999999996E-3</v>
      </c>
      <c r="L100" s="109">
        <f>E100*K100</f>
        <v>0</v>
      </c>
      <c r="M100" s="109">
        <f>H100+J100+L100</f>
        <v>0</v>
      </c>
      <c r="N100" s="34"/>
      <c r="O100" s="34"/>
      <c r="P100" s="34"/>
      <c r="Q100" s="34"/>
      <c r="R100" s="34"/>
      <c r="S100" s="34"/>
      <c r="T100" s="34"/>
      <c r="U100" s="34"/>
      <c r="V100" s="34"/>
      <c r="W100" s="34"/>
    </row>
    <row r="101" spans="1:23" x14ac:dyDescent="0.3">
      <c r="A101" s="664" t="str">
        <f>Data!A441</f>
        <v>Grain Bin (Oats) - MEDIUM SIZE</v>
      </c>
      <c r="B101" s="163">
        <f>Data!B441</f>
        <v>1</v>
      </c>
      <c r="C101" s="34" t="str">
        <f>Data!C441</f>
        <v>crop storage</v>
      </c>
      <c r="D101" s="109">
        <f>Data!D441*Data!$D$13*C92</f>
        <v>0</v>
      </c>
      <c r="E101" s="109">
        <f t="shared" ref="E101:E102" si="90">D101*B101</f>
        <v>0</v>
      </c>
      <c r="F101" s="109">
        <f>IF(CP!K76=0,Data!I441*E101,CP!K76*B101)</f>
        <v>0</v>
      </c>
      <c r="G101" s="60">
        <f>IF(CP!$G$76=0,Data!$F$441,CP!$G$76)</f>
        <v>33</v>
      </c>
      <c r="H101" s="109">
        <f>(E101*(_int_inv_m*(1+_int_inv_m)^G101)/((1+_int_inv_m)^G101-1))-(F101*_int_inv_m/((1+_int_inv_m)^G101-1))</f>
        <v>0</v>
      </c>
      <c r="I101" s="675">
        <f>IF(CP!I76=0,Data!H441*Data!$J$271,CP!I76/CP!E76)</f>
        <v>0.01</v>
      </c>
      <c r="J101" s="109">
        <f t="shared" ref="J101:J102" si="91">E101*I101</f>
        <v>0</v>
      </c>
      <c r="K101" s="36">
        <f t="shared" si="83"/>
        <v>6.7999999999999996E-3</v>
      </c>
      <c r="L101" s="109">
        <f t="shared" ref="L101:L102" si="92">E101*K101</f>
        <v>0</v>
      </c>
      <c r="M101" s="109">
        <f t="shared" ref="M101:M102" si="93">H101+J101+L101</f>
        <v>0</v>
      </c>
      <c r="N101" s="34"/>
      <c r="O101" s="34"/>
      <c r="P101" s="34"/>
      <c r="Q101" s="34"/>
      <c r="R101" s="34"/>
      <c r="S101" s="34"/>
      <c r="T101" s="34"/>
      <c r="U101" s="34"/>
      <c r="V101" s="34"/>
      <c r="W101" s="34"/>
    </row>
    <row r="102" spans="1:23" x14ac:dyDescent="0.3">
      <c r="A102" s="664" t="str">
        <f>Data!A442</f>
        <v>Grain Bin (Oats) - LARGE SIZE</v>
      </c>
      <c r="B102" s="163">
        <f>Data!B442</f>
        <v>0</v>
      </c>
      <c r="C102" s="34" t="str">
        <f>Data!C442</f>
        <v>crop storage</v>
      </c>
      <c r="D102" s="109">
        <f>Data!D442*Data!$D$13*C92</f>
        <v>0</v>
      </c>
      <c r="E102" s="109">
        <f t="shared" si="90"/>
        <v>0</v>
      </c>
      <c r="F102" s="109">
        <f>IF(CP!K77=0,Data!I442*E102,CP!K77*B102)</f>
        <v>0</v>
      </c>
      <c r="G102" s="60">
        <f>IF(CP!$G$77=0,Data!$F$442,CP!$G$77)</f>
        <v>33</v>
      </c>
      <c r="H102" s="109">
        <f>(E102*(_int_inv_l*(1+_int_inv_l)^G102)/((1+_int_inv_l)^G102-1))-(F102*_int_inv_l/((1+_int_inv_l)^G102-1))</f>
        <v>0</v>
      </c>
      <c r="I102" s="675">
        <f>IF(CP!I77=0,Data!H442*Data!$J$271,CP!I77/CP!E77)</f>
        <v>0.01</v>
      </c>
      <c r="J102" s="109">
        <f t="shared" si="91"/>
        <v>0</v>
      </c>
      <c r="K102" s="36">
        <f t="shared" si="83"/>
        <v>6.7999999999999996E-3</v>
      </c>
      <c r="L102" s="109">
        <f t="shared" si="92"/>
        <v>0</v>
      </c>
      <c r="M102" s="109">
        <f t="shared" si="93"/>
        <v>0</v>
      </c>
      <c r="N102" s="34"/>
      <c r="O102" s="34"/>
      <c r="P102" s="34"/>
      <c r="Q102" s="34"/>
      <c r="R102" s="34"/>
      <c r="S102" s="34"/>
      <c r="T102" s="34"/>
      <c r="U102" s="34"/>
      <c r="V102" s="34"/>
      <c r="W102" s="34"/>
    </row>
    <row r="103" spans="1:23" x14ac:dyDescent="0.3">
      <c r="A103" s="6"/>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IF(Data!$C$39=1,Data!B83,0)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IF(Data!$C$40=1,Data!B83,0)</f>
        <v>0</v>
      </c>
      <c r="C106" s="868" t="str">
        <f>Data!H51</f>
        <v>acre(s)</v>
      </c>
      <c r="D106" s="109">
        <f>Data!$F$61</f>
        <v>1000</v>
      </c>
      <c r="E106" s="109">
        <f t="shared" ref="E106:E107" si="94">D106*B106</f>
        <v>0</v>
      </c>
      <c r="F106" s="864" t="s">
        <v>45</v>
      </c>
      <c r="G106" s="865" t="s">
        <v>45</v>
      </c>
      <c r="H106" s="109">
        <f>E106*_int_inv_m</f>
        <v>0</v>
      </c>
      <c r="I106" s="1307">
        <f>Data!$H$61*Data!$J$271</f>
        <v>0.01</v>
      </c>
      <c r="J106" s="109">
        <f t="shared" ref="J106:J107" si="95">E106*I106</f>
        <v>0</v>
      </c>
      <c r="K106" s="36">
        <f>_tax_ins_</f>
        <v>6.7999999999999996E-3</v>
      </c>
      <c r="L106" s="109">
        <f t="shared" ref="L106:L107" si="96">E106*K106</f>
        <v>0</v>
      </c>
      <c r="M106" s="109">
        <f t="shared" ref="M106:M107" si="97">H106+J106+L106</f>
        <v>0</v>
      </c>
      <c r="N106" s="34"/>
      <c r="O106" s="34"/>
      <c r="P106" s="34"/>
      <c r="Q106" s="34"/>
      <c r="R106" s="34"/>
      <c r="S106" s="34"/>
      <c r="T106" s="34"/>
      <c r="U106" s="34"/>
      <c r="V106" s="34"/>
      <c r="W106" s="34"/>
    </row>
    <row r="107" spans="1:23" x14ac:dyDescent="0.3">
      <c r="A107" s="664" t="str">
        <f>Data!A46</f>
        <v>Interest for investment (Large model)</v>
      </c>
      <c r="B107" s="33">
        <f>IF(Data!$C$41=1,Data!B83,0)</f>
        <v>0</v>
      </c>
      <c r="C107" s="868" t="str">
        <f>Data!H51</f>
        <v>acre(s)</v>
      </c>
      <c r="D107" s="109">
        <f>Data!$F$61</f>
        <v>1000</v>
      </c>
      <c r="E107" s="109">
        <f t="shared" si="94"/>
        <v>0</v>
      </c>
      <c r="F107" s="864" t="s">
        <v>45</v>
      </c>
      <c r="G107" s="865" t="s">
        <v>45</v>
      </c>
      <c r="H107" s="109">
        <f>E107*_int_inv_l</f>
        <v>0</v>
      </c>
      <c r="I107" s="1307">
        <f>Data!$H$61*Data!$J$271</f>
        <v>0.01</v>
      </c>
      <c r="J107" s="109">
        <f t="shared" si="95"/>
        <v>0</v>
      </c>
      <c r="K107" s="36">
        <f>_tax_ins_</f>
        <v>6.7999999999999996E-3</v>
      </c>
      <c r="L107" s="109">
        <f t="shared" si="96"/>
        <v>0</v>
      </c>
      <c r="M107" s="109">
        <f t="shared" si="97"/>
        <v>0</v>
      </c>
      <c r="N107" s="34"/>
      <c r="O107" s="34"/>
      <c r="P107" s="34"/>
      <c r="Q107" s="34"/>
      <c r="R107" s="34"/>
      <c r="S107" s="34"/>
      <c r="T107" s="34"/>
      <c r="U107" s="34"/>
      <c r="V107" s="34"/>
      <c r="W107" s="34"/>
    </row>
    <row r="108" spans="1:23" x14ac:dyDescent="0.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14"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Data!D495*Data!$H$13</f>
        <v>0</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Data!D496*Data!$H$13</f>
        <v>0</v>
      </c>
      <c r="E111" s="109">
        <f t="shared" ref="E111:E112" si="98">D111*B111</f>
        <v>0</v>
      </c>
      <c r="F111" s="109">
        <f>IF(CP!K80=0,Data!I496*E111,CP!K80*B111)</f>
        <v>0</v>
      </c>
      <c r="G111" s="34">
        <f>IF(CP!$G$80=0,Data!$F$496,CP!$G$80)</f>
        <v>33</v>
      </c>
      <c r="H111" s="109">
        <f>(E111*(_int_inv_m*(1+_int_inv_m)^G111)/((1+_int_inv_m)^G111-1))-(F111*_int_inv_m/((1+_int_inv_m)^G111-1))</f>
        <v>0</v>
      </c>
      <c r="I111" s="675">
        <f>IF(CP!I80=0,Data!H496*Data!$J$271,CP!I80/CP!E80)</f>
        <v>0.01</v>
      </c>
      <c r="J111" s="109">
        <f t="shared" ref="J111:J112" si="99">E111*I111</f>
        <v>0</v>
      </c>
      <c r="K111" s="36">
        <f>_tax_ins_</f>
        <v>6.7999999999999996E-3</v>
      </c>
      <c r="L111" s="109">
        <f t="shared" ref="L111:L112" si="100">E111*K111</f>
        <v>0</v>
      </c>
      <c r="M111" s="109">
        <f t="shared" ref="M111:M112" si="101">H111+J111+L111</f>
        <v>0</v>
      </c>
    </row>
    <row r="112" spans="1:23" x14ac:dyDescent="0.3">
      <c r="A112" s="664" t="str">
        <f>Data!A497</f>
        <v>Shop/Loading Shed - LARGE SIZE</v>
      </c>
      <c r="B112" s="33">
        <f>Data!B497</f>
        <v>0</v>
      </c>
      <c r="C112" s="34" t="str">
        <f>Data!C497</f>
        <v>building</v>
      </c>
      <c r="D112" s="109">
        <f>Data!D497*Data!$H$13</f>
        <v>0</v>
      </c>
      <c r="E112" s="109">
        <f t="shared" si="98"/>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9"/>
        <v>0</v>
      </c>
      <c r="K112" s="36">
        <f>_tax_ins_</f>
        <v>6.7999999999999996E-3</v>
      </c>
      <c r="L112" s="109">
        <f t="shared" si="100"/>
        <v>0</v>
      </c>
      <c r="M112" s="109">
        <f t="shared" si="101"/>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0</v>
      </c>
      <c r="F121" s="109">
        <f>SUM(F7:F119)</f>
        <v>0</v>
      </c>
      <c r="G121" s="34"/>
      <c r="H121" s="109">
        <f>SUM(H7:H119)</f>
        <v>0</v>
      </c>
      <c r="I121" s="35"/>
      <c r="J121" s="109">
        <f>SUM(J7:J119)</f>
        <v>0</v>
      </c>
      <c r="K121" s="35"/>
      <c r="L121" s="109">
        <f>SUM(L7:L119)</f>
        <v>0</v>
      </c>
      <c r="M121" s="109">
        <f>SUM(M7:M119)</f>
        <v>0</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429</v>
      </c>
      <c r="E125" s="109">
        <f>SUM(E7:E103)</f>
        <v>0</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430</v>
      </c>
      <c r="E126" s="109">
        <f>SUM(E105:E108)</f>
        <v>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431</v>
      </c>
      <c r="E127" s="111">
        <f>SUM(E110:E113)</f>
        <v>0</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432</v>
      </c>
      <c r="E128" s="109">
        <f>SUM(E125:E127)</f>
        <v>0</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honeticPr fontId="0" type="noConversion"/>
  <pageMargins left="0.75" right="0.75" top="1" bottom="1" header="0.5" footer="0.5"/>
  <headerFooter alignWithMargins="0"/>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2"/>
  <sheetViews>
    <sheetView workbookViewId="0">
      <pane ySplit="7" topLeftCell="A71" activePane="bottomLeft" state="frozen"/>
      <selection pane="bottomLeft" activeCell="A88" sqref="A88"/>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6" x14ac:dyDescent="0.3">
      <c r="A1" s="61" t="s">
        <v>146</v>
      </c>
      <c r="B1" s="17" t="str">
        <f>model</f>
        <v>ME Grain &amp; Pulse</v>
      </c>
      <c r="E1" s="598" t="s">
        <v>106</v>
      </c>
      <c r="F1" s="55" t="s">
        <v>182</v>
      </c>
      <c r="G1" s="55" t="s">
        <v>108</v>
      </c>
    </row>
    <row r="2" spans="1:16" x14ac:dyDescent="0.3">
      <c r="E2" s="598" t="s">
        <v>104</v>
      </c>
      <c r="F2" s="26">
        <f>Data!B132</f>
        <v>282.5</v>
      </c>
      <c r="G2" s="24">
        <f>F2/$F$4</f>
        <v>1</v>
      </c>
    </row>
    <row r="3" spans="1:16" x14ac:dyDescent="0.3">
      <c r="B3" s="4"/>
      <c r="E3" s="598" t="s">
        <v>522</v>
      </c>
      <c r="F3" s="76">
        <f>(Data!B196*Data!K60)/100</f>
        <v>0</v>
      </c>
      <c r="G3" s="57">
        <f>F3/$F$4</f>
        <v>0</v>
      </c>
    </row>
    <row r="4" spans="1:16" x14ac:dyDescent="0.3">
      <c r="A4" s="7" t="s">
        <v>508</v>
      </c>
      <c r="B4" s="8" t="s">
        <v>92</v>
      </c>
      <c r="C4" s="65">
        <f>rye</f>
        <v>0</v>
      </c>
      <c r="D4" s="4" t="s">
        <v>93</v>
      </c>
      <c r="F4" s="26">
        <f>SUM(F2:F3)</f>
        <v>282.5</v>
      </c>
      <c r="G4" s="24">
        <f>SUM(G2:G3)</f>
        <v>1</v>
      </c>
    </row>
    <row r="6" spans="1:16" ht="13.5" x14ac:dyDescent="0.35">
      <c r="A6" s="5" t="s">
        <v>0</v>
      </c>
      <c r="B6" s="5"/>
    </row>
    <row r="7" spans="1:16" s="27" customFormat="1" ht="26" x14ac:dyDescent="0.3">
      <c r="A7" s="41"/>
      <c r="B7" s="391" t="s">
        <v>919</v>
      </c>
      <c r="C7" s="42" t="s">
        <v>21</v>
      </c>
      <c r="D7" s="42" t="s">
        <v>22</v>
      </c>
      <c r="E7" s="646" t="s">
        <v>900</v>
      </c>
      <c r="F7" s="42" t="s">
        <v>23</v>
      </c>
      <c r="G7" s="42" t="s">
        <v>24</v>
      </c>
      <c r="H7" s="42" t="s">
        <v>65</v>
      </c>
    </row>
    <row r="8" spans="1:16" x14ac:dyDescent="0.3">
      <c r="A8" s="3" t="s">
        <v>13</v>
      </c>
      <c r="B8" s="3"/>
      <c r="N8" s="55" t="s">
        <v>522</v>
      </c>
      <c r="O8" s="55" t="s">
        <v>105</v>
      </c>
    </row>
    <row r="9" spans="1:16" ht="13.5" thickBot="1" x14ac:dyDescent="0.35">
      <c r="A9" s="638" t="s">
        <v>522</v>
      </c>
      <c r="B9" s="405">
        <f>IF(INPUT!$E$17&gt;0,1,0)</f>
        <v>1</v>
      </c>
      <c r="C9" s="816">
        <f>INPUT!$E$17</f>
        <v>120</v>
      </c>
      <c r="D9" s="34" t="s">
        <v>126</v>
      </c>
      <c r="E9" s="226">
        <f>C9*rye</f>
        <v>0</v>
      </c>
      <c r="F9" s="371">
        <f>INPUT!$E$18</f>
        <v>0.56000000000000005</v>
      </c>
      <c r="G9" s="114">
        <f>C9*F9</f>
        <v>67.2</v>
      </c>
      <c r="H9" s="109">
        <f>B9*G9*rye</f>
        <v>0</v>
      </c>
      <c r="K9" s="904" t="s">
        <v>246</v>
      </c>
      <c r="L9" s="904" t="s">
        <v>577</v>
      </c>
      <c r="N9" s="114">
        <f>AVERAGE(0.15,0.18)</f>
        <v>0.16499999999999998</v>
      </c>
      <c r="O9" s="98">
        <v>7.9200000000000007E-2</v>
      </c>
      <c r="P9" s="17">
        <v>2002</v>
      </c>
    </row>
    <row r="10" spans="1:16" ht="13.5" thickBot="1" x14ac:dyDescent="0.35">
      <c r="A10" s="638" t="s">
        <v>125</v>
      </c>
      <c r="B10" s="405">
        <f>IF(INPUT!$E$19="Clover",1,0)</f>
        <v>0</v>
      </c>
      <c r="C10" s="816">
        <f>IF(INPUT!$E$19="Clover",INPUT!$E$21,Rv!K10)</f>
        <v>8</v>
      </c>
      <c r="D10" s="34" t="s">
        <v>126</v>
      </c>
      <c r="E10" s="226">
        <f>C10*rye</f>
        <v>0</v>
      </c>
      <c r="F10" s="371">
        <f>IF(INPUT!$E$19="Clover",INPUT!$E$22,Rv!L10)</f>
        <v>2.6</v>
      </c>
      <c r="G10" s="114">
        <f>C10*F10</f>
        <v>20.8</v>
      </c>
      <c r="H10" s="109">
        <f>B10*G10*rye</f>
        <v>0</v>
      </c>
      <c r="K10" s="273">
        <f>8</f>
        <v>8</v>
      </c>
      <c r="L10" s="905">
        <f>130/50</f>
        <v>2.6</v>
      </c>
      <c r="N10" s="193">
        <f>N9*O11</f>
        <v>0.22649305555555621</v>
      </c>
      <c r="O10" s="98">
        <v>0.18791666666666701</v>
      </c>
      <c r="P10" s="17">
        <v>2010</v>
      </c>
    </row>
    <row r="11" spans="1:16" x14ac:dyDescent="0.3">
      <c r="A11" s="638" t="s">
        <v>1143</v>
      </c>
      <c r="B11" s="405">
        <f>IF(INPUT!$E$19="Ryegrass",1,0)</f>
        <v>0</v>
      </c>
      <c r="C11" s="816">
        <f>IF(INPUT!$E$19="Ryegrass",INPUT!$E$21,Rv!K11)</f>
        <v>8</v>
      </c>
      <c r="D11" s="34" t="s">
        <v>126</v>
      </c>
      <c r="E11" s="226">
        <f>C11*rye</f>
        <v>0</v>
      </c>
      <c r="F11" s="371">
        <f>IF(INPUT!$E$19="Ryegrass",INPUT!$E$22,Rv!L11)</f>
        <v>1.4</v>
      </c>
      <c r="G11" s="114">
        <f>C11*F11</f>
        <v>11.2</v>
      </c>
      <c r="H11" s="109">
        <f>B11*G11*rye</f>
        <v>0</v>
      </c>
      <c r="K11" s="644">
        <v>8</v>
      </c>
      <c r="L11" s="905">
        <f>70/50</f>
        <v>1.4</v>
      </c>
      <c r="N11" s="55"/>
      <c r="O11" s="40">
        <f>(O10-O9)/O9</f>
        <v>1.3726851851851893</v>
      </c>
      <c r="P11" s="17" t="s">
        <v>634</v>
      </c>
    </row>
    <row r="12" spans="1:16" x14ac:dyDescent="0.3">
      <c r="A12" s="638" t="str">
        <f>IF(INPUT!$E$19="Other",INPUT!E20,"Other")</f>
        <v>Other</v>
      </c>
      <c r="B12" s="405">
        <f>IF(INPUT!$E$19="Other",1,0)</f>
        <v>0</v>
      </c>
      <c r="C12" s="816">
        <f>IF(INPUT!$E$19="Other",INPUT!$E$21,0)</f>
        <v>0</v>
      </c>
      <c r="D12" s="34" t="s">
        <v>126</v>
      </c>
      <c r="E12" s="226">
        <f>C12*rye</f>
        <v>0</v>
      </c>
      <c r="F12" s="906">
        <f>IF(INPUT!$E$19="Other",INPUT!$E$22,0)</f>
        <v>0</v>
      </c>
      <c r="G12" s="110">
        <f>C12*F12</f>
        <v>0</v>
      </c>
      <c r="H12" s="109">
        <f>B12*G12*rye</f>
        <v>0</v>
      </c>
      <c r="I12" s="108">
        <f>SUM(H8:H12)</f>
        <v>0</v>
      </c>
      <c r="N12" s="55"/>
      <c r="O12" s="40"/>
    </row>
    <row r="13" spans="1:16" x14ac:dyDescent="0.3">
      <c r="A13" s="3" t="s">
        <v>1</v>
      </c>
      <c r="B13" s="3"/>
      <c r="C13" s="46"/>
      <c r="D13" s="34"/>
      <c r="E13" s="226"/>
      <c r="F13" s="167"/>
      <c r="G13" s="114"/>
      <c r="H13" s="109"/>
      <c r="N13" s="89" t="s">
        <v>635</v>
      </c>
    </row>
    <row r="14" spans="1:16" x14ac:dyDescent="0.3">
      <c r="A14" s="6" t="s">
        <v>251</v>
      </c>
      <c r="B14" s="397">
        <v>0</v>
      </c>
      <c r="C14" s="278">
        <f>IF(Data!G128=0, 37/2000, 146.67/2000)</f>
        <v>7.3334999999999997E-2</v>
      </c>
      <c r="D14" s="34" t="s">
        <v>26</v>
      </c>
      <c r="E14" s="226">
        <f t="shared" ref="E14:E19" si="0">C14*rye</f>
        <v>0</v>
      </c>
      <c r="F14" s="608">
        <v>600</v>
      </c>
      <c r="G14" s="114">
        <f>C14*F14</f>
        <v>44.000999999999998</v>
      </c>
      <c r="H14" s="109">
        <f t="shared" ref="H14:H19" si="1">B14*G14*rye</f>
        <v>0</v>
      </c>
    </row>
    <row r="15" spans="1:16" x14ac:dyDescent="0.3">
      <c r="A15" s="6" t="s">
        <v>252</v>
      </c>
      <c r="B15" s="397">
        <v>0</v>
      </c>
      <c r="C15" s="359">
        <f>IF(Data!G128=0, 5/2000, 46/2000)</f>
        <v>2.3E-2</v>
      </c>
      <c r="D15" s="34" t="s">
        <v>26</v>
      </c>
      <c r="E15" s="226">
        <f t="shared" si="0"/>
        <v>0</v>
      </c>
      <c r="F15" s="608">
        <v>600</v>
      </c>
      <c r="G15" s="114">
        <f>C15*F15</f>
        <v>13.799999999999999</v>
      </c>
      <c r="H15" s="109">
        <f t="shared" si="1"/>
        <v>0</v>
      </c>
      <c r="I15" s="108"/>
    </row>
    <row r="16" spans="1:16" x14ac:dyDescent="0.3">
      <c r="A16" s="638" t="str">
        <f>IF(INPUT!$E$29="Chicken Manure", "Chicken Manure", "None")</f>
        <v>Chicken Manure</v>
      </c>
      <c r="B16" s="405">
        <f>IF(INPUT!$E$29="Chicken Manure",1,0)</f>
        <v>1</v>
      </c>
      <c r="C16" s="816">
        <f>IF(INPUT!$E$29="Chicken Manure",INPUT!$E$32,0)</f>
        <v>3</v>
      </c>
      <c r="D16" s="34" t="str">
        <f>IF(INPUT!$E$29="Chicken Manure",INPUT!$E$31,"ton")</f>
        <v>ton</v>
      </c>
      <c r="E16" s="226">
        <f t="shared" si="0"/>
        <v>0</v>
      </c>
      <c r="F16" s="901">
        <f>IF(INPUT!$E$29="Chicken Manure",INPUT!$E$33,0)</f>
        <v>35</v>
      </c>
      <c r="G16" s="114">
        <f>C16*F16</f>
        <v>105</v>
      </c>
      <c r="H16" s="109">
        <f t="shared" si="1"/>
        <v>0</v>
      </c>
    </row>
    <row r="17" spans="1:12" x14ac:dyDescent="0.3">
      <c r="A17" s="638" t="str">
        <f>IF(INPUT!$E$29="Chilean Nitrate", "Chilean Nitrate", "None")</f>
        <v>None</v>
      </c>
      <c r="B17" s="405">
        <f>IF(INPUT!$E$29="Chilean Nitrate",1,0)</f>
        <v>0</v>
      </c>
      <c r="C17" s="816">
        <f>IF(INPUT!$E$29="Chilean Nitrate",INPUT!$E$32,0)</f>
        <v>0</v>
      </c>
      <c r="D17" s="34" t="str">
        <f>IF(INPUT!$E$29="Chilean Nitrate",INPUT!$E$31,"lb")</f>
        <v>lb</v>
      </c>
      <c r="E17" s="226">
        <f t="shared" si="0"/>
        <v>0</v>
      </c>
      <c r="F17" s="901">
        <f>IF(INPUT!$E$29="Chilean Nitrate",INPUT!$E$33,0)</f>
        <v>0</v>
      </c>
      <c r="G17" s="110">
        <f t="shared" ref="G17:G19" si="2">C17*F17</f>
        <v>0</v>
      </c>
      <c r="H17" s="109">
        <f t="shared" si="1"/>
        <v>0</v>
      </c>
      <c r="I17" s="108"/>
    </row>
    <row r="18" spans="1:12" x14ac:dyDescent="0.3">
      <c r="A18" s="638" t="str">
        <f>INPUT!E35</f>
        <v>None</v>
      </c>
      <c r="B18" s="405">
        <f>IF(INPUT!$E$35="None",0,1)</f>
        <v>0</v>
      </c>
      <c r="C18" s="816">
        <f>INPUT!$E$38</f>
        <v>0</v>
      </c>
      <c r="D18" s="34" t="str">
        <f>IF(INPUT!$E$35="None","n/a",INPUT!$E$37)</f>
        <v>n/a</v>
      </c>
      <c r="E18" s="226">
        <f t="shared" si="0"/>
        <v>0</v>
      </c>
      <c r="F18" s="902">
        <f>INPUT!$E$39</f>
        <v>0.6</v>
      </c>
      <c r="G18" s="110">
        <f t="shared" si="2"/>
        <v>0</v>
      </c>
      <c r="H18" s="109">
        <f t="shared" si="1"/>
        <v>0</v>
      </c>
      <c r="I18" s="108">
        <f>SUM(H13:H18)</f>
        <v>0</v>
      </c>
    </row>
    <row r="19" spans="1:12" x14ac:dyDescent="0.3">
      <c r="A19" s="638" t="s">
        <v>2</v>
      </c>
      <c r="B19" s="405">
        <f>INPUT!$E$41</f>
        <v>0</v>
      </c>
      <c r="C19" s="369">
        <f>INPUT!$E$43/INPUT!$E$44</f>
        <v>0.2</v>
      </c>
      <c r="D19" s="34" t="str">
        <f>INPUT!$E$42</f>
        <v>ton</v>
      </c>
      <c r="E19" s="226">
        <f t="shared" si="0"/>
        <v>0</v>
      </c>
      <c r="F19" s="109">
        <f>INPUT!$E$45</f>
        <v>38.260869565217398</v>
      </c>
      <c r="G19" s="114">
        <f t="shared" si="2"/>
        <v>7.6521739130434803</v>
      </c>
      <c r="H19" s="109">
        <f t="shared" si="1"/>
        <v>0</v>
      </c>
      <c r="I19" s="108">
        <f>SUM(H19:H19)</f>
        <v>0</v>
      </c>
    </row>
    <row r="20" spans="1:12" x14ac:dyDescent="0.3">
      <c r="A20" s="3" t="s">
        <v>1476</v>
      </c>
      <c r="B20" s="3"/>
      <c r="C20" s="46"/>
      <c r="D20" s="34"/>
      <c r="E20" s="226"/>
      <c r="F20" s="104"/>
      <c r="G20" s="114"/>
      <c r="H20" s="109"/>
    </row>
    <row r="21" spans="1:12" x14ac:dyDescent="0.3">
      <c r="A21" s="638" t="s">
        <v>1577</v>
      </c>
      <c r="B21" s="405">
        <f>IF(INPUT!$E$47=1,1,0)</f>
        <v>0</v>
      </c>
      <c r="C21" s="816">
        <f>INPUT!$E$49</f>
        <v>0</v>
      </c>
      <c r="D21" s="34" t="str">
        <f>INPUT!$E$48</f>
        <v>lb</v>
      </c>
      <c r="E21" s="226">
        <f t="shared" ref="E21:E23" si="3">C21*rye</f>
        <v>0</v>
      </c>
      <c r="F21" s="900">
        <f>INPUT!$E$50</f>
        <v>0</v>
      </c>
      <c r="G21" s="110">
        <f>C21*F21</f>
        <v>0</v>
      </c>
      <c r="H21" s="109">
        <f t="shared" ref="H21:H23" si="4">B21*G21*rye</f>
        <v>0</v>
      </c>
    </row>
    <row r="22" spans="1:12" x14ac:dyDescent="0.3">
      <c r="A22" s="6" t="s">
        <v>1477</v>
      </c>
      <c r="B22" s="397">
        <v>0</v>
      </c>
      <c r="C22" s="273">
        <v>0</v>
      </c>
      <c r="D22" s="34" t="s">
        <v>220</v>
      </c>
      <c r="E22" s="226">
        <f t="shared" si="3"/>
        <v>0</v>
      </c>
      <c r="F22" s="252">
        <v>0</v>
      </c>
      <c r="G22" s="110">
        <f>C22*F22</f>
        <v>0</v>
      </c>
      <c r="H22" s="109">
        <f t="shared" si="4"/>
        <v>0</v>
      </c>
    </row>
    <row r="23" spans="1:12" x14ac:dyDescent="0.3">
      <c r="A23" s="6" t="s">
        <v>1479</v>
      </c>
      <c r="B23" s="397">
        <v>0</v>
      </c>
      <c r="C23" s="273">
        <v>0</v>
      </c>
      <c r="D23" s="34" t="s">
        <v>220</v>
      </c>
      <c r="E23" s="226">
        <f t="shared" si="3"/>
        <v>0</v>
      </c>
      <c r="F23" s="252">
        <v>0</v>
      </c>
      <c r="G23" s="110">
        <f>C23*F23</f>
        <v>0</v>
      </c>
      <c r="H23" s="109">
        <f t="shared" si="4"/>
        <v>0</v>
      </c>
      <c r="I23" s="108">
        <f>SUM(H20:H23)</f>
        <v>0</v>
      </c>
    </row>
    <row r="24" spans="1:12" x14ac:dyDescent="0.3">
      <c r="A24" s="3" t="s">
        <v>14</v>
      </c>
      <c r="B24" s="3"/>
      <c r="C24" s="46"/>
      <c r="D24" s="34"/>
      <c r="E24" s="226"/>
      <c r="F24" s="104"/>
      <c r="G24" s="114"/>
      <c r="H24" s="109"/>
    </row>
    <row r="25" spans="1:12" x14ac:dyDescent="0.3">
      <c r="A25" s="22" t="s">
        <v>332</v>
      </c>
      <c r="B25" s="22"/>
      <c r="C25" s="46"/>
      <c r="D25" s="34"/>
      <c r="E25" s="226"/>
      <c r="F25" s="104"/>
      <c r="G25" s="114"/>
      <c r="H25" s="109"/>
    </row>
    <row r="26" spans="1:12" x14ac:dyDescent="0.3">
      <c r="A26" s="639" t="s">
        <v>1903</v>
      </c>
      <c r="B26" s="405">
        <f>IF(OS!$I$7="Moldboard Plow",OS!J7,0)</f>
        <v>0</v>
      </c>
      <c r="C26" s="156">
        <f>IF(OSI!$E$8&gt;0,(1/OSI!$E$8),Data!$H$579)</f>
        <v>0.23980815347721804</v>
      </c>
      <c r="D26" s="34" t="s">
        <v>128</v>
      </c>
      <c r="E26" s="226">
        <f t="shared" ref="E26" si="5">C26*rye</f>
        <v>0</v>
      </c>
      <c r="F26" s="167">
        <f t="shared" ref="F26:F27" si="6">_wage_</f>
        <v>12.29</v>
      </c>
      <c r="G26" s="114">
        <f t="shared" ref="G26" si="7">C26*F26</f>
        <v>2.9472422062350097</v>
      </c>
      <c r="H26" s="109">
        <f t="shared" ref="H26" si="8">B26*G26*rye</f>
        <v>0</v>
      </c>
    </row>
    <row r="27" spans="1:12" x14ac:dyDescent="0.3">
      <c r="A27" s="639" t="s">
        <v>468</v>
      </c>
      <c r="B27" s="405">
        <f>IF(OS!$I$8="Spr.Sld.Man.",OS!J8,0)</f>
        <v>1</v>
      </c>
      <c r="C27" s="156">
        <f>IF(OSI!$E$9&gt;0,(1/OSI!$E$9),Data!$H$585)</f>
        <v>0.25</v>
      </c>
      <c r="D27" s="34" t="s">
        <v>128</v>
      </c>
      <c r="E27" s="226">
        <f t="shared" ref="E27" si="9">C27*rye</f>
        <v>0</v>
      </c>
      <c r="F27" s="167">
        <f t="shared" si="6"/>
        <v>12.29</v>
      </c>
      <c r="G27" s="114">
        <f t="shared" ref="G27" si="10">C27*F27</f>
        <v>3.0724999999999998</v>
      </c>
      <c r="H27" s="109">
        <f t="shared" ref="H27:H42" si="11">B27*G27*rye</f>
        <v>0</v>
      </c>
    </row>
    <row r="28" spans="1:12" x14ac:dyDescent="0.3">
      <c r="A28" s="640" t="s">
        <v>1427</v>
      </c>
      <c r="B28" s="405">
        <f>IF(OS!$I$9="Chisel Plow",OS!J9,0)</f>
        <v>1</v>
      </c>
      <c r="C28" s="156">
        <f>IF(OSI!$E$10&gt;0,(1/OSI!$E$10),Data!$H$580)</f>
        <v>0.11764705882352899</v>
      </c>
      <c r="D28" s="34" t="s">
        <v>128</v>
      </c>
      <c r="E28" s="226">
        <f t="shared" ref="E28:E53" si="12">C28*rye</f>
        <v>0</v>
      </c>
      <c r="F28" s="167">
        <f t="shared" ref="F28:F53" si="13">_wage_</f>
        <v>12.29</v>
      </c>
      <c r="G28" s="114">
        <f>C28*F28</f>
        <v>1.4458823529411713</v>
      </c>
      <c r="H28" s="109">
        <f t="shared" si="11"/>
        <v>0</v>
      </c>
    </row>
    <row r="29" spans="1:12" x14ac:dyDescent="0.3">
      <c r="A29" s="638" t="s">
        <v>485</v>
      </c>
      <c r="B29" s="405">
        <f>IF(OS!$I$10="Disk Harrow",OS!J10,0)</f>
        <v>1</v>
      </c>
      <c r="C29" s="645">
        <f>IF(OSI!$E$11&gt;0,(1/OSI!$E$11),Data!$H$581)</f>
        <v>8.1833060556464804E-2</v>
      </c>
      <c r="D29" s="34" t="s">
        <v>128</v>
      </c>
      <c r="E29" s="226">
        <f t="shared" si="12"/>
        <v>0</v>
      </c>
      <c r="F29" s="167">
        <f t="shared" si="13"/>
        <v>12.29</v>
      </c>
      <c r="G29" s="114">
        <f>C29*F29</f>
        <v>1.0057283142389524</v>
      </c>
      <c r="H29" s="109">
        <f t="shared" si="11"/>
        <v>0</v>
      </c>
      <c r="K29" s="55"/>
      <c r="L29" s="55"/>
    </row>
    <row r="30" spans="1:12" x14ac:dyDescent="0.3">
      <c r="A30" s="22" t="s">
        <v>315</v>
      </c>
      <c r="B30" s="397">
        <v>0</v>
      </c>
      <c r="C30" s="156">
        <f>Data!H582</f>
        <v>0.48</v>
      </c>
      <c r="D30" s="34" t="s">
        <v>128</v>
      </c>
      <c r="E30" s="226">
        <f t="shared" si="12"/>
        <v>0</v>
      </c>
      <c r="F30" s="167">
        <f t="shared" si="13"/>
        <v>12.29</v>
      </c>
      <c r="G30" s="114">
        <f t="shared" ref="G30:G53" si="14">C30*F30</f>
        <v>5.8991999999999996</v>
      </c>
      <c r="H30" s="109">
        <f t="shared" si="11"/>
        <v>0</v>
      </c>
      <c r="K30" s="55"/>
      <c r="L30" s="55"/>
    </row>
    <row r="31" spans="1:12" x14ac:dyDescent="0.3">
      <c r="A31" s="22" t="s">
        <v>581</v>
      </c>
      <c r="B31" s="397">
        <v>0</v>
      </c>
      <c r="C31" s="156">
        <f>Data!H583</f>
        <v>9.2929292929292931E-2</v>
      </c>
      <c r="D31" s="34" t="s">
        <v>128</v>
      </c>
      <c r="E31" s="226">
        <f t="shared" si="12"/>
        <v>0</v>
      </c>
      <c r="F31" s="167">
        <f t="shared" si="13"/>
        <v>12.29</v>
      </c>
      <c r="G31" s="114">
        <f t="shared" si="14"/>
        <v>1.1421010101010101</v>
      </c>
      <c r="H31" s="109">
        <f t="shared" si="11"/>
        <v>0</v>
      </c>
      <c r="K31" s="55"/>
      <c r="L31" s="55"/>
    </row>
    <row r="32" spans="1:12" x14ac:dyDescent="0.3">
      <c r="A32" s="22" t="s">
        <v>322</v>
      </c>
      <c r="B32" s="397">
        <v>0</v>
      </c>
      <c r="C32" s="273">
        <f>0</f>
        <v>0</v>
      </c>
      <c r="D32" s="34" t="s">
        <v>128</v>
      </c>
      <c r="E32" s="226">
        <f t="shared" si="12"/>
        <v>0</v>
      </c>
      <c r="F32" s="167">
        <f t="shared" si="13"/>
        <v>12.29</v>
      </c>
      <c r="G32" s="110">
        <f t="shared" si="14"/>
        <v>0</v>
      </c>
      <c r="H32" s="109">
        <f t="shared" si="11"/>
        <v>0</v>
      </c>
      <c r="K32" s="55"/>
      <c r="L32" s="55"/>
    </row>
    <row r="33" spans="1:12" ht="13.5" thickBot="1" x14ac:dyDescent="0.35">
      <c r="A33" s="639" t="s">
        <v>333</v>
      </c>
      <c r="B33" s="405">
        <f>IF(OS!$I$11="Finish Harrow",OS!J11,0)</f>
        <v>1</v>
      </c>
      <c r="C33" s="645">
        <f>IF(OSI!$E$12&gt;0,(1/OSI!$E$12),Data!$H$589)</f>
        <v>7.7041602465331302E-2</v>
      </c>
      <c r="D33" s="34" t="s">
        <v>128</v>
      </c>
      <c r="E33" s="226">
        <f t="shared" si="12"/>
        <v>0</v>
      </c>
      <c r="F33" s="167">
        <f t="shared" si="13"/>
        <v>12.29</v>
      </c>
      <c r="G33" s="114">
        <f t="shared" si="14"/>
        <v>0.94684129429892161</v>
      </c>
      <c r="H33" s="109">
        <f t="shared" si="11"/>
        <v>0</v>
      </c>
      <c r="I33" s="216" t="s">
        <v>2166</v>
      </c>
      <c r="K33" s="914" t="s">
        <v>1627</v>
      </c>
      <c r="L33" s="55"/>
    </row>
    <row r="34" spans="1:12" ht="13.5" thickBot="1" x14ac:dyDescent="0.35">
      <c r="A34" s="639" t="s">
        <v>334</v>
      </c>
      <c r="B34" s="405">
        <f>IF(OS!$I$12="Grain Drill",OS!J12,0)</f>
        <v>1</v>
      </c>
      <c r="C34" s="156">
        <f>IF(OSI!$E$13&gt;0,(1/OSI!$E$14),Data!$H$594)</f>
        <v>7.7041602465331302E-2</v>
      </c>
      <c r="D34" s="34" t="s">
        <v>128</v>
      </c>
      <c r="E34" s="226">
        <f t="shared" si="12"/>
        <v>0</v>
      </c>
      <c r="F34" s="167">
        <f t="shared" si="13"/>
        <v>12.29</v>
      </c>
      <c r="G34" s="114">
        <f t="shared" si="14"/>
        <v>0.94684129429892161</v>
      </c>
      <c r="H34" s="109">
        <f t="shared" si="11"/>
        <v>0</v>
      </c>
      <c r="I34" s="216" t="s">
        <v>1627</v>
      </c>
      <c r="K34" s="56" t="s">
        <v>1630</v>
      </c>
      <c r="L34" s="913" t="s">
        <v>1625</v>
      </c>
    </row>
    <row r="35" spans="1:12" ht="13.5" thickBot="1" x14ac:dyDescent="0.35">
      <c r="A35" s="639" t="s">
        <v>2218</v>
      </c>
      <c r="B35" s="405">
        <f>IF(OS!$I$13="Tine Harrow",OS!J13,0)</f>
        <v>0</v>
      </c>
      <c r="C35" s="645">
        <f>IF(OSI!$E$14&gt;0,(1/OSI!$E$14),Data!$H$591)</f>
        <v>7.7041602465331302E-2</v>
      </c>
      <c r="D35" s="34" t="s">
        <v>128</v>
      </c>
      <c r="E35" s="226">
        <f t="shared" si="12"/>
        <v>0</v>
      </c>
      <c r="F35" s="167">
        <f t="shared" si="13"/>
        <v>12.29</v>
      </c>
      <c r="G35" s="114">
        <f t="shared" si="14"/>
        <v>0.94684129429892161</v>
      </c>
      <c r="H35" s="109">
        <f t="shared" si="11"/>
        <v>0</v>
      </c>
      <c r="I35" s="643">
        <v>2</v>
      </c>
      <c r="J35" s="668" t="s">
        <v>2217</v>
      </c>
      <c r="K35" s="55">
        <f>IF(OS!$I$13="None",0,1)</f>
        <v>0</v>
      </c>
      <c r="L35" s="1331">
        <f>OS!J13</f>
        <v>0</v>
      </c>
    </row>
    <row r="36" spans="1:12" ht="13.5" thickBot="1" x14ac:dyDescent="0.35">
      <c r="A36" s="639" t="s">
        <v>340</v>
      </c>
      <c r="B36" s="405">
        <f>IF(OS!$I$14="Cultivate",OS!J14,0)</f>
        <v>0</v>
      </c>
      <c r="C36" s="645">
        <f>IF(OSI!$E$15&gt;0,(1/OSI!$E$15),Data!$H$606)</f>
        <v>6.4724919093851099E-2</v>
      </c>
      <c r="D36" s="34" t="s">
        <v>128</v>
      </c>
      <c r="E36" s="226">
        <f t="shared" si="12"/>
        <v>0</v>
      </c>
      <c r="F36" s="167">
        <f t="shared" si="13"/>
        <v>12.29</v>
      </c>
      <c r="G36" s="114">
        <f t="shared" si="14"/>
        <v>0.79546925566342996</v>
      </c>
      <c r="H36" s="109">
        <f t="shared" si="11"/>
        <v>0</v>
      </c>
      <c r="J36" s="668" t="s">
        <v>1607</v>
      </c>
      <c r="K36" s="55">
        <f>IF(OS!$I$14="None",0,1)</f>
        <v>0</v>
      </c>
      <c r="L36" s="1331">
        <f>OS!J14</f>
        <v>0</v>
      </c>
    </row>
    <row r="37" spans="1:12" x14ac:dyDescent="0.3">
      <c r="A37" s="639" t="s">
        <v>1626</v>
      </c>
      <c r="B37" s="405">
        <f>IF(OS!$I$15="Spr.Chilean N",OS!J15,0)</f>
        <v>0</v>
      </c>
      <c r="C37" s="645">
        <f>IF(OSI!$E$16&gt;0,(1/OSI!$E$16),Data!$H$584)</f>
        <v>9.2929292929292903E-2</v>
      </c>
      <c r="D37" s="34" t="s">
        <v>128</v>
      </c>
      <c r="E37" s="226">
        <f t="shared" si="12"/>
        <v>0</v>
      </c>
      <c r="F37" s="167">
        <f t="shared" si="13"/>
        <v>12.29</v>
      </c>
      <c r="G37" s="114">
        <f t="shared" si="14"/>
        <v>1.1421010101010096</v>
      </c>
      <c r="H37" s="109">
        <f t="shared" si="11"/>
        <v>0</v>
      </c>
      <c r="K37" s="55"/>
      <c r="L37" s="55"/>
    </row>
    <row r="38" spans="1:12" x14ac:dyDescent="0.3">
      <c r="A38" s="22" t="s">
        <v>304</v>
      </c>
      <c r="B38" s="397">
        <v>0</v>
      </c>
      <c r="C38" s="156">
        <f>Data!H599</f>
        <v>0.11851851851851852</v>
      </c>
      <c r="D38" s="34" t="s">
        <v>128</v>
      </c>
      <c r="E38" s="226">
        <f t="shared" si="12"/>
        <v>0</v>
      </c>
      <c r="F38" s="167">
        <f t="shared" si="13"/>
        <v>12.29</v>
      </c>
      <c r="G38" s="114">
        <f t="shared" si="14"/>
        <v>1.4565925925925924</v>
      </c>
      <c r="H38" s="109">
        <f t="shared" si="11"/>
        <v>0</v>
      </c>
      <c r="K38" s="55"/>
      <c r="L38" s="55"/>
    </row>
    <row r="39" spans="1:12" x14ac:dyDescent="0.3">
      <c r="A39" s="639" t="s">
        <v>1628</v>
      </c>
      <c r="B39" s="405">
        <f>IF(OS!$I$16="Spray Fung.",OS!J16,0)</f>
        <v>0</v>
      </c>
      <c r="C39" s="156">
        <f>IF(OSI!$E$17&gt;0,(1/OSI!$E$17),Data!$H$601)</f>
        <v>2.169668040789759E-2</v>
      </c>
      <c r="D39" s="34" t="s">
        <v>128</v>
      </c>
      <c r="E39" s="226">
        <f t="shared" si="12"/>
        <v>0</v>
      </c>
      <c r="F39" s="167">
        <f t="shared" si="13"/>
        <v>12.29</v>
      </c>
      <c r="G39" s="114">
        <f t="shared" si="14"/>
        <v>0.26665220221306135</v>
      </c>
      <c r="H39" s="109">
        <f t="shared" si="11"/>
        <v>0</v>
      </c>
      <c r="K39" s="55"/>
      <c r="L39" s="55"/>
    </row>
    <row r="40" spans="1:12" x14ac:dyDescent="0.3">
      <c r="A40" s="639" t="s">
        <v>1319</v>
      </c>
      <c r="B40" s="405">
        <f>IF(OS!$I$18="Combine",OS!J18,0)</f>
        <v>1</v>
      </c>
      <c r="C40" s="156">
        <f>IF(OSI!$E$19&gt;0,(1/OSI!$E$19),Data!$H$614)</f>
        <v>0.33333333333333298</v>
      </c>
      <c r="D40" s="34" t="s">
        <v>128</v>
      </c>
      <c r="E40" s="226">
        <f t="shared" si="12"/>
        <v>0</v>
      </c>
      <c r="F40" s="167">
        <f t="shared" si="13"/>
        <v>12.29</v>
      </c>
      <c r="G40" s="114">
        <f t="shared" si="14"/>
        <v>4.0966666666666622</v>
      </c>
      <c r="H40" s="109">
        <f t="shared" si="11"/>
        <v>0</v>
      </c>
      <c r="K40" s="55"/>
      <c r="L40" s="55"/>
    </row>
    <row r="41" spans="1:12" x14ac:dyDescent="0.3">
      <c r="A41" s="666" t="s">
        <v>1022</v>
      </c>
      <c r="B41" s="397">
        <v>0</v>
      </c>
      <c r="C41" s="47">
        <f>Data!$H$615*Data!$F$197</f>
        <v>0</v>
      </c>
      <c r="D41" s="48" t="s">
        <v>115</v>
      </c>
      <c r="E41" s="647">
        <f>C41*rye</f>
        <v>0</v>
      </c>
      <c r="F41" s="118">
        <f>_wage_</f>
        <v>12.29</v>
      </c>
      <c r="G41" s="465">
        <f>C41*F41</f>
        <v>0</v>
      </c>
      <c r="H41" s="123">
        <f>B41*G41*rye</f>
        <v>0</v>
      </c>
      <c r="K41" s="55"/>
      <c r="L41" s="55"/>
    </row>
    <row r="42" spans="1:12" x14ac:dyDescent="0.3">
      <c r="A42" s="639" t="s">
        <v>2084</v>
      </c>
      <c r="B42" s="405">
        <f>IF(OS!$I$19="Truck",OS!J19,0)</f>
        <v>1</v>
      </c>
      <c r="C42" s="156">
        <f>IF(OSI!$E$20&gt;0,(1/OSI!$E$20),Data!$H$628)</f>
        <v>5.2539173489355794E-2</v>
      </c>
      <c r="D42" s="34" t="s">
        <v>128</v>
      </c>
      <c r="E42" s="226">
        <f t="shared" si="12"/>
        <v>0</v>
      </c>
      <c r="F42" s="167">
        <f t="shared" si="13"/>
        <v>12.29</v>
      </c>
      <c r="G42" s="114">
        <f t="shared" si="14"/>
        <v>0.64570644218418261</v>
      </c>
      <c r="H42" s="109">
        <f t="shared" si="11"/>
        <v>0</v>
      </c>
      <c r="K42" s="55"/>
      <c r="L42" s="55"/>
    </row>
    <row r="43" spans="1:12" x14ac:dyDescent="0.3">
      <c r="A43" s="666" t="s">
        <v>1022</v>
      </c>
      <c r="B43" s="405">
        <f>B42</f>
        <v>1</v>
      </c>
      <c r="C43" s="47">
        <f>Data!$H$629*Data!$F$197</f>
        <v>0</v>
      </c>
      <c r="D43" s="48" t="s">
        <v>115</v>
      </c>
      <c r="E43" s="647">
        <f>C43*rye</f>
        <v>0</v>
      </c>
      <c r="F43" s="118">
        <f>_wage_</f>
        <v>12.29</v>
      </c>
      <c r="G43" s="465">
        <f>C43*F43</f>
        <v>0</v>
      </c>
      <c r="H43" s="123">
        <f>B43*G43*rye</f>
        <v>0</v>
      </c>
      <c r="K43" s="55"/>
      <c r="L43" s="55"/>
    </row>
    <row r="44" spans="1:12" x14ac:dyDescent="0.3">
      <c r="A44" s="22" t="s">
        <v>756</v>
      </c>
      <c r="B44" s="405">
        <f>Data!$B$31</f>
        <v>0</v>
      </c>
      <c r="C44" s="156">
        <f>Data!H648*Data!B31</f>
        <v>0</v>
      </c>
      <c r="D44" s="34" t="s">
        <v>128</v>
      </c>
      <c r="E44" s="226">
        <f t="shared" si="12"/>
        <v>0</v>
      </c>
      <c r="F44" s="167">
        <f t="shared" si="13"/>
        <v>12.29</v>
      </c>
      <c r="G44" s="114">
        <f t="shared" si="14"/>
        <v>0</v>
      </c>
      <c r="H44" s="109">
        <f>(B44*G44*rye)*Data!$B$31*Data!$H$31</f>
        <v>0</v>
      </c>
      <c r="I44" s="87"/>
    </row>
    <row r="45" spans="1:12" x14ac:dyDescent="0.3">
      <c r="A45" s="22" t="s">
        <v>757</v>
      </c>
      <c r="B45" s="405">
        <f>Data!$B$31*Data!$C$31</f>
        <v>0</v>
      </c>
      <c r="C45" s="156">
        <f>Data!H649*Data!B31</f>
        <v>0</v>
      </c>
      <c r="D45" s="34" t="s">
        <v>128</v>
      </c>
      <c r="E45" s="226">
        <f t="shared" si="12"/>
        <v>0</v>
      </c>
      <c r="F45" s="167">
        <f t="shared" si="13"/>
        <v>12.29</v>
      </c>
      <c r="G45" s="114">
        <f t="shared" si="14"/>
        <v>0</v>
      </c>
      <c r="H45" s="109">
        <f>(B45*G45*rye)*Data!$B$31*Data!$C$31*Data!$F$31</f>
        <v>0</v>
      </c>
      <c r="I45" s="87"/>
    </row>
    <row r="46" spans="1:12" x14ac:dyDescent="0.3">
      <c r="A46" s="9" t="s">
        <v>1022</v>
      </c>
      <c r="B46" s="405">
        <f>Data!$B$31*Data!$C$31*0</f>
        <v>0</v>
      </c>
      <c r="C46" s="47">
        <f>Data!$H$650*Data!$F$197*Data!B31</f>
        <v>0</v>
      </c>
      <c r="D46" s="48" t="s">
        <v>115</v>
      </c>
      <c r="E46" s="647">
        <f>C46*rye</f>
        <v>0</v>
      </c>
      <c r="F46" s="118">
        <f>_wage_</f>
        <v>12.29</v>
      </c>
      <c r="G46" s="465">
        <f>C46*F46</f>
        <v>0</v>
      </c>
      <c r="H46" s="123">
        <f>(B46*G46*rye)*Data!$B$31*Data!$C$31*Data!$F$31</f>
        <v>0</v>
      </c>
      <c r="I46" s="87"/>
    </row>
    <row r="47" spans="1:12" x14ac:dyDescent="0.3">
      <c r="A47" s="22" t="s">
        <v>752</v>
      </c>
      <c r="B47" s="405">
        <f>Data!$B$31*Data!$C$31</f>
        <v>0</v>
      </c>
      <c r="C47" s="156">
        <f>Data!H651*Data!B31</f>
        <v>0</v>
      </c>
      <c r="D47" s="34" t="s">
        <v>128</v>
      </c>
      <c r="E47" s="226">
        <f t="shared" si="12"/>
        <v>0</v>
      </c>
      <c r="F47" s="167">
        <f t="shared" si="13"/>
        <v>12.29</v>
      </c>
      <c r="G47" s="114">
        <f t="shared" si="14"/>
        <v>0</v>
      </c>
      <c r="H47" s="109">
        <f>(B47*G47*rye)*Data!$B$31*Data!$C$31*Data!$F$31</f>
        <v>0</v>
      </c>
      <c r="I47" s="87"/>
    </row>
    <row r="48" spans="1:12" x14ac:dyDescent="0.3">
      <c r="A48" s="9" t="s">
        <v>1022</v>
      </c>
      <c r="B48" s="405">
        <f>Data!$B$31*Data!$C$31</f>
        <v>0</v>
      </c>
      <c r="C48" s="47">
        <f>Data!$H$652*Data!$F$197*Data!B31</f>
        <v>0</v>
      </c>
      <c r="D48" s="48" t="s">
        <v>115</v>
      </c>
      <c r="E48" s="647">
        <f>C48*rye</f>
        <v>0</v>
      </c>
      <c r="F48" s="118">
        <f>_wage_</f>
        <v>12.29</v>
      </c>
      <c r="G48" s="465">
        <f>C48*F48</f>
        <v>0</v>
      </c>
      <c r="H48" s="123">
        <f>(B48*G48*rye)*Data!$B$31*Data!$C$31*Data!$F$31</f>
        <v>0</v>
      </c>
      <c r="I48" s="87"/>
    </row>
    <row r="49" spans="1:22" x14ac:dyDescent="0.3">
      <c r="A49" s="22" t="s">
        <v>758</v>
      </c>
      <c r="B49" s="405">
        <f>Data!$B$31*Data!$D$31</f>
        <v>0</v>
      </c>
      <c r="C49" s="156">
        <f>Data!H653*Data!B31</f>
        <v>0</v>
      </c>
      <c r="D49" s="34" t="s">
        <v>128</v>
      </c>
      <c r="E49" s="226">
        <f t="shared" si="12"/>
        <v>0</v>
      </c>
      <c r="F49" s="167">
        <f t="shared" si="13"/>
        <v>12.29</v>
      </c>
      <c r="G49" s="114">
        <f t="shared" si="14"/>
        <v>0</v>
      </c>
      <c r="H49" s="109">
        <f>(B49*G49*rye)*Data!$B$31*Data!$D$31*Data!$G$31</f>
        <v>0</v>
      </c>
      <c r="I49" s="87"/>
    </row>
    <row r="50" spans="1:22" x14ac:dyDescent="0.3">
      <c r="A50" s="9" t="s">
        <v>1022</v>
      </c>
      <c r="B50" s="405">
        <f>Data!$B$31*Data!$D$31*0</f>
        <v>0</v>
      </c>
      <c r="C50" s="47">
        <f>Data!$H$654*Data!$F$197*Data!B31</f>
        <v>0</v>
      </c>
      <c r="D50" s="48" t="s">
        <v>115</v>
      </c>
      <c r="E50" s="647">
        <f>C50*rye</f>
        <v>0</v>
      </c>
      <c r="F50" s="118">
        <f>_wage_</f>
        <v>12.29</v>
      </c>
      <c r="G50" s="465">
        <f>C50*F50</f>
        <v>0</v>
      </c>
      <c r="H50" s="123">
        <f>(B50*G50*rye)*Data!$B$31*Data!$D$31*Data!$G$31</f>
        <v>0</v>
      </c>
      <c r="I50" s="87"/>
    </row>
    <row r="51" spans="1:22" x14ac:dyDescent="0.3">
      <c r="A51" s="22" t="s">
        <v>753</v>
      </c>
      <c r="B51" s="405">
        <f>Data!$B$31*Data!$D$31</f>
        <v>0</v>
      </c>
      <c r="C51" s="156">
        <f>Data!H655*Data!B31</f>
        <v>0</v>
      </c>
      <c r="D51" s="34" t="s">
        <v>128</v>
      </c>
      <c r="E51" s="226">
        <f t="shared" si="12"/>
        <v>0</v>
      </c>
      <c r="F51" s="167">
        <f t="shared" si="13"/>
        <v>12.29</v>
      </c>
      <c r="G51" s="114">
        <f t="shared" si="14"/>
        <v>0</v>
      </c>
      <c r="H51" s="109">
        <f>(B51*G51*rye)*Data!$B$31*Data!$D$31*Data!$G$31</f>
        <v>0</v>
      </c>
      <c r="I51" s="87"/>
    </row>
    <row r="52" spans="1:22" x14ac:dyDescent="0.3">
      <c r="A52" s="9" t="s">
        <v>1022</v>
      </c>
      <c r="B52" s="405">
        <f>Data!$B$31*Data!$D$31</f>
        <v>0</v>
      </c>
      <c r="C52" s="47">
        <f>Data!$H$656*Data!$F$197*Data!B31</f>
        <v>0</v>
      </c>
      <c r="D52" s="48" t="s">
        <v>115</v>
      </c>
      <c r="E52" s="647">
        <f>C52*rye</f>
        <v>0</v>
      </c>
      <c r="F52" s="118">
        <f>_wage_</f>
        <v>12.29</v>
      </c>
      <c r="G52" s="465">
        <f>C52*F52</f>
        <v>0</v>
      </c>
      <c r="H52" s="123">
        <f>(B52*G52*rye)*Data!$B$31*Data!$D$31*Data!$G$31</f>
        <v>0</v>
      </c>
      <c r="I52" s="87"/>
    </row>
    <row r="53" spans="1:22" x14ac:dyDescent="0.3">
      <c r="A53" s="22" t="s">
        <v>759</v>
      </c>
      <c r="B53" s="397">
        <v>0</v>
      </c>
      <c r="C53" s="156">
        <f>Data!H657*Data!B31</f>
        <v>0</v>
      </c>
      <c r="D53" s="34" t="s">
        <v>128</v>
      </c>
      <c r="E53" s="226">
        <f t="shared" si="12"/>
        <v>0</v>
      </c>
      <c r="F53" s="167">
        <f t="shared" si="13"/>
        <v>12.29</v>
      </c>
      <c r="G53" s="114">
        <f t="shared" si="14"/>
        <v>0</v>
      </c>
      <c r="H53" s="109">
        <f>(B53*G53*rye)*Data!$B$31*Data!$H$31</f>
        <v>0</v>
      </c>
      <c r="I53" s="87"/>
    </row>
    <row r="54" spans="1:22" x14ac:dyDescent="0.3">
      <c r="A54" s="9" t="s">
        <v>1022</v>
      </c>
      <c r="B54" s="405">
        <f>B53</f>
        <v>0</v>
      </c>
      <c r="C54" s="47">
        <f>Data!$H$658*Data!$F$197*Data!B31</f>
        <v>0</v>
      </c>
      <c r="D54" s="48" t="s">
        <v>115</v>
      </c>
      <c r="E54" s="647">
        <f>C54*rye</f>
        <v>0</v>
      </c>
      <c r="F54" s="118">
        <f>_wage_</f>
        <v>12.29</v>
      </c>
      <c r="G54" s="465">
        <f>C54*F54</f>
        <v>0</v>
      </c>
      <c r="H54" s="123">
        <f>(B54*G54*rye)*Data!$B$31*Data!$H$31</f>
        <v>0</v>
      </c>
      <c r="I54" s="87"/>
    </row>
    <row r="55" spans="1:22" x14ac:dyDescent="0.3">
      <c r="A55" s="639" t="s">
        <v>1435</v>
      </c>
      <c r="B55" s="832"/>
      <c r="C55" s="47"/>
      <c r="D55" s="48"/>
      <c r="E55" s="647"/>
      <c r="F55" s="118"/>
      <c r="G55" s="465"/>
      <c r="H55" s="123"/>
      <c r="I55" s="87"/>
    </row>
    <row r="56" spans="1:22" x14ac:dyDescent="0.3">
      <c r="A56" s="638" t="s">
        <v>1436</v>
      </c>
      <c r="B56" s="405">
        <f>IF(OS!$I$20="Clean",OS!J20,0)</f>
        <v>1</v>
      </c>
      <c r="C56" s="156">
        <f>IF(OSI!$E$21&gt;0,(1/OSI!$E$21),Data!$H$663)</f>
        <v>0.78400000000000003</v>
      </c>
      <c r="D56" s="34" t="s">
        <v>128</v>
      </c>
      <c r="E56" s="226">
        <f t="shared" ref="E56" si="15">C56*rye</f>
        <v>0</v>
      </c>
      <c r="F56" s="167">
        <f t="shared" ref="F56" si="16">_wage_</f>
        <v>12.29</v>
      </c>
      <c r="G56" s="114">
        <f t="shared" ref="G56" si="17">C56*F56</f>
        <v>9.6353600000000004</v>
      </c>
      <c r="H56" s="109">
        <f>B56*G56*rye</f>
        <v>0</v>
      </c>
      <c r="I56" s="87"/>
    </row>
    <row r="57" spans="1:22" x14ac:dyDescent="0.3">
      <c r="A57" s="666" t="s">
        <v>1022</v>
      </c>
      <c r="B57" s="405">
        <f>B56</f>
        <v>1</v>
      </c>
      <c r="C57" s="47">
        <f>Data!H664*Data!$F$197</f>
        <v>0</v>
      </c>
      <c r="D57" s="48" t="s">
        <v>115</v>
      </c>
      <c r="E57" s="647">
        <f>C57*rye</f>
        <v>0</v>
      </c>
      <c r="F57" s="118">
        <f>_wage_</f>
        <v>12.29</v>
      </c>
      <c r="G57" s="465">
        <f>C57*F57</f>
        <v>0</v>
      </c>
      <c r="H57" s="123">
        <f>B57*G57*rye</f>
        <v>0</v>
      </c>
      <c r="I57" s="87"/>
      <c r="K57" s="55"/>
      <c r="L57" s="4" t="s">
        <v>1077</v>
      </c>
    </row>
    <row r="58" spans="1:22" x14ac:dyDescent="0.3">
      <c r="A58" s="639" t="s">
        <v>1147</v>
      </c>
      <c r="B58" s="22"/>
      <c r="C58" s="46"/>
      <c r="D58" s="34"/>
      <c r="E58" s="226"/>
      <c r="F58" s="90"/>
      <c r="G58" s="114"/>
      <c r="H58" s="109"/>
      <c r="J58" s="588">
        <f>OSI!$E$69</f>
        <v>30000</v>
      </c>
      <c r="K58" s="17" t="s">
        <v>220</v>
      </c>
      <c r="L58" s="17">
        <f>J58/2000</f>
        <v>15</v>
      </c>
      <c r="M58" s="17" t="s">
        <v>26</v>
      </c>
      <c r="N58" s="588">
        <f>OSI!$C$69</f>
        <v>500</v>
      </c>
      <c r="O58" s="17" t="s">
        <v>931</v>
      </c>
      <c r="P58" s="93" t="s">
        <v>944</v>
      </c>
      <c r="Q58" s="93"/>
      <c r="S58" s="588">
        <f>N58*Data!$K$60</f>
        <v>28000</v>
      </c>
      <c r="T58" s="17" t="s">
        <v>220</v>
      </c>
      <c r="U58" s="589">
        <f>S58/J58</f>
        <v>0.93333333333333335</v>
      </c>
    </row>
    <row r="59" spans="1:22" x14ac:dyDescent="0.3">
      <c r="A59" s="638" t="s">
        <v>1145</v>
      </c>
      <c r="B59" s="405">
        <f>IF(OS!$I$21="Dry",OS!J21,0)</f>
        <v>1</v>
      </c>
      <c r="C59" s="369">
        <f>IF(OSI!$E$22&gt;0,(1/OSI!$E$22),Data!$H$683)</f>
        <v>0.27870827301258499</v>
      </c>
      <c r="D59" s="34" t="s">
        <v>115</v>
      </c>
      <c r="E59" s="226">
        <f>C59*rye</f>
        <v>0</v>
      </c>
      <c r="F59" s="167">
        <f>_wage_</f>
        <v>12.29</v>
      </c>
      <c r="G59" s="114">
        <f>C59*F59</f>
        <v>3.4253246753246693</v>
      </c>
      <c r="H59" s="110">
        <f>B59*G59*rye*G3</f>
        <v>0</v>
      </c>
      <c r="I59" s="108"/>
      <c r="J59" s="588">
        <f>OSI!$E$70</f>
        <v>180</v>
      </c>
      <c r="K59" s="17" t="s">
        <v>220</v>
      </c>
      <c r="L59" s="17">
        <f>J59/2000</f>
        <v>0.09</v>
      </c>
      <c r="M59" s="17" t="s">
        <v>26</v>
      </c>
      <c r="N59" s="588">
        <f>OSI!$C$70</f>
        <v>3</v>
      </c>
      <c r="O59" s="17" t="s">
        <v>931</v>
      </c>
      <c r="P59" s="93" t="s">
        <v>945</v>
      </c>
      <c r="Q59" s="93"/>
      <c r="S59" s="588">
        <f>N59*Data!$K$60</f>
        <v>168</v>
      </c>
      <c r="T59" s="17" t="s">
        <v>220</v>
      </c>
      <c r="U59" s="589">
        <f>S59/J59</f>
        <v>0.93333333333333335</v>
      </c>
    </row>
    <row r="60" spans="1:22" x14ac:dyDescent="0.3">
      <c r="A60" s="666" t="s">
        <v>1022</v>
      </c>
      <c r="B60" s="405">
        <f>B59</f>
        <v>1</v>
      </c>
      <c r="C60" s="47">
        <f>C59*Data!$F$197</f>
        <v>0</v>
      </c>
      <c r="D60" s="48" t="s">
        <v>115</v>
      </c>
      <c r="E60" s="647">
        <f>C60*rye</f>
        <v>0</v>
      </c>
      <c r="F60" s="118">
        <f>_wage_</f>
        <v>12.29</v>
      </c>
      <c r="G60" s="465">
        <f>C60*F60</f>
        <v>0</v>
      </c>
      <c r="H60" s="123">
        <f>B60*G60*rye</f>
        <v>0</v>
      </c>
      <c r="I60" s="108">
        <f>SUM(H25:H60)</f>
        <v>0</v>
      </c>
      <c r="K60" s="55"/>
      <c r="L60" s="55"/>
    </row>
    <row r="61" spans="1:22" x14ac:dyDescent="0.3">
      <c r="A61" s="1258" t="s">
        <v>2090</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IF(OSI!$E$77&gt;0,1*$P$73,0)</f>
        <v>1</v>
      </c>
      <c r="C63" s="410">
        <f>IF(rye&gt;0,($T$63*((Data!$B$196*rye)/$N$58))/rye,0)</f>
        <v>0</v>
      </c>
      <c r="D63" s="34" t="s">
        <v>115</v>
      </c>
      <c r="E63" s="46">
        <f t="shared" ref="E63:E68" si="18">C63*rye</f>
        <v>0</v>
      </c>
      <c r="F63" s="167">
        <f t="shared" ref="F63:F68" si="19">_wage_</f>
        <v>12.29</v>
      </c>
      <c r="G63" s="114">
        <f t="shared" ref="G63:G68" si="20">C63*F63</f>
        <v>0</v>
      </c>
      <c r="H63" s="110">
        <f t="shared" ref="H63:H68" si="21">B63*G63*rye</f>
        <v>0</v>
      </c>
      <c r="J63" s="55" t="s">
        <v>762</v>
      </c>
      <c r="K63" s="816">
        <f>B63</f>
        <v>1</v>
      </c>
      <c r="L63" s="168">
        <f>IF(rye&gt;0,(K63*(T63*_wage_)*((Data!$B$196*rye)/$N$58))/rye,0)</f>
        <v>0</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IF(Data!$F$197=0,0,1*$P$73)</f>
        <v>0</v>
      </c>
      <c r="C64" s="593">
        <f>C63*Data!$F$197</f>
        <v>0</v>
      </c>
      <c r="D64" s="48" t="s">
        <v>115</v>
      </c>
      <c r="E64" s="47">
        <f t="shared" si="18"/>
        <v>0</v>
      </c>
      <c r="F64" s="118">
        <f t="shared" si="19"/>
        <v>12.29</v>
      </c>
      <c r="G64" s="465">
        <f t="shared" si="20"/>
        <v>0</v>
      </c>
      <c r="H64" s="123">
        <f t="shared" si="21"/>
        <v>0</v>
      </c>
      <c r="J64" s="55" t="s">
        <v>943</v>
      </c>
      <c r="K64" s="816">
        <f>B65</f>
        <v>0</v>
      </c>
      <c r="L64" s="114">
        <f>IF(rye&gt;0,(K64*(T64*_wage_)*((Data!$E$196*rye)/$U$64))/rye,0)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(U64*Data!$E$194)/Data!$H$194</f>
        <v>200</v>
      </c>
    </row>
    <row r="65" spans="1:22" x14ac:dyDescent="0.3">
      <c r="A65" s="638" t="s">
        <v>940</v>
      </c>
      <c r="B65" s="405">
        <f>IF(OSI!$E$81&gt;0,Data!$B$31*Data!$C$31*$P$74,0)</f>
        <v>0</v>
      </c>
      <c r="C65" s="410">
        <f>IF(rye&gt;0,($T$64*(Rb!$B$17/Rv!$S$116))/rye,0)</f>
        <v>0</v>
      </c>
      <c r="D65" s="34" t="s">
        <v>115</v>
      </c>
      <c r="E65" s="46">
        <f t="shared" si="18"/>
        <v>0</v>
      </c>
      <c r="F65" s="167">
        <f t="shared" si="19"/>
        <v>12.29</v>
      </c>
      <c r="G65" s="114">
        <f t="shared" si="20"/>
        <v>0</v>
      </c>
      <c r="H65" s="110">
        <f t="shared" si="21"/>
        <v>0</v>
      </c>
      <c r="J65" s="55" t="s">
        <v>948</v>
      </c>
      <c r="K65" s="816">
        <f>B67</f>
        <v>0</v>
      </c>
      <c r="L65" s="114">
        <f>IF(rye&gt;0,(K65*(T65*_wage_)*((Data!$H$196*rye)/$V$64))/rye,0)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IF(Data!$F$198=0,0,1*$P$74)</f>
        <v>0</v>
      </c>
      <c r="C66" s="593">
        <f>C65*Data!$F$198</f>
        <v>0</v>
      </c>
      <c r="D66" s="48" t="s">
        <v>115</v>
      </c>
      <c r="E66" s="47">
        <f t="shared" si="18"/>
        <v>0</v>
      </c>
      <c r="F66" s="118">
        <f t="shared" si="19"/>
        <v>12.29</v>
      </c>
      <c r="G66" s="465">
        <f t="shared" si="20"/>
        <v>0</v>
      </c>
      <c r="H66" s="123">
        <f t="shared" si="21"/>
        <v>0</v>
      </c>
      <c r="Q66" s="216" t="s">
        <v>933</v>
      </c>
      <c r="R66" s="216" t="s">
        <v>933</v>
      </c>
      <c r="S66" s="216" t="s">
        <v>2047</v>
      </c>
      <c r="T66" s="216" t="s">
        <v>2050</v>
      </c>
    </row>
    <row r="67" spans="1:22" x14ac:dyDescent="0.3">
      <c r="A67" s="638" t="s">
        <v>941</v>
      </c>
      <c r="B67" s="405">
        <f>IF(OSI!$E$85&gt;0,Data!$B$31*Data!$D$31*$P$75,0)</f>
        <v>0</v>
      </c>
      <c r="C67" s="410">
        <f>IF(rye&gt;0,($T$65*(Rb!$B$19/Rv!$T$116))/rye,0)</f>
        <v>0</v>
      </c>
      <c r="D67" s="34" t="s">
        <v>115</v>
      </c>
      <c r="E67" s="46">
        <f t="shared" si="18"/>
        <v>0</v>
      </c>
      <c r="F67" s="167">
        <f t="shared" si="19"/>
        <v>12.29</v>
      </c>
      <c r="G67" s="114">
        <f t="shared" si="20"/>
        <v>0</v>
      </c>
      <c r="H67" s="110">
        <f t="shared" si="21"/>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IF(Data!$F$198=0,0,1*$P$75)</f>
        <v>0</v>
      </c>
      <c r="C68" s="593">
        <f>C67*Data!$F$198</f>
        <v>0</v>
      </c>
      <c r="D68" s="48" t="s">
        <v>115</v>
      </c>
      <c r="E68" s="47">
        <f t="shared" si="18"/>
        <v>0</v>
      </c>
      <c r="F68" s="118">
        <f t="shared" si="19"/>
        <v>12.29</v>
      </c>
      <c r="G68" s="465">
        <f t="shared" si="20"/>
        <v>0</v>
      </c>
      <c r="H68" s="123">
        <f t="shared" si="21"/>
        <v>0</v>
      </c>
      <c r="J68" s="55" t="s">
        <v>762</v>
      </c>
      <c r="K68" s="816">
        <f>B70</f>
        <v>0</v>
      </c>
      <c r="L68" s="168">
        <f>IF(rye&gt;0,(K68*(T68*_wage_)*((Data!$B$196*rye)/$N$59))/rye,0)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IF(rye&gt;0,(K69*(T69*_wage_)*((Data!$E$196*rye)/$U$69))/rye,0)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(U69*Data!$E$194)/Data!$H$194</f>
        <v>400</v>
      </c>
    </row>
    <row r="70" spans="1:22" x14ac:dyDescent="0.3">
      <c r="A70" s="638" t="s">
        <v>939</v>
      </c>
      <c r="B70" s="405">
        <f>IF(OSI!$E$78&gt;0,1*$Q$73,0)</f>
        <v>0</v>
      </c>
      <c r="C70" s="410">
        <f>IF(rye&gt;0,($T$68*((Data!$B$196*rye)/$N$59))/rye,0)</f>
        <v>0</v>
      </c>
      <c r="D70" s="34" t="s">
        <v>115</v>
      </c>
      <c r="E70" s="46">
        <f t="shared" ref="E70:E75" si="22">C70*rye</f>
        <v>0</v>
      </c>
      <c r="F70" s="167">
        <f t="shared" ref="F70:F75" si="23">_wage_</f>
        <v>12.29</v>
      </c>
      <c r="G70" s="114">
        <f t="shared" ref="G70:G75" si="24">C70*F70</f>
        <v>0</v>
      </c>
      <c r="H70" s="110">
        <f t="shared" ref="H70:H75" si="25">B70*G70*rye</f>
        <v>0</v>
      </c>
      <c r="J70" s="55" t="s">
        <v>948</v>
      </c>
      <c r="K70" s="816">
        <f>B74</f>
        <v>0</v>
      </c>
      <c r="L70" s="114">
        <f>IF(rye&gt;0,(K70*(T70*_wage_)*((Data!$H$196*rye)/$V$69))/rye,0)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IF(Data!$F$197=0,0,1*$Q$73)</f>
        <v>0</v>
      </c>
      <c r="C71" s="593">
        <f>C70*Data!$F$197</f>
        <v>0</v>
      </c>
      <c r="D71" s="48" t="s">
        <v>115</v>
      </c>
      <c r="E71" s="47">
        <f t="shared" si="22"/>
        <v>0</v>
      </c>
      <c r="F71" s="118">
        <f t="shared" si="23"/>
        <v>12.29</v>
      </c>
      <c r="G71" s="465">
        <f t="shared" si="24"/>
        <v>0</v>
      </c>
      <c r="H71" s="123">
        <f t="shared" si="25"/>
        <v>0</v>
      </c>
      <c r="J71" s="55"/>
      <c r="K71" s="114"/>
      <c r="L71" s="114"/>
      <c r="M71" s="22"/>
      <c r="N71" s="114"/>
      <c r="O71" s="22"/>
      <c r="P71" s="22"/>
      <c r="Q71" s="22"/>
      <c r="R71" s="22"/>
      <c r="S71" s="22"/>
      <c r="T71" s="22"/>
      <c r="U71" s="22"/>
    </row>
    <row r="72" spans="1:22" x14ac:dyDescent="0.3">
      <c r="A72" s="638" t="s">
        <v>940</v>
      </c>
      <c r="B72" s="405">
        <f>IF(OSI!$E$82&gt;0,Data!$B$31*Data!$C$31*$Q$74,0)</f>
        <v>0</v>
      </c>
      <c r="C72" s="410">
        <f>IF(rye&gt;0,($T$69*(Rb!$B$17/Rv!$S$121))/rye,0)</f>
        <v>0</v>
      </c>
      <c r="D72" s="34" t="s">
        <v>115</v>
      </c>
      <c r="E72" s="46">
        <f t="shared" si="22"/>
        <v>0</v>
      </c>
      <c r="F72" s="167">
        <f t="shared" si="23"/>
        <v>12.29</v>
      </c>
      <c r="G72" s="114">
        <f t="shared" si="24"/>
        <v>0</v>
      </c>
      <c r="H72" s="110">
        <f t="shared" si="25"/>
        <v>0</v>
      </c>
      <c r="M72" s="22"/>
      <c r="N72" s="114"/>
      <c r="O72" s="67" t="s">
        <v>947</v>
      </c>
      <c r="P72" s="216" t="s">
        <v>932</v>
      </c>
      <c r="Q72" s="216" t="s">
        <v>934</v>
      </c>
      <c r="R72" s="216" t="s">
        <v>76</v>
      </c>
      <c r="S72" s="22"/>
      <c r="U72" s="22"/>
    </row>
    <row r="73" spans="1:22" x14ac:dyDescent="0.3">
      <c r="A73" s="666" t="s">
        <v>2025</v>
      </c>
      <c r="B73" s="405">
        <f>IF(Data!$F$198=0,0,1*$Q$74)</f>
        <v>0</v>
      </c>
      <c r="C73" s="593">
        <f>C72*Data!$F$198</f>
        <v>0</v>
      </c>
      <c r="D73" s="48" t="s">
        <v>115</v>
      </c>
      <c r="E73" s="47">
        <f t="shared" si="22"/>
        <v>0</v>
      </c>
      <c r="F73" s="118">
        <f t="shared" si="23"/>
        <v>12.29</v>
      </c>
      <c r="G73" s="465">
        <f t="shared" si="24"/>
        <v>0</v>
      </c>
      <c r="H73" s="123">
        <f t="shared" si="25"/>
        <v>0</v>
      </c>
      <c r="M73" s="22"/>
      <c r="N73" s="114"/>
      <c r="O73" s="34" t="s">
        <v>762</v>
      </c>
      <c r="P73" s="922">
        <f>OSI!$C$77</f>
        <v>1</v>
      </c>
      <c r="Q73" s="922">
        <f>OSI!$C$78</f>
        <v>0</v>
      </c>
      <c r="R73" s="412">
        <f>SUM(P73:Q73)</f>
        <v>1</v>
      </c>
      <c r="S73" s="22"/>
      <c r="U73" s="22"/>
    </row>
    <row r="74" spans="1:22" x14ac:dyDescent="0.3">
      <c r="A74" s="638" t="s">
        <v>941</v>
      </c>
      <c r="B74" s="405">
        <f>IF(OSI!$E$86&gt;0,Data!$B$31*Data!$D$31*$Q$75,0)</f>
        <v>0</v>
      </c>
      <c r="C74" s="410">
        <f>IF(rye&gt;0,($T$70*(Rb!$B$19/Rv!$T$121))/rye,0)</f>
        <v>0</v>
      </c>
      <c r="D74" s="34" t="s">
        <v>115</v>
      </c>
      <c r="E74" s="46">
        <f t="shared" si="22"/>
        <v>0</v>
      </c>
      <c r="F74" s="167">
        <f t="shared" si="23"/>
        <v>12.29</v>
      </c>
      <c r="G74" s="114">
        <f t="shared" si="24"/>
        <v>0</v>
      </c>
      <c r="H74" s="110">
        <f t="shared" si="25"/>
        <v>0</v>
      </c>
      <c r="I74" s="50"/>
      <c r="M74" s="22"/>
      <c r="N74" s="114"/>
      <c r="O74" s="55" t="s">
        <v>943</v>
      </c>
      <c r="P74" s="922">
        <f>OSI!$C$81</f>
        <v>1</v>
      </c>
      <c r="Q74" s="922">
        <f>OSI!$C$82</f>
        <v>0</v>
      </c>
      <c r="R74" s="412">
        <f>SUM(P74:Q74)</f>
        <v>1</v>
      </c>
      <c r="S74" s="22"/>
      <c r="U74" s="22"/>
    </row>
    <row r="75" spans="1:22" x14ac:dyDescent="0.3">
      <c r="A75" s="666" t="s">
        <v>2025</v>
      </c>
      <c r="B75" s="405">
        <f>IF(Data!$F$198=0,0,1*$Q$75)</f>
        <v>0</v>
      </c>
      <c r="C75" s="593">
        <f>C74*Data!$F$198</f>
        <v>0</v>
      </c>
      <c r="D75" s="48" t="s">
        <v>115</v>
      </c>
      <c r="E75" s="47">
        <f t="shared" si="22"/>
        <v>0</v>
      </c>
      <c r="F75" s="118">
        <f t="shared" si="23"/>
        <v>12.29</v>
      </c>
      <c r="G75" s="465">
        <f t="shared" si="24"/>
        <v>0</v>
      </c>
      <c r="H75" s="123">
        <f t="shared" si="25"/>
        <v>0</v>
      </c>
      <c r="I75" s="108">
        <f>SUM(H62:H75)</f>
        <v>0</v>
      </c>
      <c r="M75" s="22"/>
      <c r="N75" s="114"/>
      <c r="O75" s="55" t="s">
        <v>948</v>
      </c>
      <c r="P75" s="922">
        <f>OSI!$C$85</f>
        <v>1</v>
      </c>
      <c r="Q75" s="922">
        <f>OSI!$C$86</f>
        <v>0</v>
      </c>
      <c r="R75" s="412">
        <f>SUM(P75:Q75)</f>
        <v>1</v>
      </c>
      <c r="S75" s="22"/>
      <c r="T75" s="22"/>
      <c r="U75" s="22"/>
    </row>
    <row r="76" spans="1:22" x14ac:dyDescent="0.3">
      <c r="A76" s="3" t="s">
        <v>66</v>
      </c>
      <c r="B76" s="3"/>
      <c r="C76" s="46"/>
      <c r="D76" s="34"/>
      <c r="E76" s="226"/>
      <c r="F76" s="167"/>
      <c r="G76" s="114"/>
      <c r="H76" s="109"/>
    </row>
    <row r="77" spans="1:22" x14ac:dyDescent="0.3">
      <c r="A77" s="22" t="s">
        <v>332</v>
      </c>
      <c r="B77" s="22"/>
      <c r="C77" s="46"/>
      <c r="D77" s="34"/>
      <c r="E77" s="226"/>
      <c r="F77" s="167"/>
      <c r="G77" s="114"/>
      <c r="H77" s="109"/>
    </row>
    <row r="78" spans="1:22" x14ac:dyDescent="0.3">
      <c r="A78" s="638" t="s">
        <v>1911</v>
      </c>
      <c r="B78" s="405">
        <f t="shared" ref="B78:B106" si="26">B26</f>
        <v>0</v>
      </c>
      <c r="C78" s="156">
        <f>IF(OSI!$E$28&gt;0,OSI!$E$28,Data!$R$579)</f>
        <v>1.32</v>
      </c>
      <c r="D78" s="34" t="s">
        <v>117</v>
      </c>
      <c r="E78" s="226">
        <f t="shared" ref="E78:E105" si="27">C78*rye</f>
        <v>0</v>
      </c>
      <c r="F78" s="167">
        <f>diesel_fuel</f>
        <v>2.56</v>
      </c>
      <c r="G78" s="114">
        <f>C78*F78</f>
        <v>3.3792000000000004</v>
      </c>
      <c r="H78" s="109">
        <f t="shared" ref="H78:H79" si="28">B78*G78*rye</f>
        <v>0</v>
      </c>
      <c r="K78" s="55"/>
    </row>
    <row r="79" spans="1:22" x14ac:dyDescent="0.3">
      <c r="A79" s="638" t="s">
        <v>1144</v>
      </c>
      <c r="B79" s="405">
        <f t="shared" si="26"/>
        <v>1</v>
      </c>
      <c r="C79" s="156">
        <f>IF(OSI!$E$29&gt;0,OSI!$E$29,Data!$R$585)</f>
        <v>0.44023863292066601</v>
      </c>
      <c r="D79" s="34" t="s">
        <v>117</v>
      </c>
      <c r="E79" s="226">
        <f t="shared" si="27"/>
        <v>0</v>
      </c>
      <c r="F79" s="167">
        <f>diesel_fuel</f>
        <v>2.56</v>
      </c>
      <c r="G79" s="114">
        <f>C79*F79</f>
        <v>1.1270109002769051</v>
      </c>
      <c r="H79" s="109">
        <f t="shared" si="28"/>
        <v>0</v>
      </c>
      <c r="K79" s="55"/>
      <c r="L79" s="55"/>
    </row>
    <row r="80" spans="1:22" x14ac:dyDescent="0.3">
      <c r="A80" s="640" t="s">
        <v>1427</v>
      </c>
      <c r="B80" s="405">
        <f t="shared" si="26"/>
        <v>1</v>
      </c>
      <c r="C80" s="156">
        <f>IF(OSI!$E$30&gt;0,OSI!$E$30,Data!$R$580)</f>
        <v>0.64</v>
      </c>
      <c r="D80" s="34" t="s">
        <v>117</v>
      </c>
      <c r="E80" s="226">
        <f t="shared" si="27"/>
        <v>0</v>
      </c>
      <c r="F80" s="167">
        <f t="shared" ref="F80:F111" si="29">diesel_fuel</f>
        <v>2.56</v>
      </c>
      <c r="G80" s="114">
        <f>C80*F80</f>
        <v>1.6384000000000001</v>
      </c>
      <c r="H80" s="109">
        <f t="shared" ref="H80:H94" si="30">B80*G80*rye</f>
        <v>0</v>
      </c>
    </row>
    <row r="81" spans="1:12" x14ac:dyDescent="0.3">
      <c r="A81" s="638" t="s">
        <v>485</v>
      </c>
      <c r="B81" s="405">
        <f t="shared" si="26"/>
        <v>1</v>
      </c>
      <c r="C81" s="156">
        <f>IF(OSI!$E$31&gt;0,OSI!$E$31,Data!$R$581)</f>
        <v>0.74</v>
      </c>
      <c r="D81" s="34" t="s">
        <v>117</v>
      </c>
      <c r="E81" s="226">
        <f t="shared" si="27"/>
        <v>0</v>
      </c>
      <c r="F81" s="167">
        <f t="shared" si="29"/>
        <v>2.56</v>
      </c>
      <c r="G81" s="114">
        <f>C81*F81</f>
        <v>1.8944000000000001</v>
      </c>
      <c r="H81" s="109">
        <f t="shared" si="30"/>
        <v>0</v>
      </c>
    </row>
    <row r="82" spans="1:12" x14ac:dyDescent="0.3">
      <c r="A82" s="22" t="s">
        <v>315</v>
      </c>
      <c r="B82" s="405">
        <f t="shared" si="26"/>
        <v>0</v>
      </c>
      <c r="C82" s="156">
        <f>Data!R582</f>
        <v>0.2</v>
      </c>
      <c r="D82" s="34" t="s">
        <v>117</v>
      </c>
      <c r="E82" s="226">
        <f t="shared" si="27"/>
        <v>0</v>
      </c>
      <c r="F82" s="167">
        <f t="shared" si="29"/>
        <v>2.56</v>
      </c>
      <c r="G82" s="114">
        <f t="shared" ref="G82:G105" si="31">C82*F82</f>
        <v>0.51200000000000001</v>
      </c>
      <c r="H82" s="109">
        <f t="shared" si="30"/>
        <v>0</v>
      </c>
    </row>
    <row r="83" spans="1:12" x14ac:dyDescent="0.3">
      <c r="A83" s="22" t="s">
        <v>581</v>
      </c>
      <c r="B83" s="405">
        <f t="shared" si="26"/>
        <v>0</v>
      </c>
      <c r="C83" s="156">
        <f>Data!R583</f>
        <v>0.13183670241332501</v>
      </c>
      <c r="D83" s="34" t="s">
        <v>117</v>
      </c>
      <c r="E83" s="226">
        <f t="shared" si="27"/>
        <v>0</v>
      </c>
      <c r="F83" s="167">
        <f t="shared" si="29"/>
        <v>2.56</v>
      </c>
      <c r="G83" s="114">
        <f t="shared" si="31"/>
        <v>0.33750195817811202</v>
      </c>
      <c r="H83" s="109">
        <f t="shared" si="30"/>
        <v>0</v>
      </c>
    </row>
    <row r="84" spans="1:12" x14ac:dyDescent="0.3">
      <c r="A84" s="22" t="s">
        <v>322</v>
      </c>
      <c r="B84" s="405">
        <f t="shared" si="26"/>
        <v>0</v>
      </c>
      <c r="C84" s="273">
        <f>0</f>
        <v>0</v>
      </c>
      <c r="D84" s="34" t="s">
        <v>117</v>
      </c>
      <c r="E84" s="226">
        <f t="shared" si="27"/>
        <v>0</v>
      </c>
      <c r="F84" s="167">
        <f t="shared" si="29"/>
        <v>2.56</v>
      </c>
      <c r="G84" s="110">
        <f t="shared" si="31"/>
        <v>0</v>
      </c>
      <c r="H84" s="109">
        <f t="shared" si="30"/>
        <v>0</v>
      </c>
    </row>
    <row r="85" spans="1:12" x14ac:dyDescent="0.3">
      <c r="A85" s="639" t="s">
        <v>333</v>
      </c>
      <c r="B85" s="405">
        <f t="shared" si="26"/>
        <v>1</v>
      </c>
      <c r="C85" s="156">
        <f>IF(OSI!$E$32&gt;0,OSI!$E$32,Data!$R$589)</f>
        <v>0.34</v>
      </c>
      <c r="D85" s="34" t="s">
        <v>117</v>
      </c>
      <c r="E85" s="226">
        <f t="shared" si="27"/>
        <v>0</v>
      </c>
      <c r="F85" s="167">
        <f t="shared" si="29"/>
        <v>2.56</v>
      </c>
      <c r="G85" s="114">
        <f t="shared" si="31"/>
        <v>0.87040000000000006</v>
      </c>
      <c r="H85" s="109">
        <f t="shared" si="30"/>
        <v>0</v>
      </c>
    </row>
    <row r="86" spans="1:12" x14ac:dyDescent="0.3">
      <c r="A86" s="639" t="s">
        <v>334</v>
      </c>
      <c r="B86" s="405">
        <f t="shared" si="26"/>
        <v>1</v>
      </c>
      <c r="C86" s="156">
        <f>IF(OSI!$E$33&gt;0,OSI!$E$33,Data!$R$594)</f>
        <v>0.61</v>
      </c>
      <c r="D86" s="34" t="s">
        <v>117</v>
      </c>
      <c r="E86" s="226">
        <f t="shared" si="27"/>
        <v>0</v>
      </c>
      <c r="F86" s="167">
        <f t="shared" si="29"/>
        <v>2.56</v>
      </c>
      <c r="G86" s="114">
        <f t="shared" si="31"/>
        <v>1.5616000000000001</v>
      </c>
      <c r="H86" s="109">
        <f t="shared" si="30"/>
        <v>0</v>
      </c>
    </row>
    <row r="87" spans="1:12" x14ac:dyDescent="0.3">
      <c r="A87" s="639" t="s">
        <v>2218</v>
      </c>
      <c r="B87" s="405">
        <f t="shared" si="26"/>
        <v>0</v>
      </c>
      <c r="C87" s="156">
        <f>IF(OSI!$E$34&gt;0,OSI!$E$34,Data!$R$591)</f>
        <v>0.34</v>
      </c>
      <c r="D87" s="34" t="s">
        <v>117</v>
      </c>
      <c r="E87" s="226">
        <f t="shared" si="27"/>
        <v>0</v>
      </c>
      <c r="F87" s="167">
        <f t="shared" si="29"/>
        <v>2.56</v>
      </c>
      <c r="G87" s="114">
        <f t="shared" si="31"/>
        <v>0.87040000000000006</v>
      </c>
      <c r="H87" s="109">
        <f t="shared" si="30"/>
        <v>0</v>
      </c>
    </row>
    <row r="88" spans="1:12" x14ac:dyDescent="0.3">
      <c r="A88" s="639" t="s">
        <v>340</v>
      </c>
      <c r="B88" s="405">
        <f t="shared" si="26"/>
        <v>0</v>
      </c>
      <c r="C88" s="156">
        <f>IF(OSI!$E$35&gt;0,OSI!$E$35,Data!$R$606)</f>
        <v>0.46</v>
      </c>
      <c r="D88" s="34" t="s">
        <v>117</v>
      </c>
      <c r="E88" s="226">
        <f t="shared" si="27"/>
        <v>0</v>
      </c>
      <c r="F88" s="167">
        <f t="shared" si="29"/>
        <v>2.56</v>
      </c>
      <c r="G88" s="114">
        <f t="shared" si="31"/>
        <v>1.1776</v>
      </c>
      <c r="H88" s="109">
        <f t="shared" si="30"/>
        <v>0</v>
      </c>
    </row>
    <row r="89" spans="1:12" x14ac:dyDescent="0.3">
      <c r="A89" s="639" t="s">
        <v>1626</v>
      </c>
      <c r="B89" s="405">
        <f t="shared" si="26"/>
        <v>0</v>
      </c>
      <c r="C89" s="156">
        <f>IF(OSI!$E$36&gt;0,OSI!$E$36,Data!$R$584)</f>
        <v>0.13183670241332501</v>
      </c>
      <c r="D89" s="34" t="s">
        <v>117</v>
      </c>
      <c r="E89" s="226">
        <f t="shared" si="27"/>
        <v>0</v>
      </c>
      <c r="F89" s="167">
        <f t="shared" si="29"/>
        <v>2.56</v>
      </c>
      <c r="G89" s="114">
        <f t="shared" si="31"/>
        <v>0.33750195817811202</v>
      </c>
      <c r="H89" s="109">
        <f t="shared" si="30"/>
        <v>0</v>
      </c>
    </row>
    <row r="90" spans="1:12" x14ac:dyDescent="0.3">
      <c r="A90" s="22" t="s">
        <v>304</v>
      </c>
      <c r="B90" s="405">
        <f t="shared" si="26"/>
        <v>0</v>
      </c>
      <c r="C90" s="156">
        <f>Data!R599</f>
        <v>0.11981642612033799</v>
      </c>
      <c r="D90" s="34" t="s">
        <v>117</v>
      </c>
      <c r="E90" s="226">
        <f t="shared" si="27"/>
        <v>0</v>
      </c>
      <c r="F90" s="167">
        <f t="shared" si="29"/>
        <v>2.56</v>
      </c>
      <c r="G90" s="114">
        <f t="shared" si="31"/>
        <v>0.30673005086806526</v>
      </c>
      <c r="H90" s="109">
        <f t="shared" si="30"/>
        <v>0</v>
      </c>
    </row>
    <row r="91" spans="1:12" x14ac:dyDescent="0.3">
      <c r="A91" s="639" t="s">
        <v>1628</v>
      </c>
      <c r="B91" s="405">
        <f t="shared" si="26"/>
        <v>0</v>
      </c>
      <c r="C91" s="156">
        <f>IF(OSI!$E$37&gt;0,OSI!$E$37,Data!$R$601)</f>
        <v>0.12</v>
      </c>
      <c r="D91" s="34" t="s">
        <v>117</v>
      </c>
      <c r="E91" s="226">
        <f t="shared" si="27"/>
        <v>0</v>
      </c>
      <c r="F91" s="167">
        <f t="shared" si="29"/>
        <v>2.56</v>
      </c>
      <c r="G91" s="114">
        <f t="shared" si="31"/>
        <v>0.30719999999999997</v>
      </c>
      <c r="H91" s="109">
        <f t="shared" si="30"/>
        <v>0</v>
      </c>
    </row>
    <row r="92" spans="1:12" x14ac:dyDescent="0.3">
      <c r="A92" s="639" t="s">
        <v>1319</v>
      </c>
      <c r="B92" s="405">
        <f t="shared" si="26"/>
        <v>1</v>
      </c>
      <c r="C92" s="156">
        <f>IF(OSI!$E$39&gt;0,OSI!$E$39,Data!$R$614)</f>
        <v>2</v>
      </c>
      <c r="D92" s="34" t="s">
        <v>117</v>
      </c>
      <c r="E92" s="226">
        <f t="shared" si="27"/>
        <v>0</v>
      </c>
      <c r="F92" s="167">
        <f t="shared" si="29"/>
        <v>2.56</v>
      </c>
      <c r="G92" s="114">
        <f t="shared" si="31"/>
        <v>5.12</v>
      </c>
      <c r="H92" s="109">
        <f t="shared" si="30"/>
        <v>0</v>
      </c>
    </row>
    <row r="93" spans="1:12" x14ac:dyDescent="0.3">
      <c r="A93" s="666" t="s">
        <v>1022</v>
      </c>
      <c r="B93" s="405">
        <f t="shared" si="26"/>
        <v>0</v>
      </c>
      <c r="C93" s="47">
        <f>Data!$R$615*Data!$F$197</f>
        <v>0</v>
      </c>
      <c r="D93" s="48" t="s">
        <v>117</v>
      </c>
      <c r="E93" s="647">
        <f>C93*rye</f>
        <v>0</v>
      </c>
      <c r="F93" s="118">
        <f>diesel_fuel</f>
        <v>2.56</v>
      </c>
      <c r="G93" s="465">
        <f>C93*F93</f>
        <v>0</v>
      </c>
      <c r="H93" s="123">
        <f>B93*G93*rye</f>
        <v>0</v>
      </c>
    </row>
    <row r="94" spans="1:12" x14ac:dyDescent="0.3">
      <c r="A94" s="639" t="s">
        <v>2084</v>
      </c>
      <c r="B94" s="405">
        <f t="shared" si="26"/>
        <v>1</v>
      </c>
      <c r="C94" s="156">
        <f>IF(OSI!$E$40&gt;0,OSI!$E$40,Data!$R$628)</f>
        <v>9.4254627383494702E-2</v>
      </c>
      <c r="D94" s="34" t="s">
        <v>117</v>
      </c>
      <c r="E94" s="226">
        <f t="shared" si="27"/>
        <v>0</v>
      </c>
      <c r="F94" s="167">
        <f t="shared" si="29"/>
        <v>2.56</v>
      </c>
      <c r="G94" s="114">
        <f t="shared" si="31"/>
        <v>0.24129184610174645</v>
      </c>
      <c r="H94" s="109">
        <f t="shared" si="30"/>
        <v>0</v>
      </c>
    </row>
    <row r="95" spans="1:12" x14ac:dyDescent="0.3">
      <c r="A95" s="666" t="s">
        <v>1022</v>
      </c>
      <c r="B95" s="405">
        <f t="shared" si="26"/>
        <v>1</v>
      </c>
      <c r="C95" s="47">
        <f>Data!$R$629*Data!$F$197</f>
        <v>0</v>
      </c>
      <c r="D95" s="48" t="s">
        <v>117</v>
      </c>
      <c r="E95" s="647">
        <f>C95*rye</f>
        <v>0</v>
      </c>
      <c r="F95" s="118">
        <f>diesel_fuel</f>
        <v>2.56</v>
      </c>
      <c r="G95" s="465">
        <f>C95*F95</f>
        <v>0</v>
      </c>
      <c r="H95" s="123">
        <f>B95*G95*rye</f>
        <v>0</v>
      </c>
    </row>
    <row r="96" spans="1:12" x14ac:dyDescent="0.3">
      <c r="A96" s="22" t="s">
        <v>756</v>
      </c>
      <c r="B96" s="405">
        <f t="shared" si="26"/>
        <v>0</v>
      </c>
      <c r="C96" s="156">
        <f>Data!R648</f>
        <v>0.28809523809523802</v>
      </c>
      <c r="D96" s="34" t="s">
        <v>117</v>
      </c>
      <c r="E96" s="226">
        <f t="shared" si="27"/>
        <v>0</v>
      </c>
      <c r="F96" s="167">
        <f t="shared" si="29"/>
        <v>2.56</v>
      </c>
      <c r="G96" s="114">
        <f t="shared" si="31"/>
        <v>0.73752380952380936</v>
      </c>
      <c r="H96" s="109">
        <f>(B96*G96*rye)*Data!$B$31*Data!$H$31</f>
        <v>0</v>
      </c>
      <c r="K96" s="55"/>
      <c r="L96" s="55"/>
    </row>
    <row r="97" spans="1:21" x14ac:dyDescent="0.3">
      <c r="A97" s="22" t="s">
        <v>757</v>
      </c>
      <c r="B97" s="405">
        <f t="shared" si="26"/>
        <v>0</v>
      </c>
      <c r="C97" s="156">
        <f>Data!R649</f>
        <v>0.34903846153846102</v>
      </c>
      <c r="D97" s="34" t="s">
        <v>117</v>
      </c>
      <c r="E97" s="226">
        <f t="shared" si="27"/>
        <v>0</v>
      </c>
      <c r="F97" s="167">
        <f t="shared" si="29"/>
        <v>2.56</v>
      </c>
      <c r="G97" s="114">
        <f t="shared" si="31"/>
        <v>0.89353846153846028</v>
      </c>
      <c r="H97" s="109">
        <f>(B97*G97*rye)*Data!$B$31*Data!$C$31*Data!$F$31</f>
        <v>0</v>
      </c>
      <c r="K97" s="55"/>
      <c r="L97" s="55"/>
    </row>
    <row r="98" spans="1:21" x14ac:dyDescent="0.3">
      <c r="A98" s="9" t="s">
        <v>1022</v>
      </c>
      <c r="B98" s="405">
        <f t="shared" si="26"/>
        <v>0</v>
      </c>
      <c r="C98" s="47">
        <f>Data!$R$650*Data!$F$197</f>
        <v>0</v>
      </c>
      <c r="D98" s="48" t="s">
        <v>117</v>
      </c>
      <c r="E98" s="647">
        <f>C98*rye</f>
        <v>0</v>
      </c>
      <c r="F98" s="118">
        <f>diesel_fuel</f>
        <v>2.56</v>
      </c>
      <c r="G98" s="465">
        <f>C98*F98</f>
        <v>0</v>
      </c>
      <c r="H98" s="123">
        <f>(B98*G98*rye)*Data!$B$31*Data!$C$31*Data!$F$31</f>
        <v>0</v>
      </c>
      <c r="K98" s="55"/>
      <c r="L98" s="55"/>
    </row>
    <row r="99" spans="1:21" x14ac:dyDescent="0.3">
      <c r="A99" s="22" t="s">
        <v>752</v>
      </c>
      <c r="B99" s="405">
        <f t="shared" si="26"/>
        <v>0</v>
      </c>
      <c r="C99" s="156">
        <f>Data!R651</f>
        <v>0.1</v>
      </c>
      <c r="D99" s="34" t="s">
        <v>117</v>
      </c>
      <c r="E99" s="226">
        <f t="shared" si="27"/>
        <v>0</v>
      </c>
      <c r="F99" s="167">
        <f t="shared" si="29"/>
        <v>2.56</v>
      </c>
      <c r="G99" s="114">
        <f t="shared" si="31"/>
        <v>0.25600000000000001</v>
      </c>
      <c r="H99" s="109">
        <f>(B99*G99*rye)*Data!$B$31*Data!$C$31*Data!$F$31</f>
        <v>0</v>
      </c>
      <c r="K99" s="55"/>
      <c r="L99" s="55"/>
    </row>
    <row r="100" spans="1:21" x14ac:dyDescent="0.3">
      <c r="A100" s="9" t="s">
        <v>1022</v>
      </c>
      <c r="B100" s="405">
        <f t="shared" si="26"/>
        <v>0</v>
      </c>
      <c r="C100" s="47">
        <f>Data!$R$652*Data!$F$197</f>
        <v>0</v>
      </c>
      <c r="D100" s="48" t="s">
        <v>117</v>
      </c>
      <c r="E100" s="647">
        <f>C100*rye</f>
        <v>0</v>
      </c>
      <c r="F100" s="118">
        <f>diesel_fuel</f>
        <v>2.56</v>
      </c>
      <c r="G100" s="465">
        <f>C100*F100</f>
        <v>0</v>
      </c>
      <c r="H100" s="123">
        <f>(B100*G100*rye)*Data!$B$31*Data!$C$31*Data!$F$31</f>
        <v>0</v>
      </c>
      <c r="K100" s="55"/>
      <c r="L100" s="55"/>
    </row>
    <row r="101" spans="1:21" x14ac:dyDescent="0.3">
      <c r="A101" s="22" t="s">
        <v>758</v>
      </c>
      <c r="B101" s="405">
        <f t="shared" si="26"/>
        <v>0</v>
      </c>
      <c r="C101" s="156">
        <f>Data!R653</f>
        <v>0.40333333333333299</v>
      </c>
      <c r="D101" s="34" t="s">
        <v>117</v>
      </c>
      <c r="E101" s="226">
        <f t="shared" si="27"/>
        <v>0</v>
      </c>
      <c r="F101" s="167">
        <f t="shared" si="29"/>
        <v>2.56</v>
      </c>
      <c r="G101" s="114">
        <f t="shared" si="31"/>
        <v>1.0325333333333324</v>
      </c>
      <c r="H101" s="109">
        <f>(B101*G101*rye)*Data!$B$31*Data!$D$31*Data!$G$31</f>
        <v>0</v>
      </c>
      <c r="K101" s="55"/>
      <c r="L101" s="55"/>
    </row>
    <row r="102" spans="1:21" x14ac:dyDescent="0.3">
      <c r="A102" s="9" t="s">
        <v>1022</v>
      </c>
      <c r="B102" s="405">
        <f t="shared" si="26"/>
        <v>0</v>
      </c>
      <c r="C102" s="47">
        <f>Data!$R$654*Data!$F$197</f>
        <v>0</v>
      </c>
      <c r="D102" s="48" t="s">
        <v>117</v>
      </c>
      <c r="E102" s="647">
        <f>C102*rye</f>
        <v>0</v>
      </c>
      <c r="F102" s="118">
        <f>diesel_fuel</f>
        <v>2.56</v>
      </c>
      <c r="G102" s="465">
        <f>C102*F102</f>
        <v>0</v>
      </c>
      <c r="H102" s="123">
        <f>(B102*G102*rye)*Data!$B$31*Data!$D$31*Data!$G$31</f>
        <v>0</v>
      </c>
      <c r="K102" s="55"/>
      <c r="L102" s="55"/>
    </row>
    <row r="103" spans="1:21" x14ac:dyDescent="0.3">
      <c r="A103" s="22" t="s">
        <v>753</v>
      </c>
      <c r="B103" s="405">
        <f t="shared" si="26"/>
        <v>0</v>
      </c>
      <c r="C103" s="165">
        <f>Data!R655</f>
        <v>0</v>
      </c>
      <c r="D103" s="34" t="s">
        <v>117</v>
      </c>
      <c r="E103" s="226">
        <f t="shared" si="27"/>
        <v>0</v>
      </c>
      <c r="F103" s="167">
        <f t="shared" si="29"/>
        <v>2.56</v>
      </c>
      <c r="G103" s="114">
        <f t="shared" si="31"/>
        <v>0</v>
      </c>
      <c r="H103" s="109">
        <f>(B103*G103*rye)*Data!$B$31*Data!$D$31*Data!$G$31</f>
        <v>0</v>
      </c>
      <c r="K103" s="55"/>
      <c r="L103" s="55"/>
    </row>
    <row r="104" spans="1:21" x14ac:dyDescent="0.3">
      <c r="A104" s="9" t="s">
        <v>1022</v>
      </c>
      <c r="B104" s="405">
        <f t="shared" si="26"/>
        <v>0</v>
      </c>
      <c r="C104" s="83">
        <f>Data!$R$656*Data!$F$197</f>
        <v>0</v>
      </c>
      <c r="D104" s="48" t="s">
        <v>117</v>
      </c>
      <c r="E104" s="647">
        <f>C104*rye</f>
        <v>0</v>
      </c>
      <c r="F104" s="118">
        <f>diesel_fuel</f>
        <v>2.56</v>
      </c>
      <c r="G104" s="465">
        <f>C104*F104</f>
        <v>0</v>
      </c>
      <c r="H104" s="123">
        <f>(B104*G104*rye)*Data!$B$31*Data!$D$31*Data!$G$31</f>
        <v>0</v>
      </c>
      <c r="K104" s="55"/>
      <c r="L104" s="55"/>
    </row>
    <row r="105" spans="1:21" x14ac:dyDescent="0.3">
      <c r="A105" s="22" t="s">
        <v>759</v>
      </c>
      <c r="B105" s="405">
        <f t="shared" si="26"/>
        <v>0</v>
      </c>
      <c r="C105" s="156">
        <f>Data!R657</f>
        <v>0.11</v>
      </c>
      <c r="D105" s="34" t="s">
        <v>117</v>
      </c>
      <c r="E105" s="226">
        <f t="shared" si="27"/>
        <v>0</v>
      </c>
      <c r="F105" s="167">
        <f t="shared" si="29"/>
        <v>2.56</v>
      </c>
      <c r="G105" s="114">
        <f t="shared" si="31"/>
        <v>0.28160000000000002</v>
      </c>
      <c r="H105" s="109">
        <f>(B105*G105*rye)*Data!$B$31*Data!$H$31</f>
        <v>0</v>
      </c>
      <c r="K105" s="55"/>
      <c r="L105" s="55"/>
    </row>
    <row r="106" spans="1:21" x14ac:dyDescent="0.3">
      <c r="A106" s="9" t="s">
        <v>1022</v>
      </c>
      <c r="B106" s="405">
        <f t="shared" si="26"/>
        <v>0</v>
      </c>
      <c r="C106" s="47">
        <f>Data!$R$658*Data!$F$197</f>
        <v>0</v>
      </c>
      <c r="D106" s="48" t="s">
        <v>117</v>
      </c>
      <c r="E106" s="647">
        <f>C106*rye</f>
        <v>0</v>
      </c>
      <c r="F106" s="118">
        <f>diesel_fuel</f>
        <v>2.56</v>
      </c>
      <c r="G106" s="465">
        <f>C106*F106</f>
        <v>0</v>
      </c>
      <c r="H106" s="123">
        <f>(B106*G106*rye)*Data!$B$31*Data!$H$31</f>
        <v>0</v>
      </c>
      <c r="K106" s="55"/>
      <c r="L106" s="55"/>
    </row>
    <row r="107" spans="1:21" x14ac:dyDescent="0.3">
      <c r="A107" s="639" t="s">
        <v>1435</v>
      </c>
      <c r="B107" s="832"/>
      <c r="C107" s="47"/>
      <c r="D107" s="48"/>
      <c r="E107" s="647"/>
      <c r="F107" s="118"/>
      <c r="G107" s="465"/>
      <c r="H107" s="123"/>
      <c r="K107" s="55"/>
      <c r="L107" s="55"/>
    </row>
    <row r="108" spans="1:21" x14ac:dyDescent="0.3">
      <c r="A108" s="638" t="s">
        <v>1436</v>
      </c>
      <c r="B108" s="405">
        <f>B56</f>
        <v>1</v>
      </c>
      <c r="C108" s="165">
        <f>IF(OSI!$E$41&gt;0,OSI!$E$41,Data!$R$663)</f>
        <v>0</v>
      </c>
      <c r="D108" s="34" t="s">
        <v>117</v>
      </c>
      <c r="E108" s="226">
        <f t="shared" ref="E108" si="32">C108*rye</f>
        <v>0</v>
      </c>
      <c r="F108" s="167">
        <f t="shared" si="29"/>
        <v>2.56</v>
      </c>
      <c r="G108" s="114">
        <f t="shared" ref="G108" si="33">C108*F108</f>
        <v>0</v>
      </c>
      <c r="H108" s="109">
        <f>B108*G108*rye</f>
        <v>0</v>
      </c>
      <c r="K108" s="55"/>
      <c r="L108" s="55"/>
    </row>
    <row r="109" spans="1:21" x14ac:dyDescent="0.3">
      <c r="A109" s="666" t="s">
        <v>1022</v>
      </c>
      <c r="B109" s="405">
        <f>B57</f>
        <v>1</v>
      </c>
      <c r="C109" s="83">
        <f>Data!R664*Data!$F$197</f>
        <v>0</v>
      </c>
      <c r="D109" s="48" t="s">
        <v>117</v>
      </c>
      <c r="E109" s="647">
        <f>C109*rye</f>
        <v>0</v>
      </c>
      <c r="F109" s="118">
        <f>diesel_fuel</f>
        <v>2.56</v>
      </c>
      <c r="G109" s="465">
        <f>C109*F109</f>
        <v>0</v>
      </c>
      <c r="H109" s="123">
        <f>B109*G109*rye</f>
        <v>0</v>
      </c>
      <c r="K109" s="55"/>
      <c r="L109" s="4" t="s">
        <v>1077</v>
      </c>
    </row>
    <row r="110" spans="1:21" x14ac:dyDescent="0.3">
      <c r="A110" s="639" t="s">
        <v>1147</v>
      </c>
      <c r="B110" s="60"/>
      <c r="C110" s="60"/>
      <c r="D110" s="34"/>
      <c r="E110" s="226"/>
      <c r="F110" s="167"/>
      <c r="G110" s="114"/>
      <c r="H110" s="109"/>
      <c r="J110" s="588">
        <f>OSI!$E$69</f>
        <v>30000</v>
      </c>
      <c r="K110" s="17" t="s">
        <v>220</v>
      </c>
      <c r="L110" s="17">
        <f>J110/2000</f>
        <v>15</v>
      </c>
      <c r="M110" s="17" t="s">
        <v>26</v>
      </c>
      <c r="N110" s="588">
        <f>OSI!$C$69</f>
        <v>500</v>
      </c>
      <c r="O110" s="17" t="s">
        <v>931</v>
      </c>
      <c r="P110" s="93" t="s">
        <v>944</v>
      </c>
      <c r="Q110" s="93"/>
      <c r="S110" s="588">
        <f>N110*Data!$K$60</f>
        <v>28000</v>
      </c>
      <c r="T110" s="17" t="s">
        <v>220</v>
      </c>
      <c r="U110" s="589">
        <f>S110/J110</f>
        <v>0.93333333333333335</v>
      </c>
    </row>
    <row r="111" spans="1:21" x14ac:dyDescent="0.3">
      <c r="A111" s="638" t="s">
        <v>1146</v>
      </c>
      <c r="B111" s="405">
        <f>B59</f>
        <v>1</v>
      </c>
      <c r="C111" s="816">
        <f>IF(OSI!$E$42&gt;0,OSI!$E$42,Data!$R$683)</f>
        <v>0</v>
      </c>
      <c r="D111" s="34" t="s">
        <v>116</v>
      </c>
      <c r="E111" s="226">
        <f>C111*rye</f>
        <v>0</v>
      </c>
      <c r="F111" s="167">
        <f t="shared" si="29"/>
        <v>2.56</v>
      </c>
      <c r="G111" s="114">
        <f>C111*F111</f>
        <v>0</v>
      </c>
      <c r="H111" s="110">
        <f>B111*G111*rye*G3</f>
        <v>0</v>
      </c>
      <c r="I111" s="108"/>
      <c r="J111" s="588">
        <f>OSI!$E$70</f>
        <v>180</v>
      </c>
      <c r="K111" s="17" t="s">
        <v>220</v>
      </c>
      <c r="L111" s="17">
        <f>J111/2000</f>
        <v>0.09</v>
      </c>
      <c r="M111" s="17" t="s">
        <v>26</v>
      </c>
      <c r="N111" s="588">
        <f>OSI!$C$70</f>
        <v>3</v>
      </c>
      <c r="O111" s="17" t="s">
        <v>931</v>
      </c>
      <c r="P111" s="93" t="s">
        <v>945</v>
      </c>
      <c r="Q111" s="93"/>
      <c r="S111" s="588">
        <f>N111*Data!$K$60</f>
        <v>168</v>
      </c>
      <c r="T111" s="17" t="s">
        <v>220</v>
      </c>
      <c r="U111" s="589">
        <f>S111/J111</f>
        <v>0.93333333333333335</v>
      </c>
    </row>
    <row r="112" spans="1:21" x14ac:dyDescent="0.3">
      <c r="A112" s="666" t="s">
        <v>1022</v>
      </c>
      <c r="B112" s="405">
        <f t="shared" ref="B112" si="34">B60</f>
        <v>1</v>
      </c>
      <c r="C112" s="83">
        <f>C111*Data!$F$197</f>
        <v>0</v>
      </c>
      <c r="D112" s="48" t="s">
        <v>117</v>
      </c>
      <c r="E112" s="647">
        <f>C112*rye</f>
        <v>0</v>
      </c>
      <c r="F112" s="118">
        <f>diesel_fuel</f>
        <v>2.56</v>
      </c>
      <c r="G112" s="465">
        <f>C112*F112</f>
        <v>0</v>
      </c>
      <c r="H112" s="123">
        <f>B112*G112*rye</f>
        <v>0</v>
      </c>
      <c r="I112" s="108">
        <f>SUM(H77:H112)</f>
        <v>0</v>
      </c>
      <c r="J112" s="108"/>
    </row>
    <row r="113" spans="1:21" x14ac:dyDescent="0.3">
      <c r="A113" s="1258" t="s">
        <v>2090</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IF(OSI!$E$77&gt;0,1*$P$125,0)</f>
        <v>1</v>
      </c>
      <c r="C115" s="410">
        <f>IF(rye&gt;0,($R$115*((Data!$B$196*rye)/$N$110))/rye,0)</f>
        <v>0</v>
      </c>
      <c r="D115" s="34" t="s">
        <v>117</v>
      </c>
      <c r="E115" s="46">
        <f t="shared" ref="E115:E120" si="35">C115*rye</f>
        <v>0</v>
      </c>
      <c r="F115" s="167">
        <f t="shared" ref="F115:F119" si="36">diesel_fuel</f>
        <v>2.56</v>
      </c>
      <c r="G115" s="114">
        <f t="shared" ref="G115:G120" si="37">C115*F115</f>
        <v>0</v>
      </c>
      <c r="H115" s="110">
        <f t="shared" ref="H115:H120" si="38">B115*G115*rye</f>
        <v>0</v>
      </c>
      <c r="J115" s="55" t="s">
        <v>762</v>
      </c>
      <c r="K115" s="369">
        <f>B115</f>
        <v>1</v>
      </c>
      <c r="L115" s="168">
        <f>IF(rye&gt;0,(K115*(R115*diesel_fuel)*((Data!$B$196*rye)/$N$110))/rye,0)</f>
        <v>0</v>
      </c>
      <c r="M115" s="22" t="s">
        <v>254</v>
      </c>
      <c r="N115" s="168">
        <f>(R115*diesel_fuel)</f>
        <v>3.185777777777778</v>
      </c>
      <c r="O115" s="22" t="s">
        <v>935</v>
      </c>
      <c r="P115" s="816">
        <f>OSI!$G$69</f>
        <v>20</v>
      </c>
      <c r="Q115" s="816">
        <f>OSI!$G$70</f>
        <v>15</v>
      </c>
      <c r="R115" s="46">
        <f>(P115/Q115)*$U$110</f>
        <v>1.2444444444444445</v>
      </c>
      <c r="S115" s="216" t="s">
        <v>936</v>
      </c>
      <c r="T115" s="216" t="s">
        <v>937</v>
      </c>
    </row>
    <row r="116" spans="1:21" x14ac:dyDescent="0.3">
      <c r="A116" s="666" t="s">
        <v>2025</v>
      </c>
      <c r="B116" s="405">
        <f>IF(Data!$F$197=0,0,1*$P$125)</f>
        <v>0</v>
      </c>
      <c r="C116" s="593">
        <f>C115*Data!$F$197</f>
        <v>0</v>
      </c>
      <c r="D116" s="48" t="s">
        <v>117</v>
      </c>
      <c r="E116" s="47">
        <f t="shared" si="35"/>
        <v>0</v>
      </c>
      <c r="F116" s="118">
        <f>diesel_fuel</f>
        <v>2.56</v>
      </c>
      <c r="G116" s="465">
        <f t="shared" si="37"/>
        <v>0</v>
      </c>
      <c r="H116" s="123">
        <f t="shared" si="38"/>
        <v>0</v>
      </c>
      <c r="J116" s="55" t="s">
        <v>943</v>
      </c>
      <c r="K116" s="369">
        <f>B117</f>
        <v>0</v>
      </c>
      <c r="L116" s="114">
        <f>IF(rye&gt;0,(K116*(R116*diesel_fuel)*((Data!$E$196*rye)/$S$116))/rye,0)</f>
        <v>0</v>
      </c>
      <c r="M116" s="22" t="s">
        <v>254</v>
      </c>
      <c r="N116" s="114">
        <f>R116*diesel_fuel</f>
        <v>3.185777777777778</v>
      </c>
      <c r="O116" s="22" t="s">
        <v>935</v>
      </c>
      <c r="P116" s="816">
        <f>OSI!$G$69</f>
        <v>20</v>
      </c>
      <c r="Q116" s="816">
        <f>OSI!$G$70</f>
        <v>15</v>
      </c>
      <c r="R116" s="46">
        <f>(P116/Q116)*$U$110</f>
        <v>1.2444444444444445</v>
      </c>
      <c r="S116" s="816">
        <f>OSI!$G$71</f>
        <v>8</v>
      </c>
      <c r="T116" s="90">
        <f>(S116*Data!$E$194)/Data!$H$194</f>
        <v>200</v>
      </c>
    </row>
    <row r="117" spans="1:21" x14ac:dyDescent="0.3">
      <c r="A117" s="638" t="s">
        <v>940</v>
      </c>
      <c r="B117" s="405">
        <f>IF(OSI!$E$81&gt;0,Data!$B$31*Data!$C$31*$P$126,0)</f>
        <v>0</v>
      </c>
      <c r="C117" s="410">
        <f>IF(rye&gt;0,($R$116*(Rb!$B$17/Rv!$S$116))/rye,0)</f>
        <v>0</v>
      </c>
      <c r="D117" s="34" t="s">
        <v>117</v>
      </c>
      <c r="E117" s="46">
        <f t="shared" si="35"/>
        <v>0</v>
      </c>
      <c r="F117" s="167">
        <f t="shared" si="36"/>
        <v>2.56</v>
      </c>
      <c r="G117" s="114">
        <f t="shared" si="37"/>
        <v>0</v>
      </c>
      <c r="H117" s="110">
        <f t="shared" si="38"/>
        <v>0</v>
      </c>
      <c r="J117" s="55" t="s">
        <v>948</v>
      </c>
      <c r="K117" s="369">
        <f>B119</f>
        <v>0</v>
      </c>
      <c r="L117" s="114">
        <f>IF(rye&gt;0,(K117*(R117*diesel_fuel)*((Data!$H$196*rye)/$T$116))/rye,0)</f>
        <v>0</v>
      </c>
      <c r="M117" s="22" t="s">
        <v>254</v>
      </c>
      <c r="N117" s="114">
        <f>R117*diesel_fuel</f>
        <v>3.185777777777778</v>
      </c>
      <c r="O117" s="22" t="s">
        <v>935</v>
      </c>
      <c r="P117" s="816">
        <f>OSI!$G$69</f>
        <v>20</v>
      </c>
      <c r="Q117" s="816">
        <f>OSI!$G$70</f>
        <v>15</v>
      </c>
      <c r="R117" s="46">
        <f>(P117/Q117)*$U$110</f>
        <v>1.2444444444444445</v>
      </c>
    </row>
    <row r="118" spans="1:21" x14ac:dyDescent="0.3">
      <c r="A118" s="666" t="s">
        <v>2025</v>
      </c>
      <c r="B118" s="405">
        <f>IF(Data!$F$198=0,0,1*$P$126)</f>
        <v>0</v>
      </c>
      <c r="C118" s="593">
        <f>C117*Data!$F$198</f>
        <v>0</v>
      </c>
      <c r="D118" s="48" t="s">
        <v>117</v>
      </c>
      <c r="E118" s="47">
        <f t="shared" si="35"/>
        <v>0</v>
      </c>
      <c r="F118" s="118">
        <f>diesel_fuel</f>
        <v>2.56</v>
      </c>
      <c r="G118" s="465">
        <f t="shared" si="37"/>
        <v>0</v>
      </c>
      <c r="H118" s="123">
        <f t="shared" si="38"/>
        <v>0</v>
      </c>
      <c r="Q118" s="216" t="s">
        <v>933</v>
      </c>
      <c r="R118" s="216" t="s">
        <v>933</v>
      </c>
    </row>
    <row r="119" spans="1:21" x14ac:dyDescent="0.3">
      <c r="A119" s="638" t="s">
        <v>941</v>
      </c>
      <c r="B119" s="405">
        <f>IF(OSI!$E$85&gt;0,Data!$B$31*Data!$D$31*$P$127,0)</f>
        <v>0</v>
      </c>
      <c r="C119" s="410">
        <f>IF(rye&gt;0,($R$117*(Rb!$B$19/Rv!$T$116))/rye,0)</f>
        <v>0</v>
      </c>
      <c r="D119" s="34" t="s">
        <v>117</v>
      </c>
      <c r="E119" s="46">
        <f t="shared" si="35"/>
        <v>0</v>
      </c>
      <c r="F119" s="167">
        <f t="shared" si="36"/>
        <v>2.56</v>
      </c>
      <c r="G119" s="114">
        <f t="shared" si="37"/>
        <v>0</v>
      </c>
      <c r="H119" s="110">
        <f t="shared" si="38"/>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IF(Data!$F$198=0,0,1*$P$127)</f>
        <v>0</v>
      </c>
      <c r="C120" s="593">
        <f>C119*Data!$F$198</f>
        <v>0</v>
      </c>
      <c r="D120" s="48" t="s">
        <v>117</v>
      </c>
      <c r="E120" s="47">
        <f t="shared" si="35"/>
        <v>0</v>
      </c>
      <c r="F120" s="118">
        <f>diesel_fuel</f>
        <v>2.56</v>
      </c>
      <c r="G120" s="465">
        <f t="shared" si="37"/>
        <v>0</v>
      </c>
      <c r="H120" s="123">
        <f t="shared" si="38"/>
        <v>0</v>
      </c>
      <c r="J120" s="55" t="s">
        <v>762</v>
      </c>
      <c r="K120" s="369">
        <f>B122</f>
        <v>0</v>
      </c>
      <c r="L120" s="168">
        <f>IF(rye&gt;0,(K120*(R120*diesel_fuel)*((Data!$B$196*rye)/$N$111))/rye,0)</f>
        <v>0</v>
      </c>
      <c r="M120" s="22" t="s">
        <v>254</v>
      </c>
      <c r="N120" s="168">
        <f>(R120*diesel_fuel)</f>
        <v>6.826666666666668</v>
      </c>
      <c r="O120" s="22" t="s">
        <v>935</v>
      </c>
      <c r="P120" s="816">
        <f>OSI!$I$69</f>
        <v>20</v>
      </c>
      <c r="Q120" s="816">
        <f>OSI!$I$70</f>
        <v>7</v>
      </c>
      <c r="R120" s="46">
        <f>(P120/Q120)*$U$111</f>
        <v>2.666666666666667</v>
      </c>
      <c r="S120" s="216" t="s">
        <v>936</v>
      </c>
      <c r="T120" s="216" t="s">
        <v>937</v>
      </c>
    </row>
    <row r="121" spans="1:21" x14ac:dyDescent="0.3">
      <c r="A121" s="638" t="s">
        <v>942</v>
      </c>
      <c r="B121" s="34"/>
      <c r="C121" s="34"/>
      <c r="D121" s="34"/>
      <c r="E121" s="46"/>
      <c r="F121" s="68"/>
      <c r="G121" s="114"/>
      <c r="H121" s="110"/>
      <c r="J121" s="55" t="s">
        <v>943</v>
      </c>
      <c r="K121" s="369">
        <f>B124</f>
        <v>0</v>
      </c>
      <c r="L121" s="114">
        <f>IF(rye&gt;0,(K121*(R121*diesel_fuel)*((Data!$E$196*rye)/$S$121))/rye,0)</f>
        <v>0</v>
      </c>
      <c r="M121" s="22" t="s">
        <v>254</v>
      </c>
      <c r="N121" s="114">
        <f>R121*diesel_fuel</f>
        <v>6.826666666666668</v>
      </c>
      <c r="O121" s="22" t="s">
        <v>935</v>
      </c>
      <c r="P121" s="816">
        <f>OSI!$I$69</f>
        <v>20</v>
      </c>
      <c r="Q121" s="816">
        <f>OSI!$I$70</f>
        <v>7</v>
      </c>
      <c r="R121" s="46">
        <f>(P121/Q121)*$U$111</f>
        <v>2.666666666666667</v>
      </c>
      <c r="S121" s="816">
        <f>OSI!$I$71</f>
        <v>16</v>
      </c>
      <c r="T121" s="90">
        <f>(S121*Data!$E$194)/Data!$H$194</f>
        <v>400</v>
      </c>
    </row>
    <row r="122" spans="1:21" x14ac:dyDescent="0.3">
      <c r="A122" s="638" t="s">
        <v>939</v>
      </c>
      <c r="B122" s="405">
        <f>IF(OSI!$E$78&gt;0,1*$Q$125,0)</f>
        <v>0</v>
      </c>
      <c r="C122" s="410">
        <f>IF(rye&gt;0,($R$120*((Data!$B$196*rye)/$N$111))/rye,0)</f>
        <v>0</v>
      </c>
      <c r="D122" s="34" t="s">
        <v>117</v>
      </c>
      <c r="E122" s="46">
        <f t="shared" ref="E122:E127" si="39">C122*rye</f>
        <v>0</v>
      </c>
      <c r="F122" s="167">
        <f t="shared" ref="F122:F126" si="40">diesel_fuel</f>
        <v>2.56</v>
      </c>
      <c r="G122" s="114">
        <f t="shared" ref="G122:G127" si="41">C122*F122</f>
        <v>0</v>
      </c>
      <c r="H122" s="110">
        <f t="shared" ref="H122:H127" si="42">B122*G122*rye</f>
        <v>0</v>
      </c>
      <c r="J122" s="55" t="s">
        <v>948</v>
      </c>
      <c r="K122" s="369">
        <f>B126</f>
        <v>0</v>
      </c>
      <c r="L122" s="114">
        <f>IF(rye&gt;0,(K122*(R122*diesel_fuel)*((Data!$H$196*rye)/$T$121))/rye,0)</f>
        <v>0</v>
      </c>
      <c r="M122" s="22" t="s">
        <v>254</v>
      </c>
      <c r="N122" s="114">
        <f>R122*diesel_fuel</f>
        <v>6.826666666666668</v>
      </c>
      <c r="O122" s="22" t="s">
        <v>935</v>
      </c>
      <c r="P122" s="816">
        <f>OSI!$I$69</f>
        <v>20</v>
      </c>
      <c r="Q122" s="816">
        <f>OSI!$I$70</f>
        <v>7</v>
      </c>
      <c r="R122" s="46">
        <f>(P122/Q122)*$U$111</f>
        <v>2.666666666666667</v>
      </c>
    </row>
    <row r="123" spans="1:21" x14ac:dyDescent="0.3">
      <c r="A123" s="666" t="s">
        <v>2025</v>
      </c>
      <c r="B123" s="405">
        <f>IF(Data!$F$197=0,0,1*$Q$125)</f>
        <v>0</v>
      </c>
      <c r="C123" s="593">
        <f>C122*Data!$F$197</f>
        <v>0</v>
      </c>
      <c r="D123" s="48" t="s">
        <v>117</v>
      </c>
      <c r="E123" s="47">
        <f t="shared" si="39"/>
        <v>0</v>
      </c>
      <c r="F123" s="118">
        <f>diesel_fuel</f>
        <v>2.56</v>
      </c>
      <c r="G123" s="465">
        <f t="shared" si="41"/>
        <v>0</v>
      </c>
      <c r="H123" s="123">
        <f t="shared" si="42"/>
        <v>0</v>
      </c>
      <c r="J123" s="55"/>
      <c r="K123" s="114"/>
      <c r="L123" s="114"/>
      <c r="M123" s="22"/>
      <c r="N123" s="114"/>
      <c r="O123" s="22"/>
      <c r="P123" s="22"/>
      <c r="Q123" s="22"/>
      <c r="R123" s="22"/>
      <c r="S123" s="22"/>
      <c r="T123" s="22"/>
      <c r="U123" s="22"/>
    </row>
    <row r="124" spans="1:21" x14ac:dyDescent="0.3">
      <c r="A124" s="638" t="s">
        <v>940</v>
      </c>
      <c r="B124" s="405">
        <f>IF(OSI!$E$82&gt;0,Data!$B$31*Data!$C$31*$Q$126,0)</f>
        <v>0</v>
      </c>
      <c r="C124" s="410">
        <f>IF(rye&gt;0,($R$121*(Rb!$B$17/Rv!$S$121))/rye,0)</f>
        <v>0</v>
      </c>
      <c r="D124" s="34" t="s">
        <v>117</v>
      </c>
      <c r="E124" s="46">
        <f t="shared" si="39"/>
        <v>0</v>
      </c>
      <c r="F124" s="167">
        <f t="shared" si="40"/>
        <v>2.56</v>
      </c>
      <c r="G124" s="114">
        <f t="shared" si="41"/>
        <v>0</v>
      </c>
      <c r="H124" s="110">
        <f t="shared" si="42"/>
        <v>0</v>
      </c>
      <c r="M124" s="22"/>
      <c r="N124" s="114"/>
      <c r="O124" s="67" t="s">
        <v>2045</v>
      </c>
      <c r="P124" s="216" t="s">
        <v>932</v>
      </c>
      <c r="Q124" s="216" t="s">
        <v>934</v>
      </c>
      <c r="R124" s="216" t="s">
        <v>76</v>
      </c>
      <c r="S124" s="22"/>
      <c r="T124" s="22"/>
      <c r="U124" s="22"/>
    </row>
    <row r="125" spans="1:21" x14ac:dyDescent="0.3">
      <c r="A125" s="666" t="s">
        <v>2025</v>
      </c>
      <c r="B125" s="405">
        <f>IF(Data!$F$198=0,0,1*$Q$126)</f>
        <v>0</v>
      </c>
      <c r="C125" s="593">
        <f>C124*Data!$F$198</f>
        <v>0</v>
      </c>
      <c r="D125" s="48" t="s">
        <v>117</v>
      </c>
      <c r="E125" s="47">
        <f t="shared" si="39"/>
        <v>0</v>
      </c>
      <c r="F125" s="118">
        <f>diesel_fuel</f>
        <v>2.56</v>
      </c>
      <c r="G125" s="465">
        <f t="shared" si="41"/>
        <v>0</v>
      </c>
      <c r="H125" s="123">
        <f t="shared" si="42"/>
        <v>0</v>
      </c>
      <c r="M125" s="22"/>
      <c r="N125" s="114"/>
      <c r="O125" s="34" t="s">
        <v>762</v>
      </c>
      <c r="P125" s="922">
        <f>OSI!$C$77</f>
        <v>1</v>
      </c>
      <c r="Q125" s="922">
        <f>OSI!$C$78</f>
        <v>0</v>
      </c>
      <c r="R125" s="412">
        <f>SUM(P125:Q125)</f>
        <v>1</v>
      </c>
      <c r="S125" s="22"/>
      <c r="T125" s="22"/>
      <c r="U125" s="22"/>
    </row>
    <row r="126" spans="1:21" x14ac:dyDescent="0.3">
      <c r="A126" s="638" t="s">
        <v>941</v>
      </c>
      <c r="B126" s="405">
        <f>IF(OSI!$E$86&gt;0,Data!$B$31*Data!$D$31*$Q$127,0)</f>
        <v>0</v>
      </c>
      <c r="C126" s="410">
        <f>IF(rye&gt;0,($R$122*(Rb!$B$19/Rv!$T$121))/rye,0)</f>
        <v>0</v>
      </c>
      <c r="D126" s="34" t="s">
        <v>117</v>
      </c>
      <c r="E126" s="46">
        <f t="shared" si="39"/>
        <v>0</v>
      </c>
      <c r="F126" s="167">
        <f t="shared" si="40"/>
        <v>2.56</v>
      </c>
      <c r="G126" s="114">
        <f t="shared" si="41"/>
        <v>0</v>
      </c>
      <c r="H126" s="110">
        <f t="shared" si="42"/>
        <v>0</v>
      </c>
      <c r="I126" s="50"/>
      <c r="M126" s="22"/>
      <c r="N126" s="114"/>
      <c r="O126" s="55" t="s">
        <v>943</v>
      </c>
      <c r="P126" s="922">
        <f>OSI!$C$81</f>
        <v>1</v>
      </c>
      <c r="Q126" s="922">
        <f>OSI!$C$82</f>
        <v>0</v>
      </c>
      <c r="R126" s="412">
        <f>SUM(P126:Q126)</f>
        <v>1</v>
      </c>
      <c r="S126" s="22"/>
      <c r="T126" s="22"/>
      <c r="U126" s="22"/>
    </row>
    <row r="127" spans="1:21" x14ac:dyDescent="0.3">
      <c r="A127" s="666" t="s">
        <v>2025</v>
      </c>
      <c r="B127" s="405">
        <f>IF(Data!$F$198=0,0,1*$Q$127)</f>
        <v>0</v>
      </c>
      <c r="C127" s="593">
        <f>C126*Data!$F$198</f>
        <v>0</v>
      </c>
      <c r="D127" s="48" t="s">
        <v>117</v>
      </c>
      <c r="E127" s="47">
        <f t="shared" si="39"/>
        <v>0</v>
      </c>
      <c r="F127" s="118">
        <f>diesel_fuel</f>
        <v>2.56</v>
      </c>
      <c r="G127" s="465">
        <f t="shared" si="41"/>
        <v>0</v>
      </c>
      <c r="H127" s="123">
        <f t="shared" si="42"/>
        <v>0</v>
      </c>
      <c r="I127" s="108">
        <f>SUM(H114:H127)</f>
        <v>0</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46" t="s">
        <v>45</v>
      </c>
      <c r="E128" s="226" t="s">
        <v>45</v>
      </c>
      <c r="F128" s="55" t="s">
        <v>45</v>
      </c>
      <c r="G128" s="114">
        <f>IF(FARM!$C$17=0,0,H128/rye)</f>
        <v>0</v>
      </c>
      <c r="H128" s="104">
        <f>B128*lube*SUM(H77:H127)</f>
        <v>0</v>
      </c>
      <c r="I128" s="108">
        <f>SUM(H128:H128)</f>
        <v>0</v>
      </c>
      <c r="K128" s="55"/>
      <c r="L128" s="24"/>
      <c r="M128" s="82"/>
    </row>
    <row r="129" spans="1:13" x14ac:dyDescent="0.3">
      <c r="A129" s="3" t="s">
        <v>67</v>
      </c>
      <c r="B129" s="643">
        <v>1</v>
      </c>
      <c r="C129" s="46" t="s">
        <v>45</v>
      </c>
      <c r="D129" s="34" t="s">
        <v>45</v>
      </c>
      <c r="E129" s="226" t="s">
        <v>45</v>
      </c>
      <c r="F129" s="55" t="s">
        <v>45</v>
      </c>
      <c r="G129" s="114">
        <f>IF(FARM!$C$17=0,0,H129/rye)</f>
        <v>0</v>
      </c>
      <c r="H129" s="109">
        <f>B129*Rf!J121*Data!D14</f>
        <v>0</v>
      </c>
      <c r="K129" s="55"/>
      <c r="L129" s="81"/>
      <c r="M129" s="81"/>
    </row>
    <row r="130" spans="1:13" x14ac:dyDescent="0.3">
      <c r="A130" s="3"/>
      <c r="B130" s="397">
        <v>0</v>
      </c>
      <c r="C130" s="46" t="s">
        <v>45</v>
      </c>
      <c r="D130" s="34" t="s">
        <v>45</v>
      </c>
      <c r="E130" s="226" t="s">
        <v>45</v>
      </c>
      <c r="F130" s="55" t="s">
        <v>45</v>
      </c>
      <c r="G130" s="272">
        <f>0</f>
        <v>0</v>
      </c>
      <c r="H130" s="109">
        <f>B130*G130*rye</f>
        <v>0</v>
      </c>
      <c r="I130" s="108">
        <f>SUM(H129:H130)</f>
        <v>0</v>
      </c>
      <c r="L130" s="27"/>
      <c r="M130" s="27"/>
    </row>
    <row r="131" spans="1:13" x14ac:dyDescent="0.3">
      <c r="A131" s="3" t="s">
        <v>170</v>
      </c>
      <c r="B131" s="405">
        <f>IF(OSI!$E$52=0,0,1)</f>
        <v>0</v>
      </c>
      <c r="C131" s="46" t="s">
        <v>45</v>
      </c>
      <c r="D131" s="46" t="s">
        <v>45</v>
      </c>
      <c r="E131" s="226" t="s">
        <v>45</v>
      </c>
      <c r="F131" s="55" t="s">
        <v>45</v>
      </c>
      <c r="G131" s="114">
        <f>IF(FARM!$C$17=0,0,OSI!$E$52/rye)</f>
        <v>0</v>
      </c>
      <c r="H131" s="109">
        <f>B131*G131*rye</f>
        <v>0</v>
      </c>
      <c r="I131" s="108">
        <f>SUM(H131:H131)</f>
        <v>0</v>
      </c>
      <c r="L131" s="81"/>
      <c r="M131" s="81"/>
    </row>
    <row r="132" spans="1:13" x14ac:dyDescent="0.3">
      <c r="A132" s="3" t="s">
        <v>75</v>
      </c>
      <c r="B132" s="405">
        <f>IF(OSI!$E$53=0,0,1)</f>
        <v>1</v>
      </c>
      <c r="C132" s="46" t="s">
        <v>45</v>
      </c>
      <c r="D132" s="34" t="s">
        <v>45</v>
      </c>
      <c r="E132" s="226" t="s">
        <v>45</v>
      </c>
      <c r="F132" s="114">
        <f>G132</f>
        <v>0</v>
      </c>
      <c r="G132" s="114">
        <f>IF(FARM!$C$17=0,0,OSI!$E$53/rye)</f>
        <v>0</v>
      </c>
      <c r="H132" s="109">
        <f>B132*G132*rye</f>
        <v>0</v>
      </c>
      <c r="K132" s="55"/>
      <c r="L132" s="81"/>
      <c r="M132" s="81"/>
    </row>
    <row r="133" spans="1:13" x14ac:dyDescent="0.3">
      <c r="A133" s="3"/>
      <c r="B133" s="397">
        <v>0</v>
      </c>
      <c r="C133" s="46" t="s">
        <v>45</v>
      </c>
      <c r="D133" s="34" t="s">
        <v>45</v>
      </c>
      <c r="E133" s="34" t="s">
        <v>45</v>
      </c>
      <c r="F133" s="55" t="s">
        <v>45</v>
      </c>
      <c r="G133" s="272">
        <f>0</f>
        <v>0</v>
      </c>
      <c r="H133" s="109">
        <f>B133*G133*rye</f>
        <v>0</v>
      </c>
      <c r="I133" s="108">
        <f>SUM(H132:H133)</f>
        <v>0</v>
      </c>
      <c r="K133" s="55"/>
    </row>
    <row r="134" spans="1:13" x14ac:dyDescent="0.3">
      <c r="A134" s="69" t="s">
        <v>173</v>
      </c>
      <c r="B134" s="69"/>
      <c r="C134" s="46"/>
      <c r="D134" s="34"/>
      <c r="E134" s="226"/>
      <c r="F134" s="114"/>
      <c r="G134" s="114"/>
      <c r="H134" s="109"/>
      <c r="L134" s="24"/>
      <c r="M134" s="24"/>
    </row>
    <row r="135" spans="1:13" x14ac:dyDescent="0.3">
      <c r="A135" s="856" t="s">
        <v>1504</v>
      </c>
      <c r="B135" s="405">
        <f>IF(Data!$F$75=0,0,1)</f>
        <v>1</v>
      </c>
      <c r="C135" s="46" t="s">
        <v>45</v>
      </c>
      <c r="D135" s="34" t="s">
        <v>45</v>
      </c>
      <c r="E135" s="226" t="s">
        <v>45</v>
      </c>
      <c r="F135" s="55" t="s">
        <v>45</v>
      </c>
      <c r="G135" s="676">
        <f>Data!$F$75</f>
        <v>1.5</v>
      </c>
      <c r="H135" s="110">
        <f>B135*G135*rye</f>
        <v>0</v>
      </c>
      <c r="I135" s="108">
        <f>SUM(H135:H135)</f>
        <v>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10">
        <f>B137*G137*rye</f>
        <v>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10">
        <f>B138*G138*rye</f>
        <v>0</v>
      </c>
      <c r="I138" s="108">
        <f>SUM(H136:H138)</f>
        <v>0</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10">
        <f>B140*G140*rye</f>
        <v>0</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10">
        <f>B141*G141*rye</f>
        <v>0</v>
      </c>
      <c r="I141" s="108">
        <f>SUM(H139:H141)</f>
        <v>0</v>
      </c>
    </row>
    <row r="142" spans="1:13" x14ac:dyDescent="0.3">
      <c r="A142" s="856" t="s">
        <v>1503</v>
      </c>
      <c r="B142" s="677">
        <f>limeapp</f>
        <v>0.2</v>
      </c>
      <c r="C142" s="46" t="s">
        <v>45</v>
      </c>
      <c r="D142" s="46" t="s">
        <v>45</v>
      </c>
      <c r="E142" s="226" t="s">
        <v>45</v>
      </c>
      <c r="F142" s="110">
        <f>Data!$E$97</f>
        <v>75</v>
      </c>
      <c r="G142" s="114">
        <f>B142*F142</f>
        <v>15</v>
      </c>
      <c r="H142" s="110">
        <f>G142*rye</f>
        <v>0</v>
      </c>
      <c r="I142" s="108">
        <f>SUM(H142:H142)</f>
        <v>0</v>
      </c>
    </row>
    <row r="143" spans="1:13" x14ac:dyDescent="0.3">
      <c r="A143" s="70" t="s">
        <v>177</v>
      </c>
      <c r="B143" s="70"/>
      <c r="C143" s="46"/>
      <c r="D143" s="34"/>
      <c r="E143" s="226"/>
      <c r="F143" s="114"/>
      <c r="G143" s="114"/>
      <c r="H143" s="110"/>
    </row>
    <row r="144" spans="1:13" x14ac:dyDescent="0.3">
      <c r="A144" s="22" t="s">
        <v>174</v>
      </c>
      <c r="B144" s="816">
        <f>IF(Data!$E$57&gt;0,1,0)</f>
        <v>1</v>
      </c>
      <c r="C144" s="34" t="s">
        <v>45</v>
      </c>
      <c r="D144" s="34" t="s">
        <v>81</v>
      </c>
      <c r="E144" s="226" t="s">
        <v>45</v>
      </c>
      <c r="F144" s="110">
        <f>Data!D61</f>
        <v>50</v>
      </c>
      <c r="G144" s="110">
        <f>IF(rye&gt;0,H144/rye,0)</f>
        <v>0</v>
      </c>
      <c r="H144" s="110">
        <f>B144*F144*rye*Data!E57*Data!D14</f>
        <v>0</v>
      </c>
    </row>
    <row r="145" spans="1:18" x14ac:dyDescent="0.3">
      <c r="A145" s="22" t="s">
        <v>224</v>
      </c>
      <c r="B145" s="1305">
        <f>IF(Data!$F$65&gt;0,1,0)</f>
        <v>0</v>
      </c>
      <c r="C145" s="34" t="s">
        <v>45</v>
      </c>
      <c r="D145" s="34" t="s">
        <v>225</v>
      </c>
      <c r="E145" s="226" t="s">
        <v>45</v>
      </c>
      <c r="F145" s="55" t="s">
        <v>45</v>
      </c>
      <c r="G145" s="1306">
        <f>Data!$F$65</f>
        <v>0</v>
      </c>
      <c r="H145" s="110">
        <f>B145*G145*rye</f>
        <v>0</v>
      </c>
      <c r="I145" s="108">
        <f>SUM(H143:H145)</f>
        <v>0</v>
      </c>
    </row>
    <row r="146" spans="1:18" x14ac:dyDescent="0.3">
      <c r="A146" s="70" t="s">
        <v>179</v>
      </c>
      <c r="I146" s="50"/>
      <c r="J146" s="27"/>
      <c r="K146" s="1293" t="s">
        <v>2104</v>
      </c>
      <c r="L146" s="1293" t="s">
        <v>236</v>
      </c>
      <c r="M146" s="1293" t="s">
        <v>393</v>
      </c>
      <c r="N146" s="114"/>
      <c r="O146" s="114"/>
      <c r="P146" s="114"/>
      <c r="Q146" s="114"/>
      <c r="R146" s="114"/>
    </row>
    <row r="147" spans="1:18" x14ac:dyDescent="0.3">
      <c r="A147" s="22" t="s">
        <v>957</v>
      </c>
      <c r="B147" s="405">
        <f>IF(OS!$I$21="Dry",1,0)</f>
        <v>1</v>
      </c>
      <c r="C147" s="34" t="s">
        <v>45</v>
      </c>
      <c r="D147" s="75" t="s">
        <v>45</v>
      </c>
      <c r="E147" s="226" t="s">
        <v>45</v>
      </c>
      <c r="F147" s="55" t="s">
        <v>45</v>
      </c>
      <c r="G147" s="367">
        <f>Data!$I$72*Data!B197</f>
        <v>14.986030076462846</v>
      </c>
      <c r="H147" s="110">
        <f>B147*G147*rye</f>
        <v>0</v>
      </c>
      <c r="I147" s="50"/>
      <c r="K147" s="114">
        <f>Data!$I$72</f>
        <v>0.53521535987367308</v>
      </c>
      <c r="L147" s="17">
        <f>Data!B197</f>
        <v>28</v>
      </c>
      <c r="M147" s="98">
        <f>K147*L147</f>
        <v>14.986030076462846</v>
      </c>
      <c r="N147" s="216"/>
      <c r="O147" s="216"/>
    </row>
    <row r="148" spans="1:18" x14ac:dyDescent="0.3">
      <c r="A148" s="9" t="s">
        <v>1022</v>
      </c>
      <c r="B148" s="405">
        <f>B147</f>
        <v>1</v>
      </c>
      <c r="C148" s="47" t="s">
        <v>45</v>
      </c>
      <c r="D148" s="47" t="s">
        <v>45</v>
      </c>
      <c r="E148" s="647" t="s">
        <v>45</v>
      </c>
      <c r="F148" s="590" t="s">
        <v>45</v>
      </c>
      <c r="G148" s="465">
        <f>Data!$I$72*(Data!B196-Data!B197)</f>
        <v>-14.986030076462846</v>
      </c>
      <c r="H148" s="123">
        <f>B148*G148*rye</f>
        <v>0</v>
      </c>
      <c r="I148" s="108">
        <f>SUM(H146:H148)</f>
        <v>0</v>
      </c>
    </row>
    <row r="149" spans="1:18" x14ac:dyDescent="0.3">
      <c r="A149" s="22" t="s">
        <v>952</v>
      </c>
      <c r="B149" s="110"/>
      <c r="C149" s="110"/>
      <c r="D149" s="110"/>
      <c r="E149" s="598"/>
      <c r="F149" s="110"/>
      <c r="G149" s="110"/>
      <c r="H149" s="110"/>
      <c r="K149" s="415" t="s">
        <v>1075</v>
      </c>
      <c r="L149" s="114"/>
    </row>
    <row r="150" spans="1:18" x14ac:dyDescent="0.3">
      <c r="A150" s="411" t="s">
        <v>953</v>
      </c>
      <c r="B150" s="405">
        <f>IF(Rf!$B$76=1,1,0)</f>
        <v>0</v>
      </c>
      <c r="C150" s="46" t="s">
        <v>45</v>
      </c>
      <c r="D150" s="34" t="s">
        <v>956</v>
      </c>
      <c r="E150" s="226" t="s">
        <v>45</v>
      </c>
      <c r="F150" s="1290">
        <f>Straw!$F$33</f>
        <v>5.42372881355932</v>
      </c>
      <c r="G150" s="414">
        <f>B150*F150*Data!$E$196</f>
        <v>0</v>
      </c>
      <c r="H150" s="110">
        <f>B150*G150*rye*Data!$C$31*K150*Data!B31</f>
        <v>0</v>
      </c>
      <c r="J150" s="55" t="s">
        <v>1076</v>
      </c>
      <c r="K150" s="1291">
        <f>Straw!$F$31</f>
        <v>0</v>
      </c>
      <c r="L150" s="114"/>
    </row>
    <row r="151" spans="1:18" x14ac:dyDescent="0.3">
      <c r="A151" s="9" t="s">
        <v>1022</v>
      </c>
      <c r="B151" s="405">
        <f>B150</f>
        <v>0</v>
      </c>
      <c r="C151" s="47" t="s">
        <v>45</v>
      </c>
      <c r="D151" s="47" t="s">
        <v>45</v>
      </c>
      <c r="E151" s="647" t="s">
        <v>45</v>
      </c>
      <c r="F151" s="465">
        <f>F150</f>
        <v>5.42372881355932</v>
      </c>
      <c r="G151" s="465">
        <f>B151*F151*Data!$E$196*Data!$F$197</f>
        <v>0</v>
      </c>
      <c r="H151" s="123">
        <f>B151*G151*rye*Data!$C$31*$K$150*Data!B31</f>
        <v>0</v>
      </c>
      <c r="J151" s="55" t="s">
        <v>1040</v>
      </c>
      <c r="K151" s="1292">
        <f>Straw!$F$32</f>
        <v>1</v>
      </c>
      <c r="L151" s="114"/>
    </row>
    <row r="152" spans="1:18" x14ac:dyDescent="0.3">
      <c r="A152" s="411" t="s">
        <v>954</v>
      </c>
      <c r="B152" s="405">
        <f>IF(Rf!$B$76=1,1,0)</f>
        <v>0</v>
      </c>
      <c r="C152" s="46" t="s">
        <v>45</v>
      </c>
      <c r="D152" s="34" t="s">
        <v>956</v>
      </c>
      <c r="E152" s="226" t="s">
        <v>45</v>
      </c>
      <c r="F152" s="1290">
        <f>Straw!$F$34</f>
        <v>0.86</v>
      </c>
      <c r="G152" s="414">
        <f>B152*F152*Data!$E$196</f>
        <v>0</v>
      </c>
      <c r="H152" s="110">
        <f>B152*G152*rye*Data!$C$31*K151*Data!B31</f>
        <v>0</v>
      </c>
      <c r="K152" s="587">
        <f>SUM(K150:K151)</f>
        <v>1</v>
      </c>
      <c r="L152" s="114"/>
    </row>
    <row r="153" spans="1:18" x14ac:dyDescent="0.3">
      <c r="A153" s="9" t="s">
        <v>1022</v>
      </c>
      <c r="B153" s="405">
        <f>B152</f>
        <v>0</v>
      </c>
      <c r="C153" s="47" t="s">
        <v>45</v>
      </c>
      <c r="D153" s="47" t="s">
        <v>45</v>
      </c>
      <c r="E153" s="647" t="s">
        <v>45</v>
      </c>
      <c r="F153" s="465">
        <f>F152</f>
        <v>0.86</v>
      </c>
      <c r="G153" s="465">
        <f>B153*F153*Data!$E$196*Data!$F$197</f>
        <v>0</v>
      </c>
      <c r="H153" s="123">
        <f>B153*G153*rye*Data!$C$31*$K$151*Data!B31</f>
        <v>0</v>
      </c>
      <c r="J153" s="591"/>
      <c r="K153" s="114"/>
      <c r="L153" s="114"/>
    </row>
    <row r="154" spans="1:18" x14ac:dyDescent="0.3">
      <c r="A154" s="411" t="s">
        <v>955</v>
      </c>
      <c r="B154" s="405">
        <f>IF(Rf!$B$77=1,1,0)</f>
        <v>0</v>
      </c>
      <c r="C154" s="46" t="s">
        <v>45</v>
      </c>
      <c r="D154" s="34" t="s">
        <v>956</v>
      </c>
      <c r="E154" s="226" t="s">
        <v>45</v>
      </c>
      <c r="F154" s="1290">
        <f>Straw!$F$35</f>
        <v>7.0000000000000007E-2</v>
      </c>
      <c r="G154" s="414">
        <f>B154*F154*Data!$H$196</f>
        <v>0</v>
      </c>
      <c r="H154" s="110">
        <f>B154*G154*rye*Data!$D$31*Data!B31</f>
        <v>0</v>
      </c>
    </row>
    <row r="155" spans="1:18" x14ac:dyDescent="0.3">
      <c r="A155" s="9" t="s">
        <v>1022</v>
      </c>
      <c r="B155" s="405">
        <f>B154</f>
        <v>0</v>
      </c>
      <c r="C155" s="47" t="s">
        <v>45</v>
      </c>
      <c r="D155" s="47" t="s">
        <v>45</v>
      </c>
      <c r="E155" s="647" t="s">
        <v>45</v>
      </c>
      <c r="F155" s="465">
        <f>F154</f>
        <v>7.0000000000000007E-2</v>
      </c>
      <c r="G155" s="465">
        <f>B155*F155*Data!$H$196*Data!$F$197</f>
        <v>0</v>
      </c>
      <c r="H155" s="123">
        <f>B155*G155*rye*Data!$D$31*Data!B31</f>
        <v>0</v>
      </c>
      <c r="I155" s="108">
        <f>SUM(H147:H155)</f>
        <v>0</v>
      </c>
    </row>
    <row r="156" spans="1:18" x14ac:dyDescent="0.3">
      <c r="A156" s="665" t="s">
        <v>2075</v>
      </c>
      <c r="E156" s="17"/>
    </row>
    <row r="157" spans="1:18" x14ac:dyDescent="0.3">
      <c r="A157" s="639" t="s">
        <v>2026</v>
      </c>
      <c r="B157" s="405">
        <f>IF(OSI!$E$92&gt;0,OSI!$E$92,0)</f>
        <v>0</v>
      </c>
      <c r="C157" s="643">
        <v>1</v>
      </c>
      <c r="D157" s="34" t="s">
        <v>1517</v>
      </c>
      <c r="E157" s="34">
        <f>B157*C157</f>
        <v>0</v>
      </c>
      <c r="F157" s="676">
        <f>OSI!$E$92</f>
        <v>0</v>
      </c>
      <c r="G157" s="114">
        <f>(C157*F157)/crops</f>
        <v>0</v>
      </c>
      <c r="H157" s="110">
        <f>B157*G157*rye</f>
        <v>0</v>
      </c>
    </row>
    <row r="158" spans="1:18" x14ac:dyDescent="0.3">
      <c r="A158" s="639" t="s">
        <v>2027</v>
      </c>
      <c r="B158" s="405">
        <f>IF(OSI!$E$94&gt;0,OSI!$E$94,0)</f>
        <v>0</v>
      </c>
      <c r="C158" s="405">
        <f>OSI!$E$94</f>
        <v>0</v>
      </c>
      <c r="D158" s="34" t="s">
        <v>2028</v>
      </c>
      <c r="E158" s="34">
        <f>B158*C158</f>
        <v>0</v>
      </c>
      <c r="F158" s="367">
        <f>OSI!$E$95</f>
        <v>0</v>
      </c>
      <c r="G158" s="114">
        <f>(C158*F158)/crops</f>
        <v>0</v>
      </c>
      <c r="H158" s="110">
        <f>B158*G158*rye</f>
        <v>0</v>
      </c>
      <c r="I158" s="108">
        <f>SUM(H156:H158)</f>
        <v>0</v>
      </c>
    </row>
    <row r="159" spans="1:18" x14ac:dyDescent="0.3">
      <c r="A159" s="856" t="s">
        <v>1518</v>
      </c>
      <c r="B159" s="644"/>
      <c r="C159" s="47"/>
      <c r="D159" s="48"/>
      <c r="E159" s="48"/>
      <c r="F159" s="118"/>
      <c r="G159" s="465"/>
      <c r="H159" s="124"/>
      <c r="I159" s="110"/>
    </row>
    <row r="160" spans="1:18" x14ac:dyDescent="0.3">
      <c r="A160" s="638" t="s">
        <v>1519</v>
      </c>
      <c r="B160" s="816">
        <f>IF(Data!$P$108&gt;0,1,0)</f>
        <v>1</v>
      </c>
      <c r="C160" s="862">
        <f>Data!$Q$108</f>
        <v>0.1</v>
      </c>
      <c r="D160" s="34" t="s">
        <v>128</v>
      </c>
      <c r="E160" s="228">
        <f>C160*rye</f>
        <v>0</v>
      </c>
      <c r="F160" s="167">
        <f t="shared" ref="F160:F163" si="43">_wage_</f>
        <v>12.29</v>
      </c>
      <c r="G160" s="114">
        <f t="shared" ref="G160:G165" si="44">C160*F160</f>
        <v>1.2290000000000001</v>
      </c>
      <c r="H160" s="110">
        <f>B160*G160*rye</f>
        <v>0</v>
      </c>
      <c r="I160" s="110"/>
    </row>
    <row r="161" spans="1:9" x14ac:dyDescent="0.3">
      <c r="A161" s="638" t="s">
        <v>1520</v>
      </c>
      <c r="B161" s="816">
        <f>IF(Data!$P$109&gt;0,1,0)</f>
        <v>1</v>
      </c>
      <c r="C161" s="862">
        <f>Data!$Q$109</f>
        <v>0.02</v>
      </c>
      <c r="D161" s="34" t="s">
        <v>128</v>
      </c>
      <c r="E161" s="228">
        <f>C161*rye</f>
        <v>0</v>
      </c>
      <c r="F161" s="167">
        <f t="shared" si="43"/>
        <v>12.29</v>
      </c>
      <c r="G161" s="114">
        <f t="shared" si="44"/>
        <v>0.24579999999999999</v>
      </c>
      <c r="H161" s="110">
        <f>B161*G161*rye</f>
        <v>0</v>
      </c>
      <c r="I161" s="110"/>
    </row>
    <row r="162" spans="1:9" x14ac:dyDescent="0.3">
      <c r="A162" s="638" t="s">
        <v>1521</v>
      </c>
      <c r="B162" s="816">
        <f>IF(Data!$P$110&gt;0,1,0)</f>
        <v>1</v>
      </c>
      <c r="C162" s="862">
        <f>Data!$Q$110</f>
        <v>0.45500000000000002</v>
      </c>
      <c r="D162" s="34" t="s">
        <v>128</v>
      </c>
      <c r="E162" s="228">
        <f>C162*rye</f>
        <v>0</v>
      </c>
      <c r="F162" s="167">
        <f t="shared" si="43"/>
        <v>12.29</v>
      </c>
      <c r="G162" s="114">
        <f t="shared" si="44"/>
        <v>5.5919499999999998</v>
      </c>
      <c r="H162" s="110">
        <f>B162*G162*rye</f>
        <v>0</v>
      </c>
      <c r="I162" s="110"/>
    </row>
    <row r="163" spans="1:9" x14ac:dyDescent="0.3">
      <c r="A163" s="638" t="s">
        <v>1522</v>
      </c>
      <c r="B163" s="816">
        <f>IF(Data!$P$111&gt;0,1,0)</f>
        <v>1</v>
      </c>
      <c r="C163" s="862">
        <f>Data!$Q$111</f>
        <v>0.32500000000000001</v>
      </c>
      <c r="D163" s="34" t="s">
        <v>128</v>
      </c>
      <c r="E163" s="228">
        <f>C163*rye</f>
        <v>0</v>
      </c>
      <c r="F163" s="167">
        <f t="shared" si="43"/>
        <v>12.29</v>
      </c>
      <c r="G163" s="114">
        <f t="shared" si="44"/>
        <v>3.9942500000000001</v>
      </c>
      <c r="H163" s="110">
        <f>B163*G163*rye</f>
        <v>0</v>
      </c>
      <c r="I163" s="110">
        <f>SUM(H159:H163)</f>
        <v>0</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C165*rye</f>
        <v>0</v>
      </c>
      <c r="F165" s="167">
        <f>Data!$S$271</f>
        <v>45</v>
      </c>
      <c r="G165" s="110">
        <f t="shared" si="44"/>
        <v>0</v>
      </c>
      <c r="H165" s="110">
        <f t="shared" ref="H165:H171" si="45">B165*G165*rye</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45"/>
        <v>0</v>
      </c>
      <c r="I166" s="110"/>
    </row>
    <row r="167" spans="1:9" x14ac:dyDescent="0.3">
      <c r="A167" s="856" t="s">
        <v>1513</v>
      </c>
      <c r="B167" s="816">
        <f>Data!$G$114</f>
        <v>1</v>
      </c>
      <c r="C167" s="46" t="s">
        <v>45</v>
      </c>
      <c r="D167" s="46" t="s">
        <v>1517</v>
      </c>
      <c r="E167" s="46" t="s">
        <v>45</v>
      </c>
      <c r="F167" s="676">
        <f>Data!$I$114</f>
        <v>500</v>
      </c>
      <c r="G167" s="114">
        <f>F167/crops</f>
        <v>1.25</v>
      </c>
      <c r="H167" s="110">
        <f t="shared" si="45"/>
        <v>0</v>
      </c>
      <c r="I167" s="110"/>
    </row>
    <row r="168" spans="1:9" x14ac:dyDescent="0.3">
      <c r="A168" s="856" t="s">
        <v>1514</v>
      </c>
      <c r="B168" s="816">
        <f>Data!$G$115</f>
        <v>1</v>
      </c>
      <c r="C168" s="46" t="s">
        <v>45</v>
      </c>
      <c r="D168" s="46" t="s">
        <v>1517</v>
      </c>
      <c r="E168" s="46" t="s">
        <v>45</v>
      </c>
      <c r="F168" s="676">
        <f>Data!$I$115</f>
        <v>250</v>
      </c>
      <c r="G168" s="114">
        <f>F168/crops</f>
        <v>0.625</v>
      </c>
      <c r="H168" s="110">
        <f t="shared" si="45"/>
        <v>0</v>
      </c>
      <c r="I168" s="110">
        <f>SUM(H166:H168)</f>
        <v>0</v>
      </c>
    </row>
    <row r="169" spans="1:9" x14ac:dyDescent="0.3">
      <c r="A169" s="70" t="s">
        <v>180</v>
      </c>
      <c r="B169" s="405">
        <f>IF(othexp&gt;0,1,0)</f>
        <v>0</v>
      </c>
      <c r="C169" s="46" t="s">
        <v>45</v>
      </c>
      <c r="D169" s="34" t="s">
        <v>45</v>
      </c>
      <c r="E169" s="226" t="s">
        <v>45</v>
      </c>
      <c r="F169" s="55" t="s">
        <v>45</v>
      </c>
      <c r="G169" s="114">
        <f>othexp</f>
        <v>0</v>
      </c>
      <c r="H169" s="110">
        <f t="shared" si="45"/>
        <v>0</v>
      </c>
    </row>
    <row r="170" spans="1:9" x14ac:dyDescent="0.3">
      <c r="A170" s="22" t="s">
        <v>181</v>
      </c>
      <c r="B170" s="397">
        <v>0</v>
      </c>
      <c r="C170" s="46" t="s">
        <v>45</v>
      </c>
      <c r="D170" s="34" t="s">
        <v>45</v>
      </c>
      <c r="E170" s="226" t="s">
        <v>45</v>
      </c>
      <c r="F170" s="55" t="s">
        <v>45</v>
      </c>
      <c r="G170" s="272">
        <f>0</f>
        <v>0</v>
      </c>
      <c r="H170" s="110">
        <f t="shared" si="45"/>
        <v>0</v>
      </c>
      <c r="I170" s="108">
        <f>SUM(H169:H170)</f>
        <v>0</v>
      </c>
    </row>
    <row r="171" spans="1:9" x14ac:dyDescent="0.3">
      <c r="A171" s="3" t="s">
        <v>226</v>
      </c>
      <c r="B171" s="397">
        <v>0</v>
      </c>
      <c r="C171" s="46" t="s">
        <v>45</v>
      </c>
      <c r="D171" s="75" t="s">
        <v>45</v>
      </c>
      <c r="E171" s="226" t="s">
        <v>45</v>
      </c>
      <c r="F171" s="55" t="s">
        <v>45</v>
      </c>
      <c r="G171" s="272">
        <f>0</f>
        <v>0</v>
      </c>
      <c r="H171" s="110">
        <f t="shared" si="45"/>
        <v>0</v>
      </c>
    </row>
    <row r="172" spans="1:9" x14ac:dyDescent="0.3">
      <c r="A172" s="3" t="s">
        <v>73</v>
      </c>
      <c r="B172" s="3"/>
      <c r="F172" s="114"/>
      <c r="G172" s="119">
        <f>SUM(G8:G171)</f>
        <v>375.5386568422004</v>
      </c>
      <c r="H172" s="111">
        <f>SUM(H8:H171)</f>
        <v>0</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5">
        <f>_int_oper_</f>
        <v>4.7341710603787002E-2</v>
      </c>
      <c r="D175" s="34">
        <f>Data!$B$48</f>
        <v>7</v>
      </c>
      <c r="E175" s="226"/>
      <c r="F175" s="114"/>
      <c r="G175" s="104">
        <f>IF(rye&gt;0,H175/rye,0)</f>
        <v>0</v>
      </c>
      <c r="H175" s="109">
        <f>C175*(D175/12)*(H172)</f>
        <v>0</v>
      </c>
    </row>
    <row r="176" spans="1:9" x14ac:dyDescent="0.3">
      <c r="F176" s="114"/>
      <c r="G176" s="103"/>
      <c r="H176" s="127"/>
    </row>
    <row r="177" spans="1:8" ht="14" thickBot="1" x14ac:dyDescent="0.4">
      <c r="A177" s="1" t="s">
        <v>74</v>
      </c>
      <c r="B177" s="1"/>
      <c r="F177" s="114"/>
      <c r="G177" s="121">
        <f>G172+G175</f>
        <v>375.5386568422004</v>
      </c>
      <c r="H177" s="128">
        <f>H172+H175</f>
        <v>0</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49"/>
    </row>
    <row r="185" spans="1:8" x14ac:dyDescent="0.3">
      <c r="F185" s="34"/>
      <c r="G185" s="34"/>
      <c r="H185" s="49"/>
    </row>
    <row r="186" spans="1:8" x14ac:dyDescent="0.3">
      <c r="F186" s="34"/>
      <c r="G186" s="34"/>
      <c r="H186" s="49"/>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c r="G671" s="34"/>
      <c r="H671" s="34"/>
    </row>
    <row r="672" spans="6:8" x14ac:dyDescent="0.3">
      <c r="F672" s="34"/>
      <c r="G672" s="34"/>
      <c r="H672" s="34"/>
    </row>
    <row r="673" spans="6:8" x14ac:dyDescent="0.3">
      <c r="F673" s="34"/>
      <c r="G673" s="34"/>
      <c r="H673" s="34"/>
    </row>
    <row r="674" spans="6:8" x14ac:dyDescent="0.3">
      <c r="F674" s="34"/>
      <c r="G674" s="34"/>
      <c r="H674" s="34"/>
    </row>
    <row r="675" spans="6:8" x14ac:dyDescent="0.3">
      <c r="F675" s="34"/>
      <c r="G675" s="34"/>
      <c r="H675" s="34"/>
    </row>
    <row r="676" spans="6:8" x14ac:dyDescent="0.3">
      <c r="F676" s="34"/>
      <c r="G676" s="34"/>
      <c r="H676" s="34"/>
    </row>
    <row r="677" spans="6:8" x14ac:dyDescent="0.3">
      <c r="F677" s="34"/>
      <c r="G677" s="34"/>
      <c r="H677" s="34"/>
    </row>
    <row r="678" spans="6:8" x14ac:dyDescent="0.3">
      <c r="F678" s="34"/>
      <c r="G678" s="34"/>
      <c r="H678" s="34"/>
    </row>
    <row r="679" spans="6:8" x14ac:dyDescent="0.3">
      <c r="F679" s="34"/>
      <c r="G679" s="34"/>
      <c r="H679" s="34"/>
    </row>
    <row r="680" spans="6:8" x14ac:dyDescent="0.3">
      <c r="F680" s="34"/>
      <c r="G680" s="34"/>
      <c r="H680" s="34"/>
    </row>
    <row r="681" spans="6:8" x14ac:dyDescent="0.3">
      <c r="F681" s="34"/>
    </row>
    <row r="682" spans="6:8" x14ac:dyDescent="0.3">
      <c r="F682" s="34"/>
    </row>
    <row r="683" spans="6:8" x14ac:dyDescent="0.3">
      <c r="F683" s="34"/>
    </row>
    <row r="684" spans="6:8" x14ac:dyDescent="0.3">
      <c r="F684" s="34"/>
    </row>
    <row r="685" spans="6:8" x14ac:dyDescent="0.3">
      <c r="F685" s="34"/>
    </row>
    <row r="686" spans="6:8" x14ac:dyDescent="0.3">
      <c r="F686" s="34"/>
    </row>
    <row r="687" spans="6:8" x14ac:dyDescent="0.3">
      <c r="F687" s="34"/>
    </row>
    <row r="688" spans="6:8" x14ac:dyDescent="0.3">
      <c r="F688" s="34"/>
    </row>
    <row r="689" spans="6:6" x14ac:dyDescent="0.3">
      <c r="F689" s="34"/>
    </row>
    <row r="690" spans="6:6" x14ac:dyDescent="0.3">
      <c r="F690" s="34"/>
    </row>
    <row r="691" spans="6:6" x14ac:dyDescent="0.3">
      <c r="F691" s="34"/>
    </row>
    <row r="692" spans="6:6" x14ac:dyDescent="0.3">
      <c r="F692" s="34"/>
    </row>
    <row r="693" spans="6:6" x14ac:dyDescent="0.3">
      <c r="F693" s="34"/>
    </row>
    <row r="694" spans="6:6" x14ac:dyDescent="0.3">
      <c r="F694" s="34"/>
    </row>
    <row r="695" spans="6:6" x14ac:dyDescent="0.3">
      <c r="F695" s="34"/>
    </row>
    <row r="696" spans="6:6" x14ac:dyDescent="0.3">
      <c r="F696" s="34"/>
    </row>
    <row r="697" spans="6:6" x14ac:dyDescent="0.3">
      <c r="F697" s="34"/>
    </row>
    <row r="698" spans="6:6" x14ac:dyDescent="0.3">
      <c r="F698" s="34"/>
    </row>
    <row r="699" spans="6:6" x14ac:dyDescent="0.3">
      <c r="F699" s="34"/>
    </row>
    <row r="700" spans="6:6" x14ac:dyDescent="0.3">
      <c r="F700" s="34"/>
    </row>
    <row r="701" spans="6:6" x14ac:dyDescent="0.3">
      <c r="F701" s="34"/>
    </row>
    <row r="702" spans="6:6" x14ac:dyDescent="0.3">
      <c r="F702" s="34"/>
    </row>
  </sheetData>
  <phoneticPr fontId="16"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pane="bottomLeft" activeCell="D31" sqref="D31"/>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18" x14ac:dyDescent="0.3">
      <c r="A1" s="61" t="s">
        <v>146</v>
      </c>
      <c r="B1" s="17" t="str">
        <f>model</f>
        <v>ME Grain &amp; Pulse</v>
      </c>
    </row>
    <row r="4" spans="1:18" x14ac:dyDescent="0.3">
      <c r="A4" s="16" t="s">
        <v>509</v>
      </c>
      <c r="B4" s="8" t="s">
        <v>92</v>
      </c>
      <c r="C4" s="65">
        <f>rye</f>
        <v>0</v>
      </c>
      <c r="D4" s="4" t="s">
        <v>93</v>
      </c>
    </row>
    <row r="5" spans="1:18" x14ac:dyDescent="0.3">
      <c r="H5" s="28"/>
    </row>
    <row r="6" spans="1:18"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Data!D276*Data!$H$14*CP!$H$5</f>
        <v>0</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x14ac:dyDescent="0.3">
      <c r="A10" s="664" t="str">
        <f>Data!A277</f>
        <v>Medium tractor (105 hp) - SMALL SIZE</v>
      </c>
      <c r="B10" s="33">
        <f>Data!B277</f>
        <v>0</v>
      </c>
      <c r="C10" s="34" t="str">
        <f>Data!C277</f>
        <v>tractor</v>
      </c>
      <c r="D10" s="109">
        <f>Data!D277*Data!$H$14*CP!$H$5</f>
        <v>0</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Data!D278*Data!$H$14*CP!$H$5</f>
        <v>0</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ht="13.25" customHeight="1" x14ac:dyDescent="0.3">
      <c r="A12" s="664" t="str">
        <f>Data!A279</f>
        <v>Large tractor (160 hp) - SMALL SIZE</v>
      </c>
      <c r="B12" s="33">
        <f>Data!B279</f>
        <v>0</v>
      </c>
      <c r="C12" s="34" t="str">
        <f>Data!C279</f>
        <v>tractor</v>
      </c>
      <c r="D12" s="109">
        <f>Data!D279*Data!$H$14*CP!$H$5</f>
        <v>0</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ht="13.25" customHeight="1" x14ac:dyDescent="0.3">
      <c r="A13" s="664" t="str">
        <f>Data!A280</f>
        <v>Large tractor (200 hp) - SMALL SIZE</v>
      </c>
      <c r="B13" s="33">
        <f>Data!B280</f>
        <v>0</v>
      </c>
      <c r="C13" s="34" t="str">
        <f>Data!C280</f>
        <v>tractor</v>
      </c>
      <c r="D13" s="109">
        <f>Data!D280*Data!$H$14*CP!$H$5</f>
        <v>0</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Data!D282*Data!$H$14</f>
        <v>0</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Data!D283*Data!$H$14</f>
        <v>0</v>
      </c>
      <c r="E15" s="109">
        <f>D15*B15</f>
        <v>0</v>
      </c>
      <c r="F15" s="109">
        <f>IF(CP!K11=0,Data!I283*E15,CP!K11*B15)</f>
        <v>0</v>
      </c>
      <c r="G15" s="60">
        <f>IF(CP!$G$11=0,Data!$F$283,CP!$G$11)</f>
        <v>40</v>
      </c>
      <c r="H15" s="109">
        <f>(E15*(_int_inv_m*(1+_int_inv_m)^G15)/((1+_int_inv_m)^G15-1))-(F15*_int_inv_m/((1+_int_inv_m)^G15-1))</f>
        <v>0</v>
      </c>
      <c r="I15" s="36">
        <f>IF(CP!I11=0,Data!H283*Data!$J$271,CP!I11/CP!E11)</f>
        <v>1.35E-2</v>
      </c>
      <c r="J15" s="109">
        <f>E15*I15</f>
        <v>0</v>
      </c>
      <c r="K15" s="36">
        <f t="shared" si="1"/>
        <v>6.7999999999999996E-3</v>
      </c>
      <c r="L15" s="109">
        <f>E15*K15</f>
        <v>0</v>
      </c>
      <c r="M15" s="109">
        <f>H15+J15+L15</f>
        <v>0</v>
      </c>
      <c r="N15" s="34"/>
      <c r="O15" s="34"/>
      <c r="P15" s="34"/>
      <c r="Q15" s="34"/>
      <c r="R15" s="34"/>
    </row>
    <row r="16" spans="1:18" x14ac:dyDescent="0.3">
      <c r="A16" s="664" t="str">
        <f>Data!A284</f>
        <v>Medium/Large tractor (130 hp) - MEDIUM SIZE</v>
      </c>
      <c r="B16" s="33">
        <f>Data!B284</f>
        <v>0</v>
      </c>
      <c r="C16" s="34" t="str">
        <f>Data!C284</f>
        <v>tractor</v>
      </c>
      <c r="D16" s="109">
        <f>Data!D284*Data!$H$14</f>
        <v>0</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Data!D285*Data!$H$14</f>
        <v>0</v>
      </c>
      <c r="E17" s="109">
        <f>D17*B17</f>
        <v>0</v>
      </c>
      <c r="F17" s="109">
        <f>IF(CP!K13=0,Data!I285*E17,CP!K13*B17)</f>
        <v>0</v>
      </c>
      <c r="G17" s="60">
        <f>IF(CP!$G$13=0,Data!$F$285,CP!$G$13)</f>
        <v>30</v>
      </c>
      <c r="H17" s="109">
        <f>(E17*(_int_inv_m*(1+_int_inv_m)^G17)/((1+_int_inv_m)^G17-1))-(F17*_int_inv_m/((1+_int_inv_m)^G17-1))</f>
        <v>0</v>
      </c>
      <c r="I17" s="36">
        <f>IF(CP!I13=0,Data!H285*Data!$J$271,CP!I13/CP!E13)</f>
        <v>1.6666666666666666E-2</v>
      </c>
      <c r="J17" s="109">
        <f>E17*I17</f>
        <v>0</v>
      </c>
      <c r="K17" s="36">
        <f t="shared" si="1"/>
        <v>6.7999999999999996E-3</v>
      </c>
      <c r="L17" s="109">
        <f>E17*K17</f>
        <v>0</v>
      </c>
      <c r="M17" s="109">
        <f>H17+J17+L17</f>
        <v>0</v>
      </c>
      <c r="N17" s="34"/>
      <c r="O17" s="34"/>
      <c r="P17" s="34"/>
      <c r="Q17" s="34"/>
      <c r="R17" s="34"/>
    </row>
    <row r="18" spans="1:23" x14ac:dyDescent="0.3">
      <c r="A18" s="664" t="str">
        <f>Data!A286</f>
        <v>Large tractor (200 hp) - MEDIUM SIZE</v>
      </c>
      <c r="B18" s="33">
        <f>Data!B286</f>
        <v>0</v>
      </c>
      <c r="C18" s="34" t="str">
        <f>Data!C286</f>
        <v>tractor</v>
      </c>
      <c r="D18" s="109">
        <f>Data!D286*Data!$H$14</f>
        <v>0</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Data!D288*Data!$H$14</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Data!D289*Data!$H$14</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Data!D290*Data!$H$14</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Data!D291*Data!$H$14</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Data!D292*Data!$H$14</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664" t="str">
        <f>Data!A297</f>
        <v>Bulk Body Truck(s) - SMALL SIZE</v>
      </c>
      <c r="B26" s="84">
        <f>Data!B297</f>
        <v>0</v>
      </c>
      <c r="C26" s="34" t="str">
        <f>Data!C297</f>
        <v>truck</v>
      </c>
      <c r="D26" s="109">
        <f>Data!D297*Data!$J$14*CP!$H$5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23" x14ac:dyDescent="0.3">
      <c r="A27" s="664" t="str">
        <f>Data!A298</f>
        <v>Bulk Body Truck(s) - MEDIUM SIZE</v>
      </c>
      <c r="B27" s="84">
        <f>Data!B298</f>
        <v>3</v>
      </c>
      <c r="C27" s="34" t="str">
        <f>Data!C298</f>
        <v>truck</v>
      </c>
      <c r="D27" s="109">
        <f>Data!D298*Data!$J$14</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34"/>
      <c r="P27" s="34"/>
      <c r="Q27" s="34"/>
      <c r="R27" s="34"/>
    </row>
    <row r="28" spans="1:23" x14ac:dyDescent="0.3">
      <c r="A28" s="664" t="str">
        <f>Data!A299</f>
        <v>Bulk Body Truck(s) - LARGE SIZE</v>
      </c>
      <c r="B28" s="84">
        <f>Data!B299</f>
        <v>0</v>
      </c>
      <c r="C28" s="34" t="str">
        <f>Data!C299</f>
        <v>truck</v>
      </c>
      <c r="D28" s="109">
        <f>Data!D299*Data!$J$14</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23" x14ac:dyDescent="0.3">
      <c r="A29" s="664" t="str">
        <f>Data!A300</f>
        <v>Flat Bed Truck(s) - SMALL SIZE</v>
      </c>
      <c r="B29" s="84">
        <f>Data!B300</f>
        <v>0</v>
      </c>
      <c r="C29" s="34" t="str">
        <f>Data!C300</f>
        <v>truck</v>
      </c>
      <c r="D29" s="109">
        <f>Data!D300*Data!$J$14*CP!$H$5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Data!D301*Data!$J$14</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Data!D302*Data!$J$14</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Data!D303*Data!$J$14</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Data!D310*Data!$P$14*CP!$H$5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23" x14ac:dyDescent="0.3">
      <c r="A36" s="664" t="str">
        <f>Data!A311</f>
        <v>Moldboard Plow (9 ft) - MEDIUM SIZE</v>
      </c>
      <c r="B36" s="33">
        <f>Data!B311</f>
        <v>1</v>
      </c>
      <c r="C36" s="34" t="str">
        <f>Data!C311</f>
        <v>moldboard plow</v>
      </c>
      <c r="D36" s="109">
        <f>Data!D311*Data!$P$14</f>
        <v>0</v>
      </c>
      <c r="E36" s="109">
        <f t="shared" ref="E36:E37" si="20">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1">E36*I36</f>
        <v>0</v>
      </c>
      <c r="K36" s="36">
        <f t="shared" si="19"/>
        <v>6.7999999999999996E-3</v>
      </c>
      <c r="L36" s="109">
        <f t="shared" ref="L36:L37" si="22">E36*K36</f>
        <v>0</v>
      </c>
      <c r="M36" s="109">
        <f t="shared" ref="M36:M37" si="23">H36+J36+L36</f>
        <v>0</v>
      </c>
      <c r="N36" s="34"/>
      <c r="O36" s="34"/>
      <c r="P36" s="34"/>
      <c r="Q36" s="34"/>
      <c r="R36" s="34"/>
    </row>
    <row r="37" spans="1:23" x14ac:dyDescent="0.3">
      <c r="A37" s="664" t="str">
        <f>Data!A312</f>
        <v>Moldboard Plow (12 ft) - LARGE SIZE</v>
      </c>
      <c r="B37" s="33">
        <f>Data!B312</f>
        <v>0</v>
      </c>
      <c r="C37" s="34" t="str">
        <f>Data!C312</f>
        <v>moldboard plow</v>
      </c>
      <c r="D37" s="109">
        <f>Data!D312*Data!$P$14</f>
        <v>0</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23" x14ac:dyDescent="0.3">
      <c r="A38" s="664" t="str">
        <f>Data!A313</f>
        <v>Chisel Plow (15 ft) - SMALL SIZE</v>
      </c>
      <c r="B38" s="33">
        <f>Data!B313</f>
        <v>0</v>
      </c>
      <c r="C38" s="34" t="str">
        <f>Data!C313</f>
        <v>chisel plow</v>
      </c>
      <c r="D38" s="109">
        <f>Data!D313*Data!$P$14*CP!$H$5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4">_tax_ins_</f>
        <v>6.7999999999999996E-3</v>
      </c>
      <c r="L38" s="109">
        <f>E38*K38</f>
        <v>0</v>
      </c>
      <c r="M38" s="109">
        <f>H38+J38+L38</f>
        <v>0</v>
      </c>
      <c r="N38" s="34"/>
      <c r="O38" s="34"/>
      <c r="P38" s="34"/>
      <c r="Q38" s="34"/>
      <c r="R38" s="34"/>
    </row>
    <row r="39" spans="1:23" x14ac:dyDescent="0.3">
      <c r="A39" s="664" t="str">
        <f>Data!A314</f>
        <v>Chisel Plow (15 ft) - MEDIUM SIZE</v>
      </c>
      <c r="B39" s="33">
        <f>Data!B314</f>
        <v>1</v>
      </c>
      <c r="C39" s="34" t="str">
        <f>Data!C314</f>
        <v>chisel plow</v>
      </c>
      <c r="D39" s="109">
        <f>Data!D314*Data!$P$14</f>
        <v>0</v>
      </c>
      <c r="E39" s="109">
        <f t="shared" ref="E39:E40" si="25">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6">E39*I39</f>
        <v>0</v>
      </c>
      <c r="K39" s="36">
        <f t="shared" si="24"/>
        <v>6.7999999999999996E-3</v>
      </c>
      <c r="L39" s="109">
        <f t="shared" ref="L39:L40" si="27">E39*K39</f>
        <v>0</v>
      </c>
      <c r="M39" s="109">
        <f t="shared" ref="M39:M40" si="28">H39+J39+L39</f>
        <v>0</v>
      </c>
      <c r="N39" s="34"/>
      <c r="O39" s="34"/>
      <c r="P39" s="34"/>
      <c r="Q39" s="34"/>
      <c r="R39" s="34"/>
    </row>
    <row r="40" spans="1:23" x14ac:dyDescent="0.3">
      <c r="A40" s="664" t="str">
        <f>Data!A315</f>
        <v>Chisel Plow (23 ft) - LARGE SIZE</v>
      </c>
      <c r="B40" s="33">
        <f>Data!B315</f>
        <v>0</v>
      </c>
      <c r="C40" s="34" t="str">
        <f>Data!C315</f>
        <v>chisel plow</v>
      </c>
      <c r="D40" s="109">
        <f>Data!D315*Data!$P$14</f>
        <v>0</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23" x14ac:dyDescent="0.3">
      <c r="A41" s="664" t="str">
        <f>Data!A316</f>
        <v>Disk Harrow (12 ft) - SMALL SIZE</v>
      </c>
      <c r="B41" s="33">
        <f>Data!B316</f>
        <v>0</v>
      </c>
      <c r="C41" s="34" t="str">
        <f>Data!C316</f>
        <v>disk harrow</v>
      </c>
      <c r="D41" s="109">
        <f>Data!D316*Data!$P$14*CP!$H$5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23" x14ac:dyDescent="0.3">
      <c r="A42" s="664" t="str">
        <f>Data!A317</f>
        <v>Disk Harrow (21 ft) - MEDIUM SIZE</v>
      </c>
      <c r="B42" s="33">
        <f>Data!B317</f>
        <v>1</v>
      </c>
      <c r="C42" s="34" t="str">
        <f>Data!C317</f>
        <v>disk harrow</v>
      </c>
      <c r="D42" s="109">
        <f>Data!D317*Data!$P$14</f>
        <v>0</v>
      </c>
      <c r="E42" s="109">
        <f t="shared" ref="E42:E43" si="29">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0">E42*I42</f>
        <v>0</v>
      </c>
      <c r="K42" s="36">
        <f t="shared" si="24"/>
        <v>6.7999999999999996E-3</v>
      </c>
      <c r="L42" s="109">
        <f t="shared" ref="L42:L43" si="31">E42*K42</f>
        <v>0</v>
      </c>
      <c r="M42" s="109">
        <f t="shared" ref="M42:M43" si="32">H42+J42+L42</f>
        <v>0</v>
      </c>
    </row>
    <row r="43" spans="1:23" x14ac:dyDescent="0.3">
      <c r="A43" s="664" t="str">
        <f>Data!A318</f>
        <v>Disk Harrow (30 ft) - LARGE SIZE</v>
      </c>
      <c r="B43" s="33">
        <f>Data!B318</f>
        <v>0</v>
      </c>
      <c r="C43" s="34" t="str">
        <f>Data!C318</f>
        <v>disk harrow</v>
      </c>
      <c r="D43" s="109">
        <f>Data!D318*Data!$P$14</f>
        <v>0</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23" ht="13.25" customHeight="1" x14ac:dyDescent="0.3">
      <c r="A44" s="664" t="str">
        <f>Data!A319</f>
        <v>Soil Conditioner/Field Cultivator (18 ft) - SMALL SIZE</v>
      </c>
      <c r="B44" s="33">
        <f>Data!B319</f>
        <v>0</v>
      </c>
      <c r="C44" s="34" t="str">
        <f>Data!C319</f>
        <v>condit.</v>
      </c>
      <c r="D44" s="109">
        <f>Data!D319*Data!$P$14*CP!$H$5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23" ht="13.25" customHeight="1" x14ac:dyDescent="0.3">
      <c r="A45" s="664" t="str">
        <f>Data!A320</f>
        <v>Soil Conditioner/Field Cultivator (18 ft) - MEDIUM SIZE</v>
      </c>
      <c r="B45" s="33">
        <f>Data!B320</f>
        <v>1</v>
      </c>
      <c r="C45" s="34" t="str">
        <f>Data!C320</f>
        <v>condit.</v>
      </c>
      <c r="D45" s="109">
        <f>Data!D320*Data!$P$14</f>
        <v>0</v>
      </c>
      <c r="E45" s="109">
        <f t="shared" ref="E45:E46" si="33">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4">E45*I45</f>
        <v>0</v>
      </c>
      <c r="K45" s="36">
        <f t="shared" si="24"/>
        <v>6.7999999999999996E-3</v>
      </c>
      <c r="L45" s="109">
        <f t="shared" ref="L45:L46" si="35">E45*K45</f>
        <v>0</v>
      </c>
      <c r="M45" s="109">
        <f t="shared" ref="M45:M46" si="36">H45+J45+L45</f>
        <v>0</v>
      </c>
    </row>
    <row r="46" spans="1:23" ht="13.25" customHeight="1" x14ac:dyDescent="0.3">
      <c r="A46" s="664" t="str">
        <f>Data!A321</f>
        <v>Soil Conditioner/Field Cultivator (18 ft) - LARGE SIZE</v>
      </c>
      <c r="B46" s="33">
        <f>Data!B321</f>
        <v>0</v>
      </c>
      <c r="C46" s="34" t="str">
        <f>Data!C321</f>
        <v>condit.</v>
      </c>
      <c r="D46" s="109">
        <f>Data!D321*Data!$P$14</f>
        <v>0</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23" ht="13.25" customHeight="1" x14ac:dyDescent="0.3">
      <c r="A47" s="664" t="str">
        <f>Data!A325</f>
        <v>Tine-Harrow (i.e. Lely, 20-30 ft) - SMALL SIZE</v>
      </c>
      <c r="B47" s="33">
        <f>Data!B325</f>
        <v>0</v>
      </c>
      <c r="C47" s="90" t="str">
        <f>Data!C325</f>
        <v>tine-harrow</v>
      </c>
      <c r="D47" s="109">
        <f>Data!D325*Data!$P$14*CP!$H$5</f>
        <v>0</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4"/>
        <v>6.7999999999999996E-3</v>
      </c>
      <c r="L47" s="109">
        <f>E47*K47</f>
        <v>0</v>
      </c>
      <c r="M47" s="109">
        <f>H47+J47+L47</f>
        <v>0</v>
      </c>
    </row>
    <row r="48" spans="1:23" ht="13.25" customHeight="1" x14ac:dyDescent="0.3">
      <c r="A48" s="664" t="str">
        <f>Data!A326</f>
        <v>Tine-Harrow (i.e. Lely, 20-30 ft) - MEDIUM SIZE</v>
      </c>
      <c r="B48" s="33">
        <f>Data!B326</f>
        <v>1</v>
      </c>
      <c r="C48" s="90" t="str">
        <f>Data!C326</f>
        <v>tine-harrow</v>
      </c>
      <c r="D48" s="109">
        <f>Data!D326*Data!$P$14</f>
        <v>0</v>
      </c>
      <c r="E48" s="109">
        <f t="shared" ref="E48:E49" si="37">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8">E48*I48</f>
        <v>0</v>
      </c>
      <c r="K48" s="36">
        <f t="shared" si="24"/>
        <v>6.7999999999999996E-3</v>
      </c>
      <c r="L48" s="109">
        <f t="shared" ref="L48:L49" si="39">E48*K48</f>
        <v>0</v>
      </c>
      <c r="M48" s="109">
        <f t="shared" ref="M48:M49" si="40">H48+J48+L48</f>
        <v>0</v>
      </c>
    </row>
    <row r="49" spans="1:23" ht="13.25" customHeight="1" x14ac:dyDescent="0.3">
      <c r="A49" s="664" t="str">
        <f>Data!A327</f>
        <v>Tine-Harrow (i.e. Lely, 20-30 ft) - LARGE SIZE</v>
      </c>
      <c r="B49" s="33">
        <f>Data!B327</f>
        <v>0</v>
      </c>
      <c r="C49" s="90" t="str">
        <f>Data!C327</f>
        <v>tine-harrow</v>
      </c>
      <c r="D49" s="109">
        <f>Data!D327*Data!$P$14</f>
        <v>0</v>
      </c>
      <c r="E49" s="109">
        <f t="shared" si="37"/>
        <v>0</v>
      </c>
      <c r="F49" s="109">
        <f>IF(CP!$K$30=0,Data!I327*E49,CP!$K$30*B49)</f>
        <v>0</v>
      </c>
      <c r="G49" s="60">
        <f>IF(CP!$G$30=0,Data!$F$327,CP!$G$30)</f>
        <v>40</v>
      </c>
      <c r="H49" s="109">
        <f>(E49*(_int_inv_l*(1+_int_inv_l)^G49)/((1+_int_inv_l)^G49-1))-(F49*_int_inv_l/((1+_int_inv_l)^G49-1))</f>
        <v>0</v>
      </c>
      <c r="I49" s="675">
        <f>IF(CP!$I$30=0,Data!H327*Data!$J$271,CP!$I$30/CP!$E$30)</f>
        <v>0.02</v>
      </c>
      <c r="J49" s="109">
        <f t="shared" si="38"/>
        <v>0</v>
      </c>
      <c r="K49" s="36">
        <f t="shared" si="24"/>
        <v>6.7999999999999996E-3</v>
      </c>
      <c r="L49" s="109">
        <f t="shared" si="39"/>
        <v>0</v>
      </c>
      <c r="M49" s="109">
        <f t="shared" si="40"/>
        <v>0</v>
      </c>
    </row>
    <row r="50" spans="1:23"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 t="str">
        <f>Data!A334</f>
        <v xml:space="preserve">Fertilizer Spreader </v>
      </c>
      <c r="B52" s="33">
        <f>Data!B334</f>
        <v>0</v>
      </c>
      <c r="C52" s="34" t="str">
        <f>Data!C334</f>
        <v>fert.spread</v>
      </c>
      <c r="D52" s="109">
        <f>Data!D334*Data!$N$14</f>
        <v>0</v>
      </c>
      <c r="E52" s="109">
        <f>D52*B52</f>
        <v>0</v>
      </c>
      <c r="F52" s="109">
        <f>Data!I334*E52</f>
        <v>0</v>
      </c>
      <c r="G52" s="60">
        <f>Data!F334</f>
        <v>10</v>
      </c>
      <c r="H52" s="109">
        <f t="shared" ref="H52" si="41">(E52*(_int_inv_*(1+_int_inv_)^G52)/((1+_int_inv_)^G52-1))-(F52*_int_inv_/((1+_int_inv_)^G52-1))</f>
        <v>0</v>
      </c>
      <c r="I52" s="37">
        <f>Data!H334*Data!$J$271</f>
        <v>4.4999999999999998E-2</v>
      </c>
      <c r="J52" s="109">
        <f>E52*I52</f>
        <v>0</v>
      </c>
      <c r="K52" s="36">
        <f t="shared" ref="K52:K61" si="42">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Data!D335*Data!$N$14*CP!$H$5</f>
        <v>0</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2"/>
        <v>6.7999999999999996E-3</v>
      </c>
      <c r="L53" s="109">
        <f>E53*K53</f>
        <v>0</v>
      </c>
      <c r="M53" s="109">
        <f>H53+J53+L53</f>
        <v>0</v>
      </c>
    </row>
    <row r="54" spans="1:23" ht="13.25" customHeight="1" x14ac:dyDescent="0.3">
      <c r="A54" s="664" t="str">
        <f>Data!A336</f>
        <v>Spin Spreader (Chilean nitrate, 50 ft swath) - MEDIUM SIZE</v>
      </c>
      <c r="B54" s="33">
        <f>Data!B336</f>
        <v>1</v>
      </c>
      <c r="C54" s="34" t="str">
        <f>Data!C336</f>
        <v>spin spread</v>
      </c>
      <c r="D54" s="109">
        <f>Data!D336*Data!$N$14</f>
        <v>0</v>
      </c>
      <c r="E54" s="109">
        <f t="shared" ref="E54:E55" si="43">D54*B54</f>
        <v>0</v>
      </c>
      <c r="F54" s="109">
        <f>IF(CP!$K$32=0,Data!I336*E54,CP!$K$32*B54)</f>
        <v>0</v>
      </c>
      <c r="G54" s="60">
        <f>IF(CP!$G$32=0,Data!$F$336,CP!$G$32)</f>
        <v>40</v>
      </c>
      <c r="H54" s="109">
        <f>(E54*(_int_inv_m*(1+_int_inv_m)^G54)/((1+_int_inv_m)^G54-1))-(F54*_int_inv_m/((1+_int_inv_m)^G54-1))</f>
        <v>0</v>
      </c>
      <c r="I54" s="675">
        <f>IF(CP!$I$32=0,Data!H336*Data!$J$271,CP!$I$32/CP!$E$32)</f>
        <v>0.02</v>
      </c>
      <c r="J54" s="109">
        <f t="shared" ref="J54:J55" si="44">E54*I54</f>
        <v>0</v>
      </c>
      <c r="K54" s="36">
        <f t="shared" si="42"/>
        <v>6.7999999999999996E-3</v>
      </c>
      <c r="L54" s="109">
        <f t="shared" ref="L54:L55" si="45">E54*K54</f>
        <v>0</v>
      </c>
      <c r="M54" s="109">
        <f t="shared" ref="M54:M55" si="46">H54+J54+L54</f>
        <v>0</v>
      </c>
    </row>
    <row r="55" spans="1:23" ht="13.25" customHeight="1" x14ac:dyDescent="0.3">
      <c r="A55" s="664" t="str">
        <f>Data!A337</f>
        <v>Spin Spreader (Chilean nitrate, 50 ft swath) - LARGE SIZE</v>
      </c>
      <c r="B55" s="33">
        <f>Data!B337</f>
        <v>0</v>
      </c>
      <c r="C55" s="34" t="str">
        <f>Data!C337</f>
        <v>spin spread</v>
      </c>
      <c r="D55" s="109">
        <f>Data!D337*Data!$N$14</f>
        <v>0</v>
      </c>
      <c r="E55" s="109">
        <f t="shared" si="43"/>
        <v>0</v>
      </c>
      <c r="F55" s="109">
        <f>IF(CP!$K$32=0,Data!I337*E55,CP!$K$32*B55)</f>
        <v>0</v>
      </c>
      <c r="G55" s="60">
        <f>IF(CP!$G$32=0,Data!$F$337,CP!$G$32)</f>
        <v>40</v>
      </c>
      <c r="H55" s="109">
        <f>(E55*(_int_inv_l*(1+_int_inv_l)^G55)/((1+_int_inv_l)^G55-1))-(F55*_int_inv_l/((1+_int_inv_l)^G55-1))</f>
        <v>0</v>
      </c>
      <c r="I55" s="675">
        <f>IF(CP!$I$32=0,Data!H337*Data!$J$271,CP!$I$32/CP!$E$32)</f>
        <v>0.02</v>
      </c>
      <c r="J55" s="109">
        <f t="shared" si="44"/>
        <v>0</v>
      </c>
      <c r="K55" s="36">
        <f t="shared" si="42"/>
        <v>6.7999999999999996E-3</v>
      </c>
      <c r="L55" s="109">
        <f t="shared" si="45"/>
        <v>0</v>
      </c>
      <c r="M55" s="109">
        <f t="shared" si="46"/>
        <v>0</v>
      </c>
    </row>
    <row r="56" spans="1:23" x14ac:dyDescent="0.3">
      <c r="A56" s="664" t="str">
        <f>Data!A338</f>
        <v>Manure Spreader - SMALL SIZE</v>
      </c>
      <c r="B56" s="33">
        <f>Data!B338</f>
        <v>0</v>
      </c>
      <c r="C56" s="34" t="str">
        <f>Data!C338</f>
        <v>man.spread</v>
      </c>
      <c r="D56" s="109">
        <f>Data!D338*Data!$N$14*CP!$H$5</f>
        <v>0</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2"/>
        <v>6.7999999999999996E-3</v>
      </c>
      <c r="L56" s="109">
        <f>E56*K56</f>
        <v>0</v>
      </c>
      <c r="M56" s="109">
        <f>H56+J56+L56</f>
        <v>0</v>
      </c>
    </row>
    <row r="57" spans="1:23" x14ac:dyDescent="0.3">
      <c r="A57" s="664" t="str">
        <f>Data!A339</f>
        <v>Manure Spreader - MEDIUM SIZE</v>
      </c>
      <c r="B57" s="33">
        <f>Data!B339</f>
        <v>1</v>
      </c>
      <c r="C57" s="34" t="str">
        <f>Data!C339</f>
        <v>man.spread</v>
      </c>
      <c r="D57" s="109">
        <f>Data!D339*Data!$N$14</f>
        <v>0</v>
      </c>
      <c r="E57" s="109">
        <f t="shared" ref="E57:E58" si="47">D57*B57</f>
        <v>0</v>
      </c>
      <c r="F57" s="109">
        <f>IF(CP!$K$33=0,Data!I339*E57,CP!$K$33*B57)</f>
        <v>0</v>
      </c>
      <c r="G57" s="60">
        <f>IF(CP!$G$33=0,Data!$F$339,CP!$G$33)</f>
        <v>40</v>
      </c>
      <c r="H57" s="109">
        <f>(E57*(_int_inv_m*(1+_int_inv_m)^G57)/((1+_int_inv_m)^G57-1))-(F57*_int_inv_m/((1+_int_inv_m)^G57-1))</f>
        <v>0</v>
      </c>
      <c r="I57" s="36">
        <f>IF(CP!$I$33=0,Data!H339*Data!$J$271,CP!$I$33/CP!$E$33)</f>
        <v>2.2825263157894699E-2</v>
      </c>
      <c r="J57" s="109">
        <f t="shared" ref="J57:J58" si="48">E57*I57</f>
        <v>0</v>
      </c>
      <c r="K57" s="36">
        <f t="shared" si="42"/>
        <v>6.7999999999999996E-3</v>
      </c>
      <c r="L57" s="109">
        <f t="shared" ref="L57:L58" si="49">E57*K57</f>
        <v>0</v>
      </c>
      <c r="M57" s="109">
        <f t="shared" ref="M57:M58" si="50">H57+J57+L57</f>
        <v>0</v>
      </c>
    </row>
    <row r="58" spans="1:23" x14ac:dyDescent="0.3">
      <c r="A58" s="664" t="str">
        <f>Data!A340</f>
        <v>Manure Spreader - LARGE SIZE</v>
      </c>
      <c r="B58" s="33">
        <f>Data!B340</f>
        <v>0</v>
      </c>
      <c r="C58" s="34" t="str">
        <f>Data!C340</f>
        <v>man.spread</v>
      </c>
      <c r="D58" s="109">
        <f>Data!D340*Data!$N$14</f>
        <v>0</v>
      </c>
      <c r="E58" s="109">
        <f t="shared" si="47"/>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8"/>
        <v>0</v>
      </c>
      <c r="K58" s="36">
        <f t="shared" si="42"/>
        <v>6.7999999999999996E-3</v>
      </c>
      <c r="L58" s="109">
        <f t="shared" si="49"/>
        <v>0</v>
      </c>
      <c r="M58" s="109">
        <f t="shared" si="50"/>
        <v>0</v>
      </c>
    </row>
    <row r="59" spans="1:23" ht="13.25" customHeight="1" x14ac:dyDescent="0.3">
      <c r="A59" s="664" t="str">
        <f>Data!A343</f>
        <v>Grain Drill (Presswheel, 16 ft) - SMALL SIZE</v>
      </c>
      <c r="B59" s="33">
        <f>Data!B343</f>
        <v>0</v>
      </c>
      <c r="C59" s="34" t="str">
        <f>Data!C343</f>
        <v>grain drill</v>
      </c>
      <c r="D59" s="109">
        <f>Data!D343*Data!$AR$14*CP!$H$5</f>
        <v>0</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2"/>
        <v>6.7999999999999996E-3</v>
      </c>
      <c r="L59" s="109">
        <f>E59*K59</f>
        <v>0</v>
      </c>
      <c r="M59" s="109">
        <f>H59+J59+L59</f>
        <v>0</v>
      </c>
      <c r="N59" s="34"/>
      <c r="O59" s="34"/>
      <c r="P59" s="34"/>
      <c r="Q59" s="34"/>
      <c r="R59" s="34"/>
      <c r="S59" s="34"/>
      <c r="T59" s="34"/>
      <c r="U59" s="34"/>
      <c r="V59" s="34"/>
      <c r="W59" s="34"/>
    </row>
    <row r="60" spans="1:23" ht="13.25" customHeight="1" x14ac:dyDescent="0.3">
      <c r="A60" s="664" t="str">
        <f>Data!A344</f>
        <v>Grain Drill (Presswheel, 25 ft) - MEDIUM SIZE</v>
      </c>
      <c r="B60" s="33">
        <f>Data!B344</f>
        <v>1</v>
      </c>
      <c r="C60" s="34" t="str">
        <f>Data!C344</f>
        <v>grain drill</v>
      </c>
      <c r="D60" s="109">
        <f>Data!D344*Data!$AR$14</f>
        <v>0</v>
      </c>
      <c r="E60" s="109">
        <f t="shared" ref="E60:E61" si="51">D60*B60</f>
        <v>0</v>
      </c>
      <c r="F60" s="109">
        <f>IF(CP!K35=0,Data!I344*E60,CP!K35*B60)</f>
        <v>0</v>
      </c>
      <c r="G60" s="60">
        <f>IF(CP!$G$35=0,Data!$F$344,CP!$G$35)</f>
        <v>40</v>
      </c>
      <c r="H60" s="109">
        <f>(E60*(_int_inv_m*(1+_int_inv_m)^G60)/((1+_int_inv_m)^G60-1))-(F60*_int_inv_m/((1+_int_inv_m)^G60-1))</f>
        <v>0</v>
      </c>
      <c r="I60" s="36">
        <f>IF(CP!I35=0,Data!H344*Data!$J$271,CP!I35/CP!E35)</f>
        <v>2.3673333333333331E-2</v>
      </c>
      <c r="J60" s="109">
        <f t="shared" ref="J60:J61" si="52">E60*I60</f>
        <v>0</v>
      </c>
      <c r="K60" s="36">
        <f t="shared" si="42"/>
        <v>6.7999999999999996E-3</v>
      </c>
      <c r="L60" s="109">
        <f t="shared" ref="L60:L61" si="53">E60*K60</f>
        <v>0</v>
      </c>
      <c r="M60" s="109">
        <f t="shared" ref="M60:M61" si="54">H60+J60+L60</f>
        <v>0</v>
      </c>
      <c r="N60" s="34"/>
      <c r="O60" s="34"/>
      <c r="P60" s="34"/>
      <c r="Q60" s="34"/>
      <c r="R60" s="34"/>
      <c r="S60" s="34"/>
      <c r="T60" s="34"/>
      <c r="U60" s="34"/>
      <c r="V60" s="34"/>
      <c r="W60" s="34"/>
    </row>
    <row r="61" spans="1:23" ht="13.25" customHeight="1" x14ac:dyDescent="0.3">
      <c r="A61" s="664" t="str">
        <f>Data!A345</f>
        <v>Grain Drill (Presswheel, 30 ft) - LARGE SIZE</v>
      </c>
      <c r="B61" s="33">
        <f>Data!B345</f>
        <v>0</v>
      </c>
      <c r="C61" s="34" t="str">
        <f>Data!C345</f>
        <v>grain drill</v>
      </c>
      <c r="D61" s="109">
        <f>Data!D345*Data!$AR$14</f>
        <v>0</v>
      </c>
      <c r="E61" s="109">
        <f t="shared" si="51"/>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2"/>
        <v>0</v>
      </c>
      <c r="K61" s="36">
        <f t="shared" si="42"/>
        <v>6.7999999999999996E-3</v>
      </c>
      <c r="L61" s="109">
        <f t="shared" si="53"/>
        <v>0</v>
      </c>
      <c r="M61" s="109">
        <f t="shared" si="54"/>
        <v>0</v>
      </c>
      <c r="N61" s="34"/>
      <c r="O61" s="34"/>
      <c r="P61" s="34"/>
      <c r="Q61" s="34"/>
      <c r="R61" s="34"/>
      <c r="S61" s="34"/>
      <c r="T61" s="34"/>
      <c r="U61" s="34"/>
      <c r="V61" s="34"/>
      <c r="W61" s="34"/>
    </row>
    <row r="62" spans="1:23" ht="13.25" customHeight="1"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Data!D353*Data!$P$14*CP!$H$5</f>
        <v>0</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Data!D354*Data!$P$14</f>
        <v>0</v>
      </c>
      <c r="E65" s="109">
        <f t="shared" ref="E65:E66" si="55">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6">E65*I65</f>
        <v>0</v>
      </c>
      <c r="K65" s="36">
        <f>_tax_ins_</f>
        <v>6.7999999999999996E-3</v>
      </c>
      <c r="L65" s="109">
        <f t="shared" ref="L65:L66" si="57">E65*K65</f>
        <v>0</v>
      </c>
      <c r="M65" s="109">
        <f t="shared" ref="M65:M66" si="58">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Data!D355*Data!$P$14</f>
        <v>0</v>
      </c>
      <c r="E66" s="109">
        <f t="shared" si="55"/>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6"/>
        <v>0</v>
      </c>
      <c r="K66" s="36">
        <f>_tax_ins_</f>
        <v>6.7999999999999996E-3</v>
      </c>
      <c r="L66" s="109">
        <f t="shared" si="57"/>
        <v>0</v>
      </c>
      <c r="M66" s="109">
        <f t="shared" si="58"/>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14"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Data!D381*Data!$AH$14*CP!$H$5</f>
        <v>0</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59">_tax_ins_</f>
        <v>6.7999999999999996E-3</v>
      </c>
      <c r="L69" s="109">
        <f>E69*K69</f>
        <v>0</v>
      </c>
      <c r="M69" s="109">
        <f>H69+J69+L69</f>
        <v>0</v>
      </c>
      <c r="N69" s="34"/>
      <c r="O69" s="34"/>
      <c r="P69" s="34"/>
      <c r="Q69" s="34"/>
      <c r="R69" s="34"/>
      <c r="S69" s="34"/>
      <c r="T69" s="34"/>
      <c r="U69" s="34"/>
      <c r="V69" s="34"/>
      <c r="W69" s="34"/>
    </row>
    <row r="70" spans="1:23" x14ac:dyDescent="0.3">
      <c r="A70" s="664" t="str">
        <f>Data!A382</f>
        <v>Combine (IHC) - MEDIUM SIZE</v>
      </c>
      <c r="B70" s="33">
        <f>Data!B382</f>
        <v>1</v>
      </c>
      <c r="C70" s="34" t="str">
        <f>Data!C382</f>
        <v>combine</v>
      </c>
      <c r="D70" s="109">
        <f>Data!D382*Data!$AH$14</f>
        <v>0</v>
      </c>
      <c r="E70" s="109">
        <f t="shared" ref="E70:E71" si="60">D70*B70</f>
        <v>0</v>
      </c>
      <c r="F70" s="109">
        <f>IF(CP!K49=0,Data!I382*E70,CP!K49*B70)</f>
        <v>0</v>
      </c>
      <c r="G70" s="60">
        <f>IF(CP!$G$49=0,Data!$F$382,CP!$G$49)</f>
        <v>40</v>
      </c>
      <c r="H70" s="109">
        <f>(E70*(_int_inv_m*(1+_int_inv_m)^G70)/((1+_int_inv_m)^G70-1))-(F70*_int_inv_m/((1+_int_inv_m)^G70-1))</f>
        <v>0</v>
      </c>
      <c r="I70" s="37">
        <f>IF(CP!I49=0,Data!H382*Data!$J$271,CP!I49/CP!E49)</f>
        <v>2.8219081272084806E-2</v>
      </c>
      <c r="J70" s="109">
        <f>E70*I70</f>
        <v>0</v>
      </c>
      <c r="K70" s="36">
        <f t="shared" si="59"/>
        <v>6.7999999999999996E-3</v>
      </c>
      <c r="L70" s="109">
        <f t="shared" ref="L70:L71" si="61">E70*K70</f>
        <v>0</v>
      </c>
      <c r="M70" s="109">
        <f t="shared" ref="M70:M71" si="62">H70+J70+L70</f>
        <v>0</v>
      </c>
      <c r="N70" s="34"/>
      <c r="O70" s="34"/>
      <c r="P70" s="34"/>
      <c r="Q70" s="34"/>
      <c r="R70" s="34"/>
      <c r="S70" s="34"/>
      <c r="T70" s="34"/>
      <c r="U70" s="34"/>
      <c r="V70" s="34"/>
      <c r="W70" s="34"/>
    </row>
    <row r="71" spans="1:23" x14ac:dyDescent="0.3">
      <c r="A71" s="664" t="str">
        <f>Data!A383</f>
        <v>Combine (IHC) - LARGE SIZE</v>
      </c>
      <c r="B71" s="33">
        <f>Data!B383</f>
        <v>0</v>
      </c>
      <c r="C71" s="34" t="str">
        <f>Data!C383</f>
        <v>combine</v>
      </c>
      <c r="D71" s="109">
        <f>Data!D383*Data!$AH$14</f>
        <v>0</v>
      </c>
      <c r="E71" s="109">
        <f t="shared" si="60"/>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ref="J71" si="63">E71*I71</f>
        <v>0</v>
      </c>
      <c r="K71" s="36">
        <f t="shared" si="59"/>
        <v>6.7999999999999996E-3</v>
      </c>
      <c r="L71" s="109">
        <f t="shared" si="61"/>
        <v>0</v>
      </c>
      <c r="M71" s="109">
        <f t="shared" si="62"/>
        <v>0</v>
      </c>
      <c r="N71" s="34"/>
      <c r="O71" s="34"/>
      <c r="P71" s="34"/>
      <c r="Q71" s="34"/>
      <c r="R71" s="34"/>
      <c r="S71" s="34"/>
      <c r="T71" s="34"/>
      <c r="U71" s="34"/>
      <c r="V71" s="34"/>
      <c r="W71" s="34"/>
    </row>
    <row r="72" spans="1:23" ht="13.25" customHeight="1" x14ac:dyDescent="0.3">
      <c r="A72" s="664" t="str">
        <f>Data!A385</f>
        <v xml:space="preserve">     Combine small grain head (15 ft) - SMALL SIZE</v>
      </c>
      <c r="B72" s="33">
        <f>Data!B385</f>
        <v>0</v>
      </c>
      <c r="C72" s="34" t="str">
        <f>Data!C385</f>
        <v>sm.gr.hd.</v>
      </c>
      <c r="D72" s="109">
        <f>Data!D385*Data!$AJ$14*CP!$H$5</f>
        <v>0</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59"/>
        <v>6.7999999999999996E-3</v>
      </c>
      <c r="L72" s="109">
        <f>E72*K72</f>
        <v>0</v>
      </c>
      <c r="M72" s="109">
        <f>H72+J72+L72</f>
        <v>0</v>
      </c>
      <c r="N72" s="34"/>
      <c r="O72" s="34"/>
      <c r="P72" s="34"/>
      <c r="Q72" s="34"/>
      <c r="R72" s="34"/>
      <c r="S72" s="34"/>
      <c r="T72" s="34"/>
      <c r="U72" s="34"/>
      <c r="V72" s="34"/>
    </row>
    <row r="73" spans="1:23" ht="13.25" customHeight="1" x14ac:dyDescent="0.3">
      <c r="A73" s="664" t="str">
        <f>Data!A386</f>
        <v xml:space="preserve">     Combine small grain head (15 ft) - MEDIUM SIZE</v>
      </c>
      <c r="B73" s="33">
        <f>Data!B386</f>
        <v>1</v>
      </c>
      <c r="C73" s="34" t="str">
        <f>Data!C386</f>
        <v>sm.gr.hd.</v>
      </c>
      <c r="D73" s="109">
        <f>Data!D386*Data!$AJ$14</f>
        <v>0</v>
      </c>
      <c r="E73" s="109">
        <f t="shared" ref="E73:E74" si="64">D73*B73</f>
        <v>0</v>
      </c>
      <c r="F73" s="109">
        <f>IF(CP!K52=0,Data!I386*E73,CP!K52*B73)</f>
        <v>0</v>
      </c>
      <c r="G73" s="60">
        <f>IF(CP!$G$51=0,Data!$F$386,CP!$G$51)</f>
        <v>50</v>
      </c>
      <c r="H73" s="109">
        <f>(E73*(_int_inv_m*(1+_int_inv_m)^G73)/((1+_int_inv_m)^G73-1))-(F73*_int_inv_m/((1+_int_inv_m)^G73-1))</f>
        <v>0</v>
      </c>
      <c r="I73" s="37">
        <f>IF(CP!I52=0,Data!H386*Data!$J$271,CP!I52/CP!E52)</f>
        <v>2.6278604651162791E-2</v>
      </c>
      <c r="J73" s="109">
        <f t="shared" ref="J73:J74" si="65">E73*I73</f>
        <v>0</v>
      </c>
      <c r="K73" s="36">
        <f t="shared" si="59"/>
        <v>6.7999999999999996E-3</v>
      </c>
      <c r="L73" s="109">
        <f t="shared" ref="L73:L74" si="66">E73*K73</f>
        <v>0</v>
      </c>
      <c r="M73" s="109">
        <f t="shared" ref="M73:M74" si="67">H73+J73+L73</f>
        <v>0</v>
      </c>
      <c r="N73" s="34"/>
      <c r="O73" s="34"/>
      <c r="P73" s="34"/>
      <c r="Q73" s="34"/>
      <c r="R73" s="34"/>
      <c r="S73" s="34"/>
      <c r="T73" s="34"/>
      <c r="U73" s="34"/>
      <c r="V73" s="34"/>
    </row>
    <row r="74" spans="1:23" ht="13.25" customHeight="1" x14ac:dyDescent="0.3">
      <c r="A74" s="664" t="str">
        <f>Data!A387</f>
        <v xml:space="preserve">     Combine small grain head (20 ft) - LARGE SIZE</v>
      </c>
      <c r="B74" s="33">
        <f>Data!B387</f>
        <v>0</v>
      </c>
      <c r="C74" s="34" t="str">
        <f>Data!C387</f>
        <v>sm.gr.hd.</v>
      </c>
      <c r="D74" s="109">
        <f>Data!D387*Data!$AJ$14</f>
        <v>0</v>
      </c>
      <c r="E74" s="109">
        <f t="shared" si="64"/>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5"/>
        <v>0</v>
      </c>
      <c r="K74" s="36">
        <f t="shared" si="59"/>
        <v>6.7999999999999996E-3</v>
      </c>
      <c r="L74" s="109">
        <f t="shared" si="66"/>
        <v>0</v>
      </c>
      <c r="M74" s="109">
        <f t="shared" si="67"/>
        <v>0</v>
      </c>
      <c r="N74" s="34"/>
      <c r="O74" s="34"/>
      <c r="P74" s="34"/>
      <c r="Q74" s="34"/>
      <c r="R74" s="34"/>
      <c r="S74" s="34"/>
      <c r="T74" s="34"/>
      <c r="U74" s="34"/>
      <c r="V74" s="34"/>
    </row>
    <row r="75" spans="1:23" x14ac:dyDescent="0.3">
      <c r="A75" s="19" t="str">
        <f>Data!A378</f>
        <v xml:space="preserve">Raker </v>
      </c>
      <c r="B75" s="163">
        <f>Data!B378*Data!$B$31</f>
        <v>0</v>
      </c>
      <c r="C75" s="34" t="str">
        <f>Data!C378</f>
        <v>raker</v>
      </c>
      <c r="D75" s="109">
        <f>Data!D378*Data!$AF$14</f>
        <v>0</v>
      </c>
      <c r="E75" s="109">
        <f>D75*B75</f>
        <v>0</v>
      </c>
      <c r="F75" s="109">
        <f>Data!I378*E75</f>
        <v>0</v>
      </c>
      <c r="G75" s="60">
        <f>Data!F378</f>
        <v>50</v>
      </c>
      <c r="H75" s="109">
        <f t="shared" ref="H75:H77" si="68">(E75*(_int_inv_*(1+_int_inv_)^G75)/((1+_int_inv_)^G75-1))-(F75*_int_inv_/((1+_int_inv_)^G75-1))</f>
        <v>0</v>
      </c>
      <c r="I75" s="164">
        <f>Data!H378*Data!$J$271</f>
        <v>4.4999999999999998E-2</v>
      </c>
      <c r="J75" s="109">
        <f>E75*I75</f>
        <v>0</v>
      </c>
      <c r="K75" s="36">
        <f t="shared" si="59"/>
        <v>6.7999999999999996E-3</v>
      </c>
      <c r="L75" s="109">
        <f>E75*K75</f>
        <v>0</v>
      </c>
      <c r="M75" s="109">
        <f>H75+J75+L75</f>
        <v>0</v>
      </c>
    </row>
    <row r="76" spans="1:23" x14ac:dyDescent="0.3">
      <c r="A76" s="19" t="str">
        <f>Data!A379</f>
        <v>Baler (Round)</v>
      </c>
      <c r="B76" s="163">
        <f>Data!B379*Data!$B$31*Data!$C$31</f>
        <v>0</v>
      </c>
      <c r="C76" s="34" t="str">
        <f>Data!C379</f>
        <v>round baler</v>
      </c>
      <c r="D76" s="109">
        <f>Data!D379*Data!$AF$14</f>
        <v>0</v>
      </c>
      <c r="E76" s="109">
        <f>D76*B76</f>
        <v>0</v>
      </c>
      <c r="F76" s="109">
        <f>Data!I379*E76</f>
        <v>0</v>
      </c>
      <c r="G76" s="60">
        <f>Data!F379</f>
        <v>40</v>
      </c>
      <c r="H76" s="109">
        <f t="shared" si="68"/>
        <v>0</v>
      </c>
      <c r="I76" s="164">
        <f>Data!H379*Data!$J$271</f>
        <v>4.4999999999999998E-2</v>
      </c>
      <c r="J76" s="109">
        <f>E76*I76</f>
        <v>0</v>
      </c>
      <c r="K76" s="36">
        <f t="shared" si="59"/>
        <v>6.7999999999999996E-3</v>
      </c>
      <c r="L76" s="109">
        <f>E76*K76</f>
        <v>0</v>
      </c>
      <c r="M76" s="109">
        <f>H76+J76+L76</f>
        <v>0</v>
      </c>
    </row>
    <row r="77" spans="1:23" x14ac:dyDescent="0.3">
      <c r="A77" s="19" t="str">
        <f>Data!A380</f>
        <v>Baler (Square)</v>
      </c>
      <c r="B77" s="163">
        <f>Data!B380*Data!$B$31*Data!$D$31</f>
        <v>0</v>
      </c>
      <c r="C77" s="34" t="str">
        <f>Data!C380</f>
        <v>square baler</v>
      </c>
      <c r="D77" s="109">
        <f>Data!D380*Data!$AF$14</f>
        <v>0</v>
      </c>
      <c r="E77" s="109">
        <f>D77*B77</f>
        <v>0</v>
      </c>
      <c r="F77" s="109">
        <f>Data!I380*E77</f>
        <v>0</v>
      </c>
      <c r="G77" s="60">
        <f>Data!F380</f>
        <v>20</v>
      </c>
      <c r="H77" s="109">
        <f t="shared" si="68"/>
        <v>0</v>
      </c>
      <c r="I77" s="164">
        <f>Data!H380*Data!$J$271</f>
        <v>4.4999999999999998E-2</v>
      </c>
      <c r="J77" s="109">
        <f>E77*I77</f>
        <v>0</v>
      </c>
      <c r="K77" s="36">
        <f t="shared" si="59"/>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14"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Data!D395*Data!$H$14*CP!$H$5</f>
        <v>0</v>
      </c>
      <c r="E80" s="109">
        <f>D80*B80</f>
        <v>0</v>
      </c>
      <c r="F80" s="109">
        <f>IF(CP!K58=0,Data!I395*E80,CP!K58*B80)</f>
        <v>0</v>
      </c>
      <c r="G80" s="60">
        <f>IF(CP!$G$58=0,Data!$F$395,CP!$G$58)</f>
        <v>50</v>
      </c>
      <c r="H80" s="104">
        <f t="shared" ref="H80:H81" si="69">(E80*(_int_inv_*(1+_int_inv_)^G80)/((1+_int_inv_)^G80-1))-(F80*_int_inv_/((1+_int_inv_)^G80-1))</f>
        <v>0</v>
      </c>
      <c r="I80" s="675">
        <f>IF(CP!I58=0,Data!H395*Data!$J$271,CP!I58/CP!E58)</f>
        <v>0.02</v>
      </c>
      <c r="J80" s="104">
        <f>E80*I80</f>
        <v>0</v>
      </c>
      <c r="K80" s="36">
        <f t="shared" ref="K80:K85" si="70">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Data!D396*Data!$H$14*CP!$H$5</f>
        <v>0</v>
      </c>
      <c r="E81" s="109">
        <f>D81*B81</f>
        <v>0</v>
      </c>
      <c r="F81" s="109">
        <f>IF(CP!K61=0,Data!I396*E81,CP!K61*B81)</f>
        <v>0</v>
      </c>
      <c r="G81" s="60">
        <f>IF(CP!$G$61=0,Data!$F$396,CP!$G$61)</f>
        <v>50</v>
      </c>
      <c r="H81" s="109">
        <f t="shared" si="69"/>
        <v>0</v>
      </c>
      <c r="I81" s="675">
        <f>IF(CP!I61=0,Data!H396*Data!$J$271,CP!I61/CP!E61)</f>
        <v>0.02</v>
      </c>
      <c r="J81" s="109">
        <f>E81*I81</f>
        <v>0</v>
      </c>
      <c r="K81" s="36">
        <f t="shared" si="70"/>
        <v>6.7999999999999996E-3</v>
      </c>
      <c r="L81" s="104">
        <f>E81*K81</f>
        <v>0</v>
      </c>
      <c r="M81" s="109">
        <f>H81+J81+L81</f>
        <v>0</v>
      </c>
    </row>
    <row r="82" spans="1:23" x14ac:dyDescent="0.3">
      <c r="A82" s="664" t="str">
        <f>Data!A397</f>
        <v>Fuel Tanks - MEDIUM SIZE</v>
      </c>
      <c r="B82" s="33">
        <f>Data!B397</f>
        <v>1</v>
      </c>
      <c r="C82" s="34" t="str">
        <f>Data!C397</f>
        <v>fuel tank</v>
      </c>
      <c r="D82" s="109">
        <f>Data!D397*Data!$H$14</f>
        <v>0</v>
      </c>
      <c r="E82" s="109">
        <f t="shared" ref="E82:E85" si="71">D82*B82</f>
        <v>0</v>
      </c>
      <c r="F82" s="109">
        <f>IF(CP!K59=0,Data!I397*E82,CP!K59*B82)</f>
        <v>0</v>
      </c>
      <c r="G82" s="60">
        <f>IF(CP!$G$59=0,Data!$F$397,CP!$G$59)</f>
        <v>40</v>
      </c>
      <c r="H82" s="109">
        <f>(E82*(_int_inv_m*(1+_int_inv_m)^G82)/((1+_int_inv_m)^G82-1))-(F82*_int_inv_m/((1+_int_inv_m)^G82-1))</f>
        <v>0</v>
      </c>
      <c r="I82" s="675">
        <f>IF(CP!I59=0,Data!H397*Data!$J$271,CP!I59/CP!E59)</f>
        <v>0.02</v>
      </c>
      <c r="J82" s="104">
        <f t="shared" ref="J82:J85" si="72">E82*I82</f>
        <v>0</v>
      </c>
      <c r="K82" s="36">
        <f t="shared" si="70"/>
        <v>6.7999999999999996E-3</v>
      </c>
      <c r="L82" s="104">
        <f t="shared" ref="L82:L85" si="73">E82*K82</f>
        <v>0</v>
      </c>
      <c r="M82" s="109">
        <f t="shared" ref="M82:M85" si="74">H82+J82+L82</f>
        <v>0</v>
      </c>
    </row>
    <row r="83" spans="1:23" x14ac:dyDescent="0.3">
      <c r="A83" s="664" t="str">
        <f>Data!A398</f>
        <v>Shop Tools - MEDIUM SIZE</v>
      </c>
      <c r="B83" s="33">
        <f>Data!B398</f>
        <v>1</v>
      </c>
      <c r="C83" s="34" t="str">
        <f>Data!C398</f>
        <v>shop tools</v>
      </c>
      <c r="D83" s="109">
        <f>Data!D398*Data!$H$14</f>
        <v>0</v>
      </c>
      <c r="E83" s="109">
        <f t="shared" si="71"/>
        <v>0</v>
      </c>
      <c r="F83" s="109">
        <f>IF(CP!K62=0,Data!I398*E83,CP!K62*B83)</f>
        <v>0</v>
      </c>
      <c r="G83" s="60">
        <f>IF(CP!$G$62=0,Data!$F$398,CP!$G$62)</f>
        <v>40</v>
      </c>
      <c r="H83" s="109">
        <f>(E83*(_int_inv_m*(1+_int_inv_m)^G83)/((1+_int_inv_m)^G83-1))-(F83*_int_inv_m/((1+_int_inv_m)^G83-1))</f>
        <v>0</v>
      </c>
      <c r="I83" s="675">
        <f>IF(CP!I62=0,Data!H398*Data!$J$271,CP!I62/CP!E62)</f>
        <v>0.02</v>
      </c>
      <c r="J83" s="109">
        <f t="shared" si="72"/>
        <v>0</v>
      </c>
      <c r="K83" s="36">
        <f t="shared" si="70"/>
        <v>6.7999999999999996E-3</v>
      </c>
      <c r="L83" s="104">
        <f t="shared" si="73"/>
        <v>0</v>
      </c>
      <c r="M83" s="109">
        <f t="shared" si="74"/>
        <v>0</v>
      </c>
    </row>
    <row r="84" spans="1:23" x14ac:dyDescent="0.3">
      <c r="A84" s="664" t="str">
        <f>Data!A399</f>
        <v>Fuel Tanks - LARGE SIZE</v>
      </c>
      <c r="B84" s="33">
        <f>Data!B399</f>
        <v>0</v>
      </c>
      <c r="C84" s="34" t="str">
        <f>Data!C399</f>
        <v>fuel tank</v>
      </c>
      <c r="D84" s="109">
        <f>Data!D399*Data!$H$14</f>
        <v>0</v>
      </c>
      <c r="E84" s="109">
        <f t="shared" si="71"/>
        <v>0</v>
      </c>
      <c r="F84" s="109">
        <f>IF(CP!K60=0,Data!I399*E84,CP!K60*B84)</f>
        <v>0</v>
      </c>
      <c r="G84" s="60">
        <f>IF(CP!$G$60=0,Data!$F$399,CP!$G$60)</f>
        <v>20</v>
      </c>
      <c r="H84" s="109">
        <f>(E84*(_int_inv_l*(1+_int_inv_l)^G84)/((1+_int_inv_l)^G84-1))-(F84*_int_inv_l/((1+_int_inv_l)^G84-1))</f>
        <v>0</v>
      </c>
      <c r="I84" s="675">
        <f>IF(CP!I60=0,Data!H399*Data!$J$271,CP!I60/CP!E60)</f>
        <v>0.02</v>
      </c>
      <c r="J84" s="104">
        <f t="shared" si="72"/>
        <v>0</v>
      </c>
      <c r="K84" s="36">
        <f t="shared" si="70"/>
        <v>6.7999999999999996E-3</v>
      </c>
      <c r="L84" s="104">
        <f t="shared" si="73"/>
        <v>0</v>
      </c>
      <c r="M84" s="109">
        <f t="shared" si="74"/>
        <v>0</v>
      </c>
    </row>
    <row r="85" spans="1:23" x14ac:dyDescent="0.3">
      <c r="A85" s="664" t="str">
        <f>Data!A400</f>
        <v>Shop Tools - LARGE SIZE</v>
      </c>
      <c r="B85" s="33">
        <f>Data!B400</f>
        <v>0</v>
      </c>
      <c r="C85" s="34" t="str">
        <f>Data!C400</f>
        <v>shop tools</v>
      </c>
      <c r="D85" s="109">
        <f>Data!D400*Data!$H$14</f>
        <v>0</v>
      </c>
      <c r="E85" s="109">
        <f t="shared" si="71"/>
        <v>0</v>
      </c>
      <c r="F85" s="109">
        <f>IF(CP!K63=0,Data!I400*E85,CP!K63*B85)</f>
        <v>0</v>
      </c>
      <c r="G85" s="60">
        <f>IF(CP!$G$63=0,Data!$F$400,CP!$G$63)</f>
        <v>20</v>
      </c>
      <c r="H85" s="109">
        <f>(E85*(_int_inv_l*(1+_int_inv_l)^G85)/((1+_int_inv_l)^G85-1))-(F85*_int_inv_l/((1+_int_inv_l)^G85-1))</f>
        <v>0</v>
      </c>
      <c r="I85" s="675">
        <f>IF(CP!I63=0,Data!H400*Data!$J$271,CP!I63/CP!E63)</f>
        <v>0.02</v>
      </c>
      <c r="J85" s="109">
        <f t="shared" si="72"/>
        <v>0</v>
      </c>
      <c r="K85" s="36">
        <f t="shared" si="70"/>
        <v>6.7999999999999996E-3</v>
      </c>
      <c r="L85" s="104">
        <f t="shared" si="73"/>
        <v>0</v>
      </c>
      <c r="M85" s="109">
        <f t="shared" si="74"/>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863"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33">
        <f>Data!B417</f>
        <v>0</v>
      </c>
      <c r="C88" s="34" t="str">
        <f>Data!C417</f>
        <v>grain cleaner</v>
      </c>
      <c r="D88" s="109">
        <f>Data!D417*Data!$H$14*CP!$H$5</f>
        <v>0</v>
      </c>
      <c r="E88" s="109">
        <f t="shared" ref="E88:E90" si="75">D88*B88</f>
        <v>0</v>
      </c>
      <c r="F88" s="109">
        <f>IF(CP!K65=0,Data!I417*E88,CP!K65*B88)</f>
        <v>0</v>
      </c>
      <c r="G88" s="60">
        <f>IF(CP!$G$65=0,Data!$F$417,CP!$G$65)</f>
        <v>50</v>
      </c>
      <c r="H88" s="109">
        <f>(E88*(_int_inv_*(1+_int_inv_)^G88)/((1+_int_inv_)^G88-1))-(F88*_int_inv_/((1+_int_inv_)^G88-1))</f>
        <v>0</v>
      </c>
      <c r="I88" s="675">
        <f>IF(CP!I65=0,Data!H417*Data!$J$271,CP!I65/CP!E65)</f>
        <v>0.02</v>
      </c>
      <c r="J88" s="109">
        <f t="shared" ref="J88:J90" si="76">E88*I88</f>
        <v>0</v>
      </c>
      <c r="K88" s="36">
        <f>_tax_ins_</f>
        <v>6.7999999999999996E-3</v>
      </c>
      <c r="L88" s="104">
        <f t="shared" ref="L88:L90" si="77">E88*K88</f>
        <v>0</v>
      </c>
      <c r="M88" s="109">
        <f t="shared" ref="M88:M90" si="78">H88+J88+L88</f>
        <v>0</v>
      </c>
    </row>
    <row r="89" spans="1:23" x14ac:dyDescent="0.3">
      <c r="A89" s="664" t="str">
        <f>Data!A418</f>
        <v>Grain Cleaner - MEDIUM SIZE</v>
      </c>
      <c r="B89" s="33">
        <f>Data!B418</f>
        <v>1</v>
      </c>
      <c r="C89" s="34" t="str">
        <f>Data!C418</f>
        <v>grain cleaner</v>
      </c>
      <c r="D89" s="109">
        <f>Data!D418*Data!$H$14</f>
        <v>0</v>
      </c>
      <c r="E89" s="109">
        <f t="shared" si="75"/>
        <v>0</v>
      </c>
      <c r="F89" s="109">
        <f>IF(CP!K66=0,Data!I418*E89,CP!K66*B89)</f>
        <v>0</v>
      </c>
      <c r="G89" s="60">
        <f>IF(CP!$G$66=0,Data!$F$418,CP!$G$66)</f>
        <v>40</v>
      </c>
      <c r="H89" s="109">
        <f>(E89*(_int_inv_m*(1+_int_inv_m)^G89)/((1+_int_inv_m)^G89-1))-(F89*_int_inv_m/((1+_int_inv_m)^G89-1))</f>
        <v>0</v>
      </c>
      <c r="I89" s="675">
        <f>IF(CP!I66=0,Data!H418*Data!$J$271,CP!I66/CP!E66)</f>
        <v>0.02</v>
      </c>
      <c r="J89" s="109">
        <f t="shared" si="76"/>
        <v>0</v>
      </c>
      <c r="K89" s="36">
        <f>_tax_ins_</f>
        <v>6.7999999999999996E-3</v>
      </c>
      <c r="L89" s="104">
        <f t="shared" si="77"/>
        <v>0</v>
      </c>
      <c r="M89" s="109">
        <f t="shared" si="78"/>
        <v>0</v>
      </c>
    </row>
    <row r="90" spans="1:23" x14ac:dyDescent="0.3">
      <c r="A90" s="664" t="str">
        <f>Data!A419</f>
        <v>Grain Cleaner - LARGE SIZE</v>
      </c>
      <c r="B90" s="33">
        <f>Data!B419</f>
        <v>0</v>
      </c>
      <c r="C90" s="34" t="str">
        <f>Data!C419</f>
        <v>grain cleaner</v>
      </c>
      <c r="D90" s="109">
        <f>Data!D419*Data!$H$14</f>
        <v>0</v>
      </c>
      <c r="E90" s="109">
        <f t="shared" si="75"/>
        <v>0</v>
      </c>
      <c r="F90" s="109">
        <f>IF(CP!K67=0,Data!I419*E90,CP!K67*B90)</f>
        <v>0</v>
      </c>
      <c r="G90" s="60">
        <f>IF(CP!$G$67=0,Data!$F$419,CP!$G$67)</f>
        <v>20</v>
      </c>
      <c r="H90" s="109">
        <f>(E90*(_int_inv_l*(1+_int_inv_l)^G90)/((1+_int_inv_l)^G90-1))-(F90*_int_inv_l/((1+_int_inv_l)^G90-1))</f>
        <v>0</v>
      </c>
      <c r="I90" s="675">
        <f>IF(CP!I67=0,Data!H419*Data!$J$271,CP!I67/CP!E67)</f>
        <v>0.02</v>
      </c>
      <c r="J90" s="109">
        <f t="shared" si="76"/>
        <v>0</v>
      </c>
      <c r="K90" s="36">
        <f>_tax_ins_</f>
        <v>6.7999999999999996E-3</v>
      </c>
      <c r="L90" s="104">
        <f t="shared" si="77"/>
        <v>0</v>
      </c>
      <c r="M90" s="109">
        <f t="shared" si="78"/>
        <v>0</v>
      </c>
    </row>
    <row r="91" spans="1:23" x14ac:dyDescent="0.3">
      <c r="A91" s="664"/>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863"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Data!D423*Data!$AH$14*CP!$H$5</f>
        <v>0</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79">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Data!D424*Data!$AH$14</f>
        <v>0</v>
      </c>
      <c r="E94" s="109">
        <f t="shared" ref="E94:E95" si="80">D94*B94</f>
        <v>0</v>
      </c>
      <c r="F94" s="109">
        <f>IF(CP!K70=0,Data!I424*E94,CP!K70*B94)</f>
        <v>0</v>
      </c>
      <c r="G94" s="60">
        <f>IF(CP!$G$70=0,Data!$F$424,CP!$G$70)</f>
        <v>40</v>
      </c>
      <c r="H94" s="109">
        <f>(E94*(_int_inv_m*(1+_int_inv_m)^G94)/((1+_int_inv_m)^G94-1))-(F94*_int_inv_m/((1+_int_inv_m)^G94-1))</f>
        <v>0</v>
      </c>
      <c r="I94" s="675">
        <f>IF(CP!I70=0,Data!H424*Data!$J$271,CP!I70/CP!E70)</f>
        <v>0.02</v>
      </c>
      <c r="J94" s="109">
        <f t="shared" ref="J94:J95" si="81">E94*I94</f>
        <v>0</v>
      </c>
      <c r="K94" s="36">
        <f t="shared" si="79"/>
        <v>6.7999999999999996E-3</v>
      </c>
      <c r="L94" s="109">
        <f t="shared" ref="L94:L95" si="82">E94*K94</f>
        <v>0</v>
      </c>
      <c r="M94" s="109">
        <f t="shared" ref="M94:M95" si="83">H94+J94+L94</f>
        <v>0</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Data!D425*Data!$AH$14</f>
        <v>0</v>
      </c>
      <c r="E95" s="109">
        <f t="shared" si="80"/>
        <v>0</v>
      </c>
      <c r="F95" s="109">
        <f>IF(CP!K71=0,Data!I425*E95,CP!K71*B95)</f>
        <v>0</v>
      </c>
      <c r="G95" s="60">
        <f>IF(CP!$G$71=0,Data!$F$425,CP!$G$71)</f>
        <v>20</v>
      </c>
      <c r="H95" s="109">
        <f>(E95*(_int_inv_l*(1+_int_inv_l)^G95)/((1+_int_inv_l)^G95-1))-(F95*_int_inv_l/((1+_int_inv_l)^G95-1))</f>
        <v>0</v>
      </c>
      <c r="I95" s="675">
        <f>IF(CP!I71=0,Data!H425*Data!$J$271,CP!I71/CP!E71)</f>
        <v>0.02</v>
      </c>
      <c r="J95" s="109">
        <f t="shared" si="81"/>
        <v>0</v>
      </c>
      <c r="K95" s="36">
        <f t="shared" si="79"/>
        <v>6.7999999999999996E-3</v>
      </c>
      <c r="L95" s="109">
        <f t="shared" si="82"/>
        <v>0</v>
      </c>
      <c r="M95" s="109">
        <f t="shared" si="83"/>
        <v>0</v>
      </c>
      <c r="N95" s="34"/>
      <c r="O95" s="34"/>
      <c r="P95" s="34"/>
      <c r="Q95" s="34"/>
      <c r="R95" s="34"/>
      <c r="S95" s="34"/>
      <c r="T95" s="34"/>
      <c r="U95" s="34"/>
      <c r="V95" s="34"/>
      <c r="W95" s="34"/>
    </row>
    <row r="96" spans="1:23" x14ac:dyDescent="0.3">
      <c r="A96" s="664" t="str">
        <f>Data!A426</f>
        <v>Grain Roller</v>
      </c>
      <c r="B96" s="163">
        <f>Data!B426</f>
        <v>0</v>
      </c>
      <c r="C96" s="34" t="str">
        <f>Data!C426</f>
        <v>roller</v>
      </c>
      <c r="D96" s="109">
        <f>Data!D426*Data!$AN$14*C92</f>
        <v>0</v>
      </c>
      <c r="E96" s="109">
        <f>D96*B96</f>
        <v>0</v>
      </c>
      <c r="F96" s="109">
        <f>Data!I426*E96</f>
        <v>0</v>
      </c>
      <c r="G96" s="60">
        <f>Data!F426</f>
        <v>10</v>
      </c>
      <c r="H96" s="109">
        <f t="shared" ref="H96:H100" si="84">(E96*(_int_inv_*(1+_int_inv_)^G96)/((1+_int_inv_)^G96-1))-(F96*_int_inv_/((1+_int_inv_)^G96-1))</f>
        <v>0</v>
      </c>
      <c r="I96" s="36">
        <f>Data!H426*Data!$J$271</f>
        <v>0.02</v>
      </c>
      <c r="J96" s="109">
        <f>E96*I96</f>
        <v>0</v>
      </c>
      <c r="K96" s="36">
        <f t="shared" si="79"/>
        <v>6.7999999999999996E-3</v>
      </c>
      <c r="L96" s="109">
        <f>E96*K96</f>
        <v>0</v>
      </c>
      <c r="M96" s="109">
        <f>H96+J96+L96</f>
        <v>0</v>
      </c>
      <c r="N96" s="34"/>
      <c r="O96" s="34"/>
      <c r="P96" s="34"/>
      <c r="Q96" s="34"/>
      <c r="R96" s="34"/>
      <c r="S96" s="34"/>
      <c r="T96" s="34"/>
      <c r="U96" s="34"/>
      <c r="V96" s="34"/>
      <c r="W96" s="34"/>
    </row>
    <row r="97" spans="1:23" x14ac:dyDescent="0.3">
      <c r="A97" s="664" t="str">
        <f>Data!A443</f>
        <v>Grain Dryer (Rye) - SMALL SIZE</v>
      </c>
      <c r="B97" s="649">
        <f>Data!B443</f>
        <v>0</v>
      </c>
      <c r="C97" s="34" t="str">
        <f>Data!C443</f>
        <v>dryer</v>
      </c>
      <c r="D97" s="109">
        <f>Data!D443*Data!$D$14*$C$92*CP!$H$5</f>
        <v>0</v>
      </c>
      <c r="E97" s="109">
        <f>D97*B97</f>
        <v>0</v>
      </c>
      <c r="F97" s="109">
        <f>IF(CP!K72=0,Data!I443*E97,CP!K72*B97)</f>
        <v>0</v>
      </c>
      <c r="G97" s="60">
        <f>IF(CP!G72=0,Data!F443,CP!G72)</f>
        <v>10</v>
      </c>
      <c r="H97" s="109">
        <f t="shared" si="84"/>
        <v>0</v>
      </c>
      <c r="I97" s="675">
        <f>IF(CP!I72=0,Data!H443*Data!$J$271,CP!I72/CP!E72)</f>
        <v>0.02</v>
      </c>
      <c r="J97" s="109">
        <f>E97*I97</f>
        <v>0</v>
      </c>
      <c r="K97" s="36">
        <f t="shared" si="79"/>
        <v>6.7999999999999996E-3</v>
      </c>
      <c r="L97" s="109">
        <f>E97*K97</f>
        <v>0</v>
      </c>
      <c r="M97" s="109">
        <f>H97+J97+L97</f>
        <v>0</v>
      </c>
      <c r="N97" s="34"/>
      <c r="O97" s="34"/>
      <c r="P97" s="34"/>
      <c r="Q97" s="34"/>
      <c r="R97" s="34"/>
      <c r="S97" s="34"/>
      <c r="T97" s="34"/>
      <c r="U97" s="34"/>
      <c r="V97" s="34"/>
      <c r="W97" s="34"/>
    </row>
    <row r="98" spans="1:23" x14ac:dyDescent="0.3">
      <c r="A98" s="664" t="str">
        <f>Data!A444</f>
        <v>Grain Dryer (Rye) - MEDIUM SIZE</v>
      </c>
      <c r="B98" s="649">
        <f>Data!B444</f>
        <v>0</v>
      </c>
      <c r="C98" s="34" t="str">
        <f>Data!C444</f>
        <v>dryer</v>
      </c>
      <c r="D98" s="109">
        <f>Data!D444*Data!$D$14*$C$92</f>
        <v>0</v>
      </c>
      <c r="E98" s="109">
        <f>D98*B98</f>
        <v>0</v>
      </c>
      <c r="F98" s="109">
        <f>IF(CP!K73=0,Data!I444*E98,CP!K73*B98)</f>
        <v>0</v>
      </c>
      <c r="G98" s="60">
        <f>IF(CP!G73=0,Data!F444,CP!G73)</f>
        <v>10</v>
      </c>
      <c r="H98" s="109">
        <f t="shared" ref="H98:H99" si="85">(E98*(_int_inv_*(1+_int_inv_)^G98)/((1+_int_inv_)^G98-1))-(F98*_int_inv_/((1+_int_inv_)^G98-1))</f>
        <v>0</v>
      </c>
      <c r="I98" s="675">
        <f>IF(CP!I73=0,Data!H444*Data!$J$271,CP!I73/CP!E73)</f>
        <v>0.02</v>
      </c>
      <c r="J98" s="109">
        <f>E98*I98</f>
        <v>0</v>
      </c>
      <c r="K98" s="36">
        <f t="shared" si="79"/>
        <v>6.7999999999999996E-3</v>
      </c>
      <c r="L98" s="109">
        <f>E98*K98</f>
        <v>0</v>
      </c>
      <c r="M98" s="109">
        <f>H98+J98+L98</f>
        <v>0</v>
      </c>
      <c r="N98" s="34"/>
      <c r="O98" s="34"/>
      <c r="P98" s="34"/>
      <c r="Q98" s="34"/>
      <c r="R98" s="34"/>
      <c r="S98" s="34"/>
      <c r="T98" s="34"/>
      <c r="U98" s="34"/>
      <c r="V98" s="34"/>
      <c r="W98" s="34"/>
    </row>
    <row r="99" spans="1:23" x14ac:dyDescent="0.3">
      <c r="A99" s="664" t="str">
        <f>Data!A445</f>
        <v>Grain Dryer (Rye) - LARGE SIZE</v>
      </c>
      <c r="B99" s="649">
        <f>Data!B445</f>
        <v>0</v>
      </c>
      <c r="C99" s="34" t="str">
        <f>Data!C445</f>
        <v>dryer</v>
      </c>
      <c r="D99" s="109">
        <f>Data!D445*Data!$D$14*$C$92</f>
        <v>0</v>
      </c>
      <c r="E99" s="109">
        <f>D99*B99</f>
        <v>0</v>
      </c>
      <c r="F99" s="109">
        <f>IF(CP!K74=0,Data!I445*E99,CP!K74*B99)</f>
        <v>0</v>
      </c>
      <c r="G99" s="60">
        <f>IF(CP!G74=0,Data!F445,CP!G74)</f>
        <v>10</v>
      </c>
      <c r="H99" s="109">
        <f t="shared" si="85"/>
        <v>0</v>
      </c>
      <c r="I99" s="675">
        <f>IF(CP!I74=0,Data!H445*Data!$J$271,CP!I74/CP!E74)</f>
        <v>0.02</v>
      </c>
      <c r="J99" s="109">
        <f>E99*I99</f>
        <v>0</v>
      </c>
      <c r="K99" s="36">
        <f t="shared" si="79"/>
        <v>6.7999999999999996E-3</v>
      </c>
      <c r="L99" s="109">
        <f>E99*K99</f>
        <v>0</v>
      </c>
      <c r="M99" s="109">
        <f>H99+J99+L99</f>
        <v>0</v>
      </c>
      <c r="N99" s="34"/>
      <c r="O99" s="34"/>
      <c r="P99" s="34"/>
      <c r="Q99" s="34"/>
      <c r="R99" s="34"/>
      <c r="S99" s="34"/>
      <c r="T99" s="34"/>
      <c r="U99" s="34"/>
      <c r="V99" s="34"/>
      <c r="W99" s="34"/>
    </row>
    <row r="100" spans="1:23" x14ac:dyDescent="0.3">
      <c r="A100" s="664" t="str">
        <f>Data!A446</f>
        <v>Grain Bags (Rye) - SMALL SIZE</v>
      </c>
      <c r="B100" s="974">
        <f>Data!B446</f>
        <v>0</v>
      </c>
      <c r="C100" s="34" t="str">
        <f>Data!C446</f>
        <v>grain bag</v>
      </c>
      <c r="D100" s="109">
        <f>Data!D446*Data!$D$14*C92</f>
        <v>0</v>
      </c>
      <c r="E100" s="109">
        <f>D100*B100</f>
        <v>0</v>
      </c>
      <c r="F100" s="109">
        <f>IF(CP!K75=0,Data!I446*E100,CP!K75*B100)</f>
        <v>0</v>
      </c>
      <c r="G100" s="60">
        <f>IF(CP!$G$75=0,Data!$F$446,CP!$G$75)</f>
        <v>5</v>
      </c>
      <c r="H100" s="109">
        <f t="shared" si="84"/>
        <v>0</v>
      </c>
      <c r="I100" s="675">
        <f>IF(CP!I75=0,Data!H446*Data!$J$271,CP!I75/CP!E75)</f>
        <v>0</v>
      </c>
      <c r="J100" s="109">
        <f>E100*I100</f>
        <v>0</v>
      </c>
      <c r="K100" s="36">
        <f t="shared" si="79"/>
        <v>6.7999999999999996E-3</v>
      </c>
      <c r="L100" s="109">
        <f>E100*K100</f>
        <v>0</v>
      </c>
      <c r="M100" s="109">
        <f>H100+J100+L100</f>
        <v>0</v>
      </c>
      <c r="N100" s="34"/>
      <c r="O100" s="34"/>
      <c r="P100" s="34"/>
      <c r="Q100" s="34"/>
      <c r="R100" s="34"/>
      <c r="S100" s="34"/>
      <c r="T100" s="34"/>
      <c r="U100" s="34"/>
      <c r="V100" s="34"/>
      <c r="W100" s="34"/>
    </row>
    <row r="101" spans="1:23" x14ac:dyDescent="0.3">
      <c r="A101" s="664" t="str">
        <f>Data!A447</f>
        <v>Grain Bin (Rye) - MEDIUM SIZE</v>
      </c>
      <c r="B101" s="163">
        <f>Data!B447</f>
        <v>1</v>
      </c>
      <c r="C101" s="34" t="str">
        <f>Data!C447</f>
        <v>crop storage</v>
      </c>
      <c r="D101" s="109">
        <f>Data!D447*Data!$D$14*C92</f>
        <v>0</v>
      </c>
      <c r="E101" s="109">
        <f t="shared" ref="E101:E102" si="86">D101*B101</f>
        <v>0</v>
      </c>
      <c r="F101" s="109">
        <f>IF(CP!K76=0,Data!I447*E101,CP!K76*B101)</f>
        <v>0</v>
      </c>
      <c r="G101" s="60">
        <f>IF(CP!$G$76=0,Data!$F$447,CP!$G$76)</f>
        <v>33</v>
      </c>
      <c r="H101" s="109">
        <f>(E101*(_int_inv_m*(1+_int_inv_m)^G101)/((1+_int_inv_m)^G101-1))-(F101*_int_inv_m/((1+_int_inv_m)^G101-1))</f>
        <v>0</v>
      </c>
      <c r="I101" s="675">
        <f>IF(CP!I76=0,Data!H447*Data!$J$271,CP!I76/CP!E76)</f>
        <v>0.01</v>
      </c>
      <c r="J101" s="109">
        <f t="shared" ref="J101:J102" si="87">E101*I101</f>
        <v>0</v>
      </c>
      <c r="K101" s="36">
        <f t="shared" si="79"/>
        <v>6.7999999999999996E-3</v>
      </c>
      <c r="L101" s="109">
        <f t="shared" ref="L101:L102" si="88">E101*K101</f>
        <v>0</v>
      </c>
      <c r="M101" s="109">
        <f t="shared" ref="M101:M102" si="89">H101+J101+L101</f>
        <v>0</v>
      </c>
      <c r="N101" s="34"/>
      <c r="O101" s="34"/>
      <c r="P101" s="34"/>
      <c r="Q101" s="34"/>
      <c r="R101" s="34"/>
      <c r="S101" s="34"/>
      <c r="T101" s="34"/>
      <c r="U101" s="34"/>
      <c r="V101" s="34"/>
      <c r="W101" s="34"/>
    </row>
    <row r="102" spans="1:23" x14ac:dyDescent="0.3">
      <c r="A102" s="664" t="str">
        <f>Data!A448</f>
        <v>Grain Bin (Rye) - LARGE SIZE</v>
      </c>
      <c r="B102" s="163">
        <f>Data!B448</f>
        <v>0</v>
      </c>
      <c r="C102" s="34" t="str">
        <f>Data!C448</f>
        <v>crop storage</v>
      </c>
      <c r="D102" s="109">
        <f>Data!D448*Data!$D$14*C92</f>
        <v>0</v>
      </c>
      <c r="E102" s="109">
        <f t="shared" si="86"/>
        <v>0</v>
      </c>
      <c r="F102" s="109">
        <f>IF(CP!K77=0,Data!I448*E102,CP!K77*B102)</f>
        <v>0</v>
      </c>
      <c r="G102" s="60">
        <f>IF(CP!$G$77=0,Data!$F$448,CP!$G$77)</f>
        <v>33</v>
      </c>
      <c r="H102" s="109">
        <f>(E102*(_int_inv_l*(1+_int_inv_l)^G102)/((1+_int_inv_l)^G102-1))-(F102*_int_inv_l/((1+_int_inv_l)^G102-1))</f>
        <v>0</v>
      </c>
      <c r="I102" s="675">
        <f>IF(CP!I77=0,Data!H448*Data!$J$271,CP!I77/CP!E77)</f>
        <v>0.01</v>
      </c>
      <c r="J102" s="109">
        <f t="shared" si="87"/>
        <v>0</v>
      </c>
      <c r="K102" s="36">
        <f t="shared" si="79"/>
        <v>6.7999999999999996E-3</v>
      </c>
      <c r="L102" s="109">
        <f t="shared" si="88"/>
        <v>0</v>
      </c>
      <c r="M102" s="109">
        <f t="shared" si="89"/>
        <v>0</v>
      </c>
      <c r="N102" s="34"/>
      <c r="O102" s="34"/>
      <c r="P102" s="34"/>
      <c r="Q102" s="34"/>
      <c r="R102" s="34"/>
      <c r="S102" s="34"/>
      <c r="T102" s="34"/>
      <c r="U102" s="34"/>
      <c r="V102" s="34"/>
      <c r="W102" s="34"/>
    </row>
    <row r="103" spans="1:23" x14ac:dyDescent="0.3">
      <c r="A103" s="6"/>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IF(Data!$C$39=1,Data!B86,0)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IF(Data!$C$40=1,Data!B86,0)</f>
        <v>0</v>
      </c>
      <c r="C106" s="868" t="str">
        <f>Data!H51</f>
        <v>acre(s)</v>
      </c>
      <c r="D106" s="109">
        <f>Data!$F$61</f>
        <v>1000</v>
      </c>
      <c r="E106" s="109">
        <f t="shared" ref="E106:E107" si="90">D106*B106</f>
        <v>0</v>
      </c>
      <c r="F106" s="864" t="s">
        <v>45</v>
      </c>
      <c r="G106" s="865" t="s">
        <v>45</v>
      </c>
      <c r="H106" s="109">
        <f>E106*_int_inv_m</f>
        <v>0</v>
      </c>
      <c r="I106" s="1307">
        <f>Data!$H$61*Data!$J$271</f>
        <v>0.01</v>
      </c>
      <c r="J106" s="109">
        <f t="shared" ref="J106:J107" si="91">E106*I106</f>
        <v>0</v>
      </c>
      <c r="K106" s="36">
        <f>_tax_ins_</f>
        <v>6.7999999999999996E-3</v>
      </c>
      <c r="L106" s="109">
        <f t="shared" ref="L106:L107" si="92">E106*K106</f>
        <v>0</v>
      </c>
      <c r="M106" s="109">
        <f t="shared" ref="M106:M107" si="93">H106+J106+L106</f>
        <v>0</v>
      </c>
      <c r="N106" s="34"/>
      <c r="O106" s="34"/>
      <c r="P106" s="34"/>
      <c r="Q106" s="34"/>
      <c r="R106" s="34"/>
      <c r="S106" s="34"/>
      <c r="T106" s="34"/>
      <c r="U106" s="34"/>
      <c r="V106" s="34"/>
      <c r="W106" s="34"/>
    </row>
    <row r="107" spans="1:23" x14ac:dyDescent="0.3">
      <c r="A107" s="664" t="str">
        <f>Data!A46</f>
        <v>Interest for investment (Large model)</v>
      </c>
      <c r="B107" s="33">
        <f>IF(Data!$C$41=1,Data!B86,0)</f>
        <v>0</v>
      </c>
      <c r="C107" s="868" t="str">
        <f>Data!H51</f>
        <v>acre(s)</v>
      </c>
      <c r="D107" s="109">
        <f>Data!$F$61</f>
        <v>1000</v>
      </c>
      <c r="E107" s="109">
        <f t="shared" si="90"/>
        <v>0</v>
      </c>
      <c r="F107" s="864" t="s">
        <v>45</v>
      </c>
      <c r="G107" s="865" t="s">
        <v>45</v>
      </c>
      <c r="H107" s="109">
        <f>E107*_int_inv_l</f>
        <v>0</v>
      </c>
      <c r="I107" s="1307">
        <f>Data!$H$61*Data!$J$271</f>
        <v>0.01</v>
      </c>
      <c r="J107" s="109">
        <f t="shared" si="91"/>
        <v>0</v>
      </c>
      <c r="K107" s="36">
        <f>_tax_ins_</f>
        <v>6.7999999999999996E-3</v>
      </c>
      <c r="L107" s="109">
        <f t="shared" si="92"/>
        <v>0</v>
      </c>
      <c r="M107" s="109">
        <f t="shared" si="93"/>
        <v>0</v>
      </c>
      <c r="N107" s="34"/>
      <c r="O107" s="34"/>
      <c r="P107" s="34"/>
      <c r="Q107" s="34"/>
      <c r="R107" s="34"/>
      <c r="S107" s="34"/>
      <c r="T107" s="34"/>
      <c r="U107" s="34"/>
      <c r="V107" s="34"/>
      <c r="W107" s="34"/>
    </row>
    <row r="108" spans="1:23" x14ac:dyDescent="0.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14"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Data!D495*Data!$H$14</f>
        <v>0</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Data!D496*Data!$H$14</f>
        <v>0</v>
      </c>
      <c r="E111" s="109">
        <f t="shared" ref="E111:E112" si="94">D111*B111</f>
        <v>0</v>
      </c>
      <c r="F111" s="109">
        <f>IF(CP!K80=0,Data!I496*E111,CP!K80*B111)</f>
        <v>0</v>
      </c>
      <c r="G111" s="34">
        <f>IF(CP!$G$80=0,Data!$F$496,CP!$G$80)</f>
        <v>33</v>
      </c>
      <c r="H111" s="109">
        <f>(E111*(_int_inv_m*(1+_int_inv_m)^G111)/((1+_int_inv_m)^G111-1))-(F111*_int_inv_m/((1+_int_inv_m)^G111-1))</f>
        <v>0</v>
      </c>
      <c r="I111" s="675">
        <f>IF(CP!I80=0,Data!H496*Data!$J$271,CP!I80/CP!E80)</f>
        <v>0.01</v>
      </c>
      <c r="J111" s="109">
        <f t="shared" ref="J111:J112" si="95">E111*I111</f>
        <v>0</v>
      </c>
      <c r="K111" s="36">
        <f>_tax_ins_</f>
        <v>6.7999999999999996E-3</v>
      </c>
      <c r="L111" s="109">
        <f t="shared" ref="L111:L112" si="96">E111*K111</f>
        <v>0</v>
      </c>
      <c r="M111" s="109">
        <f t="shared" ref="M111:M112" si="97">H111+J111+L111</f>
        <v>0</v>
      </c>
    </row>
    <row r="112" spans="1:23" x14ac:dyDescent="0.3">
      <c r="A112" s="664" t="str">
        <f>Data!A497</f>
        <v>Shop/Loading Shed - LARGE SIZE</v>
      </c>
      <c r="B112" s="33">
        <f>Data!B497</f>
        <v>0</v>
      </c>
      <c r="C112" s="34" t="str">
        <f>Data!C497</f>
        <v>building</v>
      </c>
      <c r="D112" s="109">
        <f>Data!D497*Data!$H$14</f>
        <v>0</v>
      </c>
      <c r="E112" s="109">
        <f t="shared" si="94"/>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5"/>
        <v>0</v>
      </c>
      <c r="K112" s="36">
        <f>_tax_ins_</f>
        <v>6.7999999999999996E-3</v>
      </c>
      <c r="L112" s="109">
        <f t="shared" si="96"/>
        <v>0</v>
      </c>
      <c r="M112" s="109">
        <f t="shared" si="97"/>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0</v>
      </c>
      <c r="F121" s="109">
        <f>SUM(F7:F119)</f>
        <v>0</v>
      </c>
      <c r="G121" s="34"/>
      <c r="H121" s="109">
        <f>SUM(H7:H119)</f>
        <v>0</v>
      </c>
      <c r="I121" s="35"/>
      <c r="J121" s="109">
        <f>SUM(J7:J119)</f>
        <v>0</v>
      </c>
      <c r="K121" s="35"/>
      <c r="L121" s="109">
        <f>SUM(L7:L119)</f>
        <v>0</v>
      </c>
      <c r="M121" s="109">
        <f>SUM(M7:M119)</f>
        <v>0</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606</v>
      </c>
      <c r="E125" s="109">
        <f>SUM(E7:E103)</f>
        <v>0</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607</v>
      </c>
      <c r="E126" s="109">
        <f>SUM(E105:E108)</f>
        <v>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608</v>
      </c>
      <c r="E127" s="111">
        <f>SUM(E110:E113)</f>
        <v>0</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609</v>
      </c>
      <c r="E128" s="109">
        <f>SUM(E125:E127)</f>
        <v>0</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honeticPr fontId="16"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1"/>
  <sheetViews>
    <sheetView workbookViewId="0">
      <pane ySplit="7" topLeftCell="A77" activePane="bottomLeft" state="frozen"/>
      <selection activeCell="B251" sqref="B251"/>
      <selection pane="bottomLeft" activeCell="A88" sqref="A88"/>
    </sheetView>
  </sheetViews>
  <sheetFormatPr defaultColWidth="9.08984375" defaultRowHeight="13" x14ac:dyDescent="0.3"/>
  <cols>
    <col min="1" max="1" width="41.9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10.36328125" style="17" customWidth="1"/>
    <col min="16" max="16" width="9.08984375" style="17"/>
    <col min="17" max="17" width="6.90625" style="17" customWidth="1"/>
    <col min="18" max="18" width="7.36328125" style="17" customWidth="1"/>
    <col min="19" max="19" width="7.54296875" style="17" customWidth="1"/>
    <col min="20" max="16384" width="9.08984375" style="17"/>
  </cols>
  <sheetData>
    <row r="1" spans="1:12" x14ac:dyDescent="0.3">
      <c r="A1" s="61" t="s">
        <v>146</v>
      </c>
      <c r="B1" s="17" t="str">
        <f>model</f>
        <v>ME Grain &amp; Pulse</v>
      </c>
      <c r="E1" s="598" t="s">
        <v>106</v>
      </c>
      <c r="F1" s="55" t="s">
        <v>182</v>
      </c>
      <c r="G1" s="55" t="s">
        <v>108</v>
      </c>
    </row>
    <row r="2" spans="1:12" x14ac:dyDescent="0.3">
      <c r="A2" s="61"/>
      <c r="E2" s="598" t="s">
        <v>104</v>
      </c>
      <c r="F2" s="26">
        <f>Data!B132</f>
        <v>282.5</v>
      </c>
      <c r="G2" s="24">
        <f>F2/$F$4</f>
        <v>1</v>
      </c>
    </row>
    <row r="3" spans="1:12" x14ac:dyDescent="0.3">
      <c r="E3" s="598" t="s">
        <v>513</v>
      </c>
      <c r="F3" s="76">
        <f>(Data!B212*Data!K61)/100</f>
        <v>0</v>
      </c>
      <c r="G3" s="57">
        <f>F3/$F$4</f>
        <v>0</v>
      </c>
    </row>
    <row r="4" spans="1:12" x14ac:dyDescent="0.3">
      <c r="A4" s="7" t="s">
        <v>1936</v>
      </c>
      <c r="B4" s="8" t="s">
        <v>92</v>
      </c>
      <c r="C4" s="65">
        <f>wheat</f>
        <v>0</v>
      </c>
      <c r="D4" s="4" t="s">
        <v>93</v>
      </c>
      <c r="F4" s="26">
        <f>SUM(F2:F3)</f>
        <v>282.5</v>
      </c>
      <c r="G4" s="24">
        <f>SUM(G2:G3)</f>
        <v>1</v>
      </c>
    </row>
    <row r="6" spans="1:12" ht="13.5" x14ac:dyDescent="0.35">
      <c r="A6" s="5" t="s">
        <v>0</v>
      </c>
      <c r="B6" s="5"/>
    </row>
    <row r="7" spans="1:12" s="27" customFormat="1" ht="25.5" customHeight="1" x14ac:dyDescent="0.3">
      <c r="A7" s="41"/>
      <c r="B7" s="391" t="s">
        <v>919</v>
      </c>
      <c r="C7" s="42" t="s">
        <v>21</v>
      </c>
      <c r="D7" s="42" t="s">
        <v>22</v>
      </c>
      <c r="E7" s="646" t="s">
        <v>900</v>
      </c>
      <c r="F7" s="42" t="s">
        <v>23</v>
      </c>
      <c r="G7" s="42" t="s">
        <v>24</v>
      </c>
      <c r="H7" s="42" t="s">
        <v>65</v>
      </c>
    </row>
    <row r="8" spans="1:12" x14ac:dyDescent="0.3">
      <c r="A8" s="3" t="s">
        <v>13</v>
      </c>
      <c r="B8" s="3"/>
    </row>
    <row r="9" spans="1:12" x14ac:dyDescent="0.3">
      <c r="A9" s="638" t="s">
        <v>513</v>
      </c>
      <c r="B9" s="405">
        <f>IF(INPUT!$F$17&gt;0,1,0)</f>
        <v>1</v>
      </c>
      <c r="C9" s="816">
        <f>INPUT!$F$17</f>
        <v>140</v>
      </c>
      <c r="D9" s="34" t="s">
        <v>126</v>
      </c>
      <c r="E9" s="226">
        <f>C9*wheat</f>
        <v>0</v>
      </c>
      <c r="F9" s="371">
        <f>INPUT!$F$18</f>
        <v>0.6</v>
      </c>
      <c r="G9" s="114">
        <f>C9*F9</f>
        <v>84</v>
      </c>
      <c r="H9" s="109">
        <f>B9*G9*wheat</f>
        <v>0</v>
      </c>
      <c r="K9" s="904" t="s">
        <v>246</v>
      </c>
      <c r="L9" s="904" t="s">
        <v>577</v>
      </c>
    </row>
    <row r="10" spans="1:12" ht="12.65" customHeight="1" x14ac:dyDescent="0.3">
      <c r="A10" s="638" t="s">
        <v>125</v>
      </c>
      <c r="B10" s="405">
        <f>IF(INPUT!$F$19="Clover",1,0)</f>
        <v>0</v>
      </c>
      <c r="C10" s="816">
        <f>IF(INPUT!$F$19="Clover",INPUT!$F$21,Wv!K10)</f>
        <v>8</v>
      </c>
      <c r="D10" s="34" t="s">
        <v>126</v>
      </c>
      <c r="E10" s="226">
        <f>C10*wheat</f>
        <v>0</v>
      </c>
      <c r="F10" s="371">
        <f>IF(INPUT!$F$19="Clover",INPUT!$F$22,Wv!L10)</f>
        <v>2.6</v>
      </c>
      <c r="G10" s="114">
        <f>C10*F10</f>
        <v>20.8</v>
      </c>
      <c r="H10" s="109">
        <f>B10*G10*wheat</f>
        <v>0</v>
      </c>
      <c r="K10" s="273">
        <f>8</f>
        <v>8</v>
      </c>
      <c r="L10" s="905">
        <f>130/50</f>
        <v>2.6</v>
      </c>
    </row>
    <row r="11" spans="1:12" x14ac:dyDescent="0.3">
      <c r="A11" s="638" t="s">
        <v>1143</v>
      </c>
      <c r="B11" s="405">
        <f>IF(INPUT!$F$19="Ryegrass",1,0)</f>
        <v>0</v>
      </c>
      <c r="C11" s="816">
        <f>IF(INPUT!$F$19="Ryegrass",INPUT!$F$21,Wv!K11)</f>
        <v>8</v>
      </c>
      <c r="D11" s="34" t="s">
        <v>126</v>
      </c>
      <c r="E11" s="226">
        <f>C11*wheat</f>
        <v>0</v>
      </c>
      <c r="F11" s="371">
        <f>IF(INPUT!$F$19="Ryegrass",INPUT!$F$22,Wv!L11)</f>
        <v>1.4</v>
      </c>
      <c r="G11" s="114">
        <f>C11*F11</f>
        <v>11.2</v>
      </c>
      <c r="H11" s="109">
        <f t="shared" ref="H11:H12" si="0">B11*G11*wheat</f>
        <v>0</v>
      </c>
      <c r="K11" s="644">
        <v>8</v>
      </c>
      <c r="L11" s="905">
        <f>70/50</f>
        <v>1.4</v>
      </c>
    </row>
    <row r="12" spans="1:12" x14ac:dyDescent="0.3">
      <c r="A12" s="638" t="str">
        <f>IF(INPUT!$F$19="Other",INPUT!F20,"Other")</f>
        <v>Other</v>
      </c>
      <c r="B12" s="405">
        <f>IF(INPUT!$F$19="Other",1,0)</f>
        <v>0</v>
      </c>
      <c r="C12" s="816">
        <f>IF(INPUT!$F$19="Other",INPUT!$F$21,0)</f>
        <v>0</v>
      </c>
      <c r="D12" s="34" t="s">
        <v>126</v>
      </c>
      <c r="E12" s="226">
        <f>C12*wheat</f>
        <v>0</v>
      </c>
      <c r="F12" s="906">
        <f>IF(INPUT!$F$19="Other",INPUT!$F$22,0)</f>
        <v>0</v>
      </c>
      <c r="G12" s="110">
        <f>C12*F12</f>
        <v>0</v>
      </c>
      <c r="H12" s="109">
        <f t="shared" si="0"/>
        <v>0</v>
      </c>
      <c r="I12" s="108">
        <f>SUM(H8:H12)</f>
        <v>0</v>
      </c>
    </row>
    <row r="13" spans="1:12" x14ac:dyDescent="0.3">
      <c r="A13" s="3" t="s">
        <v>1</v>
      </c>
      <c r="B13" s="3"/>
      <c r="C13" s="46"/>
      <c r="D13" s="34"/>
      <c r="E13" s="226"/>
      <c r="F13" s="104"/>
      <c r="G13" s="104"/>
      <c r="H13" s="109"/>
    </row>
    <row r="14" spans="1:12" x14ac:dyDescent="0.3">
      <c r="A14" s="6" t="s">
        <v>251</v>
      </c>
      <c r="B14" s="397">
        <v>0</v>
      </c>
      <c r="C14" s="278">
        <v>0.125</v>
      </c>
      <c r="D14" s="34" t="s">
        <v>26</v>
      </c>
      <c r="E14" s="226">
        <f t="shared" ref="E14:E19" si="1">C14*wheat</f>
        <v>0</v>
      </c>
      <c r="F14" s="608">
        <v>600</v>
      </c>
      <c r="G14" s="114">
        <f t="shared" ref="G14:G19" si="2">C14*F14</f>
        <v>75</v>
      </c>
      <c r="H14" s="109">
        <f>B14*G14*wheat</f>
        <v>0</v>
      </c>
    </row>
    <row r="15" spans="1:12" x14ac:dyDescent="0.3">
      <c r="A15" s="6" t="s">
        <v>252</v>
      </c>
      <c r="B15" s="397">
        <v>0</v>
      </c>
      <c r="C15" s="359">
        <f>IF(Data!G128=0, 5/2000, 46/2000)</f>
        <v>2.3E-2</v>
      </c>
      <c r="D15" s="34" t="s">
        <v>26</v>
      </c>
      <c r="E15" s="226">
        <f t="shared" si="1"/>
        <v>0</v>
      </c>
      <c r="F15" s="608">
        <v>600</v>
      </c>
      <c r="G15" s="114">
        <f t="shared" si="2"/>
        <v>13.799999999999999</v>
      </c>
      <c r="H15" s="109">
        <f>B15*G15*wheat</f>
        <v>0</v>
      </c>
      <c r="I15" s="108"/>
    </row>
    <row r="16" spans="1:12" x14ac:dyDescent="0.3">
      <c r="A16" s="638" t="str">
        <f>IF(INPUT!$F$29="Chicken Manure", "Chicken Manure", "None")</f>
        <v>Chicken Manure</v>
      </c>
      <c r="B16" s="405">
        <f>IF(INPUT!$F$29="Chicken Manure",1,0)</f>
        <v>1</v>
      </c>
      <c r="C16" s="405">
        <f>IF(INPUT!$F$29="Chicken Manure",INPUT!$F$32,0)</f>
        <v>3</v>
      </c>
      <c r="D16" s="34" t="str">
        <f>IF(INPUT!$F$29="Chicken Manure",INPUT!$F$31,"ton")</f>
        <v>ton</v>
      </c>
      <c r="E16" s="226">
        <f t="shared" si="1"/>
        <v>0</v>
      </c>
      <c r="F16" s="901">
        <f>IF(INPUT!$F$29="Chicken Manure",INPUT!$F$33,0)</f>
        <v>35</v>
      </c>
      <c r="G16" s="114">
        <f t="shared" si="2"/>
        <v>105</v>
      </c>
      <c r="H16" s="109">
        <f>B16*G16*wheat</f>
        <v>0</v>
      </c>
      <c r="I16" s="108"/>
    </row>
    <row r="17" spans="1:12" x14ac:dyDescent="0.3">
      <c r="A17" s="638" t="str">
        <f>IF(INPUT!$F$29="Chilean Nitrate", "Chilean Nitrate", "None")</f>
        <v>None</v>
      </c>
      <c r="B17" s="405">
        <f>IF(INPUT!$F$29="Chilean Nitrate",1,0)</f>
        <v>0</v>
      </c>
      <c r="C17" s="816">
        <f>IF(INPUT!$F$29="Chilean Nitrate",INPUT!$F$32,0)</f>
        <v>0</v>
      </c>
      <c r="D17" s="34" t="str">
        <f>IF(INPUT!$F$29="Chilean Nitrate",INPUT!$F$31,"lb")</f>
        <v>lb</v>
      </c>
      <c r="E17" s="226">
        <f t="shared" si="1"/>
        <v>0</v>
      </c>
      <c r="F17" s="901">
        <f>IF(INPUT!$F$29="Chilean Nitrate",INPUT!$F$33,0)</f>
        <v>0</v>
      </c>
      <c r="G17" s="110">
        <f t="shared" si="2"/>
        <v>0</v>
      </c>
      <c r="H17" s="109">
        <f t="shared" ref="H17:H18" si="3">B17*G17*wheat</f>
        <v>0</v>
      </c>
    </row>
    <row r="18" spans="1:12" x14ac:dyDescent="0.3">
      <c r="A18" s="638" t="str">
        <f>INPUT!F35</f>
        <v>Chilean Nitrate</v>
      </c>
      <c r="B18" s="405">
        <f>IF(INPUT!$F$35="None",0,1)</f>
        <v>1</v>
      </c>
      <c r="C18" s="816">
        <f>INPUT!$F$38</f>
        <v>0</v>
      </c>
      <c r="D18" s="34" t="str">
        <f>IF(INPUT!$F$35="None","n/a",INPUT!$F$37)</f>
        <v>lb</v>
      </c>
      <c r="E18" s="226">
        <f t="shared" si="1"/>
        <v>0</v>
      </c>
      <c r="F18" s="908">
        <f>INPUT!$F$39</f>
        <v>0.6</v>
      </c>
      <c r="G18" s="114">
        <f t="shared" si="2"/>
        <v>0</v>
      </c>
      <c r="H18" s="109">
        <f t="shared" si="3"/>
        <v>0</v>
      </c>
      <c r="I18" s="108">
        <f>SUM(H13:H18)</f>
        <v>0</v>
      </c>
    </row>
    <row r="19" spans="1:12" x14ac:dyDescent="0.3">
      <c r="A19" s="638" t="s">
        <v>2</v>
      </c>
      <c r="B19" s="405">
        <f>INPUT!$F$41</f>
        <v>0</v>
      </c>
      <c r="C19" s="369">
        <f>INPUT!$F$43/INPUT!$F$44</f>
        <v>0.2</v>
      </c>
      <c r="D19" s="34" t="str">
        <f>INPUT!$F$42</f>
        <v>ton</v>
      </c>
      <c r="E19" s="226">
        <f t="shared" si="1"/>
        <v>0</v>
      </c>
      <c r="F19" s="109">
        <f>INPUT!$F$45</f>
        <v>38.260869565217398</v>
      </c>
      <c r="G19" s="114">
        <f t="shared" si="2"/>
        <v>7.6521739130434803</v>
      </c>
      <c r="H19" s="109">
        <f>B19*G19*wheat</f>
        <v>0</v>
      </c>
      <c r="I19" s="108">
        <f>SUM(H19:H19)</f>
        <v>0</v>
      </c>
    </row>
    <row r="20" spans="1:12" x14ac:dyDescent="0.3">
      <c r="A20" s="3" t="s">
        <v>1476</v>
      </c>
      <c r="B20" s="3"/>
      <c r="C20" s="46"/>
      <c r="D20" s="34"/>
      <c r="E20" s="226"/>
      <c r="F20" s="104"/>
      <c r="G20" s="104"/>
      <c r="H20" s="109"/>
    </row>
    <row r="21" spans="1:12" x14ac:dyDescent="0.3">
      <c r="A21" s="638" t="s">
        <v>1577</v>
      </c>
      <c r="B21" s="405">
        <f>IF(INPUT!$F$47=1,1,0)</f>
        <v>0</v>
      </c>
      <c r="C21" s="816">
        <f>INPUT!$F$49</f>
        <v>0</v>
      </c>
      <c r="D21" s="34" t="str">
        <f>INPUT!$F$48</f>
        <v>lb</v>
      </c>
      <c r="E21" s="226">
        <f>C21*wheat</f>
        <v>0</v>
      </c>
      <c r="F21" s="900">
        <f>INPUT!$F$50</f>
        <v>0</v>
      </c>
      <c r="G21" s="110">
        <f>C21*F21</f>
        <v>0</v>
      </c>
      <c r="H21" s="109">
        <f>B21*G21*wheat</f>
        <v>0</v>
      </c>
    </row>
    <row r="22" spans="1:12" x14ac:dyDescent="0.3">
      <c r="A22" s="6" t="s">
        <v>1477</v>
      </c>
      <c r="B22" s="397">
        <v>0</v>
      </c>
      <c r="C22" s="273">
        <v>0</v>
      </c>
      <c r="D22" s="34" t="s">
        <v>220</v>
      </c>
      <c r="E22" s="226">
        <f>C22*wheat</f>
        <v>0</v>
      </c>
      <c r="F22" s="252">
        <v>0</v>
      </c>
      <c r="G22" s="110">
        <f>C22*F22</f>
        <v>0</v>
      </c>
      <c r="H22" s="109">
        <f>B22*G22*wheat</f>
        <v>0</v>
      </c>
    </row>
    <row r="23" spans="1:12" x14ac:dyDescent="0.3">
      <c r="A23" s="6" t="s">
        <v>1479</v>
      </c>
      <c r="B23" s="397">
        <v>0</v>
      </c>
      <c r="C23" s="273">
        <v>0</v>
      </c>
      <c r="D23" s="34" t="s">
        <v>220</v>
      </c>
      <c r="E23" s="226">
        <f>C23*wheat</f>
        <v>0</v>
      </c>
      <c r="F23" s="252">
        <v>0</v>
      </c>
      <c r="G23" s="110">
        <f>C23*F23</f>
        <v>0</v>
      </c>
      <c r="H23" s="109">
        <f>B23*G23*wheat</f>
        <v>0</v>
      </c>
      <c r="I23" s="108">
        <f>SUM(H20:H23)</f>
        <v>0</v>
      </c>
    </row>
    <row r="24" spans="1:12" x14ac:dyDescent="0.3">
      <c r="A24" s="3" t="s">
        <v>14</v>
      </c>
      <c r="B24" s="3"/>
      <c r="C24" s="46"/>
      <c r="D24" s="34"/>
      <c r="E24" s="226"/>
      <c r="F24" s="104"/>
      <c r="G24" s="114"/>
      <c r="H24" s="109"/>
    </row>
    <row r="25" spans="1:12" x14ac:dyDescent="0.3">
      <c r="A25" s="22" t="s">
        <v>332</v>
      </c>
      <c r="B25" s="22"/>
      <c r="C25" s="46"/>
      <c r="D25" s="34"/>
      <c r="E25" s="226"/>
      <c r="F25" s="104"/>
      <c r="G25" s="114"/>
      <c r="H25" s="109"/>
    </row>
    <row r="26" spans="1:12" x14ac:dyDescent="0.3">
      <c r="A26" s="639" t="s">
        <v>1903</v>
      </c>
      <c r="B26" s="405">
        <f>IF(OS!$L$7="Moldboard Plow",OS!M7,0)</f>
        <v>0</v>
      </c>
      <c r="C26" s="156">
        <f>IF(OSI!$F$8&gt;0,(1/OSI!$F$8),Data!$H$579)</f>
        <v>0.23980815347721804</v>
      </c>
      <c r="D26" s="34" t="s">
        <v>128</v>
      </c>
      <c r="E26" s="226">
        <f>C26*wheat</f>
        <v>0</v>
      </c>
      <c r="F26" s="167">
        <f t="shared" ref="F26:F27" si="4">_wage_</f>
        <v>12.29</v>
      </c>
      <c r="G26" s="114">
        <f t="shared" ref="G26" si="5">C26*F26</f>
        <v>2.9472422062350097</v>
      </c>
      <c r="H26" s="109">
        <f t="shared" ref="H26" si="6">B26*G26*wheat</f>
        <v>0</v>
      </c>
    </row>
    <row r="27" spans="1:12" x14ac:dyDescent="0.3">
      <c r="A27" s="639" t="s">
        <v>468</v>
      </c>
      <c r="B27" s="405">
        <f>IF(OS!$L$8="Spr.Sld.Man.",OS!M8,0)</f>
        <v>1</v>
      </c>
      <c r="C27" s="156">
        <f>IF(OSI!$F$9&gt;0,(1/OSI!$F$9),Data!$H$585)</f>
        <v>0.25</v>
      </c>
      <c r="D27" s="34" t="s">
        <v>128</v>
      </c>
      <c r="E27" s="226">
        <f>C27*wheat</f>
        <v>0</v>
      </c>
      <c r="F27" s="167">
        <f t="shared" si="4"/>
        <v>12.29</v>
      </c>
      <c r="G27" s="114">
        <f t="shared" ref="G27" si="7">C27*F27</f>
        <v>3.0724999999999998</v>
      </c>
      <c r="H27" s="109">
        <f t="shared" ref="H27:H42" si="8">B27*G27*wheat</f>
        <v>0</v>
      </c>
    </row>
    <row r="28" spans="1:12" x14ac:dyDescent="0.3">
      <c r="A28" s="640" t="s">
        <v>1427</v>
      </c>
      <c r="B28" s="405">
        <f>IF(OS!$L$9="Chisel Plow",OS!M9,0)</f>
        <v>1</v>
      </c>
      <c r="C28" s="156">
        <f>IF(OSI!$F$10&gt;0,(1/OSI!$F$10),Data!$H$580)</f>
        <v>0.11764705882352899</v>
      </c>
      <c r="D28" s="34" t="s">
        <v>128</v>
      </c>
      <c r="E28" s="226">
        <f t="shared" ref="E28:E53" si="9">C28*wheat</f>
        <v>0</v>
      </c>
      <c r="F28" s="104">
        <f t="shared" ref="F28:F53" si="10">_wage_</f>
        <v>12.29</v>
      </c>
      <c r="G28" s="114">
        <f t="shared" ref="G28:G53" si="11">C28*F28</f>
        <v>1.4458823529411713</v>
      </c>
      <c r="H28" s="109">
        <f t="shared" si="8"/>
        <v>0</v>
      </c>
      <c r="K28" s="55"/>
      <c r="L28" s="55"/>
    </row>
    <row r="29" spans="1:12" x14ac:dyDescent="0.3">
      <c r="A29" s="638" t="s">
        <v>485</v>
      </c>
      <c r="B29" s="405">
        <f>IF(OS!$L$10="Disk Harrow",OS!M10,0)</f>
        <v>1</v>
      </c>
      <c r="C29" s="645">
        <f>IF(OSI!$F$11&gt;0,(1/OSI!$F$11),Data!$H$581)</f>
        <v>8.1833060556464804E-2</v>
      </c>
      <c r="D29" s="34" t="s">
        <v>128</v>
      </c>
      <c r="E29" s="226">
        <f t="shared" si="9"/>
        <v>0</v>
      </c>
      <c r="F29" s="104">
        <f t="shared" si="10"/>
        <v>12.29</v>
      </c>
      <c r="G29" s="114">
        <f t="shared" si="11"/>
        <v>1.0057283142389524</v>
      </c>
      <c r="H29" s="109">
        <f t="shared" si="8"/>
        <v>0</v>
      </c>
      <c r="K29" s="55"/>
      <c r="L29" s="55"/>
    </row>
    <row r="30" spans="1:12" x14ac:dyDescent="0.3">
      <c r="A30" s="22" t="s">
        <v>315</v>
      </c>
      <c r="B30" s="397">
        <v>0</v>
      </c>
      <c r="C30" s="156">
        <f>Data!H582</f>
        <v>0.48</v>
      </c>
      <c r="D30" s="34" t="s">
        <v>128</v>
      </c>
      <c r="E30" s="226">
        <f t="shared" si="9"/>
        <v>0</v>
      </c>
      <c r="F30" s="104">
        <f t="shared" si="10"/>
        <v>12.29</v>
      </c>
      <c r="G30" s="114">
        <f t="shared" si="11"/>
        <v>5.8991999999999996</v>
      </c>
      <c r="H30" s="109">
        <f t="shared" si="8"/>
        <v>0</v>
      </c>
      <c r="K30" s="55"/>
      <c r="L30" s="55"/>
    </row>
    <row r="31" spans="1:12" x14ac:dyDescent="0.3">
      <c r="A31" s="22" t="s">
        <v>581</v>
      </c>
      <c r="B31" s="397">
        <v>0</v>
      </c>
      <c r="C31" s="156">
        <f>Data!H583</f>
        <v>9.2929292929292931E-2</v>
      </c>
      <c r="D31" s="34" t="s">
        <v>128</v>
      </c>
      <c r="E31" s="226">
        <f t="shared" si="9"/>
        <v>0</v>
      </c>
      <c r="F31" s="104">
        <f t="shared" si="10"/>
        <v>12.29</v>
      </c>
      <c r="G31" s="114">
        <f t="shared" si="11"/>
        <v>1.1421010101010101</v>
      </c>
      <c r="H31" s="109">
        <f t="shared" si="8"/>
        <v>0</v>
      </c>
      <c r="K31" s="55"/>
      <c r="L31" s="55"/>
    </row>
    <row r="32" spans="1:12" x14ac:dyDescent="0.3">
      <c r="A32" s="22" t="s">
        <v>322</v>
      </c>
      <c r="B32" s="397">
        <v>0</v>
      </c>
      <c r="C32" s="273">
        <f>0</f>
        <v>0</v>
      </c>
      <c r="D32" s="34" t="s">
        <v>128</v>
      </c>
      <c r="E32" s="226">
        <f t="shared" si="9"/>
        <v>0</v>
      </c>
      <c r="F32" s="104">
        <f t="shared" si="10"/>
        <v>12.29</v>
      </c>
      <c r="G32" s="110">
        <f t="shared" si="11"/>
        <v>0</v>
      </c>
      <c r="H32" s="109">
        <f t="shared" si="8"/>
        <v>0</v>
      </c>
    </row>
    <row r="33" spans="1:12" ht="13.5" thickBot="1" x14ac:dyDescent="0.35">
      <c r="A33" s="639" t="s">
        <v>333</v>
      </c>
      <c r="B33" s="405">
        <f>IF(OS!$L$11="Finish Harrow",OS!M11,0)</f>
        <v>1</v>
      </c>
      <c r="C33" s="645">
        <f>IF(OSI!$F$12&gt;0,(1/OSI!$F$12),Data!$H$589)</f>
        <v>7.7041602465331302E-2</v>
      </c>
      <c r="D33" s="34" t="s">
        <v>128</v>
      </c>
      <c r="E33" s="226">
        <f t="shared" si="9"/>
        <v>0</v>
      </c>
      <c r="F33" s="104">
        <f t="shared" si="10"/>
        <v>12.29</v>
      </c>
      <c r="G33" s="114">
        <f t="shared" si="11"/>
        <v>0.94684129429892161</v>
      </c>
      <c r="H33" s="109">
        <f t="shared" si="8"/>
        <v>0</v>
      </c>
      <c r="I33" s="216" t="s">
        <v>2166</v>
      </c>
      <c r="K33" s="914" t="s">
        <v>1627</v>
      </c>
      <c r="L33" s="55"/>
    </row>
    <row r="34" spans="1:12" ht="13.5" thickBot="1" x14ac:dyDescent="0.35">
      <c r="A34" s="639" t="s">
        <v>334</v>
      </c>
      <c r="B34" s="405">
        <f>IF(OS!$L$12="Grain Drill",OS!M12,0)</f>
        <v>1</v>
      </c>
      <c r="C34" s="156">
        <f>IF(OSI!$F$13&gt;0,(1/OSI!$F$14),Data!$H$594)</f>
        <v>7.7041602465331302E-2</v>
      </c>
      <c r="D34" s="34" t="s">
        <v>128</v>
      </c>
      <c r="E34" s="226">
        <f t="shared" si="9"/>
        <v>0</v>
      </c>
      <c r="F34" s="104">
        <f t="shared" si="10"/>
        <v>12.29</v>
      </c>
      <c r="G34" s="114">
        <f t="shared" si="11"/>
        <v>0.94684129429892161</v>
      </c>
      <c r="H34" s="109">
        <f t="shared" si="8"/>
        <v>0</v>
      </c>
      <c r="I34" s="216" t="s">
        <v>1627</v>
      </c>
      <c r="K34" s="56" t="s">
        <v>1630</v>
      </c>
      <c r="L34" s="913" t="s">
        <v>1625</v>
      </c>
    </row>
    <row r="35" spans="1:12" ht="13.5" thickBot="1" x14ac:dyDescent="0.35">
      <c r="A35" s="639" t="s">
        <v>2218</v>
      </c>
      <c r="B35" s="405">
        <f>IF(OS!$L$13="Tine Harrow",OS!M13,0)</f>
        <v>2</v>
      </c>
      <c r="C35" s="645">
        <f>IF(OSI!$F$14&gt;0,(1/OSI!$F$14),Data!$H$591)</f>
        <v>7.7041602465331302E-2</v>
      </c>
      <c r="D35" s="34" t="s">
        <v>128</v>
      </c>
      <c r="E35" s="226">
        <f>C35*wheat</f>
        <v>0</v>
      </c>
      <c r="F35" s="167">
        <f t="shared" si="10"/>
        <v>12.29</v>
      </c>
      <c r="G35" s="114">
        <f t="shared" si="11"/>
        <v>0.94684129429892161</v>
      </c>
      <c r="H35" s="109">
        <f t="shared" si="8"/>
        <v>0</v>
      </c>
      <c r="I35" s="643">
        <v>2</v>
      </c>
      <c r="J35" s="668" t="s">
        <v>2217</v>
      </c>
      <c r="K35" s="55">
        <f>IF(OS!$L$13="None",0,1)</f>
        <v>1</v>
      </c>
      <c r="L35" s="1331">
        <f>OS!M13</f>
        <v>2</v>
      </c>
    </row>
    <row r="36" spans="1:12" ht="13.5" thickBot="1" x14ac:dyDescent="0.35">
      <c r="A36" s="639" t="s">
        <v>340</v>
      </c>
      <c r="B36" s="405">
        <f>IF(OS!$L$14="Cultivate",OS!M14,0)</f>
        <v>0</v>
      </c>
      <c r="C36" s="645">
        <f>IF(OSI!$F$15&gt;0,(1/OSI!$F$15),Data!$H$606)</f>
        <v>6.4724919093851099E-2</v>
      </c>
      <c r="D36" s="34" t="s">
        <v>128</v>
      </c>
      <c r="E36" s="226">
        <f>C36*wheat</f>
        <v>0</v>
      </c>
      <c r="F36" s="167">
        <f t="shared" si="10"/>
        <v>12.29</v>
      </c>
      <c r="G36" s="114">
        <f t="shared" si="11"/>
        <v>0.79546925566342996</v>
      </c>
      <c r="H36" s="109">
        <f t="shared" si="8"/>
        <v>0</v>
      </c>
      <c r="J36" s="668" t="s">
        <v>1607</v>
      </c>
      <c r="K36" s="55">
        <f>IF(OS!$L$14="None",0,1)</f>
        <v>0</v>
      </c>
      <c r="L36" s="1331">
        <f>OS!M14</f>
        <v>0</v>
      </c>
    </row>
    <row r="37" spans="1:12" x14ac:dyDescent="0.3">
      <c r="A37" s="639" t="s">
        <v>1626</v>
      </c>
      <c r="B37" s="405">
        <f>IF(OS!$L$15="Spr.Chilean N",OS!M15,0)</f>
        <v>0</v>
      </c>
      <c r="C37" s="645">
        <f>IF(OSI!$F$16&gt;0,(1/OSI!$F$16),Data!$H$584)</f>
        <v>9.2929292929292903E-2</v>
      </c>
      <c r="D37" s="34" t="s">
        <v>128</v>
      </c>
      <c r="E37" s="226">
        <f>C37*wheat</f>
        <v>0</v>
      </c>
      <c r="F37" s="167">
        <f t="shared" si="10"/>
        <v>12.29</v>
      </c>
      <c r="G37" s="114">
        <f t="shared" ref="G37" si="12">C37*F37</f>
        <v>1.1421010101010096</v>
      </c>
      <c r="H37" s="109">
        <f t="shared" si="8"/>
        <v>0</v>
      </c>
      <c r="K37" s="55"/>
      <c r="L37" s="55"/>
    </row>
    <row r="38" spans="1:12" x14ac:dyDescent="0.3">
      <c r="A38" s="22" t="s">
        <v>304</v>
      </c>
      <c r="B38" s="397">
        <v>0</v>
      </c>
      <c r="C38" s="156">
        <f>Data!H599</f>
        <v>0.11851851851851852</v>
      </c>
      <c r="D38" s="34" t="s">
        <v>128</v>
      </c>
      <c r="E38" s="226">
        <f t="shared" si="9"/>
        <v>0</v>
      </c>
      <c r="F38" s="104">
        <f t="shared" si="10"/>
        <v>12.29</v>
      </c>
      <c r="G38" s="114">
        <f t="shared" si="11"/>
        <v>1.4565925925925924</v>
      </c>
      <c r="H38" s="109">
        <f t="shared" si="8"/>
        <v>0</v>
      </c>
      <c r="K38" s="55"/>
      <c r="L38" s="55"/>
    </row>
    <row r="39" spans="1:12" x14ac:dyDescent="0.3">
      <c r="A39" s="639" t="s">
        <v>1628</v>
      </c>
      <c r="B39" s="405">
        <f>IF(OS!$L$16="Spray Fung.",OS!M16,0)</f>
        <v>0</v>
      </c>
      <c r="C39" s="156">
        <f>IF(OSI!$F$17&gt;0,(1/OSI!$F$17),Data!$H$601)</f>
        <v>2.169668040789759E-2</v>
      </c>
      <c r="D39" s="34" t="s">
        <v>128</v>
      </c>
      <c r="E39" s="226">
        <f>C39*wheat</f>
        <v>0</v>
      </c>
      <c r="F39" s="167">
        <f t="shared" si="10"/>
        <v>12.29</v>
      </c>
      <c r="G39" s="114">
        <f t="shared" si="11"/>
        <v>0.26665220221306135</v>
      </c>
      <c r="H39" s="109">
        <f t="shared" si="8"/>
        <v>0</v>
      </c>
      <c r="K39" s="55"/>
      <c r="L39" s="55"/>
    </row>
    <row r="40" spans="1:12" x14ac:dyDescent="0.3">
      <c r="A40" s="639" t="s">
        <v>1320</v>
      </c>
      <c r="B40" s="405">
        <f>IF(OS!$L$18="Combine",OS!M18,0)</f>
        <v>1</v>
      </c>
      <c r="C40" s="156">
        <f>IF(OSI!$F$19&gt;0,(1/OSI!$F$19),Data!$H$614)</f>
        <v>0.33333333333333298</v>
      </c>
      <c r="D40" s="34" t="s">
        <v>128</v>
      </c>
      <c r="E40" s="226">
        <f t="shared" si="9"/>
        <v>0</v>
      </c>
      <c r="F40" s="104">
        <f t="shared" si="10"/>
        <v>12.29</v>
      </c>
      <c r="G40" s="114">
        <f t="shared" si="11"/>
        <v>4.0966666666666622</v>
      </c>
      <c r="H40" s="109">
        <f t="shared" si="8"/>
        <v>0</v>
      </c>
      <c r="K40" s="55"/>
      <c r="L40" s="55"/>
    </row>
    <row r="41" spans="1:12" x14ac:dyDescent="0.3">
      <c r="A41" s="666" t="s">
        <v>1022</v>
      </c>
      <c r="B41" s="397">
        <v>0</v>
      </c>
      <c r="C41" s="47">
        <f>Data!$H$615*Data!$F$213</f>
        <v>0</v>
      </c>
      <c r="D41" s="48" t="s">
        <v>115</v>
      </c>
      <c r="E41" s="647">
        <f>C41*wheat</f>
        <v>0</v>
      </c>
      <c r="F41" s="118">
        <f>_wage_</f>
        <v>12.29</v>
      </c>
      <c r="G41" s="465">
        <f>C41*F41</f>
        <v>0</v>
      </c>
      <c r="H41" s="123">
        <f>B41*G41*wheat</f>
        <v>0</v>
      </c>
      <c r="K41" s="55"/>
      <c r="L41" s="55"/>
    </row>
    <row r="42" spans="1:12" x14ac:dyDescent="0.3">
      <c r="A42" s="639" t="s">
        <v>2085</v>
      </c>
      <c r="B42" s="405">
        <f>IF(OS!$L$19="Truck",OS!M19,0)</f>
        <v>1</v>
      </c>
      <c r="C42" s="156">
        <f>IF(OSI!$F$20&gt;0,(1/OSI!$F$20),Data!$H$630)</f>
        <v>7.8140079844169097E-2</v>
      </c>
      <c r="D42" s="34" t="s">
        <v>128</v>
      </c>
      <c r="E42" s="226">
        <f t="shared" si="9"/>
        <v>0</v>
      </c>
      <c r="F42" s="104">
        <f t="shared" si="10"/>
        <v>12.29</v>
      </c>
      <c r="G42" s="114">
        <f t="shared" si="11"/>
        <v>0.96034158128483815</v>
      </c>
      <c r="H42" s="109">
        <f t="shared" si="8"/>
        <v>0</v>
      </c>
      <c r="K42" s="55"/>
      <c r="L42" s="55"/>
    </row>
    <row r="43" spans="1:12" x14ac:dyDescent="0.3">
      <c r="A43" s="666" t="s">
        <v>1022</v>
      </c>
      <c r="B43" s="405">
        <f>B42</f>
        <v>1</v>
      </c>
      <c r="C43" s="47">
        <f>Data!$H$631*Data!$F$213</f>
        <v>0</v>
      </c>
      <c r="D43" s="48" t="s">
        <v>115</v>
      </c>
      <c r="E43" s="647">
        <f>C43*wheat</f>
        <v>0</v>
      </c>
      <c r="F43" s="118">
        <f>_wage_</f>
        <v>12.29</v>
      </c>
      <c r="G43" s="465">
        <f>C43*F43</f>
        <v>0</v>
      </c>
      <c r="H43" s="123">
        <f>B43*G43*wheat</f>
        <v>0</v>
      </c>
      <c r="K43" s="55"/>
      <c r="L43" s="55"/>
    </row>
    <row r="44" spans="1:12" x14ac:dyDescent="0.3">
      <c r="A44" s="22" t="s">
        <v>756</v>
      </c>
      <c r="B44" s="405">
        <f>Data!$B$32</f>
        <v>0</v>
      </c>
      <c r="C44" s="156">
        <f>Data!H648*Data!B32</f>
        <v>0</v>
      </c>
      <c r="D44" s="34" t="s">
        <v>128</v>
      </c>
      <c r="E44" s="226">
        <f t="shared" si="9"/>
        <v>0</v>
      </c>
      <c r="F44" s="167">
        <f t="shared" si="10"/>
        <v>12.29</v>
      </c>
      <c r="G44" s="114">
        <f t="shared" si="11"/>
        <v>0</v>
      </c>
      <c r="H44" s="109">
        <f>(B44*G44*wheat)*Data!$B$32*Data!$H$32</f>
        <v>0</v>
      </c>
      <c r="I44" s="87"/>
    </row>
    <row r="45" spans="1:12" x14ac:dyDescent="0.3">
      <c r="A45" s="22" t="s">
        <v>757</v>
      </c>
      <c r="B45" s="405">
        <f>Data!$B$32*Data!$C$32</f>
        <v>0</v>
      </c>
      <c r="C45" s="156">
        <f>Data!H649*Data!B32</f>
        <v>0</v>
      </c>
      <c r="D45" s="34" t="s">
        <v>128</v>
      </c>
      <c r="E45" s="226">
        <f t="shared" si="9"/>
        <v>0</v>
      </c>
      <c r="F45" s="167">
        <f t="shared" si="10"/>
        <v>12.29</v>
      </c>
      <c r="G45" s="114">
        <f t="shared" si="11"/>
        <v>0</v>
      </c>
      <c r="H45" s="109">
        <f>(B45*G45*wheat)*Data!$B$32*Data!$C$32*Data!$F$32</f>
        <v>0</v>
      </c>
      <c r="I45" s="87"/>
    </row>
    <row r="46" spans="1:12" x14ac:dyDescent="0.3">
      <c r="A46" s="9" t="s">
        <v>1022</v>
      </c>
      <c r="B46" s="405">
        <f>Data!$B$32*Data!$C$32*0</f>
        <v>0</v>
      </c>
      <c r="C46" s="47">
        <f>Data!$H$650*Data!$F$205*Data!B32</f>
        <v>0</v>
      </c>
      <c r="D46" s="48" t="s">
        <v>115</v>
      </c>
      <c r="E46" s="647">
        <f>C46*wheat</f>
        <v>0</v>
      </c>
      <c r="F46" s="118">
        <f>_wage_</f>
        <v>12.29</v>
      </c>
      <c r="G46" s="465">
        <f>C46*F46</f>
        <v>0</v>
      </c>
      <c r="H46" s="123">
        <f>(B46*G46*wheat)*Data!$B$32*Data!$C$32*Data!$F$32</f>
        <v>0</v>
      </c>
      <c r="I46" s="87"/>
    </row>
    <row r="47" spans="1:12" x14ac:dyDescent="0.3">
      <c r="A47" s="22" t="s">
        <v>752</v>
      </c>
      <c r="B47" s="405">
        <f>Data!$B$32*Data!$C$32</f>
        <v>0</v>
      </c>
      <c r="C47" s="156">
        <f>Data!H651*Data!B32</f>
        <v>0</v>
      </c>
      <c r="D47" s="34" t="s">
        <v>128</v>
      </c>
      <c r="E47" s="226">
        <f t="shared" si="9"/>
        <v>0</v>
      </c>
      <c r="F47" s="167">
        <f t="shared" si="10"/>
        <v>12.29</v>
      </c>
      <c r="G47" s="114">
        <f t="shared" si="11"/>
        <v>0</v>
      </c>
      <c r="H47" s="109">
        <f>(B47*G47*wheat)*Data!$B$32*Data!$C$32*Data!$F$32</f>
        <v>0</v>
      </c>
      <c r="I47" s="87"/>
    </row>
    <row r="48" spans="1:12" x14ac:dyDescent="0.3">
      <c r="A48" s="9" t="s">
        <v>1022</v>
      </c>
      <c r="B48" s="405">
        <f>Data!$B$32*Data!$C$32</f>
        <v>0</v>
      </c>
      <c r="C48" s="47">
        <f>Data!$H$652*Data!$F$205*Data!B32</f>
        <v>0</v>
      </c>
      <c r="D48" s="48" t="s">
        <v>115</v>
      </c>
      <c r="E48" s="647">
        <f>C48*wheat</f>
        <v>0</v>
      </c>
      <c r="F48" s="118">
        <f>_wage_</f>
        <v>12.29</v>
      </c>
      <c r="G48" s="465">
        <f>C48*F48</f>
        <v>0</v>
      </c>
      <c r="H48" s="123">
        <f>(B48*G48*wheat)*Data!$B$32*Data!$C$32*Data!$F$32</f>
        <v>0</v>
      </c>
      <c r="I48" s="87"/>
    </row>
    <row r="49" spans="1:22" x14ac:dyDescent="0.3">
      <c r="A49" s="22" t="s">
        <v>758</v>
      </c>
      <c r="B49" s="405">
        <f>Data!$B$32*Data!$D$32</f>
        <v>0</v>
      </c>
      <c r="C49" s="156">
        <f>Data!H653*Data!B32</f>
        <v>0</v>
      </c>
      <c r="D49" s="34" t="s">
        <v>128</v>
      </c>
      <c r="E49" s="226">
        <f t="shared" si="9"/>
        <v>0</v>
      </c>
      <c r="F49" s="167">
        <f t="shared" si="10"/>
        <v>12.29</v>
      </c>
      <c r="G49" s="114">
        <f t="shared" si="11"/>
        <v>0</v>
      </c>
      <c r="H49" s="109">
        <f>(B49*G49*wheat)*Data!$B$32*Data!$D$32*Data!$G$32</f>
        <v>0</v>
      </c>
      <c r="I49" s="87"/>
    </row>
    <row r="50" spans="1:22" x14ac:dyDescent="0.3">
      <c r="A50" s="9" t="s">
        <v>1022</v>
      </c>
      <c r="B50" s="405">
        <f>Data!$B$32*Data!$D$32*0</f>
        <v>0</v>
      </c>
      <c r="C50" s="47">
        <f>Data!$H$654*Data!$F$205*Data!B32</f>
        <v>0</v>
      </c>
      <c r="D50" s="48" t="s">
        <v>115</v>
      </c>
      <c r="E50" s="647">
        <f>C50*wheat</f>
        <v>0</v>
      </c>
      <c r="F50" s="118">
        <f>_wage_</f>
        <v>12.29</v>
      </c>
      <c r="G50" s="465">
        <f>C50*F50</f>
        <v>0</v>
      </c>
      <c r="H50" s="123">
        <f>(B50*G50*wheat)*Data!$B$32*Data!$D$32*Data!$G$32</f>
        <v>0</v>
      </c>
      <c r="I50" s="87"/>
    </row>
    <row r="51" spans="1:22" x14ac:dyDescent="0.3">
      <c r="A51" s="22" t="s">
        <v>753</v>
      </c>
      <c r="B51" s="405">
        <f>Data!$B$32*Data!$D$32</f>
        <v>0</v>
      </c>
      <c r="C51" s="156">
        <f>Data!H655*Data!B32</f>
        <v>0</v>
      </c>
      <c r="D51" s="34" t="s">
        <v>128</v>
      </c>
      <c r="E51" s="226">
        <f t="shared" si="9"/>
        <v>0</v>
      </c>
      <c r="F51" s="167">
        <f t="shared" si="10"/>
        <v>12.29</v>
      </c>
      <c r="G51" s="114">
        <f t="shared" si="11"/>
        <v>0</v>
      </c>
      <c r="H51" s="109">
        <f>(B51*G51*wheat)*Data!$B$32*Data!$D$32*Data!$G$32</f>
        <v>0</v>
      </c>
      <c r="I51" s="87"/>
    </row>
    <row r="52" spans="1:22" x14ac:dyDescent="0.3">
      <c r="A52" s="9" t="s">
        <v>1022</v>
      </c>
      <c r="B52" s="405">
        <f>Data!$B$32*Data!$D$32</f>
        <v>0</v>
      </c>
      <c r="C52" s="47">
        <f>Data!$H$656*Data!$F$205*Data!B32</f>
        <v>0</v>
      </c>
      <c r="D52" s="48" t="s">
        <v>115</v>
      </c>
      <c r="E52" s="647">
        <f>C52*wheat</f>
        <v>0</v>
      </c>
      <c r="F52" s="118">
        <f>_wage_</f>
        <v>12.29</v>
      </c>
      <c r="G52" s="465">
        <f>C52*F52</f>
        <v>0</v>
      </c>
      <c r="H52" s="123">
        <f>(B52*G52*wheat)*Data!$B$32*Data!$D$32*Data!$G$32</f>
        <v>0</v>
      </c>
      <c r="I52" s="87"/>
    </row>
    <row r="53" spans="1:22" x14ac:dyDescent="0.3">
      <c r="A53" s="22" t="s">
        <v>759</v>
      </c>
      <c r="B53" s="397">
        <v>0</v>
      </c>
      <c r="C53" s="156">
        <f>Data!H657*Data!B32</f>
        <v>0</v>
      </c>
      <c r="D53" s="34" t="s">
        <v>128</v>
      </c>
      <c r="E53" s="226">
        <f t="shared" si="9"/>
        <v>0</v>
      </c>
      <c r="F53" s="167">
        <f t="shared" si="10"/>
        <v>12.29</v>
      </c>
      <c r="G53" s="114">
        <f t="shared" si="11"/>
        <v>0</v>
      </c>
      <c r="H53" s="109">
        <f>(B53*G53*wheat)*Data!$B$32*Data!$H$32</f>
        <v>0</v>
      </c>
      <c r="I53" s="87"/>
    </row>
    <row r="54" spans="1:22" x14ac:dyDescent="0.3">
      <c r="A54" s="9" t="s">
        <v>1022</v>
      </c>
      <c r="B54" s="405">
        <f>B53</f>
        <v>0</v>
      </c>
      <c r="C54" s="47">
        <f>Data!$H$658*Data!$F$205*Data!B32</f>
        <v>0</v>
      </c>
      <c r="D54" s="48" t="s">
        <v>115</v>
      </c>
      <c r="E54" s="647">
        <f>C54*wheat</f>
        <v>0</v>
      </c>
      <c r="F54" s="118">
        <f>_wage_</f>
        <v>12.29</v>
      </c>
      <c r="G54" s="465">
        <f>C54*F54</f>
        <v>0</v>
      </c>
      <c r="H54" s="123">
        <f>(B54*G54*wheat)*Data!$B$32*Data!$H$32</f>
        <v>0</v>
      </c>
      <c r="I54" s="87"/>
    </row>
    <row r="55" spans="1:22" x14ac:dyDescent="0.3">
      <c r="A55" s="639" t="s">
        <v>1435</v>
      </c>
      <c r="B55" s="832"/>
      <c r="C55" s="47"/>
      <c r="D55" s="48"/>
      <c r="E55" s="647"/>
      <c r="F55" s="118"/>
      <c r="G55" s="465"/>
      <c r="H55" s="123"/>
      <c r="I55" s="87"/>
    </row>
    <row r="56" spans="1:22" x14ac:dyDescent="0.3">
      <c r="A56" s="638" t="s">
        <v>1436</v>
      </c>
      <c r="B56" s="405">
        <f>IF(OS!$L$20="Clean",OS!M20,0)</f>
        <v>1</v>
      </c>
      <c r="C56" s="156">
        <f>IF(OSI!$F$21&gt;0,(1/OSI!$F$21),Data!$H$665)</f>
        <v>1.02</v>
      </c>
      <c r="D56" s="34" t="s">
        <v>128</v>
      </c>
      <c r="E56" s="226">
        <f t="shared" ref="E56" si="13">C56*wheat</f>
        <v>0</v>
      </c>
      <c r="F56" s="167">
        <f t="shared" ref="F56" si="14">_wage_</f>
        <v>12.29</v>
      </c>
      <c r="G56" s="114">
        <f t="shared" ref="G56" si="15">C56*F56</f>
        <v>12.5358</v>
      </c>
      <c r="H56" s="109">
        <f>B56*G56*wheat</f>
        <v>0</v>
      </c>
      <c r="I56" s="87"/>
    </row>
    <row r="57" spans="1:22" x14ac:dyDescent="0.3">
      <c r="A57" s="666" t="s">
        <v>1022</v>
      </c>
      <c r="B57" s="405">
        <f>B56</f>
        <v>1</v>
      </c>
      <c r="C57" s="47">
        <f>Data!H666*Data!$F$205</f>
        <v>0</v>
      </c>
      <c r="D57" s="48" t="s">
        <v>115</v>
      </c>
      <c r="E57" s="647">
        <f>C57*wheat</f>
        <v>0</v>
      </c>
      <c r="F57" s="118">
        <f>_wage_</f>
        <v>12.29</v>
      </c>
      <c r="G57" s="465">
        <f>C57*F57</f>
        <v>0</v>
      </c>
      <c r="H57" s="123">
        <f>B57*G57*wheat</f>
        <v>0</v>
      </c>
      <c r="I57" s="87"/>
      <c r="K57" s="55"/>
      <c r="L57" s="4" t="s">
        <v>1077</v>
      </c>
    </row>
    <row r="58" spans="1:22" x14ac:dyDescent="0.3">
      <c r="A58" s="639" t="s">
        <v>1147</v>
      </c>
      <c r="B58" s="22"/>
      <c r="C58" s="46"/>
      <c r="D58" s="34"/>
      <c r="E58" s="226"/>
      <c r="F58" s="104"/>
      <c r="G58" s="104"/>
      <c r="H58" s="109"/>
      <c r="J58" s="588">
        <f>OSI!$E$69</f>
        <v>30000</v>
      </c>
      <c r="K58" s="17" t="s">
        <v>220</v>
      </c>
      <c r="L58" s="17">
        <f>J58/2000</f>
        <v>15</v>
      </c>
      <c r="M58" s="17" t="s">
        <v>26</v>
      </c>
      <c r="N58" s="588">
        <f>OSI!$C$69</f>
        <v>500</v>
      </c>
      <c r="O58" s="17" t="s">
        <v>931</v>
      </c>
      <c r="P58" s="93" t="s">
        <v>944</v>
      </c>
      <c r="Q58" s="93"/>
      <c r="S58" s="588">
        <f>N58*Data!$K$61</f>
        <v>30000</v>
      </c>
      <c r="T58" s="17" t="s">
        <v>220</v>
      </c>
      <c r="U58" s="589">
        <f>S58/J58</f>
        <v>1</v>
      </c>
    </row>
    <row r="59" spans="1:22" x14ac:dyDescent="0.3">
      <c r="A59" s="638" t="s">
        <v>1145</v>
      </c>
      <c r="B59" s="405">
        <f>IF(OS!$L$21="Dry",OS!M21,0)</f>
        <v>1</v>
      </c>
      <c r="C59" s="369">
        <f>IF(OSI!$F$22&gt;0,(1/OSI!$F$22),Data!$H$685)</f>
        <v>0.43354620246402198</v>
      </c>
      <c r="D59" s="34" t="s">
        <v>115</v>
      </c>
      <c r="E59" s="226">
        <f>C59*wheat</f>
        <v>0</v>
      </c>
      <c r="F59" s="104">
        <f>_wage_</f>
        <v>12.29</v>
      </c>
      <c r="G59" s="114">
        <f>C59*F59</f>
        <v>5.3282828282828296</v>
      </c>
      <c r="H59" s="110">
        <f>B59*G59*wheat*G4</f>
        <v>0</v>
      </c>
      <c r="I59" s="108"/>
      <c r="J59" s="588">
        <f>OSI!$E$70</f>
        <v>180</v>
      </c>
      <c r="K59" s="17" t="s">
        <v>220</v>
      </c>
      <c r="L59" s="17">
        <f>J59/2000</f>
        <v>0.09</v>
      </c>
      <c r="M59" s="17" t="s">
        <v>26</v>
      </c>
      <c r="N59" s="588">
        <f>OSI!$C$70</f>
        <v>3</v>
      </c>
      <c r="O59" s="17" t="s">
        <v>931</v>
      </c>
      <c r="P59" s="93" t="s">
        <v>945</v>
      </c>
      <c r="Q59" s="93"/>
      <c r="S59" s="588">
        <f>N59*Data!$K$61</f>
        <v>180</v>
      </c>
      <c r="T59" s="17" t="s">
        <v>220</v>
      </c>
      <c r="U59" s="589">
        <f>S59/J59</f>
        <v>1</v>
      </c>
    </row>
    <row r="60" spans="1:22" x14ac:dyDescent="0.3">
      <c r="A60" s="666" t="s">
        <v>1022</v>
      </c>
      <c r="B60" s="405">
        <f>B59</f>
        <v>1</v>
      </c>
      <c r="C60" s="47">
        <f>C59*Data!$F$205</f>
        <v>0</v>
      </c>
      <c r="D60" s="48" t="s">
        <v>115</v>
      </c>
      <c r="E60" s="647">
        <f>C60*wheat</f>
        <v>0</v>
      </c>
      <c r="F60" s="118">
        <f>_wage_</f>
        <v>12.29</v>
      </c>
      <c r="G60" s="465">
        <f>C60*F60</f>
        <v>0</v>
      </c>
      <c r="H60" s="123">
        <f>B60*G60*wheat</f>
        <v>0</v>
      </c>
      <c r="I60" s="108">
        <f>SUM(H25:H60)</f>
        <v>0</v>
      </c>
      <c r="J60" s="108"/>
    </row>
    <row r="61" spans="1:22" x14ac:dyDescent="0.3">
      <c r="A61" s="1258" t="s">
        <v>2091</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IF(OSI!$F$77&gt;0,1*$P$73,0)</f>
        <v>1</v>
      </c>
      <c r="C63" s="410">
        <f>IF(wheat&gt;0,($T$63*((Data!$B$204*wheat)/$N$58))/wheat,0)</f>
        <v>0</v>
      </c>
      <c r="D63" s="34" t="s">
        <v>115</v>
      </c>
      <c r="E63" s="46">
        <f t="shared" ref="E63:E68" si="16">C63*wheat</f>
        <v>0</v>
      </c>
      <c r="F63" s="167">
        <f t="shared" ref="F63:F68" si="17">_wage_</f>
        <v>12.29</v>
      </c>
      <c r="G63" s="114">
        <f t="shared" ref="G63:G68" si="18">C63*F63</f>
        <v>0</v>
      </c>
      <c r="H63" s="110">
        <f t="shared" ref="H63:H68" si="19">B63*G63*wheat</f>
        <v>0</v>
      </c>
      <c r="J63" s="55" t="s">
        <v>762</v>
      </c>
      <c r="K63" s="816">
        <f>B63</f>
        <v>1</v>
      </c>
      <c r="L63" s="168">
        <f>IF(wheat&gt;0,(K63*(T63*_wage_)*((Data!$B$204*wheat)/$N$58))/wheat,0)</f>
        <v>0</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IF(Data!$F$205=0,0,1*$P$73)</f>
        <v>0</v>
      </c>
      <c r="C64" s="593">
        <f>C63*Data!$F$205</f>
        <v>0</v>
      </c>
      <c r="D64" s="48" t="s">
        <v>115</v>
      </c>
      <c r="E64" s="47">
        <f t="shared" si="16"/>
        <v>0</v>
      </c>
      <c r="F64" s="118">
        <f t="shared" si="17"/>
        <v>12.29</v>
      </c>
      <c r="G64" s="465">
        <f t="shared" si="18"/>
        <v>0</v>
      </c>
      <c r="H64" s="123">
        <f t="shared" si="19"/>
        <v>0</v>
      </c>
      <c r="J64" s="55" t="s">
        <v>943</v>
      </c>
      <c r="K64" s="816">
        <f>B65</f>
        <v>0</v>
      </c>
      <c r="L64" s="114">
        <f>IF(wheat&gt;0,(K64*(T64*_wage_)*((Data!$E$204*wheat)/$U$64))/wheat,0)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(U64*Data!$E$202)/Data!$H$202</f>
        <v>200</v>
      </c>
    </row>
    <row r="65" spans="1:22" x14ac:dyDescent="0.3">
      <c r="A65" s="638" t="s">
        <v>940</v>
      </c>
      <c r="B65" s="405">
        <f>IF(OSI!$F$81&gt;0,Data!$B$32*Data!$C$32*$P$74,0)</f>
        <v>0</v>
      </c>
      <c r="C65" s="410">
        <f>IF(wheat&gt;0,($T$64*(Wb!$B$17/Wv!$S$116))/wheat,0)</f>
        <v>0</v>
      </c>
      <c r="D65" s="34" t="s">
        <v>115</v>
      </c>
      <c r="E65" s="46">
        <f t="shared" si="16"/>
        <v>0</v>
      </c>
      <c r="F65" s="167">
        <f t="shared" si="17"/>
        <v>12.29</v>
      </c>
      <c r="G65" s="114">
        <f t="shared" si="18"/>
        <v>0</v>
      </c>
      <c r="H65" s="110">
        <f t="shared" si="19"/>
        <v>0</v>
      </c>
      <c r="J65" s="55" t="s">
        <v>948</v>
      </c>
      <c r="K65" s="816">
        <f>B67</f>
        <v>0</v>
      </c>
      <c r="L65" s="114">
        <f>IF(wheat&gt;0,(K65*(T65*_wage_)*((Data!$H$204*wheat)/$V$64))/wheat,0)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IF(Data!$F$206=0,0,1*$P$74)</f>
        <v>0</v>
      </c>
      <c r="C66" s="593">
        <f>C65*Data!$F$206</f>
        <v>0</v>
      </c>
      <c r="D66" s="48" t="s">
        <v>115</v>
      </c>
      <c r="E66" s="47">
        <f t="shared" si="16"/>
        <v>0</v>
      </c>
      <c r="F66" s="118">
        <f t="shared" si="17"/>
        <v>12.29</v>
      </c>
      <c r="G66" s="465">
        <f t="shared" si="18"/>
        <v>0</v>
      </c>
      <c r="H66" s="123">
        <f t="shared" si="19"/>
        <v>0</v>
      </c>
      <c r="Q66" s="216" t="s">
        <v>933</v>
      </c>
      <c r="R66" s="216" t="s">
        <v>933</v>
      </c>
      <c r="S66" s="216" t="s">
        <v>2047</v>
      </c>
      <c r="T66" s="216" t="s">
        <v>2050</v>
      </c>
    </row>
    <row r="67" spans="1:22" x14ac:dyDescent="0.3">
      <c r="A67" s="638" t="s">
        <v>941</v>
      </c>
      <c r="B67" s="405">
        <f>IF(OSI!$F$85&gt;0,Data!$B$32*Data!$D$32*$P$75,0)</f>
        <v>0</v>
      </c>
      <c r="C67" s="410">
        <f>IF(wheat&gt;0,($T$65*(Wb!$B$19/Wv!$T$116))/wheat,0)</f>
        <v>0</v>
      </c>
      <c r="D67" s="34" t="s">
        <v>115</v>
      </c>
      <c r="E67" s="46">
        <f t="shared" si="16"/>
        <v>0</v>
      </c>
      <c r="F67" s="167">
        <f t="shared" si="17"/>
        <v>12.29</v>
      </c>
      <c r="G67" s="114">
        <f t="shared" si="18"/>
        <v>0</v>
      </c>
      <c r="H67" s="110">
        <f t="shared" si="19"/>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IF(Data!$F$206=0,0,1*$P$75)</f>
        <v>0</v>
      </c>
      <c r="C68" s="593">
        <f>C67*Data!$F$206</f>
        <v>0</v>
      </c>
      <c r="D68" s="48" t="s">
        <v>115</v>
      </c>
      <c r="E68" s="47">
        <f t="shared" si="16"/>
        <v>0</v>
      </c>
      <c r="F68" s="118">
        <f t="shared" si="17"/>
        <v>12.29</v>
      </c>
      <c r="G68" s="465">
        <f t="shared" si="18"/>
        <v>0</v>
      </c>
      <c r="H68" s="123">
        <f t="shared" si="19"/>
        <v>0</v>
      </c>
      <c r="J68" s="55" t="s">
        <v>762</v>
      </c>
      <c r="K68" s="816">
        <f>B70</f>
        <v>0</v>
      </c>
      <c r="L68" s="168">
        <f>IF(wheat&gt;0,(K68*(T68*_wage_)*((Data!$B$204*wheat)/$N$59))/wheat,0)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IF(wheat&gt;0,(K69*(T69*_wage_)*((Data!$E$204*wheat)/$U$69))/wheat,0)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(U69*Data!$E$202)/Data!$H$202</f>
        <v>400</v>
      </c>
    </row>
    <row r="70" spans="1:22" x14ac:dyDescent="0.3">
      <c r="A70" s="638" t="s">
        <v>939</v>
      </c>
      <c r="B70" s="405">
        <f>IF(OSI!$F$78&gt;0,1*$Q$73,0)</f>
        <v>0</v>
      </c>
      <c r="C70" s="410">
        <f>IF(wheat&gt;0,($T$68*((Data!$B$204*wheat)/$N$59))/wheat,0)</f>
        <v>0</v>
      </c>
      <c r="D70" s="34" t="s">
        <v>115</v>
      </c>
      <c r="E70" s="46">
        <f t="shared" ref="E70:E75" si="20">C70*wheat</f>
        <v>0</v>
      </c>
      <c r="F70" s="167">
        <f t="shared" ref="F70:F75" si="21">_wage_</f>
        <v>12.29</v>
      </c>
      <c r="G70" s="114">
        <f t="shared" ref="G70:G75" si="22">C70*F70</f>
        <v>0</v>
      </c>
      <c r="H70" s="110">
        <f t="shared" ref="H70:H75" si="23">B70*G70*wheat</f>
        <v>0</v>
      </c>
      <c r="J70" s="55" t="s">
        <v>948</v>
      </c>
      <c r="K70" s="816">
        <f>B74</f>
        <v>0</v>
      </c>
      <c r="L70" s="114">
        <f>IF(wheat&gt;0,(K70*(T70*_wage_)*((Data!$H$204*wheat)/$V$69))/wheat,0)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IF(Data!$F$205=0,0,1*$Q$73)</f>
        <v>0</v>
      </c>
      <c r="C71" s="593">
        <f>C70*Data!$F$205</f>
        <v>0</v>
      </c>
      <c r="D71" s="48" t="s">
        <v>115</v>
      </c>
      <c r="E71" s="47">
        <f t="shared" si="20"/>
        <v>0</v>
      </c>
      <c r="F71" s="118">
        <f t="shared" si="21"/>
        <v>12.29</v>
      </c>
      <c r="G71" s="465">
        <f t="shared" si="22"/>
        <v>0</v>
      </c>
      <c r="H71" s="123">
        <f t="shared" si="23"/>
        <v>0</v>
      </c>
      <c r="J71" s="55"/>
      <c r="K71" s="114"/>
      <c r="L71" s="114"/>
      <c r="M71" s="22"/>
      <c r="N71" s="114"/>
      <c r="O71" s="22"/>
      <c r="P71" s="22"/>
      <c r="Q71" s="22"/>
      <c r="R71" s="22"/>
      <c r="S71" s="22"/>
      <c r="T71" s="22"/>
      <c r="U71" s="22"/>
    </row>
    <row r="72" spans="1:22" x14ac:dyDescent="0.3">
      <c r="A72" s="638" t="s">
        <v>940</v>
      </c>
      <c r="B72" s="405">
        <f>IF(OSI!$F$82&gt;0,Data!$B$32*Data!$C$32*$Q$74,0)</f>
        <v>0</v>
      </c>
      <c r="C72" s="410">
        <f>IF(wheat&gt;0,($T$69*(Wb!$B$17/Wv!$S$121))/wheat,0)</f>
        <v>0</v>
      </c>
      <c r="D72" s="34" t="s">
        <v>115</v>
      </c>
      <c r="E72" s="46">
        <f t="shared" si="20"/>
        <v>0</v>
      </c>
      <c r="F72" s="167">
        <f t="shared" si="21"/>
        <v>12.29</v>
      </c>
      <c r="G72" s="114">
        <f t="shared" si="22"/>
        <v>0</v>
      </c>
      <c r="H72" s="110">
        <f t="shared" si="23"/>
        <v>0</v>
      </c>
      <c r="M72" s="22"/>
      <c r="N72" s="114"/>
      <c r="O72" s="67" t="s">
        <v>947</v>
      </c>
      <c r="P72" s="216" t="s">
        <v>932</v>
      </c>
      <c r="Q72" s="216" t="s">
        <v>934</v>
      </c>
      <c r="R72" s="216" t="s">
        <v>76</v>
      </c>
      <c r="S72" s="22"/>
      <c r="U72" s="22"/>
    </row>
    <row r="73" spans="1:22" x14ac:dyDescent="0.3">
      <c r="A73" s="666" t="s">
        <v>2025</v>
      </c>
      <c r="B73" s="405">
        <f>IF(Data!$F$206=0,0,1*$Q$74)</f>
        <v>0</v>
      </c>
      <c r="C73" s="593">
        <f>C72*Data!$F$206</f>
        <v>0</v>
      </c>
      <c r="D73" s="48" t="s">
        <v>115</v>
      </c>
      <c r="E73" s="47">
        <f t="shared" si="20"/>
        <v>0</v>
      </c>
      <c r="F73" s="118">
        <f t="shared" si="21"/>
        <v>12.29</v>
      </c>
      <c r="G73" s="465">
        <f t="shared" si="22"/>
        <v>0</v>
      </c>
      <c r="H73" s="123">
        <f t="shared" si="23"/>
        <v>0</v>
      </c>
      <c r="M73" s="22"/>
      <c r="N73" s="114"/>
      <c r="O73" s="34" t="s">
        <v>762</v>
      </c>
      <c r="P73" s="922">
        <f>OSI!$C$77</f>
        <v>1</v>
      </c>
      <c r="Q73" s="922">
        <f>OSI!$C$78</f>
        <v>0</v>
      </c>
      <c r="R73" s="412">
        <f>SUM(P73:Q73)</f>
        <v>1</v>
      </c>
      <c r="S73" s="22"/>
      <c r="U73" s="22"/>
    </row>
    <row r="74" spans="1:22" x14ac:dyDescent="0.3">
      <c r="A74" s="638" t="s">
        <v>941</v>
      </c>
      <c r="B74" s="405">
        <f>IF(OSI!$F$86&gt;0,Data!$B$32*Data!$D$32*$Q$75,0)</f>
        <v>0</v>
      </c>
      <c r="C74" s="410">
        <f>IF(wheat&gt;0,($T$70*(Wb!$B$19/Wv!$T$121))/wheat,0)</f>
        <v>0</v>
      </c>
      <c r="D74" s="34" t="s">
        <v>115</v>
      </c>
      <c r="E74" s="46">
        <f t="shared" si="20"/>
        <v>0</v>
      </c>
      <c r="F74" s="167">
        <f t="shared" si="21"/>
        <v>12.29</v>
      </c>
      <c r="G74" s="114">
        <f t="shared" si="22"/>
        <v>0</v>
      </c>
      <c r="H74" s="110">
        <f t="shared" si="23"/>
        <v>0</v>
      </c>
      <c r="I74" s="50"/>
      <c r="M74" s="22"/>
      <c r="N74" s="114"/>
      <c r="O74" s="55" t="s">
        <v>943</v>
      </c>
      <c r="P74" s="922">
        <f>OSI!$C$81</f>
        <v>1</v>
      </c>
      <c r="Q74" s="922">
        <f>OSI!$C$82</f>
        <v>0</v>
      </c>
      <c r="R74" s="412">
        <f>SUM(P74:Q74)</f>
        <v>1</v>
      </c>
      <c r="S74" s="22"/>
      <c r="U74" s="22"/>
    </row>
    <row r="75" spans="1:22" x14ac:dyDescent="0.3">
      <c r="A75" s="666" t="s">
        <v>2025</v>
      </c>
      <c r="B75" s="405">
        <f>IF(Data!$F$206=0,0,1*$Q$75)</f>
        <v>0</v>
      </c>
      <c r="C75" s="593">
        <f>C74*Data!$F$206</f>
        <v>0</v>
      </c>
      <c r="D75" s="48" t="s">
        <v>115</v>
      </c>
      <c r="E75" s="47">
        <f t="shared" si="20"/>
        <v>0</v>
      </c>
      <c r="F75" s="118">
        <f t="shared" si="21"/>
        <v>12.29</v>
      </c>
      <c r="G75" s="465">
        <f t="shared" si="22"/>
        <v>0</v>
      </c>
      <c r="H75" s="123">
        <f t="shared" si="23"/>
        <v>0</v>
      </c>
      <c r="I75" s="108">
        <f>SUM(H62:H75)</f>
        <v>0</v>
      </c>
      <c r="M75" s="22"/>
      <c r="N75" s="114"/>
      <c r="O75" s="55" t="s">
        <v>948</v>
      </c>
      <c r="P75" s="922">
        <f>OSI!$C$85</f>
        <v>1</v>
      </c>
      <c r="Q75" s="922">
        <f>OSI!$C$86</f>
        <v>0</v>
      </c>
      <c r="R75" s="412">
        <f>SUM(P75:Q75)</f>
        <v>1</v>
      </c>
      <c r="S75" s="22"/>
      <c r="T75" s="22"/>
      <c r="U75" s="22"/>
    </row>
    <row r="76" spans="1:22" x14ac:dyDescent="0.3">
      <c r="A76" s="3" t="s">
        <v>66</v>
      </c>
      <c r="B76" s="3"/>
      <c r="C76" s="46"/>
      <c r="D76" s="34"/>
      <c r="E76" s="226"/>
      <c r="F76" s="104"/>
      <c r="G76" s="114"/>
      <c r="H76" s="109"/>
    </row>
    <row r="77" spans="1:22" x14ac:dyDescent="0.3">
      <c r="A77" s="22" t="s">
        <v>332</v>
      </c>
      <c r="B77" s="22"/>
      <c r="C77" s="46"/>
      <c r="D77" s="34"/>
      <c r="E77" s="226"/>
      <c r="F77" s="104"/>
      <c r="G77" s="114"/>
      <c r="H77" s="109"/>
    </row>
    <row r="78" spans="1:22" x14ac:dyDescent="0.3">
      <c r="A78" s="638" t="s">
        <v>1911</v>
      </c>
      <c r="B78" s="405">
        <f t="shared" ref="B78:B90" si="24">B26</f>
        <v>0</v>
      </c>
      <c r="C78" s="156">
        <f>IF(OSI!$F$28&gt;0,OSI!$F$28,Data!$R$579)</f>
        <v>1.32</v>
      </c>
      <c r="D78" s="34" t="s">
        <v>117</v>
      </c>
      <c r="E78" s="226">
        <f t="shared" ref="E78:E79" si="25">C78*wheat</f>
        <v>0</v>
      </c>
      <c r="F78" s="167">
        <f>diesel_fuel</f>
        <v>2.56</v>
      </c>
      <c r="G78" s="114">
        <f>C78*F78</f>
        <v>3.3792000000000004</v>
      </c>
      <c r="H78" s="109">
        <f t="shared" ref="H78:H79" si="26">B78*G78*wheat</f>
        <v>0</v>
      </c>
      <c r="K78" s="55"/>
    </row>
    <row r="79" spans="1:22" x14ac:dyDescent="0.3">
      <c r="A79" s="639" t="s">
        <v>468</v>
      </c>
      <c r="B79" s="405">
        <f t="shared" si="24"/>
        <v>1</v>
      </c>
      <c r="C79" s="156">
        <f>IF(OSI!$F$29&gt;0,OSI!$F$29,Data!$R$585)</f>
        <v>0.44023863292066601</v>
      </c>
      <c r="D79" s="34" t="s">
        <v>117</v>
      </c>
      <c r="E79" s="226">
        <f t="shared" si="25"/>
        <v>0</v>
      </c>
      <c r="F79" s="104">
        <f t="shared" ref="F79:F111" si="27">diesel_fuel</f>
        <v>2.56</v>
      </c>
      <c r="G79" s="114">
        <f t="shared" ref="G79" si="28">C79*F79</f>
        <v>1.1270109002769051</v>
      </c>
      <c r="H79" s="109">
        <f t="shared" si="26"/>
        <v>0</v>
      </c>
    </row>
    <row r="80" spans="1:22" x14ac:dyDescent="0.3">
      <c r="A80" s="640" t="s">
        <v>1427</v>
      </c>
      <c r="B80" s="405">
        <f t="shared" si="24"/>
        <v>1</v>
      </c>
      <c r="C80" s="156">
        <f>IF(OSI!$F$30&gt;0,OSI!$F$30,Data!$R$580)</f>
        <v>0.64</v>
      </c>
      <c r="D80" s="34" t="s">
        <v>117</v>
      </c>
      <c r="E80" s="226">
        <f t="shared" ref="E80:E105" si="29">C80*wheat</f>
        <v>0</v>
      </c>
      <c r="F80" s="104">
        <f t="shared" si="27"/>
        <v>2.56</v>
      </c>
      <c r="G80" s="114">
        <f t="shared" ref="G80:G105" si="30">C80*F80</f>
        <v>1.6384000000000001</v>
      </c>
      <c r="H80" s="109">
        <f t="shared" ref="H80:H94" si="31">B80*G80*wheat</f>
        <v>0</v>
      </c>
    </row>
    <row r="81" spans="1:12" x14ac:dyDescent="0.3">
      <c r="A81" s="638" t="s">
        <v>485</v>
      </c>
      <c r="B81" s="405">
        <f t="shared" si="24"/>
        <v>1</v>
      </c>
      <c r="C81" s="156">
        <f>IF(OSI!$F$31&gt;0,OSI!$F$31,Data!$R$581)</f>
        <v>0.74</v>
      </c>
      <c r="D81" s="34" t="s">
        <v>117</v>
      </c>
      <c r="E81" s="226">
        <f t="shared" si="29"/>
        <v>0</v>
      </c>
      <c r="F81" s="104">
        <f t="shared" si="27"/>
        <v>2.56</v>
      </c>
      <c r="G81" s="114">
        <f t="shared" si="30"/>
        <v>1.8944000000000001</v>
      </c>
      <c r="H81" s="109">
        <f t="shared" si="31"/>
        <v>0</v>
      </c>
    </row>
    <row r="82" spans="1:12" x14ac:dyDescent="0.3">
      <c r="A82" s="22" t="s">
        <v>315</v>
      </c>
      <c r="B82" s="405">
        <f t="shared" si="24"/>
        <v>0</v>
      </c>
      <c r="C82" s="156">
        <f>Data!R582</f>
        <v>0.2</v>
      </c>
      <c r="D82" s="34" t="s">
        <v>117</v>
      </c>
      <c r="E82" s="226">
        <f t="shared" si="29"/>
        <v>0</v>
      </c>
      <c r="F82" s="104">
        <f t="shared" si="27"/>
        <v>2.56</v>
      </c>
      <c r="G82" s="114">
        <f t="shared" si="30"/>
        <v>0.51200000000000001</v>
      </c>
      <c r="H82" s="109">
        <f t="shared" si="31"/>
        <v>0</v>
      </c>
    </row>
    <row r="83" spans="1:12" x14ac:dyDescent="0.3">
      <c r="A83" s="22" t="s">
        <v>581</v>
      </c>
      <c r="B83" s="405">
        <f t="shared" si="24"/>
        <v>0</v>
      </c>
      <c r="C83" s="156">
        <f>Data!R583</f>
        <v>0.13183670241332501</v>
      </c>
      <c r="D83" s="34" t="s">
        <v>117</v>
      </c>
      <c r="E83" s="226">
        <f t="shared" si="29"/>
        <v>0</v>
      </c>
      <c r="F83" s="104">
        <f t="shared" si="27"/>
        <v>2.56</v>
      </c>
      <c r="G83" s="114">
        <f t="shared" si="30"/>
        <v>0.33750195817811202</v>
      </c>
      <c r="H83" s="109">
        <f t="shared" si="31"/>
        <v>0</v>
      </c>
    </row>
    <row r="84" spans="1:12" x14ac:dyDescent="0.3">
      <c r="A84" s="22" t="s">
        <v>322</v>
      </c>
      <c r="B84" s="405">
        <f t="shared" si="24"/>
        <v>0</v>
      </c>
      <c r="C84" s="273">
        <f>0</f>
        <v>0</v>
      </c>
      <c r="D84" s="34" t="s">
        <v>117</v>
      </c>
      <c r="E84" s="226">
        <f t="shared" si="29"/>
        <v>0</v>
      </c>
      <c r="F84" s="104">
        <f t="shared" si="27"/>
        <v>2.56</v>
      </c>
      <c r="G84" s="110">
        <f t="shared" si="30"/>
        <v>0</v>
      </c>
      <c r="H84" s="109">
        <f t="shared" si="31"/>
        <v>0</v>
      </c>
    </row>
    <row r="85" spans="1:12" x14ac:dyDescent="0.3">
      <c r="A85" s="639" t="s">
        <v>333</v>
      </c>
      <c r="B85" s="405">
        <f t="shared" si="24"/>
        <v>1</v>
      </c>
      <c r="C85" s="156">
        <f>IF(OSI!$F$32&gt;0,OSI!$F$32,Data!$R$589)</f>
        <v>0.34</v>
      </c>
      <c r="D85" s="34" t="s">
        <v>117</v>
      </c>
      <c r="E85" s="226">
        <f t="shared" si="29"/>
        <v>0</v>
      </c>
      <c r="F85" s="104">
        <f t="shared" si="27"/>
        <v>2.56</v>
      </c>
      <c r="G85" s="114">
        <f t="shared" si="30"/>
        <v>0.87040000000000006</v>
      </c>
      <c r="H85" s="109">
        <f t="shared" si="31"/>
        <v>0</v>
      </c>
    </row>
    <row r="86" spans="1:12" x14ac:dyDescent="0.3">
      <c r="A86" s="639" t="s">
        <v>334</v>
      </c>
      <c r="B86" s="405">
        <f t="shared" si="24"/>
        <v>1</v>
      </c>
      <c r="C86" s="156">
        <f>IF(OSI!$F$33&gt;0,OSI!$F$33,Data!$R$594)</f>
        <v>0.61</v>
      </c>
      <c r="D86" s="34" t="s">
        <v>117</v>
      </c>
      <c r="E86" s="226">
        <f t="shared" si="29"/>
        <v>0</v>
      </c>
      <c r="F86" s="104">
        <f t="shared" si="27"/>
        <v>2.56</v>
      </c>
      <c r="G86" s="114">
        <f t="shared" si="30"/>
        <v>1.5616000000000001</v>
      </c>
      <c r="H86" s="109">
        <f t="shared" si="31"/>
        <v>0</v>
      </c>
    </row>
    <row r="87" spans="1:12" x14ac:dyDescent="0.3">
      <c r="A87" s="639" t="s">
        <v>2218</v>
      </c>
      <c r="B87" s="405">
        <f t="shared" si="24"/>
        <v>2</v>
      </c>
      <c r="C87" s="156">
        <f>IF(OSI!$F$34&gt;0,OSI!$F$34,Data!$R$591)</f>
        <v>0.34</v>
      </c>
      <c r="D87" s="34" t="s">
        <v>117</v>
      </c>
      <c r="E87" s="226">
        <f t="shared" ref="E87:E88" si="32">C87*wheat</f>
        <v>0</v>
      </c>
      <c r="F87" s="104">
        <f t="shared" si="27"/>
        <v>2.56</v>
      </c>
      <c r="G87" s="114">
        <f t="shared" ref="G87:G88" si="33">C87*F87</f>
        <v>0.87040000000000006</v>
      </c>
      <c r="H87" s="109">
        <f t="shared" ref="H87:H88" si="34">B87*G87*wheat</f>
        <v>0</v>
      </c>
    </row>
    <row r="88" spans="1:12" x14ac:dyDescent="0.3">
      <c r="A88" s="639" t="s">
        <v>340</v>
      </c>
      <c r="B88" s="405">
        <f t="shared" si="24"/>
        <v>0</v>
      </c>
      <c r="C88" s="156">
        <f>IF(OSI!$F$35&gt;0,OSI!$F$35,Data!$R$606)</f>
        <v>0.46</v>
      </c>
      <c r="D88" s="34" t="s">
        <v>117</v>
      </c>
      <c r="E88" s="226">
        <f t="shared" si="32"/>
        <v>0</v>
      </c>
      <c r="F88" s="104">
        <f t="shared" si="27"/>
        <v>2.56</v>
      </c>
      <c r="G88" s="114">
        <f t="shared" si="33"/>
        <v>1.1776</v>
      </c>
      <c r="H88" s="109">
        <f t="shared" si="34"/>
        <v>0</v>
      </c>
    </row>
    <row r="89" spans="1:12" x14ac:dyDescent="0.3">
      <c r="A89" s="639" t="s">
        <v>1626</v>
      </c>
      <c r="B89" s="405">
        <f t="shared" si="24"/>
        <v>0</v>
      </c>
      <c r="C89" s="156">
        <f>IF(OSI!$F$36&gt;0,OSI!$F$36,Data!$R$584)</f>
        <v>0.13183670241332501</v>
      </c>
      <c r="D89" s="34" t="s">
        <v>117</v>
      </c>
      <c r="E89" s="226">
        <f t="shared" ref="E89" si="35">C89*wheat</f>
        <v>0</v>
      </c>
      <c r="F89" s="104">
        <f t="shared" si="27"/>
        <v>2.56</v>
      </c>
      <c r="G89" s="114">
        <f t="shared" ref="G89" si="36">C89*F89</f>
        <v>0.33750195817811202</v>
      </c>
      <c r="H89" s="109">
        <f t="shared" ref="H89" si="37">B89*G89*wheat</f>
        <v>0</v>
      </c>
    </row>
    <row r="90" spans="1:12" x14ac:dyDescent="0.3">
      <c r="A90" s="22" t="s">
        <v>304</v>
      </c>
      <c r="B90" s="405">
        <f t="shared" si="24"/>
        <v>0</v>
      </c>
      <c r="C90" s="156">
        <f>Data!R599</f>
        <v>0.11981642612033799</v>
      </c>
      <c r="D90" s="34" t="s">
        <v>117</v>
      </c>
      <c r="E90" s="226">
        <f t="shared" si="29"/>
        <v>0</v>
      </c>
      <c r="F90" s="104">
        <f t="shared" si="27"/>
        <v>2.56</v>
      </c>
      <c r="G90" s="114">
        <f t="shared" si="30"/>
        <v>0.30673005086806526</v>
      </c>
      <c r="H90" s="109">
        <f t="shared" si="31"/>
        <v>0</v>
      </c>
    </row>
    <row r="91" spans="1:12" x14ac:dyDescent="0.3">
      <c r="A91" s="639" t="s">
        <v>1628</v>
      </c>
      <c r="B91" s="405">
        <f t="shared" ref="B91" si="38">B39</f>
        <v>0</v>
      </c>
      <c r="C91" s="156">
        <f>IF(OSI!$F$37&gt;0,OSI!$F$37,Data!$R$601)</f>
        <v>0.12</v>
      </c>
      <c r="D91" s="34" t="s">
        <v>117</v>
      </c>
      <c r="E91" s="226">
        <f t="shared" si="29"/>
        <v>0</v>
      </c>
      <c r="F91" s="104">
        <f t="shared" si="27"/>
        <v>2.56</v>
      </c>
      <c r="G91" s="114">
        <f t="shared" si="30"/>
        <v>0.30719999999999997</v>
      </c>
      <c r="H91" s="109">
        <f t="shared" si="31"/>
        <v>0</v>
      </c>
    </row>
    <row r="92" spans="1:12" x14ac:dyDescent="0.3">
      <c r="A92" s="639" t="s">
        <v>1320</v>
      </c>
      <c r="B92" s="405">
        <f t="shared" ref="B92:B106" si="39">B40</f>
        <v>1</v>
      </c>
      <c r="C92" s="156">
        <f>IF(OSI!$F$39&gt;0,OSI!$F$39,Data!$R$614)</f>
        <v>2</v>
      </c>
      <c r="D92" s="34" t="s">
        <v>117</v>
      </c>
      <c r="E92" s="226">
        <f t="shared" si="29"/>
        <v>0</v>
      </c>
      <c r="F92" s="104">
        <f t="shared" si="27"/>
        <v>2.56</v>
      </c>
      <c r="G92" s="114">
        <f t="shared" si="30"/>
        <v>5.12</v>
      </c>
      <c r="H92" s="109">
        <f t="shared" si="31"/>
        <v>0</v>
      </c>
    </row>
    <row r="93" spans="1:12" x14ac:dyDescent="0.3">
      <c r="A93" s="666" t="s">
        <v>1022</v>
      </c>
      <c r="B93" s="405">
        <f t="shared" si="39"/>
        <v>0</v>
      </c>
      <c r="C93" s="47">
        <f>Data!$R$615*Data!$F$213</f>
        <v>0</v>
      </c>
      <c r="D93" s="48" t="s">
        <v>117</v>
      </c>
      <c r="E93" s="647">
        <f>C93*wheat</f>
        <v>0</v>
      </c>
      <c r="F93" s="118">
        <f>diesel_fuel</f>
        <v>2.56</v>
      </c>
      <c r="G93" s="465">
        <f>C93*F93</f>
        <v>0</v>
      </c>
      <c r="H93" s="123">
        <f>B93*G93*wheat</f>
        <v>0</v>
      </c>
    </row>
    <row r="94" spans="1:12" x14ac:dyDescent="0.3">
      <c r="A94" s="639" t="s">
        <v>2085</v>
      </c>
      <c r="B94" s="405">
        <f t="shared" si="39"/>
        <v>1</v>
      </c>
      <c r="C94" s="156">
        <f>IF(OSI!$F$40&gt;0,OSI!$F$40,Data!$R$630)</f>
        <v>0.15019536077863399</v>
      </c>
      <c r="D94" s="34" t="s">
        <v>117</v>
      </c>
      <c r="E94" s="226">
        <f t="shared" si="29"/>
        <v>0</v>
      </c>
      <c r="F94" s="104">
        <f t="shared" si="27"/>
        <v>2.56</v>
      </c>
      <c r="G94" s="114">
        <f t="shared" si="30"/>
        <v>0.38450012359330304</v>
      </c>
      <c r="H94" s="109">
        <f t="shared" si="31"/>
        <v>0</v>
      </c>
    </row>
    <row r="95" spans="1:12" x14ac:dyDescent="0.3">
      <c r="A95" s="666" t="s">
        <v>1022</v>
      </c>
      <c r="B95" s="405">
        <f t="shared" si="39"/>
        <v>1</v>
      </c>
      <c r="C95" s="47">
        <f>Data!$R$631*Data!$F$213</f>
        <v>0</v>
      </c>
      <c r="D95" s="48" t="s">
        <v>117</v>
      </c>
      <c r="E95" s="647">
        <f>C95*wheat</f>
        <v>0</v>
      </c>
      <c r="F95" s="118">
        <f>diesel_fuel</f>
        <v>2.56</v>
      </c>
      <c r="G95" s="465">
        <f>C95*F95</f>
        <v>0</v>
      </c>
      <c r="H95" s="123">
        <f>B95*G95*wheat</f>
        <v>0</v>
      </c>
    </row>
    <row r="96" spans="1:12" x14ac:dyDescent="0.3">
      <c r="A96" s="22" t="s">
        <v>756</v>
      </c>
      <c r="B96" s="405">
        <f t="shared" si="39"/>
        <v>0</v>
      </c>
      <c r="C96" s="156">
        <f>Data!R648</f>
        <v>0.28809523809523802</v>
      </c>
      <c r="D96" s="34" t="s">
        <v>117</v>
      </c>
      <c r="E96" s="226">
        <f t="shared" si="29"/>
        <v>0</v>
      </c>
      <c r="F96" s="167">
        <f t="shared" si="27"/>
        <v>2.56</v>
      </c>
      <c r="G96" s="114">
        <f t="shared" si="30"/>
        <v>0.73752380952380936</v>
      </c>
      <c r="H96" s="109">
        <f>(B96*G96*wheat)*Data!$B$32*Data!$H$32</f>
        <v>0</v>
      </c>
      <c r="K96" s="55"/>
      <c r="L96" s="55"/>
    </row>
    <row r="97" spans="1:21" x14ac:dyDescent="0.3">
      <c r="A97" s="22" t="s">
        <v>757</v>
      </c>
      <c r="B97" s="405">
        <f t="shared" si="39"/>
        <v>0</v>
      </c>
      <c r="C97" s="156">
        <f>Data!R649</f>
        <v>0.34903846153846102</v>
      </c>
      <c r="D97" s="34" t="s">
        <v>117</v>
      </c>
      <c r="E97" s="226">
        <f t="shared" si="29"/>
        <v>0</v>
      </c>
      <c r="F97" s="167">
        <f t="shared" si="27"/>
        <v>2.56</v>
      </c>
      <c r="G97" s="114">
        <f t="shared" si="30"/>
        <v>0.89353846153846028</v>
      </c>
      <c r="H97" s="109">
        <f>(B97*G97*wheat)*Data!$B$32*Data!$C$32*Data!$F$32</f>
        <v>0</v>
      </c>
      <c r="K97" s="55"/>
      <c r="L97" s="55"/>
    </row>
    <row r="98" spans="1:21" x14ac:dyDescent="0.3">
      <c r="A98" s="9" t="s">
        <v>1022</v>
      </c>
      <c r="B98" s="405">
        <f t="shared" si="39"/>
        <v>0</v>
      </c>
      <c r="C98" s="47">
        <f>Data!$R$650*Data!$F$205</f>
        <v>0</v>
      </c>
      <c r="D98" s="48" t="s">
        <v>117</v>
      </c>
      <c r="E98" s="647">
        <f>C98*wheat</f>
        <v>0</v>
      </c>
      <c r="F98" s="118">
        <f>diesel_fuel</f>
        <v>2.56</v>
      </c>
      <c r="G98" s="465">
        <f>C98*F98</f>
        <v>0</v>
      </c>
      <c r="H98" s="123">
        <f>(B98*G98*wheat)*Data!$B$32*Data!$C$32*Data!$F$32</f>
        <v>0</v>
      </c>
      <c r="K98" s="55"/>
      <c r="L98" s="55"/>
    </row>
    <row r="99" spans="1:21" x14ac:dyDescent="0.3">
      <c r="A99" s="22" t="s">
        <v>752</v>
      </c>
      <c r="B99" s="405">
        <f t="shared" si="39"/>
        <v>0</v>
      </c>
      <c r="C99" s="156">
        <f>Data!R651</f>
        <v>0.1</v>
      </c>
      <c r="D99" s="34" t="s">
        <v>117</v>
      </c>
      <c r="E99" s="226">
        <f t="shared" si="29"/>
        <v>0</v>
      </c>
      <c r="F99" s="167">
        <f t="shared" si="27"/>
        <v>2.56</v>
      </c>
      <c r="G99" s="114">
        <f t="shared" si="30"/>
        <v>0.25600000000000001</v>
      </c>
      <c r="H99" s="109">
        <f>(B99*G99*wheat)*Data!$B$32*Data!$C$32*Data!$F$32</f>
        <v>0</v>
      </c>
      <c r="K99" s="55"/>
      <c r="L99" s="55"/>
    </row>
    <row r="100" spans="1:21" x14ac:dyDescent="0.3">
      <c r="A100" s="9" t="s">
        <v>1022</v>
      </c>
      <c r="B100" s="405">
        <f t="shared" si="39"/>
        <v>0</v>
      </c>
      <c r="C100" s="47">
        <f>Data!$R$652*Data!$F$205</f>
        <v>0</v>
      </c>
      <c r="D100" s="48" t="s">
        <v>117</v>
      </c>
      <c r="E100" s="647">
        <f>C100*wheat</f>
        <v>0</v>
      </c>
      <c r="F100" s="118">
        <f>diesel_fuel</f>
        <v>2.56</v>
      </c>
      <c r="G100" s="465">
        <f>C100*F100</f>
        <v>0</v>
      </c>
      <c r="H100" s="123">
        <f>(B100*G100*wheat)*Data!$B$32*Data!$C$32*Data!$F$32</f>
        <v>0</v>
      </c>
      <c r="K100" s="55"/>
      <c r="L100" s="55"/>
    </row>
    <row r="101" spans="1:21" x14ac:dyDescent="0.3">
      <c r="A101" s="22" t="s">
        <v>758</v>
      </c>
      <c r="B101" s="405">
        <f t="shared" si="39"/>
        <v>0</v>
      </c>
      <c r="C101" s="156">
        <f>Data!R653</f>
        <v>0.40333333333333299</v>
      </c>
      <c r="D101" s="34" t="s">
        <v>117</v>
      </c>
      <c r="E101" s="226">
        <f t="shared" si="29"/>
        <v>0</v>
      </c>
      <c r="F101" s="167">
        <f t="shared" si="27"/>
        <v>2.56</v>
      </c>
      <c r="G101" s="114">
        <f t="shared" si="30"/>
        <v>1.0325333333333324</v>
      </c>
      <c r="H101" s="109">
        <f>(B101*G101*wheat)*Data!$B$32*Data!$D$32*Data!$G$32</f>
        <v>0</v>
      </c>
      <c r="K101" s="55"/>
      <c r="L101" s="55"/>
    </row>
    <row r="102" spans="1:21" x14ac:dyDescent="0.3">
      <c r="A102" s="9" t="s">
        <v>1022</v>
      </c>
      <c r="B102" s="405">
        <f t="shared" si="39"/>
        <v>0</v>
      </c>
      <c r="C102" s="47">
        <f>Data!$R$654*Data!$F$205</f>
        <v>0</v>
      </c>
      <c r="D102" s="48" t="s">
        <v>117</v>
      </c>
      <c r="E102" s="647">
        <f>C102*wheat</f>
        <v>0</v>
      </c>
      <c r="F102" s="118">
        <f>diesel_fuel</f>
        <v>2.56</v>
      </c>
      <c r="G102" s="465">
        <f>C102*F102</f>
        <v>0</v>
      </c>
      <c r="H102" s="123">
        <f>(B102*G102*wheat)*Data!$B$32*Data!$D$32*Data!$G$32</f>
        <v>0</v>
      </c>
      <c r="K102" s="55"/>
      <c r="L102" s="55"/>
    </row>
    <row r="103" spans="1:21" x14ac:dyDescent="0.3">
      <c r="A103" s="22" t="s">
        <v>753</v>
      </c>
      <c r="B103" s="405">
        <f t="shared" si="39"/>
        <v>0</v>
      </c>
      <c r="C103" s="165">
        <f>Data!R655</f>
        <v>0</v>
      </c>
      <c r="D103" s="34" t="s">
        <v>117</v>
      </c>
      <c r="E103" s="226">
        <f t="shared" si="29"/>
        <v>0</v>
      </c>
      <c r="F103" s="167">
        <f t="shared" si="27"/>
        <v>2.56</v>
      </c>
      <c r="G103" s="114">
        <f t="shared" si="30"/>
        <v>0</v>
      </c>
      <c r="H103" s="109">
        <f>(B103*G103*wheat)*Data!$B$32*Data!$D$32*Data!$G$32</f>
        <v>0</v>
      </c>
      <c r="K103" s="55"/>
      <c r="L103" s="55"/>
    </row>
    <row r="104" spans="1:21" x14ac:dyDescent="0.3">
      <c r="A104" s="9" t="s">
        <v>1022</v>
      </c>
      <c r="B104" s="405">
        <f t="shared" si="39"/>
        <v>0</v>
      </c>
      <c r="C104" s="83">
        <f>Data!$R$656*Data!$F$205</f>
        <v>0</v>
      </c>
      <c r="D104" s="48" t="s">
        <v>117</v>
      </c>
      <c r="E104" s="647">
        <f>C104*wheat</f>
        <v>0</v>
      </c>
      <c r="F104" s="118">
        <f>diesel_fuel</f>
        <v>2.56</v>
      </c>
      <c r="G104" s="465">
        <f>C104*F104</f>
        <v>0</v>
      </c>
      <c r="H104" s="123">
        <f>(B104*G104*wheat)*Data!$B$32*Data!$D$32*Data!$G$32</f>
        <v>0</v>
      </c>
      <c r="K104" s="55"/>
      <c r="L104" s="55"/>
    </row>
    <row r="105" spans="1:21" x14ac:dyDescent="0.3">
      <c r="A105" s="22" t="s">
        <v>759</v>
      </c>
      <c r="B105" s="405">
        <f t="shared" si="39"/>
        <v>0</v>
      </c>
      <c r="C105" s="156">
        <f>Data!R657</f>
        <v>0.11</v>
      </c>
      <c r="D105" s="34" t="s">
        <v>117</v>
      </c>
      <c r="E105" s="226">
        <f t="shared" si="29"/>
        <v>0</v>
      </c>
      <c r="F105" s="167">
        <f t="shared" si="27"/>
        <v>2.56</v>
      </c>
      <c r="G105" s="114">
        <f t="shared" si="30"/>
        <v>0.28160000000000002</v>
      </c>
      <c r="H105" s="109">
        <f>(B105*G105*wheat)*Data!$B$32*Data!$H$32</f>
        <v>0</v>
      </c>
      <c r="K105" s="55"/>
      <c r="L105" s="55"/>
    </row>
    <row r="106" spans="1:21" x14ac:dyDescent="0.3">
      <c r="A106" s="9" t="s">
        <v>1022</v>
      </c>
      <c r="B106" s="405">
        <f t="shared" si="39"/>
        <v>0</v>
      </c>
      <c r="C106" s="47">
        <f>Data!$R$658*Data!$F$205</f>
        <v>0</v>
      </c>
      <c r="D106" s="48" t="s">
        <v>117</v>
      </c>
      <c r="E106" s="647">
        <f>C106*wheat</f>
        <v>0</v>
      </c>
      <c r="F106" s="118">
        <f>diesel_fuel</f>
        <v>2.56</v>
      </c>
      <c r="G106" s="465">
        <f>C106*F106</f>
        <v>0</v>
      </c>
      <c r="H106" s="123">
        <f>(B106*G106*wheat)*Data!$B$32*Data!$H$32</f>
        <v>0</v>
      </c>
      <c r="K106" s="55"/>
      <c r="L106" s="55"/>
    </row>
    <row r="107" spans="1:21" x14ac:dyDescent="0.3">
      <c r="A107" s="639" t="s">
        <v>1435</v>
      </c>
      <c r="B107" s="832"/>
      <c r="C107" s="47"/>
      <c r="D107" s="48"/>
      <c r="E107" s="647"/>
      <c r="F107" s="118"/>
      <c r="G107" s="465"/>
      <c r="H107" s="123"/>
      <c r="K107" s="55"/>
      <c r="L107" s="55"/>
    </row>
    <row r="108" spans="1:21" x14ac:dyDescent="0.3">
      <c r="A108" s="638" t="s">
        <v>1436</v>
      </c>
      <c r="B108" s="405">
        <f>B56</f>
        <v>1</v>
      </c>
      <c r="C108" s="165">
        <f>IF(OSI!$F$41&gt;0,OSI!$F$41,Data!$R$665)</f>
        <v>0</v>
      </c>
      <c r="D108" s="34" t="s">
        <v>117</v>
      </c>
      <c r="E108" s="226">
        <f t="shared" ref="E108" si="40">C108*wheat</f>
        <v>0</v>
      </c>
      <c r="F108" s="167">
        <f t="shared" si="27"/>
        <v>2.56</v>
      </c>
      <c r="G108" s="114">
        <f t="shared" ref="G108" si="41">C108*F108</f>
        <v>0</v>
      </c>
      <c r="H108" s="109">
        <f>B108*G108*wheat</f>
        <v>0</v>
      </c>
      <c r="K108" s="55"/>
    </row>
    <row r="109" spans="1:21" x14ac:dyDescent="0.3">
      <c r="A109" s="666" t="s">
        <v>1022</v>
      </c>
      <c r="B109" s="405">
        <f>B57</f>
        <v>1</v>
      </c>
      <c r="C109" s="83">
        <f>Data!R666*Data!$F$205</f>
        <v>0</v>
      </c>
      <c r="D109" s="48" t="s">
        <v>117</v>
      </c>
      <c r="E109" s="647">
        <f>C109*wheat</f>
        <v>0</v>
      </c>
      <c r="F109" s="118">
        <f>diesel_fuel</f>
        <v>2.56</v>
      </c>
      <c r="G109" s="465">
        <f>C109*F109</f>
        <v>0</v>
      </c>
      <c r="H109" s="123">
        <f>B109*G109*wheat</f>
        <v>0</v>
      </c>
      <c r="K109" s="55"/>
      <c r="L109" s="4" t="s">
        <v>1077</v>
      </c>
    </row>
    <row r="110" spans="1:21" x14ac:dyDescent="0.3">
      <c r="A110" s="639" t="s">
        <v>1147</v>
      </c>
      <c r="B110" s="60"/>
      <c r="C110" s="60"/>
      <c r="D110" s="34"/>
      <c r="E110" s="226"/>
      <c r="F110" s="104"/>
      <c r="G110" s="104"/>
      <c r="H110" s="109"/>
      <c r="J110" s="588">
        <f>OSI!$E$69</f>
        <v>30000</v>
      </c>
      <c r="K110" s="17" t="s">
        <v>220</v>
      </c>
      <c r="L110" s="17">
        <f>J110/2000</f>
        <v>15</v>
      </c>
      <c r="M110" s="17" t="s">
        <v>26</v>
      </c>
      <c r="N110" s="588">
        <f>OSI!$C$69</f>
        <v>500</v>
      </c>
      <c r="O110" s="17" t="s">
        <v>931</v>
      </c>
      <c r="P110" s="93" t="s">
        <v>944</v>
      </c>
      <c r="Q110" s="93"/>
      <c r="S110" s="588">
        <f>N110*Data!$K$61</f>
        <v>30000</v>
      </c>
      <c r="T110" s="17" t="s">
        <v>220</v>
      </c>
      <c r="U110" s="589">
        <f>S110/J110</f>
        <v>1</v>
      </c>
    </row>
    <row r="111" spans="1:21" x14ac:dyDescent="0.3">
      <c r="A111" s="638" t="s">
        <v>1146</v>
      </c>
      <c r="B111" s="405">
        <f>B59</f>
        <v>1</v>
      </c>
      <c r="C111" s="816">
        <f>IF(OSI!$F$42&gt;0,OSI!$F$42,Data!$R$685)</f>
        <v>0</v>
      </c>
      <c r="D111" s="34" t="s">
        <v>116</v>
      </c>
      <c r="E111" s="226">
        <f>C111*wheat</f>
        <v>0</v>
      </c>
      <c r="F111" s="104">
        <f t="shared" si="27"/>
        <v>2.56</v>
      </c>
      <c r="G111" s="114">
        <f>C111*F111</f>
        <v>0</v>
      </c>
      <c r="H111" s="110">
        <f>B111*G111*wheat*G4</f>
        <v>0</v>
      </c>
      <c r="I111" s="108"/>
      <c r="J111" s="588">
        <f>OSI!$E$70</f>
        <v>180</v>
      </c>
      <c r="K111" s="17" t="s">
        <v>220</v>
      </c>
      <c r="L111" s="17">
        <f>J111/2000</f>
        <v>0.09</v>
      </c>
      <c r="M111" s="17" t="s">
        <v>26</v>
      </c>
      <c r="N111" s="588">
        <f>OSI!$C$70</f>
        <v>3</v>
      </c>
      <c r="O111" s="17" t="s">
        <v>931</v>
      </c>
      <c r="P111" s="93" t="s">
        <v>945</v>
      </c>
      <c r="Q111" s="93"/>
      <c r="S111" s="588">
        <f>N111*Data!$K$61</f>
        <v>180</v>
      </c>
      <c r="T111" s="17" t="s">
        <v>220</v>
      </c>
      <c r="U111" s="589">
        <f>S111/J111</f>
        <v>1</v>
      </c>
    </row>
    <row r="112" spans="1:21" x14ac:dyDescent="0.3">
      <c r="A112" s="666" t="s">
        <v>1022</v>
      </c>
      <c r="B112" s="405">
        <f>B60</f>
        <v>1</v>
      </c>
      <c r="C112" s="83">
        <f>C111*Data!$F$205</f>
        <v>0</v>
      </c>
      <c r="D112" s="48" t="s">
        <v>117</v>
      </c>
      <c r="E112" s="647">
        <f>C112*wheat</f>
        <v>0</v>
      </c>
      <c r="F112" s="118">
        <f>diesel_fuel</f>
        <v>2.56</v>
      </c>
      <c r="G112" s="465">
        <f>C112*F112</f>
        <v>0</v>
      </c>
      <c r="H112" s="123">
        <f>B112*G112*wheat</f>
        <v>0</v>
      </c>
      <c r="I112" s="108">
        <f>SUM(H77:H112)</f>
        <v>0</v>
      </c>
      <c r="J112" s="108"/>
      <c r="K112" s="55"/>
      <c r="L112" s="24"/>
      <c r="M112" s="82"/>
    </row>
    <row r="113" spans="1:21" x14ac:dyDescent="0.3">
      <c r="A113" s="1258" t="s">
        <v>2091</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IF(OSI!$F$77&gt;0,1*$P$125,0)</f>
        <v>1</v>
      </c>
      <c r="C115" s="410">
        <f>IF(wheat&gt;0,($R$115*((Data!$B$204*wheat)/$N$110))/wheat,0)</f>
        <v>0</v>
      </c>
      <c r="D115" s="34" t="s">
        <v>117</v>
      </c>
      <c r="E115" s="46">
        <f t="shared" ref="E115:E120" si="42">C115*wheat</f>
        <v>0</v>
      </c>
      <c r="F115" s="167">
        <f t="shared" ref="F115:F119" si="43">diesel_fuel</f>
        <v>2.56</v>
      </c>
      <c r="G115" s="114">
        <f t="shared" ref="G115:G120" si="44">C115*F115</f>
        <v>0</v>
      </c>
      <c r="H115" s="110">
        <f t="shared" ref="H115:H120" si="45">B115*G115*wheat</f>
        <v>0</v>
      </c>
      <c r="J115" s="55" t="s">
        <v>762</v>
      </c>
      <c r="K115" s="369">
        <f>B115</f>
        <v>1</v>
      </c>
      <c r="L115" s="168">
        <f>IF(wheat&gt;0,(K115*(R115*diesel_fuel)*((Data!$B$204*wheat)/$N$110))/wheat,0)</f>
        <v>0</v>
      </c>
      <c r="M115" s="22" t="s">
        <v>254</v>
      </c>
      <c r="N115" s="168">
        <f>(R115*diesel_fuel)</f>
        <v>3.4133333333333331</v>
      </c>
      <c r="O115" s="22" t="s">
        <v>935</v>
      </c>
      <c r="P115" s="816">
        <f>OSI!$G$69</f>
        <v>20</v>
      </c>
      <c r="Q115" s="816">
        <f>OSI!$G$70</f>
        <v>15</v>
      </c>
      <c r="R115" s="46">
        <f>(P115/Q115)*$U$110</f>
        <v>1.3333333333333333</v>
      </c>
      <c r="S115" s="216" t="s">
        <v>936</v>
      </c>
      <c r="T115" s="216" t="s">
        <v>937</v>
      </c>
    </row>
    <row r="116" spans="1:21" x14ac:dyDescent="0.3">
      <c r="A116" s="666" t="s">
        <v>2025</v>
      </c>
      <c r="B116" s="405">
        <f>IF(Data!$F$205=0,0,1*$P$125)</f>
        <v>0</v>
      </c>
      <c r="C116" s="593">
        <f>C115*Data!$F$205</f>
        <v>0</v>
      </c>
      <c r="D116" s="48" t="s">
        <v>117</v>
      </c>
      <c r="E116" s="47">
        <f t="shared" si="42"/>
        <v>0</v>
      </c>
      <c r="F116" s="118">
        <f>diesel_fuel</f>
        <v>2.56</v>
      </c>
      <c r="G116" s="465">
        <f t="shared" si="44"/>
        <v>0</v>
      </c>
      <c r="H116" s="123">
        <f t="shared" si="45"/>
        <v>0</v>
      </c>
      <c r="J116" s="55" t="s">
        <v>943</v>
      </c>
      <c r="K116" s="369">
        <f>B117</f>
        <v>0</v>
      </c>
      <c r="L116" s="114">
        <f>IF(wheat&gt;0,(K116*(R116*diesel_fuel)*((Data!$E$204*wheat)/$S$116))/wheat,0)</f>
        <v>0</v>
      </c>
      <c r="M116" s="22" t="s">
        <v>254</v>
      </c>
      <c r="N116" s="114">
        <f>R116*diesel_fuel</f>
        <v>3.4133333333333331</v>
      </c>
      <c r="O116" s="22" t="s">
        <v>935</v>
      </c>
      <c r="P116" s="816">
        <f>OSI!$G$69</f>
        <v>20</v>
      </c>
      <c r="Q116" s="816">
        <f>OSI!$G$70</f>
        <v>15</v>
      </c>
      <c r="R116" s="46">
        <f>(P116/Q116)*$U$110</f>
        <v>1.3333333333333333</v>
      </c>
      <c r="S116" s="816">
        <f>OSI!$G$71</f>
        <v>8</v>
      </c>
      <c r="T116" s="90">
        <f>(S116*Data!$E$202)/Data!$H$202</f>
        <v>200</v>
      </c>
    </row>
    <row r="117" spans="1:21" x14ac:dyDescent="0.3">
      <c r="A117" s="638" t="s">
        <v>940</v>
      </c>
      <c r="B117" s="405">
        <f>IF(OSI!$F$81&gt;0,Data!$B$32*Data!$C$32*$P$126,0)</f>
        <v>0</v>
      </c>
      <c r="C117" s="410">
        <f>IF(wheat&gt;0,($R$116*(Wb!$B$17/Wv!$S$116))/wheat,0)</f>
        <v>0</v>
      </c>
      <c r="D117" s="34" t="s">
        <v>117</v>
      </c>
      <c r="E117" s="46">
        <f t="shared" si="42"/>
        <v>0</v>
      </c>
      <c r="F117" s="167">
        <f t="shared" si="43"/>
        <v>2.56</v>
      </c>
      <c r="G117" s="114">
        <f t="shared" si="44"/>
        <v>0</v>
      </c>
      <c r="H117" s="110">
        <f t="shared" si="45"/>
        <v>0</v>
      </c>
      <c r="J117" s="55" t="s">
        <v>948</v>
      </c>
      <c r="K117" s="369">
        <f>B119</f>
        <v>0</v>
      </c>
      <c r="L117" s="114">
        <f>IF(wheat&gt;0,(K117*(R117*diesel_fuel)*((Data!$H$204*wheat)/$T$116))/wheat,0)</f>
        <v>0</v>
      </c>
      <c r="M117" s="22" t="s">
        <v>254</v>
      </c>
      <c r="N117" s="114">
        <f>R117*diesel_fuel</f>
        <v>3.4133333333333331</v>
      </c>
      <c r="O117" s="22" t="s">
        <v>935</v>
      </c>
      <c r="P117" s="816">
        <f>OSI!$G$69</f>
        <v>20</v>
      </c>
      <c r="Q117" s="816">
        <f>OSI!$G$70</f>
        <v>15</v>
      </c>
      <c r="R117" s="46">
        <f>(P117/Q117)*$U$110</f>
        <v>1.3333333333333333</v>
      </c>
    </row>
    <row r="118" spans="1:21" x14ac:dyDescent="0.3">
      <c r="A118" s="666" t="s">
        <v>2025</v>
      </c>
      <c r="B118" s="405">
        <f>IF(Data!$F$206=0,0,1*$P$126)</f>
        <v>0</v>
      </c>
      <c r="C118" s="593">
        <f>C117*Data!$F$206</f>
        <v>0</v>
      </c>
      <c r="D118" s="48" t="s">
        <v>117</v>
      </c>
      <c r="E118" s="47">
        <f t="shared" si="42"/>
        <v>0</v>
      </c>
      <c r="F118" s="118">
        <f>diesel_fuel</f>
        <v>2.56</v>
      </c>
      <c r="G118" s="465">
        <f t="shared" si="44"/>
        <v>0</v>
      </c>
      <c r="H118" s="123">
        <f t="shared" si="45"/>
        <v>0</v>
      </c>
      <c r="Q118" s="216" t="s">
        <v>933</v>
      </c>
      <c r="R118" s="216" t="s">
        <v>933</v>
      </c>
    </row>
    <row r="119" spans="1:21" x14ac:dyDescent="0.3">
      <c r="A119" s="638" t="s">
        <v>941</v>
      </c>
      <c r="B119" s="405">
        <f>IF(OSI!$F$85&gt;0,Data!$B$32*Data!$D$32*$P$127,0)</f>
        <v>0</v>
      </c>
      <c r="C119" s="410">
        <f>IF(wheat&gt;0,($R$117*(Wb!$B$19/Wv!$T$116))/wheat,0)</f>
        <v>0</v>
      </c>
      <c r="D119" s="34" t="s">
        <v>117</v>
      </c>
      <c r="E119" s="46">
        <f t="shared" si="42"/>
        <v>0</v>
      </c>
      <c r="F119" s="167">
        <f t="shared" si="43"/>
        <v>2.56</v>
      </c>
      <c r="G119" s="114">
        <f t="shared" si="44"/>
        <v>0</v>
      </c>
      <c r="H119" s="110">
        <f t="shared" si="45"/>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IF(Data!$F$206=0,0,1*$P$127)</f>
        <v>0</v>
      </c>
      <c r="C120" s="593">
        <f>C119*Data!$F$206</f>
        <v>0</v>
      </c>
      <c r="D120" s="48" t="s">
        <v>117</v>
      </c>
      <c r="E120" s="47">
        <f t="shared" si="42"/>
        <v>0</v>
      </c>
      <c r="F120" s="118">
        <f>diesel_fuel</f>
        <v>2.56</v>
      </c>
      <c r="G120" s="465">
        <f t="shared" si="44"/>
        <v>0</v>
      </c>
      <c r="H120" s="123">
        <f t="shared" si="45"/>
        <v>0</v>
      </c>
      <c r="J120" s="55" t="s">
        <v>762</v>
      </c>
      <c r="K120" s="369">
        <f>B122</f>
        <v>0</v>
      </c>
      <c r="L120" s="168">
        <f>IF(wheat&gt;0,(K120*(R120*diesel_fuel)*((Data!$B$204*wheat)/$N$111))/wheat,0)</f>
        <v>0</v>
      </c>
      <c r="M120" s="22" t="s">
        <v>254</v>
      </c>
      <c r="N120" s="168">
        <f>(R120*diesel_fuel)</f>
        <v>7.3142857142857149</v>
      </c>
      <c r="O120" s="22" t="s">
        <v>935</v>
      </c>
      <c r="P120" s="816">
        <f>OSI!$I$69</f>
        <v>20</v>
      </c>
      <c r="Q120" s="816">
        <f>OSI!$I$70</f>
        <v>7</v>
      </c>
      <c r="R120" s="46">
        <f>(P120/Q120)*$U$111</f>
        <v>2.8571428571428572</v>
      </c>
      <c r="S120" s="216" t="s">
        <v>936</v>
      </c>
      <c r="T120" s="216" t="s">
        <v>937</v>
      </c>
    </row>
    <row r="121" spans="1:21" x14ac:dyDescent="0.3">
      <c r="A121" s="638" t="s">
        <v>942</v>
      </c>
      <c r="B121" s="34"/>
      <c r="C121" s="34"/>
      <c r="D121" s="34"/>
      <c r="E121" s="46"/>
      <c r="F121" s="68"/>
      <c r="G121" s="114"/>
      <c r="H121" s="110"/>
      <c r="J121" s="55" t="s">
        <v>943</v>
      </c>
      <c r="K121" s="369">
        <f>B124</f>
        <v>0</v>
      </c>
      <c r="L121" s="114">
        <f>IF(wheat&gt;0,(K121*(R121*diesel_fuel)*((Data!$E$204*wheat)/$S$121))/wheat,0)</f>
        <v>0</v>
      </c>
      <c r="M121" s="22" t="s">
        <v>254</v>
      </c>
      <c r="N121" s="114">
        <f>R121*diesel_fuel</f>
        <v>7.3142857142857149</v>
      </c>
      <c r="O121" s="22" t="s">
        <v>935</v>
      </c>
      <c r="P121" s="816">
        <f>OSI!$I$69</f>
        <v>20</v>
      </c>
      <c r="Q121" s="816">
        <f>OSI!$I$70</f>
        <v>7</v>
      </c>
      <c r="R121" s="46">
        <f>(P121/Q121)*$U$111</f>
        <v>2.8571428571428572</v>
      </c>
      <c r="S121" s="816">
        <f>OSI!$I$71</f>
        <v>16</v>
      </c>
      <c r="T121" s="90">
        <f>(S121*Data!$E$202)/Data!$H$202</f>
        <v>400</v>
      </c>
    </row>
    <row r="122" spans="1:21" x14ac:dyDescent="0.3">
      <c r="A122" s="638" t="s">
        <v>939</v>
      </c>
      <c r="B122" s="405">
        <f>IF(OSI!$F$78&gt;0,1*$Q$125,0)</f>
        <v>0</v>
      </c>
      <c r="C122" s="410">
        <f>IF(wheat&gt;0,($R$120*((Data!$B$204*wheat)/$N$111))/wheat,0)</f>
        <v>0</v>
      </c>
      <c r="D122" s="34" t="s">
        <v>117</v>
      </c>
      <c r="E122" s="46">
        <f t="shared" ref="E122:E127" si="46">C122*wheat</f>
        <v>0</v>
      </c>
      <c r="F122" s="167">
        <f t="shared" ref="F122:F126" si="47">diesel_fuel</f>
        <v>2.56</v>
      </c>
      <c r="G122" s="114">
        <f t="shared" ref="G122:G127" si="48">C122*F122</f>
        <v>0</v>
      </c>
      <c r="H122" s="110">
        <f t="shared" ref="H122:H127" si="49">B122*G122*wheat</f>
        <v>0</v>
      </c>
      <c r="J122" s="55" t="s">
        <v>948</v>
      </c>
      <c r="K122" s="369">
        <f>B126</f>
        <v>0</v>
      </c>
      <c r="L122" s="114">
        <f>IF(wheat&gt;0,(K122*(R122*diesel_fuel)*((Data!$H$204*wheat)/$T$121))/wheat,0)</f>
        <v>0</v>
      </c>
      <c r="M122" s="22" t="s">
        <v>254</v>
      </c>
      <c r="N122" s="114">
        <f>R122*diesel_fuel</f>
        <v>7.3142857142857149</v>
      </c>
      <c r="O122" s="22" t="s">
        <v>935</v>
      </c>
      <c r="P122" s="816">
        <f>OSI!$I$69</f>
        <v>20</v>
      </c>
      <c r="Q122" s="816">
        <f>OSI!$I$70</f>
        <v>7</v>
      </c>
      <c r="R122" s="46">
        <f>(P122/Q122)*$U$111</f>
        <v>2.8571428571428572</v>
      </c>
    </row>
    <row r="123" spans="1:21" x14ac:dyDescent="0.3">
      <c r="A123" s="666" t="s">
        <v>2025</v>
      </c>
      <c r="B123" s="405">
        <f>IF(Data!$F$205=0,0,1*$Q$125)</f>
        <v>0</v>
      </c>
      <c r="C123" s="593">
        <f>C122*Data!$F$205</f>
        <v>0</v>
      </c>
      <c r="D123" s="48" t="s">
        <v>117</v>
      </c>
      <c r="E123" s="47">
        <f t="shared" si="46"/>
        <v>0</v>
      </c>
      <c r="F123" s="118">
        <f>diesel_fuel</f>
        <v>2.56</v>
      </c>
      <c r="G123" s="465">
        <f t="shared" si="48"/>
        <v>0</v>
      </c>
      <c r="H123" s="123">
        <f t="shared" si="49"/>
        <v>0</v>
      </c>
      <c r="J123" s="55"/>
      <c r="K123" s="114"/>
      <c r="L123" s="114"/>
      <c r="M123" s="22"/>
      <c r="N123" s="114"/>
      <c r="O123" s="22"/>
      <c r="P123" s="22"/>
      <c r="Q123" s="22"/>
      <c r="R123" s="22"/>
      <c r="S123" s="22"/>
      <c r="T123" s="22"/>
      <c r="U123" s="22"/>
    </row>
    <row r="124" spans="1:21" x14ac:dyDescent="0.3">
      <c r="A124" s="638" t="s">
        <v>940</v>
      </c>
      <c r="B124" s="405">
        <f>IF(OSI!$F$82&gt;0,Data!$B$32*Data!$C$32*$Q$126,0)</f>
        <v>0</v>
      </c>
      <c r="C124" s="410">
        <f>IF(wheat&gt;0,($R$121*(Wb!$B$17/Wv!$S$121))/wheat,0)</f>
        <v>0</v>
      </c>
      <c r="D124" s="34" t="s">
        <v>117</v>
      </c>
      <c r="E124" s="46">
        <f t="shared" si="46"/>
        <v>0</v>
      </c>
      <c r="F124" s="167">
        <f t="shared" si="47"/>
        <v>2.56</v>
      </c>
      <c r="G124" s="114">
        <f t="shared" si="48"/>
        <v>0</v>
      </c>
      <c r="H124" s="110">
        <f t="shared" si="49"/>
        <v>0</v>
      </c>
      <c r="M124" s="22"/>
      <c r="N124" s="114"/>
      <c r="O124" s="67" t="s">
        <v>2045</v>
      </c>
      <c r="P124" s="216" t="s">
        <v>932</v>
      </c>
      <c r="Q124" s="216" t="s">
        <v>934</v>
      </c>
      <c r="R124" s="216" t="s">
        <v>76</v>
      </c>
      <c r="S124" s="22"/>
      <c r="T124" s="22"/>
      <c r="U124" s="22"/>
    </row>
    <row r="125" spans="1:21" x14ac:dyDescent="0.3">
      <c r="A125" s="666" t="s">
        <v>2025</v>
      </c>
      <c r="B125" s="405">
        <f>IF(Data!$F$206=0,0,1*$Q$126)</f>
        <v>0</v>
      </c>
      <c r="C125" s="593">
        <f>C124*Data!$F$206</f>
        <v>0</v>
      </c>
      <c r="D125" s="48" t="s">
        <v>117</v>
      </c>
      <c r="E125" s="47">
        <f t="shared" si="46"/>
        <v>0</v>
      </c>
      <c r="F125" s="118">
        <f>diesel_fuel</f>
        <v>2.56</v>
      </c>
      <c r="G125" s="465">
        <f t="shared" si="48"/>
        <v>0</v>
      </c>
      <c r="H125" s="123">
        <f t="shared" si="49"/>
        <v>0</v>
      </c>
      <c r="M125" s="22"/>
      <c r="N125" s="114"/>
      <c r="O125" s="34" t="s">
        <v>762</v>
      </c>
      <c r="P125" s="922">
        <f>OSI!$C$77</f>
        <v>1</v>
      </c>
      <c r="Q125" s="922">
        <f>OSI!$C$78</f>
        <v>0</v>
      </c>
      <c r="R125" s="412">
        <f>SUM(P125:Q125)</f>
        <v>1</v>
      </c>
      <c r="S125" s="22"/>
      <c r="T125" s="22"/>
      <c r="U125" s="22"/>
    </row>
    <row r="126" spans="1:21" x14ac:dyDescent="0.3">
      <c r="A126" s="638" t="s">
        <v>941</v>
      </c>
      <c r="B126" s="405">
        <f>IF(OSI!$F$86&gt;0,Data!$B$32*Data!$D$32*$Q$127,0)</f>
        <v>0</v>
      </c>
      <c r="C126" s="410">
        <f>IF(wheat&gt;0,($R$122*(Wb!$B$19/Wv!$T$121))/wheat,0)</f>
        <v>0</v>
      </c>
      <c r="D126" s="34" t="s">
        <v>117</v>
      </c>
      <c r="E126" s="46">
        <f t="shared" si="46"/>
        <v>0</v>
      </c>
      <c r="F126" s="167">
        <f t="shared" si="47"/>
        <v>2.56</v>
      </c>
      <c r="G126" s="114">
        <f t="shared" si="48"/>
        <v>0</v>
      </c>
      <c r="H126" s="110">
        <f t="shared" si="49"/>
        <v>0</v>
      </c>
      <c r="I126" s="50"/>
      <c r="M126" s="22"/>
      <c r="N126" s="114"/>
      <c r="O126" s="55" t="s">
        <v>943</v>
      </c>
      <c r="P126" s="922">
        <f>OSI!$C$81</f>
        <v>1</v>
      </c>
      <c r="Q126" s="922">
        <f>OSI!$C$82</f>
        <v>0</v>
      </c>
      <c r="R126" s="412">
        <f>SUM(P126:Q126)</f>
        <v>1</v>
      </c>
      <c r="S126" s="22"/>
      <c r="T126" s="22"/>
      <c r="U126" s="22"/>
    </row>
    <row r="127" spans="1:21" x14ac:dyDescent="0.3">
      <c r="A127" s="666" t="s">
        <v>2025</v>
      </c>
      <c r="B127" s="405">
        <f>IF(Data!$F$206=0,0,1*$Q$127)</f>
        <v>0</v>
      </c>
      <c r="C127" s="593">
        <f>C126*Data!$F$206</f>
        <v>0</v>
      </c>
      <c r="D127" s="48" t="s">
        <v>117</v>
      </c>
      <c r="E127" s="47">
        <f t="shared" si="46"/>
        <v>0</v>
      </c>
      <c r="F127" s="118">
        <f>diesel_fuel</f>
        <v>2.56</v>
      </c>
      <c r="G127" s="465">
        <f t="shared" si="48"/>
        <v>0</v>
      </c>
      <c r="H127" s="123">
        <f t="shared" si="49"/>
        <v>0</v>
      </c>
      <c r="I127" s="108">
        <f>SUM(H114:H127)</f>
        <v>0</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46" t="s">
        <v>45</v>
      </c>
      <c r="E128" s="226" t="s">
        <v>45</v>
      </c>
      <c r="F128" s="68" t="s">
        <v>45</v>
      </c>
      <c r="G128" s="114">
        <f>IF(FARM!$C$18=0,0,H128/wheat)</f>
        <v>0</v>
      </c>
      <c r="H128" s="104">
        <f>B128*lube*SUM(H77:H127)</f>
        <v>0</v>
      </c>
      <c r="I128" s="108">
        <f>SUM(H128:H128)</f>
        <v>0</v>
      </c>
      <c r="K128" s="55"/>
      <c r="L128" s="81"/>
      <c r="M128" s="81"/>
    </row>
    <row r="129" spans="1:13" x14ac:dyDescent="0.3">
      <c r="A129" s="3" t="s">
        <v>491</v>
      </c>
      <c r="B129" s="644">
        <v>1</v>
      </c>
      <c r="C129" s="46" t="s">
        <v>45</v>
      </c>
      <c r="D129" s="46" t="s">
        <v>45</v>
      </c>
      <c r="E129" s="226" t="s">
        <v>45</v>
      </c>
      <c r="F129" s="68" t="s">
        <v>45</v>
      </c>
      <c r="G129" s="114">
        <f>IF(FARM!$C$18=0,0,H129/wheat)</f>
        <v>0</v>
      </c>
      <c r="H129" s="109">
        <f>B129*Wf!J121*Data!D15</f>
        <v>0</v>
      </c>
      <c r="L129" s="27"/>
      <c r="M129" s="27"/>
    </row>
    <row r="130" spans="1:13" x14ac:dyDescent="0.3">
      <c r="A130" s="3"/>
      <c r="B130" s="397">
        <v>0</v>
      </c>
      <c r="C130" s="46" t="s">
        <v>45</v>
      </c>
      <c r="D130" s="46" t="s">
        <v>45</v>
      </c>
      <c r="E130" s="226" t="s">
        <v>45</v>
      </c>
      <c r="F130" s="68" t="s">
        <v>45</v>
      </c>
      <c r="G130" s="272">
        <f>0</f>
        <v>0</v>
      </c>
      <c r="H130" s="109">
        <f>B130*G130*wheat</f>
        <v>0</v>
      </c>
      <c r="I130" s="108">
        <f>SUM(H129:H130)</f>
        <v>0</v>
      </c>
      <c r="L130" s="81"/>
      <c r="M130" s="81"/>
    </row>
    <row r="131" spans="1:13" x14ac:dyDescent="0.3">
      <c r="A131" s="3" t="s">
        <v>170</v>
      </c>
      <c r="B131" s="405">
        <f>IF(OSI!$F$52=0,0,1)</f>
        <v>0</v>
      </c>
      <c r="C131" s="46" t="s">
        <v>45</v>
      </c>
      <c r="D131" s="46" t="s">
        <v>45</v>
      </c>
      <c r="E131" s="226" t="s">
        <v>45</v>
      </c>
      <c r="F131" s="68" t="s">
        <v>45</v>
      </c>
      <c r="G131" s="114">
        <f>IF(FARM!$C$18=0,0,OSI!$F$52/wheat)</f>
        <v>0</v>
      </c>
      <c r="H131" s="109">
        <f>B131*G131*wheat</f>
        <v>0</v>
      </c>
      <c r="I131" s="108">
        <f>SUM(H131:H131)</f>
        <v>0</v>
      </c>
      <c r="K131" s="55"/>
      <c r="L131" s="81"/>
      <c r="M131" s="81"/>
    </row>
    <row r="132" spans="1:13" x14ac:dyDescent="0.3">
      <c r="A132" s="3" t="s">
        <v>75</v>
      </c>
      <c r="B132" s="405">
        <f>IF(OSI!$F$53=0,0,1)</f>
        <v>1</v>
      </c>
      <c r="C132" s="46" t="s">
        <v>45</v>
      </c>
      <c r="D132" s="46" t="s">
        <v>45</v>
      </c>
      <c r="E132" s="226" t="s">
        <v>45</v>
      </c>
      <c r="F132" s="114">
        <f>G132</f>
        <v>0</v>
      </c>
      <c r="G132" s="114">
        <f>IF(FARM!$C$18=0,0,OSI!$F$53/wheat)</f>
        <v>0</v>
      </c>
      <c r="H132" s="109">
        <f>B132*G132*wheat</f>
        <v>0</v>
      </c>
      <c r="K132" s="55"/>
    </row>
    <row r="133" spans="1:13" x14ac:dyDescent="0.3">
      <c r="A133" s="3"/>
      <c r="B133" s="397">
        <v>0</v>
      </c>
      <c r="C133" s="46" t="s">
        <v>45</v>
      </c>
      <c r="D133" s="34" t="s">
        <v>45</v>
      </c>
      <c r="E133" s="34" t="s">
        <v>45</v>
      </c>
      <c r="F133" s="55" t="s">
        <v>45</v>
      </c>
      <c r="G133" s="272">
        <f>0</f>
        <v>0</v>
      </c>
      <c r="H133" s="109">
        <f>B133*G133*wheat</f>
        <v>0</v>
      </c>
      <c r="I133" s="108">
        <f>SUM(H132:H133)</f>
        <v>0</v>
      </c>
      <c r="L133" s="24"/>
      <c r="M133" s="24"/>
    </row>
    <row r="134" spans="1:13" x14ac:dyDescent="0.3">
      <c r="A134" s="69" t="s">
        <v>173</v>
      </c>
      <c r="B134" s="69"/>
      <c r="C134" s="46"/>
      <c r="D134" s="34"/>
      <c r="E134" s="226"/>
      <c r="F134" s="114"/>
      <c r="G134" s="114"/>
      <c r="H134" s="109"/>
    </row>
    <row r="135" spans="1:13" x14ac:dyDescent="0.3">
      <c r="A135" s="856" t="s">
        <v>1504</v>
      </c>
      <c r="B135" s="405">
        <f>IF(Data!$F$75=0,0,1)</f>
        <v>1</v>
      </c>
      <c r="C135" s="46" t="s">
        <v>45</v>
      </c>
      <c r="D135" s="46" t="s">
        <v>45</v>
      </c>
      <c r="E135" s="226" t="s">
        <v>45</v>
      </c>
      <c r="F135" s="68" t="s">
        <v>45</v>
      </c>
      <c r="G135" s="676">
        <f>Data!$F$75</f>
        <v>1.5</v>
      </c>
      <c r="H135" s="110">
        <f>B135*G135*wheat</f>
        <v>0</v>
      </c>
      <c r="I135" s="108">
        <f>SUM(H135:H135)</f>
        <v>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10">
        <f>B137*G137*wheat</f>
        <v>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10">
        <f>B138*G138*wheat</f>
        <v>0</v>
      </c>
      <c r="I138" s="108">
        <f>SUM(H136:H138)</f>
        <v>0</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10">
        <f>B140*G140*wheat</f>
        <v>0</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10">
        <f>B141*G141*wheat</f>
        <v>0</v>
      </c>
      <c r="I141" s="108">
        <f>SUM(H139:H141)</f>
        <v>0</v>
      </c>
    </row>
    <row r="142" spans="1:13" x14ac:dyDescent="0.3">
      <c r="A142" s="856" t="s">
        <v>1503</v>
      </c>
      <c r="B142" s="677">
        <f>limeapp</f>
        <v>0.2</v>
      </c>
      <c r="C142" s="46" t="s">
        <v>45</v>
      </c>
      <c r="D142" s="46" t="s">
        <v>45</v>
      </c>
      <c r="E142" s="226" t="s">
        <v>45</v>
      </c>
      <c r="F142" s="110">
        <f>Data!$E$97</f>
        <v>75</v>
      </c>
      <c r="G142" s="114">
        <f>B142*F142</f>
        <v>15</v>
      </c>
      <c r="H142" s="110">
        <f>G142*wheat</f>
        <v>0</v>
      </c>
      <c r="I142" s="108">
        <f>SUM(H142:H142)</f>
        <v>0</v>
      </c>
    </row>
    <row r="143" spans="1:13" x14ac:dyDescent="0.3">
      <c r="A143" s="70" t="s">
        <v>177</v>
      </c>
      <c r="B143" s="70"/>
      <c r="G143" s="114"/>
      <c r="H143" s="110"/>
    </row>
    <row r="144" spans="1:13" x14ac:dyDescent="0.3">
      <c r="A144" s="22" t="s">
        <v>174</v>
      </c>
      <c r="B144" s="816">
        <f>IF(Data!$E$57&gt;0,1,0)</f>
        <v>1</v>
      </c>
      <c r="C144" s="34" t="s">
        <v>45</v>
      </c>
      <c r="D144" s="34" t="s">
        <v>81</v>
      </c>
      <c r="E144" s="226" t="s">
        <v>45</v>
      </c>
      <c r="F144" s="110">
        <f>Data!D61</f>
        <v>50</v>
      </c>
      <c r="G144" s="110">
        <f>IF(wheat&gt;0,H144/wheat,0)</f>
        <v>0</v>
      </c>
      <c r="H144" s="110">
        <f>B144*F144*wheat*Data!E57*Data!D15</f>
        <v>0</v>
      </c>
    </row>
    <row r="145" spans="1:18" x14ac:dyDescent="0.3">
      <c r="A145" s="22" t="s">
        <v>224</v>
      </c>
      <c r="B145" s="1305">
        <f>IF(Data!$F$65&gt;0,1,0)</f>
        <v>0</v>
      </c>
      <c r="C145" s="34" t="s">
        <v>45</v>
      </c>
      <c r="D145" s="34" t="s">
        <v>225</v>
      </c>
      <c r="E145" s="226" t="s">
        <v>45</v>
      </c>
      <c r="F145" s="55" t="s">
        <v>45</v>
      </c>
      <c r="G145" s="1306">
        <f>Data!$F$65</f>
        <v>0</v>
      </c>
      <c r="H145" s="110">
        <f>B145*G145*wheat</f>
        <v>0</v>
      </c>
      <c r="I145" s="108">
        <f>SUM(H143:H145)</f>
        <v>0</v>
      </c>
    </row>
    <row r="146" spans="1:18" x14ac:dyDescent="0.3">
      <c r="A146" s="665" t="s">
        <v>179</v>
      </c>
      <c r="I146" s="50"/>
      <c r="J146" s="27"/>
      <c r="K146" s="1293" t="s">
        <v>2104</v>
      </c>
      <c r="L146" s="1293" t="s">
        <v>236</v>
      </c>
      <c r="M146" s="1293" t="s">
        <v>393</v>
      </c>
      <c r="N146" s="114"/>
      <c r="O146" s="55"/>
      <c r="P146" s="55"/>
      <c r="Q146" s="55"/>
      <c r="R146" s="412"/>
    </row>
    <row r="147" spans="1:18" x14ac:dyDescent="0.3">
      <c r="A147" s="639" t="s">
        <v>957</v>
      </c>
      <c r="B147" s="405">
        <f>IF(OS!$L$21="Dry",1,0)</f>
        <v>1</v>
      </c>
      <c r="C147" s="34" t="s">
        <v>45</v>
      </c>
      <c r="D147" s="75" t="s">
        <v>45</v>
      </c>
      <c r="E147" s="226" t="s">
        <v>45</v>
      </c>
      <c r="F147" s="55" t="s">
        <v>45</v>
      </c>
      <c r="G147" s="367">
        <f>Data!$I$72*Data!B205</f>
        <v>18.197322235704885</v>
      </c>
      <c r="H147" s="110">
        <f>B147*G147*wheat</f>
        <v>0</v>
      </c>
      <c r="I147" s="50"/>
      <c r="K147" s="114">
        <f>Data!$I$72</f>
        <v>0.53521535987367308</v>
      </c>
      <c r="L147" s="24">
        <f>Data!B205</f>
        <v>34</v>
      </c>
      <c r="M147" s="98">
        <f>K147*L147</f>
        <v>18.197322235704885</v>
      </c>
      <c r="N147" s="216"/>
      <c r="O147" s="216"/>
    </row>
    <row r="148" spans="1:18" x14ac:dyDescent="0.3">
      <c r="A148" s="666" t="s">
        <v>1022</v>
      </c>
      <c r="B148" s="405">
        <f>B147</f>
        <v>1</v>
      </c>
      <c r="C148" s="47" t="s">
        <v>45</v>
      </c>
      <c r="D148" s="47" t="s">
        <v>45</v>
      </c>
      <c r="E148" s="647" t="s">
        <v>45</v>
      </c>
      <c r="F148" s="590" t="s">
        <v>45</v>
      </c>
      <c r="G148" s="465">
        <f>Data!$I$72*(Data!B204-Data!B205)</f>
        <v>-18.197322235704885</v>
      </c>
      <c r="H148" s="123">
        <f>B148*G148*wheat</f>
        <v>0</v>
      </c>
      <c r="I148" s="108">
        <f>SUM(H146:H148)</f>
        <v>0</v>
      </c>
    </row>
    <row r="149" spans="1:18" x14ac:dyDescent="0.3">
      <c r="A149" s="22" t="s">
        <v>952</v>
      </c>
      <c r="B149" s="110"/>
      <c r="C149" s="110"/>
      <c r="D149" s="110"/>
      <c r="E149" s="598"/>
      <c r="F149" s="110"/>
      <c r="G149" s="110"/>
      <c r="H149" s="110"/>
      <c r="K149" s="415" t="s">
        <v>1075</v>
      </c>
      <c r="L149" s="114"/>
    </row>
    <row r="150" spans="1:18" x14ac:dyDescent="0.3">
      <c r="A150" s="411" t="s">
        <v>953</v>
      </c>
      <c r="B150" s="405">
        <f>IF(Wf!$B$76=1,1,0)</f>
        <v>0</v>
      </c>
      <c r="C150" s="46" t="s">
        <v>45</v>
      </c>
      <c r="D150" s="34" t="s">
        <v>956</v>
      </c>
      <c r="E150" s="226" t="s">
        <v>45</v>
      </c>
      <c r="F150" s="1290">
        <f>Straw!$G$33</f>
        <v>5.42372881355932</v>
      </c>
      <c r="G150" s="414">
        <f>B150*F150*Data!$E$204</f>
        <v>0</v>
      </c>
      <c r="H150" s="110">
        <f>B150*G150*wheat*Data!$C$32*K150*Data!B32</f>
        <v>0</v>
      </c>
      <c r="J150" s="55" t="s">
        <v>1076</v>
      </c>
      <c r="K150" s="1291">
        <f>Straw!$G$31</f>
        <v>0</v>
      </c>
      <c r="L150" s="114"/>
    </row>
    <row r="151" spans="1:18" x14ac:dyDescent="0.3">
      <c r="A151" s="9" t="s">
        <v>1022</v>
      </c>
      <c r="B151" s="405">
        <f>B150</f>
        <v>0</v>
      </c>
      <c r="C151" s="47" t="s">
        <v>45</v>
      </c>
      <c r="D151" s="47" t="s">
        <v>45</v>
      </c>
      <c r="E151" s="647" t="s">
        <v>45</v>
      </c>
      <c r="F151" s="465">
        <f>F150</f>
        <v>5.42372881355932</v>
      </c>
      <c r="G151" s="465">
        <f>B151*F151*Data!$E$204*Data!$F$205</f>
        <v>0</v>
      </c>
      <c r="H151" s="123">
        <f>B151*G151*wheat*Data!$C$32*$K$150*Data!B32</f>
        <v>0</v>
      </c>
      <c r="J151" s="55" t="s">
        <v>1040</v>
      </c>
      <c r="K151" s="1292">
        <f>Straw!$G$32</f>
        <v>1</v>
      </c>
      <c r="L151" s="114"/>
    </row>
    <row r="152" spans="1:18" x14ac:dyDescent="0.3">
      <c r="A152" s="411" t="s">
        <v>954</v>
      </c>
      <c r="B152" s="405">
        <f>IF(Wf!$B$76=1,1,0)</f>
        <v>0</v>
      </c>
      <c r="C152" s="46" t="s">
        <v>45</v>
      </c>
      <c r="D152" s="34" t="s">
        <v>956</v>
      </c>
      <c r="E152" s="226" t="s">
        <v>45</v>
      </c>
      <c r="F152" s="1290">
        <f>Straw!$G$34</f>
        <v>0.86</v>
      </c>
      <c r="G152" s="414">
        <f>B152*F152*Data!$E$204</f>
        <v>0</v>
      </c>
      <c r="H152" s="110">
        <f>B152*G152*wheat*Data!$C$32*K151*Data!B32</f>
        <v>0</v>
      </c>
      <c r="K152" s="587">
        <f>SUM(K150:K151)</f>
        <v>1</v>
      </c>
      <c r="L152" s="114"/>
    </row>
    <row r="153" spans="1:18" x14ac:dyDescent="0.3">
      <c r="A153" s="9" t="s">
        <v>1022</v>
      </c>
      <c r="B153" s="405">
        <f>B152</f>
        <v>0</v>
      </c>
      <c r="C153" s="47" t="s">
        <v>45</v>
      </c>
      <c r="D153" s="47" t="s">
        <v>45</v>
      </c>
      <c r="E153" s="647" t="s">
        <v>45</v>
      </c>
      <c r="F153" s="465">
        <f>F152</f>
        <v>0.86</v>
      </c>
      <c r="G153" s="465">
        <f>B153*F153*Data!$E$204*Data!$F$205</f>
        <v>0</v>
      </c>
      <c r="H153" s="123">
        <f>B153*G153*wheat*Data!$C$32*$K$151*Data!B32</f>
        <v>0</v>
      </c>
    </row>
    <row r="154" spans="1:18" x14ac:dyDescent="0.3">
      <c r="A154" s="411" t="s">
        <v>955</v>
      </c>
      <c r="B154" s="405">
        <f>IF(Wf!$B$77=1,1,0)</f>
        <v>0</v>
      </c>
      <c r="C154" s="46" t="s">
        <v>45</v>
      </c>
      <c r="D154" s="34" t="s">
        <v>956</v>
      </c>
      <c r="E154" s="226" t="s">
        <v>45</v>
      </c>
      <c r="F154" s="1290">
        <f>Straw!$G$35</f>
        <v>7.0000000000000007E-2</v>
      </c>
      <c r="G154" s="414">
        <f>B154*F154*Data!$H$204</f>
        <v>0</v>
      </c>
      <c r="H154" s="110">
        <f>B154*G154*wheat*Data!$C$32*Data!B32</f>
        <v>0</v>
      </c>
    </row>
    <row r="155" spans="1:18" x14ac:dyDescent="0.3">
      <c r="A155" s="9" t="s">
        <v>1022</v>
      </c>
      <c r="B155" s="405">
        <f>B154</f>
        <v>0</v>
      </c>
      <c r="C155" s="47" t="s">
        <v>45</v>
      </c>
      <c r="D155" s="47" t="s">
        <v>45</v>
      </c>
      <c r="E155" s="647" t="s">
        <v>45</v>
      </c>
      <c r="F155" s="465">
        <f>F154</f>
        <v>7.0000000000000007E-2</v>
      </c>
      <c r="G155" s="465">
        <f>B155*F155*Data!$H$204*Data!$F$205</f>
        <v>0</v>
      </c>
      <c r="H155" s="123">
        <f>B155*G155*wheat*Data!$D$32*Data!B32</f>
        <v>0</v>
      </c>
      <c r="I155" s="108">
        <f>SUM(H147:H155)</f>
        <v>0</v>
      </c>
    </row>
    <row r="156" spans="1:18" x14ac:dyDescent="0.3">
      <c r="A156" s="665" t="s">
        <v>2075</v>
      </c>
      <c r="E156" s="17"/>
    </row>
    <row r="157" spans="1:18" x14ac:dyDescent="0.3">
      <c r="A157" s="639" t="s">
        <v>2026</v>
      </c>
      <c r="B157" s="405">
        <f>IF(OSI!$F$92&gt;0,OSI!$F$92,0)</f>
        <v>0</v>
      </c>
      <c r="C157" s="643">
        <v>1</v>
      </c>
      <c r="D157" s="34" t="s">
        <v>1517</v>
      </c>
      <c r="E157" s="34">
        <f>B157*C157</f>
        <v>0</v>
      </c>
      <c r="F157" s="676">
        <f>OSI!$F$92</f>
        <v>0</v>
      </c>
      <c r="G157" s="114">
        <f>(C157*F157)/crops</f>
        <v>0</v>
      </c>
      <c r="H157" s="110">
        <f>B157*G157*wheat</f>
        <v>0</v>
      </c>
    </row>
    <row r="158" spans="1:18" x14ac:dyDescent="0.3">
      <c r="A158" s="639" t="s">
        <v>2027</v>
      </c>
      <c r="B158" s="405">
        <f>IF(OSI!$F$94&gt;0,OSI!$F$94,0)</f>
        <v>0</v>
      </c>
      <c r="C158" s="405">
        <f>OSI!$F$94</f>
        <v>0</v>
      </c>
      <c r="D158" s="34" t="s">
        <v>2028</v>
      </c>
      <c r="E158" s="34">
        <f>B158*C158</f>
        <v>0</v>
      </c>
      <c r="F158" s="367">
        <f>OSI!$F$95</f>
        <v>0</v>
      </c>
      <c r="G158" s="114">
        <f>(C158*F158)/crops</f>
        <v>0</v>
      </c>
      <c r="H158" s="110">
        <f>B158*G158*wheat</f>
        <v>0</v>
      </c>
      <c r="I158" s="108">
        <f>SUM(H156:H158)</f>
        <v>0</v>
      </c>
    </row>
    <row r="159" spans="1:18" x14ac:dyDescent="0.3">
      <c r="A159" s="856" t="s">
        <v>1518</v>
      </c>
      <c r="B159" s="644"/>
      <c r="C159" s="47"/>
      <c r="D159" s="48"/>
      <c r="E159" s="48"/>
      <c r="F159" s="118"/>
      <c r="G159" s="465"/>
      <c r="H159" s="124"/>
      <c r="I159" s="110"/>
    </row>
    <row r="160" spans="1:18" x14ac:dyDescent="0.3">
      <c r="A160" s="638" t="s">
        <v>1519</v>
      </c>
      <c r="B160" s="816">
        <f>IF(Data!$P$108&gt;0,1,0)</f>
        <v>1</v>
      </c>
      <c r="C160" s="862">
        <f>Data!$Q$108</f>
        <v>0.1</v>
      </c>
      <c r="D160" s="34" t="s">
        <v>128</v>
      </c>
      <c r="E160" s="228">
        <f>C160*wheat</f>
        <v>0</v>
      </c>
      <c r="F160" s="167">
        <f t="shared" ref="F160:F163" si="50">_wage_</f>
        <v>12.29</v>
      </c>
      <c r="G160" s="114">
        <f t="shared" ref="G160:G165" si="51">C160*F160</f>
        <v>1.2290000000000001</v>
      </c>
      <c r="H160" s="110">
        <f>B160*G160*wheat</f>
        <v>0</v>
      </c>
      <c r="I160" s="110"/>
    </row>
    <row r="161" spans="1:9" x14ac:dyDescent="0.3">
      <c r="A161" s="638" t="s">
        <v>1520</v>
      </c>
      <c r="B161" s="816">
        <f>IF(Data!$P$109&gt;0,1,0)</f>
        <v>1</v>
      </c>
      <c r="C161" s="862">
        <f>Data!$Q$109</f>
        <v>0.02</v>
      </c>
      <c r="D161" s="34" t="s">
        <v>128</v>
      </c>
      <c r="E161" s="228">
        <f>C161*wheat</f>
        <v>0</v>
      </c>
      <c r="F161" s="167">
        <f t="shared" si="50"/>
        <v>12.29</v>
      </c>
      <c r="G161" s="114">
        <f t="shared" si="51"/>
        <v>0.24579999999999999</v>
      </c>
      <c r="H161" s="110">
        <f>B161*G161*wheat</f>
        <v>0</v>
      </c>
      <c r="I161" s="110"/>
    </row>
    <row r="162" spans="1:9" x14ac:dyDescent="0.3">
      <c r="A162" s="638" t="s">
        <v>1521</v>
      </c>
      <c r="B162" s="816">
        <f>IF(Data!$P$110&gt;0,1,0)</f>
        <v>1</v>
      </c>
      <c r="C162" s="862">
        <f>Data!$Q$110</f>
        <v>0.45500000000000002</v>
      </c>
      <c r="D162" s="34" t="s">
        <v>128</v>
      </c>
      <c r="E162" s="228">
        <f>C162*wheat</f>
        <v>0</v>
      </c>
      <c r="F162" s="167">
        <f t="shared" si="50"/>
        <v>12.29</v>
      </c>
      <c r="G162" s="114">
        <f t="shared" si="51"/>
        <v>5.5919499999999998</v>
      </c>
      <c r="H162" s="110">
        <f>B162*G162*wheat</f>
        <v>0</v>
      </c>
      <c r="I162" s="110"/>
    </row>
    <row r="163" spans="1:9" x14ac:dyDescent="0.3">
      <c r="A163" s="638" t="s">
        <v>1522</v>
      </c>
      <c r="B163" s="816">
        <f>IF(Data!$P$111&gt;0,1,0)</f>
        <v>1</v>
      </c>
      <c r="C163" s="862">
        <f>Data!$Q$111</f>
        <v>0.32500000000000001</v>
      </c>
      <c r="D163" s="34" t="s">
        <v>128</v>
      </c>
      <c r="E163" s="228">
        <f>C163*wheat</f>
        <v>0</v>
      </c>
      <c r="F163" s="167">
        <f t="shared" si="50"/>
        <v>12.29</v>
      </c>
      <c r="G163" s="114">
        <f t="shared" si="51"/>
        <v>3.9942500000000001</v>
      </c>
      <c r="H163" s="110">
        <f>B163*G163*wheat</f>
        <v>0</v>
      </c>
      <c r="I163" s="110">
        <f>SUM(H159:H163)</f>
        <v>0</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C165*wheat</f>
        <v>0</v>
      </c>
      <c r="F165" s="167">
        <f>Data!$S$271</f>
        <v>45</v>
      </c>
      <c r="G165" s="110">
        <f t="shared" si="51"/>
        <v>0</v>
      </c>
      <c r="H165" s="110">
        <f t="shared" ref="H165:H171" si="52">B165*G165*wheat</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52"/>
        <v>0</v>
      </c>
      <c r="I166" s="110"/>
    </row>
    <row r="167" spans="1:9" x14ac:dyDescent="0.3">
      <c r="A167" s="856" t="s">
        <v>1513</v>
      </c>
      <c r="B167" s="816">
        <f>Data!$G$114</f>
        <v>1</v>
      </c>
      <c r="C167" s="46" t="s">
        <v>45</v>
      </c>
      <c r="D167" s="46" t="s">
        <v>1517</v>
      </c>
      <c r="E167" s="46" t="s">
        <v>45</v>
      </c>
      <c r="F167" s="676">
        <f>Data!$I$114</f>
        <v>500</v>
      </c>
      <c r="G167" s="114">
        <f>F167/crops</f>
        <v>1.25</v>
      </c>
      <c r="H167" s="110">
        <f t="shared" si="52"/>
        <v>0</v>
      </c>
      <c r="I167" s="110"/>
    </row>
    <row r="168" spans="1:9" x14ac:dyDescent="0.3">
      <c r="A168" s="856" t="s">
        <v>1514</v>
      </c>
      <c r="B168" s="816">
        <f>Data!$G$115</f>
        <v>1</v>
      </c>
      <c r="C168" s="46" t="s">
        <v>45</v>
      </c>
      <c r="D168" s="46" t="s">
        <v>1517</v>
      </c>
      <c r="E168" s="46" t="s">
        <v>45</v>
      </c>
      <c r="F168" s="676">
        <f>Data!$I$115</f>
        <v>250</v>
      </c>
      <c r="G168" s="114">
        <f>F168/crops</f>
        <v>0.625</v>
      </c>
      <c r="H168" s="110">
        <f t="shared" si="52"/>
        <v>0</v>
      </c>
      <c r="I168" s="110">
        <f>SUM(H166:H168)</f>
        <v>0</v>
      </c>
    </row>
    <row r="169" spans="1:9" x14ac:dyDescent="0.3">
      <c r="A169" s="70" t="s">
        <v>180</v>
      </c>
      <c r="B169" s="405">
        <f>IF(othexp&gt;0,1,0)</f>
        <v>0</v>
      </c>
      <c r="C169" s="34" t="s">
        <v>45</v>
      </c>
      <c r="D169" s="34" t="s">
        <v>45</v>
      </c>
      <c r="E169" s="226" t="s">
        <v>45</v>
      </c>
      <c r="F169" s="68" t="s">
        <v>45</v>
      </c>
      <c r="G169" s="114">
        <f>othexp</f>
        <v>0</v>
      </c>
      <c r="H169" s="110">
        <f t="shared" si="52"/>
        <v>0</v>
      </c>
    </row>
    <row r="170" spans="1:9" x14ac:dyDescent="0.3">
      <c r="A170" s="22" t="s">
        <v>181</v>
      </c>
      <c r="B170" s="397">
        <v>0</v>
      </c>
      <c r="C170" s="34" t="s">
        <v>45</v>
      </c>
      <c r="D170" s="34" t="s">
        <v>45</v>
      </c>
      <c r="E170" s="226" t="s">
        <v>45</v>
      </c>
      <c r="F170" s="68" t="s">
        <v>45</v>
      </c>
      <c r="G170" s="272">
        <f>0</f>
        <v>0</v>
      </c>
      <c r="H170" s="110">
        <f t="shared" si="52"/>
        <v>0</v>
      </c>
      <c r="I170" s="108">
        <f>SUM(H169:H170)</f>
        <v>0</v>
      </c>
    </row>
    <row r="171" spans="1:9" x14ac:dyDescent="0.3">
      <c r="A171" s="3" t="s">
        <v>226</v>
      </c>
      <c r="B171" s="397">
        <v>0</v>
      </c>
      <c r="C171" s="34" t="s">
        <v>45</v>
      </c>
      <c r="D171" s="34" t="s">
        <v>45</v>
      </c>
      <c r="E171" s="226" t="s">
        <v>45</v>
      </c>
      <c r="F171" s="68" t="s">
        <v>45</v>
      </c>
      <c r="G171" s="272">
        <v>0</v>
      </c>
      <c r="H171" s="110">
        <f t="shared" si="52"/>
        <v>0</v>
      </c>
    </row>
    <row r="172" spans="1:9" x14ac:dyDescent="0.3">
      <c r="A172" s="3" t="s">
        <v>73</v>
      </c>
      <c r="B172" s="3"/>
      <c r="F172" s="114"/>
      <c r="G172" s="119">
        <f>SUM(G8:G171)</f>
        <v>428.59889841175084</v>
      </c>
      <c r="H172" s="111">
        <f>SUM(H8:H171)</f>
        <v>0</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6">
        <f>_int_oper_</f>
        <v>4.7341710603787002E-2</v>
      </c>
      <c r="D175" s="34">
        <f>Data!$B$48</f>
        <v>7</v>
      </c>
      <c r="E175" s="226"/>
      <c r="F175" s="114"/>
      <c r="G175" s="104">
        <f>IF(wheat&gt;0,H175/wheat,0)</f>
        <v>0</v>
      </c>
      <c r="H175" s="109">
        <f>C175*(D175/12)*(H172)</f>
        <v>0</v>
      </c>
    </row>
    <row r="176" spans="1:9" x14ac:dyDescent="0.3">
      <c r="F176" s="114"/>
      <c r="G176" s="103"/>
      <c r="H176" s="127"/>
    </row>
    <row r="177" spans="1:8" ht="14" thickBot="1" x14ac:dyDescent="0.4">
      <c r="A177" s="1" t="s">
        <v>74</v>
      </c>
      <c r="B177" s="1"/>
      <c r="F177" s="114"/>
      <c r="G177" s="121">
        <f>G172+G175</f>
        <v>428.59889841175084</v>
      </c>
      <c r="H177" s="128">
        <f>H172+H175</f>
        <v>0</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49"/>
    </row>
    <row r="185" spans="1:8" x14ac:dyDescent="0.3">
      <c r="F185" s="34"/>
      <c r="G185" s="34"/>
      <c r="H185" s="49"/>
    </row>
    <row r="186" spans="1:8" x14ac:dyDescent="0.3">
      <c r="F186" s="34"/>
      <c r="G186" s="34"/>
      <c r="H186" s="49"/>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c r="G671" s="34"/>
      <c r="H671" s="34"/>
    </row>
    <row r="672" spans="6:8" x14ac:dyDescent="0.3">
      <c r="F672" s="34"/>
      <c r="G672" s="34"/>
      <c r="H672" s="34"/>
    </row>
    <row r="673" spans="6:8" x14ac:dyDescent="0.3">
      <c r="F673" s="34"/>
      <c r="G673" s="34"/>
      <c r="H673" s="34"/>
    </row>
    <row r="674" spans="6:8" x14ac:dyDescent="0.3">
      <c r="F674" s="34"/>
      <c r="G674" s="34"/>
      <c r="H674" s="34"/>
    </row>
    <row r="675" spans="6:8" x14ac:dyDescent="0.3">
      <c r="F675" s="34"/>
      <c r="G675" s="34"/>
      <c r="H675" s="34"/>
    </row>
    <row r="676" spans="6:8" x14ac:dyDescent="0.3">
      <c r="F676" s="34"/>
      <c r="G676" s="34"/>
      <c r="H676" s="34"/>
    </row>
    <row r="677" spans="6:8" x14ac:dyDescent="0.3">
      <c r="F677" s="34"/>
      <c r="G677" s="34"/>
      <c r="H677" s="34"/>
    </row>
    <row r="678" spans="6:8" x14ac:dyDescent="0.3">
      <c r="F678" s="34"/>
      <c r="G678" s="34"/>
      <c r="H678" s="34"/>
    </row>
    <row r="679" spans="6:8" x14ac:dyDescent="0.3">
      <c r="F679" s="34"/>
      <c r="G679" s="34"/>
      <c r="H679" s="34"/>
    </row>
    <row r="680" spans="6:8" x14ac:dyDescent="0.3">
      <c r="F680" s="34"/>
    </row>
    <row r="681" spans="6:8" x14ac:dyDescent="0.3">
      <c r="F681" s="34"/>
    </row>
    <row r="682" spans="6:8" x14ac:dyDescent="0.3">
      <c r="F682" s="34"/>
    </row>
    <row r="683" spans="6:8" x14ac:dyDescent="0.3">
      <c r="F683" s="34"/>
    </row>
    <row r="684" spans="6:8" x14ac:dyDescent="0.3">
      <c r="F684" s="34"/>
    </row>
    <row r="685" spans="6:8" x14ac:dyDescent="0.3">
      <c r="F685" s="34"/>
    </row>
    <row r="686" spans="6:8" x14ac:dyDescent="0.3">
      <c r="F686" s="34"/>
    </row>
    <row r="687" spans="6:8" x14ac:dyDescent="0.3">
      <c r="F687" s="34"/>
    </row>
    <row r="688" spans="6:8" x14ac:dyDescent="0.3">
      <c r="F688" s="34"/>
    </row>
    <row r="689" spans="6:6" x14ac:dyDescent="0.3">
      <c r="F689" s="34"/>
    </row>
    <row r="690" spans="6:6" x14ac:dyDescent="0.3">
      <c r="F690" s="34"/>
    </row>
    <row r="691" spans="6:6" x14ac:dyDescent="0.3">
      <c r="F691" s="34"/>
    </row>
    <row r="692" spans="6:6" x14ac:dyDescent="0.3">
      <c r="F692" s="34"/>
    </row>
    <row r="693" spans="6:6" x14ac:dyDescent="0.3">
      <c r="F693" s="34"/>
    </row>
    <row r="694" spans="6:6" x14ac:dyDescent="0.3">
      <c r="F694" s="34"/>
    </row>
    <row r="695" spans="6:6" x14ac:dyDescent="0.3">
      <c r="F695" s="34"/>
    </row>
    <row r="696" spans="6:6" x14ac:dyDescent="0.3">
      <c r="F696" s="34"/>
    </row>
    <row r="697" spans="6:6" x14ac:dyDescent="0.3">
      <c r="F697" s="34"/>
    </row>
    <row r="698" spans="6:6" x14ac:dyDescent="0.3">
      <c r="F698" s="34"/>
    </row>
    <row r="699" spans="6:6" x14ac:dyDescent="0.3">
      <c r="F699" s="34"/>
    </row>
    <row r="700" spans="6:6" x14ac:dyDescent="0.3">
      <c r="F700" s="34"/>
    </row>
    <row r="701" spans="6:6" x14ac:dyDescent="0.3">
      <c r="F701" s="34"/>
    </row>
  </sheetData>
  <phoneticPr fontId="16" type="noConversion"/>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activeCell="B251" sqref="B251"/>
      <selection pane="bottomLeft" activeCell="D31" sqref="D31"/>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customWidth="1"/>
    <col min="12" max="13" width="9.6328125" style="17" customWidth="1"/>
    <col min="14" max="14" width="9.08984375" style="17"/>
    <col min="15" max="15" width="15.453125" style="17" customWidth="1"/>
    <col min="16" max="16384" width="9.08984375" style="17"/>
  </cols>
  <sheetData>
    <row r="1" spans="1:18" x14ac:dyDescent="0.3">
      <c r="A1" s="61" t="s">
        <v>146</v>
      </c>
      <c r="B1" s="17" t="str">
        <f>model</f>
        <v>ME Grain &amp; Pulse</v>
      </c>
    </row>
    <row r="4" spans="1:18" x14ac:dyDescent="0.3">
      <c r="A4" s="16" t="s">
        <v>1937</v>
      </c>
      <c r="B4" s="8" t="s">
        <v>92</v>
      </c>
      <c r="C4" s="65">
        <f>wheat</f>
        <v>0</v>
      </c>
      <c r="D4" s="4" t="s">
        <v>93</v>
      </c>
    </row>
    <row r="5" spans="1:18" x14ac:dyDescent="0.3">
      <c r="H5" s="28"/>
    </row>
    <row r="6" spans="1:18"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c r="N6" s="11"/>
      <c r="O6" s="15" t="s">
        <v>1291</v>
      </c>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Data!D276*Data!$H$15*CP!$H$5</f>
        <v>0</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x14ac:dyDescent="0.3">
      <c r="A10" s="664" t="str">
        <f>Data!A277</f>
        <v>Medium tractor (105 hp) - SMALL SIZE</v>
      </c>
      <c r="B10" s="33">
        <f>Data!B277</f>
        <v>0</v>
      </c>
      <c r="C10" s="34" t="str">
        <f>Data!C277</f>
        <v>tractor</v>
      </c>
      <c r="D10" s="109">
        <f>Data!D277*Data!$H$15*CP!$H$5</f>
        <v>0</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Data!D278*Data!$H$15*CP!$H$5</f>
        <v>0</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x14ac:dyDescent="0.3">
      <c r="A12" s="664" t="str">
        <f>Data!A279</f>
        <v>Large tractor (160 hp) - SMALL SIZE</v>
      </c>
      <c r="B12" s="33">
        <f>Data!B279</f>
        <v>0</v>
      </c>
      <c r="C12" s="34" t="str">
        <f>Data!C279</f>
        <v>tractor</v>
      </c>
      <c r="D12" s="109">
        <f>Data!D279*Data!$H$15*CP!$H$5</f>
        <v>0</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x14ac:dyDescent="0.3">
      <c r="A13" s="664" t="str">
        <f>Data!A280</f>
        <v>Large tractor (200 hp) - SMALL SIZE</v>
      </c>
      <c r="B13" s="33">
        <f>Data!B280</f>
        <v>0</v>
      </c>
      <c r="C13" s="34" t="str">
        <f>Data!C280</f>
        <v>tractor</v>
      </c>
      <c r="D13" s="109">
        <f>Data!D280*Data!$H$15*CP!$H$5</f>
        <v>0</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Data!D282*Data!$H$15</f>
        <v>0</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Data!D283*Data!$H$15</f>
        <v>0</v>
      </c>
      <c r="E15" s="109">
        <f>D15*B15</f>
        <v>0</v>
      </c>
      <c r="F15" s="109">
        <f>IF(CP!K11=0,Data!I283*E15,CP!K11*B15)</f>
        <v>0</v>
      </c>
      <c r="G15" s="60">
        <f>IF(CP!$G$11=0,Data!$F$283,CP!$G$11)</f>
        <v>40</v>
      </c>
      <c r="H15" s="109">
        <f>(E15*(_int_inv_m*(1+_int_inv_m)^G15)/((1+_int_inv_m)^G15-1))-(F15*_int_inv_m/((1+_int_inv_m)^G15-1))</f>
        <v>0</v>
      </c>
      <c r="I15" s="36">
        <f>IF(CP!I11=0,Data!H283*Data!$J$271,CP!I11/CP!E11)</f>
        <v>1.35E-2</v>
      </c>
      <c r="J15" s="109">
        <f>E15*I15</f>
        <v>0</v>
      </c>
      <c r="K15" s="36">
        <f t="shared" si="1"/>
        <v>6.7999999999999996E-3</v>
      </c>
      <c r="L15" s="109">
        <f>E15*K15</f>
        <v>0</v>
      </c>
      <c r="M15" s="109">
        <f>H15+J15+L15</f>
        <v>0</v>
      </c>
      <c r="N15" s="34"/>
      <c r="O15" s="34"/>
      <c r="P15" s="34"/>
      <c r="Q15" s="34"/>
      <c r="R15" s="34"/>
    </row>
    <row r="16" spans="1:18" x14ac:dyDescent="0.3">
      <c r="A16" s="664" t="str">
        <f>Data!A284</f>
        <v>Medium/Large tractor (130 hp) - MEDIUM SIZE</v>
      </c>
      <c r="B16" s="33">
        <f>Data!B284</f>
        <v>0</v>
      </c>
      <c r="C16" s="34" t="str">
        <f>Data!C284</f>
        <v>tractor</v>
      </c>
      <c r="D16" s="109">
        <f>Data!D284*Data!$H$15</f>
        <v>0</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Data!D285*Data!$H$15</f>
        <v>0</v>
      </c>
      <c r="E17" s="109">
        <f>D17*B17</f>
        <v>0</v>
      </c>
      <c r="F17" s="109">
        <f>IF(CP!K13=0,Data!I285*E17,CP!K13*B17)</f>
        <v>0</v>
      </c>
      <c r="G17" s="60">
        <f>IF(CP!$G$13=0,Data!$F$285,CP!$G$13)</f>
        <v>30</v>
      </c>
      <c r="H17" s="109">
        <f>(E17*(_int_inv_m*(1+_int_inv_m)^G17)/((1+_int_inv_m)^G17-1))-(F17*_int_inv_m/((1+_int_inv_m)^G17-1))</f>
        <v>0</v>
      </c>
      <c r="I17" s="36">
        <f>IF(CP!I13=0,Data!H285*Data!$J$271,CP!I13/CP!E13)</f>
        <v>1.6666666666666666E-2</v>
      </c>
      <c r="J17" s="109">
        <f>E17*I17</f>
        <v>0</v>
      </c>
      <c r="K17" s="36">
        <f t="shared" si="1"/>
        <v>6.7999999999999996E-3</v>
      </c>
      <c r="L17" s="109">
        <f>E17*K17</f>
        <v>0</v>
      </c>
      <c r="M17" s="109">
        <f>H17+J17+L17</f>
        <v>0</v>
      </c>
      <c r="N17" s="34"/>
      <c r="O17" s="34"/>
      <c r="P17" s="34"/>
      <c r="Q17" s="34"/>
      <c r="R17" s="34"/>
    </row>
    <row r="18" spans="1:23" x14ac:dyDescent="0.3">
      <c r="A18" s="664" t="str">
        <f>Data!A286</f>
        <v>Large tractor (200 hp) - MEDIUM SIZE</v>
      </c>
      <c r="B18" s="33">
        <f>Data!B286</f>
        <v>0</v>
      </c>
      <c r="C18" s="34" t="str">
        <f>Data!C286</f>
        <v>tractor</v>
      </c>
      <c r="D18" s="109">
        <f>Data!D286*Data!$H$15</f>
        <v>0</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Data!D288*Data!$H$15</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Data!D289*Data!$H$15</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Data!D290*Data!$H$15</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Data!D291*Data!$H$15</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Data!D292*Data!$H$15</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867" t="str">
        <f>Data!A297</f>
        <v>Bulk Body Truck(s) - SMALL SIZE</v>
      </c>
      <c r="B26" s="84">
        <f>Data!B297</f>
        <v>0</v>
      </c>
      <c r="C26" s="34" t="str">
        <f>Data!C297</f>
        <v>truck</v>
      </c>
      <c r="D26" s="109">
        <f>Data!D297*Data!$J$15*CP!$H$5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771" t="e">
        <f>J26/wheat</f>
        <v>#DIV/0!</v>
      </c>
      <c r="P26" s="34"/>
      <c r="Q26" s="34"/>
      <c r="R26" s="34"/>
    </row>
    <row r="27" spans="1:23" x14ac:dyDescent="0.3">
      <c r="A27" s="867" t="str">
        <f>Data!A298</f>
        <v>Bulk Body Truck(s) - MEDIUM SIZE</v>
      </c>
      <c r="B27" s="84">
        <f>Data!B298</f>
        <v>3</v>
      </c>
      <c r="C27" s="34" t="str">
        <f>Data!C298</f>
        <v>truck</v>
      </c>
      <c r="D27" s="109">
        <f>Data!D298*Data!$J$15</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771" t="e">
        <f>J27/wheat</f>
        <v>#DIV/0!</v>
      </c>
      <c r="P27" s="34"/>
      <c r="Q27" s="34"/>
      <c r="R27" s="34"/>
    </row>
    <row r="28" spans="1:23" x14ac:dyDescent="0.3">
      <c r="A28" s="867" t="str">
        <f>Data!A299</f>
        <v>Bulk Body Truck(s) - LARGE SIZE</v>
      </c>
      <c r="B28" s="84">
        <f>Data!B299</f>
        <v>0</v>
      </c>
      <c r="C28" s="34" t="str">
        <f>Data!C299</f>
        <v>truck</v>
      </c>
      <c r="D28" s="109">
        <f>Data!D299*Data!$J$15</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771" t="e">
        <f>J28/wheat</f>
        <v>#DIV/0!</v>
      </c>
      <c r="P28" s="34"/>
      <c r="Q28" s="34"/>
      <c r="R28" s="34"/>
    </row>
    <row r="29" spans="1:23" x14ac:dyDescent="0.3">
      <c r="A29" s="664" t="str">
        <f>Data!A300</f>
        <v>Flat Bed Truck(s) - SMALL SIZE</v>
      </c>
      <c r="B29" s="84">
        <f>Data!B300</f>
        <v>0</v>
      </c>
      <c r="C29" s="34" t="str">
        <f>Data!C300</f>
        <v>truck</v>
      </c>
      <c r="D29" s="109">
        <f>Data!D300*Data!$J$15*CP!$H$5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Data!D301*Data!$J$15</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Data!D302*Data!$J$15</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Data!D303*Data!$J$15</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Data!D310*Data!$P$15*CP!$H$5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771" t="e">
        <f t="shared" ref="O35:O37" si="20">J35/wheat</f>
        <v>#DIV/0!</v>
      </c>
      <c r="P35" s="34"/>
      <c r="Q35" s="34"/>
      <c r="R35" s="34"/>
    </row>
    <row r="36" spans="1:23" x14ac:dyDescent="0.3">
      <c r="A36" s="664" t="str">
        <f>Data!A311</f>
        <v>Moldboard Plow (9 ft) - MEDIUM SIZE</v>
      </c>
      <c r="B36" s="33">
        <f>Data!B311</f>
        <v>1</v>
      </c>
      <c r="C36" s="34" t="str">
        <f>Data!C311</f>
        <v>moldboard plow</v>
      </c>
      <c r="D36" s="109">
        <f>Data!D311*Data!$P$15</f>
        <v>0</v>
      </c>
      <c r="E36" s="109">
        <f t="shared" ref="E36:E37" si="21">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2">E36*I36</f>
        <v>0</v>
      </c>
      <c r="K36" s="36">
        <f t="shared" si="19"/>
        <v>6.7999999999999996E-3</v>
      </c>
      <c r="L36" s="109">
        <f t="shared" ref="L36:L37" si="23">E36*K36</f>
        <v>0</v>
      </c>
      <c r="M36" s="109">
        <f t="shared" ref="M36:M37" si="24">H36+J36+L36</f>
        <v>0</v>
      </c>
      <c r="N36" s="34"/>
      <c r="O36" s="771" t="e">
        <f t="shared" si="20"/>
        <v>#DIV/0!</v>
      </c>
      <c r="P36" s="34"/>
      <c r="Q36" s="34"/>
      <c r="R36" s="34"/>
    </row>
    <row r="37" spans="1:23" x14ac:dyDescent="0.3">
      <c r="A37" s="664" t="str">
        <f>Data!A312</f>
        <v>Moldboard Plow (12 ft) - LARGE SIZE</v>
      </c>
      <c r="B37" s="33">
        <f>Data!B312</f>
        <v>0</v>
      </c>
      <c r="C37" s="34" t="str">
        <f>Data!C312</f>
        <v>moldboard plow</v>
      </c>
      <c r="D37" s="109">
        <f>Data!D312*Data!$P$15</f>
        <v>0</v>
      </c>
      <c r="E37" s="109">
        <f t="shared" si="21"/>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2"/>
        <v>0</v>
      </c>
      <c r="K37" s="36">
        <f t="shared" si="19"/>
        <v>6.7999999999999996E-3</v>
      </c>
      <c r="L37" s="109">
        <f t="shared" si="23"/>
        <v>0</v>
      </c>
      <c r="M37" s="109">
        <f t="shared" si="24"/>
        <v>0</v>
      </c>
      <c r="N37" s="34"/>
      <c r="O37" s="771" t="e">
        <f t="shared" si="20"/>
        <v>#DIV/0!</v>
      </c>
      <c r="P37" s="34"/>
      <c r="Q37" s="34"/>
      <c r="R37" s="34"/>
    </row>
    <row r="38" spans="1:23" x14ac:dyDescent="0.3">
      <c r="A38" s="664" t="str">
        <f>Data!A313</f>
        <v>Chisel Plow (15 ft) - SMALL SIZE</v>
      </c>
      <c r="B38" s="33">
        <f>Data!B313</f>
        <v>0</v>
      </c>
      <c r="C38" s="34" t="str">
        <f>Data!C313</f>
        <v>chisel plow</v>
      </c>
      <c r="D38" s="109">
        <f>Data!D313*Data!$P$15*CP!$H$5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5">_tax_ins_</f>
        <v>6.7999999999999996E-3</v>
      </c>
      <c r="L38" s="109">
        <f>E38*K38</f>
        <v>0</v>
      </c>
      <c r="M38" s="109">
        <f>H38+J38+L38</f>
        <v>0</v>
      </c>
      <c r="N38" s="34"/>
      <c r="O38" s="771" t="e">
        <f t="shared" ref="O38:O49" si="26">J38/wheat</f>
        <v>#DIV/0!</v>
      </c>
      <c r="P38" s="34"/>
      <c r="Q38" s="34"/>
      <c r="R38" s="34"/>
    </row>
    <row r="39" spans="1:23" x14ac:dyDescent="0.3">
      <c r="A39" s="664" t="str">
        <f>Data!A314</f>
        <v>Chisel Plow (15 ft) - MEDIUM SIZE</v>
      </c>
      <c r="B39" s="33">
        <f>Data!B314</f>
        <v>1</v>
      </c>
      <c r="C39" s="34" t="str">
        <f>Data!C314</f>
        <v>chisel plow</v>
      </c>
      <c r="D39" s="109">
        <f>Data!D314*Data!$P$15</f>
        <v>0</v>
      </c>
      <c r="E39" s="109">
        <f t="shared" ref="E39:E40" si="27">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8">E39*I39</f>
        <v>0</v>
      </c>
      <c r="K39" s="36">
        <f t="shared" si="25"/>
        <v>6.7999999999999996E-3</v>
      </c>
      <c r="L39" s="109">
        <f t="shared" ref="L39:L40" si="29">E39*K39</f>
        <v>0</v>
      </c>
      <c r="M39" s="109">
        <f t="shared" ref="M39:M40" si="30">H39+J39+L39</f>
        <v>0</v>
      </c>
      <c r="N39" s="34"/>
      <c r="O39" s="771" t="e">
        <f t="shared" si="26"/>
        <v>#DIV/0!</v>
      </c>
      <c r="P39" s="34"/>
      <c r="Q39" s="34"/>
      <c r="R39" s="34"/>
    </row>
    <row r="40" spans="1:23" x14ac:dyDescent="0.3">
      <c r="A40" s="664" t="str">
        <f>Data!A315</f>
        <v>Chisel Plow (23 ft) - LARGE SIZE</v>
      </c>
      <c r="B40" s="33">
        <f>Data!B315</f>
        <v>0</v>
      </c>
      <c r="C40" s="34" t="str">
        <f>Data!C315</f>
        <v>chisel plow</v>
      </c>
      <c r="D40" s="109">
        <f>Data!D315*Data!$P$15</f>
        <v>0</v>
      </c>
      <c r="E40" s="109">
        <f t="shared" si="27"/>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8"/>
        <v>0</v>
      </c>
      <c r="K40" s="36">
        <f t="shared" si="25"/>
        <v>6.7999999999999996E-3</v>
      </c>
      <c r="L40" s="109">
        <f t="shared" si="29"/>
        <v>0</v>
      </c>
      <c r="M40" s="109">
        <f t="shared" si="30"/>
        <v>0</v>
      </c>
      <c r="N40" s="34"/>
      <c r="O40" s="771" t="e">
        <f t="shared" si="26"/>
        <v>#DIV/0!</v>
      </c>
      <c r="P40" s="34"/>
      <c r="Q40" s="34"/>
      <c r="R40" s="34"/>
    </row>
    <row r="41" spans="1:23" x14ac:dyDescent="0.3">
      <c r="A41" s="664" t="str">
        <f>Data!A316</f>
        <v>Disk Harrow (12 ft) - SMALL SIZE</v>
      </c>
      <c r="B41" s="33">
        <f>Data!B316</f>
        <v>0</v>
      </c>
      <c r="C41" s="34" t="str">
        <f>Data!C316</f>
        <v>disk harrow</v>
      </c>
      <c r="D41" s="109">
        <f>Data!D316*Data!$P$15*CP!$H$5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5"/>
        <v>6.7999999999999996E-3</v>
      </c>
      <c r="L41" s="109">
        <f>E41*K41</f>
        <v>0</v>
      </c>
      <c r="M41" s="109">
        <f>H41+J41+L41</f>
        <v>0</v>
      </c>
      <c r="O41" s="771" t="e">
        <f t="shared" si="26"/>
        <v>#DIV/0!</v>
      </c>
    </row>
    <row r="42" spans="1:23" x14ac:dyDescent="0.3">
      <c r="A42" s="664" t="str">
        <f>Data!A317</f>
        <v>Disk Harrow (21 ft) - MEDIUM SIZE</v>
      </c>
      <c r="B42" s="33">
        <f>Data!B317</f>
        <v>1</v>
      </c>
      <c r="C42" s="34" t="str">
        <f>Data!C317</f>
        <v>disk harrow</v>
      </c>
      <c r="D42" s="109">
        <f>Data!D317*Data!$P$15</f>
        <v>0</v>
      </c>
      <c r="E42" s="109">
        <f t="shared" ref="E42:E43" si="31">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2">E42*I42</f>
        <v>0</v>
      </c>
      <c r="K42" s="36">
        <f t="shared" si="25"/>
        <v>6.7999999999999996E-3</v>
      </c>
      <c r="L42" s="109">
        <f t="shared" ref="L42:L43" si="33">E42*K42</f>
        <v>0</v>
      </c>
      <c r="M42" s="109">
        <f t="shared" ref="M42:M43" si="34">H42+J42+L42</f>
        <v>0</v>
      </c>
      <c r="O42" s="771" t="e">
        <f t="shared" si="26"/>
        <v>#DIV/0!</v>
      </c>
    </row>
    <row r="43" spans="1:23" x14ac:dyDescent="0.3">
      <c r="A43" s="664" t="str">
        <f>Data!A318</f>
        <v>Disk Harrow (30 ft) - LARGE SIZE</v>
      </c>
      <c r="B43" s="33">
        <f>Data!B318</f>
        <v>0</v>
      </c>
      <c r="C43" s="34" t="str">
        <f>Data!C318</f>
        <v>disk harrow</v>
      </c>
      <c r="D43" s="109">
        <f>Data!D318*Data!$P$15</f>
        <v>0</v>
      </c>
      <c r="E43" s="109">
        <f t="shared" si="31"/>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2"/>
        <v>0</v>
      </c>
      <c r="K43" s="36">
        <f t="shared" si="25"/>
        <v>6.7999999999999996E-3</v>
      </c>
      <c r="L43" s="109">
        <f t="shared" si="33"/>
        <v>0</v>
      </c>
      <c r="M43" s="109">
        <f t="shared" si="34"/>
        <v>0</v>
      </c>
      <c r="O43" s="771" t="e">
        <f t="shared" si="26"/>
        <v>#DIV/0!</v>
      </c>
    </row>
    <row r="44" spans="1:23" ht="13.25" customHeight="1" x14ac:dyDescent="0.3">
      <c r="A44" s="664" t="str">
        <f>Data!A319</f>
        <v>Soil Conditioner/Field Cultivator (18 ft) - SMALL SIZE</v>
      </c>
      <c r="B44" s="33">
        <f>Data!B319</f>
        <v>0</v>
      </c>
      <c r="C44" s="34" t="str">
        <f>Data!C319</f>
        <v>condit.</v>
      </c>
      <c r="D44" s="109">
        <f>Data!D319*Data!$P$15*CP!$H$5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5"/>
        <v>6.7999999999999996E-3</v>
      </c>
      <c r="L44" s="109">
        <f>E44*K44</f>
        <v>0</v>
      </c>
      <c r="M44" s="109">
        <f>H44+J44+L44</f>
        <v>0</v>
      </c>
      <c r="O44" s="771" t="e">
        <f t="shared" si="26"/>
        <v>#DIV/0!</v>
      </c>
    </row>
    <row r="45" spans="1:23" ht="13.25" customHeight="1" x14ac:dyDescent="0.3">
      <c r="A45" s="664" t="str">
        <f>Data!A320</f>
        <v>Soil Conditioner/Field Cultivator (18 ft) - MEDIUM SIZE</v>
      </c>
      <c r="B45" s="33">
        <f>Data!B320</f>
        <v>1</v>
      </c>
      <c r="C45" s="34" t="str">
        <f>Data!C320</f>
        <v>condit.</v>
      </c>
      <c r="D45" s="109">
        <f>Data!D320*Data!$P$15</f>
        <v>0</v>
      </c>
      <c r="E45" s="109">
        <f t="shared" ref="E45:E46" si="35">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6">E45*I45</f>
        <v>0</v>
      </c>
      <c r="K45" s="36">
        <f t="shared" si="25"/>
        <v>6.7999999999999996E-3</v>
      </c>
      <c r="L45" s="109">
        <f t="shared" ref="L45:L46" si="37">E45*K45</f>
        <v>0</v>
      </c>
      <c r="M45" s="109">
        <f t="shared" ref="M45:M46" si="38">H45+J45+L45</f>
        <v>0</v>
      </c>
      <c r="O45" s="771" t="e">
        <f t="shared" si="26"/>
        <v>#DIV/0!</v>
      </c>
    </row>
    <row r="46" spans="1:23" ht="13.25" customHeight="1" x14ac:dyDescent="0.3">
      <c r="A46" s="664" t="str">
        <f>Data!A321</f>
        <v>Soil Conditioner/Field Cultivator (18 ft) - LARGE SIZE</v>
      </c>
      <c r="B46" s="33">
        <f>Data!B321</f>
        <v>0</v>
      </c>
      <c r="C46" s="34" t="str">
        <f>Data!C321</f>
        <v>condit.</v>
      </c>
      <c r="D46" s="109">
        <f>Data!D321*Data!$P$15</f>
        <v>0</v>
      </c>
      <c r="E46" s="109">
        <f t="shared" si="35"/>
        <v>0</v>
      </c>
      <c r="F46" s="109">
        <f>IF(CP!$K$27=0,Data!I321*E46,CP!$K$27*B46)</f>
        <v>0</v>
      </c>
      <c r="G46" s="60">
        <f>IF(CP!$G$27=0,Data!$F$321,CP!$G$27)</f>
        <v>40</v>
      </c>
      <c r="H46" s="109">
        <f>(E46*(_int_inv_l*(1+_int_inv_l)^G46)/((1+_int_inv_l)^G46-1))-(F46*_int_inv_l/((1+_int_inv_l)^G46-1))</f>
        <v>0</v>
      </c>
      <c r="I46" s="36">
        <f>IF(CP!$I$27=0,Data!H321*Data!$J$271,CP!$I$27/CP!$E$27)</f>
        <v>3.245E-2</v>
      </c>
      <c r="J46" s="109">
        <f t="shared" si="36"/>
        <v>0</v>
      </c>
      <c r="K46" s="36">
        <f t="shared" si="25"/>
        <v>6.7999999999999996E-3</v>
      </c>
      <c r="L46" s="109">
        <f t="shared" si="37"/>
        <v>0</v>
      </c>
      <c r="M46" s="109">
        <f t="shared" si="38"/>
        <v>0</v>
      </c>
      <c r="O46" s="771" t="e">
        <f t="shared" si="26"/>
        <v>#DIV/0!</v>
      </c>
    </row>
    <row r="47" spans="1:23" ht="13.25" customHeight="1" x14ac:dyDescent="0.3">
      <c r="A47" s="664" t="str">
        <f>Data!A325</f>
        <v>Tine-Harrow (i.e. Lely, 20-30 ft) - SMALL SIZE</v>
      </c>
      <c r="B47" s="33">
        <f>Data!B325</f>
        <v>0</v>
      </c>
      <c r="C47" s="90" t="str">
        <f>Data!C325</f>
        <v>tine-harrow</v>
      </c>
      <c r="D47" s="109">
        <f>Data!D325*Data!$P$15*CP!$H$5</f>
        <v>0</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5"/>
        <v>6.7999999999999996E-3</v>
      </c>
      <c r="L47" s="109">
        <f>E47*K47</f>
        <v>0</v>
      </c>
      <c r="M47" s="109">
        <f>H47+J47+L47</f>
        <v>0</v>
      </c>
      <c r="O47" s="771" t="e">
        <f t="shared" si="26"/>
        <v>#DIV/0!</v>
      </c>
    </row>
    <row r="48" spans="1:23" ht="13.25" customHeight="1" x14ac:dyDescent="0.3">
      <c r="A48" s="664" t="str">
        <f>Data!A326</f>
        <v>Tine-Harrow (i.e. Lely, 20-30 ft) - MEDIUM SIZE</v>
      </c>
      <c r="B48" s="33">
        <f>Data!B326*Wv!K35</f>
        <v>1</v>
      </c>
      <c r="C48" s="90" t="str">
        <f>Data!C326</f>
        <v>tine-harrow</v>
      </c>
      <c r="D48" s="109">
        <f>Data!D326*Data!$P$15</f>
        <v>0</v>
      </c>
      <c r="E48" s="109">
        <f t="shared" ref="E48:E49" si="39">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40">E48*I48</f>
        <v>0</v>
      </c>
      <c r="K48" s="36">
        <f t="shared" si="25"/>
        <v>6.7999999999999996E-3</v>
      </c>
      <c r="L48" s="109">
        <f t="shared" ref="L48:L49" si="41">E48*K48</f>
        <v>0</v>
      </c>
      <c r="M48" s="109">
        <f t="shared" ref="M48:M49" si="42">H48+J48+L48</f>
        <v>0</v>
      </c>
      <c r="O48" s="771" t="e">
        <f t="shared" si="26"/>
        <v>#DIV/0!</v>
      </c>
    </row>
    <row r="49" spans="1:23" ht="13.25" customHeight="1" x14ac:dyDescent="0.3">
      <c r="A49" s="664" t="str">
        <f>Data!A327</f>
        <v>Tine-Harrow (i.e. Lely, 20-30 ft) - LARGE SIZE</v>
      </c>
      <c r="B49" s="33">
        <f>Data!B327</f>
        <v>0</v>
      </c>
      <c r="C49" s="90" t="str">
        <f>Data!C327</f>
        <v>tine-harrow</v>
      </c>
      <c r="D49" s="109">
        <f>Data!D327*Data!$P$15</f>
        <v>0</v>
      </c>
      <c r="E49" s="109">
        <f t="shared" si="39"/>
        <v>0</v>
      </c>
      <c r="F49" s="109">
        <f>IF(CP!$K$30=0,Data!I327*E49,CP!$K$30*B49)</f>
        <v>0</v>
      </c>
      <c r="G49" s="60">
        <f>IF(CP!$G$30=0,Data!$F$327,CP!$G$30)</f>
        <v>40</v>
      </c>
      <c r="H49" s="109">
        <f>(E49*(_int_inv_l*(1+_int_inv_l)^G49)/((1+_int_inv_l)^G49-1))-(F49*_int_inv_l/((1+_int_inv_l)^G49-1))</f>
        <v>0</v>
      </c>
      <c r="I49" s="675">
        <f>IF(CP!$I$30=0,Data!H327*Data!$J$271,CP!$I$30/CP!$E$30)</f>
        <v>0.02</v>
      </c>
      <c r="J49" s="109">
        <f t="shared" si="40"/>
        <v>0</v>
      </c>
      <c r="K49" s="36">
        <f t="shared" si="25"/>
        <v>6.7999999999999996E-3</v>
      </c>
      <c r="L49" s="109">
        <f t="shared" si="41"/>
        <v>0</v>
      </c>
      <c r="M49" s="109">
        <f t="shared" si="42"/>
        <v>0</v>
      </c>
      <c r="O49" s="771" t="e">
        <f t="shared" si="26"/>
        <v>#DIV/0!</v>
      </c>
    </row>
    <row r="50" spans="1:23" ht="12.6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64" t="str">
        <f>Data!A334</f>
        <v xml:space="preserve">Fertilizer Spreader </v>
      </c>
      <c r="B52" s="33">
        <f>Data!B334</f>
        <v>0</v>
      </c>
      <c r="C52" s="34" t="str">
        <f>Data!C334</f>
        <v>fert.spread</v>
      </c>
      <c r="D52" s="109">
        <f>Data!D334*Data!$N$15</f>
        <v>0</v>
      </c>
      <c r="E52" s="109">
        <f>D52*B52</f>
        <v>0</v>
      </c>
      <c r="F52" s="109">
        <f>Data!I334*E52</f>
        <v>0</v>
      </c>
      <c r="G52" s="60">
        <f>Data!F334</f>
        <v>10</v>
      </c>
      <c r="H52" s="109">
        <f t="shared" ref="H52" si="43">(E52*(_int_inv_*(1+_int_inv_)^G52)/((1+_int_inv_)^G52-1))-(F52*_int_inv_/((1+_int_inv_)^G52-1))</f>
        <v>0</v>
      </c>
      <c r="I52" s="37">
        <f>Data!H334*Data!$J$271</f>
        <v>4.4999999999999998E-2</v>
      </c>
      <c r="J52" s="109">
        <f>E52*I52</f>
        <v>0</v>
      </c>
      <c r="K52" s="36">
        <f t="shared" ref="K52:K61" si="44">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Data!D335*Data!$N$15*CP!$H$5</f>
        <v>0</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4"/>
        <v>6.7999999999999996E-3</v>
      </c>
      <c r="L53" s="109">
        <f>E53*K53</f>
        <v>0</v>
      </c>
      <c r="M53" s="109">
        <f>H53+J53+L53</f>
        <v>0</v>
      </c>
      <c r="O53" s="771" t="e">
        <f t="shared" ref="O53:O61" si="45">J53/wheat</f>
        <v>#DIV/0!</v>
      </c>
    </row>
    <row r="54" spans="1:23" ht="13.25" customHeight="1" x14ac:dyDescent="0.3">
      <c r="A54" s="664" t="str">
        <f>Data!A336</f>
        <v>Spin Spreader (Chilean nitrate, 50 ft swath) - MEDIUM SIZE</v>
      </c>
      <c r="B54" s="33">
        <f>Data!B336</f>
        <v>1</v>
      </c>
      <c r="C54" s="34" t="str">
        <f>Data!C336</f>
        <v>spin spread</v>
      </c>
      <c r="D54" s="109">
        <f>Data!D336*Data!$N$15</f>
        <v>0</v>
      </c>
      <c r="E54" s="109">
        <f t="shared" ref="E54:E55" si="46">D54*B54</f>
        <v>0</v>
      </c>
      <c r="F54" s="109">
        <f>IF(CP!$K$32=0,Data!I336*E54,CP!$K$32*B54)</f>
        <v>0</v>
      </c>
      <c r="G54" s="60">
        <f>IF(CP!$G$32=0,Data!$F$336,CP!$G$32)</f>
        <v>40</v>
      </c>
      <c r="H54" s="109">
        <f>(E54*(_int_inv_m*(1+_int_inv_m)^G54)/((1+_int_inv_m)^G54-1))-(F54*_int_inv_m/((1+_int_inv_m)^G54-1))</f>
        <v>0</v>
      </c>
      <c r="I54" s="675">
        <f>IF(CP!$I$32=0,Data!H336*Data!$J$271,CP!$I$32/CP!$E$32)</f>
        <v>0.02</v>
      </c>
      <c r="J54" s="109">
        <f t="shared" ref="J54:J55" si="47">E54*I54</f>
        <v>0</v>
      </c>
      <c r="K54" s="36">
        <f t="shared" si="44"/>
        <v>6.7999999999999996E-3</v>
      </c>
      <c r="L54" s="109">
        <f t="shared" ref="L54:L55" si="48">E54*K54</f>
        <v>0</v>
      </c>
      <c r="M54" s="109">
        <f t="shared" ref="M54:M55" si="49">H54+J54+L54</f>
        <v>0</v>
      </c>
      <c r="O54" s="771" t="e">
        <f t="shared" si="45"/>
        <v>#DIV/0!</v>
      </c>
    </row>
    <row r="55" spans="1:23" ht="13.25" customHeight="1" x14ac:dyDescent="0.3">
      <c r="A55" s="664" t="str">
        <f>Data!A337</f>
        <v>Spin Spreader (Chilean nitrate, 50 ft swath) - LARGE SIZE</v>
      </c>
      <c r="B55" s="33">
        <f>Data!B337</f>
        <v>0</v>
      </c>
      <c r="C55" s="34" t="str">
        <f>Data!C337</f>
        <v>spin spread</v>
      </c>
      <c r="D55" s="109">
        <f>Data!D337*Data!$N$15</f>
        <v>0</v>
      </c>
      <c r="E55" s="109">
        <f t="shared" si="46"/>
        <v>0</v>
      </c>
      <c r="F55" s="109">
        <f>IF(CP!$K$32=0,Data!I337*E55,CP!$K$32*B55)</f>
        <v>0</v>
      </c>
      <c r="G55" s="60">
        <f>IF(CP!$G$32=0,Data!$F$337,CP!$G$32)</f>
        <v>40</v>
      </c>
      <c r="H55" s="109">
        <f>(E55*(_int_inv_l*(1+_int_inv_l)^G55)/((1+_int_inv_l)^G55-1))-(F55*_int_inv_l/((1+_int_inv_l)^G55-1))</f>
        <v>0</v>
      </c>
      <c r="I55" s="675">
        <f>IF(CP!$I$32=0,Data!H337*Data!$J$271,CP!$I$32/CP!$E$32)</f>
        <v>0.02</v>
      </c>
      <c r="J55" s="109">
        <f t="shared" si="47"/>
        <v>0</v>
      </c>
      <c r="K55" s="36">
        <f t="shared" si="44"/>
        <v>6.7999999999999996E-3</v>
      </c>
      <c r="L55" s="109">
        <f t="shared" si="48"/>
        <v>0</v>
      </c>
      <c r="M55" s="109">
        <f t="shared" si="49"/>
        <v>0</v>
      </c>
      <c r="O55" s="771" t="e">
        <f t="shared" si="45"/>
        <v>#DIV/0!</v>
      </c>
    </row>
    <row r="56" spans="1:23" x14ac:dyDescent="0.3">
      <c r="A56" s="664" t="str">
        <f>Data!A338</f>
        <v>Manure Spreader - SMALL SIZE</v>
      </c>
      <c r="B56" s="33">
        <f>Data!B338</f>
        <v>0</v>
      </c>
      <c r="C56" s="34" t="str">
        <f>Data!C338</f>
        <v>man.spread</v>
      </c>
      <c r="D56" s="109">
        <f>Data!D338*Data!$N$15*CP!$H$5</f>
        <v>0</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4"/>
        <v>6.7999999999999996E-3</v>
      </c>
      <c r="L56" s="109">
        <f>E56*K56</f>
        <v>0</v>
      </c>
      <c r="M56" s="109">
        <f>H56+J56+L56</f>
        <v>0</v>
      </c>
      <c r="O56" s="771" t="e">
        <f t="shared" si="45"/>
        <v>#DIV/0!</v>
      </c>
    </row>
    <row r="57" spans="1:23" x14ac:dyDescent="0.3">
      <c r="A57" s="664" t="str">
        <f>Data!A339</f>
        <v>Manure Spreader - MEDIUM SIZE</v>
      </c>
      <c r="B57" s="33">
        <f>Data!B339</f>
        <v>1</v>
      </c>
      <c r="C57" s="34" t="str">
        <f>Data!C339</f>
        <v>man.spread</v>
      </c>
      <c r="D57" s="109">
        <f>Data!D339*Data!$N$15</f>
        <v>0</v>
      </c>
      <c r="E57" s="109">
        <f t="shared" ref="E57:E58" si="50">D57*B57</f>
        <v>0</v>
      </c>
      <c r="F57" s="109">
        <f>IF(CP!$K$33=0,Data!I339*E57,CP!$K$33*B57)</f>
        <v>0</v>
      </c>
      <c r="G57" s="60">
        <f>IF(CP!$G$33=0,Data!$F$339,CP!$G$33)</f>
        <v>40</v>
      </c>
      <c r="H57" s="109">
        <f>(E57*(_int_inv_m*(1+_int_inv_m)^G57)/((1+_int_inv_m)^G57-1))-(F57*_int_inv_m/((1+_int_inv_m)^G57-1))</f>
        <v>0</v>
      </c>
      <c r="I57" s="36">
        <f>IF(CP!$I$33=0,Data!H339*Data!$J$271,CP!$I$33/CP!$E$33)</f>
        <v>2.2825263157894699E-2</v>
      </c>
      <c r="J57" s="109">
        <f t="shared" ref="J57:J58" si="51">E57*I57</f>
        <v>0</v>
      </c>
      <c r="K57" s="36">
        <f t="shared" si="44"/>
        <v>6.7999999999999996E-3</v>
      </c>
      <c r="L57" s="109">
        <f t="shared" ref="L57:L58" si="52">E57*K57</f>
        <v>0</v>
      </c>
      <c r="M57" s="109">
        <f t="shared" ref="M57:M58" si="53">H57+J57+L57</f>
        <v>0</v>
      </c>
      <c r="O57" s="771" t="e">
        <f t="shared" si="45"/>
        <v>#DIV/0!</v>
      </c>
    </row>
    <row r="58" spans="1:23" x14ac:dyDescent="0.3">
      <c r="A58" s="664" t="str">
        <f>Data!A340</f>
        <v>Manure Spreader - LARGE SIZE</v>
      </c>
      <c r="B58" s="33">
        <f>Data!B340</f>
        <v>0</v>
      </c>
      <c r="C58" s="34" t="str">
        <f>Data!C340</f>
        <v>man.spread</v>
      </c>
      <c r="D58" s="109">
        <f>Data!D340*Data!$N$15</f>
        <v>0</v>
      </c>
      <c r="E58" s="109">
        <f t="shared" si="50"/>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51"/>
        <v>0</v>
      </c>
      <c r="K58" s="36">
        <f t="shared" si="44"/>
        <v>6.7999999999999996E-3</v>
      </c>
      <c r="L58" s="109">
        <f t="shared" si="52"/>
        <v>0</v>
      </c>
      <c r="M58" s="109">
        <f t="shared" si="53"/>
        <v>0</v>
      </c>
      <c r="O58" s="771" t="e">
        <f t="shared" si="45"/>
        <v>#DIV/0!</v>
      </c>
    </row>
    <row r="59" spans="1:23" ht="13.25" customHeight="1" x14ac:dyDescent="0.3">
      <c r="A59" s="664" t="str">
        <f>Data!A343</f>
        <v>Grain Drill (Presswheel, 16 ft) - SMALL SIZE</v>
      </c>
      <c r="B59" s="33">
        <f>Data!B343</f>
        <v>0</v>
      </c>
      <c r="C59" s="34" t="str">
        <f>Data!C343</f>
        <v>grain drill</v>
      </c>
      <c r="D59" s="109">
        <f>Data!D343*Data!$AR$15*CP!$H$5</f>
        <v>0</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4"/>
        <v>6.7999999999999996E-3</v>
      </c>
      <c r="L59" s="109">
        <f>E59*K59</f>
        <v>0</v>
      </c>
      <c r="M59" s="109">
        <f>H59+J59+L59</f>
        <v>0</v>
      </c>
      <c r="N59" s="34"/>
      <c r="O59" s="771" t="e">
        <f t="shared" si="45"/>
        <v>#DIV/0!</v>
      </c>
      <c r="P59" s="34"/>
      <c r="Q59" s="34"/>
      <c r="R59" s="34"/>
      <c r="S59" s="34"/>
      <c r="T59" s="34"/>
      <c r="U59" s="34"/>
      <c r="V59" s="34"/>
      <c r="W59" s="34"/>
    </row>
    <row r="60" spans="1:23" ht="13.25" customHeight="1" x14ac:dyDescent="0.3">
      <c r="A60" s="664" t="str">
        <f>Data!A344</f>
        <v>Grain Drill (Presswheel, 25 ft) - MEDIUM SIZE</v>
      </c>
      <c r="B60" s="33">
        <f>Data!B344</f>
        <v>1</v>
      </c>
      <c r="C60" s="34" t="str">
        <f>Data!C344</f>
        <v>grain drill</v>
      </c>
      <c r="D60" s="109">
        <f>Data!D344*Data!$AR$15</f>
        <v>0</v>
      </c>
      <c r="E60" s="109">
        <f t="shared" ref="E60:E61" si="54">D60*B60</f>
        <v>0</v>
      </c>
      <c r="F60" s="109">
        <f>IF(CP!K35=0,Data!I344*E60,CP!K35*B60)</f>
        <v>0</v>
      </c>
      <c r="G60" s="60">
        <f>IF(CP!$G$35=0,Data!$F$344,CP!$G$35)</f>
        <v>40</v>
      </c>
      <c r="H60" s="109">
        <f>(E60*(_int_inv_m*(1+_int_inv_m)^G60)/((1+_int_inv_m)^G60-1))-(F60*_int_inv_m/((1+_int_inv_m)^G60-1))</f>
        <v>0</v>
      </c>
      <c r="I60" s="36">
        <f>IF(CP!I35=0,Data!H344*Data!$J$271,CP!I35/CP!E35)</f>
        <v>2.3673333333333331E-2</v>
      </c>
      <c r="J60" s="109">
        <f t="shared" ref="J60:J61" si="55">E60*I60</f>
        <v>0</v>
      </c>
      <c r="K60" s="36">
        <f t="shared" si="44"/>
        <v>6.7999999999999996E-3</v>
      </c>
      <c r="L60" s="109">
        <f t="shared" ref="L60:L61" si="56">E60*K60</f>
        <v>0</v>
      </c>
      <c r="M60" s="109">
        <f t="shared" ref="M60:M61" si="57">H60+J60+L60</f>
        <v>0</v>
      </c>
      <c r="N60" s="34"/>
      <c r="O60" s="771" t="e">
        <f t="shared" si="45"/>
        <v>#DIV/0!</v>
      </c>
      <c r="P60" s="34"/>
      <c r="Q60" s="34"/>
      <c r="R60" s="34"/>
      <c r="S60" s="34"/>
      <c r="T60" s="34"/>
      <c r="U60" s="34"/>
      <c r="V60" s="34"/>
      <c r="W60" s="34"/>
    </row>
    <row r="61" spans="1:23" ht="13.25" customHeight="1" x14ac:dyDescent="0.3">
      <c r="A61" s="664" t="str">
        <f>Data!A345</f>
        <v>Grain Drill (Presswheel, 30 ft) - LARGE SIZE</v>
      </c>
      <c r="B61" s="33">
        <f>Data!B345</f>
        <v>0</v>
      </c>
      <c r="C61" s="34" t="str">
        <f>Data!C345</f>
        <v>grain drill</v>
      </c>
      <c r="D61" s="109">
        <f>Data!D345*Data!$AR$15</f>
        <v>0</v>
      </c>
      <c r="E61" s="109">
        <f t="shared" si="54"/>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5"/>
        <v>0</v>
      </c>
      <c r="K61" s="36">
        <f t="shared" si="44"/>
        <v>6.7999999999999996E-3</v>
      </c>
      <c r="L61" s="109">
        <f t="shared" si="56"/>
        <v>0</v>
      </c>
      <c r="M61" s="109">
        <f t="shared" si="57"/>
        <v>0</v>
      </c>
      <c r="N61" s="34"/>
      <c r="O61" s="771" t="e">
        <f t="shared" si="45"/>
        <v>#DIV/0!</v>
      </c>
      <c r="P61" s="34"/>
      <c r="Q61" s="34"/>
      <c r="R61" s="34"/>
      <c r="S61" s="34"/>
      <c r="T61" s="34"/>
      <c r="U61" s="34"/>
      <c r="V61" s="34"/>
      <c r="W61" s="34"/>
    </row>
    <row r="62" spans="1:23"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Data!D353*Data!$P$15*CP!$H$5</f>
        <v>0</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Data!D354*Data!$P$15</f>
        <v>0</v>
      </c>
      <c r="E65" s="109">
        <f t="shared" ref="E65:E66" si="58">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9">E65*I65</f>
        <v>0</v>
      </c>
      <c r="K65" s="36">
        <f>_tax_ins_</f>
        <v>6.7999999999999996E-3</v>
      </c>
      <c r="L65" s="109">
        <f t="shared" ref="L65:L66" si="60">E65*K65</f>
        <v>0</v>
      </c>
      <c r="M65" s="109">
        <f t="shared" ref="M65:M66" si="61">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Data!D355*Data!$P$15</f>
        <v>0</v>
      </c>
      <c r="E66" s="109">
        <f t="shared" si="58"/>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9"/>
        <v>0</v>
      </c>
      <c r="K66" s="36">
        <f>_tax_ins_</f>
        <v>6.7999999999999996E-3</v>
      </c>
      <c r="L66" s="109">
        <f t="shared" si="60"/>
        <v>0</v>
      </c>
      <c r="M66" s="109">
        <f t="shared" si="61"/>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863"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Data!D381*Data!$AH$15*CP!$H$5</f>
        <v>0</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62">_tax_ins_</f>
        <v>6.7999999999999996E-3</v>
      </c>
      <c r="L69" s="109">
        <f>E69*K69</f>
        <v>0</v>
      </c>
      <c r="M69" s="109">
        <f>H69+J69+L69</f>
        <v>0</v>
      </c>
      <c r="N69" s="34"/>
      <c r="O69" s="771" t="e">
        <f t="shared" ref="O69:O74" si="63">J69/wheat</f>
        <v>#DIV/0!</v>
      </c>
      <c r="P69" s="34"/>
      <c r="Q69" s="34"/>
      <c r="R69" s="34"/>
      <c r="S69" s="34"/>
      <c r="T69" s="34"/>
      <c r="U69" s="34"/>
      <c r="V69" s="34"/>
      <c r="W69" s="34"/>
    </row>
    <row r="70" spans="1:23" x14ac:dyDescent="0.3">
      <c r="A70" s="664" t="str">
        <f>Data!A382</f>
        <v>Combine (IHC) - MEDIUM SIZE</v>
      </c>
      <c r="B70" s="33">
        <f>Data!B382</f>
        <v>1</v>
      </c>
      <c r="C70" s="34" t="str">
        <f>Data!C382</f>
        <v>combine</v>
      </c>
      <c r="D70" s="109">
        <f>Data!D382*Data!$AH$15</f>
        <v>0</v>
      </c>
      <c r="E70" s="109">
        <f t="shared" ref="E70:E71" si="64">D70*B70</f>
        <v>0</v>
      </c>
      <c r="F70" s="109">
        <f>IF(CP!K49=0,Data!I382*E70,CP!K49*B70)</f>
        <v>0</v>
      </c>
      <c r="G70" s="60">
        <f>IF(CP!$G$49=0,Data!$F$382,CP!$G$49)</f>
        <v>40</v>
      </c>
      <c r="H70" s="109">
        <f>(E70*(_int_inv_m*(1+_int_inv_m)^G70)/((1+_int_inv_m)^G70-1))-(F70*_int_inv_m/((1+_int_inv_m)^G70-1))</f>
        <v>0</v>
      </c>
      <c r="I70" s="37">
        <f>IF(CP!I49=0,Data!H382*Data!$J$271,CP!I49/CP!E49)</f>
        <v>2.8219081272084806E-2</v>
      </c>
      <c r="J70" s="109">
        <f t="shared" ref="J70:J71" si="65">E70*I70</f>
        <v>0</v>
      </c>
      <c r="K70" s="36">
        <f t="shared" si="62"/>
        <v>6.7999999999999996E-3</v>
      </c>
      <c r="L70" s="109">
        <f t="shared" ref="L70:L71" si="66">E70*K70</f>
        <v>0</v>
      </c>
      <c r="M70" s="109">
        <f t="shared" ref="M70:M71" si="67">H70+J70+L70</f>
        <v>0</v>
      </c>
      <c r="N70" s="34"/>
      <c r="O70" s="771" t="e">
        <f t="shared" si="63"/>
        <v>#DIV/0!</v>
      </c>
      <c r="P70" s="34"/>
      <c r="Q70" s="34"/>
      <c r="R70" s="34"/>
      <c r="S70" s="34"/>
      <c r="T70" s="34"/>
      <c r="U70" s="34"/>
      <c r="V70" s="34"/>
      <c r="W70" s="34"/>
    </row>
    <row r="71" spans="1:23" x14ac:dyDescent="0.3">
      <c r="A71" s="664" t="str">
        <f>Data!A383</f>
        <v>Combine (IHC) - LARGE SIZE</v>
      </c>
      <c r="B71" s="33">
        <f>Data!B383</f>
        <v>0</v>
      </c>
      <c r="C71" s="34" t="str">
        <f>Data!C383</f>
        <v>combine</v>
      </c>
      <c r="D71" s="109">
        <f>Data!D383*Data!$AH$15</f>
        <v>0</v>
      </c>
      <c r="E71" s="109">
        <f t="shared" si="64"/>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5"/>
        <v>0</v>
      </c>
      <c r="K71" s="36">
        <f t="shared" si="62"/>
        <v>6.7999999999999996E-3</v>
      </c>
      <c r="L71" s="109">
        <f t="shared" si="66"/>
        <v>0</v>
      </c>
      <c r="M71" s="109">
        <f t="shared" si="67"/>
        <v>0</v>
      </c>
      <c r="N71" s="34"/>
      <c r="O71" s="771" t="e">
        <f t="shared" si="63"/>
        <v>#DIV/0!</v>
      </c>
      <c r="P71" s="34"/>
      <c r="Q71" s="34"/>
      <c r="R71" s="34"/>
      <c r="S71" s="34"/>
      <c r="T71" s="34"/>
      <c r="U71" s="34"/>
      <c r="V71" s="34"/>
      <c r="W71" s="34"/>
    </row>
    <row r="72" spans="1:23" ht="13.25" customHeight="1" x14ac:dyDescent="0.3">
      <c r="A72" s="664" t="str">
        <f>Data!A385</f>
        <v xml:space="preserve">     Combine small grain head (15 ft) - SMALL SIZE</v>
      </c>
      <c r="B72" s="33">
        <f>Data!B385</f>
        <v>0</v>
      </c>
      <c r="C72" s="34" t="str">
        <f>Data!C385</f>
        <v>sm.gr.hd.</v>
      </c>
      <c r="D72" s="109">
        <f>Data!D385*Data!$AJ$15*CP!$H$5</f>
        <v>0</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62"/>
        <v>6.7999999999999996E-3</v>
      </c>
      <c r="L72" s="109">
        <f>E72*K72</f>
        <v>0</v>
      </c>
      <c r="M72" s="109">
        <f>H72+J72+L72</f>
        <v>0</v>
      </c>
      <c r="N72" s="34"/>
      <c r="O72" s="771" t="e">
        <f t="shared" si="63"/>
        <v>#DIV/0!</v>
      </c>
      <c r="P72" s="771" t="e">
        <f>SUM(O69:O72)</f>
        <v>#DIV/0!</v>
      </c>
      <c r="Q72" s="34"/>
      <c r="R72" s="34"/>
      <c r="S72" s="34"/>
      <c r="T72" s="34"/>
      <c r="U72" s="34"/>
      <c r="V72" s="34"/>
    </row>
    <row r="73" spans="1:23" ht="13.25" customHeight="1" x14ac:dyDescent="0.3">
      <c r="A73" s="664" t="str">
        <f>Data!A386</f>
        <v xml:space="preserve">     Combine small grain head (15 ft) - MEDIUM SIZE</v>
      </c>
      <c r="B73" s="33">
        <f>Data!B386</f>
        <v>1</v>
      </c>
      <c r="C73" s="34" t="str">
        <f>Data!C386</f>
        <v>sm.gr.hd.</v>
      </c>
      <c r="D73" s="109">
        <f>Data!D386*Data!$AJ$15</f>
        <v>0</v>
      </c>
      <c r="E73" s="109">
        <f t="shared" ref="E73:E74" si="68">D73*B73</f>
        <v>0</v>
      </c>
      <c r="F73" s="109">
        <f>IF(CP!K52=0,Data!I386*E73,CP!K52*B73)</f>
        <v>0</v>
      </c>
      <c r="G73" s="60">
        <f>IF(CP!$G$51=0,Data!$F$386,CP!$G$51)</f>
        <v>50</v>
      </c>
      <c r="H73" s="109">
        <f>(E73*(_int_inv_m*(1+_int_inv_m)^G73)/((1+_int_inv_m)^G73-1))-(F73*_int_inv_m/((1+_int_inv_m)^G73-1))</f>
        <v>0</v>
      </c>
      <c r="I73" s="37">
        <f>IF(CP!I52=0,Data!H386*Data!$J$271,CP!I52/CP!E52)</f>
        <v>2.6278604651162791E-2</v>
      </c>
      <c r="J73" s="109">
        <f t="shared" ref="J73:J74" si="69">E73*I73</f>
        <v>0</v>
      </c>
      <c r="K73" s="36">
        <f t="shared" si="62"/>
        <v>6.7999999999999996E-3</v>
      </c>
      <c r="L73" s="109">
        <f t="shared" ref="L73:L74" si="70">E73*K73</f>
        <v>0</v>
      </c>
      <c r="M73" s="109">
        <f t="shared" ref="M73:M74" si="71">H73+J73+L73</f>
        <v>0</v>
      </c>
      <c r="N73" s="34"/>
      <c r="O73" s="771" t="e">
        <f t="shared" si="63"/>
        <v>#DIV/0!</v>
      </c>
      <c r="P73" s="771" t="e">
        <f t="shared" ref="P73:P74" si="72">SUM(O70:O73)</f>
        <v>#DIV/0!</v>
      </c>
      <c r="Q73" s="34"/>
      <c r="R73" s="34"/>
      <c r="S73" s="34"/>
      <c r="T73" s="34"/>
      <c r="U73" s="34"/>
      <c r="V73" s="34"/>
    </row>
    <row r="74" spans="1:23" ht="13.25" customHeight="1" x14ac:dyDescent="0.3">
      <c r="A74" s="664" t="str">
        <f>Data!A387</f>
        <v xml:space="preserve">     Combine small grain head (20 ft) - LARGE SIZE</v>
      </c>
      <c r="B74" s="33">
        <f>Data!B387</f>
        <v>0</v>
      </c>
      <c r="C74" s="34" t="str">
        <f>Data!C387</f>
        <v>sm.gr.hd.</v>
      </c>
      <c r="D74" s="109">
        <f>Data!D387*Data!$AJ$15</f>
        <v>0</v>
      </c>
      <c r="E74" s="109">
        <f t="shared" si="68"/>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9"/>
        <v>0</v>
      </c>
      <c r="K74" s="36">
        <f t="shared" si="62"/>
        <v>6.7999999999999996E-3</v>
      </c>
      <c r="L74" s="109">
        <f t="shared" si="70"/>
        <v>0</v>
      </c>
      <c r="M74" s="109">
        <f t="shared" si="71"/>
        <v>0</v>
      </c>
      <c r="N74" s="34"/>
      <c r="O74" s="771" t="e">
        <f t="shared" si="63"/>
        <v>#DIV/0!</v>
      </c>
      <c r="P74" s="771" t="e">
        <f t="shared" si="72"/>
        <v>#DIV/0!</v>
      </c>
      <c r="Q74" s="34"/>
      <c r="R74" s="34"/>
      <c r="S74" s="34"/>
      <c r="T74" s="34"/>
      <c r="U74" s="34"/>
      <c r="V74" s="34"/>
    </row>
    <row r="75" spans="1:23" x14ac:dyDescent="0.3">
      <c r="A75" s="19" t="str">
        <f>Data!A378</f>
        <v xml:space="preserve">Raker </v>
      </c>
      <c r="B75" s="163">
        <f>Data!B378*Data!$B$32</f>
        <v>0</v>
      </c>
      <c r="C75" s="34" t="str">
        <f>Data!C378</f>
        <v>raker</v>
      </c>
      <c r="D75" s="109">
        <f>Data!D378*Data!$AF$15</f>
        <v>0</v>
      </c>
      <c r="E75" s="109">
        <f>D75*B75</f>
        <v>0</v>
      </c>
      <c r="F75" s="109">
        <f>Data!I378*E75</f>
        <v>0</v>
      </c>
      <c r="G75" s="60">
        <f>Data!F378</f>
        <v>50</v>
      </c>
      <c r="H75" s="109">
        <f t="shared" ref="H75:H77" si="73">(E75*(_int_inv_*(1+_int_inv_)^G75)/((1+_int_inv_)^G75-1))-(F75*_int_inv_/((1+_int_inv_)^G75-1))</f>
        <v>0</v>
      </c>
      <c r="I75" s="164">
        <f>Data!H378*Data!$J$271</f>
        <v>4.4999999999999998E-2</v>
      </c>
      <c r="J75" s="109">
        <f>E75*I75</f>
        <v>0</v>
      </c>
      <c r="K75" s="36">
        <f t="shared" si="62"/>
        <v>6.7999999999999996E-3</v>
      </c>
      <c r="L75" s="109">
        <f>E75*K75</f>
        <v>0</v>
      </c>
      <c r="M75" s="109">
        <f>H75+J75+L75</f>
        <v>0</v>
      </c>
    </row>
    <row r="76" spans="1:23" x14ac:dyDescent="0.3">
      <c r="A76" s="19" t="str">
        <f>Data!A379</f>
        <v>Baler (Round)</v>
      </c>
      <c r="B76" s="163">
        <f>Data!B379*Data!$B$32*Data!$C$32</f>
        <v>0</v>
      </c>
      <c r="C76" s="34" t="str">
        <f>Data!C379</f>
        <v>round baler</v>
      </c>
      <c r="D76" s="109">
        <f>Data!D379*Data!$AF$15</f>
        <v>0</v>
      </c>
      <c r="E76" s="109">
        <f>D76*B76</f>
        <v>0</v>
      </c>
      <c r="F76" s="109">
        <f>Data!I379*E76</f>
        <v>0</v>
      </c>
      <c r="G76" s="60">
        <f>Data!F379</f>
        <v>40</v>
      </c>
      <c r="H76" s="109">
        <f t="shared" si="73"/>
        <v>0</v>
      </c>
      <c r="I76" s="164">
        <f>Data!H379*Data!$J$271</f>
        <v>4.4999999999999998E-2</v>
      </c>
      <c r="J76" s="109">
        <f>E76*I76</f>
        <v>0</v>
      </c>
      <c r="K76" s="36">
        <f t="shared" si="62"/>
        <v>6.7999999999999996E-3</v>
      </c>
      <c r="L76" s="109">
        <f>E76*K76</f>
        <v>0</v>
      </c>
      <c r="M76" s="109">
        <f>H76+J76+L76</f>
        <v>0</v>
      </c>
    </row>
    <row r="77" spans="1:23" x14ac:dyDescent="0.3">
      <c r="A77" s="19" t="str">
        <f>Data!A380</f>
        <v>Baler (Square)</v>
      </c>
      <c r="B77" s="163">
        <f>Data!B380*Data!$B$32*Data!$D$32</f>
        <v>0</v>
      </c>
      <c r="C77" s="34" t="str">
        <f>Data!C380</f>
        <v>square baler</v>
      </c>
      <c r="D77" s="109">
        <f>Data!D380*Data!$AF$15</f>
        <v>0</v>
      </c>
      <c r="E77" s="109">
        <f>D77*B77</f>
        <v>0</v>
      </c>
      <c r="F77" s="109">
        <f>Data!I380*E77</f>
        <v>0</v>
      </c>
      <c r="G77" s="60">
        <f>Data!F380</f>
        <v>20</v>
      </c>
      <c r="H77" s="109">
        <f t="shared" si="73"/>
        <v>0</v>
      </c>
      <c r="I77" s="164">
        <f>Data!H380*Data!$J$271</f>
        <v>4.4999999999999998E-2</v>
      </c>
      <c r="J77" s="109">
        <f>E77*I77</f>
        <v>0</v>
      </c>
      <c r="K77" s="36">
        <f t="shared" si="62"/>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863"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Data!D395*Data!$H$15*CP!$H$5</f>
        <v>0</v>
      </c>
      <c r="E80" s="109">
        <f>D80*B80</f>
        <v>0</v>
      </c>
      <c r="F80" s="109">
        <f>IF(CP!K58=0,Data!I395*E80,CP!K58*B80)</f>
        <v>0</v>
      </c>
      <c r="G80" s="60">
        <f>IF(CP!$G$58=0,Data!$F$395,CP!$G$58)</f>
        <v>50</v>
      </c>
      <c r="H80" s="104">
        <f t="shared" ref="H80:H81" si="74">(E80*(_int_inv_*(1+_int_inv_)^G80)/((1+_int_inv_)^G80-1))-(F80*_int_inv_/((1+_int_inv_)^G80-1))</f>
        <v>0</v>
      </c>
      <c r="I80" s="675">
        <f>IF(CP!I58=0,Data!H395*Data!$J$271,CP!I58/CP!E58)</f>
        <v>0.02</v>
      </c>
      <c r="J80" s="104">
        <f>E80*I80</f>
        <v>0</v>
      </c>
      <c r="K80" s="36">
        <f t="shared" ref="K80:K85" si="75">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Data!D396*Data!$H$15*CP!$H$5</f>
        <v>0</v>
      </c>
      <c r="E81" s="109">
        <f>D81*B81</f>
        <v>0</v>
      </c>
      <c r="F81" s="109">
        <f>IF(CP!K61=0,Data!I396*E81,CP!K61*B81)</f>
        <v>0</v>
      </c>
      <c r="G81" s="60">
        <f>IF(CP!$G$61=0,Data!$F$396,CP!$G$61)</f>
        <v>50</v>
      </c>
      <c r="H81" s="109">
        <f t="shared" si="74"/>
        <v>0</v>
      </c>
      <c r="I81" s="675">
        <f>IF(CP!I61=0,Data!H396*Data!$J$271,CP!I61/CP!E61)</f>
        <v>0.02</v>
      </c>
      <c r="J81" s="109">
        <f>E81*I81</f>
        <v>0</v>
      </c>
      <c r="K81" s="36">
        <f t="shared" si="75"/>
        <v>6.7999999999999996E-3</v>
      </c>
      <c r="L81" s="104">
        <f>E81*K81</f>
        <v>0</v>
      </c>
      <c r="M81" s="109">
        <f>H81+J81+L81</f>
        <v>0</v>
      </c>
    </row>
    <row r="82" spans="1:23" x14ac:dyDescent="0.3">
      <c r="A82" s="664" t="str">
        <f>Data!A397</f>
        <v>Fuel Tanks - MEDIUM SIZE</v>
      </c>
      <c r="B82" s="33">
        <f>Data!B397</f>
        <v>1</v>
      </c>
      <c r="C82" s="34" t="str">
        <f>Data!C397</f>
        <v>fuel tank</v>
      </c>
      <c r="D82" s="109">
        <f>Data!D397*Data!$H$15</f>
        <v>0</v>
      </c>
      <c r="E82" s="109">
        <f t="shared" ref="E82:E85" si="76">D82*B82</f>
        <v>0</v>
      </c>
      <c r="F82" s="109">
        <f>IF(CP!K59=0,Data!I397*E82,CP!K59*B82)</f>
        <v>0</v>
      </c>
      <c r="G82" s="60">
        <f>IF(CP!$G$59=0,Data!$F$397,CP!$G$59)</f>
        <v>40</v>
      </c>
      <c r="H82" s="109">
        <f>(E82*(_int_inv_m*(1+_int_inv_m)^G82)/((1+_int_inv_m)^G82-1))-(F82*_int_inv_m/((1+_int_inv_m)^G82-1))</f>
        <v>0</v>
      </c>
      <c r="I82" s="675">
        <f>IF(CP!I59=0,Data!H397*Data!$J$271,CP!I59/CP!E59)</f>
        <v>0.02</v>
      </c>
      <c r="J82" s="104">
        <f t="shared" ref="J82:J85" si="77">E82*I82</f>
        <v>0</v>
      </c>
      <c r="K82" s="36">
        <f t="shared" si="75"/>
        <v>6.7999999999999996E-3</v>
      </c>
      <c r="L82" s="104">
        <f t="shared" ref="L82:L85" si="78">E82*K82</f>
        <v>0</v>
      </c>
      <c r="M82" s="109">
        <f t="shared" ref="M82:M85" si="79">H82+J82+L82</f>
        <v>0</v>
      </c>
    </row>
    <row r="83" spans="1:23" x14ac:dyDescent="0.3">
      <c r="A83" s="664" t="str">
        <f>Data!A398</f>
        <v>Shop Tools - MEDIUM SIZE</v>
      </c>
      <c r="B83" s="33">
        <f>Data!B398</f>
        <v>1</v>
      </c>
      <c r="C83" s="34" t="str">
        <f>Data!C398</f>
        <v>shop tools</v>
      </c>
      <c r="D83" s="109">
        <f>Data!D398*Data!$H$15</f>
        <v>0</v>
      </c>
      <c r="E83" s="109">
        <f t="shared" si="76"/>
        <v>0</v>
      </c>
      <c r="F83" s="109">
        <f>IF(CP!K62=0,Data!I398*E83,CP!K62*B83)</f>
        <v>0</v>
      </c>
      <c r="G83" s="60">
        <f>IF(CP!$G$62=0,Data!$F$398,CP!$G$62)</f>
        <v>40</v>
      </c>
      <c r="H83" s="109">
        <f>(E83*(_int_inv_m*(1+_int_inv_m)^G83)/((1+_int_inv_m)^G83-1))-(F83*_int_inv_m/((1+_int_inv_m)^G83-1))</f>
        <v>0</v>
      </c>
      <c r="I83" s="675">
        <f>IF(CP!I62=0,Data!H398*Data!$J$271,CP!I62/CP!E62)</f>
        <v>0.02</v>
      </c>
      <c r="J83" s="109">
        <f t="shared" si="77"/>
        <v>0</v>
      </c>
      <c r="K83" s="36">
        <f t="shared" si="75"/>
        <v>6.7999999999999996E-3</v>
      </c>
      <c r="L83" s="104">
        <f t="shared" si="78"/>
        <v>0</v>
      </c>
      <c r="M83" s="109">
        <f t="shared" si="79"/>
        <v>0</v>
      </c>
    </row>
    <row r="84" spans="1:23" x14ac:dyDescent="0.3">
      <c r="A84" s="664" t="str">
        <f>Data!A399</f>
        <v>Fuel Tanks - LARGE SIZE</v>
      </c>
      <c r="B84" s="33">
        <f>Data!B399</f>
        <v>0</v>
      </c>
      <c r="C84" s="34" t="str">
        <f>Data!C399</f>
        <v>fuel tank</v>
      </c>
      <c r="D84" s="109">
        <f>Data!D399*Data!$H$15</f>
        <v>0</v>
      </c>
      <c r="E84" s="109">
        <f t="shared" si="76"/>
        <v>0</v>
      </c>
      <c r="F84" s="109">
        <f>IF(CP!K60=0,Data!I399*E84,CP!K60*B84)</f>
        <v>0</v>
      </c>
      <c r="G84" s="60">
        <f>IF(CP!$G$60=0,Data!$F$399,CP!$G$60)</f>
        <v>20</v>
      </c>
      <c r="H84" s="109">
        <f>(E84*(_int_inv_l*(1+_int_inv_l)^G84)/((1+_int_inv_l)^G84-1))-(F84*_int_inv_l/((1+_int_inv_l)^G84-1))</f>
        <v>0</v>
      </c>
      <c r="I84" s="675">
        <f>IF(CP!I60=0,Data!H399*Data!$J$271,CP!I60/CP!E60)</f>
        <v>0.02</v>
      </c>
      <c r="J84" s="104">
        <f t="shared" si="77"/>
        <v>0</v>
      </c>
      <c r="K84" s="36">
        <f t="shared" si="75"/>
        <v>6.7999999999999996E-3</v>
      </c>
      <c r="L84" s="104">
        <f t="shared" si="78"/>
        <v>0</v>
      </c>
      <c r="M84" s="109">
        <f t="shared" si="79"/>
        <v>0</v>
      </c>
    </row>
    <row r="85" spans="1:23" x14ac:dyDescent="0.3">
      <c r="A85" s="664" t="str">
        <f>Data!A400</f>
        <v>Shop Tools - LARGE SIZE</v>
      </c>
      <c r="B85" s="33">
        <f>Data!B400</f>
        <v>0</v>
      </c>
      <c r="C85" s="34" t="str">
        <f>Data!C400</f>
        <v>shop tools</v>
      </c>
      <c r="D85" s="109">
        <f>Data!D400*Data!$H$15</f>
        <v>0</v>
      </c>
      <c r="E85" s="109">
        <f t="shared" si="76"/>
        <v>0</v>
      </c>
      <c r="F85" s="109">
        <f>IF(CP!K63=0,Data!I400*E85,CP!K63*B85)</f>
        <v>0</v>
      </c>
      <c r="G85" s="60">
        <f>IF(CP!$G$63=0,Data!$F$400,CP!$G$63)</f>
        <v>20</v>
      </c>
      <c r="H85" s="109">
        <f>(E85*(_int_inv_l*(1+_int_inv_l)^G85)/((1+_int_inv_l)^G85-1))-(F85*_int_inv_l/((1+_int_inv_l)^G85-1))</f>
        <v>0</v>
      </c>
      <c r="I85" s="675">
        <f>IF(CP!I63=0,Data!H400*Data!$J$271,CP!I63/CP!E63)</f>
        <v>0.02</v>
      </c>
      <c r="J85" s="109">
        <f t="shared" si="77"/>
        <v>0</v>
      </c>
      <c r="K85" s="36">
        <f t="shared" si="75"/>
        <v>6.7999999999999996E-3</v>
      </c>
      <c r="L85" s="104">
        <f t="shared" si="78"/>
        <v>0</v>
      </c>
      <c r="M85" s="109">
        <f t="shared" si="79"/>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33">
        <f>Data!B417</f>
        <v>0</v>
      </c>
      <c r="C88" s="34" t="str">
        <f>Data!C417</f>
        <v>grain cleaner</v>
      </c>
      <c r="D88" s="109">
        <f>Data!D417*Data!$H$15*CP!$H$5</f>
        <v>0</v>
      </c>
      <c r="E88" s="109">
        <f t="shared" ref="E88:E90" si="80">D88*B88</f>
        <v>0</v>
      </c>
      <c r="F88" s="109">
        <f>IF(CP!K65=0,Data!I417*E88,CP!K65*B88)</f>
        <v>0</v>
      </c>
      <c r="G88" s="60">
        <f>IF(CP!$G$65=0,Data!$F$417,CP!$G$65)</f>
        <v>50</v>
      </c>
      <c r="H88" s="109">
        <f>(E88*(_int_inv_*(1+_int_inv_)^G88)/((1+_int_inv_)^G88-1))-(F88*_int_inv_/((1+_int_inv_)^G88-1))</f>
        <v>0</v>
      </c>
      <c r="I88" s="675">
        <f>IF(CP!I65=0,Data!H417*Data!$J$271,CP!I65/CP!E65)</f>
        <v>0.02</v>
      </c>
      <c r="J88" s="109">
        <f t="shared" ref="J88:J90" si="81">E88*I88</f>
        <v>0</v>
      </c>
      <c r="K88" s="36">
        <f>_tax_ins_</f>
        <v>6.7999999999999996E-3</v>
      </c>
      <c r="L88" s="104">
        <f t="shared" ref="L88:L90" si="82">E88*K88</f>
        <v>0</v>
      </c>
      <c r="M88" s="109">
        <f t="shared" ref="M88:M90" si="83">H88+J88+L88</f>
        <v>0</v>
      </c>
    </row>
    <row r="89" spans="1:23" x14ac:dyDescent="0.3">
      <c r="A89" s="664" t="str">
        <f>Data!A418</f>
        <v>Grain Cleaner - MEDIUM SIZE</v>
      </c>
      <c r="B89" s="33">
        <f>Data!B418</f>
        <v>1</v>
      </c>
      <c r="C89" s="34" t="str">
        <f>Data!C418</f>
        <v>grain cleaner</v>
      </c>
      <c r="D89" s="109">
        <f>Data!D418*Data!$H$15</f>
        <v>0</v>
      </c>
      <c r="E89" s="109">
        <f t="shared" si="80"/>
        <v>0</v>
      </c>
      <c r="F89" s="109">
        <f>IF(CP!K66=0,Data!I418*E89,CP!K66*B89)</f>
        <v>0</v>
      </c>
      <c r="G89" s="60">
        <f>IF(CP!$G$66=0,Data!$F$418,CP!$G$66)</f>
        <v>40</v>
      </c>
      <c r="H89" s="109">
        <f>(E89*(_int_inv_m*(1+_int_inv_m)^G89)/((1+_int_inv_m)^G89-1))-(F89*_int_inv_m/((1+_int_inv_m)^G89-1))</f>
        <v>0</v>
      </c>
      <c r="I89" s="675">
        <f>IF(CP!I66=0,Data!H418*Data!$J$271,CP!I66/CP!E66)</f>
        <v>0.02</v>
      </c>
      <c r="J89" s="109">
        <f t="shared" si="81"/>
        <v>0</v>
      </c>
      <c r="K89" s="36">
        <f>_tax_ins_</f>
        <v>6.7999999999999996E-3</v>
      </c>
      <c r="L89" s="104">
        <f t="shared" si="82"/>
        <v>0</v>
      </c>
      <c r="M89" s="109">
        <f t="shared" si="83"/>
        <v>0</v>
      </c>
    </row>
    <row r="90" spans="1:23" x14ac:dyDescent="0.3">
      <c r="A90" s="664" t="str">
        <f>Data!A419</f>
        <v>Grain Cleaner - LARGE SIZE</v>
      </c>
      <c r="B90" s="33">
        <f>Data!B419</f>
        <v>0</v>
      </c>
      <c r="C90" s="34" t="str">
        <f>Data!C419</f>
        <v>grain cleaner</v>
      </c>
      <c r="D90" s="109">
        <f>Data!D419*Data!$H$15</f>
        <v>0</v>
      </c>
      <c r="E90" s="109">
        <f t="shared" si="80"/>
        <v>0</v>
      </c>
      <c r="F90" s="109">
        <f>IF(CP!K67=0,Data!I419*E90,CP!K67*B90)</f>
        <v>0</v>
      </c>
      <c r="G90" s="60">
        <f>IF(CP!$G$67=0,Data!$F$419,CP!$G$67)</f>
        <v>20</v>
      </c>
      <c r="H90" s="109">
        <f>(E90*(_int_inv_l*(1+_int_inv_l)^G90)/((1+_int_inv_l)^G90-1))-(F90*_int_inv_l/((1+_int_inv_l)^G90-1))</f>
        <v>0</v>
      </c>
      <c r="I90" s="675">
        <f>IF(CP!I67=0,Data!H419*Data!$J$271,CP!I67/CP!E67)</f>
        <v>0.02</v>
      </c>
      <c r="J90" s="109">
        <f t="shared" si="81"/>
        <v>0</v>
      </c>
      <c r="K90" s="36">
        <f>_tax_ins_</f>
        <v>6.7999999999999996E-3</v>
      </c>
      <c r="L90" s="104">
        <f t="shared" si="82"/>
        <v>0</v>
      </c>
      <c r="M90" s="109">
        <f t="shared" si="83"/>
        <v>0</v>
      </c>
    </row>
    <row r="91" spans="1:23" x14ac:dyDescent="0.3">
      <c r="A91" s="6"/>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14"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Data!D423*Data!$AH$15*CP!$H$5</f>
        <v>0</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84">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Data!D424*Data!$AH$15</f>
        <v>0</v>
      </c>
      <c r="E94" s="109">
        <f t="shared" ref="E94:E95" si="85">D94*B94</f>
        <v>0</v>
      </c>
      <c r="F94" s="109">
        <f>IF(CP!K70=0,Data!I424*E94,CP!K70*B94)</f>
        <v>0</v>
      </c>
      <c r="G94" s="60">
        <f>IF(CP!$G$70=0,Data!$F$424,CP!$G$70)</f>
        <v>40</v>
      </c>
      <c r="H94" s="109">
        <f>(E94*(_int_inv_m*(1+_int_inv_m)^G94)/((1+_int_inv_m)^G94-1))-(F94*_int_inv_m/((1+_int_inv_m)^G94-1))</f>
        <v>0</v>
      </c>
      <c r="I94" s="675">
        <f>IF(CP!I70=0,Data!H424*Data!$J$271,CP!I70/CP!E70)</f>
        <v>0.02</v>
      </c>
      <c r="J94" s="109">
        <f t="shared" ref="J94:J95" si="86">E94*I94</f>
        <v>0</v>
      </c>
      <c r="K94" s="36">
        <f t="shared" si="84"/>
        <v>6.7999999999999996E-3</v>
      </c>
      <c r="L94" s="109">
        <f t="shared" ref="L94:L95" si="87">E94*K94</f>
        <v>0</v>
      </c>
      <c r="M94" s="109">
        <f t="shared" ref="M94:M95" si="88">H94+J94+L94</f>
        <v>0</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Data!D425*Data!$AH$15</f>
        <v>0</v>
      </c>
      <c r="E95" s="109">
        <f t="shared" si="85"/>
        <v>0</v>
      </c>
      <c r="F95" s="109">
        <f>IF(CP!K71=0,Data!I425*E95,CP!K71*B95)</f>
        <v>0</v>
      </c>
      <c r="G95" s="60">
        <f>IF(CP!$G$71=0,Data!$F$425,CP!$G$71)</f>
        <v>20</v>
      </c>
      <c r="H95" s="109">
        <f>(E95*(_int_inv_l*(1+_int_inv_l)^G95)/((1+_int_inv_l)^G95-1))-(F95*_int_inv_l/((1+_int_inv_l)^G95-1))</f>
        <v>0</v>
      </c>
      <c r="I95" s="675">
        <f>IF(CP!I71=0,Data!H425*Data!$J$271,CP!I71/CP!E71)</f>
        <v>0.02</v>
      </c>
      <c r="J95" s="109">
        <f t="shared" si="86"/>
        <v>0</v>
      </c>
      <c r="K95" s="36">
        <f t="shared" si="84"/>
        <v>6.7999999999999996E-3</v>
      </c>
      <c r="L95" s="109">
        <f t="shared" si="87"/>
        <v>0</v>
      </c>
      <c r="M95" s="109">
        <f t="shared" si="88"/>
        <v>0</v>
      </c>
      <c r="N95" s="34"/>
      <c r="O95" s="34"/>
      <c r="P95" s="34"/>
      <c r="Q95" s="34"/>
      <c r="R95" s="34"/>
      <c r="S95" s="34"/>
      <c r="T95" s="34"/>
      <c r="U95" s="34"/>
      <c r="V95" s="34"/>
      <c r="W95" s="34"/>
    </row>
    <row r="96" spans="1:23" x14ac:dyDescent="0.3">
      <c r="A96" s="6" t="str">
        <f>Data!A426</f>
        <v>Grain Roller</v>
      </c>
      <c r="B96" s="163">
        <f>Data!B426</f>
        <v>0</v>
      </c>
      <c r="C96" s="34" t="str">
        <f>Data!C426</f>
        <v>roller</v>
      </c>
      <c r="D96" s="109">
        <f>Data!D426*Data!$AN$15*C92</f>
        <v>0</v>
      </c>
      <c r="E96" s="109">
        <f>D96*B96</f>
        <v>0</v>
      </c>
      <c r="F96" s="109">
        <f>Data!I426*E96</f>
        <v>0</v>
      </c>
      <c r="G96" s="60">
        <f>Data!F426</f>
        <v>10</v>
      </c>
      <c r="H96" s="109">
        <f t="shared" ref="H96:H100" si="89">(E96*(_int_inv_*(1+_int_inv_)^G96)/((1+_int_inv_)^G96-1))-(F96*_int_inv_/((1+_int_inv_)^G96-1))</f>
        <v>0</v>
      </c>
      <c r="I96" s="36">
        <f>Data!H426*Data!$J$271</f>
        <v>0.02</v>
      </c>
      <c r="J96" s="109">
        <f>E96*I96</f>
        <v>0</v>
      </c>
      <c r="K96" s="36">
        <f t="shared" si="84"/>
        <v>6.7999999999999996E-3</v>
      </c>
      <c r="L96" s="109">
        <f>E96*K96</f>
        <v>0</v>
      </c>
      <c r="M96" s="109">
        <f>H96+J96+L96</f>
        <v>0</v>
      </c>
      <c r="N96" s="34"/>
      <c r="O96" s="34"/>
      <c r="P96" s="34"/>
      <c r="Q96" s="34"/>
      <c r="R96" s="34"/>
      <c r="S96" s="34"/>
      <c r="T96" s="34"/>
      <c r="U96" s="34"/>
      <c r="V96" s="34"/>
      <c r="W96" s="34"/>
    </row>
    <row r="97" spans="1:23" x14ac:dyDescent="0.3">
      <c r="A97" s="664" t="str">
        <f>Data!A449</f>
        <v>Grain Dryer (Spring Wheat) - SMALL SIZE</v>
      </c>
      <c r="B97" s="649">
        <f>Data!B449</f>
        <v>0</v>
      </c>
      <c r="C97" s="34" t="str">
        <f>Data!C449</f>
        <v>dryer</v>
      </c>
      <c r="D97" s="109">
        <f>Data!D449*Data!$D$15*$C$92*CP!$H$5</f>
        <v>0</v>
      </c>
      <c r="E97" s="109">
        <f>D97*B97</f>
        <v>0</v>
      </c>
      <c r="F97" s="109">
        <f>IF(CP!K72=0,Data!I449*E97,CP!K72*B97)</f>
        <v>0</v>
      </c>
      <c r="G97" s="60">
        <f>IF(CP!G72=0,Data!F449,CP!G72)</f>
        <v>10</v>
      </c>
      <c r="H97" s="109">
        <f t="shared" si="89"/>
        <v>0</v>
      </c>
      <c r="I97" s="675">
        <f>IF(CP!I72=0,Data!H449*Data!$J$271,CP!I72/CP!E72)</f>
        <v>0.02</v>
      </c>
      <c r="J97" s="109">
        <f>E97*I97</f>
        <v>0</v>
      </c>
      <c r="K97" s="36">
        <f t="shared" si="84"/>
        <v>6.7999999999999996E-3</v>
      </c>
      <c r="L97" s="109">
        <f>E97*K97</f>
        <v>0</v>
      </c>
      <c r="M97" s="109">
        <f>H97+J97+L97</f>
        <v>0</v>
      </c>
      <c r="N97" s="34"/>
      <c r="O97" s="34"/>
      <c r="P97" s="34"/>
      <c r="Q97" s="34"/>
      <c r="R97" s="34"/>
      <c r="S97" s="34"/>
      <c r="T97" s="34"/>
      <c r="U97" s="34"/>
      <c r="V97" s="34"/>
      <c r="W97" s="34"/>
    </row>
    <row r="98" spans="1:23" x14ac:dyDescent="0.3">
      <c r="A98" s="664" t="str">
        <f>Data!A450</f>
        <v>Grain Dryer (Spring Wheat) - MEDIUM SIZE</v>
      </c>
      <c r="B98" s="649">
        <f>Data!B450</f>
        <v>0</v>
      </c>
      <c r="C98" s="34" t="str">
        <f>Data!C450</f>
        <v>dryer</v>
      </c>
      <c r="D98" s="109">
        <f>Data!D450*Data!$D$15*$C$92</f>
        <v>0</v>
      </c>
      <c r="E98" s="109">
        <f>D98*B98</f>
        <v>0</v>
      </c>
      <c r="F98" s="109">
        <f>IF(CP!K73=0,Data!I450*E98,CP!K73*B98)</f>
        <v>0</v>
      </c>
      <c r="G98" s="60">
        <f>IF(CP!G73=0,Data!F450,CP!G73)</f>
        <v>10</v>
      </c>
      <c r="H98" s="109">
        <f t="shared" ref="H98:H99" si="90">(E98*(_int_inv_*(1+_int_inv_)^G98)/((1+_int_inv_)^G98-1))-(F98*_int_inv_/((1+_int_inv_)^G98-1))</f>
        <v>0</v>
      </c>
      <c r="I98" s="675">
        <f>IF(CP!I73=0,Data!H450*Data!$J$271,CP!I73/CP!E73)</f>
        <v>0.02</v>
      </c>
      <c r="J98" s="109">
        <f>E98*I98</f>
        <v>0</v>
      </c>
      <c r="K98" s="36">
        <f t="shared" si="84"/>
        <v>6.7999999999999996E-3</v>
      </c>
      <c r="L98" s="109">
        <f>E98*K98</f>
        <v>0</v>
      </c>
      <c r="M98" s="109">
        <f>H98+J98+L98</f>
        <v>0</v>
      </c>
      <c r="N98" s="34"/>
      <c r="O98" s="34"/>
      <c r="P98" s="34"/>
      <c r="Q98" s="34"/>
      <c r="R98" s="34"/>
      <c r="S98" s="34"/>
      <c r="T98" s="34"/>
      <c r="U98" s="34"/>
      <c r="V98" s="34"/>
      <c r="W98" s="34"/>
    </row>
    <row r="99" spans="1:23" x14ac:dyDescent="0.3">
      <c r="A99" s="664" t="str">
        <f>Data!A451</f>
        <v>Grain Dryer (Spring Wheat) - LARGE SIZE</v>
      </c>
      <c r="B99" s="649">
        <f>Data!B451</f>
        <v>0</v>
      </c>
      <c r="C99" s="34" t="str">
        <f>Data!C451</f>
        <v>dryer</v>
      </c>
      <c r="D99" s="109">
        <f>Data!D451*Data!$D$15*$C$92</f>
        <v>0</v>
      </c>
      <c r="E99" s="109">
        <f>D99*B99</f>
        <v>0</v>
      </c>
      <c r="F99" s="109">
        <f>IF(CP!K74=0,Data!I451*E99,CP!K74*B99)</f>
        <v>0</v>
      </c>
      <c r="G99" s="60">
        <f>IF(CP!G74=0,Data!F451,CP!G74)</f>
        <v>10</v>
      </c>
      <c r="H99" s="109">
        <f t="shared" si="90"/>
        <v>0</v>
      </c>
      <c r="I99" s="675">
        <f>IF(CP!I74=0,Data!H451*Data!$J$271,CP!I74/CP!E74)</f>
        <v>0.02</v>
      </c>
      <c r="J99" s="109">
        <f>E99*I99</f>
        <v>0</v>
      </c>
      <c r="K99" s="36">
        <f t="shared" si="84"/>
        <v>6.7999999999999996E-3</v>
      </c>
      <c r="L99" s="109">
        <f>E99*K99</f>
        <v>0</v>
      </c>
      <c r="M99" s="109">
        <f>H99+J99+L99</f>
        <v>0</v>
      </c>
      <c r="N99" s="34"/>
      <c r="O99" s="34"/>
      <c r="P99" s="34"/>
      <c r="Q99" s="34"/>
      <c r="R99" s="34"/>
      <c r="S99" s="34"/>
      <c r="T99" s="34"/>
      <c r="U99" s="34"/>
      <c r="V99" s="34"/>
      <c r="W99" s="34"/>
    </row>
    <row r="100" spans="1:23" x14ac:dyDescent="0.3">
      <c r="A100" s="664" t="str">
        <f>Data!A452</f>
        <v>Grain Bags (Spring Wheat) - SMALL SIZE</v>
      </c>
      <c r="B100" s="974">
        <f>Data!B452</f>
        <v>0</v>
      </c>
      <c r="C100" s="34" t="str">
        <f>Data!C452</f>
        <v>grain bag</v>
      </c>
      <c r="D100" s="109">
        <f>Data!D452*Data!$D$15*C92</f>
        <v>0</v>
      </c>
      <c r="E100" s="109">
        <f>D100*B100</f>
        <v>0</v>
      </c>
      <c r="F100" s="109">
        <f>IF(CP!K75=0,Data!I452*E100,CP!K75*B100)</f>
        <v>0</v>
      </c>
      <c r="G100" s="60">
        <f>IF(CP!$G$75=0,Data!$F$452,CP!$G$75)</f>
        <v>5</v>
      </c>
      <c r="H100" s="109">
        <f t="shared" si="89"/>
        <v>0</v>
      </c>
      <c r="I100" s="675">
        <f>IF(CP!I75=0,Data!H452*Data!$J$271,CP!I75/CP!E75)</f>
        <v>0</v>
      </c>
      <c r="J100" s="109">
        <f>E100*I100</f>
        <v>0</v>
      </c>
      <c r="K100" s="36">
        <f t="shared" si="84"/>
        <v>6.7999999999999996E-3</v>
      </c>
      <c r="L100" s="109">
        <f>E100*K100</f>
        <v>0</v>
      </c>
      <c r="M100" s="109">
        <f>H100+J100+L100</f>
        <v>0</v>
      </c>
      <c r="N100" s="34"/>
      <c r="O100" s="34"/>
      <c r="P100" s="34"/>
      <c r="Q100" s="34"/>
      <c r="R100" s="34"/>
      <c r="S100" s="34"/>
      <c r="T100" s="34"/>
      <c r="U100" s="34"/>
      <c r="V100" s="34"/>
      <c r="W100" s="34"/>
    </row>
    <row r="101" spans="1:23" x14ac:dyDescent="0.3">
      <c r="A101" s="664" t="str">
        <f>Data!A453</f>
        <v>Grain Bin (Spring Wheat) - MEDIUM SIZE</v>
      </c>
      <c r="B101" s="163">
        <f>Data!B453</f>
        <v>1</v>
      </c>
      <c r="C101" s="34" t="str">
        <f>Data!C453</f>
        <v>crop storage</v>
      </c>
      <c r="D101" s="109">
        <f>Data!D453*Data!$D$15*C92</f>
        <v>0</v>
      </c>
      <c r="E101" s="109">
        <f t="shared" ref="E101:E102" si="91">D101*B101</f>
        <v>0</v>
      </c>
      <c r="F101" s="109">
        <f>IF(CP!K76=0,Data!I453*E101,CP!K76*B101)</f>
        <v>0</v>
      </c>
      <c r="G101" s="60">
        <f>IF(CP!$G$76=0,Data!$F$453,CP!$G$76)</f>
        <v>33</v>
      </c>
      <c r="H101" s="109">
        <f>(E101*(_int_inv_m*(1+_int_inv_m)^G101)/((1+_int_inv_m)^G101-1))-(F101*_int_inv_m/((1+_int_inv_m)^G101-1))</f>
        <v>0</v>
      </c>
      <c r="I101" s="675">
        <f>IF(CP!I76=0,Data!H453*Data!$J$271,CP!I76/CP!E76)</f>
        <v>0.01</v>
      </c>
      <c r="J101" s="109">
        <f t="shared" ref="J101:J102" si="92">E101*I101</f>
        <v>0</v>
      </c>
      <c r="K101" s="36">
        <f t="shared" si="84"/>
        <v>6.7999999999999996E-3</v>
      </c>
      <c r="L101" s="109">
        <f t="shared" ref="L101:L102" si="93">E101*K101</f>
        <v>0</v>
      </c>
      <c r="M101" s="109">
        <f t="shared" ref="M101:M102" si="94">H101+J101+L101</f>
        <v>0</v>
      </c>
      <c r="N101" s="34"/>
      <c r="O101" s="34"/>
      <c r="P101" s="34"/>
      <c r="Q101" s="34"/>
      <c r="R101" s="34"/>
      <c r="S101" s="34"/>
      <c r="T101" s="34"/>
      <c r="U101" s="34"/>
      <c r="V101" s="34"/>
      <c r="W101" s="34"/>
    </row>
    <row r="102" spans="1:23" x14ac:dyDescent="0.3">
      <c r="A102" s="664" t="str">
        <f>Data!A454</f>
        <v>Grain Bin (Spring Wheat) - LARGE SIZE</v>
      </c>
      <c r="B102" s="163">
        <f>Data!B454</f>
        <v>0</v>
      </c>
      <c r="C102" s="34" t="str">
        <f>Data!C454</f>
        <v>crop storage</v>
      </c>
      <c r="D102" s="109">
        <f>Data!D454*Data!$D$15*C92</f>
        <v>0</v>
      </c>
      <c r="E102" s="109">
        <f t="shared" si="91"/>
        <v>0</v>
      </c>
      <c r="F102" s="109">
        <f>IF(CP!K77=0,Data!I454*E102,CP!K77*B102)</f>
        <v>0</v>
      </c>
      <c r="G102" s="60">
        <f>IF(CP!$G$77=0,Data!$F$454,CP!$G$77)</f>
        <v>33</v>
      </c>
      <c r="H102" s="109">
        <f>(E102*(_int_inv_l*(1+_int_inv_l)^G102)/((1+_int_inv_l)^G102-1))-(F102*_int_inv_l/((1+_int_inv_l)^G102-1))</f>
        <v>0</v>
      </c>
      <c r="I102" s="675">
        <f>IF(CP!I77=0,Data!H454*Data!$J$271,CP!I77/CP!E77)</f>
        <v>0.01</v>
      </c>
      <c r="J102" s="109">
        <f t="shared" si="92"/>
        <v>0</v>
      </c>
      <c r="K102" s="36">
        <f t="shared" si="84"/>
        <v>6.7999999999999996E-3</v>
      </c>
      <c r="L102" s="109">
        <f t="shared" si="93"/>
        <v>0</v>
      </c>
      <c r="M102" s="109">
        <f t="shared" si="94"/>
        <v>0</v>
      </c>
      <c r="N102" s="34"/>
      <c r="O102" s="34"/>
      <c r="P102" s="34"/>
      <c r="Q102" s="34"/>
      <c r="R102" s="34"/>
      <c r="S102" s="34"/>
      <c r="T102" s="34"/>
      <c r="U102" s="34"/>
      <c r="V102" s="34"/>
      <c r="W102" s="34"/>
    </row>
    <row r="103" spans="1:23" x14ac:dyDescent="0.3">
      <c r="A103" s="6"/>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IF(Data!$C$39=1,Data!B89,0)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IF(Data!$C$40=1,Data!B89,0)</f>
        <v>0</v>
      </c>
      <c r="C106" s="868" t="str">
        <f>Data!H51</f>
        <v>acre(s)</v>
      </c>
      <c r="D106" s="109">
        <f>Data!$F$61</f>
        <v>1000</v>
      </c>
      <c r="E106" s="109">
        <f t="shared" ref="E106:E107" si="95">D106*B106</f>
        <v>0</v>
      </c>
      <c r="F106" s="864" t="s">
        <v>45</v>
      </c>
      <c r="G106" s="865" t="s">
        <v>45</v>
      </c>
      <c r="H106" s="109">
        <f>E106*_int_inv_m</f>
        <v>0</v>
      </c>
      <c r="I106" s="1307">
        <f>Data!$H$61*Data!$J$271</f>
        <v>0.01</v>
      </c>
      <c r="J106" s="109">
        <f t="shared" ref="J106:J107" si="96">E106*I106</f>
        <v>0</v>
      </c>
      <c r="K106" s="36">
        <f>_tax_ins_</f>
        <v>6.7999999999999996E-3</v>
      </c>
      <c r="L106" s="109">
        <f t="shared" ref="L106:L107" si="97">E106*K106</f>
        <v>0</v>
      </c>
      <c r="M106" s="109">
        <f t="shared" ref="M106:M107" si="98">H106+J106+L106</f>
        <v>0</v>
      </c>
      <c r="N106" s="34"/>
      <c r="O106" s="34"/>
      <c r="P106" s="34"/>
      <c r="Q106" s="34"/>
      <c r="R106" s="34"/>
      <c r="S106" s="34"/>
      <c r="T106" s="34"/>
      <c r="U106" s="34"/>
      <c r="V106" s="34"/>
      <c r="W106" s="34"/>
    </row>
    <row r="107" spans="1:23" x14ac:dyDescent="0.3">
      <c r="A107" s="664" t="str">
        <f>Data!A46</f>
        <v>Interest for investment (Large model)</v>
      </c>
      <c r="B107" s="33">
        <f>IF(Data!$C$41=1,Data!B89,0)</f>
        <v>0</v>
      </c>
      <c r="C107" s="868" t="str">
        <f>Data!H51</f>
        <v>acre(s)</v>
      </c>
      <c r="D107" s="109">
        <f>Data!$F$61</f>
        <v>1000</v>
      </c>
      <c r="E107" s="109">
        <f t="shared" si="95"/>
        <v>0</v>
      </c>
      <c r="F107" s="864" t="s">
        <v>45</v>
      </c>
      <c r="G107" s="865" t="s">
        <v>45</v>
      </c>
      <c r="H107" s="109">
        <f>E107*_int_inv_l</f>
        <v>0</v>
      </c>
      <c r="I107" s="1307">
        <f>Data!$H$61*Data!$J$271</f>
        <v>0.01</v>
      </c>
      <c r="J107" s="109">
        <f t="shared" si="96"/>
        <v>0</v>
      </c>
      <c r="K107" s="36">
        <f>_tax_ins_</f>
        <v>6.7999999999999996E-3</v>
      </c>
      <c r="L107" s="109">
        <f t="shared" si="97"/>
        <v>0</v>
      </c>
      <c r="M107" s="109">
        <f t="shared" si="98"/>
        <v>0</v>
      </c>
      <c r="N107" s="34"/>
      <c r="O107" s="34"/>
      <c r="P107" s="34"/>
      <c r="Q107" s="34"/>
      <c r="R107" s="34"/>
      <c r="S107" s="34"/>
      <c r="T107" s="34"/>
      <c r="U107" s="34"/>
      <c r="V107" s="34"/>
      <c r="W107" s="34"/>
    </row>
    <row r="108" spans="1:23" x14ac:dyDescent="0.3">
      <c r="A108" s="9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863"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Data!D495*Data!$H$15</f>
        <v>0</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Data!D496*Data!$H$15</f>
        <v>0</v>
      </c>
      <c r="E111" s="109">
        <f t="shared" ref="E111:E112" si="99">D111*B111</f>
        <v>0</v>
      </c>
      <c r="F111" s="109">
        <f>IF(CP!K80=0,Data!I496*E111,CP!K80*B111)</f>
        <v>0</v>
      </c>
      <c r="G111" s="34">
        <f>IF(CP!$G$80=0,Data!$F$496,CP!$G$80)</f>
        <v>33</v>
      </c>
      <c r="H111" s="109">
        <f>(E111*(_int_inv_m*(1+_int_inv_m)^G111)/((1+_int_inv_m)^G111-1))-(F111*_int_inv_m/((1+_int_inv_m)^G111-1))</f>
        <v>0</v>
      </c>
      <c r="I111" s="675">
        <f>IF(CP!I80=0,Data!H496*Data!$J$271,CP!I80/CP!E80)</f>
        <v>0.01</v>
      </c>
      <c r="J111" s="109">
        <f t="shared" ref="J111:J112" si="100">E111*I111</f>
        <v>0</v>
      </c>
      <c r="K111" s="36">
        <f>_tax_ins_</f>
        <v>6.7999999999999996E-3</v>
      </c>
      <c r="L111" s="109">
        <f t="shared" ref="L111:L112" si="101">E111*K111</f>
        <v>0</v>
      </c>
      <c r="M111" s="109">
        <f t="shared" ref="M111:M112" si="102">H111+J111+L111</f>
        <v>0</v>
      </c>
    </row>
    <row r="112" spans="1:23" x14ac:dyDescent="0.3">
      <c r="A112" s="664" t="str">
        <f>Data!A497</f>
        <v>Shop/Loading Shed - LARGE SIZE</v>
      </c>
      <c r="B112" s="33">
        <f>Data!B497</f>
        <v>0</v>
      </c>
      <c r="C112" s="34" t="str">
        <f>Data!C497</f>
        <v>building</v>
      </c>
      <c r="D112" s="109">
        <f>Data!D497*Data!$H$15</f>
        <v>0</v>
      </c>
      <c r="E112" s="109">
        <f t="shared" si="99"/>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100"/>
        <v>0</v>
      </c>
      <c r="K112" s="36">
        <f>_tax_ins_</f>
        <v>6.7999999999999996E-3</v>
      </c>
      <c r="L112" s="109">
        <f t="shared" si="101"/>
        <v>0</v>
      </c>
      <c r="M112" s="109">
        <f t="shared" si="102"/>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0</v>
      </c>
      <c r="F121" s="109">
        <f>SUM(F7:F119)</f>
        <v>0</v>
      </c>
      <c r="G121" s="34"/>
      <c r="H121" s="109">
        <f>SUM(H7:H119)</f>
        <v>0</v>
      </c>
      <c r="I121" s="35"/>
      <c r="J121" s="109">
        <f>SUM(J7:J119)</f>
        <v>0</v>
      </c>
      <c r="K121" s="35"/>
      <c r="L121" s="109">
        <f>SUM(L7:L119)</f>
        <v>0</v>
      </c>
      <c r="M121" s="109">
        <f>SUM(M7:M119)</f>
        <v>0</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1978</v>
      </c>
      <c r="E125" s="109">
        <f>SUM(E7:E103)</f>
        <v>0</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1979</v>
      </c>
      <c r="E126" s="109">
        <f>SUM(E105:E108)</f>
        <v>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1980</v>
      </c>
      <c r="E127" s="111">
        <f>SUM(E110:E116)</f>
        <v>0</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1981</v>
      </c>
      <c r="E128" s="109">
        <f>SUM(E125:E127)</f>
        <v>0</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honeticPr fontId="16" type="noConversion"/>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1"/>
  <sheetViews>
    <sheetView workbookViewId="0">
      <pane ySplit="7" topLeftCell="A73" activePane="bottomLeft" state="frozen"/>
      <selection pane="bottomLeft" activeCell="A88" sqref="A88"/>
    </sheetView>
  </sheetViews>
  <sheetFormatPr defaultColWidth="9.08984375" defaultRowHeight="13" x14ac:dyDescent="0.3"/>
  <cols>
    <col min="1" max="1" width="41.9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10.36328125" style="17" customWidth="1"/>
    <col min="16" max="16" width="9.08984375" style="17"/>
    <col min="17" max="17" width="6.90625" style="17" customWidth="1"/>
    <col min="18" max="18" width="7.36328125" style="17" customWidth="1"/>
    <col min="19" max="19" width="7.54296875" style="17" customWidth="1"/>
    <col min="20" max="16384" width="9.08984375" style="17"/>
  </cols>
  <sheetData>
    <row r="1" spans="1:12" x14ac:dyDescent="0.3">
      <c r="A1" s="61" t="s">
        <v>146</v>
      </c>
      <c r="B1" s="17" t="str">
        <f>model</f>
        <v>ME Grain &amp; Pulse</v>
      </c>
      <c r="E1" s="598" t="s">
        <v>106</v>
      </c>
      <c r="F1" s="55" t="s">
        <v>182</v>
      </c>
      <c r="G1" s="55" t="s">
        <v>108</v>
      </c>
    </row>
    <row r="2" spans="1:12" x14ac:dyDescent="0.3">
      <c r="A2" s="61"/>
      <c r="E2" s="598" t="s">
        <v>104</v>
      </c>
      <c r="F2" s="26">
        <f>Data!B132</f>
        <v>282.5</v>
      </c>
      <c r="G2" s="24">
        <f>F2/$F$4</f>
        <v>1</v>
      </c>
    </row>
    <row r="3" spans="1:12" x14ac:dyDescent="0.3">
      <c r="E3" s="598" t="s">
        <v>513</v>
      </c>
      <c r="F3" s="76">
        <f>(Data!B212*Data!K61)/100</f>
        <v>0</v>
      </c>
      <c r="G3" s="57">
        <f>F3/$F$4</f>
        <v>0</v>
      </c>
    </row>
    <row r="4" spans="1:12" x14ac:dyDescent="0.3">
      <c r="A4" s="7" t="s">
        <v>1939</v>
      </c>
      <c r="B4" s="8" t="s">
        <v>92</v>
      </c>
      <c r="C4" s="65">
        <f>wwheat</f>
        <v>0</v>
      </c>
      <c r="D4" s="4" t="s">
        <v>93</v>
      </c>
      <c r="F4" s="26">
        <f>SUM(F2:F3)</f>
        <v>282.5</v>
      </c>
      <c r="G4" s="24">
        <f>SUM(G2:G3)</f>
        <v>1</v>
      </c>
    </row>
    <row r="6" spans="1:12" ht="13.5" x14ac:dyDescent="0.35">
      <c r="A6" s="5" t="s">
        <v>0</v>
      </c>
      <c r="B6" s="5"/>
    </row>
    <row r="7" spans="1:12" s="27" customFormat="1" ht="25.5" customHeight="1" x14ac:dyDescent="0.3">
      <c r="A7" s="41"/>
      <c r="B7" s="391" t="s">
        <v>919</v>
      </c>
      <c r="C7" s="42" t="s">
        <v>21</v>
      </c>
      <c r="D7" s="42" t="s">
        <v>22</v>
      </c>
      <c r="E7" s="646" t="s">
        <v>900</v>
      </c>
      <c r="F7" s="42" t="s">
        <v>23</v>
      </c>
      <c r="G7" s="42" t="s">
        <v>24</v>
      </c>
      <c r="H7" s="42" t="s">
        <v>65</v>
      </c>
    </row>
    <row r="8" spans="1:12" x14ac:dyDescent="0.3">
      <c r="A8" s="3" t="s">
        <v>13</v>
      </c>
      <c r="B8" s="3"/>
    </row>
    <row r="9" spans="1:12" x14ac:dyDescent="0.3">
      <c r="A9" s="638" t="s">
        <v>513</v>
      </c>
      <c r="B9" s="405">
        <f>IF(INPUT!$G$17&gt;0,1,0)</f>
        <v>1</v>
      </c>
      <c r="C9" s="816">
        <f>INPUT!$G$17</f>
        <v>140</v>
      </c>
      <c r="D9" s="34" t="s">
        <v>126</v>
      </c>
      <c r="E9" s="226">
        <f>C9*wwheat</f>
        <v>0</v>
      </c>
      <c r="F9" s="371">
        <f>INPUT!$G$18</f>
        <v>0.6</v>
      </c>
      <c r="G9" s="114">
        <f>C9*F9</f>
        <v>84</v>
      </c>
      <c r="H9" s="109">
        <f>B9*G9*wwheat</f>
        <v>0</v>
      </c>
      <c r="K9" s="904" t="s">
        <v>246</v>
      </c>
      <c r="L9" s="904" t="s">
        <v>577</v>
      </c>
    </row>
    <row r="10" spans="1:12" ht="12.65" customHeight="1" x14ac:dyDescent="0.3">
      <c r="A10" s="638" t="s">
        <v>125</v>
      </c>
      <c r="B10" s="405">
        <f>IF(INPUT!$G$19="Clover",1,0)</f>
        <v>0</v>
      </c>
      <c r="C10" s="816">
        <f>IF(INPUT!$G$19="Clover",INPUT!$G$21,wWv!K10)</f>
        <v>8</v>
      </c>
      <c r="D10" s="34" t="s">
        <v>126</v>
      </c>
      <c r="E10" s="226">
        <f>C10*wwheat</f>
        <v>0</v>
      </c>
      <c r="F10" s="371">
        <f>IF(INPUT!$G$19="Clover",INPUT!$G$22,wWv!L10)</f>
        <v>2.6</v>
      </c>
      <c r="G10" s="114">
        <f>C10*F10</f>
        <v>20.8</v>
      </c>
      <c r="H10" s="109">
        <f>B10*G10*wwheat</f>
        <v>0</v>
      </c>
      <c r="K10" s="273">
        <f>8</f>
        <v>8</v>
      </c>
      <c r="L10" s="905">
        <f>130/50</f>
        <v>2.6</v>
      </c>
    </row>
    <row r="11" spans="1:12" x14ac:dyDescent="0.3">
      <c r="A11" s="638" t="s">
        <v>1143</v>
      </c>
      <c r="B11" s="405">
        <f>IF(INPUT!$G$19="Ryegrass",1,0)</f>
        <v>0</v>
      </c>
      <c r="C11" s="816">
        <f>IF(INPUT!$G$19="Ryegrass",INPUT!$G$21,wWv!K11)</f>
        <v>8</v>
      </c>
      <c r="D11" s="34" t="s">
        <v>126</v>
      </c>
      <c r="E11" s="226">
        <f>C11*wwheat</f>
        <v>0</v>
      </c>
      <c r="F11" s="371">
        <f>IF(INPUT!$G$19="Ryegrass",INPUT!$G$22,wWv!L11)</f>
        <v>1.4</v>
      </c>
      <c r="G11" s="114">
        <f>C11*F11</f>
        <v>11.2</v>
      </c>
      <c r="H11" s="109">
        <f>B11*G11*wwheat</f>
        <v>0</v>
      </c>
      <c r="K11" s="644">
        <v>8</v>
      </c>
      <c r="L11" s="905">
        <f>70/50</f>
        <v>1.4</v>
      </c>
    </row>
    <row r="12" spans="1:12" x14ac:dyDescent="0.3">
      <c r="A12" s="638" t="str">
        <f>IF(INPUT!$F$19="Other",INPUT!F20,"Other")</f>
        <v>Other</v>
      </c>
      <c r="B12" s="405">
        <f>IF(INPUT!$G$19="Other",1,0)</f>
        <v>0</v>
      </c>
      <c r="C12" s="816">
        <f>IF(INPUT!$G$19="Other",INPUT!$G$21,0)</f>
        <v>0</v>
      </c>
      <c r="D12" s="34" t="s">
        <v>126</v>
      </c>
      <c r="E12" s="226">
        <f>C12*wwheat</f>
        <v>0</v>
      </c>
      <c r="F12" s="906">
        <f>IF(INPUT!$G$19="Other",INPUT!$G$22,0)</f>
        <v>0</v>
      </c>
      <c r="G12" s="110">
        <f>C12*F12</f>
        <v>0</v>
      </c>
      <c r="H12" s="109">
        <f>B12*G12*wwheat</f>
        <v>0</v>
      </c>
      <c r="I12" s="108">
        <f>SUM(H8:H12)</f>
        <v>0</v>
      </c>
    </row>
    <row r="13" spans="1:12" x14ac:dyDescent="0.3">
      <c r="A13" s="3" t="s">
        <v>1</v>
      </c>
      <c r="B13" s="3"/>
      <c r="C13" s="46"/>
      <c r="D13" s="34"/>
      <c r="E13" s="226"/>
      <c r="F13" s="104"/>
      <c r="G13" s="104"/>
      <c r="H13" s="109"/>
    </row>
    <row r="14" spans="1:12" x14ac:dyDescent="0.3">
      <c r="A14" s="6" t="s">
        <v>251</v>
      </c>
      <c r="B14" s="397">
        <v>0</v>
      </c>
      <c r="C14" s="278">
        <v>0.125</v>
      </c>
      <c r="D14" s="34" t="s">
        <v>26</v>
      </c>
      <c r="E14" s="226">
        <f t="shared" ref="E14:E19" si="0">C14*wwheat</f>
        <v>0</v>
      </c>
      <c r="F14" s="608">
        <v>600</v>
      </c>
      <c r="G14" s="114">
        <f t="shared" ref="G14:G19" si="1">C14*F14</f>
        <v>75</v>
      </c>
      <c r="H14" s="109">
        <f t="shared" ref="H14:H19" si="2">B14*G14*wwheat</f>
        <v>0</v>
      </c>
    </row>
    <row r="15" spans="1:12" x14ac:dyDescent="0.3">
      <c r="A15" s="6" t="s">
        <v>252</v>
      </c>
      <c r="B15" s="397">
        <v>0</v>
      </c>
      <c r="C15" s="359">
        <f>IF(Data!G128=0, 5/2000, 46/2000)</f>
        <v>2.3E-2</v>
      </c>
      <c r="D15" s="34" t="s">
        <v>26</v>
      </c>
      <c r="E15" s="226">
        <f t="shared" si="0"/>
        <v>0</v>
      </c>
      <c r="F15" s="608">
        <v>600</v>
      </c>
      <c r="G15" s="114">
        <f t="shared" si="1"/>
        <v>13.799999999999999</v>
      </c>
      <c r="H15" s="109">
        <f t="shared" si="2"/>
        <v>0</v>
      </c>
      <c r="I15" s="108"/>
    </row>
    <row r="16" spans="1:12" x14ac:dyDescent="0.3">
      <c r="A16" s="638" t="str">
        <f>IF(INPUT!$F$29="Chicken Manure", "Chicken Manure", "None")</f>
        <v>Chicken Manure</v>
      </c>
      <c r="B16" s="405">
        <f>IF(INPUT!$G$29="Chicken Manure",1,0)</f>
        <v>1</v>
      </c>
      <c r="C16" s="405">
        <f>IF(INPUT!$G$29="Chicken Manure",INPUT!$G$32,0)</f>
        <v>3</v>
      </c>
      <c r="D16" s="34" t="str">
        <f>IF(INPUT!$G$29="Chicken Manure",INPUT!$G$31,"ton")</f>
        <v>ton</v>
      </c>
      <c r="E16" s="226">
        <f t="shared" si="0"/>
        <v>0</v>
      </c>
      <c r="F16" s="901">
        <f>IF(INPUT!$G$29="Chicken Manure",INPUT!$G$33,0)</f>
        <v>35</v>
      </c>
      <c r="G16" s="114">
        <f t="shared" si="1"/>
        <v>105</v>
      </c>
      <c r="H16" s="109">
        <f t="shared" si="2"/>
        <v>0</v>
      </c>
      <c r="I16" s="108"/>
    </row>
    <row r="17" spans="1:12" x14ac:dyDescent="0.3">
      <c r="A17" s="638" t="str">
        <f>IF(INPUT!$F$29="Chilean Nitrate", "Chilean Nitrate", "None")</f>
        <v>None</v>
      </c>
      <c r="B17" s="405">
        <f>IF(INPUT!$G$29="Chilean Nitrate",1,0)</f>
        <v>0</v>
      </c>
      <c r="C17" s="816">
        <f>IF(INPUT!$G$29="Chilean Nitrate",INPUT!$G$32,0)</f>
        <v>0</v>
      </c>
      <c r="D17" s="34" t="str">
        <f>IF(INPUT!$G$29="Chilean Nitrate",INPUT!$G$31,"lb")</f>
        <v>lb</v>
      </c>
      <c r="E17" s="226">
        <f t="shared" si="0"/>
        <v>0</v>
      </c>
      <c r="F17" s="901">
        <f>IF(INPUT!$G$29="Chilean Nitrate",INPUT!$G$33,0)</f>
        <v>0</v>
      </c>
      <c r="G17" s="110">
        <f t="shared" si="1"/>
        <v>0</v>
      </c>
      <c r="H17" s="109">
        <f t="shared" si="2"/>
        <v>0</v>
      </c>
    </row>
    <row r="18" spans="1:12" x14ac:dyDescent="0.3">
      <c r="A18" s="638" t="str">
        <f>INPUT!F35</f>
        <v>Chilean Nitrate</v>
      </c>
      <c r="B18" s="405">
        <f>IF(INPUT!$G$35="None",0,1)</f>
        <v>1</v>
      </c>
      <c r="C18" s="816">
        <f>INPUT!$G$38</f>
        <v>0</v>
      </c>
      <c r="D18" s="34" t="str">
        <f>IF(INPUT!$G$35="None","n/a",INPUT!$G$37)</f>
        <v>lb</v>
      </c>
      <c r="E18" s="226">
        <f t="shared" si="0"/>
        <v>0</v>
      </c>
      <c r="F18" s="908">
        <f>INPUT!$G$39</f>
        <v>0.6</v>
      </c>
      <c r="G18" s="114">
        <f t="shared" si="1"/>
        <v>0</v>
      </c>
      <c r="H18" s="109">
        <f t="shared" si="2"/>
        <v>0</v>
      </c>
      <c r="I18" s="108">
        <f>SUM(H13:H18)</f>
        <v>0</v>
      </c>
    </row>
    <row r="19" spans="1:12" x14ac:dyDescent="0.3">
      <c r="A19" s="638" t="s">
        <v>2</v>
      </c>
      <c r="B19" s="405">
        <f>INPUT!$G$41</f>
        <v>0</v>
      </c>
      <c r="C19" s="369">
        <f>INPUT!$G$43/INPUT!$G$44</f>
        <v>0.2</v>
      </c>
      <c r="D19" s="34" t="str">
        <f>INPUT!$G$42</f>
        <v>ton</v>
      </c>
      <c r="E19" s="226">
        <f t="shared" si="0"/>
        <v>0</v>
      </c>
      <c r="F19" s="109">
        <f>INPUT!$G$45</f>
        <v>38.260869565217398</v>
      </c>
      <c r="G19" s="114">
        <f t="shared" si="1"/>
        <v>7.6521739130434803</v>
      </c>
      <c r="H19" s="109">
        <f t="shared" si="2"/>
        <v>0</v>
      </c>
      <c r="I19" s="108">
        <f>SUM(H19:H19)</f>
        <v>0</v>
      </c>
    </row>
    <row r="20" spans="1:12" x14ac:dyDescent="0.3">
      <c r="A20" s="3" t="s">
        <v>1476</v>
      </c>
      <c r="B20" s="3"/>
      <c r="C20" s="46"/>
      <c r="D20" s="34"/>
      <c r="E20" s="226"/>
      <c r="F20" s="104"/>
      <c r="G20" s="104"/>
      <c r="H20" s="109"/>
    </row>
    <row r="21" spans="1:12" x14ac:dyDescent="0.3">
      <c r="A21" s="638" t="s">
        <v>1577</v>
      </c>
      <c r="B21" s="405">
        <f>IF(INPUT!$G$47=1,1,0)</f>
        <v>0</v>
      </c>
      <c r="C21" s="816">
        <f>INPUT!$G$49</f>
        <v>0</v>
      </c>
      <c r="D21" s="34" t="str">
        <f>INPUT!$G$48</f>
        <v>lb</v>
      </c>
      <c r="E21" s="226">
        <f>C21*wwheat</f>
        <v>0</v>
      </c>
      <c r="F21" s="900">
        <f>INPUT!$G$50</f>
        <v>0</v>
      </c>
      <c r="G21" s="110">
        <f>C21*F21</f>
        <v>0</v>
      </c>
      <c r="H21" s="109">
        <f>B21*G21*wwheat</f>
        <v>0</v>
      </c>
    </row>
    <row r="22" spans="1:12" x14ac:dyDescent="0.3">
      <c r="A22" s="6" t="s">
        <v>1477</v>
      </c>
      <c r="B22" s="397">
        <v>0</v>
      </c>
      <c r="C22" s="273">
        <v>0</v>
      </c>
      <c r="D22" s="34" t="s">
        <v>220</v>
      </c>
      <c r="E22" s="226">
        <f>C22*wwheat</f>
        <v>0</v>
      </c>
      <c r="F22" s="252">
        <v>0</v>
      </c>
      <c r="G22" s="110">
        <f>C22*F22</f>
        <v>0</v>
      </c>
      <c r="H22" s="109">
        <f>B22*G22*wwheat</f>
        <v>0</v>
      </c>
    </row>
    <row r="23" spans="1:12" x14ac:dyDescent="0.3">
      <c r="A23" s="6" t="s">
        <v>1479</v>
      </c>
      <c r="B23" s="397">
        <v>0</v>
      </c>
      <c r="C23" s="273">
        <v>0</v>
      </c>
      <c r="D23" s="34" t="s">
        <v>220</v>
      </c>
      <c r="E23" s="226">
        <f>C23*wwheat</f>
        <v>0</v>
      </c>
      <c r="F23" s="252">
        <v>0</v>
      </c>
      <c r="G23" s="110">
        <f>C23*F23</f>
        <v>0</v>
      </c>
      <c r="H23" s="109">
        <f>B23*G23*wwheat</f>
        <v>0</v>
      </c>
      <c r="I23" s="108">
        <f>SUM(H20:H23)</f>
        <v>0</v>
      </c>
    </row>
    <row r="24" spans="1:12" x14ac:dyDescent="0.3">
      <c r="A24" s="3" t="s">
        <v>14</v>
      </c>
      <c r="B24" s="3"/>
      <c r="C24" s="46"/>
      <c r="D24" s="34"/>
      <c r="E24" s="226"/>
      <c r="F24" s="104"/>
      <c r="G24" s="114"/>
      <c r="H24" s="109"/>
    </row>
    <row r="25" spans="1:12" x14ac:dyDescent="0.3">
      <c r="A25" s="22" t="s">
        <v>332</v>
      </c>
      <c r="B25" s="22"/>
      <c r="C25" s="46"/>
      <c r="D25" s="34"/>
      <c r="E25" s="226"/>
      <c r="F25" s="104"/>
      <c r="G25" s="114"/>
      <c r="H25" s="109"/>
    </row>
    <row r="26" spans="1:12" x14ac:dyDescent="0.3">
      <c r="A26" s="639" t="s">
        <v>1903</v>
      </c>
      <c r="B26" s="405">
        <f>IF(OS!$O$7="Moldboard Plow",OS!P7,0)</f>
        <v>0</v>
      </c>
      <c r="C26" s="156">
        <f>IF(OSI!$G$8&gt;0,(1/OSI!$G$8),Data!$H$579)</f>
        <v>0.23980815347721804</v>
      </c>
      <c r="D26" s="34" t="s">
        <v>128</v>
      </c>
      <c r="E26" s="226">
        <f t="shared" ref="E26:E54" si="3">C26*wwheat</f>
        <v>0</v>
      </c>
      <c r="F26" s="167">
        <f t="shared" ref="F26:F53" si="4">_wage_</f>
        <v>12.29</v>
      </c>
      <c r="G26" s="114">
        <f t="shared" ref="G26:G53" si="5">C26*F26</f>
        <v>2.9472422062350097</v>
      </c>
      <c r="H26" s="109">
        <f t="shared" ref="H26:H43" si="6">B26*G26*wwheat</f>
        <v>0</v>
      </c>
    </row>
    <row r="27" spans="1:12" x14ac:dyDescent="0.3">
      <c r="A27" s="639" t="s">
        <v>468</v>
      </c>
      <c r="B27" s="405">
        <f>IF(OS!$O$8="Spr.Sld.Man.",OS!P8,0)</f>
        <v>1</v>
      </c>
      <c r="C27" s="156">
        <f>IF(OSI!$G$9&gt;0,(1/OSI!$G$9),Data!$H$585)</f>
        <v>0.25</v>
      </c>
      <c r="D27" s="34" t="s">
        <v>128</v>
      </c>
      <c r="E27" s="226">
        <f t="shared" si="3"/>
        <v>0</v>
      </c>
      <c r="F27" s="167">
        <f t="shared" si="4"/>
        <v>12.29</v>
      </c>
      <c r="G27" s="114">
        <f t="shared" si="5"/>
        <v>3.0724999999999998</v>
      </c>
      <c r="H27" s="109">
        <f t="shared" si="6"/>
        <v>0</v>
      </c>
    </row>
    <row r="28" spans="1:12" x14ac:dyDescent="0.3">
      <c r="A28" s="640" t="s">
        <v>1427</v>
      </c>
      <c r="B28" s="405">
        <f>IF(OS!$O$9="Chisel Plow",OS!P9,0)</f>
        <v>1</v>
      </c>
      <c r="C28" s="156">
        <f>IF(OSI!$G$10&gt;0,(1/OSI!$G$10),Data!$H$580)</f>
        <v>0.11764705882352899</v>
      </c>
      <c r="D28" s="34" t="s">
        <v>128</v>
      </c>
      <c r="E28" s="226">
        <f t="shared" si="3"/>
        <v>0</v>
      </c>
      <c r="F28" s="104">
        <f t="shared" si="4"/>
        <v>12.29</v>
      </c>
      <c r="G28" s="114">
        <f t="shared" si="5"/>
        <v>1.4458823529411713</v>
      </c>
      <c r="H28" s="109">
        <f t="shared" si="6"/>
        <v>0</v>
      </c>
      <c r="K28" s="55"/>
      <c r="L28" s="55"/>
    </row>
    <row r="29" spans="1:12" x14ac:dyDescent="0.3">
      <c r="A29" s="638" t="s">
        <v>485</v>
      </c>
      <c r="B29" s="405">
        <f>IF(OS!$O$10="Disk Harrow",OS!P10,0)</f>
        <v>1</v>
      </c>
      <c r="C29" s="645">
        <f>IF(OSI!$G$11&gt;0,(1/OSI!$G$11),Data!$H$581)</f>
        <v>8.1833060556464804E-2</v>
      </c>
      <c r="D29" s="34" t="s">
        <v>128</v>
      </c>
      <c r="E29" s="226">
        <f t="shared" si="3"/>
        <v>0</v>
      </c>
      <c r="F29" s="104">
        <f t="shared" si="4"/>
        <v>12.29</v>
      </c>
      <c r="G29" s="114">
        <f t="shared" si="5"/>
        <v>1.0057283142389524</v>
      </c>
      <c r="H29" s="109">
        <f t="shared" si="6"/>
        <v>0</v>
      </c>
      <c r="K29" s="55"/>
      <c r="L29" s="55"/>
    </row>
    <row r="30" spans="1:12" x14ac:dyDescent="0.3">
      <c r="A30" s="22" t="s">
        <v>315</v>
      </c>
      <c r="B30" s="397">
        <v>0</v>
      </c>
      <c r="C30" s="156">
        <f>Data!H582</f>
        <v>0.48</v>
      </c>
      <c r="D30" s="34" t="s">
        <v>128</v>
      </c>
      <c r="E30" s="226">
        <f t="shared" si="3"/>
        <v>0</v>
      </c>
      <c r="F30" s="104">
        <f t="shared" si="4"/>
        <v>12.29</v>
      </c>
      <c r="G30" s="114">
        <f t="shared" si="5"/>
        <v>5.8991999999999996</v>
      </c>
      <c r="H30" s="109">
        <f t="shared" si="6"/>
        <v>0</v>
      </c>
      <c r="K30" s="55"/>
      <c r="L30" s="55"/>
    </row>
    <row r="31" spans="1:12" x14ac:dyDescent="0.3">
      <c r="A31" s="22" t="s">
        <v>581</v>
      </c>
      <c r="B31" s="397">
        <v>0</v>
      </c>
      <c r="C31" s="156">
        <f>Data!H583</f>
        <v>9.2929292929292931E-2</v>
      </c>
      <c r="D31" s="34" t="s">
        <v>128</v>
      </c>
      <c r="E31" s="226">
        <f t="shared" si="3"/>
        <v>0</v>
      </c>
      <c r="F31" s="104">
        <f t="shared" si="4"/>
        <v>12.29</v>
      </c>
      <c r="G31" s="114">
        <f t="shared" si="5"/>
        <v>1.1421010101010101</v>
      </c>
      <c r="H31" s="109">
        <f t="shared" si="6"/>
        <v>0</v>
      </c>
      <c r="K31" s="55"/>
      <c r="L31" s="55"/>
    </row>
    <row r="32" spans="1:12" x14ac:dyDescent="0.3">
      <c r="A32" s="22" t="s">
        <v>322</v>
      </c>
      <c r="B32" s="397">
        <v>0</v>
      </c>
      <c r="C32" s="273">
        <f>0</f>
        <v>0</v>
      </c>
      <c r="D32" s="34" t="s">
        <v>128</v>
      </c>
      <c r="E32" s="226">
        <f t="shared" si="3"/>
        <v>0</v>
      </c>
      <c r="F32" s="104">
        <f t="shared" si="4"/>
        <v>12.29</v>
      </c>
      <c r="G32" s="110">
        <f t="shared" si="5"/>
        <v>0</v>
      </c>
      <c r="H32" s="109">
        <f t="shared" si="6"/>
        <v>0</v>
      </c>
    </row>
    <row r="33" spans="1:12" ht="13.5" thickBot="1" x14ac:dyDescent="0.35">
      <c r="A33" s="639" t="s">
        <v>333</v>
      </c>
      <c r="B33" s="405">
        <f>IF(OS!$O$11="Finish Harrow",OS!P11,0)</f>
        <v>1</v>
      </c>
      <c r="C33" s="645">
        <f>IF(OSI!$G$12&gt;0,(1/OSI!$G$12),Data!$H$589)</f>
        <v>7.7041602465331302E-2</v>
      </c>
      <c r="D33" s="34" t="s">
        <v>128</v>
      </c>
      <c r="E33" s="226">
        <f t="shared" si="3"/>
        <v>0</v>
      </c>
      <c r="F33" s="104">
        <f t="shared" si="4"/>
        <v>12.29</v>
      </c>
      <c r="G33" s="114">
        <f t="shared" si="5"/>
        <v>0.94684129429892161</v>
      </c>
      <c r="H33" s="109">
        <f t="shared" si="6"/>
        <v>0</v>
      </c>
      <c r="I33" s="216" t="s">
        <v>2166</v>
      </c>
      <c r="K33" s="914" t="s">
        <v>1627</v>
      </c>
      <c r="L33" s="55"/>
    </row>
    <row r="34" spans="1:12" ht="13.5" thickBot="1" x14ac:dyDescent="0.35">
      <c r="A34" s="639" t="s">
        <v>334</v>
      </c>
      <c r="B34" s="405">
        <f>IF(OS!$O$12="Grain Drill",OS!P12,0)</f>
        <v>1</v>
      </c>
      <c r="C34" s="156">
        <f>IF(OSI!$G$13&gt;0,(1/OSI!$G$14),Data!$H$594)</f>
        <v>7.7041602465331302E-2</v>
      </c>
      <c r="D34" s="34" t="s">
        <v>128</v>
      </c>
      <c r="E34" s="226">
        <f t="shared" si="3"/>
        <v>0</v>
      </c>
      <c r="F34" s="104">
        <f t="shared" si="4"/>
        <v>12.29</v>
      </c>
      <c r="G34" s="114">
        <f t="shared" si="5"/>
        <v>0.94684129429892161</v>
      </c>
      <c r="H34" s="109">
        <f t="shared" si="6"/>
        <v>0</v>
      </c>
      <c r="I34" s="216" t="s">
        <v>1627</v>
      </c>
      <c r="K34" s="56" t="s">
        <v>1630</v>
      </c>
      <c r="L34" s="913" t="s">
        <v>1625</v>
      </c>
    </row>
    <row r="35" spans="1:12" ht="13.5" thickBot="1" x14ac:dyDescent="0.35">
      <c r="A35" s="639" t="s">
        <v>2218</v>
      </c>
      <c r="B35" s="405">
        <f>IF(OS!$O$13="Tine Harrow",OS!P13,0)</f>
        <v>0</v>
      </c>
      <c r="C35" s="645">
        <f>IF(OSI!$G$14&gt;0,(1/OSI!$G$14),Data!$H$591)</f>
        <v>7.7041602465331302E-2</v>
      </c>
      <c r="D35" s="34" t="s">
        <v>128</v>
      </c>
      <c r="E35" s="226">
        <f t="shared" si="3"/>
        <v>0</v>
      </c>
      <c r="F35" s="167">
        <f t="shared" si="4"/>
        <v>12.29</v>
      </c>
      <c r="G35" s="114">
        <f t="shared" si="5"/>
        <v>0.94684129429892161</v>
      </c>
      <c r="H35" s="109">
        <f t="shared" si="6"/>
        <v>0</v>
      </c>
      <c r="I35" s="643">
        <v>2</v>
      </c>
      <c r="J35" s="668" t="s">
        <v>2217</v>
      </c>
      <c r="K35" s="55">
        <f>IF(OS!$O$13="None",0,1)</f>
        <v>0</v>
      </c>
      <c r="L35" s="1331">
        <f>OS!P13</f>
        <v>0</v>
      </c>
    </row>
    <row r="36" spans="1:12" ht="13.5" thickBot="1" x14ac:dyDescent="0.35">
      <c r="A36" s="639" t="s">
        <v>340</v>
      </c>
      <c r="B36" s="405">
        <f>IF(OS!$O$14="Cultivate",OS!P14,0)</f>
        <v>0</v>
      </c>
      <c r="C36" s="645">
        <f>IF(OSI!$G$15&gt;0,(1/OSI!$G$15),Data!$H$606)</f>
        <v>6.4724919093851099E-2</v>
      </c>
      <c r="D36" s="34" t="s">
        <v>128</v>
      </c>
      <c r="E36" s="226">
        <f t="shared" si="3"/>
        <v>0</v>
      </c>
      <c r="F36" s="167">
        <f t="shared" si="4"/>
        <v>12.29</v>
      </c>
      <c r="G36" s="114">
        <f t="shared" si="5"/>
        <v>0.79546925566342996</v>
      </c>
      <c r="H36" s="109">
        <f t="shared" si="6"/>
        <v>0</v>
      </c>
      <c r="J36" s="668" t="s">
        <v>1607</v>
      </c>
      <c r="K36" s="55">
        <f>IF(OS!$O$14="None",0,1)</f>
        <v>0</v>
      </c>
      <c r="L36" s="1331">
        <f>OS!P14</f>
        <v>0</v>
      </c>
    </row>
    <row r="37" spans="1:12" x14ac:dyDescent="0.3">
      <c r="A37" s="639" t="s">
        <v>1626</v>
      </c>
      <c r="B37" s="405">
        <f>IF(OS!$O$15="Spr.Chilean N",OS!P15,0)</f>
        <v>1</v>
      </c>
      <c r="C37" s="645">
        <f>IF(OSI!$G$16&gt;0,(1/OSI!$G$16),Data!$H$584)</f>
        <v>9.2929292929292903E-2</v>
      </c>
      <c r="D37" s="34" t="s">
        <v>128</v>
      </c>
      <c r="E37" s="226">
        <f t="shared" si="3"/>
        <v>0</v>
      </c>
      <c r="F37" s="167">
        <f t="shared" si="4"/>
        <v>12.29</v>
      </c>
      <c r="G37" s="114">
        <f t="shared" si="5"/>
        <v>1.1421010101010096</v>
      </c>
      <c r="H37" s="109">
        <f t="shared" si="6"/>
        <v>0</v>
      </c>
      <c r="K37" s="55"/>
      <c r="L37" s="55"/>
    </row>
    <row r="38" spans="1:12" x14ac:dyDescent="0.3">
      <c r="A38" s="22" t="s">
        <v>304</v>
      </c>
      <c r="B38" s="397">
        <v>0</v>
      </c>
      <c r="C38" s="156">
        <f>Data!H599</f>
        <v>0.11851851851851852</v>
      </c>
      <c r="D38" s="34" t="s">
        <v>128</v>
      </c>
      <c r="E38" s="226">
        <f t="shared" si="3"/>
        <v>0</v>
      </c>
      <c r="F38" s="104">
        <f t="shared" si="4"/>
        <v>12.29</v>
      </c>
      <c r="G38" s="114">
        <f t="shared" si="5"/>
        <v>1.4565925925925924</v>
      </c>
      <c r="H38" s="109">
        <f t="shared" si="6"/>
        <v>0</v>
      </c>
      <c r="K38" s="55"/>
      <c r="L38" s="55"/>
    </row>
    <row r="39" spans="1:12" x14ac:dyDescent="0.3">
      <c r="A39" s="639" t="s">
        <v>1628</v>
      </c>
      <c r="B39" s="405">
        <f>IF(OS!$O$16="Spray Fung.",OS!P16,0)</f>
        <v>0</v>
      </c>
      <c r="C39" s="156">
        <f>IF(OSI!$G$17&gt;0,(1/OSI!$G$17),Data!$H$601)</f>
        <v>2.169668040789759E-2</v>
      </c>
      <c r="D39" s="34" t="s">
        <v>128</v>
      </c>
      <c r="E39" s="226">
        <f t="shared" si="3"/>
        <v>0</v>
      </c>
      <c r="F39" s="167">
        <f t="shared" si="4"/>
        <v>12.29</v>
      </c>
      <c r="G39" s="114">
        <f t="shared" si="5"/>
        <v>0.26665220221306135</v>
      </c>
      <c r="H39" s="109">
        <f t="shared" si="6"/>
        <v>0</v>
      </c>
      <c r="K39" s="55"/>
      <c r="L39" s="55"/>
    </row>
    <row r="40" spans="1:12" x14ac:dyDescent="0.3">
      <c r="A40" s="639" t="s">
        <v>1320</v>
      </c>
      <c r="B40" s="405">
        <f>IF(OS!$O$18="Combine",OS!P18,0)</f>
        <v>1</v>
      </c>
      <c r="C40" s="156">
        <f>IF(OSI!$G$19&gt;0,(1/OSI!$G$19),Data!$H$614)</f>
        <v>0.33333333333333298</v>
      </c>
      <c r="D40" s="34" t="s">
        <v>128</v>
      </c>
      <c r="E40" s="226">
        <f t="shared" si="3"/>
        <v>0</v>
      </c>
      <c r="F40" s="104">
        <f t="shared" si="4"/>
        <v>12.29</v>
      </c>
      <c r="G40" s="114">
        <f t="shared" si="5"/>
        <v>4.0966666666666622</v>
      </c>
      <c r="H40" s="109">
        <f t="shared" si="6"/>
        <v>0</v>
      </c>
      <c r="K40" s="55"/>
      <c r="L40" s="55"/>
    </row>
    <row r="41" spans="1:12" x14ac:dyDescent="0.3">
      <c r="A41" s="666" t="s">
        <v>1022</v>
      </c>
      <c r="B41" s="397">
        <v>0</v>
      </c>
      <c r="C41" s="47">
        <f>Data!$H$615*Data!$F$213</f>
        <v>0</v>
      </c>
      <c r="D41" s="48" t="s">
        <v>115</v>
      </c>
      <c r="E41" s="647">
        <f t="shared" si="3"/>
        <v>0</v>
      </c>
      <c r="F41" s="118">
        <f>_wage_</f>
        <v>12.29</v>
      </c>
      <c r="G41" s="465">
        <f>C41*F41</f>
        <v>0</v>
      </c>
      <c r="H41" s="123">
        <f t="shared" si="6"/>
        <v>0</v>
      </c>
      <c r="K41" s="55"/>
      <c r="L41" s="55"/>
    </row>
    <row r="42" spans="1:12" x14ac:dyDescent="0.3">
      <c r="A42" s="639" t="s">
        <v>2085</v>
      </c>
      <c r="B42" s="405">
        <f>IF(OS!$O$19="Truck",OS!P19,0)</f>
        <v>1</v>
      </c>
      <c r="C42" s="156">
        <f>IF(OSI!$G$20&gt;0,(1/OSI!$G$20),Data!$H$632)</f>
        <v>7.8140079844169097E-2</v>
      </c>
      <c r="D42" s="34" t="s">
        <v>128</v>
      </c>
      <c r="E42" s="226">
        <f t="shared" si="3"/>
        <v>0</v>
      </c>
      <c r="F42" s="104">
        <f t="shared" si="4"/>
        <v>12.29</v>
      </c>
      <c r="G42" s="114">
        <f t="shared" si="5"/>
        <v>0.96034158128483815</v>
      </c>
      <c r="H42" s="109">
        <f t="shared" si="6"/>
        <v>0</v>
      </c>
      <c r="K42" s="55"/>
      <c r="L42" s="55"/>
    </row>
    <row r="43" spans="1:12" x14ac:dyDescent="0.3">
      <c r="A43" s="666" t="s">
        <v>1022</v>
      </c>
      <c r="B43" s="405">
        <f>B42</f>
        <v>1</v>
      </c>
      <c r="C43" s="47">
        <f>Data!$H$633*Data!$F$213</f>
        <v>0</v>
      </c>
      <c r="D43" s="48" t="s">
        <v>115</v>
      </c>
      <c r="E43" s="647">
        <f t="shared" si="3"/>
        <v>0</v>
      </c>
      <c r="F43" s="118">
        <f>_wage_</f>
        <v>12.29</v>
      </c>
      <c r="G43" s="465">
        <f>C43*F43</f>
        <v>0</v>
      </c>
      <c r="H43" s="123">
        <f t="shared" si="6"/>
        <v>0</v>
      </c>
      <c r="K43" s="55"/>
      <c r="L43" s="55"/>
    </row>
    <row r="44" spans="1:12" x14ac:dyDescent="0.3">
      <c r="A44" s="22" t="s">
        <v>756</v>
      </c>
      <c r="B44" s="405">
        <f>Data!$B$32</f>
        <v>0</v>
      </c>
      <c r="C44" s="156">
        <f>Data!H648*Data!B33</f>
        <v>0</v>
      </c>
      <c r="D44" s="34" t="s">
        <v>128</v>
      </c>
      <c r="E44" s="226">
        <f t="shared" si="3"/>
        <v>0</v>
      </c>
      <c r="F44" s="167">
        <f t="shared" si="4"/>
        <v>12.29</v>
      </c>
      <c r="G44" s="114">
        <f t="shared" si="5"/>
        <v>0</v>
      </c>
      <c r="H44" s="109">
        <f>(B44*G44*wwheat)*Data!$B$33*Data!$H$33</f>
        <v>0</v>
      </c>
      <c r="I44" s="87"/>
    </row>
    <row r="45" spans="1:12" x14ac:dyDescent="0.3">
      <c r="A45" s="22" t="s">
        <v>757</v>
      </c>
      <c r="B45" s="405">
        <f>Data!$B$32*Data!$C$32</f>
        <v>0</v>
      </c>
      <c r="C45" s="156">
        <f>Data!H649*Data!B33</f>
        <v>0</v>
      </c>
      <c r="D45" s="34" t="s">
        <v>128</v>
      </c>
      <c r="E45" s="226">
        <f t="shared" si="3"/>
        <v>0</v>
      </c>
      <c r="F45" s="167">
        <f t="shared" si="4"/>
        <v>12.29</v>
      </c>
      <c r="G45" s="114">
        <f t="shared" si="5"/>
        <v>0</v>
      </c>
      <c r="H45" s="109">
        <f>(B45*G45*wwheat)*Data!$B$33*Data!$C$33*Data!$F$33</f>
        <v>0</v>
      </c>
      <c r="I45" s="87"/>
    </row>
    <row r="46" spans="1:12" x14ac:dyDescent="0.3">
      <c r="A46" s="9" t="s">
        <v>1022</v>
      </c>
      <c r="B46" s="405">
        <f>Data!$B$32*Data!$C$32*0</f>
        <v>0</v>
      </c>
      <c r="C46" s="47">
        <f>Data!$H$650*Data!$F$213*Data!B33</f>
        <v>0</v>
      </c>
      <c r="D46" s="48" t="s">
        <v>115</v>
      </c>
      <c r="E46" s="647">
        <f t="shared" si="3"/>
        <v>0</v>
      </c>
      <c r="F46" s="118">
        <f>_wage_</f>
        <v>12.29</v>
      </c>
      <c r="G46" s="465">
        <f>C46*F46</f>
        <v>0</v>
      </c>
      <c r="H46" s="123">
        <f>(B46*G46*wwheat)*Data!$B$33*Data!$C$33*Data!$F$33</f>
        <v>0</v>
      </c>
      <c r="I46" s="87"/>
    </row>
    <row r="47" spans="1:12" x14ac:dyDescent="0.3">
      <c r="A47" s="22" t="s">
        <v>752</v>
      </c>
      <c r="B47" s="405">
        <f>Data!$B$32*Data!$C$32</f>
        <v>0</v>
      </c>
      <c r="C47" s="156">
        <f>Data!H651*Data!B33</f>
        <v>0</v>
      </c>
      <c r="D47" s="34" t="s">
        <v>128</v>
      </c>
      <c r="E47" s="226">
        <f t="shared" si="3"/>
        <v>0</v>
      </c>
      <c r="F47" s="167">
        <f t="shared" si="4"/>
        <v>12.29</v>
      </c>
      <c r="G47" s="114">
        <f t="shared" si="5"/>
        <v>0</v>
      </c>
      <c r="H47" s="109">
        <f>(B47*G47*wwheat)*Data!$B$33*Data!$C$33*Data!$F$33</f>
        <v>0</v>
      </c>
      <c r="I47" s="87"/>
    </row>
    <row r="48" spans="1:12" x14ac:dyDescent="0.3">
      <c r="A48" s="9" t="s">
        <v>1022</v>
      </c>
      <c r="B48" s="405">
        <f>Data!$B$32*Data!$C$32</f>
        <v>0</v>
      </c>
      <c r="C48" s="47">
        <f>Data!$H$652*Data!$F$213*Data!B33</f>
        <v>0</v>
      </c>
      <c r="D48" s="48" t="s">
        <v>115</v>
      </c>
      <c r="E48" s="647">
        <f t="shared" si="3"/>
        <v>0</v>
      </c>
      <c r="F48" s="118">
        <f>_wage_</f>
        <v>12.29</v>
      </c>
      <c r="G48" s="465">
        <f>C48*F48</f>
        <v>0</v>
      </c>
      <c r="H48" s="123">
        <f>(B48*G48*wwheat)*Data!$B$33*Data!$C$33*Data!$F$33</f>
        <v>0</v>
      </c>
      <c r="I48" s="87"/>
    </row>
    <row r="49" spans="1:22" x14ac:dyDescent="0.3">
      <c r="A49" s="22" t="s">
        <v>758</v>
      </c>
      <c r="B49" s="405">
        <f>Data!$B$32*Data!$D$32</f>
        <v>0</v>
      </c>
      <c r="C49" s="156">
        <f>Data!H653*Data!B33</f>
        <v>0</v>
      </c>
      <c r="D49" s="34" t="s">
        <v>128</v>
      </c>
      <c r="E49" s="226">
        <f t="shared" si="3"/>
        <v>0</v>
      </c>
      <c r="F49" s="167">
        <f t="shared" si="4"/>
        <v>12.29</v>
      </c>
      <c r="G49" s="114">
        <f t="shared" si="5"/>
        <v>0</v>
      </c>
      <c r="H49" s="109">
        <f>(B49*G49*wwheat)*Data!$B$33*Data!$D$33*Data!$G$33</f>
        <v>0</v>
      </c>
      <c r="I49" s="87"/>
    </row>
    <row r="50" spans="1:22" x14ac:dyDescent="0.3">
      <c r="A50" s="9" t="s">
        <v>1022</v>
      </c>
      <c r="B50" s="405">
        <f>Data!$B$32*Data!$D$32*0</f>
        <v>0</v>
      </c>
      <c r="C50" s="47">
        <f>Data!$H$654*Data!$F$213*Data!B33</f>
        <v>0</v>
      </c>
      <c r="D50" s="48" t="s">
        <v>115</v>
      </c>
      <c r="E50" s="647">
        <f t="shared" si="3"/>
        <v>0</v>
      </c>
      <c r="F50" s="118">
        <f>_wage_</f>
        <v>12.29</v>
      </c>
      <c r="G50" s="465">
        <f>C50*F50</f>
        <v>0</v>
      </c>
      <c r="H50" s="123">
        <f>(B50*G50*wwheat)*Data!$B$33*Data!$D$33*Data!$G$33</f>
        <v>0</v>
      </c>
      <c r="I50" s="87"/>
    </row>
    <row r="51" spans="1:22" x14ac:dyDescent="0.3">
      <c r="A51" s="22" t="s">
        <v>753</v>
      </c>
      <c r="B51" s="405">
        <f>Data!$B$32*Data!$D$32</f>
        <v>0</v>
      </c>
      <c r="C51" s="156">
        <f>Data!H655*Data!B33</f>
        <v>0</v>
      </c>
      <c r="D51" s="34" t="s">
        <v>128</v>
      </c>
      <c r="E51" s="226">
        <f t="shared" si="3"/>
        <v>0</v>
      </c>
      <c r="F51" s="167">
        <f t="shared" si="4"/>
        <v>12.29</v>
      </c>
      <c r="G51" s="114">
        <f t="shared" si="5"/>
        <v>0</v>
      </c>
      <c r="H51" s="109">
        <f>(B51*G51*wwheat)*Data!$B$33*Data!$D$33*Data!$G$33</f>
        <v>0</v>
      </c>
      <c r="I51" s="87"/>
    </row>
    <row r="52" spans="1:22" x14ac:dyDescent="0.3">
      <c r="A52" s="9" t="s">
        <v>1022</v>
      </c>
      <c r="B52" s="405">
        <f>Data!$B$32*Data!$D$32</f>
        <v>0</v>
      </c>
      <c r="C52" s="47">
        <f>Data!$H$656*Data!$F$213*Data!B33</f>
        <v>0</v>
      </c>
      <c r="D52" s="48" t="s">
        <v>115</v>
      </c>
      <c r="E52" s="647">
        <f t="shared" si="3"/>
        <v>0</v>
      </c>
      <c r="F52" s="118">
        <f>_wage_</f>
        <v>12.29</v>
      </c>
      <c r="G52" s="465">
        <f>C52*F52</f>
        <v>0</v>
      </c>
      <c r="H52" s="123">
        <f>(B52*G52*wwheat)*Data!$B$33*Data!$D$33*Data!$G$33</f>
        <v>0</v>
      </c>
      <c r="I52" s="87"/>
    </row>
    <row r="53" spans="1:22" x14ac:dyDescent="0.3">
      <c r="A53" s="22" t="s">
        <v>759</v>
      </c>
      <c r="B53" s="397">
        <v>0</v>
      </c>
      <c r="C53" s="156">
        <f>Data!H657*Data!B33</f>
        <v>0</v>
      </c>
      <c r="D53" s="34" t="s">
        <v>128</v>
      </c>
      <c r="E53" s="226">
        <f t="shared" si="3"/>
        <v>0</v>
      </c>
      <c r="F53" s="167">
        <f t="shared" si="4"/>
        <v>12.29</v>
      </c>
      <c r="G53" s="114">
        <f t="shared" si="5"/>
        <v>0</v>
      </c>
      <c r="H53" s="109">
        <f>(B53*G53*wwheat)*Data!$B$33*Data!$H$33</f>
        <v>0</v>
      </c>
      <c r="I53" s="87"/>
    </row>
    <row r="54" spans="1:22" x14ac:dyDescent="0.3">
      <c r="A54" s="9" t="s">
        <v>1022</v>
      </c>
      <c r="B54" s="405">
        <f>B53</f>
        <v>0</v>
      </c>
      <c r="C54" s="47">
        <f>Data!$H$658*Data!$F$213*Data!B33</f>
        <v>0</v>
      </c>
      <c r="D54" s="48" t="s">
        <v>115</v>
      </c>
      <c r="E54" s="647">
        <f t="shared" si="3"/>
        <v>0</v>
      </c>
      <c r="F54" s="118">
        <f>_wage_</f>
        <v>12.29</v>
      </c>
      <c r="G54" s="465">
        <f>C54*F54</f>
        <v>0</v>
      </c>
      <c r="H54" s="123">
        <f>(B54*G54*wwheat)*Data!$B$33*Data!$H$33</f>
        <v>0</v>
      </c>
      <c r="I54" s="87"/>
    </row>
    <row r="55" spans="1:22" x14ac:dyDescent="0.3">
      <c r="A55" s="639" t="s">
        <v>1435</v>
      </c>
      <c r="B55" s="832"/>
      <c r="C55" s="47"/>
      <c r="D55" s="48"/>
      <c r="E55" s="647"/>
      <c r="F55" s="118"/>
      <c r="G55" s="465"/>
      <c r="H55" s="123"/>
      <c r="I55" s="87"/>
    </row>
    <row r="56" spans="1:22" x14ac:dyDescent="0.3">
      <c r="A56" s="638" t="s">
        <v>1436</v>
      </c>
      <c r="B56" s="405">
        <f>IF(OS!$O$20="Clean",OS!P20,0)</f>
        <v>1</v>
      </c>
      <c r="C56" s="156">
        <f>IF(OSI!$G$21&gt;0,(1/OSI!$G$21),Data!$H$665)</f>
        <v>1.02</v>
      </c>
      <c r="D56" s="34" t="s">
        <v>128</v>
      </c>
      <c r="E56" s="226">
        <f>C56*wwheat</f>
        <v>0</v>
      </c>
      <c r="F56" s="167">
        <f t="shared" ref="F56" si="7">_wage_</f>
        <v>12.29</v>
      </c>
      <c r="G56" s="114">
        <f t="shared" ref="G56" si="8">C56*F56</f>
        <v>12.5358</v>
      </c>
      <c r="H56" s="109">
        <f>B56*G56*wwheat</f>
        <v>0</v>
      </c>
      <c r="I56" s="87"/>
    </row>
    <row r="57" spans="1:22" x14ac:dyDescent="0.3">
      <c r="A57" s="666" t="s">
        <v>1022</v>
      </c>
      <c r="B57" s="405">
        <f>B56</f>
        <v>1</v>
      </c>
      <c r="C57" s="47">
        <f>Data!H666*Data!$F$213</f>
        <v>0</v>
      </c>
      <c r="D57" s="48" t="s">
        <v>115</v>
      </c>
      <c r="E57" s="647">
        <f>C57*wwheat</f>
        <v>0</v>
      </c>
      <c r="F57" s="118">
        <f>_wage_</f>
        <v>12.29</v>
      </c>
      <c r="G57" s="465">
        <f>C57*F57</f>
        <v>0</v>
      </c>
      <c r="H57" s="123">
        <f>B57*G57*wwheat</f>
        <v>0</v>
      </c>
      <c r="I57" s="87"/>
      <c r="L57" s="4" t="s">
        <v>1077</v>
      </c>
    </row>
    <row r="58" spans="1:22" x14ac:dyDescent="0.3">
      <c r="A58" s="639" t="s">
        <v>1147</v>
      </c>
      <c r="B58" s="22"/>
      <c r="C58" s="46"/>
      <c r="D58" s="34"/>
      <c r="E58" s="226"/>
      <c r="F58" s="104"/>
      <c r="G58" s="104"/>
      <c r="H58" s="109"/>
      <c r="J58" s="588">
        <f>OSI!$E$69</f>
        <v>30000</v>
      </c>
      <c r="K58" s="17" t="s">
        <v>220</v>
      </c>
      <c r="L58" s="17">
        <f>J58/2000</f>
        <v>15</v>
      </c>
      <c r="M58" s="17" t="s">
        <v>26</v>
      </c>
      <c r="N58" s="588">
        <f>OSI!$C$69</f>
        <v>500</v>
      </c>
      <c r="O58" s="17" t="s">
        <v>931</v>
      </c>
      <c r="P58" s="93" t="s">
        <v>944</v>
      </c>
      <c r="Q58" s="93"/>
      <c r="S58" s="588">
        <f>N58*Data!$K$61</f>
        <v>30000</v>
      </c>
      <c r="T58" s="17" t="s">
        <v>220</v>
      </c>
      <c r="U58" s="589">
        <f>S58/J58</f>
        <v>1</v>
      </c>
    </row>
    <row r="59" spans="1:22" x14ac:dyDescent="0.3">
      <c r="A59" s="638" t="s">
        <v>1145</v>
      </c>
      <c r="B59" s="405">
        <f>IF(OS!$O$21="Dry",OS!P21,0)</f>
        <v>1</v>
      </c>
      <c r="C59" s="369">
        <f>IF(OSI!$G$22&gt;0,(1/OSI!$G$22),Data!$H$685)</f>
        <v>0.43354620246402198</v>
      </c>
      <c r="D59" s="34" t="s">
        <v>115</v>
      </c>
      <c r="E59" s="226">
        <f>C59*wwheat</f>
        <v>0</v>
      </c>
      <c r="F59" s="104">
        <f>_wage_</f>
        <v>12.29</v>
      </c>
      <c r="G59" s="114">
        <f>C59*F59</f>
        <v>5.3282828282828296</v>
      </c>
      <c r="H59" s="110">
        <f>B59*G59*wwheat*G4</f>
        <v>0</v>
      </c>
      <c r="I59" s="108"/>
      <c r="J59" s="588">
        <f>OSI!$E$70</f>
        <v>180</v>
      </c>
      <c r="K59" s="17" t="s">
        <v>220</v>
      </c>
      <c r="L59" s="17">
        <f>J59/2000</f>
        <v>0.09</v>
      </c>
      <c r="M59" s="17" t="s">
        <v>26</v>
      </c>
      <c r="N59" s="588">
        <f>OSI!$C$70</f>
        <v>3</v>
      </c>
      <c r="O59" s="17" t="s">
        <v>931</v>
      </c>
      <c r="P59" s="93" t="s">
        <v>945</v>
      </c>
      <c r="Q59" s="93"/>
      <c r="S59" s="588">
        <f>N59*Data!$K$61</f>
        <v>180</v>
      </c>
      <c r="T59" s="17" t="s">
        <v>220</v>
      </c>
      <c r="U59" s="589">
        <f>S59/J59</f>
        <v>1</v>
      </c>
    </row>
    <row r="60" spans="1:22" x14ac:dyDescent="0.3">
      <c r="A60" s="666" t="s">
        <v>1022</v>
      </c>
      <c r="B60" s="405">
        <f>B59</f>
        <v>1</v>
      </c>
      <c r="C60" s="47">
        <f>C59*Data!$F$213</f>
        <v>0</v>
      </c>
      <c r="D60" s="48" t="s">
        <v>115</v>
      </c>
      <c r="E60" s="647">
        <f>C60*wwheat</f>
        <v>0</v>
      </c>
      <c r="F60" s="118">
        <f>_wage_</f>
        <v>12.29</v>
      </c>
      <c r="G60" s="465">
        <f>C60*F60</f>
        <v>0</v>
      </c>
      <c r="H60" s="123">
        <f>B60*G60*wwheat</f>
        <v>0</v>
      </c>
      <c r="I60" s="108">
        <f>SUM(H25:H60)</f>
        <v>0</v>
      </c>
      <c r="J60" s="108"/>
    </row>
    <row r="61" spans="1:22" x14ac:dyDescent="0.3">
      <c r="A61" s="1258" t="s">
        <v>2092</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IF(OSI!$G$77&gt;0,1*$P$73,0)</f>
        <v>1</v>
      </c>
      <c r="C63" s="410">
        <f>IF(wwheat&gt;0,($T$63*((Data!$B$212*wwheat)/$N$58))/wwheat,0)</f>
        <v>0</v>
      </c>
      <c r="D63" s="34" t="s">
        <v>115</v>
      </c>
      <c r="E63" s="46">
        <f t="shared" ref="E63:E68" si="9">C63*wwheat</f>
        <v>0</v>
      </c>
      <c r="F63" s="167">
        <f t="shared" ref="F63:F68" si="10">_wage_</f>
        <v>12.29</v>
      </c>
      <c r="G63" s="114">
        <f t="shared" ref="G63:G68" si="11">C63*F63</f>
        <v>0</v>
      </c>
      <c r="H63" s="110">
        <f t="shared" ref="H63:H68" si="12">B63*G63*wwheat</f>
        <v>0</v>
      </c>
      <c r="J63" s="55" t="s">
        <v>762</v>
      </c>
      <c r="K63" s="816">
        <f>B63</f>
        <v>1</v>
      </c>
      <c r="L63" s="168">
        <f>IF(wwheat&gt;0,(K63*(T63*_wage_)*((Data!$B$212*wwheat)/$N$58))/wwheat,0)</f>
        <v>0</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IF(Data!$F$213=0,0,1*$P$73)</f>
        <v>0</v>
      </c>
      <c r="C64" s="593">
        <f>C63*Data!$F$213</f>
        <v>0</v>
      </c>
      <c r="D64" s="48" t="s">
        <v>115</v>
      </c>
      <c r="E64" s="47">
        <f t="shared" si="9"/>
        <v>0</v>
      </c>
      <c r="F64" s="118">
        <f t="shared" si="10"/>
        <v>12.29</v>
      </c>
      <c r="G64" s="465">
        <f t="shared" si="11"/>
        <v>0</v>
      </c>
      <c r="H64" s="123">
        <f t="shared" si="12"/>
        <v>0</v>
      </c>
      <c r="J64" s="55" t="s">
        <v>943</v>
      </c>
      <c r="K64" s="816">
        <f>B65</f>
        <v>0</v>
      </c>
      <c r="L64" s="114">
        <f>IF(wwheat&gt;0,(K64*(T64*_wage_)*((Data!$E$212*wwheat)/$U$64))/wwheat,0)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(U64*Data!$E$210)/Data!$H$210</f>
        <v>200</v>
      </c>
    </row>
    <row r="65" spans="1:22" x14ac:dyDescent="0.3">
      <c r="A65" s="638" t="s">
        <v>940</v>
      </c>
      <c r="B65" s="405">
        <f>IF(OSI!$G$81&gt;0,Data!$B$33*Data!$C$33*$P$74,0)</f>
        <v>0</v>
      </c>
      <c r="C65" s="410">
        <f>IF(wwheat&gt;0,($T$64*(wWb!$B$17/wWv!$S$116))/wwheat,0)</f>
        <v>0</v>
      </c>
      <c r="D65" s="34" t="s">
        <v>115</v>
      </c>
      <c r="E65" s="46">
        <f t="shared" si="9"/>
        <v>0</v>
      </c>
      <c r="F65" s="167">
        <f t="shared" si="10"/>
        <v>12.29</v>
      </c>
      <c r="G65" s="114">
        <f t="shared" si="11"/>
        <v>0</v>
      </c>
      <c r="H65" s="110">
        <f t="shared" si="12"/>
        <v>0</v>
      </c>
      <c r="J65" s="55" t="s">
        <v>948</v>
      </c>
      <c r="K65" s="816">
        <f>B67</f>
        <v>0</v>
      </c>
      <c r="L65" s="114">
        <f>IF(wwheat&gt;0,(K65*(T65*_wage_)*((Data!$H$212*wwheat)/$V$64))/wwheat,0)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IF(Data!$F$214=0,0,1*$P$74)</f>
        <v>0</v>
      </c>
      <c r="C66" s="593">
        <f>C65*Data!$F$214</f>
        <v>0</v>
      </c>
      <c r="D66" s="48" t="s">
        <v>115</v>
      </c>
      <c r="E66" s="47">
        <f t="shared" si="9"/>
        <v>0</v>
      </c>
      <c r="F66" s="118">
        <f t="shared" si="10"/>
        <v>12.29</v>
      </c>
      <c r="G66" s="465">
        <f t="shared" si="11"/>
        <v>0</v>
      </c>
      <c r="H66" s="123">
        <f t="shared" si="12"/>
        <v>0</v>
      </c>
      <c r="Q66" s="216" t="s">
        <v>933</v>
      </c>
      <c r="R66" s="216" t="s">
        <v>933</v>
      </c>
      <c r="S66" s="216" t="s">
        <v>2047</v>
      </c>
      <c r="T66" s="216" t="s">
        <v>2050</v>
      </c>
    </row>
    <row r="67" spans="1:22" x14ac:dyDescent="0.3">
      <c r="A67" s="638" t="s">
        <v>941</v>
      </c>
      <c r="B67" s="405">
        <f>IF(OSI!$G$85&gt;0,Data!$B$33*Data!$D$33*$P$75,0)</f>
        <v>0</v>
      </c>
      <c r="C67" s="410">
        <f>IF(wwheat&gt;0,($T$65*(wWb!$B$19/wWv!$T$116))/wwheat,0)</f>
        <v>0</v>
      </c>
      <c r="D67" s="34" t="s">
        <v>115</v>
      </c>
      <c r="E67" s="46">
        <f t="shared" si="9"/>
        <v>0</v>
      </c>
      <c r="F67" s="167">
        <f t="shared" si="10"/>
        <v>12.29</v>
      </c>
      <c r="G67" s="114">
        <f t="shared" si="11"/>
        <v>0</v>
      </c>
      <c r="H67" s="110">
        <f t="shared" si="12"/>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IF(Data!$F$214=0,0,1*$P$75)</f>
        <v>0</v>
      </c>
      <c r="C68" s="593">
        <f>C67*Data!$F$214</f>
        <v>0</v>
      </c>
      <c r="D68" s="48" t="s">
        <v>115</v>
      </c>
      <c r="E68" s="47">
        <f t="shared" si="9"/>
        <v>0</v>
      </c>
      <c r="F68" s="118">
        <f t="shared" si="10"/>
        <v>12.29</v>
      </c>
      <c r="G68" s="465">
        <f t="shared" si="11"/>
        <v>0</v>
      </c>
      <c r="H68" s="123">
        <f t="shared" si="12"/>
        <v>0</v>
      </c>
      <c r="J68" s="55" t="s">
        <v>762</v>
      </c>
      <c r="K68" s="816">
        <f>B70</f>
        <v>0</v>
      </c>
      <c r="L68" s="168">
        <f>IF(wwheat&gt;0,(K68*(T68*_wage_)*((Data!$B$212*wwheat)/$N$59))/wwheat,0)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IF(wwheat&gt;0,(K69*(T69*_wage_)*((Data!$E$212*wwheat)/$U$69))/wwheat,0)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(U69*Data!$E$210)/Data!$H$210</f>
        <v>400</v>
      </c>
    </row>
    <row r="70" spans="1:22" x14ac:dyDescent="0.3">
      <c r="A70" s="638" t="s">
        <v>939</v>
      </c>
      <c r="B70" s="405">
        <f>IF(OSI!$G$78&gt;0,1*$Q$73,0)</f>
        <v>0</v>
      </c>
      <c r="C70" s="410">
        <f>IF(wwheat&gt;0,($T$68*((Data!$B$212*wwheat)/$N$59))/wwheat,0)</f>
        <v>0</v>
      </c>
      <c r="D70" s="34" t="s">
        <v>115</v>
      </c>
      <c r="E70" s="46">
        <f t="shared" ref="E70:E75" si="13">C70*wwheat</f>
        <v>0</v>
      </c>
      <c r="F70" s="167">
        <f t="shared" ref="F70:F75" si="14">_wage_</f>
        <v>12.29</v>
      </c>
      <c r="G70" s="114">
        <f t="shared" ref="G70:G75" si="15">C70*F70</f>
        <v>0</v>
      </c>
      <c r="H70" s="110">
        <f t="shared" ref="H70:H75" si="16">B70*G70*wwheat</f>
        <v>0</v>
      </c>
      <c r="J70" s="55" t="s">
        <v>948</v>
      </c>
      <c r="K70" s="816">
        <f>B74</f>
        <v>0</v>
      </c>
      <c r="L70" s="114">
        <f>IF(wwheat&gt;0,(K70*(T70*_wage_)*((Data!$H$212*wwheat)/$V$69))/wwheat,0)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IF(Data!$F$213=0,0,1*$Q$73)</f>
        <v>0</v>
      </c>
      <c r="C71" s="593">
        <f>C70*Data!$F$213</f>
        <v>0</v>
      </c>
      <c r="D71" s="48" t="s">
        <v>115</v>
      </c>
      <c r="E71" s="47">
        <f t="shared" si="13"/>
        <v>0</v>
      </c>
      <c r="F71" s="118">
        <f t="shared" si="14"/>
        <v>12.29</v>
      </c>
      <c r="G71" s="465">
        <f t="shared" si="15"/>
        <v>0</v>
      </c>
      <c r="H71" s="123">
        <f t="shared" si="16"/>
        <v>0</v>
      </c>
      <c r="J71" s="55"/>
      <c r="K71" s="114"/>
      <c r="L71" s="114"/>
      <c r="M71" s="22"/>
      <c r="N71" s="114"/>
      <c r="O71" s="22"/>
      <c r="P71" s="22"/>
      <c r="Q71" s="22"/>
      <c r="R71" s="22"/>
      <c r="S71" s="22"/>
      <c r="T71" s="22"/>
      <c r="U71" s="22"/>
    </row>
    <row r="72" spans="1:22" x14ac:dyDescent="0.3">
      <c r="A72" s="638" t="s">
        <v>940</v>
      </c>
      <c r="B72" s="405">
        <f>IF(OSI!$G$82&gt;0,Data!$B$33*Data!$C$33*$Q$74,0)</f>
        <v>0</v>
      </c>
      <c r="C72" s="410">
        <f>IF(wwheat&gt;0,($T$69*(wWb!$B$17/wWv!$S$121))/wwheat,0)</f>
        <v>0</v>
      </c>
      <c r="D72" s="34" t="s">
        <v>115</v>
      </c>
      <c r="E72" s="46">
        <f t="shared" si="13"/>
        <v>0</v>
      </c>
      <c r="F72" s="167">
        <f t="shared" si="14"/>
        <v>12.29</v>
      </c>
      <c r="G72" s="114">
        <f t="shared" si="15"/>
        <v>0</v>
      </c>
      <c r="H72" s="110">
        <f t="shared" si="16"/>
        <v>0</v>
      </c>
      <c r="M72" s="22"/>
      <c r="N72" s="114"/>
      <c r="O72" s="67" t="s">
        <v>947</v>
      </c>
      <c r="P72" s="216" t="s">
        <v>932</v>
      </c>
      <c r="Q72" s="216" t="s">
        <v>934</v>
      </c>
      <c r="R72" s="216" t="s">
        <v>76</v>
      </c>
      <c r="S72" s="22"/>
      <c r="U72" s="22"/>
    </row>
    <row r="73" spans="1:22" x14ac:dyDescent="0.3">
      <c r="A73" s="666" t="s">
        <v>2025</v>
      </c>
      <c r="B73" s="405">
        <f>IF(Data!$F$214=0,0,1*$Q$74)</f>
        <v>0</v>
      </c>
      <c r="C73" s="593">
        <f>C72*Data!$F$214</f>
        <v>0</v>
      </c>
      <c r="D73" s="48" t="s">
        <v>115</v>
      </c>
      <c r="E73" s="47">
        <f t="shared" si="13"/>
        <v>0</v>
      </c>
      <c r="F73" s="118">
        <f t="shared" si="14"/>
        <v>12.29</v>
      </c>
      <c r="G73" s="465">
        <f t="shared" si="15"/>
        <v>0</v>
      </c>
      <c r="H73" s="123">
        <f t="shared" si="16"/>
        <v>0</v>
      </c>
      <c r="M73" s="22"/>
      <c r="N73" s="114"/>
      <c r="O73" s="34" t="s">
        <v>762</v>
      </c>
      <c r="P73" s="922">
        <f>OSI!$C$77</f>
        <v>1</v>
      </c>
      <c r="Q73" s="922">
        <f>OSI!$C$78</f>
        <v>0</v>
      </c>
      <c r="R73" s="412">
        <f>SUM(P73:Q73)</f>
        <v>1</v>
      </c>
      <c r="S73" s="22"/>
      <c r="U73" s="22"/>
    </row>
    <row r="74" spans="1:22" x14ac:dyDescent="0.3">
      <c r="A74" s="638" t="s">
        <v>941</v>
      </c>
      <c r="B74" s="405">
        <f>IF(OSI!$G$86&gt;0,Data!$B$33*Data!$D$33*$Q$75,0)</f>
        <v>0</v>
      </c>
      <c r="C74" s="410">
        <f>IF(wwheat&gt;0,($T$70*(wWb!$B$19/wWv!$T$121))/wwheat,0)</f>
        <v>0</v>
      </c>
      <c r="D74" s="34" t="s">
        <v>115</v>
      </c>
      <c r="E74" s="46">
        <f t="shared" si="13"/>
        <v>0</v>
      </c>
      <c r="F74" s="167">
        <f t="shared" si="14"/>
        <v>12.29</v>
      </c>
      <c r="G74" s="114">
        <f t="shared" si="15"/>
        <v>0</v>
      </c>
      <c r="H74" s="110">
        <f t="shared" si="16"/>
        <v>0</v>
      </c>
      <c r="I74" s="50"/>
      <c r="M74" s="22"/>
      <c r="N74" s="114"/>
      <c r="O74" s="55" t="s">
        <v>943</v>
      </c>
      <c r="P74" s="922">
        <f>OSI!$C$81</f>
        <v>1</v>
      </c>
      <c r="Q74" s="922">
        <f>OSI!$C$82</f>
        <v>0</v>
      </c>
      <c r="R74" s="412">
        <f>SUM(P74:Q74)</f>
        <v>1</v>
      </c>
      <c r="S74" s="22"/>
      <c r="U74" s="22"/>
    </row>
    <row r="75" spans="1:22" x14ac:dyDescent="0.3">
      <c r="A75" s="666" t="s">
        <v>2025</v>
      </c>
      <c r="B75" s="405">
        <f>IF(Data!$F$214=0,0,1*$Q$75)</f>
        <v>0</v>
      </c>
      <c r="C75" s="593">
        <f>C74*Data!$F$214</f>
        <v>0</v>
      </c>
      <c r="D75" s="48" t="s">
        <v>115</v>
      </c>
      <c r="E75" s="47">
        <f t="shared" si="13"/>
        <v>0</v>
      </c>
      <c r="F75" s="118">
        <f t="shared" si="14"/>
        <v>12.29</v>
      </c>
      <c r="G75" s="465">
        <f t="shared" si="15"/>
        <v>0</v>
      </c>
      <c r="H75" s="123">
        <f t="shared" si="16"/>
        <v>0</v>
      </c>
      <c r="I75" s="108">
        <f>SUM(H62:H75)</f>
        <v>0</v>
      </c>
      <c r="M75" s="22"/>
      <c r="N75" s="114"/>
      <c r="O75" s="55" t="s">
        <v>948</v>
      </c>
      <c r="P75" s="922">
        <f>OSI!$C$85</f>
        <v>1</v>
      </c>
      <c r="Q75" s="922">
        <f>OSI!$C$86</f>
        <v>0</v>
      </c>
      <c r="R75" s="412">
        <f>SUM(P75:Q75)</f>
        <v>1</v>
      </c>
      <c r="S75" s="22"/>
      <c r="T75" s="22"/>
      <c r="U75" s="22"/>
    </row>
    <row r="76" spans="1:22" x14ac:dyDescent="0.3">
      <c r="A76" s="3" t="s">
        <v>66</v>
      </c>
      <c r="B76" s="3"/>
      <c r="C76" s="46"/>
      <c r="D76" s="34"/>
      <c r="E76" s="226"/>
      <c r="F76" s="104"/>
      <c r="G76" s="114"/>
      <c r="H76" s="109"/>
    </row>
    <row r="77" spans="1:22" x14ac:dyDescent="0.3">
      <c r="A77" s="22" t="s">
        <v>332</v>
      </c>
      <c r="B77" s="22"/>
      <c r="C77" s="46"/>
      <c r="D77" s="34"/>
      <c r="E77" s="226"/>
      <c r="F77" s="104"/>
      <c r="G77" s="114"/>
      <c r="H77" s="109"/>
    </row>
    <row r="78" spans="1:22" x14ac:dyDescent="0.3">
      <c r="A78" s="638" t="s">
        <v>1911</v>
      </c>
      <c r="B78" s="405">
        <f t="shared" ref="B78:B106" si="17">B26</f>
        <v>0</v>
      </c>
      <c r="C78" s="156">
        <f>IF(OSI!$G$28&gt;0,OSI!$G$28,Data!$R$579)</f>
        <v>1.32</v>
      </c>
      <c r="D78" s="34" t="s">
        <v>117</v>
      </c>
      <c r="E78" s="226">
        <f t="shared" ref="E78:E106" si="18">C78*wwheat</f>
        <v>0</v>
      </c>
      <c r="F78" s="167">
        <f>diesel_fuel</f>
        <v>2.56</v>
      </c>
      <c r="G78" s="114">
        <f>C78*F78</f>
        <v>3.3792000000000004</v>
      </c>
      <c r="H78" s="109">
        <f t="shared" ref="H78:H95" si="19">B78*G78*wwheat</f>
        <v>0</v>
      </c>
      <c r="K78" s="55"/>
    </row>
    <row r="79" spans="1:22" x14ac:dyDescent="0.3">
      <c r="A79" s="639" t="s">
        <v>468</v>
      </c>
      <c r="B79" s="405">
        <f t="shared" si="17"/>
        <v>1</v>
      </c>
      <c r="C79" s="156">
        <f>IF(OSI!$G$29&gt;0,OSI!$G$29,Data!$R$585)</f>
        <v>0.44023863292066601</v>
      </c>
      <c r="D79" s="34" t="s">
        <v>117</v>
      </c>
      <c r="E79" s="226">
        <f t="shared" si="18"/>
        <v>0</v>
      </c>
      <c r="F79" s="104">
        <f t="shared" ref="F79:F111" si="20">diesel_fuel</f>
        <v>2.56</v>
      </c>
      <c r="G79" s="114">
        <f t="shared" ref="G79:G105" si="21">C79*F79</f>
        <v>1.1270109002769051</v>
      </c>
      <c r="H79" s="109">
        <f t="shared" si="19"/>
        <v>0</v>
      </c>
    </row>
    <row r="80" spans="1:22" x14ac:dyDescent="0.3">
      <c r="A80" s="640" t="s">
        <v>1427</v>
      </c>
      <c r="B80" s="405">
        <f t="shared" si="17"/>
        <v>1</v>
      </c>
      <c r="C80" s="156">
        <f>IF(OSI!$G$30&gt;0,OSI!$G$30,Data!$R$580)</f>
        <v>0.64</v>
      </c>
      <c r="D80" s="34" t="s">
        <v>117</v>
      </c>
      <c r="E80" s="226">
        <f t="shared" si="18"/>
        <v>0</v>
      </c>
      <c r="F80" s="104">
        <f t="shared" si="20"/>
        <v>2.56</v>
      </c>
      <c r="G80" s="114">
        <f t="shared" si="21"/>
        <v>1.6384000000000001</v>
      </c>
      <c r="H80" s="109">
        <f t="shared" si="19"/>
        <v>0</v>
      </c>
    </row>
    <row r="81" spans="1:12" x14ac:dyDescent="0.3">
      <c r="A81" s="638" t="s">
        <v>485</v>
      </c>
      <c r="B81" s="405">
        <f t="shared" si="17"/>
        <v>1</v>
      </c>
      <c r="C81" s="156">
        <f>IF(OSI!$G$31&gt;0,OSI!$G$31,Data!$R$581)</f>
        <v>0.74</v>
      </c>
      <c r="D81" s="34" t="s">
        <v>117</v>
      </c>
      <c r="E81" s="226">
        <f t="shared" si="18"/>
        <v>0</v>
      </c>
      <c r="F81" s="104">
        <f t="shared" si="20"/>
        <v>2.56</v>
      </c>
      <c r="G81" s="114">
        <f t="shared" si="21"/>
        <v>1.8944000000000001</v>
      </c>
      <c r="H81" s="109">
        <f t="shared" si="19"/>
        <v>0</v>
      </c>
    </row>
    <row r="82" spans="1:12" x14ac:dyDescent="0.3">
      <c r="A82" s="22" t="s">
        <v>315</v>
      </c>
      <c r="B82" s="405">
        <f t="shared" si="17"/>
        <v>0</v>
      </c>
      <c r="C82" s="156">
        <f>Data!R582</f>
        <v>0.2</v>
      </c>
      <c r="D82" s="34" t="s">
        <v>117</v>
      </c>
      <c r="E82" s="226">
        <f t="shared" si="18"/>
        <v>0</v>
      </c>
      <c r="F82" s="104">
        <f t="shared" si="20"/>
        <v>2.56</v>
      </c>
      <c r="G82" s="114">
        <f t="shared" si="21"/>
        <v>0.51200000000000001</v>
      </c>
      <c r="H82" s="109">
        <f t="shared" si="19"/>
        <v>0</v>
      </c>
    </row>
    <row r="83" spans="1:12" x14ac:dyDescent="0.3">
      <c r="A83" s="22" t="s">
        <v>581</v>
      </c>
      <c r="B83" s="405">
        <f t="shared" si="17"/>
        <v>0</v>
      </c>
      <c r="C83" s="156">
        <f>Data!R583</f>
        <v>0.13183670241332501</v>
      </c>
      <c r="D83" s="34" t="s">
        <v>117</v>
      </c>
      <c r="E83" s="226">
        <f t="shared" si="18"/>
        <v>0</v>
      </c>
      <c r="F83" s="104">
        <f t="shared" si="20"/>
        <v>2.56</v>
      </c>
      <c r="G83" s="114">
        <f t="shared" si="21"/>
        <v>0.33750195817811202</v>
      </c>
      <c r="H83" s="109">
        <f t="shared" si="19"/>
        <v>0</v>
      </c>
    </row>
    <row r="84" spans="1:12" x14ac:dyDescent="0.3">
      <c r="A84" s="22" t="s">
        <v>322</v>
      </c>
      <c r="B84" s="405">
        <f t="shared" si="17"/>
        <v>0</v>
      </c>
      <c r="C84" s="273">
        <f>0</f>
        <v>0</v>
      </c>
      <c r="D84" s="34" t="s">
        <v>117</v>
      </c>
      <c r="E84" s="226">
        <f t="shared" si="18"/>
        <v>0</v>
      </c>
      <c r="F84" s="104">
        <f t="shared" si="20"/>
        <v>2.56</v>
      </c>
      <c r="G84" s="110">
        <f t="shared" si="21"/>
        <v>0</v>
      </c>
      <c r="H84" s="109">
        <f t="shared" si="19"/>
        <v>0</v>
      </c>
    </row>
    <row r="85" spans="1:12" x14ac:dyDescent="0.3">
      <c r="A85" s="639" t="s">
        <v>333</v>
      </c>
      <c r="B85" s="405">
        <f t="shared" si="17"/>
        <v>1</v>
      </c>
      <c r="C85" s="156">
        <f>IF(OSI!$G$32&gt;0,OSI!$G$32,Data!$R$589)</f>
        <v>0.34</v>
      </c>
      <c r="D85" s="34" t="s">
        <v>117</v>
      </c>
      <c r="E85" s="226">
        <f t="shared" si="18"/>
        <v>0</v>
      </c>
      <c r="F85" s="104">
        <f t="shared" si="20"/>
        <v>2.56</v>
      </c>
      <c r="G85" s="114">
        <f t="shared" si="21"/>
        <v>0.87040000000000006</v>
      </c>
      <c r="H85" s="109">
        <f t="shared" si="19"/>
        <v>0</v>
      </c>
    </row>
    <row r="86" spans="1:12" x14ac:dyDescent="0.3">
      <c r="A86" s="639" t="s">
        <v>334</v>
      </c>
      <c r="B86" s="405">
        <f t="shared" si="17"/>
        <v>1</v>
      </c>
      <c r="C86" s="156">
        <f>IF(OSI!$G$33&gt;0,OSI!$G$33,Data!$R$594)</f>
        <v>0.61</v>
      </c>
      <c r="D86" s="34" t="s">
        <v>117</v>
      </c>
      <c r="E86" s="226">
        <f t="shared" si="18"/>
        <v>0</v>
      </c>
      <c r="F86" s="104">
        <f t="shared" si="20"/>
        <v>2.56</v>
      </c>
      <c r="G86" s="114">
        <f t="shared" si="21"/>
        <v>1.5616000000000001</v>
      </c>
      <c r="H86" s="109">
        <f t="shared" si="19"/>
        <v>0</v>
      </c>
    </row>
    <row r="87" spans="1:12" x14ac:dyDescent="0.3">
      <c r="A87" s="639" t="s">
        <v>2218</v>
      </c>
      <c r="B87" s="405">
        <f t="shared" si="17"/>
        <v>0</v>
      </c>
      <c r="C87" s="156">
        <f>IF(OSI!$G$34&gt;0,OSI!$G$34,Data!$R$591)</f>
        <v>0.34</v>
      </c>
      <c r="D87" s="34" t="s">
        <v>117</v>
      </c>
      <c r="E87" s="226">
        <f t="shared" si="18"/>
        <v>0</v>
      </c>
      <c r="F87" s="104">
        <f t="shared" si="20"/>
        <v>2.56</v>
      </c>
      <c r="G87" s="114">
        <f t="shared" si="21"/>
        <v>0.87040000000000006</v>
      </c>
      <c r="H87" s="109">
        <f t="shared" si="19"/>
        <v>0</v>
      </c>
    </row>
    <row r="88" spans="1:12" x14ac:dyDescent="0.3">
      <c r="A88" s="639" t="s">
        <v>340</v>
      </c>
      <c r="B88" s="405">
        <f t="shared" si="17"/>
        <v>0</v>
      </c>
      <c r="C88" s="156">
        <f>IF(OSI!$G$35&gt;0,OSI!$G$35,Data!$R$606)</f>
        <v>0.46</v>
      </c>
      <c r="D88" s="34" t="s">
        <v>117</v>
      </c>
      <c r="E88" s="226">
        <f t="shared" si="18"/>
        <v>0</v>
      </c>
      <c r="F88" s="104">
        <f t="shared" si="20"/>
        <v>2.56</v>
      </c>
      <c r="G88" s="114">
        <f t="shared" si="21"/>
        <v>1.1776</v>
      </c>
      <c r="H88" s="109">
        <f t="shared" si="19"/>
        <v>0</v>
      </c>
    </row>
    <row r="89" spans="1:12" x14ac:dyDescent="0.3">
      <c r="A89" s="639" t="s">
        <v>1626</v>
      </c>
      <c r="B89" s="405">
        <f t="shared" si="17"/>
        <v>1</v>
      </c>
      <c r="C89" s="156">
        <f>IF(OSI!$G$36&gt;0,OSI!$G$36,Data!$R$584)</f>
        <v>0.13183670241332501</v>
      </c>
      <c r="D89" s="34" t="s">
        <v>117</v>
      </c>
      <c r="E89" s="226">
        <f t="shared" si="18"/>
        <v>0</v>
      </c>
      <c r="F89" s="104">
        <f t="shared" si="20"/>
        <v>2.56</v>
      </c>
      <c r="G89" s="114">
        <f t="shared" si="21"/>
        <v>0.33750195817811202</v>
      </c>
      <c r="H89" s="109">
        <f t="shared" si="19"/>
        <v>0</v>
      </c>
    </row>
    <row r="90" spans="1:12" x14ac:dyDescent="0.3">
      <c r="A90" s="22" t="s">
        <v>304</v>
      </c>
      <c r="B90" s="405">
        <f t="shared" si="17"/>
        <v>0</v>
      </c>
      <c r="C90" s="156">
        <f>Data!R599</f>
        <v>0.11981642612033799</v>
      </c>
      <c r="D90" s="34" t="s">
        <v>117</v>
      </c>
      <c r="E90" s="226">
        <f t="shared" si="18"/>
        <v>0</v>
      </c>
      <c r="F90" s="104">
        <f t="shared" si="20"/>
        <v>2.56</v>
      </c>
      <c r="G90" s="114">
        <f t="shared" si="21"/>
        <v>0.30673005086806526</v>
      </c>
      <c r="H90" s="109">
        <f t="shared" si="19"/>
        <v>0</v>
      </c>
    </row>
    <row r="91" spans="1:12" x14ac:dyDescent="0.3">
      <c r="A91" s="639" t="s">
        <v>1628</v>
      </c>
      <c r="B91" s="405">
        <f t="shared" si="17"/>
        <v>0</v>
      </c>
      <c r="C91" s="156">
        <f>IF(OSI!$G$37&gt;0,OSI!$G$37,Data!$R$601)</f>
        <v>0.12</v>
      </c>
      <c r="D91" s="34" t="s">
        <v>117</v>
      </c>
      <c r="E91" s="226">
        <f t="shared" si="18"/>
        <v>0</v>
      </c>
      <c r="F91" s="104">
        <f t="shared" si="20"/>
        <v>2.56</v>
      </c>
      <c r="G91" s="114">
        <f t="shared" si="21"/>
        <v>0.30719999999999997</v>
      </c>
      <c r="H91" s="109">
        <f t="shared" si="19"/>
        <v>0</v>
      </c>
    </row>
    <row r="92" spans="1:12" x14ac:dyDescent="0.3">
      <c r="A92" s="639" t="s">
        <v>1320</v>
      </c>
      <c r="B92" s="405">
        <f t="shared" si="17"/>
        <v>1</v>
      </c>
      <c r="C92" s="156">
        <f>IF(OSI!$G$39&gt;0,OSI!$G$39,Data!$R$614)</f>
        <v>2</v>
      </c>
      <c r="D92" s="34" t="s">
        <v>117</v>
      </c>
      <c r="E92" s="226">
        <f t="shared" si="18"/>
        <v>0</v>
      </c>
      <c r="F92" s="104">
        <f t="shared" si="20"/>
        <v>2.56</v>
      </c>
      <c r="G92" s="114">
        <f t="shared" si="21"/>
        <v>5.12</v>
      </c>
      <c r="H92" s="109">
        <f t="shared" si="19"/>
        <v>0</v>
      </c>
    </row>
    <row r="93" spans="1:12" x14ac:dyDescent="0.3">
      <c r="A93" s="666" t="s">
        <v>1022</v>
      </c>
      <c r="B93" s="405">
        <f t="shared" si="17"/>
        <v>0</v>
      </c>
      <c r="C93" s="47">
        <f>Data!$R$615*Data!$F$213</f>
        <v>0</v>
      </c>
      <c r="D93" s="48" t="s">
        <v>117</v>
      </c>
      <c r="E93" s="647">
        <f t="shared" si="18"/>
        <v>0</v>
      </c>
      <c r="F93" s="118">
        <f>diesel_fuel</f>
        <v>2.56</v>
      </c>
      <c r="G93" s="465">
        <f>C93*F93</f>
        <v>0</v>
      </c>
      <c r="H93" s="123">
        <f t="shared" si="19"/>
        <v>0</v>
      </c>
    </row>
    <row r="94" spans="1:12" x14ac:dyDescent="0.3">
      <c r="A94" s="639" t="s">
        <v>2085</v>
      </c>
      <c r="B94" s="405">
        <f t="shared" si="17"/>
        <v>1</v>
      </c>
      <c r="C94" s="156">
        <f>IF(OSI!$G$40&gt;0,OSI!$G$40,Data!$R$632)</f>
        <v>0.15019536077863399</v>
      </c>
      <c r="D94" s="34" t="s">
        <v>117</v>
      </c>
      <c r="E94" s="226">
        <f t="shared" si="18"/>
        <v>0</v>
      </c>
      <c r="F94" s="104">
        <f t="shared" si="20"/>
        <v>2.56</v>
      </c>
      <c r="G94" s="114">
        <f t="shared" si="21"/>
        <v>0.38450012359330304</v>
      </c>
      <c r="H94" s="109">
        <f t="shared" si="19"/>
        <v>0</v>
      </c>
    </row>
    <row r="95" spans="1:12" x14ac:dyDescent="0.3">
      <c r="A95" s="666" t="s">
        <v>1022</v>
      </c>
      <c r="B95" s="405">
        <f t="shared" si="17"/>
        <v>1</v>
      </c>
      <c r="C95" s="47">
        <f>Data!$R$633*Data!$F$213</f>
        <v>0</v>
      </c>
      <c r="D95" s="48" t="s">
        <v>117</v>
      </c>
      <c r="E95" s="647">
        <f t="shared" si="18"/>
        <v>0</v>
      </c>
      <c r="F95" s="118">
        <f>diesel_fuel</f>
        <v>2.56</v>
      </c>
      <c r="G95" s="465">
        <f>C95*F95</f>
        <v>0</v>
      </c>
      <c r="H95" s="123">
        <f t="shared" si="19"/>
        <v>0</v>
      </c>
    </row>
    <row r="96" spans="1:12" x14ac:dyDescent="0.3">
      <c r="A96" s="22" t="s">
        <v>756</v>
      </c>
      <c r="B96" s="405">
        <f t="shared" si="17"/>
        <v>0</v>
      </c>
      <c r="C96" s="156">
        <f>Data!R648</f>
        <v>0.28809523809523802</v>
      </c>
      <c r="D96" s="34" t="s">
        <v>117</v>
      </c>
      <c r="E96" s="226">
        <f t="shared" si="18"/>
        <v>0</v>
      </c>
      <c r="F96" s="167">
        <f t="shared" si="20"/>
        <v>2.56</v>
      </c>
      <c r="G96" s="114">
        <f t="shared" si="21"/>
        <v>0.73752380952380936</v>
      </c>
      <c r="H96" s="109">
        <f>(B96*G96*wwheat)*Data!$B$33*Data!$H$33</f>
        <v>0</v>
      </c>
      <c r="K96" s="55"/>
      <c r="L96" s="55"/>
    </row>
    <row r="97" spans="1:21" x14ac:dyDescent="0.3">
      <c r="A97" s="22" t="s">
        <v>757</v>
      </c>
      <c r="B97" s="405">
        <f t="shared" si="17"/>
        <v>0</v>
      </c>
      <c r="C97" s="156">
        <f>Data!R649</f>
        <v>0.34903846153846102</v>
      </c>
      <c r="D97" s="34" t="s">
        <v>117</v>
      </c>
      <c r="E97" s="226">
        <f t="shared" si="18"/>
        <v>0</v>
      </c>
      <c r="F97" s="167">
        <f t="shared" si="20"/>
        <v>2.56</v>
      </c>
      <c r="G97" s="114">
        <f t="shared" si="21"/>
        <v>0.89353846153846028</v>
      </c>
      <c r="H97" s="109">
        <f>(B97*G97*wwheat)*Data!$B$33*Data!$C$33*Data!$F$33</f>
        <v>0</v>
      </c>
      <c r="K97" s="55"/>
      <c r="L97" s="55"/>
    </row>
    <row r="98" spans="1:21" x14ac:dyDescent="0.3">
      <c r="A98" s="9" t="s">
        <v>1022</v>
      </c>
      <c r="B98" s="405">
        <f t="shared" si="17"/>
        <v>0</v>
      </c>
      <c r="C98" s="47">
        <f>Data!$R$650*Data!$F$213</f>
        <v>0</v>
      </c>
      <c r="D98" s="48" t="s">
        <v>117</v>
      </c>
      <c r="E98" s="647">
        <f t="shared" si="18"/>
        <v>0</v>
      </c>
      <c r="F98" s="118">
        <f>diesel_fuel</f>
        <v>2.56</v>
      </c>
      <c r="G98" s="465">
        <f>C98*F98</f>
        <v>0</v>
      </c>
      <c r="H98" s="123">
        <f>(B98*G98*wwheat)*Data!$B$33*Data!$C$33*Data!$F$33</f>
        <v>0</v>
      </c>
      <c r="K98" s="55"/>
      <c r="L98" s="55"/>
    </row>
    <row r="99" spans="1:21" x14ac:dyDescent="0.3">
      <c r="A99" s="22" t="s">
        <v>752</v>
      </c>
      <c r="B99" s="405">
        <f t="shared" si="17"/>
        <v>0</v>
      </c>
      <c r="C99" s="156">
        <f>Data!R651</f>
        <v>0.1</v>
      </c>
      <c r="D99" s="34" t="s">
        <v>117</v>
      </c>
      <c r="E99" s="226">
        <f t="shared" si="18"/>
        <v>0</v>
      </c>
      <c r="F99" s="167">
        <f t="shared" si="20"/>
        <v>2.56</v>
      </c>
      <c r="G99" s="114">
        <f t="shared" si="21"/>
        <v>0.25600000000000001</v>
      </c>
      <c r="H99" s="109">
        <f>(B99*G99*wwheat)*Data!$B$33*Data!$C$33*Data!$F$33</f>
        <v>0</v>
      </c>
      <c r="K99" s="55"/>
      <c r="L99" s="55"/>
    </row>
    <row r="100" spans="1:21" x14ac:dyDescent="0.3">
      <c r="A100" s="9" t="s">
        <v>1022</v>
      </c>
      <c r="B100" s="405">
        <f t="shared" si="17"/>
        <v>0</v>
      </c>
      <c r="C100" s="47">
        <f>Data!$R$652*Data!$F$213</f>
        <v>0</v>
      </c>
      <c r="D100" s="48" t="s">
        <v>117</v>
      </c>
      <c r="E100" s="647">
        <f t="shared" si="18"/>
        <v>0</v>
      </c>
      <c r="F100" s="118">
        <f>diesel_fuel</f>
        <v>2.56</v>
      </c>
      <c r="G100" s="465">
        <f>C100*F100</f>
        <v>0</v>
      </c>
      <c r="H100" s="123">
        <f>(B100*G100*wwheat)*Data!$B$33*Data!$C$33*Data!$F$33</f>
        <v>0</v>
      </c>
      <c r="K100" s="55"/>
      <c r="L100" s="55"/>
    </row>
    <row r="101" spans="1:21" x14ac:dyDescent="0.3">
      <c r="A101" s="22" t="s">
        <v>758</v>
      </c>
      <c r="B101" s="405">
        <f t="shared" si="17"/>
        <v>0</v>
      </c>
      <c r="C101" s="156">
        <f>Data!R653</f>
        <v>0.40333333333333299</v>
      </c>
      <c r="D101" s="34" t="s">
        <v>117</v>
      </c>
      <c r="E101" s="226">
        <f t="shared" si="18"/>
        <v>0</v>
      </c>
      <c r="F101" s="167">
        <f t="shared" si="20"/>
        <v>2.56</v>
      </c>
      <c r="G101" s="114">
        <f t="shared" si="21"/>
        <v>1.0325333333333324</v>
      </c>
      <c r="H101" s="109">
        <f>(B101*G101*wwheat)*Data!$B$33*Data!$D$33*Data!$G$33</f>
        <v>0</v>
      </c>
      <c r="K101" s="55"/>
      <c r="L101" s="55"/>
    </row>
    <row r="102" spans="1:21" x14ac:dyDescent="0.3">
      <c r="A102" s="9" t="s">
        <v>1022</v>
      </c>
      <c r="B102" s="405">
        <f t="shared" si="17"/>
        <v>0</v>
      </c>
      <c r="C102" s="47">
        <f>Data!$R$654*Data!$F$213</f>
        <v>0</v>
      </c>
      <c r="D102" s="48" t="s">
        <v>117</v>
      </c>
      <c r="E102" s="647">
        <f t="shared" si="18"/>
        <v>0</v>
      </c>
      <c r="F102" s="118">
        <f>diesel_fuel</f>
        <v>2.56</v>
      </c>
      <c r="G102" s="465">
        <f>C102*F102</f>
        <v>0</v>
      </c>
      <c r="H102" s="123">
        <f>(B102*G102*wwheat)*Data!$B$33*Data!$D$33*Data!$G$33</f>
        <v>0</v>
      </c>
      <c r="K102" s="55"/>
      <c r="L102" s="55"/>
    </row>
    <row r="103" spans="1:21" x14ac:dyDescent="0.3">
      <c r="A103" s="22" t="s">
        <v>753</v>
      </c>
      <c r="B103" s="405">
        <f t="shared" si="17"/>
        <v>0</v>
      </c>
      <c r="C103" s="165">
        <f>Data!R655</f>
        <v>0</v>
      </c>
      <c r="D103" s="34" t="s">
        <v>117</v>
      </c>
      <c r="E103" s="226">
        <f t="shared" si="18"/>
        <v>0</v>
      </c>
      <c r="F103" s="167">
        <f t="shared" si="20"/>
        <v>2.56</v>
      </c>
      <c r="G103" s="114">
        <f t="shared" si="21"/>
        <v>0</v>
      </c>
      <c r="H103" s="109">
        <f>(B103*G103*wwheat)*Data!$B$33*Data!$D$33*Data!$G$33</f>
        <v>0</v>
      </c>
      <c r="K103" s="55"/>
      <c r="L103" s="55"/>
    </row>
    <row r="104" spans="1:21" x14ac:dyDescent="0.3">
      <c r="A104" s="9" t="s">
        <v>1022</v>
      </c>
      <c r="B104" s="405">
        <f t="shared" si="17"/>
        <v>0</v>
      </c>
      <c r="C104" s="83">
        <f>Data!$R$656*Data!$F$213</f>
        <v>0</v>
      </c>
      <c r="D104" s="48" t="s">
        <v>117</v>
      </c>
      <c r="E104" s="647">
        <f t="shared" si="18"/>
        <v>0</v>
      </c>
      <c r="F104" s="118">
        <f>diesel_fuel</f>
        <v>2.56</v>
      </c>
      <c r="G104" s="465">
        <f>C104*F104</f>
        <v>0</v>
      </c>
      <c r="H104" s="123">
        <f>(B104*G104*wwheat)*Data!$B$33*Data!$D$33*Data!$G$33</f>
        <v>0</v>
      </c>
      <c r="K104" s="55"/>
      <c r="L104" s="55"/>
    </row>
    <row r="105" spans="1:21" x14ac:dyDescent="0.3">
      <c r="A105" s="22" t="s">
        <v>759</v>
      </c>
      <c r="B105" s="405">
        <f t="shared" si="17"/>
        <v>0</v>
      </c>
      <c r="C105" s="156">
        <f>Data!R657</f>
        <v>0.11</v>
      </c>
      <c r="D105" s="34" t="s">
        <v>117</v>
      </c>
      <c r="E105" s="226">
        <f t="shared" si="18"/>
        <v>0</v>
      </c>
      <c r="F105" s="167">
        <f t="shared" si="20"/>
        <v>2.56</v>
      </c>
      <c r="G105" s="114">
        <f t="shared" si="21"/>
        <v>0.28160000000000002</v>
      </c>
      <c r="H105" s="109">
        <f>(B105*G105*wwheat)*Data!$B$33*Data!$H$33</f>
        <v>0</v>
      </c>
      <c r="K105" s="55"/>
      <c r="L105" s="55"/>
    </row>
    <row r="106" spans="1:21" x14ac:dyDescent="0.3">
      <c r="A106" s="9" t="s">
        <v>1022</v>
      </c>
      <c r="B106" s="405">
        <f t="shared" si="17"/>
        <v>0</v>
      </c>
      <c r="C106" s="47">
        <f>Data!$R$658*Data!$F$213</f>
        <v>0</v>
      </c>
      <c r="D106" s="48" t="s">
        <v>117</v>
      </c>
      <c r="E106" s="647">
        <f t="shared" si="18"/>
        <v>0</v>
      </c>
      <c r="F106" s="118">
        <f>diesel_fuel</f>
        <v>2.56</v>
      </c>
      <c r="G106" s="465">
        <f>C106*F106</f>
        <v>0</v>
      </c>
      <c r="H106" s="123">
        <f>(B106*G106*wwheat)*Data!$B$33*Data!$H$33</f>
        <v>0</v>
      </c>
    </row>
    <row r="107" spans="1:21" x14ac:dyDescent="0.3">
      <c r="A107" s="639" t="s">
        <v>1435</v>
      </c>
      <c r="B107" s="832"/>
      <c r="C107" s="47"/>
      <c r="D107" s="48"/>
      <c r="E107" s="647"/>
      <c r="F107" s="118"/>
      <c r="G107" s="465"/>
      <c r="H107" s="123"/>
    </row>
    <row r="108" spans="1:21" x14ac:dyDescent="0.3">
      <c r="A108" s="638" t="s">
        <v>1436</v>
      </c>
      <c r="B108" s="405">
        <f>B56</f>
        <v>1</v>
      </c>
      <c r="C108" s="165">
        <f>IF(OSI!$G$41&gt;0,OSI!$G$41,Data!$R$665)</f>
        <v>0</v>
      </c>
      <c r="D108" s="34" t="s">
        <v>117</v>
      </c>
      <c r="E108" s="226">
        <f>C108*wwheat</f>
        <v>0</v>
      </c>
      <c r="F108" s="167">
        <f t="shared" si="20"/>
        <v>2.56</v>
      </c>
      <c r="G108" s="114">
        <f t="shared" ref="G108" si="22">C108*F108</f>
        <v>0</v>
      </c>
      <c r="H108" s="109">
        <f>B108*G108*wwheat</f>
        <v>0</v>
      </c>
    </row>
    <row r="109" spans="1:21" x14ac:dyDescent="0.3">
      <c r="A109" s="666" t="s">
        <v>1022</v>
      </c>
      <c r="B109" s="405">
        <f>B57</f>
        <v>1</v>
      </c>
      <c r="C109" s="83">
        <f>Data!R666*Data!$F$213</f>
        <v>0</v>
      </c>
      <c r="D109" s="48" t="s">
        <v>117</v>
      </c>
      <c r="E109" s="647">
        <f>C109*wwheat</f>
        <v>0</v>
      </c>
      <c r="F109" s="118">
        <f>diesel_fuel</f>
        <v>2.56</v>
      </c>
      <c r="G109" s="465">
        <f>C109*F109</f>
        <v>0</v>
      </c>
      <c r="H109" s="123">
        <f>B109*G109*wwheat</f>
        <v>0</v>
      </c>
      <c r="L109" s="4" t="s">
        <v>1077</v>
      </c>
    </row>
    <row r="110" spans="1:21" x14ac:dyDescent="0.3">
      <c r="A110" s="639" t="s">
        <v>1147</v>
      </c>
      <c r="B110" s="60"/>
      <c r="C110" s="60"/>
      <c r="D110" s="34"/>
      <c r="E110" s="226"/>
      <c r="F110" s="104"/>
      <c r="G110" s="104"/>
      <c r="H110" s="109"/>
      <c r="J110" s="588">
        <f>OSI!$E$69</f>
        <v>30000</v>
      </c>
      <c r="K110" s="17" t="s">
        <v>220</v>
      </c>
      <c r="L110" s="17">
        <f>J110/2000</f>
        <v>15</v>
      </c>
      <c r="M110" s="17" t="s">
        <v>26</v>
      </c>
      <c r="N110" s="588">
        <f>OSI!$C$69</f>
        <v>500</v>
      </c>
      <c r="O110" s="17" t="s">
        <v>931</v>
      </c>
      <c r="P110" s="93" t="s">
        <v>944</v>
      </c>
      <c r="Q110" s="93"/>
      <c r="S110" s="588">
        <f>N110*Data!$K$61</f>
        <v>30000</v>
      </c>
      <c r="T110" s="17" t="s">
        <v>220</v>
      </c>
      <c r="U110" s="589">
        <f>S110/J110</f>
        <v>1</v>
      </c>
    </row>
    <row r="111" spans="1:21" x14ac:dyDescent="0.3">
      <c r="A111" s="638" t="s">
        <v>1146</v>
      </c>
      <c r="B111" s="405">
        <f>B59</f>
        <v>1</v>
      </c>
      <c r="C111" s="816">
        <f>IF(OSI!$G$42&gt;0,OSI!$G$42,Data!$R$685)</f>
        <v>0</v>
      </c>
      <c r="D111" s="34" t="s">
        <v>116</v>
      </c>
      <c r="E111" s="226">
        <f>C111*wwheat</f>
        <v>0</v>
      </c>
      <c r="F111" s="104">
        <f t="shared" si="20"/>
        <v>2.56</v>
      </c>
      <c r="G111" s="114">
        <f>C111*F111</f>
        <v>0</v>
      </c>
      <c r="H111" s="110">
        <f>B111*G111*wwheat*G4</f>
        <v>0</v>
      </c>
      <c r="I111" s="108"/>
      <c r="J111" s="588">
        <f>OSI!$E$70</f>
        <v>180</v>
      </c>
      <c r="K111" s="17" t="s">
        <v>220</v>
      </c>
      <c r="L111" s="17">
        <f>J111/2000</f>
        <v>0.09</v>
      </c>
      <c r="M111" s="17" t="s">
        <v>26</v>
      </c>
      <c r="N111" s="588">
        <f>OSI!$C$70</f>
        <v>3</v>
      </c>
      <c r="O111" s="17" t="s">
        <v>931</v>
      </c>
      <c r="P111" s="93" t="s">
        <v>945</v>
      </c>
      <c r="Q111" s="93"/>
      <c r="S111" s="588">
        <f>N111*Data!$K$61</f>
        <v>180</v>
      </c>
      <c r="T111" s="17" t="s">
        <v>220</v>
      </c>
      <c r="U111" s="589">
        <f>S111/J111</f>
        <v>1</v>
      </c>
    </row>
    <row r="112" spans="1:21" x14ac:dyDescent="0.3">
      <c r="A112" s="666" t="s">
        <v>1022</v>
      </c>
      <c r="B112" s="405">
        <f>B60</f>
        <v>1</v>
      </c>
      <c r="C112" s="83">
        <f>C111*Data!$F$213</f>
        <v>0</v>
      </c>
      <c r="D112" s="48" t="s">
        <v>117</v>
      </c>
      <c r="E112" s="647">
        <f>C112*wwheat</f>
        <v>0</v>
      </c>
      <c r="F112" s="118">
        <f>diesel_fuel</f>
        <v>2.56</v>
      </c>
      <c r="G112" s="465">
        <f>C112*F112</f>
        <v>0</v>
      </c>
      <c r="H112" s="123">
        <f>B112*G112*wwheat</f>
        <v>0</v>
      </c>
      <c r="I112" s="108">
        <f>SUM(H77:H112)</f>
        <v>0</v>
      </c>
      <c r="J112" s="108"/>
      <c r="K112" s="55"/>
      <c r="L112" s="24"/>
      <c r="M112" s="82"/>
    </row>
    <row r="113" spans="1:21" x14ac:dyDescent="0.3">
      <c r="A113" s="1258" t="s">
        <v>2092</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IF(OSI!$G$77&gt;0,1*$P$125,0)</f>
        <v>1</v>
      </c>
      <c r="C115" s="410">
        <f>IF(wwheat&gt;0,($R$115*((Data!$B$212*wwheat)/$N$110))/wwheat,0)</f>
        <v>0</v>
      </c>
      <c r="D115" s="34" t="s">
        <v>117</v>
      </c>
      <c r="E115" s="46">
        <f t="shared" ref="E115:E120" si="23">C115*wwheat</f>
        <v>0</v>
      </c>
      <c r="F115" s="167">
        <f t="shared" ref="F115:F119" si="24">diesel_fuel</f>
        <v>2.56</v>
      </c>
      <c r="G115" s="114">
        <f t="shared" ref="G115:G120" si="25">C115*F115</f>
        <v>0</v>
      </c>
      <c r="H115" s="110">
        <f t="shared" ref="H115:H120" si="26">B115*G115*wwheat</f>
        <v>0</v>
      </c>
      <c r="J115" s="55" t="s">
        <v>762</v>
      </c>
      <c r="K115" s="369">
        <f>B115</f>
        <v>1</v>
      </c>
      <c r="L115" s="168">
        <f>IF(wwheat&gt;0,(K115*(R115*diesel_fuel)*((Data!$B$212*wwheat)/$N$110))/wwheat,0)</f>
        <v>0</v>
      </c>
      <c r="M115" s="22" t="s">
        <v>254</v>
      </c>
      <c r="N115" s="168">
        <f>(R115*diesel_fuel)</f>
        <v>3.4133333333333331</v>
      </c>
      <c r="O115" s="22" t="s">
        <v>935</v>
      </c>
      <c r="P115" s="816">
        <f>OSI!$G$69</f>
        <v>20</v>
      </c>
      <c r="Q115" s="816">
        <f>OSI!$G$70</f>
        <v>15</v>
      </c>
      <c r="R115" s="46">
        <f>(P115/Q115)*$U$110</f>
        <v>1.3333333333333333</v>
      </c>
      <c r="S115" s="216" t="s">
        <v>936</v>
      </c>
      <c r="T115" s="216" t="s">
        <v>937</v>
      </c>
    </row>
    <row r="116" spans="1:21" x14ac:dyDescent="0.3">
      <c r="A116" s="666" t="s">
        <v>2025</v>
      </c>
      <c r="B116" s="405">
        <f>IF(Data!$F$213=0,0,1*$P$125)</f>
        <v>0</v>
      </c>
      <c r="C116" s="593">
        <f>C115*Data!$F$213</f>
        <v>0</v>
      </c>
      <c r="D116" s="48" t="s">
        <v>117</v>
      </c>
      <c r="E116" s="47">
        <f t="shared" si="23"/>
        <v>0</v>
      </c>
      <c r="F116" s="118">
        <f>diesel_fuel</f>
        <v>2.56</v>
      </c>
      <c r="G116" s="465">
        <f t="shared" si="25"/>
        <v>0</v>
      </c>
      <c r="H116" s="123">
        <f t="shared" si="26"/>
        <v>0</v>
      </c>
      <c r="J116" s="55" t="s">
        <v>943</v>
      </c>
      <c r="K116" s="369">
        <f>B117</f>
        <v>0</v>
      </c>
      <c r="L116" s="114">
        <f>IF(wwheat&gt;0,(K116*(R116*diesel_fuel)*((Data!$E$212*wwheat)/$S$116))/wwheat,0)</f>
        <v>0</v>
      </c>
      <c r="M116" s="22" t="s">
        <v>254</v>
      </c>
      <c r="N116" s="114">
        <f>R116*diesel_fuel</f>
        <v>3.4133333333333331</v>
      </c>
      <c r="O116" s="22" t="s">
        <v>935</v>
      </c>
      <c r="P116" s="816">
        <f>OSI!$G$69</f>
        <v>20</v>
      </c>
      <c r="Q116" s="816">
        <f>OSI!$G$70</f>
        <v>15</v>
      </c>
      <c r="R116" s="46">
        <f>(P116/Q116)*$U$110</f>
        <v>1.3333333333333333</v>
      </c>
      <c r="S116" s="816">
        <f>OSI!$G$71</f>
        <v>8</v>
      </c>
      <c r="T116" s="90">
        <f>(S116*Data!$E$210)/Data!$H$210</f>
        <v>200</v>
      </c>
    </row>
    <row r="117" spans="1:21" x14ac:dyDescent="0.3">
      <c r="A117" s="638" t="s">
        <v>940</v>
      </c>
      <c r="B117" s="405">
        <f>IF(OSI!$G$81&gt;0,Data!$B$33*Data!$C$33*$P$126,0)</f>
        <v>0</v>
      </c>
      <c r="C117" s="410">
        <f>IF(wwheat&gt;0,($R$116*(wWb!$B$17/wWv!$S$116))/wwheat,0)</f>
        <v>0</v>
      </c>
      <c r="D117" s="34" t="s">
        <v>117</v>
      </c>
      <c r="E117" s="46">
        <f t="shared" si="23"/>
        <v>0</v>
      </c>
      <c r="F117" s="167">
        <f t="shared" si="24"/>
        <v>2.56</v>
      </c>
      <c r="G117" s="114">
        <f t="shared" si="25"/>
        <v>0</v>
      </c>
      <c r="H117" s="110">
        <f t="shared" si="26"/>
        <v>0</v>
      </c>
      <c r="J117" s="55" t="s">
        <v>948</v>
      </c>
      <c r="K117" s="369">
        <f>B119</f>
        <v>0</v>
      </c>
      <c r="L117" s="114">
        <f>IF(wwheat&gt;0,(K117*(R117*diesel_fuel)*((Data!$H$212*wwheat)/$T$116))/wwheat,0)</f>
        <v>0</v>
      </c>
      <c r="M117" s="22" t="s">
        <v>254</v>
      </c>
      <c r="N117" s="114">
        <f>R117*diesel_fuel</f>
        <v>3.4133333333333331</v>
      </c>
      <c r="O117" s="22" t="s">
        <v>935</v>
      </c>
      <c r="P117" s="816">
        <f>OSI!$G$69</f>
        <v>20</v>
      </c>
      <c r="Q117" s="816">
        <f>OSI!$G$70</f>
        <v>15</v>
      </c>
      <c r="R117" s="46">
        <f>(P117/Q117)*$U$110</f>
        <v>1.3333333333333333</v>
      </c>
    </row>
    <row r="118" spans="1:21" x14ac:dyDescent="0.3">
      <c r="A118" s="666" t="s">
        <v>2025</v>
      </c>
      <c r="B118" s="405">
        <f>IF(Data!$F$214=0,0,1*$P$126)</f>
        <v>0</v>
      </c>
      <c r="C118" s="593">
        <f>C117*Data!$F$214</f>
        <v>0</v>
      </c>
      <c r="D118" s="48" t="s">
        <v>117</v>
      </c>
      <c r="E118" s="47">
        <f t="shared" si="23"/>
        <v>0</v>
      </c>
      <c r="F118" s="118">
        <f>diesel_fuel</f>
        <v>2.56</v>
      </c>
      <c r="G118" s="465">
        <f t="shared" si="25"/>
        <v>0</v>
      </c>
      <c r="H118" s="123">
        <f t="shared" si="26"/>
        <v>0</v>
      </c>
      <c r="Q118" s="216" t="s">
        <v>933</v>
      </c>
      <c r="R118" s="216" t="s">
        <v>933</v>
      </c>
    </row>
    <row r="119" spans="1:21" x14ac:dyDescent="0.3">
      <c r="A119" s="638" t="s">
        <v>941</v>
      </c>
      <c r="B119" s="405">
        <f>IF(OSI!$G$85&gt;0,Data!$B$33*Data!$D$33*$P$127,0)</f>
        <v>0</v>
      </c>
      <c r="C119" s="410">
        <f>IF(wwheat&gt;0,($R$117*(wWb!$B$19/wWv!$T$116))/wwheat,0)</f>
        <v>0</v>
      </c>
      <c r="D119" s="34" t="s">
        <v>117</v>
      </c>
      <c r="E119" s="46">
        <f t="shared" si="23"/>
        <v>0</v>
      </c>
      <c r="F119" s="167">
        <f t="shared" si="24"/>
        <v>2.56</v>
      </c>
      <c r="G119" s="114">
        <f t="shared" si="25"/>
        <v>0</v>
      </c>
      <c r="H119" s="110">
        <f t="shared" si="26"/>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IF(Data!$F$214=0,0,1*$P$127)</f>
        <v>0</v>
      </c>
      <c r="C120" s="593">
        <f>C119*Data!$F$214</f>
        <v>0</v>
      </c>
      <c r="D120" s="48" t="s">
        <v>117</v>
      </c>
      <c r="E120" s="47">
        <f t="shared" si="23"/>
        <v>0</v>
      </c>
      <c r="F120" s="118">
        <f>diesel_fuel</f>
        <v>2.56</v>
      </c>
      <c r="G120" s="465">
        <f t="shared" si="25"/>
        <v>0</v>
      </c>
      <c r="H120" s="123">
        <f t="shared" si="26"/>
        <v>0</v>
      </c>
      <c r="J120" s="55" t="s">
        <v>762</v>
      </c>
      <c r="K120" s="369">
        <f>B122</f>
        <v>0</v>
      </c>
      <c r="L120" s="168">
        <f>IF(wwheat&gt;0,(K120*(R120*diesel_fuel)*((Data!$B$212*wwheat)/$N$111))/wwheat,0)</f>
        <v>0</v>
      </c>
      <c r="M120" s="22" t="s">
        <v>254</v>
      </c>
      <c r="N120" s="168">
        <f>(R120*diesel_fuel)</f>
        <v>7.3142857142857149</v>
      </c>
      <c r="O120" s="22" t="s">
        <v>935</v>
      </c>
      <c r="P120" s="816">
        <f>OSI!$I$69</f>
        <v>20</v>
      </c>
      <c r="Q120" s="816">
        <f>OSI!$I$70</f>
        <v>7</v>
      </c>
      <c r="R120" s="46">
        <f>(P120/Q120)*$U$111</f>
        <v>2.8571428571428572</v>
      </c>
      <c r="S120" s="216" t="s">
        <v>936</v>
      </c>
      <c r="T120" s="216" t="s">
        <v>937</v>
      </c>
    </row>
    <row r="121" spans="1:21" x14ac:dyDescent="0.3">
      <c r="A121" s="638" t="s">
        <v>942</v>
      </c>
      <c r="B121" s="34"/>
      <c r="C121" s="34"/>
      <c r="D121" s="34"/>
      <c r="E121" s="46"/>
      <c r="F121" s="68"/>
      <c r="G121" s="114"/>
      <c r="H121" s="110"/>
      <c r="J121" s="55" t="s">
        <v>943</v>
      </c>
      <c r="K121" s="369">
        <f>B124</f>
        <v>0</v>
      </c>
      <c r="L121" s="114">
        <f>IF(wwheat&gt;0,(K121*(R121*diesel_fuel)*((Data!$E$212*wwheat)/$S$121))/wwheat,0)</f>
        <v>0</v>
      </c>
      <c r="M121" s="22" t="s">
        <v>254</v>
      </c>
      <c r="N121" s="114">
        <f>R121*diesel_fuel</f>
        <v>7.3142857142857149</v>
      </c>
      <c r="O121" s="22" t="s">
        <v>935</v>
      </c>
      <c r="P121" s="816">
        <f>OSI!$I$69</f>
        <v>20</v>
      </c>
      <c r="Q121" s="816">
        <f>OSI!$I$70</f>
        <v>7</v>
      </c>
      <c r="R121" s="46">
        <f>(P121/Q121)*$U$111</f>
        <v>2.8571428571428572</v>
      </c>
      <c r="S121" s="816">
        <f>OSI!$I$71</f>
        <v>16</v>
      </c>
      <c r="T121" s="90">
        <f>(S121*Data!$E$210)/Data!$H$210</f>
        <v>400</v>
      </c>
    </row>
    <row r="122" spans="1:21" x14ac:dyDescent="0.3">
      <c r="A122" s="638" t="s">
        <v>939</v>
      </c>
      <c r="B122" s="405">
        <f>IF(OSI!$G$78&gt;0,1*$Q$125,0)</f>
        <v>0</v>
      </c>
      <c r="C122" s="410">
        <f>IF(wwheat&gt;0,($R$120*((Data!$B$212*wwheat)/$N$111))/wwheat,0)</f>
        <v>0</v>
      </c>
      <c r="D122" s="34" t="s">
        <v>117</v>
      </c>
      <c r="E122" s="46">
        <f t="shared" ref="E122:E127" si="27">C122*wwheat</f>
        <v>0</v>
      </c>
      <c r="F122" s="167">
        <f t="shared" ref="F122:F126" si="28">diesel_fuel</f>
        <v>2.56</v>
      </c>
      <c r="G122" s="114">
        <f t="shared" ref="G122:G127" si="29">C122*F122</f>
        <v>0</v>
      </c>
      <c r="H122" s="110">
        <f t="shared" ref="H122:H127" si="30">B122*G122*wwheat</f>
        <v>0</v>
      </c>
      <c r="J122" s="55" t="s">
        <v>948</v>
      </c>
      <c r="K122" s="369">
        <f>B126</f>
        <v>0</v>
      </c>
      <c r="L122" s="114">
        <f>IF(wwheat&gt;0,(K122*(R122*diesel_fuel)*((Data!$H$212*wwheat)/$T$121))/wwheat,0)</f>
        <v>0</v>
      </c>
      <c r="M122" s="22" t="s">
        <v>254</v>
      </c>
      <c r="N122" s="114">
        <f>R122*diesel_fuel</f>
        <v>7.3142857142857149</v>
      </c>
      <c r="O122" s="22" t="s">
        <v>935</v>
      </c>
      <c r="P122" s="816">
        <f>OSI!$I$69</f>
        <v>20</v>
      </c>
      <c r="Q122" s="816">
        <f>OSI!$I$70</f>
        <v>7</v>
      </c>
      <c r="R122" s="46">
        <f>(P122/Q122)*$U$111</f>
        <v>2.8571428571428572</v>
      </c>
    </row>
    <row r="123" spans="1:21" x14ac:dyDescent="0.3">
      <c r="A123" s="666" t="s">
        <v>2025</v>
      </c>
      <c r="B123" s="405">
        <f>IF(Data!$F$213=0,0,1*$Q$125)</f>
        <v>0</v>
      </c>
      <c r="C123" s="593">
        <f>C122*Data!$F$213</f>
        <v>0</v>
      </c>
      <c r="D123" s="48" t="s">
        <v>117</v>
      </c>
      <c r="E123" s="47">
        <f t="shared" si="27"/>
        <v>0</v>
      </c>
      <c r="F123" s="118">
        <f>diesel_fuel</f>
        <v>2.56</v>
      </c>
      <c r="G123" s="465">
        <f t="shared" si="29"/>
        <v>0</v>
      </c>
      <c r="H123" s="123">
        <f t="shared" si="30"/>
        <v>0</v>
      </c>
      <c r="J123" s="55"/>
      <c r="K123" s="114"/>
      <c r="L123" s="114"/>
      <c r="M123" s="22"/>
      <c r="N123" s="114"/>
      <c r="O123" s="22"/>
      <c r="P123" s="22"/>
      <c r="Q123" s="22"/>
      <c r="R123" s="22"/>
      <c r="S123" s="22"/>
      <c r="T123" s="22"/>
      <c r="U123" s="22"/>
    </row>
    <row r="124" spans="1:21" x14ac:dyDescent="0.3">
      <c r="A124" s="638" t="s">
        <v>940</v>
      </c>
      <c r="B124" s="405">
        <f>IF(OSI!$G$82&gt;0,Data!$B$33*Data!$C$33*$Q$126,0)</f>
        <v>0</v>
      </c>
      <c r="C124" s="410">
        <f>IF(wwheat&gt;0,($R$121*(wWb!$B$17/wWv!$S$121))/wwheat,0)</f>
        <v>0</v>
      </c>
      <c r="D124" s="34" t="s">
        <v>117</v>
      </c>
      <c r="E124" s="46">
        <f t="shared" si="27"/>
        <v>0</v>
      </c>
      <c r="F124" s="167">
        <f t="shared" si="28"/>
        <v>2.56</v>
      </c>
      <c r="G124" s="114">
        <f t="shared" si="29"/>
        <v>0</v>
      </c>
      <c r="H124" s="110">
        <f t="shared" si="30"/>
        <v>0</v>
      </c>
      <c r="M124" s="22"/>
      <c r="N124" s="114"/>
      <c r="O124" s="67" t="s">
        <v>2045</v>
      </c>
      <c r="P124" s="216" t="s">
        <v>932</v>
      </c>
      <c r="Q124" s="216" t="s">
        <v>934</v>
      </c>
      <c r="R124" s="216" t="s">
        <v>76</v>
      </c>
      <c r="S124" s="22"/>
      <c r="T124" s="22"/>
      <c r="U124" s="22"/>
    </row>
    <row r="125" spans="1:21" x14ac:dyDescent="0.3">
      <c r="A125" s="666" t="s">
        <v>2025</v>
      </c>
      <c r="B125" s="405">
        <f>IF(Data!$F$214=0,0,1*$Q$126)</f>
        <v>0</v>
      </c>
      <c r="C125" s="593">
        <f>C124*Data!$F$214</f>
        <v>0</v>
      </c>
      <c r="D125" s="48" t="s">
        <v>117</v>
      </c>
      <c r="E125" s="47">
        <f t="shared" si="27"/>
        <v>0</v>
      </c>
      <c r="F125" s="118">
        <f>diesel_fuel</f>
        <v>2.56</v>
      </c>
      <c r="G125" s="465">
        <f t="shared" si="29"/>
        <v>0</v>
      </c>
      <c r="H125" s="123">
        <f t="shared" si="30"/>
        <v>0</v>
      </c>
      <c r="M125" s="22"/>
      <c r="N125" s="114"/>
      <c r="O125" s="34" t="s">
        <v>762</v>
      </c>
      <c r="P125" s="922">
        <f>OSI!$C$77</f>
        <v>1</v>
      </c>
      <c r="Q125" s="922">
        <f>OSI!$C$78</f>
        <v>0</v>
      </c>
      <c r="R125" s="412">
        <f>SUM(P125:Q125)</f>
        <v>1</v>
      </c>
      <c r="S125" s="22"/>
      <c r="T125" s="22"/>
      <c r="U125" s="22"/>
    </row>
    <row r="126" spans="1:21" x14ac:dyDescent="0.3">
      <c r="A126" s="638" t="s">
        <v>941</v>
      </c>
      <c r="B126" s="405">
        <f>IF(OSI!$G$86&gt;0,Data!$B$33*Data!$D$33*$Q$127,0)</f>
        <v>0</v>
      </c>
      <c r="C126" s="410">
        <f>IF(wwheat&gt;0,($R$122*(wWb!$B$19/wWv!$T$121))/wwheat,0)</f>
        <v>0</v>
      </c>
      <c r="D126" s="34" t="s">
        <v>117</v>
      </c>
      <c r="E126" s="46">
        <f t="shared" si="27"/>
        <v>0</v>
      </c>
      <c r="F126" s="167">
        <f t="shared" si="28"/>
        <v>2.56</v>
      </c>
      <c r="G126" s="114">
        <f t="shared" si="29"/>
        <v>0</v>
      </c>
      <c r="H126" s="110">
        <f t="shared" si="30"/>
        <v>0</v>
      </c>
      <c r="I126" s="50"/>
      <c r="M126" s="22"/>
      <c r="N126" s="114"/>
      <c r="O126" s="55" t="s">
        <v>943</v>
      </c>
      <c r="P126" s="922">
        <f>OSI!$C$81</f>
        <v>1</v>
      </c>
      <c r="Q126" s="922">
        <f>OSI!$C$82</f>
        <v>0</v>
      </c>
      <c r="R126" s="412">
        <f>SUM(P126:Q126)</f>
        <v>1</v>
      </c>
      <c r="S126" s="22"/>
      <c r="T126" s="22"/>
      <c r="U126" s="22"/>
    </row>
    <row r="127" spans="1:21" x14ac:dyDescent="0.3">
      <c r="A127" s="666" t="s">
        <v>2025</v>
      </c>
      <c r="B127" s="405">
        <f>IF(Data!$F$214=0,0,1*$Q$127)</f>
        <v>0</v>
      </c>
      <c r="C127" s="593">
        <f>C126*Data!$F$214</f>
        <v>0</v>
      </c>
      <c r="D127" s="48" t="s">
        <v>117</v>
      </c>
      <c r="E127" s="47">
        <f t="shared" si="27"/>
        <v>0</v>
      </c>
      <c r="F127" s="118">
        <f>diesel_fuel</f>
        <v>2.56</v>
      </c>
      <c r="G127" s="465">
        <f t="shared" si="29"/>
        <v>0</v>
      </c>
      <c r="H127" s="123">
        <f t="shared" si="30"/>
        <v>0</v>
      </c>
      <c r="I127" s="108">
        <f>SUM(H114:H127)</f>
        <v>0</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46" t="s">
        <v>45</v>
      </c>
      <c r="E128" s="226" t="s">
        <v>45</v>
      </c>
      <c r="F128" s="68" t="s">
        <v>45</v>
      </c>
      <c r="G128" s="114">
        <f>IF(FARM!$C$19=0,0,H128/wwheat)</f>
        <v>0</v>
      </c>
      <c r="H128" s="104">
        <f>B128*lube*SUM(H77:H127)</f>
        <v>0</v>
      </c>
      <c r="I128" s="108">
        <f>SUM(H128:H128)</f>
        <v>0</v>
      </c>
      <c r="K128" s="55"/>
      <c r="L128" s="81"/>
      <c r="M128" s="81"/>
    </row>
    <row r="129" spans="1:13" x14ac:dyDescent="0.3">
      <c r="A129" s="3" t="s">
        <v>491</v>
      </c>
      <c r="B129" s="644">
        <v>1</v>
      </c>
      <c r="C129" s="46" t="s">
        <v>45</v>
      </c>
      <c r="D129" s="46" t="s">
        <v>45</v>
      </c>
      <c r="E129" s="226" t="s">
        <v>45</v>
      </c>
      <c r="F129" s="68" t="s">
        <v>45</v>
      </c>
      <c r="G129" s="114">
        <f>IF(FARM!$C$19=0,0,H129/wwheat)</f>
        <v>0</v>
      </c>
      <c r="H129" s="109">
        <f>B129*wWf!J121*Data!D16</f>
        <v>0</v>
      </c>
      <c r="L129" s="27"/>
      <c r="M129" s="27"/>
    </row>
    <row r="130" spans="1:13" x14ac:dyDescent="0.3">
      <c r="A130" s="3"/>
      <c r="B130" s="397">
        <v>0</v>
      </c>
      <c r="C130" s="46" t="s">
        <v>45</v>
      </c>
      <c r="D130" s="46" t="s">
        <v>45</v>
      </c>
      <c r="E130" s="226" t="s">
        <v>45</v>
      </c>
      <c r="F130" s="68" t="s">
        <v>45</v>
      </c>
      <c r="G130" s="272">
        <f>0</f>
        <v>0</v>
      </c>
      <c r="H130" s="109">
        <f>B130*G130*wwheat</f>
        <v>0</v>
      </c>
      <c r="I130" s="108">
        <f>SUM(H129:H130)</f>
        <v>0</v>
      </c>
      <c r="L130" s="81"/>
      <c r="M130" s="81"/>
    </row>
    <row r="131" spans="1:13" x14ac:dyDescent="0.3">
      <c r="A131" s="3" t="s">
        <v>170</v>
      </c>
      <c r="B131" s="405">
        <f>IF(OSI!$G$52=0,0,1)</f>
        <v>0</v>
      </c>
      <c r="C131" s="46" t="s">
        <v>45</v>
      </c>
      <c r="D131" s="46" t="s">
        <v>45</v>
      </c>
      <c r="E131" s="226" t="s">
        <v>45</v>
      </c>
      <c r="F131" s="68" t="s">
        <v>45</v>
      </c>
      <c r="G131" s="114">
        <f>IF(FARM!$C$19=0,0,OSI!$G$52/wwheat)</f>
        <v>0</v>
      </c>
      <c r="H131" s="109">
        <f>B131*G131*wwheat</f>
        <v>0</v>
      </c>
      <c r="I131" s="108">
        <f>SUM(H131:H131)</f>
        <v>0</v>
      </c>
      <c r="K131" s="55"/>
      <c r="L131" s="81"/>
      <c r="M131" s="81"/>
    </row>
    <row r="132" spans="1:13" x14ac:dyDescent="0.3">
      <c r="A132" s="3" t="s">
        <v>75</v>
      </c>
      <c r="B132" s="405">
        <f>IF(OSI!$G$53=0,0,1)</f>
        <v>1</v>
      </c>
      <c r="C132" s="46" t="s">
        <v>45</v>
      </c>
      <c r="D132" s="46" t="s">
        <v>45</v>
      </c>
      <c r="E132" s="226" t="s">
        <v>45</v>
      </c>
      <c r="F132" s="114">
        <f>G132</f>
        <v>0</v>
      </c>
      <c r="G132" s="114">
        <f>IF(FARM!$C$19=0,0,OSI!$G$53/wwheat)</f>
        <v>0</v>
      </c>
      <c r="H132" s="109">
        <f>B132*G132*wwheat</f>
        <v>0</v>
      </c>
      <c r="K132" s="55"/>
    </row>
    <row r="133" spans="1:13" x14ac:dyDescent="0.3">
      <c r="A133" s="3"/>
      <c r="B133" s="397">
        <v>0</v>
      </c>
      <c r="C133" s="46" t="s">
        <v>45</v>
      </c>
      <c r="D133" s="34" t="s">
        <v>45</v>
      </c>
      <c r="E133" s="34" t="s">
        <v>45</v>
      </c>
      <c r="F133" s="55" t="s">
        <v>45</v>
      </c>
      <c r="G133" s="272">
        <f>0</f>
        <v>0</v>
      </c>
      <c r="H133" s="109">
        <f>B133*G133*wwheat</f>
        <v>0</v>
      </c>
      <c r="I133" s="108">
        <f>SUM(H132:H133)</f>
        <v>0</v>
      </c>
      <c r="L133" s="24"/>
      <c r="M133" s="24"/>
    </row>
    <row r="134" spans="1:13" x14ac:dyDescent="0.3">
      <c r="A134" s="69" t="s">
        <v>173</v>
      </c>
      <c r="B134" s="69"/>
      <c r="C134" s="46"/>
      <c r="D134" s="34"/>
      <c r="E134" s="226"/>
      <c r="F134" s="114"/>
      <c r="G134" s="114"/>
      <c r="H134" s="109"/>
    </row>
    <row r="135" spans="1:13" x14ac:dyDescent="0.3">
      <c r="A135" s="856" t="s">
        <v>1504</v>
      </c>
      <c r="B135" s="405">
        <f>IF(Data!$G$75=0,0,1)</f>
        <v>1</v>
      </c>
      <c r="C135" s="46" t="s">
        <v>45</v>
      </c>
      <c r="D135" s="46" t="s">
        <v>45</v>
      </c>
      <c r="E135" s="226" t="s">
        <v>45</v>
      </c>
      <c r="F135" s="68" t="s">
        <v>45</v>
      </c>
      <c r="G135" s="676">
        <f>Data!$F$75</f>
        <v>1.5</v>
      </c>
      <c r="H135" s="110">
        <f>B135*G135*wwheat</f>
        <v>0</v>
      </c>
      <c r="I135" s="108">
        <f>SUM(H135:H135)</f>
        <v>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10">
        <f>B137*G137*wwheat</f>
        <v>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10">
        <f>B138*G138*wwheat</f>
        <v>0</v>
      </c>
      <c r="I138" s="108">
        <f>SUM(H136:H138)</f>
        <v>0</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10">
        <f>B140*G140*wwheat</f>
        <v>0</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10">
        <f>B141*G141*wwheat</f>
        <v>0</v>
      </c>
      <c r="I141" s="108">
        <f>SUM(H139:H141)</f>
        <v>0</v>
      </c>
    </row>
    <row r="142" spans="1:13" x14ac:dyDescent="0.3">
      <c r="A142" s="856" t="s">
        <v>1503</v>
      </c>
      <c r="B142" s="677">
        <f>limeapp</f>
        <v>0.2</v>
      </c>
      <c r="C142" s="46" t="s">
        <v>45</v>
      </c>
      <c r="D142" s="46" t="s">
        <v>45</v>
      </c>
      <c r="E142" s="226" t="s">
        <v>45</v>
      </c>
      <c r="F142" s="110">
        <f>Data!$E$97</f>
        <v>75</v>
      </c>
      <c r="G142" s="114">
        <f>B142*F142</f>
        <v>15</v>
      </c>
      <c r="H142" s="110">
        <f>G142*wwheat</f>
        <v>0</v>
      </c>
      <c r="I142" s="108">
        <f>SUM(H142:H142)</f>
        <v>0</v>
      </c>
    </row>
    <row r="143" spans="1:13" x14ac:dyDescent="0.3">
      <c r="A143" s="70" t="s">
        <v>177</v>
      </c>
      <c r="B143" s="70"/>
      <c r="G143" s="114"/>
      <c r="H143" s="110"/>
    </row>
    <row r="144" spans="1:13" x14ac:dyDescent="0.3">
      <c r="A144" s="22" t="s">
        <v>174</v>
      </c>
      <c r="B144" s="816">
        <f>IF(Data!$E$57&gt;0,1,0)</f>
        <v>1</v>
      </c>
      <c r="C144" s="34" t="s">
        <v>45</v>
      </c>
      <c r="D144" s="34" t="s">
        <v>81</v>
      </c>
      <c r="E144" s="226" t="s">
        <v>45</v>
      </c>
      <c r="F144" s="110">
        <f>Data!D61</f>
        <v>50</v>
      </c>
      <c r="G144" s="1221">
        <f>IF(wwheat&gt;0,H144/wwheat,0)</f>
        <v>0</v>
      </c>
      <c r="H144" s="110">
        <f>B144*F144*wwheat*Data!E57*Data!D16</f>
        <v>0</v>
      </c>
    </row>
    <row r="145" spans="1:18" x14ac:dyDescent="0.3">
      <c r="A145" s="22" t="s">
        <v>224</v>
      </c>
      <c r="B145" s="1305">
        <f>IF(Data!$F$65&gt;0,1,0)</f>
        <v>0</v>
      </c>
      <c r="C145" s="34" t="s">
        <v>45</v>
      </c>
      <c r="D145" s="34" t="s">
        <v>225</v>
      </c>
      <c r="E145" s="226" t="s">
        <v>45</v>
      </c>
      <c r="F145" s="55" t="s">
        <v>45</v>
      </c>
      <c r="G145" s="1306">
        <f>Data!$F$65</f>
        <v>0</v>
      </c>
      <c r="H145" s="110">
        <f>B145*G145*wwheat</f>
        <v>0</v>
      </c>
      <c r="I145" s="108">
        <f>SUM(H143:H145)</f>
        <v>0</v>
      </c>
    </row>
    <row r="146" spans="1:18" x14ac:dyDescent="0.3">
      <c r="A146" s="665" t="s">
        <v>179</v>
      </c>
      <c r="I146" s="50"/>
      <c r="J146" s="27"/>
      <c r="K146" s="1293" t="s">
        <v>2104</v>
      </c>
      <c r="L146" s="1293" t="s">
        <v>236</v>
      </c>
      <c r="M146" s="1293" t="s">
        <v>393</v>
      </c>
      <c r="N146" s="114"/>
      <c r="O146" s="55"/>
      <c r="P146" s="55"/>
      <c r="Q146" s="55"/>
      <c r="R146" s="412"/>
    </row>
    <row r="147" spans="1:18" x14ac:dyDescent="0.3">
      <c r="A147" s="639" t="s">
        <v>957</v>
      </c>
      <c r="B147" s="405">
        <f>IF(OS!$O$21="Dry",1,0)</f>
        <v>1</v>
      </c>
      <c r="C147" s="34" t="s">
        <v>45</v>
      </c>
      <c r="D147" s="75" t="s">
        <v>45</v>
      </c>
      <c r="E147" s="226" t="s">
        <v>45</v>
      </c>
      <c r="F147" s="55" t="s">
        <v>45</v>
      </c>
      <c r="G147" s="367">
        <f>Data!$I$72*Data!B213</f>
        <v>22.479045114694269</v>
      </c>
      <c r="H147" s="110">
        <f>B147*G147*wwheat</f>
        <v>0</v>
      </c>
      <c r="I147" s="50"/>
      <c r="K147" s="114">
        <f>Data!$I$72</f>
        <v>0.53521535987367308</v>
      </c>
      <c r="L147" s="24">
        <f>Data!B213</f>
        <v>42</v>
      </c>
      <c r="M147" s="98">
        <f>K147*L147</f>
        <v>22.479045114694269</v>
      </c>
      <c r="N147" s="216"/>
      <c r="O147" s="216"/>
    </row>
    <row r="148" spans="1:18" x14ac:dyDescent="0.3">
      <c r="A148" s="666" t="s">
        <v>1022</v>
      </c>
      <c r="B148" s="405">
        <f>B147</f>
        <v>1</v>
      </c>
      <c r="C148" s="47" t="s">
        <v>45</v>
      </c>
      <c r="D148" s="47" t="s">
        <v>45</v>
      </c>
      <c r="E148" s="647" t="s">
        <v>45</v>
      </c>
      <c r="F148" s="590" t="s">
        <v>45</v>
      </c>
      <c r="G148" s="465">
        <f>Data!$I$72*(Data!B212-Data!B213)</f>
        <v>-22.479045114694269</v>
      </c>
      <c r="H148" s="123">
        <f>B148*G148*wwheat</f>
        <v>0</v>
      </c>
      <c r="I148" s="108">
        <f>SUM(H146:H148)</f>
        <v>0</v>
      </c>
    </row>
    <row r="149" spans="1:18" x14ac:dyDescent="0.3">
      <c r="A149" s="22" t="s">
        <v>952</v>
      </c>
      <c r="B149" s="110"/>
      <c r="C149" s="110"/>
      <c r="D149" s="110"/>
      <c r="E149" s="598"/>
      <c r="F149" s="110"/>
      <c r="G149" s="110"/>
      <c r="H149" s="110"/>
      <c r="K149" s="415" t="s">
        <v>1075</v>
      </c>
      <c r="L149" s="114"/>
    </row>
    <row r="150" spans="1:18" x14ac:dyDescent="0.3">
      <c r="A150" s="411" t="s">
        <v>953</v>
      </c>
      <c r="B150" s="405">
        <f>IF(Wf!$B$76=1,1,0)</f>
        <v>0</v>
      </c>
      <c r="C150" s="46" t="s">
        <v>45</v>
      </c>
      <c r="D150" s="34" t="s">
        <v>956</v>
      </c>
      <c r="E150" s="226" t="s">
        <v>45</v>
      </c>
      <c r="F150" s="1290">
        <f>Straw!$H$33</f>
        <v>5.42372881355932</v>
      </c>
      <c r="G150" s="414">
        <f>B150*F150*Data!$E$212</f>
        <v>0</v>
      </c>
      <c r="H150" s="110">
        <f>B150*G150*wwheat*Data!$C$33*K150*Data!B33</f>
        <v>0</v>
      </c>
      <c r="J150" s="55" t="s">
        <v>1076</v>
      </c>
      <c r="K150" s="1291">
        <f>Straw!$H$31</f>
        <v>0</v>
      </c>
      <c r="L150" s="114"/>
    </row>
    <row r="151" spans="1:18" x14ac:dyDescent="0.3">
      <c r="A151" s="9" t="s">
        <v>1022</v>
      </c>
      <c r="B151" s="405">
        <f>B150</f>
        <v>0</v>
      </c>
      <c r="C151" s="47" t="s">
        <v>45</v>
      </c>
      <c r="D151" s="47" t="s">
        <v>45</v>
      </c>
      <c r="E151" s="647" t="s">
        <v>45</v>
      </c>
      <c r="F151" s="465">
        <f>F150</f>
        <v>5.42372881355932</v>
      </c>
      <c r="G151" s="465">
        <f>B151*F151*Data!$E$212*Data!$F$213</f>
        <v>0</v>
      </c>
      <c r="H151" s="123">
        <f>B151*G151*wwheat*Data!$C$33*$K$150*Data!B33</f>
        <v>0</v>
      </c>
      <c r="J151" s="55" t="s">
        <v>1040</v>
      </c>
      <c r="K151" s="1292">
        <f>Straw!$H$32</f>
        <v>1</v>
      </c>
      <c r="L151" s="114"/>
    </row>
    <row r="152" spans="1:18" x14ac:dyDescent="0.3">
      <c r="A152" s="411" t="s">
        <v>954</v>
      </c>
      <c r="B152" s="405">
        <f>IF(Wf!$B$76=1,1,0)</f>
        <v>0</v>
      </c>
      <c r="C152" s="46" t="s">
        <v>45</v>
      </c>
      <c r="D152" s="34" t="s">
        <v>956</v>
      </c>
      <c r="E152" s="226" t="s">
        <v>45</v>
      </c>
      <c r="F152" s="1290">
        <f>Straw!$H$34</f>
        <v>0.86</v>
      </c>
      <c r="G152" s="414">
        <f>B152*F152*Data!$E$212</f>
        <v>0</v>
      </c>
      <c r="H152" s="110">
        <f>B152*G152*wwheat*Data!$C$33*K151*Data!B33</f>
        <v>0</v>
      </c>
      <c r="K152" s="587">
        <f>SUM(K150:K151)</f>
        <v>1</v>
      </c>
      <c r="L152" s="114"/>
    </row>
    <row r="153" spans="1:18" x14ac:dyDescent="0.3">
      <c r="A153" s="9" t="s">
        <v>1022</v>
      </c>
      <c r="B153" s="405">
        <f>B152</f>
        <v>0</v>
      </c>
      <c r="C153" s="47" t="s">
        <v>45</v>
      </c>
      <c r="D153" s="47" t="s">
        <v>45</v>
      </c>
      <c r="E153" s="647" t="s">
        <v>45</v>
      </c>
      <c r="F153" s="465">
        <f>F152</f>
        <v>0.86</v>
      </c>
      <c r="G153" s="465">
        <f>B153*F153*Data!$E$212*Data!$F$213</f>
        <v>0</v>
      </c>
      <c r="H153" s="123">
        <f>B153*G153*wwheat*Data!$C$33*$K$151*Data!B33</f>
        <v>0</v>
      </c>
    </row>
    <row r="154" spans="1:18" x14ac:dyDescent="0.3">
      <c r="A154" s="411" t="s">
        <v>955</v>
      </c>
      <c r="B154" s="405">
        <f>IF(Wf!$B$77=1,1,0)</f>
        <v>0</v>
      </c>
      <c r="C154" s="46" t="s">
        <v>45</v>
      </c>
      <c r="D154" s="34" t="s">
        <v>956</v>
      </c>
      <c r="E154" s="226" t="s">
        <v>45</v>
      </c>
      <c r="F154" s="1290">
        <f>Straw!$H$35</f>
        <v>7.0000000000000007E-2</v>
      </c>
      <c r="G154" s="414">
        <f>B154*F154*Data!$H$212</f>
        <v>0</v>
      </c>
      <c r="H154" s="110">
        <f>B154*G154*wwheat*Data!$C$33*Data!B33</f>
        <v>0</v>
      </c>
    </row>
    <row r="155" spans="1:18" x14ac:dyDescent="0.3">
      <c r="A155" s="9" t="s">
        <v>1022</v>
      </c>
      <c r="B155" s="405">
        <f>B154</f>
        <v>0</v>
      </c>
      <c r="C155" s="47" t="s">
        <v>45</v>
      </c>
      <c r="D155" s="47" t="s">
        <v>45</v>
      </c>
      <c r="E155" s="647" t="s">
        <v>45</v>
      </c>
      <c r="F155" s="465">
        <f>F154</f>
        <v>7.0000000000000007E-2</v>
      </c>
      <c r="G155" s="465">
        <f>B155*F155*Data!$H$212*Data!$F$213</f>
        <v>0</v>
      </c>
      <c r="H155" s="123">
        <f>B155*G155*wwheat*Data!$D$33*Data!B33</f>
        <v>0</v>
      </c>
      <c r="I155" s="108">
        <f>SUM(H147:H155)</f>
        <v>0</v>
      </c>
    </row>
    <row r="156" spans="1:18" x14ac:dyDescent="0.3">
      <c r="A156" s="665" t="s">
        <v>2075</v>
      </c>
      <c r="E156" s="17"/>
    </row>
    <row r="157" spans="1:18" x14ac:dyDescent="0.3">
      <c r="A157" s="639" t="s">
        <v>2026</v>
      </c>
      <c r="B157" s="405">
        <f>IF(OSI!$G$92&gt;0,OSI!$G$92,0)</f>
        <v>0</v>
      </c>
      <c r="C157" s="643">
        <v>1</v>
      </c>
      <c r="D157" s="34" t="s">
        <v>1517</v>
      </c>
      <c r="E157" s="34">
        <f>B157*C157</f>
        <v>0</v>
      </c>
      <c r="F157" s="676">
        <f>OSI!$G$92</f>
        <v>0</v>
      </c>
      <c r="G157" s="114">
        <f>(C157*F157)/crops</f>
        <v>0</v>
      </c>
      <c r="H157" s="110">
        <f>B157*G157*wwheat</f>
        <v>0</v>
      </c>
    </row>
    <row r="158" spans="1:18" x14ac:dyDescent="0.3">
      <c r="A158" s="639" t="s">
        <v>2027</v>
      </c>
      <c r="B158" s="405">
        <f>IF(OSI!$G$94&gt;0,OSI!$G$94,0)</f>
        <v>0</v>
      </c>
      <c r="C158" s="405">
        <f>OSI!$G$94</f>
        <v>0</v>
      </c>
      <c r="D158" s="34" t="s">
        <v>2028</v>
      </c>
      <c r="E158" s="34">
        <f>B158*C158</f>
        <v>0</v>
      </c>
      <c r="F158" s="367">
        <f>OSI!$G$95</f>
        <v>0</v>
      </c>
      <c r="G158" s="114">
        <f>(C158*F158)/crops</f>
        <v>0</v>
      </c>
      <c r="H158" s="110">
        <f>B158*G158*wwheat</f>
        <v>0</v>
      </c>
      <c r="I158" s="108">
        <f>SUM(H156:H158)</f>
        <v>0</v>
      </c>
    </row>
    <row r="159" spans="1:18" x14ac:dyDescent="0.3">
      <c r="A159" s="856" t="s">
        <v>1518</v>
      </c>
      <c r="B159" s="644"/>
      <c r="C159" s="47"/>
      <c r="D159" s="48"/>
      <c r="E159" s="48"/>
      <c r="F159" s="118"/>
      <c r="G159" s="465"/>
      <c r="H159" s="124"/>
      <c r="I159" s="110"/>
    </row>
    <row r="160" spans="1:18" x14ac:dyDescent="0.3">
      <c r="A160" s="638" t="s">
        <v>1519</v>
      </c>
      <c r="B160" s="816">
        <f>IF(Data!$P$108&gt;0,1,0)</f>
        <v>1</v>
      </c>
      <c r="C160" s="862">
        <f>Data!$Q$108</f>
        <v>0.1</v>
      </c>
      <c r="D160" s="34" t="s">
        <v>128</v>
      </c>
      <c r="E160" s="228">
        <f>C160*wwheat</f>
        <v>0</v>
      </c>
      <c r="F160" s="167">
        <f t="shared" ref="F160:F163" si="31">_wage_</f>
        <v>12.29</v>
      </c>
      <c r="G160" s="114">
        <f t="shared" ref="G160:G165" si="32">C160*F160</f>
        <v>1.2290000000000001</v>
      </c>
      <c r="H160" s="110">
        <f>B160*G160*wwheat</f>
        <v>0</v>
      </c>
      <c r="I160" s="110"/>
    </row>
    <row r="161" spans="1:9" x14ac:dyDescent="0.3">
      <c r="A161" s="638" t="s">
        <v>1520</v>
      </c>
      <c r="B161" s="816">
        <f>IF(Data!$P$109&gt;0,1,0)</f>
        <v>1</v>
      </c>
      <c r="C161" s="862">
        <f>Data!$Q$109</f>
        <v>0.02</v>
      </c>
      <c r="D161" s="34" t="s">
        <v>128</v>
      </c>
      <c r="E161" s="228">
        <f>C161*wwheat</f>
        <v>0</v>
      </c>
      <c r="F161" s="167">
        <f t="shared" si="31"/>
        <v>12.29</v>
      </c>
      <c r="G161" s="114">
        <f t="shared" si="32"/>
        <v>0.24579999999999999</v>
      </c>
      <c r="H161" s="110">
        <f>B161*G161*wwheat</f>
        <v>0</v>
      </c>
      <c r="I161" s="110"/>
    </row>
    <row r="162" spans="1:9" x14ac:dyDescent="0.3">
      <c r="A162" s="638" t="s">
        <v>1521</v>
      </c>
      <c r="B162" s="816">
        <f>IF(Data!$P$110&gt;0,1,0)</f>
        <v>1</v>
      </c>
      <c r="C162" s="862">
        <f>Data!$Q$110</f>
        <v>0.45500000000000002</v>
      </c>
      <c r="D162" s="34" t="s">
        <v>128</v>
      </c>
      <c r="E162" s="228">
        <f>C162*wwheat</f>
        <v>0</v>
      </c>
      <c r="F162" s="167">
        <f t="shared" si="31"/>
        <v>12.29</v>
      </c>
      <c r="G162" s="114">
        <f t="shared" si="32"/>
        <v>5.5919499999999998</v>
      </c>
      <c r="H162" s="110">
        <f>B162*G162*wwheat</f>
        <v>0</v>
      </c>
      <c r="I162" s="110"/>
    </row>
    <row r="163" spans="1:9" x14ac:dyDescent="0.3">
      <c r="A163" s="638" t="s">
        <v>1522</v>
      </c>
      <c r="B163" s="816">
        <f>IF(Data!$P$111&gt;0,1,0)</f>
        <v>1</v>
      </c>
      <c r="C163" s="862">
        <f>Data!$Q$111</f>
        <v>0.32500000000000001</v>
      </c>
      <c r="D163" s="34" t="s">
        <v>128</v>
      </c>
      <c r="E163" s="228">
        <f>C163*wwheat</f>
        <v>0</v>
      </c>
      <c r="F163" s="167">
        <f t="shared" si="31"/>
        <v>12.29</v>
      </c>
      <c r="G163" s="114">
        <f t="shared" si="32"/>
        <v>3.9942500000000001</v>
      </c>
      <c r="H163" s="110">
        <f>B163*G163*wwheat</f>
        <v>0</v>
      </c>
      <c r="I163" s="110">
        <f>SUM(H159:H163)</f>
        <v>0</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C165*wwheat</f>
        <v>0</v>
      </c>
      <c r="F165" s="167">
        <f>Data!$S$271</f>
        <v>45</v>
      </c>
      <c r="G165" s="110">
        <f t="shared" si="32"/>
        <v>0</v>
      </c>
      <c r="H165" s="110">
        <f t="shared" ref="H165:H171" si="33">B165*G165*wwheat</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33"/>
        <v>0</v>
      </c>
      <c r="I166" s="110"/>
    </row>
    <row r="167" spans="1:9" x14ac:dyDescent="0.3">
      <c r="A167" s="856" t="s">
        <v>1513</v>
      </c>
      <c r="B167" s="816">
        <f>Data!$G$114</f>
        <v>1</v>
      </c>
      <c r="C167" s="46" t="s">
        <v>45</v>
      </c>
      <c r="D167" s="46" t="s">
        <v>1517</v>
      </c>
      <c r="E167" s="46" t="s">
        <v>45</v>
      </c>
      <c r="F167" s="676">
        <f>Data!$I$114</f>
        <v>500</v>
      </c>
      <c r="G167" s="114">
        <f>F167/crops</f>
        <v>1.25</v>
      </c>
      <c r="H167" s="110">
        <f t="shared" si="33"/>
        <v>0</v>
      </c>
      <c r="I167" s="110"/>
    </row>
    <row r="168" spans="1:9" x14ac:dyDescent="0.3">
      <c r="A168" s="856" t="s">
        <v>1514</v>
      </c>
      <c r="B168" s="816">
        <f>Data!$G$115</f>
        <v>1</v>
      </c>
      <c r="C168" s="46" t="s">
        <v>45</v>
      </c>
      <c r="D168" s="46" t="s">
        <v>1517</v>
      </c>
      <c r="E168" s="46" t="s">
        <v>45</v>
      </c>
      <c r="F168" s="676">
        <f>Data!$I$115</f>
        <v>250</v>
      </c>
      <c r="G168" s="114">
        <f>F168/crops</f>
        <v>0.625</v>
      </c>
      <c r="H168" s="110">
        <f t="shared" si="33"/>
        <v>0</v>
      </c>
      <c r="I168" s="110">
        <f>SUM(H166:H168)</f>
        <v>0</v>
      </c>
    </row>
    <row r="169" spans="1:9" x14ac:dyDescent="0.3">
      <c r="A169" s="70" t="s">
        <v>180</v>
      </c>
      <c r="B169" s="405">
        <f>IF(othexp&gt;0,1,0)</f>
        <v>0</v>
      </c>
      <c r="C169" s="34" t="s">
        <v>45</v>
      </c>
      <c r="D169" s="34" t="s">
        <v>45</v>
      </c>
      <c r="E169" s="226" t="s">
        <v>45</v>
      </c>
      <c r="F169" s="68" t="s">
        <v>45</v>
      </c>
      <c r="G169" s="114">
        <f>othexp</f>
        <v>0</v>
      </c>
      <c r="H169" s="110">
        <f t="shared" si="33"/>
        <v>0</v>
      </c>
    </row>
    <row r="170" spans="1:9" x14ac:dyDescent="0.3">
      <c r="A170" s="22" t="s">
        <v>181</v>
      </c>
      <c r="B170" s="397">
        <v>0</v>
      </c>
      <c r="C170" s="34" t="s">
        <v>45</v>
      </c>
      <c r="D170" s="34" t="s">
        <v>45</v>
      </c>
      <c r="E170" s="226" t="s">
        <v>45</v>
      </c>
      <c r="F170" s="68" t="s">
        <v>45</v>
      </c>
      <c r="G170" s="272">
        <f>0</f>
        <v>0</v>
      </c>
      <c r="H170" s="110">
        <f t="shared" si="33"/>
        <v>0</v>
      </c>
      <c r="I170" s="108">
        <f>SUM(H169:H170)</f>
        <v>0</v>
      </c>
    </row>
    <row r="171" spans="1:9" x14ac:dyDescent="0.3">
      <c r="A171" s="3" t="s">
        <v>226</v>
      </c>
      <c r="B171" s="397">
        <v>0</v>
      </c>
      <c r="C171" s="34" t="s">
        <v>45</v>
      </c>
      <c r="D171" s="34" t="s">
        <v>45</v>
      </c>
      <c r="E171" s="226" t="s">
        <v>45</v>
      </c>
      <c r="F171" s="68" t="s">
        <v>45</v>
      </c>
      <c r="G171" s="272">
        <v>0</v>
      </c>
      <c r="H171" s="110">
        <f t="shared" si="33"/>
        <v>0</v>
      </c>
    </row>
    <row r="172" spans="1:9" x14ac:dyDescent="0.3">
      <c r="A172" s="3" t="s">
        <v>73</v>
      </c>
      <c r="B172" s="3"/>
      <c r="F172" s="114"/>
      <c r="G172" s="119">
        <f>SUM(G8:G171)</f>
        <v>428.59889841175084</v>
      </c>
      <c r="H172" s="111">
        <f>SUM(H8:H171)</f>
        <v>0</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6">
        <f>_int_oper_</f>
        <v>4.7341710603787002E-2</v>
      </c>
      <c r="D175" s="34">
        <f>Data!$B$48</f>
        <v>7</v>
      </c>
      <c r="E175" s="226"/>
      <c r="F175" s="114"/>
      <c r="G175" s="1222">
        <f>IF(wwheat&gt;0,H175/wwheat,0)</f>
        <v>0</v>
      </c>
      <c r="H175" s="109">
        <f>C175*(D175/12)*(H172)</f>
        <v>0</v>
      </c>
    </row>
    <row r="176" spans="1:9" x14ac:dyDescent="0.3">
      <c r="F176" s="114"/>
      <c r="G176" s="103"/>
      <c r="H176" s="127"/>
    </row>
    <row r="177" spans="1:8" ht="14" thickBot="1" x14ac:dyDescent="0.4">
      <c r="A177" s="1" t="s">
        <v>74</v>
      </c>
      <c r="B177" s="1"/>
      <c r="F177" s="114"/>
      <c r="G177" s="121">
        <f>G172+G175</f>
        <v>428.59889841175084</v>
      </c>
      <c r="H177" s="128">
        <f>H172+H175</f>
        <v>0</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49"/>
    </row>
    <row r="185" spans="1:8" x14ac:dyDescent="0.3">
      <c r="F185" s="34"/>
      <c r="G185" s="34"/>
      <c r="H185" s="49"/>
    </row>
    <row r="186" spans="1:8" x14ac:dyDescent="0.3">
      <c r="F186" s="34"/>
      <c r="G186" s="34"/>
      <c r="H186" s="49"/>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c r="G671" s="34"/>
      <c r="H671" s="34"/>
    </row>
    <row r="672" spans="6:8" x14ac:dyDescent="0.3">
      <c r="F672" s="34"/>
      <c r="G672" s="34"/>
      <c r="H672" s="34"/>
    </row>
    <row r="673" spans="6:8" x14ac:dyDescent="0.3">
      <c r="F673" s="34"/>
      <c r="G673" s="34"/>
      <c r="H673" s="34"/>
    </row>
    <row r="674" spans="6:8" x14ac:dyDescent="0.3">
      <c r="F674" s="34"/>
      <c r="G674" s="34"/>
      <c r="H674" s="34"/>
    </row>
    <row r="675" spans="6:8" x14ac:dyDescent="0.3">
      <c r="F675" s="34"/>
      <c r="G675" s="34"/>
      <c r="H675" s="34"/>
    </row>
    <row r="676" spans="6:8" x14ac:dyDescent="0.3">
      <c r="F676" s="34"/>
      <c r="G676" s="34"/>
      <c r="H676" s="34"/>
    </row>
    <row r="677" spans="6:8" x14ac:dyDescent="0.3">
      <c r="F677" s="34"/>
      <c r="G677" s="34"/>
      <c r="H677" s="34"/>
    </row>
    <row r="678" spans="6:8" x14ac:dyDescent="0.3">
      <c r="F678" s="34"/>
      <c r="G678" s="34"/>
      <c r="H678" s="34"/>
    </row>
    <row r="679" spans="6:8" x14ac:dyDescent="0.3">
      <c r="F679" s="34"/>
      <c r="G679" s="34"/>
      <c r="H679" s="34"/>
    </row>
    <row r="680" spans="6:8" x14ac:dyDescent="0.3">
      <c r="F680" s="34"/>
    </row>
    <row r="681" spans="6:8" x14ac:dyDescent="0.3">
      <c r="F681" s="34"/>
    </row>
    <row r="682" spans="6:8" x14ac:dyDescent="0.3">
      <c r="F682" s="34"/>
    </row>
    <row r="683" spans="6:8" x14ac:dyDescent="0.3">
      <c r="F683" s="34"/>
    </row>
    <row r="684" spans="6:8" x14ac:dyDescent="0.3">
      <c r="F684" s="34"/>
    </row>
    <row r="685" spans="6:8" x14ac:dyDescent="0.3">
      <c r="F685" s="34"/>
    </row>
    <row r="686" spans="6:8" x14ac:dyDescent="0.3">
      <c r="F686" s="34"/>
    </row>
    <row r="687" spans="6:8" x14ac:dyDescent="0.3">
      <c r="F687" s="34"/>
    </row>
    <row r="688" spans="6:8" x14ac:dyDescent="0.3">
      <c r="F688" s="34"/>
    </row>
    <row r="689" spans="6:6" x14ac:dyDescent="0.3">
      <c r="F689" s="34"/>
    </row>
    <row r="690" spans="6:6" x14ac:dyDescent="0.3">
      <c r="F690" s="34"/>
    </row>
    <row r="691" spans="6:6" x14ac:dyDescent="0.3">
      <c r="F691" s="34"/>
    </row>
    <row r="692" spans="6:6" x14ac:dyDescent="0.3">
      <c r="F692" s="34"/>
    </row>
    <row r="693" spans="6:6" x14ac:dyDescent="0.3">
      <c r="F693" s="34"/>
    </row>
    <row r="694" spans="6:6" x14ac:dyDescent="0.3">
      <c r="F694" s="34"/>
    </row>
    <row r="695" spans="6:6" x14ac:dyDescent="0.3">
      <c r="F695" s="34"/>
    </row>
    <row r="696" spans="6:6" x14ac:dyDescent="0.3">
      <c r="F696" s="34"/>
    </row>
    <row r="697" spans="6:6" x14ac:dyDescent="0.3">
      <c r="F697" s="34"/>
    </row>
    <row r="698" spans="6:6" x14ac:dyDescent="0.3">
      <c r="F698" s="34"/>
    </row>
    <row r="699" spans="6:6" x14ac:dyDescent="0.3">
      <c r="F699" s="34"/>
    </row>
    <row r="700" spans="6:6" x14ac:dyDescent="0.3">
      <c r="F700" s="34"/>
    </row>
    <row r="701" spans="6:6" x14ac:dyDescent="0.3">
      <c r="F701" s="3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3"/>
  <sheetViews>
    <sheetView zoomScale="80" zoomScaleNormal="80" workbookViewId="0">
      <selection activeCell="B1" sqref="B1"/>
    </sheetView>
  </sheetViews>
  <sheetFormatPr defaultRowHeight="20.5" x14ac:dyDescent="0.45"/>
  <cols>
    <col min="1" max="1" width="5.6328125" style="1108" customWidth="1"/>
    <col min="2" max="2" width="11.90625" style="1108" customWidth="1"/>
    <col min="3" max="3" width="17.81640625" style="1108" customWidth="1"/>
    <col min="4" max="4" width="3.90625" style="1108" customWidth="1"/>
    <col min="5" max="5" width="1.81640625" style="1108" customWidth="1"/>
    <col min="6" max="6" width="18.81640625" style="1108" customWidth="1"/>
    <col min="7" max="7" width="3.90625" style="1108" customWidth="1"/>
    <col min="8" max="8" width="1.81640625" style="1108" customWidth="1"/>
    <col min="9" max="9" width="18.81640625" style="1108" customWidth="1"/>
    <col min="10" max="10" width="3.90625" style="1108" customWidth="1"/>
    <col min="11" max="11" width="1.81640625" style="1108" customWidth="1"/>
    <col min="12" max="12" width="18.81640625" style="1108" customWidth="1"/>
    <col min="13" max="13" width="3.90625" style="1108" customWidth="1"/>
    <col min="14" max="14" width="1.81640625" style="1108" customWidth="1"/>
    <col min="15" max="15" width="18.81640625" style="1108" customWidth="1"/>
    <col min="16" max="16" width="3.90625" style="1108" customWidth="1"/>
    <col min="17" max="17" width="1.81640625" style="1108" customWidth="1"/>
    <col min="18" max="18" width="18.81640625" style="1108" customWidth="1"/>
    <col min="19" max="19" width="3.90625" style="1108" customWidth="1"/>
    <col min="20" max="20" width="1.81640625" style="1108" customWidth="1"/>
    <col min="21" max="21" width="18.81640625" style="1108" customWidth="1"/>
    <col min="22" max="22" width="3.90625" style="1108" customWidth="1"/>
    <col min="23" max="23" width="1.81640625" style="1108" customWidth="1"/>
    <col min="24" max="24" width="18.81640625" style="1108" customWidth="1"/>
    <col min="25" max="25" width="3.90625" style="1108" customWidth="1"/>
    <col min="26" max="26" width="1.81640625" style="1108" customWidth="1"/>
    <col min="27" max="27" width="18.81640625" style="1108" customWidth="1"/>
    <col min="28" max="28" width="3.90625" style="1108" customWidth="1"/>
    <col min="29" max="29" width="1.81640625" style="1108" customWidth="1"/>
    <col min="30" max="30" width="18.81640625" style="1108" customWidth="1"/>
    <col min="31" max="31" width="3.90625" style="1108" customWidth="1"/>
    <col min="32" max="32" width="17.81640625" style="1108" customWidth="1"/>
    <col min="33" max="33" width="5.81640625" style="1108" customWidth="1"/>
  </cols>
  <sheetData>
    <row r="1" spans="1:34" s="1108" customFormat="1" ht="18" customHeight="1" x14ac:dyDescent="0.45">
      <c r="A1" s="1109"/>
      <c r="B1" s="1101"/>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51" t="s">
        <v>1839</v>
      </c>
      <c r="AB1" s="1101"/>
      <c r="AC1" s="1101"/>
      <c r="AD1" s="1101"/>
      <c r="AE1" s="1101"/>
      <c r="AF1" s="1101"/>
      <c r="AG1" s="1112"/>
    </row>
    <row r="2" spans="1:34" s="1108" customFormat="1" ht="18" customHeight="1" thickBot="1" x14ac:dyDescent="0.5">
      <c r="A2" s="1101"/>
      <c r="B2" s="1086" t="s">
        <v>2202</v>
      </c>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093" t="str">
        <f>FARM!$K$2</f>
        <v>ME Grain &amp; Pulse</v>
      </c>
      <c r="AB2" s="1101"/>
      <c r="AC2" s="1101"/>
      <c r="AD2" s="1101"/>
      <c r="AE2" s="1101"/>
      <c r="AF2" s="1101"/>
      <c r="AG2" s="1112"/>
    </row>
    <row r="3" spans="1:34" s="1108" customFormat="1" ht="18" customHeight="1" thickBot="1" x14ac:dyDescent="0.5">
      <c r="A3" s="1088"/>
      <c r="B3" s="1101"/>
      <c r="C3" s="1101"/>
      <c r="D3" s="1101"/>
      <c r="E3" s="1101"/>
      <c r="F3" s="1089"/>
      <c r="G3" s="1101"/>
      <c r="H3" s="1101"/>
      <c r="I3" s="1090"/>
      <c r="J3" s="1101"/>
      <c r="K3" s="1101"/>
      <c r="L3" s="1090"/>
      <c r="M3" s="1101"/>
      <c r="N3" s="1101"/>
      <c r="O3" s="1090"/>
      <c r="P3" s="1101"/>
      <c r="Q3" s="1101"/>
      <c r="R3" s="1101"/>
      <c r="S3" s="1101"/>
      <c r="T3" s="1101"/>
      <c r="U3" s="1101"/>
      <c r="V3" s="1101"/>
      <c r="W3" s="1101"/>
      <c r="X3" s="1101"/>
      <c r="Y3" s="1101"/>
      <c r="Z3" s="1101"/>
      <c r="AA3" s="1101"/>
      <c r="AB3" s="1101"/>
      <c r="AC3" s="1101"/>
      <c r="AD3" s="1079"/>
      <c r="AE3" s="1101"/>
      <c r="AF3" s="1101"/>
      <c r="AG3" s="1112"/>
    </row>
    <row r="4" spans="1:34" s="1108" customFormat="1" ht="18" customHeight="1" thickBot="1" x14ac:dyDescent="0.5">
      <c r="A4" s="1109"/>
      <c r="B4" s="1091" t="s">
        <v>2183</v>
      </c>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079"/>
      <c r="AE4" s="1101"/>
      <c r="AF4" s="1101"/>
      <c r="AG4" s="1112"/>
      <c r="AH4" s="1097"/>
    </row>
    <row r="5" spans="1:34" ht="21" thickBot="1" x14ac:dyDescent="0.5">
      <c r="A5" s="1109"/>
      <c r="B5" s="1081"/>
      <c r="C5" s="1081" t="s">
        <v>1544</v>
      </c>
      <c r="D5" s="1081"/>
      <c r="E5" s="1081"/>
      <c r="F5" s="1153"/>
      <c r="G5" s="1081"/>
      <c r="H5" s="1101"/>
      <c r="I5" s="1153"/>
      <c r="J5" s="1081"/>
      <c r="K5" s="1101"/>
      <c r="L5" s="1154"/>
      <c r="M5" s="1081"/>
      <c r="N5" s="1101"/>
      <c r="O5" s="1090"/>
      <c r="P5" s="1081"/>
      <c r="Q5" s="1101"/>
      <c r="R5" s="1101"/>
      <c r="S5" s="1081"/>
      <c r="T5" s="1101"/>
      <c r="U5" s="1154"/>
      <c r="V5" s="1081"/>
      <c r="W5" s="1101"/>
      <c r="X5" s="1154"/>
      <c r="Y5" s="1081"/>
      <c r="Z5" s="1101"/>
      <c r="AA5" s="1153"/>
      <c r="AB5" s="1081"/>
      <c r="AC5" s="1101"/>
      <c r="AD5" s="1155"/>
      <c r="AE5" s="1081"/>
      <c r="AF5" s="1153"/>
      <c r="AG5" s="1112"/>
    </row>
    <row r="6" spans="1:34" x14ac:dyDescent="0.45">
      <c r="A6" s="1109"/>
      <c r="B6" s="1081" t="s">
        <v>1598</v>
      </c>
      <c r="C6" s="1323" t="s">
        <v>105</v>
      </c>
      <c r="D6" s="1324" t="s">
        <v>2216</v>
      </c>
      <c r="E6" s="1081"/>
      <c r="F6" s="1323" t="s">
        <v>426</v>
      </c>
      <c r="G6" s="1324" t="s">
        <v>2216</v>
      </c>
      <c r="H6" s="1101"/>
      <c r="I6" s="1323" t="s">
        <v>522</v>
      </c>
      <c r="J6" s="1324" t="s">
        <v>2216</v>
      </c>
      <c r="K6" s="1101"/>
      <c r="L6" s="1332" t="s">
        <v>2105</v>
      </c>
      <c r="M6" s="1324" t="s">
        <v>2216</v>
      </c>
      <c r="N6" s="1101"/>
      <c r="O6" s="1332" t="s">
        <v>2106</v>
      </c>
      <c r="P6" s="1324" t="s">
        <v>2216</v>
      </c>
      <c r="Q6" s="1101"/>
      <c r="R6" s="1323" t="s">
        <v>571</v>
      </c>
      <c r="S6" s="1324" t="s">
        <v>2216</v>
      </c>
      <c r="T6" s="1101"/>
      <c r="U6" s="1323" t="s">
        <v>572</v>
      </c>
      <c r="V6" s="1324" t="s">
        <v>2216</v>
      </c>
      <c r="W6" s="1101"/>
      <c r="X6" s="1332" t="s">
        <v>2107</v>
      </c>
      <c r="Y6" s="1324" t="s">
        <v>2216</v>
      </c>
      <c r="Z6" s="1101"/>
      <c r="AA6" s="1323" t="s">
        <v>1142</v>
      </c>
      <c r="AB6" s="1324" t="s">
        <v>2216</v>
      </c>
      <c r="AC6" s="1101"/>
      <c r="AD6" s="1323" t="s">
        <v>201</v>
      </c>
      <c r="AE6" s="1324" t="s">
        <v>2216</v>
      </c>
      <c r="AF6" s="1101"/>
      <c r="AG6" s="1112"/>
    </row>
    <row r="7" spans="1:34" x14ac:dyDescent="0.45">
      <c r="A7" s="1109"/>
      <c r="B7" s="1161" t="s">
        <v>1897</v>
      </c>
      <c r="C7" s="1325" t="s">
        <v>1574</v>
      </c>
      <c r="D7" s="1326">
        <v>0</v>
      </c>
      <c r="E7" s="1081"/>
      <c r="F7" s="1325" t="s">
        <v>1574</v>
      </c>
      <c r="G7" s="1326">
        <v>0</v>
      </c>
      <c r="H7" s="1101"/>
      <c r="I7" s="1325" t="s">
        <v>1574</v>
      </c>
      <c r="J7" s="1326">
        <v>0</v>
      </c>
      <c r="K7" s="1101"/>
      <c r="L7" s="1325" t="s">
        <v>1574</v>
      </c>
      <c r="M7" s="1326">
        <v>0</v>
      </c>
      <c r="N7" s="1101"/>
      <c r="O7" s="1325" t="s">
        <v>1574</v>
      </c>
      <c r="P7" s="1326">
        <v>0</v>
      </c>
      <c r="Q7" s="1101"/>
      <c r="R7" s="1325" t="s">
        <v>1574</v>
      </c>
      <c r="S7" s="1326">
        <v>0</v>
      </c>
      <c r="T7" s="1101"/>
      <c r="U7" s="1325" t="s">
        <v>1574</v>
      </c>
      <c r="V7" s="1326">
        <v>0</v>
      </c>
      <c r="W7" s="1101"/>
      <c r="X7" s="1325" t="s">
        <v>1574</v>
      </c>
      <c r="Y7" s="1326">
        <v>0</v>
      </c>
      <c r="Z7" s="1101"/>
      <c r="AA7" s="1325" t="s">
        <v>1574</v>
      </c>
      <c r="AB7" s="1326">
        <v>0</v>
      </c>
      <c r="AC7" s="1101"/>
      <c r="AD7" s="1325" t="s">
        <v>1574</v>
      </c>
      <c r="AE7" s="1326">
        <v>0</v>
      </c>
      <c r="AF7" s="1101"/>
      <c r="AG7" s="1112"/>
    </row>
    <row r="8" spans="1:34" x14ac:dyDescent="0.45">
      <c r="A8" s="1109"/>
      <c r="B8" s="1160" t="s">
        <v>1602</v>
      </c>
      <c r="C8" s="1325" t="s">
        <v>1599</v>
      </c>
      <c r="D8" s="1326">
        <v>1</v>
      </c>
      <c r="E8" s="1081"/>
      <c r="F8" s="1325" t="s">
        <v>1599</v>
      </c>
      <c r="G8" s="1326">
        <v>1</v>
      </c>
      <c r="H8" s="1101"/>
      <c r="I8" s="1325" t="s">
        <v>1599</v>
      </c>
      <c r="J8" s="1326">
        <v>1</v>
      </c>
      <c r="K8" s="1101"/>
      <c r="L8" s="1325" t="s">
        <v>1599</v>
      </c>
      <c r="M8" s="1326">
        <v>1</v>
      </c>
      <c r="N8" s="1101"/>
      <c r="O8" s="1325" t="s">
        <v>1599</v>
      </c>
      <c r="P8" s="1326">
        <v>1</v>
      </c>
      <c r="Q8" s="1101"/>
      <c r="R8" s="1325" t="s">
        <v>1599</v>
      </c>
      <c r="S8" s="1326">
        <v>1</v>
      </c>
      <c r="T8" s="1101"/>
      <c r="U8" s="1325" t="s">
        <v>1599</v>
      </c>
      <c r="V8" s="1326">
        <v>1</v>
      </c>
      <c r="W8" s="1101"/>
      <c r="X8" s="1325" t="s">
        <v>1599</v>
      </c>
      <c r="Y8" s="1326">
        <v>1</v>
      </c>
      <c r="Z8" s="1101"/>
      <c r="AA8" s="1325" t="s">
        <v>1574</v>
      </c>
      <c r="AB8" s="1326">
        <v>0</v>
      </c>
      <c r="AC8" s="1101"/>
      <c r="AD8" s="1325" t="s">
        <v>1574</v>
      </c>
      <c r="AE8" s="1326">
        <v>0</v>
      </c>
      <c r="AF8" s="1095"/>
      <c r="AG8" s="1112"/>
    </row>
    <row r="9" spans="1:34" x14ac:dyDescent="0.45">
      <c r="A9" s="1109"/>
      <c r="B9" s="1161" t="s">
        <v>1429</v>
      </c>
      <c r="C9" s="1325" t="s">
        <v>1429</v>
      </c>
      <c r="D9" s="1326">
        <v>1</v>
      </c>
      <c r="E9" s="1081"/>
      <c r="F9" s="1325" t="s">
        <v>1429</v>
      </c>
      <c r="G9" s="1326">
        <v>1</v>
      </c>
      <c r="H9" s="1101"/>
      <c r="I9" s="1325" t="s">
        <v>1429</v>
      </c>
      <c r="J9" s="1326">
        <v>1</v>
      </c>
      <c r="K9" s="1101"/>
      <c r="L9" s="1325" t="s">
        <v>1429</v>
      </c>
      <c r="M9" s="1326">
        <v>1</v>
      </c>
      <c r="N9" s="1101"/>
      <c r="O9" s="1325" t="s">
        <v>1429</v>
      </c>
      <c r="P9" s="1326">
        <v>1</v>
      </c>
      <c r="Q9" s="1101"/>
      <c r="R9" s="1325" t="s">
        <v>1429</v>
      </c>
      <c r="S9" s="1326">
        <v>1</v>
      </c>
      <c r="T9" s="1101"/>
      <c r="U9" s="1325" t="s">
        <v>1429</v>
      </c>
      <c r="V9" s="1326">
        <v>1</v>
      </c>
      <c r="W9" s="1101"/>
      <c r="X9" s="1325" t="s">
        <v>1429</v>
      </c>
      <c r="Y9" s="1326">
        <v>1</v>
      </c>
      <c r="Z9" s="1101"/>
      <c r="AA9" s="1325" t="s">
        <v>1429</v>
      </c>
      <c r="AB9" s="1326">
        <v>1</v>
      </c>
      <c r="AC9" s="1101"/>
      <c r="AD9" s="1325" t="s">
        <v>1429</v>
      </c>
      <c r="AE9" s="1326">
        <v>1</v>
      </c>
      <c r="AF9" s="1101"/>
      <c r="AG9" s="1112"/>
    </row>
    <row r="10" spans="1:34" x14ac:dyDescent="0.45">
      <c r="A10" s="1109"/>
      <c r="B10" s="1161" t="s">
        <v>1608</v>
      </c>
      <c r="C10" s="1325" t="s">
        <v>482</v>
      </c>
      <c r="D10" s="1326">
        <v>1</v>
      </c>
      <c r="E10" s="1081"/>
      <c r="F10" s="1325" t="s">
        <v>482</v>
      </c>
      <c r="G10" s="1326">
        <v>1</v>
      </c>
      <c r="H10" s="1101"/>
      <c r="I10" s="1325" t="s">
        <v>482</v>
      </c>
      <c r="J10" s="1326">
        <v>1</v>
      </c>
      <c r="K10" s="1101"/>
      <c r="L10" s="1325" t="s">
        <v>482</v>
      </c>
      <c r="M10" s="1326">
        <v>1</v>
      </c>
      <c r="N10" s="1101"/>
      <c r="O10" s="1325" t="s">
        <v>482</v>
      </c>
      <c r="P10" s="1326">
        <v>1</v>
      </c>
      <c r="Q10" s="1101"/>
      <c r="R10" s="1325" t="s">
        <v>482</v>
      </c>
      <c r="S10" s="1326">
        <v>1</v>
      </c>
      <c r="T10" s="1101"/>
      <c r="U10" s="1325" t="s">
        <v>482</v>
      </c>
      <c r="V10" s="1326">
        <v>1</v>
      </c>
      <c r="W10" s="1101"/>
      <c r="X10" s="1325" t="s">
        <v>482</v>
      </c>
      <c r="Y10" s="1326">
        <v>1</v>
      </c>
      <c r="Z10" s="1101"/>
      <c r="AA10" s="1325" t="s">
        <v>482</v>
      </c>
      <c r="AB10" s="1326">
        <v>1</v>
      </c>
      <c r="AC10" s="1101"/>
      <c r="AD10" s="1325" t="s">
        <v>482</v>
      </c>
      <c r="AE10" s="1326">
        <v>1</v>
      </c>
      <c r="AF10" s="1095"/>
      <c r="AG10" s="1112"/>
    </row>
    <row r="11" spans="1:34" x14ac:dyDescent="0.45">
      <c r="A11" s="1109"/>
      <c r="B11" s="1161" t="s">
        <v>1609</v>
      </c>
      <c r="C11" s="1325" t="s">
        <v>1600</v>
      </c>
      <c r="D11" s="1326">
        <v>1</v>
      </c>
      <c r="E11" s="1081"/>
      <c r="F11" s="1325" t="s">
        <v>1600</v>
      </c>
      <c r="G11" s="1326">
        <v>1</v>
      </c>
      <c r="H11" s="1101"/>
      <c r="I11" s="1325" t="s">
        <v>1600</v>
      </c>
      <c r="J11" s="1326">
        <v>1</v>
      </c>
      <c r="K11" s="1101"/>
      <c r="L11" s="1325" t="s">
        <v>1600</v>
      </c>
      <c r="M11" s="1326">
        <v>1</v>
      </c>
      <c r="N11" s="1101"/>
      <c r="O11" s="1325" t="s">
        <v>1600</v>
      </c>
      <c r="P11" s="1326">
        <v>1</v>
      </c>
      <c r="Q11" s="1101"/>
      <c r="R11" s="1325" t="s">
        <v>1600</v>
      </c>
      <c r="S11" s="1326">
        <v>1</v>
      </c>
      <c r="T11" s="1101"/>
      <c r="U11" s="1325" t="s">
        <v>1600</v>
      </c>
      <c r="V11" s="1326">
        <v>1</v>
      </c>
      <c r="W11" s="1101"/>
      <c r="X11" s="1325" t="s">
        <v>1600</v>
      </c>
      <c r="Y11" s="1326">
        <v>1</v>
      </c>
      <c r="Z11" s="1101"/>
      <c r="AA11" s="1325" t="s">
        <v>1600</v>
      </c>
      <c r="AB11" s="1326">
        <v>1</v>
      </c>
      <c r="AC11" s="1101"/>
      <c r="AD11" s="1325" t="s">
        <v>1600</v>
      </c>
      <c r="AE11" s="1326">
        <v>1</v>
      </c>
      <c r="AF11" s="1101"/>
      <c r="AG11" s="1112"/>
    </row>
    <row r="12" spans="1:34" x14ac:dyDescent="0.45">
      <c r="A12" s="1109"/>
      <c r="B12" s="1161" t="s">
        <v>1603</v>
      </c>
      <c r="C12" s="1325" t="s">
        <v>122</v>
      </c>
      <c r="D12" s="1326">
        <v>1</v>
      </c>
      <c r="E12" s="1081"/>
      <c r="F12" s="1325" t="s">
        <v>122</v>
      </c>
      <c r="G12" s="1326">
        <v>1</v>
      </c>
      <c r="H12" s="1101"/>
      <c r="I12" s="1325" t="s">
        <v>122</v>
      </c>
      <c r="J12" s="1326">
        <v>1</v>
      </c>
      <c r="K12" s="1101"/>
      <c r="L12" s="1325" t="s">
        <v>122</v>
      </c>
      <c r="M12" s="1326">
        <v>1</v>
      </c>
      <c r="N12" s="1101"/>
      <c r="O12" s="1325" t="s">
        <v>122</v>
      </c>
      <c r="P12" s="1326">
        <v>1</v>
      </c>
      <c r="Q12" s="1101"/>
      <c r="R12" s="1325" t="s">
        <v>122</v>
      </c>
      <c r="S12" s="1326">
        <v>1</v>
      </c>
      <c r="T12" s="1101"/>
      <c r="U12" s="1325" t="s">
        <v>122</v>
      </c>
      <c r="V12" s="1326">
        <v>1</v>
      </c>
      <c r="W12" s="1101"/>
      <c r="X12" s="1325" t="s">
        <v>122</v>
      </c>
      <c r="Y12" s="1326">
        <v>1</v>
      </c>
      <c r="Z12" s="1101"/>
      <c r="AA12" s="1325" t="s">
        <v>122</v>
      </c>
      <c r="AB12" s="1326">
        <v>1</v>
      </c>
      <c r="AC12" s="1101"/>
      <c r="AD12" s="1325" t="s">
        <v>122</v>
      </c>
      <c r="AE12" s="1326">
        <v>1</v>
      </c>
      <c r="AF12" s="1101"/>
      <c r="AG12" s="1112"/>
    </row>
    <row r="13" spans="1:34" x14ac:dyDescent="0.45">
      <c r="A13" s="1109"/>
      <c r="B13" s="1161" t="s">
        <v>2166</v>
      </c>
      <c r="C13" s="1325" t="s">
        <v>2217</v>
      </c>
      <c r="D13" s="1326">
        <v>2</v>
      </c>
      <c r="E13" s="1081"/>
      <c r="F13" s="1325" t="s">
        <v>2217</v>
      </c>
      <c r="G13" s="1326">
        <v>2</v>
      </c>
      <c r="H13" s="1101"/>
      <c r="I13" s="1325" t="s">
        <v>1574</v>
      </c>
      <c r="J13" s="1326">
        <v>0</v>
      </c>
      <c r="K13" s="1101"/>
      <c r="L13" s="1325" t="s">
        <v>2217</v>
      </c>
      <c r="M13" s="1326">
        <v>2</v>
      </c>
      <c r="N13" s="1101"/>
      <c r="O13" s="1325" t="s">
        <v>1574</v>
      </c>
      <c r="P13" s="1326">
        <v>0</v>
      </c>
      <c r="Q13" s="1101"/>
      <c r="R13" s="1325" t="s">
        <v>1574</v>
      </c>
      <c r="S13" s="1326">
        <v>0</v>
      </c>
      <c r="T13" s="1101"/>
      <c r="U13" s="1325" t="s">
        <v>1574</v>
      </c>
      <c r="V13" s="1326">
        <v>0</v>
      </c>
      <c r="W13" s="1101"/>
      <c r="X13" s="1325" t="s">
        <v>1574</v>
      </c>
      <c r="Y13" s="1326">
        <v>0</v>
      </c>
      <c r="Z13" s="1101"/>
      <c r="AA13" s="1325" t="s">
        <v>2217</v>
      </c>
      <c r="AB13" s="1326">
        <v>1</v>
      </c>
      <c r="AC13" s="1101"/>
      <c r="AD13" s="1325" t="s">
        <v>2217</v>
      </c>
      <c r="AE13" s="1326">
        <v>1</v>
      </c>
      <c r="AF13" s="1095"/>
      <c r="AG13" s="1112"/>
    </row>
    <row r="14" spans="1:34" x14ac:dyDescent="0.45">
      <c r="A14" s="1109"/>
      <c r="B14" s="1161" t="s">
        <v>1607</v>
      </c>
      <c r="C14" s="1325" t="s">
        <v>1574</v>
      </c>
      <c r="D14" s="1326">
        <v>0</v>
      </c>
      <c r="E14" s="1081"/>
      <c r="F14" s="1325" t="s">
        <v>1574</v>
      </c>
      <c r="G14" s="1326">
        <v>0</v>
      </c>
      <c r="H14" s="1101"/>
      <c r="I14" s="1325" t="s">
        <v>1574</v>
      </c>
      <c r="J14" s="1326">
        <v>0</v>
      </c>
      <c r="K14" s="1101"/>
      <c r="L14" s="1325" t="s">
        <v>1574</v>
      </c>
      <c r="M14" s="1326">
        <v>0</v>
      </c>
      <c r="N14" s="1101"/>
      <c r="O14" s="1325" t="s">
        <v>1574</v>
      </c>
      <c r="P14" s="1326">
        <v>0</v>
      </c>
      <c r="Q14" s="1101"/>
      <c r="R14" s="1325" t="s">
        <v>1574</v>
      </c>
      <c r="S14" s="1326">
        <v>0</v>
      </c>
      <c r="T14" s="1101"/>
      <c r="U14" s="1325" t="s">
        <v>1574</v>
      </c>
      <c r="V14" s="1326">
        <v>0</v>
      </c>
      <c r="W14" s="1101"/>
      <c r="X14" s="1325" t="s">
        <v>1574</v>
      </c>
      <c r="Y14" s="1326">
        <v>0</v>
      </c>
      <c r="Z14" s="1101"/>
      <c r="AA14" s="1325" t="s">
        <v>1607</v>
      </c>
      <c r="AB14" s="1326">
        <v>2</v>
      </c>
      <c r="AC14" s="1101"/>
      <c r="AD14" s="1325" t="s">
        <v>1607</v>
      </c>
      <c r="AE14" s="1326">
        <v>2</v>
      </c>
      <c r="AF14" s="1095"/>
      <c r="AG14" s="1112"/>
    </row>
    <row r="15" spans="1:34" x14ac:dyDescent="0.45">
      <c r="A15" s="1109"/>
      <c r="B15" s="1161" t="s">
        <v>1604</v>
      </c>
      <c r="C15" s="1325" t="s">
        <v>1574</v>
      </c>
      <c r="D15" s="1326">
        <v>0</v>
      </c>
      <c r="E15" s="1081"/>
      <c r="F15" s="1325" t="s">
        <v>1574</v>
      </c>
      <c r="G15" s="1326">
        <v>0</v>
      </c>
      <c r="H15" s="1101"/>
      <c r="I15" s="1325" t="s">
        <v>1574</v>
      </c>
      <c r="J15" s="1326">
        <v>0</v>
      </c>
      <c r="K15" s="1101"/>
      <c r="L15" s="1325" t="s">
        <v>1574</v>
      </c>
      <c r="M15" s="1326">
        <v>0</v>
      </c>
      <c r="N15" s="1101"/>
      <c r="O15" s="1325" t="s">
        <v>1604</v>
      </c>
      <c r="P15" s="1326">
        <v>1</v>
      </c>
      <c r="Q15" s="1101"/>
      <c r="R15" s="1325" t="s">
        <v>1574</v>
      </c>
      <c r="S15" s="1326">
        <v>0</v>
      </c>
      <c r="T15" s="1101"/>
      <c r="U15" s="1325" t="s">
        <v>1574</v>
      </c>
      <c r="V15" s="1326">
        <v>0</v>
      </c>
      <c r="W15" s="1101"/>
      <c r="X15" s="1325" t="s">
        <v>1574</v>
      </c>
      <c r="Y15" s="1326">
        <v>0</v>
      </c>
      <c r="Z15" s="1101"/>
      <c r="AA15" s="1325" t="s">
        <v>1574</v>
      </c>
      <c r="AB15" s="1326">
        <v>0</v>
      </c>
      <c r="AC15" s="1101"/>
      <c r="AD15" s="1325" t="s">
        <v>1574</v>
      </c>
      <c r="AE15" s="1326">
        <v>0</v>
      </c>
      <c r="AF15" s="1095"/>
      <c r="AG15" s="1112"/>
    </row>
    <row r="16" spans="1:34" x14ac:dyDescent="0.45">
      <c r="A16" s="1109"/>
      <c r="B16" s="1161" t="s">
        <v>926</v>
      </c>
      <c r="C16" s="1325" t="s">
        <v>1574</v>
      </c>
      <c r="D16" s="1326">
        <v>0</v>
      </c>
      <c r="E16" s="1081"/>
      <c r="F16" s="1325" t="s">
        <v>1574</v>
      </c>
      <c r="G16" s="1326">
        <v>0</v>
      </c>
      <c r="H16" s="1101"/>
      <c r="I16" s="1325" t="s">
        <v>1574</v>
      </c>
      <c r="J16" s="1326">
        <v>0</v>
      </c>
      <c r="K16" s="1101"/>
      <c r="L16" s="1325" t="s">
        <v>1574</v>
      </c>
      <c r="M16" s="1326">
        <v>0</v>
      </c>
      <c r="N16" s="1101"/>
      <c r="O16" s="1325" t="s">
        <v>1574</v>
      </c>
      <c r="P16" s="1326">
        <v>0</v>
      </c>
      <c r="Q16" s="1101"/>
      <c r="R16" s="1325" t="s">
        <v>1574</v>
      </c>
      <c r="S16" s="1326">
        <v>0</v>
      </c>
      <c r="T16" s="1101"/>
      <c r="U16" s="1325" t="s">
        <v>1574</v>
      </c>
      <c r="V16" s="1326">
        <v>0</v>
      </c>
      <c r="W16" s="1101"/>
      <c r="X16" s="1325" t="s">
        <v>1574</v>
      </c>
      <c r="Y16" s="1326">
        <v>0</v>
      </c>
      <c r="Z16" s="1101"/>
      <c r="AA16" s="1325" t="s">
        <v>1574</v>
      </c>
      <c r="AB16" s="1326">
        <v>0</v>
      </c>
      <c r="AC16" s="1101"/>
      <c r="AD16" s="1325" t="s">
        <v>1574</v>
      </c>
      <c r="AE16" s="1326">
        <v>0</v>
      </c>
      <c r="AF16" s="1101"/>
      <c r="AG16" s="1112"/>
    </row>
    <row r="17" spans="1:33" x14ac:dyDescent="0.45">
      <c r="A17" s="1109"/>
      <c r="B17" s="1161" t="s">
        <v>2113</v>
      </c>
      <c r="C17" s="1327" t="s">
        <v>45</v>
      </c>
      <c r="D17" s="1328"/>
      <c r="E17" s="1081"/>
      <c r="F17" s="1327" t="s">
        <v>45</v>
      </c>
      <c r="G17" s="1328"/>
      <c r="H17" s="1101"/>
      <c r="I17" s="1327" t="s">
        <v>45</v>
      </c>
      <c r="J17" s="1328"/>
      <c r="K17" s="1101"/>
      <c r="L17" s="1327" t="s">
        <v>45</v>
      </c>
      <c r="M17" s="1328"/>
      <c r="N17" s="1101"/>
      <c r="O17" s="1327" t="s">
        <v>45</v>
      </c>
      <c r="P17" s="1328"/>
      <c r="Q17" s="1101"/>
      <c r="R17" s="1327" t="s">
        <v>45</v>
      </c>
      <c r="S17" s="1328"/>
      <c r="T17" s="1101"/>
      <c r="U17" s="1327" t="s">
        <v>45</v>
      </c>
      <c r="V17" s="1328"/>
      <c r="W17" s="1101"/>
      <c r="X17" s="1325" t="s">
        <v>2113</v>
      </c>
      <c r="Y17" s="1326">
        <v>1</v>
      </c>
      <c r="Z17" s="1101"/>
      <c r="AA17" s="1327" t="s">
        <v>45</v>
      </c>
      <c r="AB17" s="1328"/>
      <c r="AC17" s="1101"/>
      <c r="AD17" s="1327" t="s">
        <v>45</v>
      </c>
      <c r="AE17" s="1328"/>
      <c r="AF17" s="1101"/>
      <c r="AG17" s="1112"/>
    </row>
    <row r="18" spans="1:33" x14ac:dyDescent="0.45">
      <c r="A18" s="1109"/>
      <c r="B18" s="1161" t="s">
        <v>836</v>
      </c>
      <c r="C18" s="1325" t="s">
        <v>132</v>
      </c>
      <c r="D18" s="1326">
        <v>1</v>
      </c>
      <c r="E18" s="1081"/>
      <c r="F18" s="1325" t="s">
        <v>132</v>
      </c>
      <c r="G18" s="1326">
        <v>1</v>
      </c>
      <c r="H18" s="1101"/>
      <c r="I18" s="1325" t="s">
        <v>132</v>
      </c>
      <c r="J18" s="1326">
        <v>1</v>
      </c>
      <c r="K18" s="1101"/>
      <c r="L18" s="1325" t="s">
        <v>132</v>
      </c>
      <c r="M18" s="1326">
        <v>1</v>
      </c>
      <c r="N18" s="1101"/>
      <c r="O18" s="1325" t="s">
        <v>132</v>
      </c>
      <c r="P18" s="1326">
        <v>1</v>
      </c>
      <c r="Q18" s="1101"/>
      <c r="R18" s="1325" t="s">
        <v>132</v>
      </c>
      <c r="S18" s="1326">
        <v>1</v>
      </c>
      <c r="T18" s="1101"/>
      <c r="U18" s="1325" t="s">
        <v>132</v>
      </c>
      <c r="V18" s="1326">
        <v>1</v>
      </c>
      <c r="W18" s="1101"/>
      <c r="X18" s="1325" t="s">
        <v>132</v>
      </c>
      <c r="Y18" s="1326">
        <v>1</v>
      </c>
      <c r="Z18" s="1101"/>
      <c r="AA18" s="1325" t="s">
        <v>132</v>
      </c>
      <c r="AB18" s="1326">
        <v>1</v>
      </c>
      <c r="AC18" s="1101"/>
      <c r="AD18" s="1325" t="s">
        <v>132</v>
      </c>
      <c r="AE18" s="1326">
        <v>1</v>
      </c>
      <c r="AF18" s="1101"/>
      <c r="AG18" s="1112"/>
    </row>
    <row r="19" spans="1:33" x14ac:dyDescent="0.45">
      <c r="A19" s="1109"/>
      <c r="B19" s="1161" t="s">
        <v>933</v>
      </c>
      <c r="C19" s="1325" t="s">
        <v>932</v>
      </c>
      <c r="D19" s="1326">
        <v>1</v>
      </c>
      <c r="E19" s="1081"/>
      <c r="F19" s="1325" t="s">
        <v>932</v>
      </c>
      <c r="G19" s="1326">
        <v>1</v>
      </c>
      <c r="H19" s="1101"/>
      <c r="I19" s="1325" t="s">
        <v>932</v>
      </c>
      <c r="J19" s="1326">
        <v>1</v>
      </c>
      <c r="K19" s="1101"/>
      <c r="L19" s="1325" t="s">
        <v>932</v>
      </c>
      <c r="M19" s="1326">
        <v>1</v>
      </c>
      <c r="N19" s="1101"/>
      <c r="O19" s="1325" t="s">
        <v>932</v>
      </c>
      <c r="P19" s="1326">
        <v>1</v>
      </c>
      <c r="Q19" s="1101"/>
      <c r="R19" s="1325" t="s">
        <v>932</v>
      </c>
      <c r="S19" s="1326">
        <v>1</v>
      </c>
      <c r="T19" s="1101"/>
      <c r="U19" s="1325" t="s">
        <v>932</v>
      </c>
      <c r="V19" s="1326">
        <v>1</v>
      </c>
      <c r="W19" s="1101"/>
      <c r="X19" s="1325" t="s">
        <v>932</v>
      </c>
      <c r="Y19" s="1326">
        <v>1</v>
      </c>
      <c r="Z19" s="1101"/>
      <c r="AA19" s="1325" t="s">
        <v>932</v>
      </c>
      <c r="AB19" s="1326">
        <v>1</v>
      </c>
      <c r="AC19" s="1101"/>
      <c r="AD19" s="1325" t="s">
        <v>932</v>
      </c>
      <c r="AE19" s="1326">
        <v>1</v>
      </c>
      <c r="AF19" s="1095"/>
      <c r="AG19" s="1112"/>
    </row>
    <row r="20" spans="1:33" x14ac:dyDescent="0.45">
      <c r="A20" s="1109"/>
      <c r="B20" s="1161" t="s">
        <v>1605</v>
      </c>
      <c r="C20" s="1325" t="s">
        <v>1601</v>
      </c>
      <c r="D20" s="1326">
        <v>1</v>
      </c>
      <c r="E20" s="1081"/>
      <c r="F20" s="1325" t="s">
        <v>1601</v>
      </c>
      <c r="G20" s="1326">
        <v>1</v>
      </c>
      <c r="H20" s="1101"/>
      <c r="I20" s="1325" t="s">
        <v>1601</v>
      </c>
      <c r="J20" s="1326">
        <v>1</v>
      </c>
      <c r="K20" s="1101"/>
      <c r="L20" s="1325" t="s">
        <v>1601</v>
      </c>
      <c r="M20" s="1326">
        <v>1</v>
      </c>
      <c r="N20" s="1101"/>
      <c r="O20" s="1325" t="s">
        <v>1601</v>
      </c>
      <c r="P20" s="1326">
        <v>1</v>
      </c>
      <c r="Q20" s="1101"/>
      <c r="R20" s="1325" t="s">
        <v>1601</v>
      </c>
      <c r="S20" s="1326">
        <v>1</v>
      </c>
      <c r="T20" s="1101"/>
      <c r="U20" s="1325" t="s">
        <v>1601</v>
      </c>
      <c r="V20" s="1326">
        <v>1</v>
      </c>
      <c r="W20" s="1101"/>
      <c r="X20" s="1325" t="s">
        <v>1601</v>
      </c>
      <c r="Y20" s="1326">
        <v>1</v>
      </c>
      <c r="Z20" s="1101"/>
      <c r="AA20" s="1325" t="s">
        <v>1601</v>
      </c>
      <c r="AB20" s="1326">
        <v>1</v>
      </c>
      <c r="AC20" s="1101"/>
      <c r="AD20" s="1325" t="s">
        <v>1601</v>
      </c>
      <c r="AE20" s="1326">
        <v>1</v>
      </c>
      <c r="AF20" s="1101"/>
      <c r="AG20" s="1112"/>
    </row>
    <row r="21" spans="1:33" ht="21" thickBot="1" x14ac:dyDescent="0.5">
      <c r="A21" s="1109"/>
      <c r="B21" s="1161" t="s">
        <v>1606</v>
      </c>
      <c r="C21" s="1329" t="s">
        <v>1063</v>
      </c>
      <c r="D21" s="1330">
        <v>1</v>
      </c>
      <c r="E21" s="1081"/>
      <c r="F21" s="1329" t="s">
        <v>1063</v>
      </c>
      <c r="G21" s="1330">
        <v>1</v>
      </c>
      <c r="H21" s="1101"/>
      <c r="I21" s="1329" t="s">
        <v>1063</v>
      </c>
      <c r="J21" s="1330">
        <v>1</v>
      </c>
      <c r="K21" s="1101"/>
      <c r="L21" s="1329" t="s">
        <v>1063</v>
      </c>
      <c r="M21" s="1330">
        <v>1</v>
      </c>
      <c r="N21" s="1101"/>
      <c r="O21" s="1329" t="s">
        <v>1063</v>
      </c>
      <c r="P21" s="1330">
        <v>1</v>
      </c>
      <c r="Q21" s="1101"/>
      <c r="R21" s="1329" t="s">
        <v>1063</v>
      </c>
      <c r="S21" s="1330">
        <v>1</v>
      </c>
      <c r="T21" s="1101"/>
      <c r="U21" s="1329" t="s">
        <v>1063</v>
      </c>
      <c r="V21" s="1330">
        <v>1</v>
      </c>
      <c r="W21" s="1101"/>
      <c r="X21" s="1329" t="s">
        <v>1063</v>
      </c>
      <c r="Y21" s="1330">
        <v>1</v>
      </c>
      <c r="Z21" s="1101"/>
      <c r="AA21" s="1329" t="s">
        <v>1063</v>
      </c>
      <c r="AB21" s="1330">
        <v>1</v>
      </c>
      <c r="AC21" s="1101"/>
      <c r="AD21" s="1329" t="s">
        <v>1063</v>
      </c>
      <c r="AE21" s="1330">
        <v>1</v>
      </c>
      <c r="AF21" s="1101"/>
      <c r="AG21" s="1112"/>
    </row>
    <row r="22" spans="1:33" x14ac:dyDescent="0.45">
      <c r="A22" s="1109"/>
      <c r="B22" s="1101"/>
      <c r="C22" s="1101"/>
      <c r="D22" s="1101"/>
      <c r="E22" s="1081"/>
      <c r="F22" s="1092"/>
      <c r="G22" s="1101"/>
      <c r="H22" s="1101"/>
      <c r="I22" s="1089"/>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1101"/>
      <c r="AF22" s="1101"/>
      <c r="AG22" s="1112"/>
    </row>
    <row r="23" spans="1:33" ht="21" thickBot="1" x14ac:dyDescent="0.5">
      <c r="A23" s="1116"/>
      <c r="B23" s="1117"/>
      <c r="C23" s="1117"/>
      <c r="D23" s="1117"/>
      <c r="E23" s="1117"/>
      <c r="F23" s="1117"/>
      <c r="G23" s="1117"/>
      <c r="H23" s="1117"/>
      <c r="I23" s="1117"/>
      <c r="J23" s="1117"/>
      <c r="K23" s="1117"/>
      <c r="L23" s="1117"/>
      <c r="M23" s="1117"/>
      <c r="N23" s="1117"/>
      <c r="O23" s="1117"/>
      <c r="P23" s="1117"/>
      <c r="Q23" s="1117"/>
      <c r="R23" s="1117"/>
      <c r="S23" s="1117"/>
      <c r="T23" s="1117"/>
      <c r="U23" s="1117"/>
      <c r="V23" s="1117"/>
      <c r="W23" s="1117"/>
      <c r="X23" s="1117"/>
      <c r="Y23" s="1117"/>
      <c r="Z23" s="1117"/>
      <c r="AA23" s="1117"/>
      <c r="AB23" s="1117"/>
      <c r="AC23" s="1117"/>
      <c r="AD23" s="1117"/>
      <c r="AE23" s="1117"/>
      <c r="AF23" s="1117"/>
      <c r="AG23" s="1118"/>
    </row>
  </sheetData>
  <sheetProtection algorithmName="SHA-512" hashValue="RXw+FyL2GyjZSjuOVtoyyy3WcDMJMdJZBEVLJbSy/wYgTpeqlCReqw+wuSD6nTQG+oBpk8y33e8oTpOKJ3R7YQ==" saltValue="WlV7JUzbB6Wit8nCF+6h1A==" spinCount="100000" sheet="1" objects="1" scenarios="1"/>
  <dataValidations count="15">
    <dataValidation type="list" allowBlank="1" showInputMessage="1" showErrorMessage="1" sqref="X17">
      <formula1>"Windrow, None"</formula1>
    </dataValidation>
    <dataValidation type="list" allowBlank="1" showInputMessage="1" showErrorMessage="1" sqref="C7 F7 I7 L7 O7 R7 U7 X7 AA7 AD7">
      <formula1>"Moldboard Plow, None"</formula1>
    </dataValidation>
    <dataValidation type="list" allowBlank="1" showInputMessage="1" showErrorMessage="1" sqref="C10 F10 I10 L10 O10 R10 U10 X10 AA10 AD10">
      <formula1>"Disk Harrow, None"</formula1>
    </dataValidation>
    <dataValidation type="list" allowBlank="1" showInputMessage="1" showErrorMessage="1" sqref="C16 F16 I16 L16 O16 R16 U16 X16 AA16 AD16">
      <formula1>"Spray Fung., None"</formula1>
    </dataValidation>
    <dataValidation type="list" allowBlank="1" showInputMessage="1" showErrorMessage="1" sqref="C21 F21 I21 L21 O21 R21 U21 X21 AA21 AD21">
      <formula1>"Dry, None"</formula1>
    </dataValidation>
    <dataValidation type="list" allowBlank="1" showInputMessage="1" showErrorMessage="1" sqref="C20 F20 I20 L20 O20 R20 U20 X20 AA20 AD20">
      <formula1>"Clean, None"</formula1>
    </dataValidation>
    <dataValidation type="list" allowBlank="1" showInputMessage="1" showErrorMessage="1" sqref="C19 F19 I19 L19 O19 R19 U19 X19 AA19 AD19">
      <formula1>"Truck, None"</formula1>
    </dataValidation>
    <dataValidation type="list" allowBlank="1" showInputMessage="1" showErrorMessage="1" sqref="C18 F18 I18 L18 O18 R18 U18 X18 AA18 AD18">
      <formula1>"Combine, None"</formula1>
    </dataValidation>
    <dataValidation type="list" allowBlank="1" showInputMessage="1" showErrorMessage="1" sqref="C15 F15 I15 L15 O15 R15 U15 X15 AA15 AD15">
      <formula1>"Spr.Chilean N, None"</formula1>
    </dataValidation>
    <dataValidation type="list" allowBlank="1" showInputMessage="1" showErrorMessage="1" sqref="C11 F11 I11 L11 O11 R11 U11 X11 AA11 AD11">
      <formula1>"Finish Harrow, None"</formula1>
    </dataValidation>
    <dataValidation type="list" allowBlank="1" showInputMessage="1" showErrorMessage="1" sqref="C12 F12 I12 L12 O12 R12 U12 X12 AA12 AD12">
      <formula1>"Grain Drill, None"</formula1>
    </dataValidation>
    <dataValidation type="list" allowBlank="1" showInputMessage="1" showErrorMessage="1" sqref="C9 F9 I9 L9 O9 R9 U9 X9 AA9 AD9">
      <formula1>"Chisel Plow, None"</formula1>
    </dataValidation>
    <dataValidation type="list" allowBlank="1" showInputMessage="1" showErrorMessage="1" sqref="C8 F8 I8 L8 O8 R8 U8 X8 AA8 AD8">
      <formula1>"Spr.Sld.Man., None"</formula1>
    </dataValidation>
    <dataValidation type="list" allowBlank="1" showInputMessage="1" showErrorMessage="1" sqref="C13 F13 I13 L13 O13 R13 U13 X13 AA13 AD13">
      <formula1>"Tine Harrow, None"</formula1>
    </dataValidation>
    <dataValidation type="list" allowBlank="1" showInputMessage="1" showErrorMessage="1" sqref="C14 F14 I14 L14 O14 R14 U14 X14 AA14 AD14">
      <formula1>"Cultivate, None"</formula1>
    </dataValidation>
  </dataValidations>
  <pageMargins left="0.7" right="0.7" top="0.75" bottom="0.75" header="0.3" footer="0.3"/>
  <pageSetup scale="34" orientation="portrait" r:id="rId1"/>
  <colBreaks count="1" manualBreakCount="1">
    <brk id="33" max="22"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selection activeCell="D32" sqref="D32"/>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customWidth="1"/>
    <col min="12" max="13" width="9.6328125" style="17" customWidth="1"/>
    <col min="14" max="14" width="9.08984375" style="17"/>
    <col min="15" max="15" width="15.453125" style="17" customWidth="1"/>
    <col min="16" max="16384" width="9.08984375" style="17"/>
  </cols>
  <sheetData>
    <row r="1" spans="1:18" x14ac:dyDescent="0.3">
      <c r="A1" s="61" t="s">
        <v>146</v>
      </c>
      <c r="B1" s="17" t="str">
        <f>model</f>
        <v>ME Grain &amp; Pulse</v>
      </c>
    </row>
    <row r="4" spans="1:18" x14ac:dyDescent="0.3">
      <c r="A4" s="16" t="s">
        <v>1940</v>
      </c>
      <c r="B4" s="8" t="s">
        <v>92</v>
      </c>
      <c r="C4" s="65">
        <f>wwheat</f>
        <v>0</v>
      </c>
      <c r="D4" s="4" t="s">
        <v>93</v>
      </c>
    </row>
    <row r="5" spans="1:18" x14ac:dyDescent="0.3">
      <c r="H5" s="28"/>
    </row>
    <row r="6" spans="1:18"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c r="N6" s="11"/>
      <c r="O6" s="15" t="s">
        <v>1291</v>
      </c>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Data!D276*Data!$H$16*CP!$H$5</f>
        <v>0</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x14ac:dyDescent="0.3">
      <c r="A10" s="664" t="str">
        <f>Data!A277</f>
        <v>Medium tractor (105 hp) - SMALL SIZE</v>
      </c>
      <c r="B10" s="33">
        <f>Data!B277</f>
        <v>0</v>
      </c>
      <c r="C10" s="34" t="str">
        <f>Data!C277</f>
        <v>tractor</v>
      </c>
      <c r="D10" s="109">
        <f>Data!D277*Data!$H$16*CP!$H$5</f>
        <v>0</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Data!D278*Data!$H$16*CP!$H$5</f>
        <v>0</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x14ac:dyDescent="0.3">
      <c r="A12" s="664" t="str">
        <f>Data!A279</f>
        <v>Large tractor (160 hp) - SMALL SIZE</v>
      </c>
      <c r="B12" s="33">
        <f>Data!B279</f>
        <v>0</v>
      </c>
      <c r="C12" s="34" t="str">
        <f>Data!C279</f>
        <v>tractor</v>
      </c>
      <c r="D12" s="109">
        <f>Data!D279*Data!$H$16*CP!$H$5</f>
        <v>0</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x14ac:dyDescent="0.3">
      <c r="A13" s="664" t="str">
        <f>Data!A280</f>
        <v>Large tractor (200 hp) - SMALL SIZE</v>
      </c>
      <c r="B13" s="33">
        <f>Data!B280</f>
        <v>0</v>
      </c>
      <c r="C13" s="34" t="str">
        <f>Data!C280</f>
        <v>tractor</v>
      </c>
      <c r="D13" s="109">
        <f>Data!D280*Data!$H$16*CP!$H$5</f>
        <v>0</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Data!D282*Data!$H$16</f>
        <v>0</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Data!D283*Data!$H$16</f>
        <v>0</v>
      </c>
      <c r="E15" s="109">
        <f>D15*B15</f>
        <v>0</v>
      </c>
      <c r="F15" s="109">
        <f>IF(CP!K11=0,Data!I283*E15,CP!K11*B15)</f>
        <v>0</v>
      </c>
      <c r="G15" s="60">
        <f>IF(CP!$G$11=0,Data!$F$283,CP!$G$11)</f>
        <v>40</v>
      </c>
      <c r="H15" s="109">
        <f>(E15*(_int_inv_m*(1+_int_inv_m)^G15)/((1+_int_inv_m)^G15-1))-(F15*_int_inv_m/((1+_int_inv_m)^G15-1))</f>
        <v>0</v>
      </c>
      <c r="I15" s="36">
        <f>IF(CP!I11=0,Data!H283*Data!$J$271,CP!I11/CP!E11)</f>
        <v>1.35E-2</v>
      </c>
      <c r="J15" s="109">
        <f>E15*I15</f>
        <v>0</v>
      </c>
      <c r="K15" s="36">
        <f t="shared" si="1"/>
        <v>6.7999999999999996E-3</v>
      </c>
      <c r="L15" s="109">
        <f>E15*K15</f>
        <v>0</v>
      </c>
      <c r="M15" s="109">
        <f>H15+J15+L15</f>
        <v>0</v>
      </c>
      <c r="N15" s="34"/>
      <c r="O15" s="34"/>
      <c r="P15" s="34"/>
      <c r="Q15" s="34"/>
      <c r="R15" s="34"/>
    </row>
    <row r="16" spans="1:18" x14ac:dyDescent="0.3">
      <c r="A16" s="664" t="str">
        <f>Data!A284</f>
        <v>Medium/Large tractor (130 hp) - MEDIUM SIZE</v>
      </c>
      <c r="B16" s="33">
        <f>Data!B284</f>
        <v>0</v>
      </c>
      <c r="C16" s="34" t="str">
        <f>Data!C284</f>
        <v>tractor</v>
      </c>
      <c r="D16" s="109">
        <f>Data!D284*Data!$H$16</f>
        <v>0</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Data!D285*Data!$H$16</f>
        <v>0</v>
      </c>
      <c r="E17" s="109">
        <f>D17*B17</f>
        <v>0</v>
      </c>
      <c r="F17" s="109">
        <f>IF(CP!K13=0,Data!I285*E17,CP!K13*B17)</f>
        <v>0</v>
      </c>
      <c r="G17" s="60">
        <f>IF(CP!$G$13=0,Data!$F$285,CP!$G$13)</f>
        <v>30</v>
      </c>
      <c r="H17" s="109">
        <f>(E17*(_int_inv_m*(1+_int_inv_m)^G17)/((1+_int_inv_m)^G17-1))-(F17*_int_inv_m/((1+_int_inv_m)^G17-1))</f>
        <v>0</v>
      </c>
      <c r="I17" s="36">
        <f>IF(CP!I13=0,Data!H285*Data!$J$271,CP!I13/CP!E13)</f>
        <v>1.6666666666666666E-2</v>
      </c>
      <c r="J17" s="109">
        <f>E17*I17</f>
        <v>0</v>
      </c>
      <c r="K17" s="36">
        <f t="shared" si="1"/>
        <v>6.7999999999999996E-3</v>
      </c>
      <c r="L17" s="109">
        <f>E17*K17</f>
        <v>0</v>
      </c>
      <c r="M17" s="109">
        <f>H17+J17+L17</f>
        <v>0</v>
      </c>
      <c r="N17" s="34"/>
      <c r="O17" s="34"/>
      <c r="P17" s="34"/>
      <c r="Q17" s="34"/>
      <c r="R17" s="34"/>
    </row>
    <row r="18" spans="1:23" x14ac:dyDescent="0.3">
      <c r="A18" s="664" t="str">
        <f>Data!A286</f>
        <v>Large tractor (200 hp) - MEDIUM SIZE</v>
      </c>
      <c r="B18" s="33">
        <f>Data!B286</f>
        <v>0</v>
      </c>
      <c r="C18" s="34" t="str">
        <f>Data!C286</f>
        <v>tractor</v>
      </c>
      <c r="D18" s="109">
        <f>Data!D286*Data!$H$16</f>
        <v>0</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Data!D288*Data!$H$16</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Data!D289*Data!$H$16</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Data!D290*Data!$H$16</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Data!D291*Data!$H$16</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Data!D292*Data!$H$16</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867" t="str">
        <f>Data!A297</f>
        <v>Bulk Body Truck(s) - SMALL SIZE</v>
      </c>
      <c r="B26" s="84">
        <f>Data!B297</f>
        <v>0</v>
      </c>
      <c r="C26" s="34" t="str">
        <f>Data!C297</f>
        <v>truck</v>
      </c>
      <c r="D26" s="109">
        <f>Data!D297*Data!$J$16*CP!$H$5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771" t="e">
        <f>J26/wwheat</f>
        <v>#DIV/0!</v>
      </c>
      <c r="P26" s="34"/>
      <c r="Q26" s="34"/>
      <c r="R26" s="34"/>
    </row>
    <row r="27" spans="1:23" x14ac:dyDescent="0.3">
      <c r="A27" s="867" t="str">
        <f>Data!A298</f>
        <v>Bulk Body Truck(s) - MEDIUM SIZE</v>
      </c>
      <c r="B27" s="84">
        <f>Data!B298</f>
        <v>3</v>
      </c>
      <c r="C27" s="34" t="str">
        <f>Data!C298</f>
        <v>truck</v>
      </c>
      <c r="D27" s="109">
        <f>Data!D298*Data!$J$16</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771" t="e">
        <f>J27/wwheat</f>
        <v>#DIV/0!</v>
      </c>
      <c r="P27" s="34"/>
      <c r="Q27" s="34"/>
      <c r="R27" s="34"/>
    </row>
    <row r="28" spans="1:23" x14ac:dyDescent="0.3">
      <c r="A28" s="867" t="str">
        <f>Data!A299</f>
        <v>Bulk Body Truck(s) - LARGE SIZE</v>
      </c>
      <c r="B28" s="84">
        <f>Data!B299</f>
        <v>0</v>
      </c>
      <c r="C28" s="34" t="str">
        <f>Data!C299</f>
        <v>truck</v>
      </c>
      <c r="D28" s="109">
        <f>Data!D299*Data!$J$16</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771" t="e">
        <f>J28/wwheat</f>
        <v>#DIV/0!</v>
      </c>
      <c r="P28" s="34"/>
      <c r="Q28" s="34"/>
      <c r="R28" s="34"/>
    </row>
    <row r="29" spans="1:23" x14ac:dyDescent="0.3">
      <c r="A29" s="664" t="str">
        <f>Data!A300</f>
        <v>Flat Bed Truck(s) - SMALL SIZE</v>
      </c>
      <c r="B29" s="84">
        <f>Data!B300</f>
        <v>0</v>
      </c>
      <c r="C29" s="34" t="str">
        <f>Data!C300</f>
        <v>truck</v>
      </c>
      <c r="D29" s="109">
        <f>Data!D300*Data!$J$16*CP!$H$5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Data!D301*Data!$J$16</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Data!D302*Data!$J$16</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Data!D303*Data!$J$16</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Data!D310*Data!$P$16*CP!$H$5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49" si="19">_tax_ins_</f>
        <v>6.7999999999999996E-3</v>
      </c>
      <c r="L35" s="109">
        <f>E35*K35</f>
        <v>0</v>
      </c>
      <c r="M35" s="109">
        <f>H35+J35+L35</f>
        <v>0</v>
      </c>
      <c r="N35" s="34"/>
      <c r="O35" s="771" t="e">
        <f t="shared" ref="O35:O49" si="20">J35/wwheat</f>
        <v>#DIV/0!</v>
      </c>
      <c r="P35" s="34"/>
      <c r="Q35" s="34"/>
      <c r="R35" s="34"/>
    </row>
    <row r="36" spans="1:23" x14ac:dyDescent="0.3">
      <c r="A36" s="664" t="str">
        <f>Data!A311</f>
        <v>Moldboard Plow (9 ft) - MEDIUM SIZE</v>
      </c>
      <c r="B36" s="33">
        <f>Data!B311</f>
        <v>1</v>
      </c>
      <c r="C36" s="34" t="str">
        <f>Data!C311</f>
        <v>moldboard plow</v>
      </c>
      <c r="D36" s="109">
        <f>Data!D311*Data!$P$16</f>
        <v>0</v>
      </c>
      <c r="E36" s="109">
        <f t="shared" ref="E36:E37" si="21">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2">E36*I36</f>
        <v>0</v>
      </c>
      <c r="K36" s="36">
        <f t="shared" si="19"/>
        <v>6.7999999999999996E-3</v>
      </c>
      <c r="L36" s="109">
        <f t="shared" ref="L36:L37" si="23">E36*K36</f>
        <v>0</v>
      </c>
      <c r="M36" s="109">
        <f t="shared" ref="M36:M37" si="24">H36+J36+L36</f>
        <v>0</v>
      </c>
      <c r="N36" s="34"/>
      <c r="O36" s="771" t="e">
        <f t="shared" si="20"/>
        <v>#DIV/0!</v>
      </c>
      <c r="P36" s="34"/>
      <c r="Q36" s="34"/>
      <c r="R36" s="34"/>
    </row>
    <row r="37" spans="1:23" x14ac:dyDescent="0.3">
      <c r="A37" s="664" t="str">
        <f>Data!A312</f>
        <v>Moldboard Plow (12 ft) - LARGE SIZE</v>
      </c>
      <c r="B37" s="33">
        <f>Data!B312</f>
        <v>0</v>
      </c>
      <c r="C37" s="34" t="str">
        <f>Data!C312</f>
        <v>moldboard plow</v>
      </c>
      <c r="D37" s="109">
        <f>Data!D312*Data!$P$16</f>
        <v>0</v>
      </c>
      <c r="E37" s="109">
        <f t="shared" si="21"/>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2"/>
        <v>0</v>
      </c>
      <c r="K37" s="36">
        <f t="shared" si="19"/>
        <v>6.7999999999999996E-3</v>
      </c>
      <c r="L37" s="109">
        <f t="shared" si="23"/>
        <v>0</v>
      </c>
      <c r="M37" s="109">
        <f t="shared" si="24"/>
        <v>0</v>
      </c>
      <c r="N37" s="34"/>
      <c r="O37" s="771" t="e">
        <f t="shared" si="20"/>
        <v>#DIV/0!</v>
      </c>
      <c r="P37" s="34"/>
      <c r="Q37" s="34"/>
      <c r="R37" s="34"/>
    </row>
    <row r="38" spans="1:23" x14ac:dyDescent="0.3">
      <c r="A38" s="664" t="str">
        <f>Data!A313</f>
        <v>Chisel Plow (15 ft) - SMALL SIZE</v>
      </c>
      <c r="B38" s="33">
        <f>Data!B313</f>
        <v>0</v>
      </c>
      <c r="C38" s="34" t="str">
        <f>Data!C313</f>
        <v>chisel plow</v>
      </c>
      <c r="D38" s="109">
        <f>Data!D313*Data!$P$16*CP!$H$5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si="19"/>
        <v>6.7999999999999996E-3</v>
      </c>
      <c r="L38" s="109">
        <f>E38*K38</f>
        <v>0</v>
      </c>
      <c r="M38" s="109">
        <f>H38+J38+L38</f>
        <v>0</v>
      </c>
      <c r="N38" s="34"/>
      <c r="O38" s="771" t="e">
        <f t="shared" si="20"/>
        <v>#DIV/0!</v>
      </c>
      <c r="P38" s="34"/>
      <c r="Q38" s="34"/>
      <c r="R38" s="34"/>
    </row>
    <row r="39" spans="1:23" x14ac:dyDescent="0.3">
      <c r="A39" s="664" t="str">
        <f>Data!A314</f>
        <v>Chisel Plow (15 ft) - MEDIUM SIZE</v>
      </c>
      <c r="B39" s="33">
        <f>Data!B314</f>
        <v>1</v>
      </c>
      <c r="C39" s="34" t="str">
        <f>Data!C314</f>
        <v>chisel plow</v>
      </c>
      <c r="D39" s="109">
        <f>Data!D314*Data!$P$16</f>
        <v>0</v>
      </c>
      <c r="E39" s="109">
        <f t="shared" ref="E39:E40" si="25">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6">E39*I39</f>
        <v>0</v>
      </c>
      <c r="K39" s="36">
        <f t="shared" si="19"/>
        <v>6.7999999999999996E-3</v>
      </c>
      <c r="L39" s="109">
        <f t="shared" ref="L39:L40" si="27">E39*K39</f>
        <v>0</v>
      </c>
      <c r="M39" s="109">
        <f t="shared" ref="M39:M40" si="28">H39+J39+L39</f>
        <v>0</v>
      </c>
      <c r="N39" s="34"/>
      <c r="O39" s="771" t="e">
        <f t="shared" si="20"/>
        <v>#DIV/0!</v>
      </c>
      <c r="P39" s="34"/>
      <c r="Q39" s="34"/>
      <c r="R39" s="34"/>
    </row>
    <row r="40" spans="1:23" x14ac:dyDescent="0.3">
      <c r="A40" s="664" t="str">
        <f>Data!A315</f>
        <v>Chisel Plow (23 ft) - LARGE SIZE</v>
      </c>
      <c r="B40" s="33">
        <f>Data!B315</f>
        <v>0</v>
      </c>
      <c r="C40" s="34" t="str">
        <f>Data!C315</f>
        <v>chisel plow</v>
      </c>
      <c r="D40" s="109">
        <f>Data!D315*Data!$P$16</f>
        <v>0</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19"/>
        <v>6.7999999999999996E-3</v>
      </c>
      <c r="L40" s="109">
        <f t="shared" si="27"/>
        <v>0</v>
      </c>
      <c r="M40" s="109">
        <f t="shared" si="28"/>
        <v>0</v>
      </c>
      <c r="N40" s="34"/>
      <c r="O40" s="771" t="e">
        <f t="shared" si="20"/>
        <v>#DIV/0!</v>
      </c>
      <c r="P40" s="34"/>
      <c r="Q40" s="34"/>
      <c r="R40" s="34"/>
    </row>
    <row r="41" spans="1:23" x14ac:dyDescent="0.3">
      <c r="A41" s="664" t="str">
        <f>Data!A316</f>
        <v>Disk Harrow (12 ft) - SMALL SIZE</v>
      </c>
      <c r="B41" s="33">
        <f>Data!B316</f>
        <v>0</v>
      </c>
      <c r="C41" s="34" t="str">
        <f>Data!C316</f>
        <v>disk harrow</v>
      </c>
      <c r="D41" s="109">
        <f>Data!D316*Data!$P$16*CP!$H$5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19"/>
        <v>6.7999999999999996E-3</v>
      </c>
      <c r="L41" s="109">
        <f>E41*K41</f>
        <v>0</v>
      </c>
      <c r="M41" s="109">
        <f>H41+J41+L41</f>
        <v>0</v>
      </c>
      <c r="O41" s="771" t="e">
        <f t="shared" si="20"/>
        <v>#DIV/0!</v>
      </c>
    </row>
    <row r="42" spans="1:23" x14ac:dyDescent="0.3">
      <c r="A42" s="664" t="str">
        <f>Data!A317</f>
        <v>Disk Harrow (21 ft) - MEDIUM SIZE</v>
      </c>
      <c r="B42" s="33">
        <f>Data!B317</f>
        <v>1</v>
      </c>
      <c r="C42" s="34" t="str">
        <f>Data!C317</f>
        <v>disk harrow</v>
      </c>
      <c r="D42" s="109">
        <f>Data!D317*Data!$P$16</f>
        <v>0</v>
      </c>
      <c r="E42" s="109">
        <f t="shared" ref="E42:E43" si="29">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0">E42*I42</f>
        <v>0</v>
      </c>
      <c r="K42" s="36">
        <f t="shared" si="19"/>
        <v>6.7999999999999996E-3</v>
      </c>
      <c r="L42" s="109">
        <f t="shared" ref="L42:L43" si="31">E42*K42</f>
        <v>0</v>
      </c>
      <c r="M42" s="109">
        <f t="shared" ref="M42:M43" si="32">H42+J42+L42</f>
        <v>0</v>
      </c>
      <c r="O42" s="771" t="e">
        <f t="shared" si="20"/>
        <v>#DIV/0!</v>
      </c>
    </row>
    <row r="43" spans="1:23" x14ac:dyDescent="0.3">
      <c r="A43" s="664" t="str">
        <f>Data!A318</f>
        <v>Disk Harrow (30 ft) - LARGE SIZE</v>
      </c>
      <c r="B43" s="33">
        <f>Data!B318</f>
        <v>0</v>
      </c>
      <c r="C43" s="34" t="str">
        <f>Data!C318</f>
        <v>disk harrow</v>
      </c>
      <c r="D43" s="109">
        <f>Data!D318*Data!$P$16</f>
        <v>0</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19"/>
        <v>6.7999999999999996E-3</v>
      </c>
      <c r="L43" s="109">
        <f t="shared" si="31"/>
        <v>0</v>
      </c>
      <c r="M43" s="109">
        <f t="shared" si="32"/>
        <v>0</v>
      </c>
      <c r="O43" s="771" t="e">
        <f t="shared" si="20"/>
        <v>#DIV/0!</v>
      </c>
    </row>
    <row r="44" spans="1:23" ht="13.25" customHeight="1" x14ac:dyDescent="0.3">
      <c r="A44" s="664" t="str">
        <f>Data!A319</f>
        <v>Soil Conditioner/Field Cultivator (18 ft) - SMALL SIZE</v>
      </c>
      <c r="B44" s="33">
        <f>Data!B319</f>
        <v>0</v>
      </c>
      <c r="C44" s="34" t="str">
        <f>Data!C319</f>
        <v>condit.</v>
      </c>
      <c r="D44" s="109">
        <f>Data!D319*Data!$P$16*CP!$H$5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19"/>
        <v>6.7999999999999996E-3</v>
      </c>
      <c r="L44" s="109">
        <f>E44*K44</f>
        <v>0</v>
      </c>
      <c r="M44" s="109">
        <f>H44+J44+L44</f>
        <v>0</v>
      </c>
      <c r="O44" s="771" t="e">
        <f t="shared" si="20"/>
        <v>#DIV/0!</v>
      </c>
    </row>
    <row r="45" spans="1:23" ht="13.25" customHeight="1" x14ac:dyDescent="0.3">
      <c r="A45" s="664" t="str">
        <f>Data!A320</f>
        <v>Soil Conditioner/Field Cultivator (18 ft) - MEDIUM SIZE</v>
      </c>
      <c r="B45" s="33">
        <f>Data!B320</f>
        <v>1</v>
      </c>
      <c r="C45" s="34" t="str">
        <f>Data!C320</f>
        <v>condit.</v>
      </c>
      <c r="D45" s="109">
        <f>Data!D320*Data!$P$16</f>
        <v>0</v>
      </c>
      <c r="E45" s="109">
        <f t="shared" ref="E45:E46" si="33">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4">E45*I45</f>
        <v>0</v>
      </c>
      <c r="K45" s="36">
        <f t="shared" si="19"/>
        <v>6.7999999999999996E-3</v>
      </c>
      <c r="L45" s="109">
        <f t="shared" ref="L45:L46" si="35">E45*K45</f>
        <v>0</v>
      </c>
      <c r="M45" s="109">
        <f t="shared" ref="M45:M46" si="36">H45+J45+L45</f>
        <v>0</v>
      </c>
      <c r="O45" s="771" t="e">
        <f t="shared" si="20"/>
        <v>#DIV/0!</v>
      </c>
    </row>
    <row r="46" spans="1:23" ht="13.25" customHeight="1" x14ac:dyDescent="0.3">
      <c r="A46" s="664" t="str">
        <f>Data!A321</f>
        <v>Soil Conditioner/Field Cultivator (18 ft) - LARGE SIZE</v>
      </c>
      <c r="B46" s="33">
        <f>Data!B321</f>
        <v>0</v>
      </c>
      <c r="C46" s="34" t="str">
        <f>Data!C321</f>
        <v>condit.</v>
      </c>
      <c r="D46" s="109">
        <f>Data!D321*Data!$P$16</f>
        <v>0</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19"/>
        <v>6.7999999999999996E-3</v>
      </c>
      <c r="L46" s="109">
        <f t="shared" si="35"/>
        <v>0</v>
      </c>
      <c r="M46" s="109">
        <f t="shared" si="36"/>
        <v>0</v>
      </c>
      <c r="O46" s="771" t="e">
        <f t="shared" si="20"/>
        <v>#DIV/0!</v>
      </c>
    </row>
    <row r="47" spans="1:23" ht="13.25" customHeight="1" x14ac:dyDescent="0.3">
      <c r="A47" s="664" t="str">
        <f>Data!A325</f>
        <v>Tine-Harrow (i.e. Lely, 20-30 ft) - SMALL SIZE</v>
      </c>
      <c r="B47" s="33">
        <f>Data!B325</f>
        <v>0</v>
      </c>
      <c r="C47" s="90" t="str">
        <f>Data!C325</f>
        <v>tine-harrow</v>
      </c>
      <c r="D47" s="109">
        <f>Data!D325*Data!$P$16*CP!$H$5</f>
        <v>0</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19"/>
        <v>6.7999999999999996E-3</v>
      </c>
      <c r="L47" s="109">
        <f>E47*K47</f>
        <v>0</v>
      </c>
      <c r="M47" s="109">
        <f>H47+J47+L47</f>
        <v>0</v>
      </c>
      <c r="O47" s="771" t="e">
        <f t="shared" si="20"/>
        <v>#DIV/0!</v>
      </c>
    </row>
    <row r="48" spans="1:23" ht="13.25" customHeight="1" x14ac:dyDescent="0.3">
      <c r="A48" s="664" t="str">
        <f>Data!A326</f>
        <v>Tine-Harrow (i.e. Lely, 20-30 ft) - MEDIUM SIZE</v>
      </c>
      <c r="B48" s="33">
        <f>Data!B326*Wv!K35</f>
        <v>1</v>
      </c>
      <c r="C48" s="90" t="str">
        <f>Data!C326</f>
        <v>tine-harrow</v>
      </c>
      <c r="D48" s="109">
        <f>Data!D326*Data!$P$16</f>
        <v>0</v>
      </c>
      <c r="E48" s="109">
        <f t="shared" ref="E48:E49" si="37">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8">E48*I48</f>
        <v>0</v>
      </c>
      <c r="K48" s="36">
        <f t="shared" si="19"/>
        <v>6.7999999999999996E-3</v>
      </c>
      <c r="L48" s="109">
        <f t="shared" ref="L48:L49" si="39">E48*K48</f>
        <v>0</v>
      </c>
      <c r="M48" s="109">
        <f t="shared" ref="M48:M49" si="40">H48+J48+L48</f>
        <v>0</v>
      </c>
      <c r="O48" s="771" t="e">
        <f t="shared" si="20"/>
        <v>#DIV/0!</v>
      </c>
    </row>
    <row r="49" spans="1:23" ht="13.25" customHeight="1" x14ac:dyDescent="0.3">
      <c r="A49" s="664" t="str">
        <f>Data!A327</f>
        <v>Tine-Harrow (i.e. Lely, 20-30 ft) - LARGE SIZE</v>
      </c>
      <c r="B49" s="33">
        <f>Data!B327</f>
        <v>0</v>
      </c>
      <c r="C49" s="90" t="str">
        <f>Data!C327</f>
        <v>tine-harrow</v>
      </c>
      <c r="D49" s="109">
        <f>Data!D327*Data!$P$16</f>
        <v>0</v>
      </c>
      <c r="E49" s="109">
        <f t="shared" si="37"/>
        <v>0</v>
      </c>
      <c r="F49" s="109">
        <f>IF(CP!$K$30=0,Data!I327*E49,CP!$K$30*B49)</f>
        <v>0</v>
      </c>
      <c r="G49" s="60">
        <f>IF(CP!$G$30=0,Data!$F$327,CP!$G$30)</f>
        <v>40</v>
      </c>
      <c r="H49" s="109">
        <f>(E49*(_int_inv_l*(1+_int_inv_l)^G49)/((1+_int_inv_l)^G49-1))-(F49*_int_inv_l/((1+_int_inv_l)^G49-1))</f>
        <v>0</v>
      </c>
      <c r="I49" s="675">
        <f>IF(CP!$I$30=0,Data!H327*Data!$J$271,CP!$I$30/CP!$E$30)</f>
        <v>0.02</v>
      </c>
      <c r="J49" s="109">
        <f t="shared" si="38"/>
        <v>0</v>
      </c>
      <c r="K49" s="36">
        <f t="shared" si="19"/>
        <v>6.7999999999999996E-3</v>
      </c>
      <c r="L49" s="109">
        <f t="shared" si="39"/>
        <v>0</v>
      </c>
      <c r="M49" s="109">
        <f t="shared" si="40"/>
        <v>0</v>
      </c>
      <c r="O49" s="771" t="e">
        <f t="shared" si="20"/>
        <v>#DIV/0!</v>
      </c>
    </row>
    <row r="50" spans="1:23" ht="12.6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64" t="str">
        <f>Data!A334</f>
        <v xml:space="preserve">Fertilizer Spreader </v>
      </c>
      <c r="B52" s="33">
        <f>Data!B334</f>
        <v>0</v>
      </c>
      <c r="C52" s="34" t="str">
        <f>Data!C334</f>
        <v>fert.spread</v>
      </c>
      <c r="D52" s="109">
        <f>Data!D334*Data!$N$16</f>
        <v>0</v>
      </c>
      <c r="E52" s="109">
        <f>D52*B52</f>
        <v>0</v>
      </c>
      <c r="F52" s="109">
        <f>Data!I334*E52</f>
        <v>0</v>
      </c>
      <c r="G52" s="60">
        <f>Data!F334</f>
        <v>10</v>
      </c>
      <c r="H52" s="109">
        <f t="shared" ref="H52" si="41">(E52*(_int_inv_*(1+_int_inv_)^G52)/((1+_int_inv_)^G52-1))-(F52*_int_inv_/((1+_int_inv_)^G52-1))</f>
        <v>0</v>
      </c>
      <c r="I52" s="37">
        <f>Data!H334*Data!$J$271</f>
        <v>4.4999999999999998E-2</v>
      </c>
      <c r="J52" s="109">
        <f>E52*I52</f>
        <v>0</v>
      </c>
      <c r="K52" s="36">
        <f t="shared" ref="K52:K61" si="42">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Data!D335*Data!$N$16*CP!$H$5</f>
        <v>0</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2"/>
        <v>6.7999999999999996E-3</v>
      </c>
      <c r="L53" s="109">
        <f>E53*K53</f>
        <v>0</v>
      </c>
      <c r="M53" s="109">
        <f>H53+J53+L53</f>
        <v>0</v>
      </c>
      <c r="O53" s="771" t="e">
        <f t="shared" ref="O53:O61" si="43">J53/wwheat</f>
        <v>#DIV/0!</v>
      </c>
    </row>
    <row r="54" spans="1:23" ht="13.25" customHeight="1" x14ac:dyDescent="0.3">
      <c r="A54" s="664" t="str">
        <f>Data!A336</f>
        <v>Spin Spreader (Chilean nitrate, 50 ft swath) - MEDIUM SIZE</v>
      </c>
      <c r="B54" s="33">
        <f>Data!B336</f>
        <v>1</v>
      </c>
      <c r="C54" s="34" t="str">
        <f>Data!C336</f>
        <v>spin spread</v>
      </c>
      <c r="D54" s="109">
        <f>Data!D336*Data!$N$16</f>
        <v>0</v>
      </c>
      <c r="E54" s="109">
        <f t="shared" ref="E54:E55" si="44">D54*B54</f>
        <v>0</v>
      </c>
      <c r="F54" s="109">
        <f>IF(CP!$K$32=0,Data!I336*E54,CP!$K$32*B54)</f>
        <v>0</v>
      </c>
      <c r="G54" s="60">
        <f>IF(CP!$G$32=0,Data!$F$336,CP!$G$32)</f>
        <v>40</v>
      </c>
      <c r="H54" s="109">
        <f>(E54*(_int_inv_m*(1+_int_inv_m)^G54)/((1+_int_inv_m)^G54-1))-(F54*_int_inv_m/((1+_int_inv_m)^G54-1))</f>
        <v>0</v>
      </c>
      <c r="I54" s="675">
        <f>IF(CP!$I$32=0,Data!H336*Data!$J$271,CP!$I$32/CP!$E$32)</f>
        <v>0.02</v>
      </c>
      <c r="J54" s="109">
        <f t="shared" ref="J54:J55" si="45">E54*I54</f>
        <v>0</v>
      </c>
      <c r="K54" s="36">
        <f t="shared" si="42"/>
        <v>6.7999999999999996E-3</v>
      </c>
      <c r="L54" s="109">
        <f t="shared" ref="L54:L55" si="46">E54*K54</f>
        <v>0</v>
      </c>
      <c r="M54" s="109">
        <f t="shared" ref="M54:M55" si="47">H54+J54+L54</f>
        <v>0</v>
      </c>
      <c r="O54" s="771" t="e">
        <f t="shared" si="43"/>
        <v>#DIV/0!</v>
      </c>
    </row>
    <row r="55" spans="1:23" ht="13.25" customHeight="1" x14ac:dyDescent="0.3">
      <c r="A55" s="664" t="str">
        <f>Data!A337</f>
        <v>Spin Spreader (Chilean nitrate, 50 ft swath) - LARGE SIZE</v>
      </c>
      <c r="B55" s="33">
        <f>Data!B337</f>
        <v>0</v>
      </c>
      <c r="C55" s="34" t="str">
        <f>Data!C337</f>
        <v>spin spread</v>
      </c>
      <c r="D55" s="109">
        <f>Data!D337*Data!$N$16</f>
        <v>0</v>
      </c>
      <c r="E55" s="109">
        <f t="shared" si="44"/>
        <v>0</v>
      </c>
      <c r="F55" s="109">
        <f>IF(CP!$K$32=0,Data!I337*E55,CP!$K$32*B55)</f>
        <v>0</v>
      </c>
      <c r="G55" s="60">
        <f>IF(CP!$G$32=0,Data!$F$337,CP!$G$32)</f>
        <v>40</v>
      </c>
      <c r="H55" s="109">
        <f>(E55*(_int_inv_l*(1+_int_inv_l)^G55)/((1+_int_inv_l)^G55-1))-(F55*_int_inv_l/((1+_int_inv_l)^G55-1))</f>
        <v>0</v>
      </c>
      <c r="I55" s="675">
        <f>IF(CP!$I$32=0,Data!H337*Data!$J$271,CP!$I$32/CP!$E$32)</f>
        <v>0.02</v>
      </c>
      <c r="J55" s="109">
        <f t="shared" si="45"/>
        <v>0</v>
      </c>
      <c r="K55" s="36">
        <f t="shared" si="42"/>
        <v>6.7999999999999996E-3</v>
      </c>
      <c r="L55" s="109">
        <f t="shared" si="46"/>
        <v>0</v>
      </c>
      <c r="M55" s="109">
        <f t="shared" si="47"/>
        <v>0</v>
      </c>
      <c r="O55" s="771" t="e">
        <f t="shared" si="43"/>
        <v>#DIV/0!</v>
      </c>
    </row>
    <row r="56" spans="1:23" x14ac:dyDescent="0.3">
      <c r="A56" s="664" t="str">
        <f>Data!A338</f>
        <v>Manure Spreader - SMALL SIZE</v>
      </c>
      <c r="B56" s="33">
        <f>Data!B338</f>
        <v>0</v>
      </c>
      <c r="C56" s="34" t="str">
        <f>Data!C338</f>
        <v>man.spread</v>
      </c>
      <c r="D56" s="109">
        <f>Data!D338*Data!$N$16*CP!$H$5</f>
        <v>0</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2"/>
        <v>6.7999999999999996E-3</v>
      </c>
      <c r="L56" s="109">
        <f>E56*K56</f>
        <v>0</v>
      </c>
      <c r="M56" s="109">
        <f>H56+J56+L56</f>
        <v>0</v>
      </c>
      <c r="O56" s="771" t="e">
        <f t="shared" si="43"/>
        <v>#DIV/0!</v>
      </c>
    </row>
    <row r="57" spans="1:23" x14ac:dyDescent="0.3">
      <c r="A57" s="664" t="str">
        <f>Data!A339</f>
        <v>Manure Spreader - MEDIUM SIZE</v>
      </c>
      <c r="B57" s="33">
        <f>Data!B339</f>
        <v>1</v>
      </c>
      <c r="C57" s="34" t="str">
        <f>Data!C339</f>
        <v>man.spread</v>
      </c>
      <c r="D57" s="109">
        <f>Data!D339*Data!$N$16</f>
        <v>0</v>
      </c>
      <c r="E57" s="109">
        <f t="shared" ref="E57:E58" si="48">D57*B57</f>
        <v>0</v>
      </c>
      <c r="F57" s="109">
        <f>IF(CP!$K$33=0,Data!I339*E57,CP!$K$33*B57)</f>
        <v>0</v>
      </c>
      <c r="G57" s="60">
        <f>IF(CP!$G$33=0,Data!$F$339,CP!$G$33)</f>
        <v>40</v>
      </c>
      <c r="H57" s="109">
        <f>(E57*(_int_inv_m*(1+_int_inv_m)^G57)/((1+_int_inv_m)^G57-1))-(F57*_int_inv_m/((1+_int_inv_m)^G57-1))</f>
        <v>0</v>
      </c>
      <c r="I57" s="36">
        <f>IF(CP!$I$33=0,Data!H339*Data!$J$271,CP!$I$33/CP!$E$33)</f>
        <v>2.2825263157894699E-2</v>
      </c>
      <c r="J57" s="109">
        <f t="shared" ref="J57:J58" si="49">E57*I57</f>
        <v>0</v>
      </c>
      <c r="K57" s="36">
        <f t="shared" si="42"/>
        <v>6.7999999999999996E-3</v>
      </c>
      <c r="L57" s="109">
        <f t="shared" ref="L57:L58" si="50">E57*K57</f>
        <v>0</v>
      </c>
      <c r="M57" s="109">
        <f t="shared" ref="M57:M58" si="51">H57+J57+L57</f>
        <v>0</v>
      </c>
      <c r="O57" s="771" t="e">
        <f t="shared" si="43"/>
        <v>#DIV/0!</v>
      </c>
    </row>
    <row r="58" spans="1:23" x14ac:dyDescent="0.3">
      <c r="A58" s="664" t="str">
        <f>Data!A340</f>
        <v>Manure Spreader - LARGE SIZE</v>
      </c>
      <c r="B58" s="33">
        <f>Data!B340</f>
        <v>0</v>
      </c>
      <c r="C58" s="34" t="str">
        <f>Data!C340</f>
        <v>man.spread</v>
      </c>
      <c r="D58" s="109">
        <f>Data!D340*Data!$N$16</f>
        <v>0</v>
      </c>
      <c r="E58" s="109">
        <f t="shared" si="48"/>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9"/>
        <v>0</v>
      </c>
      <c r="K58" s="36">
        <f t="shared" si="42"/>
        <v>6.7999999999999996E-3</v>
      </c>
      <c r="L58" s="109">
        <f t="shared" si="50"/>
        <v>0</v>
      </c>
      <c r="M58" s="109">
        <f t="shared" si="51"/>
        <v>0</v>
      </c>
      <c r="O58" s="771" t="e">
        <f t="shared" si="43"/>
        <v>#DIV/0!</v>
      </c>
    </row>
    <row r="59" spans="1:23" ht="13.25" customHeight="1" x14ac:dyDescent="0.3">
      <c r="A59" s="664" t="str">
        <f>Data!A343</f>
        <v>Grain Drill (Presswheel, 16 ft) - SMALL SIZE</v>
      </c>
      <c r="B59" s="33">
        <f>Data!B343</f>
        <v>0</v>
      </c>
      <c r="C59" s="34" t="str">
        <f>Data!C343</f>
        <v>grain drill</v>
      </c>
      <c r="D59" s="109">
        <f>Data!D343*Data!$AR$16*CP!$H$5</f>
        <v>0</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2"/>
        <v>6.7999999999999996E-3</v>
      </c>
      <c r="L59" s="109">
        <f>E59*K59</f>
        <v>0</v>
      </c>
      <c r="M59" s="109">
        <f>H59+J59+L59</f>
        <v>0</v>
      </c>
      <c r="N59" s="34"/>
      <c r="O59" s="771" t="e">
        <f t="shared" si="43"/>
        <v>#DIV/0!</v>
      </c>
      <c r="P59" s="34"/>
      <c r="Q59" s="34"/>
      <c r="R59" s="34"/>
      <c r="S59" s="34"/>
      <c r="T59" s="34"/>
      <c r="U59" s="34"/>
      <c r="V59" s="34"/>
      <c r="W59" s="34"/>
    </row>
    <row r="60" spans="1:23" ht="13.25" customHeight="1" x14ac:dyDescent="0.3">
      <c r="A60" s="664" t="str">
        <f>Data!A344</f>
        <v>Grain Drill (Presswheel, 25 ft) - MEDIUM SIZE</v>
      </c>
      <c r="B60" s="33">
        <f>Data!B344</f>
        <v>1</v>
      </c>
      <c r="C60" s="34" t="str">
        <f>Data!C344</f>
        <v>grain drill</v>
      </c>
      <c r="D60" s="109">
        <f>Data!D344*Data!$AR$16</f>
        <v>0</v>
      </c>
      <c r="E60" s="109">
        <f t="shared" ref="E60:E61" si="52">D60*B60</f>
        <v>0</v>
      </c>
      <c r="F60" s="109">
        <f>IF(CP!K35=0,Data!I344*E60,CP!K35*B60)</f>
        <v>0</v>
      </c>
      <c r="G60" s="60">
        <f>IF(CP!$G$35=0,Data!$F$344,CP!$G$35)</f>
        <v>40</v>
      </c>
      <c r="H60" s="109">
        <f>(E60*(_int_inv_m*(1+_int_inv_m)^G60)/((1+_int_inv_m)^G60-1))-(F60*_int_inv_m/((1+_int_inv_m)^G60-1))</f>
        <v>0</v>
      </c>
      <c r="I60" s="36">
        <f>IF(CP!I35=0,Data!H344*Data!$J$271,CP!I35/CP!E35)</f>
        <v>2.3673333333333331E-2</v>
      </c>
      <c r="J60" s="109">
        <f t="shared" ref="J60:J61" si="53">E60*I60</f>
        <v>0</v>
      </c>
      <c r="K60" s="36">
        <f t="shared" si="42"/>
        <v>6.7999999999999996E-3</v>
      </c>
      <c r="L60" s="109">
        <f t="shared" ref="L60:L61" si="54">E60*K60</f>
        <v>0</v>
      </c>
      <c r="M60" s="109">
        <f t="shared" ref="M60:M61" si="55">H60+J60+L60</f>
        <v>0</v>
      </c>
      <c r="N60" s="34"/>
      <c r="O60" s="771" t="e">
        <f t="shared" si="43"/>
        <v>#DIV/0!</v>
      </c>
      <c r="P60" s="34"/>
      <c r="Q60" s="34"/>
      <c r="R60" s="34"/>
      <c r="S60" s="34"/>
      <c r="T60" s="34"/>
      <c r="U60" s="34"/>
      <c r="V60" s="34"/>
      <c r="W60" s="34"/>
    </row>
    <row r="61" spans="1:23" ht="13.25" customHeight="1" x14ac:dyDescent="0.3">
      <c r="A61" s="664" t="str">
        <f>Data!A345</f>
        <v>Grain Drill (Presswheel, 30 ft) - LARGE SIZE</v>
      </c>
      <c r="B61" s="33">
        <f>Data!B345</f>
        <v>0</v>
      </c>
      <c r="C61" s="34" t="str">
        <f>Data!C345</f>
        <v>grain drill</v>
      </c>
      <c r="D61" s="109">
        <f>Data!D345*Data!$AR$16</f>
        <v>0</v>
      </c>
      <c r="E61" s="109">
        <f t="shared" si="52"/>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3"/>
        <v>0</v>
      </c>
      <c r="K61" s="36">
        <f t="shared" si="42"/>
        <v>6.7999999999999996E-3</v>
      </c>
      <c r="L61" s="109">
        <f t="shared" si="54"/>
        <v>0</v>
      </c>
      <c r="M61" s="109">
        <f t="shared" si="55"/>
        <v>0</v>
      </c>
      <c r="N61" s="34"/>
      <c r="O61" s="771" t="e">
        <f t="shared" si="43"/>
        <v>#DIV/0!</v>
      </c>
      <c r="P61" s="34"/>
      <c r="Q61" s="34"/>
      <c r="R61" s="34"/>
      <c r="S61" s="34"/>
      <c r="T61" s="34"/>
      <c r="U61" s="34"/>
      <c r="V61" s="34"/>
      <c r="W61" s="34"/>
    </row>
    <row r="62" spans="1:23"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Data!D353*Data!$P$16*CP!$H$5</f>
        <v>0</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Data!D354*Data!$P$16</f>
        <v>0</v>
      </c>
      <c r="E65" s="109">
        <f t="shared" ref="E65:E66" si="56">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7">E65*I65</f>
        <v>0</v>
      </c>
      <c r="K65" s="36">
        <f>_tax_ins_</f>
        <v>6.7999999999999996E-3</v>
      </c>
      <c r="L65" s="109">
        <f t="shared" ref="L65:L66" si="58">E65*K65</f>
        <v>0</v>
      </c>
      <c r="M65" s="109">
        <f t="shared" ref="M65:M66" si="59">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Data!D355*Data!$P$16</f>
        <v>0</v>
      </c>
      <c r="E66" s="109">
        <f t="shared" si="56"/>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7"/>
        <v>0</v>
      </c>
      <c r="K66" s="36">
        <f>_tax_ins_</f>
        <v>6.7999999999999996E-3</v>
      </c>
      <c r="L66" s="109">
        <f t="shared" si="58"/>
        <v>0</v>
      </c>
      <c r="M66" s="109">
        <f t="shared" si="59"/>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863"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Data!D381*Data!$AH$16*CP!$H$5</f>
        <v>0</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60">_tax_ins_</f>
        <v>6.7999999999999996E-3</v>
      </c>
      <c r="L69" s="109">
        <f>E69*K69</f>
        <v>0</v>
      </c>
      <c r="M69" s="109">
        <f>H69+J69+L69</f>
        <v>0</v>
      </c>
      <c r="N69" s="34"/>
      <c r="O69" s="771" t="e">
        <f t="shared" ref="O69:O74" si="61">J69/wwheat</f>
        <v>#DIV/0!</v>
      </c>
      <c r="P69" s="34"/>
      <c r="Q69" s="34"/>
      <c r="R69" s="34"/>
      <c r="S69" s="34"/>
      <c r="T69" s="34"/>
      <c r="U69" s="34"/>
      <c r="V69" s="34"/>
      <c r="W69" s="34"/>
    </row>
    <row r="70" spans="1:23" x14ac:dyDescent="0.3">
      <c r="A70" s="664" t="str">
        <f>Data!A382</f>
        <v>Combine (IHC) - MEDIUM SIZE</v>
      </c>
      <c r="B70" s="33">
        <f>Data!B382</f>
        <v>1</v>
      </c>
      <c r="C70" s="34" t="str">
        <f>Data!C382</f>
        <v>combine</v>
      </c>
      <c r="D70" s="109">
        <f>Data!D382*Data!$AH$16</f>
        <v>0</v>
      </c>
      <c r="E70" s="109">
        <f t="shared" ref="E70:E71" si="62">D70*B70</f>
        <v>0</v>
      </c>
      <c r="F70" s="109">
        <f>IF(CP!K49=0,Data!I382*E70,CP!K49*B70)</f>
        <v>0</v>
      </c>
      <c r="G70" s="60">
        <f>IF(CP!$G$49=0,Data!$F$382,CP!$G$49)</f>
        <v>40</v>
      </c>
      <c r="H70" s="109">
        <f>(E70*(_int_inv_m*(1+_int_inv_m)^G70)/((1+_int_inv_m)^G70-1))-(F70*_int_inv_m/((1+_int_inv_m)^G70-1))</f>
        <v>0</v>
      </c>
      <c r="I70" s="37">
        <f>IF(CP!I49=0,Data!H382*Data!$J$271,CP!I49/CP!E49)</f>
        <v>2.8219081272084806E-2</v>
      </c>
      <c r="J70" s="109">
        <f t="shared" ref="J70:J71" si="63">E70*I70</f>
        <v>0</v>
      </c>
      <c r="K70" s="36">
        <f t="shared" si="60"/>
        <v>6.7999999999999996E-3</v>
      </c>
      <c r="L70" s="109">
        <f t="shared" ref="L70:L71" si="64">E70*K70</f>
        <v>0</v>
      </c>
      <c r="M70" s="109">
        <f t="shared" ref="M70:M71" si="65">H70+J70+L70</f>
        <v>0</v>
      </c>
      <c r="N70" s="34"/>
      <c r="O70" s="771" t="e">
        <f t="shared" si="61"/>
        <v>#DIV/0!</v>
      </c>
      <c r="P70" s="34"/>
      <c r="Q70" s="34"/>
      <c r="R70" s="34"/>
      <c r="S70" s="34"/>
      <c r="T70" s="34"/>
      <c r="U70" s="34"/>
      <c r="V70" s="34"/>
      <c r="W70" s="34"/>
    </row>
    <row r="71" spans="1:23" x14ac:dyDescent="0.3">
      <c r="A71" s="664" t="str">
        <f>Data!A383</f>
        <v>Combine (IHC) - LARGE SIZE</v>
      </c>
      <c r="B71" s="33">
        <f>Data!B383</f>
        <v>0</v>
      </c>
      <c r="C71" s="34" t="str">
        <f>Data!C383</f>
        <v>combine</v>
      </c>
      <c r="D71" s="109">
        <f>Data!D383*Data!$AH$16</f>
        <v>0</v>
      </c>
      <c r="E71" s="109">
        <f t="shared" si="62"/>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3"/>
        <v>0</v>
      </c>
      <c r="K71" s="36">
        <f t="shared" si="60"/>
        <v>6.7999999999999996E-3</v>
      </c>
      <c r="L71" s="109">
        <f t="shared" si="64"/>
        <v>0</v>
      </c>
      <c r="M71" s="109">
        <f t="shared" si="65"/>
        <v>0</v>
      </c>
      <c r="N71" s="34"/>
      <c r="O71" s="771" t="e">
        <f t="shared" si="61"/>
        <v>#DIV/0!</v>
      </c>
      <c r="P71" s="34"/>
      <c r="Q71" s="34"/>
      <c r="R71" s="34"/>
      <c r="S71" s="34"/>
      <c r="T71" s="34"/>
      <c r="U71" s="34"/>
      <c r="V71" s="34"/>
      <c r="W71" s="34"/>
    </row>
    <row r="72" spans="1:23" ht="13.25" customHeight="1" x14ac:dyDescent="0.3">
      <c r="A72" s="664" t="str">
        <f>Data!A385</f>
        <v xml:space="preserve">     Combine small grain head (15 ft) - SMALL SIZE</v>
      </c>
      <c r="B72" s="33">
        <f>Data!B385</f>
        <v>0</v>
      </c>
      <c r="C72" s="34" t="str">
        <f>Data!C385</f>
        <v>sm.gr.hd.</v>
      </c>
      <c r="D72" s="109">
        <f>Data!D385*Data!$AJ$16*CP!$H$5</f>
        <v>0</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60"/>
        <v>6.7999999999999996E-3</v>
      </c>
      <c r="L72" s="109">
        <f>E72*K72</f>
        <v>0</v>
      </c>
      <c r="M72" s="109">
        <f>H72+J72+L72</f>
        <v>0</v>
      </c>
      <c r="N72" s="34"/>
      <c r="O72" s="771" t="e">
        <f t="shared" si="61"/>
        <v>#DIV/0!</v>
      </c>
      <c r="P72" s="771" t="e">
        <f>SUM(O69:O72)</f>
        <v>#DIV/0!</v>
      </c>
      <c r="Q72" s="34"/>
      <c r="R72" s="34"/>
      <c r="S72" s="34"/>
      <c r="T72" s="34"/>
      <c r="U72" s="34"/>
      <c r="V72" s="34"/>
    </row>
    <row r="73" spans="1:23" ht="13.25" customHeight="1" x14ac:dyDescent="0.3">
      <c r="A73" s="664" t="str">
        <f>Data!A386</f>
        <v xml:space="preserve">     Combine small grain head (15 ft) - MEDIUM SIZE</v>
      </c>
      <c r="B73" s="33">
        <f>Data!B386</f>
        <v>1</v>
      </c>
      <c r="C73" s="34" t="str">
        <f>Data!C386</f>
        <v>sm.gr.hd.</v>
      </c>
      <c r="D73" s="109">
        <f>Data!D386*Data!$AJ$16</f>
        <v>0</v>
      </c>
      <c r="E73" s="109">
        <f t="shared" ref="E73:E74" si="66">D73*B73</f>
        <v>0</v>
      </c>
      <c r="F73" s="109">
        <f>IF(CP!K52=0,Data!I386*E73,CP!K52*B73)</f>
        <v>0</v>
      </c>
      <c r="G73" s="60">
        <f>IF(CP!$G$51=0,Data!$F$386,CP!$G$51)</f>
        <v>50</v>
      </c>
      <c r="H73" s="109">
        <f>(E73*(_int_inv_m*(1+_int_inv_m)^G73)/((1+_int_inv_m)^G73-1))-(F73*_int_inv_m/((1+_int_inv_m)^G73-1))</f>
        <v>0</v>
      </c>
      <c r="I73" s="37">
        <f>IF(CP!I52=0,Data!H386*Data!$J$271,CP!I52/CP!E52)</f>
        <v>2.6278604651162791E-2</v>
      </c>
      <c r="J73" s="109">
        <f t="shared" ref="J73:J74" si="67">E73*I73</f>
        <v>0</v>
      </c>
      <c r="K73" s="36">
        <f t="shared" si="60"/>
        <v>6.7999999999999996E-3</v>
      </c>
      <c r="L73" s="109">
        <f t="shared" ref="L73:L74" si="68">E73*K73</f>
        <v>0</v>
      </c>
      <c r="M73" s="109">
        <f t="shared" ref="M73:M74" si="69">H73+J73+L73</f>
        <v>0</v>
      </c>
      <c r="N73" s="34"/>
      <c r="O73" s="771" t="e">
        <f t="shared" si="61"/>
        <v>#DIV/0!</v>
      </c>
      <c r="P73" s="771" t="e">
        <f t="shared" ref="P73:P74" si="70">SUM(O70:O73)</f>
        <v>#DIV/0!</v>
      </c>
      <c r="Q73" s="34"/>
      <c r="R73" s="34"/>
      <c r="S73" s="34"/>
      <c r="T73" s="34"/>
      <c r="U73" s="34"/>
      <c r="V73" s="34"/>
    </row>
    <row r="74" spans="1:23" ht="13.25" customHeight="1" x14ac:dyDescent="0.3">
      <c r="A74" s="664" t="str">
        <f>Data!A387</f>
        <v xml:space="preserve">     Combine small grain head (20 ft) - LARGE SIZE</v>
      </c>
      <c r="B74" s="33">
        <f>Data!B387</f>
        <v>0</v>
      </c>
      <c r="C74" s="34" t="str">
        <f>Data!C387</f>
        <v>sm.gr.hd.</v>
      </c>
      <c r="D74" s="109">
        <f>Data!D387*Data!$AJ$16</f>
        <v>0</v>
      </c>
      <c r="E74" s="109">
        <f t="shared" si="66"/>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7"/>
        <v>0</v>
      </c>
      <c r="K74" s="36">
        <f t="shared" si="60"/>
        <v>6.7999999999999996E-3</v>
      </c>
      <c r="L74" s="109">
        <f t="shared" si="68"/>
        <v>0</v>
      </c>
      <c r="M74" s="109">
        <f t="shared" si="69"/>
        <v>0</v>
      </c>
      <c r="N74" s="34"/>
      <c r="O74" s="771" t="e">
        <f t="shared" si="61"/>
        <v>#DIV/0!</v>
      </c>
      <c r="P74" s="771" t="e">
        <f t="shared" si="70"/>
        <v>#DIV/0!</v>
      </c>
      <c r="Q74" s="34"/>
      <c r="R74" s="34"/>
      <c r="S74" s="34"/>
      <c r="T74" s="34"/>
      <c r="U74" s="34"/>
      <c r="V74" s="34"/>
    </row>
    <row r="75" spans="1:23" x14ac:dyDescent="0.3">
      <c r="A75" s="19" t="str">
        <f>Data!A378</f>
        <v xml:space="preserve">Raker </v>
      </c>
      <c r="B75" s="163">
        <f>Data!B378*Data!$B$33</f>
        <v>0</v>
      </c>
      <c r="C75" s="34" t="str">
        <f>Data!C378</f>
        <v>raker</v>
      </c>
      <c r="D75" s="109">
        <f>Data!D378*Data!$AF$16</f>
        <v>0</v>
      </c>
      <c r="E75" s="109">
        <f>D75*B75</f>
        <v>0</v>
      </c>
      <c r="F75" s="109">
        <f>Data!I378*E75</f>
        <v>0</v>
      </c>
      <c r="G75" s="60">
        <f>Data!F378</f>
        <v>50</v>
      </c>
      <c r="H75" s="109">
        <f t="shared" ref="H75:H77" si="71">(E75*(_int_inv_*(1+_int_inv_)^G75)/((1+_int_inv_)^G75-1))-(F75*_int_inv_/((1+_int_inv_)^G75-1))</f>
        <v>0</v>
      </c>
      <c r="I75" s="164">
        <f>Data!H378*Data!$J$271</f>
        <v>4.4999999999999998E-2</v>
      </c>
      <c r="J75" s="109">
        <f>E75*I75</f>
        <v>0</v>
      </c>
      <c r="K75" s="36">
        <f t="shared" si="60"/>
        <v>6.7999999999999996E-3</v>
      </c>
      <c r="L75" s="109">
        <f>E75*K75</f>
        <v>0</v>
      </c>
      <c r="M75" s="109">
        <f>H75+J75+L75</f>
        <v>0</v>
      </c>
    </row>
    <row r="76" spans="1:23" x14ac:dyDescent="0.3">
      <c r="A76" s="19" t="str">
        <f>Data!A379</f>
        <v>Baler (Round)</v>
      </c>
      <c r="B76" s="163">
        <f>Data!B379*Data!$B$33*Data!$C$33</f>
        <v>0</v>
      </c>
      <c r="C76" s="34" t="str">
        <f>Data!C379</f>
        <v>round baler</v>
      </c>
      <c r="D76" s="109">
        <f>Data!D379*Data!$AF$16</f>
        <v>0</v>
      </c>
      <c r="E76" s="109">
        <f>D76*B76</f>
        <v>0</v>
      </c>
      <c r="F76" s="109">
        <f>Data!I379*E76</f>
        <v>0</v>
      </c>
      <c r="G76" s="60">
        <f>Data!F379</f>
        <v>40</v>
      </c>
      <c r="H76" s="109">
        <f t="shared" si="71"/>
        <v>0</v>
      </c>
      <c r="I76" s="164">
        <f>Data!H379*Data!$J$271</f>
        <v>4.4999999999999998E-2</v>
      </c>
      <c r="J76" s="109">
        <f>E76*I76</f>
        <v>0</v>
      </c>
      <c r="K76" s="36">
        <f t="shared" si="60"/>
        <v>6.7999999999999996E-3</v>
      </c>
      <c r="L76" s="109">
        <f>E76*K76</f>
        <v>0</v>
      </c>
      <c r="M76" s="109">
        <f>H76+J76+L76</f>
        <v>0</v>
      </c>
    </row>
    <row r="77" spans="1:23" x14ac:dyDescent="0.3">
      <c r="A77" s="19" t="str">
        <f>Data!A380</f>
        <v>Baler (Square)</v>
      </c>
      <c r="B77" s="163">
        <f>Data!B380*Data!$B$33*Data!$D$33</f>
        <v>0</v>
      </c>
      <c r="C77" s="34" t="str">
        <f>Data!C380</f>
        <v>square baler</v>
      </c>
      <c r="D77" s="109">
        <f>Data!D380*Data!$AF$16</f>
        <v>0</v>
      </c>
      <c r="E77" s="109">
        <f>D77*B77</f>
        <v>0</v>
      </c>
      <c r="F77" s="109">
        <f>Data!I380*E77</f>
        <v>0</v>
      </c>
      <c r="G77" s="60">
        <f>Data!F380</f>
        <v>20</v>
      </c>
      <c r="H77" s="109">
        <f t="shared" si="71"/>
        <v>0</v>
      </c>
      <c r="I77" s="164">
        <f>Data!H380*Data!$J$271</f>
        <v>4.4999999999999998E-2</v>
      </c>
      <c r="J77" s="109">
        <f>E77*I77</f>
        <v>0</v>
      </c>
      <c r="K77" s="36">
        <f t="shared" si="60"/>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863"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Data!D395*Data!$H$16*CP!$H$5</f>
        <v>0</v>
      </c>
      <c r="E80" s="109">
        <f>D80*B80</f>
        <v>0</v>
      </c>
      <c r="F80" s="109">
        <f>IF(CP!K58=0,Data!I395*E80,CP!K58*B80)</f>
        <v>0</v>
      </c>
      <c r="G80" s="60">
        <f>IF(CP!$G$58=0,Data!$F$395,CP!$G$58)</f>
        <v>50</v>
      </c>
      <c r="H80" s="104">
        <f t="shared" ref="H80:H81" si="72">(E80*(_int_inv_*(1+_int_inv_)^G80)/((1+_int_inv_)^G80-1))-(F80*_int_inv_/((1+_int_inv_)^G80-1))</f>
        <v>0</v>
      </c>
      <c r="I80" s="675">
        <f>IF(CP!I58=0,Data!H395*Data!$J$271,CP!I58/CP!E58)</f>
        <v>0.02</v>
      </c>
      <c r="J80" s="104">
        <f>E80*I80</f>
        <v>0</v>
      </c>
      <c r="K80" s="36">
        <f t="shared" ref="K80:K85" si="73">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Data!D396*Data!$H$16*CP!$H$5</f>
        <v>0</v>
      </c>
      <c r="E81" s="109">
        <f>D81*B81</f>
        <v>0</v>
      </c>
      <c r="F81" s="109">
        <f>IF(CP!K61=0,Data!I396*E81,CP!K61*B81)</f>
        <v>0</v>
      </c>
      <c r="G81" s="60">
        <f>IF(CP!$G$61=0,Data!$F$396,CP!$G$61)</f>
        <v>50</v>
      </c>
      <c r="H81" s="109">
        <f t="shared" si="72"/>
        <v>0</v>
      </c>
      <c r="I81" s="675">
        <f>IF(CP!I61=0,Data!H396*Data!$J$271,CP!I61/CP!E61)</f>
        <v>0.02</v>
      </c>
      <c r="J81" s="109">
        <f>E81*I81</f>
        <v>0</v>
      </c>
      <c r="K81" s="36">
        <f t="shared" si="73"/>
        <v>6.7999999999999996E-3</v>
      </c>
      <c r="L81" s="104">
        <f>E81*K81</f>
        <v>0</v>
      </c>
      <c r="M81" s="109">
        <f>H81+J81+L81</f>
        <v>0</v>
      </c>
    </row>
    <row r="82" spans="1:23" x14ac:dyDescent="0.3">
      <c r="A82" s="664" t="str">
        <f>Data!A397</f>
        <v>Fuel Tanks - MEDIUM SIZE</v>
      </c>
      <c r="B82" s="33">
        <f>Data!B397</f>
        <v>1</v>
      </c>
      <c r="C82" s="34" t="str">
        <f>Data!C397</f>
        <v>fuel tank</v>
      </c>
      <c r="D82" s="109">
        <f>Data!D397*Data!$H$16</f>
        <v>0</v>
      </c>
      <c r="E82" s="109">
        <f t="shared" ref="E82:E85" si="74">D82*B82</f>
        <v>0</v>
      </c>
      <c r="F82" s="109">
        <f>IF(CP!K59=0,Data!I397*E82,CP!K59*B82)</f>
        <v>0</v>
      </c>
      <c r="G82" s="60">
        <f>IF(CP!$G$59=0,Data!$F$397,CP!$G$59)</f>
        <v>40</v>
      </c>
      <c r="H82" s="109">
        <f>(E82*(_int_inv_m*(1+_int_inv_m)^G82)/((1+_int_inv_m)^G82-1))-(F82*_int_inv_m/((1+_int_inv_m)^G82-1))</f>
        <v>0</v>
      </c>
      <c r="I82" s="675">
        <f>IF(CP!I59=0,Data!H397*Data!$J$271,CP!I59/CP!E59)</f>
        <v>0.02</v>
      </c>
      <c r="J82" s="104">
        <f t="shared" ref="J82:J85" si="75">E82*I82</f>
        <v>0</v>
      </c>
      <c r="K82" s="36">
        <f t="shared" si="73"/>
        <v>6.7999999999999996E-3</v>
      </c>
      <c r="L82" s="104">
        <f t="shared" ref="L82:L85" si="76">E82*K82</f>
        <v>0</v>
      </c>
      <c r="M82" s="109">
        <f t="shared" ref="M82:M85" si="77">H82+J82+L82</f>
        <v>0</v>
      </c>
    </row>
    <row r="83" spans="1:23" x14ac:dyDescent="0.3">
      <c r="A83" s="664" t="str">
        <f>Data!A398</f>
        <v>Shop Tools - MEDIUM SIZE</v>
      </c>
      <c r="B83" s="33">
        <f>Data!B398</f>
        <v>1</v>
      </c>
      <c r="C83" s="34" t="str">
        <f>Data!C398</f>
        <v>shop tools</v>
      </c>
      <c r="D83" s="109">
        <f>Data!D398*Data!$H$16</f>
        <v>0</v>
      </c>
      <c r="E83" s="109">
        <f t="shared" si="74"/>
        <v>0</v>
      </c>
      <c r="F83" s="109">
        <f>IF(CP!K62=0,Data!I398*E83,CP!K62*B83)</f>
        <v>0</v>
      </c>
      <c r="G83" s="60">
        <f>IF(CP!$G$62=0,Data!$F$398,CP!$G$62)</f>
        <v>40</v>
      </c>
      <c r="H83" s="109">
        <f>(E83*(_int_inv_m*(1+_int_inv_m)^G83)/((1+_int_inv_m)^G83-1))-(F83*_int_inv_m/((1+_int_inv_m)^G83-1))</f>
        <v>0</v>
      </c>
      <c r="I83" s="675">
        <f>IF(CP!I62=0,Data!H398*Data!$J$271,CP!I62/CP!E62)</f>
        <v>0.02</v>
      </c>
      <c r="J83" s="109">
        <f t="shared" si="75"/>
        <v>0</v>
      </c>
      <c r="K83" s="36">
        <f t="shared" si="73"/>
        <v>6.7999999999999996E-3</v>
      </c>
      <c r="L83" s="104">
        <f t="shared" si="76"/>
        <v>0</v>
      </c>
      <c r="M83" s="109">
        <f t="shared" si="77"/>
        <v>0</v>
      </c>
    </row>
    <row r="84" spans="1:23" x14ac:dyDescent="0.3">
      <c r="A84" s="664" t="str">
        <f>Data!A399</f>
        <v>Fuel Tanks - LARGE SIZE</v>
      </c>
      <c r="B84" s="33">
        <f>Data!B399</f>
        <v>0</v>
      </c>
      <c r="C84" s="34" t="str">
        <f>Data!C399</f>
        <v>fuel tank</v>
      </c>
      <c r="D84" s="109">
        <f>Data!D399*Data!$H$16</f>
        <v>0</v>
      </c>
      <c r="E84" s="109">
        <f t="shared" si="74"/>
        <v>0</v>
      </c>
      <c r="F84" s="109">
        <f>IF(CP!K60=0,Data!I399*E84,CP!K60*B84)</f>
        <v>0</v>
      </c>
      <c r="G84" s="60">
        <f>IF(CP!$G$60=0,Data!$F$399,CP!$G$60)</f>
        <v>20</v>
      </c>
      <c r="H84" s="109">
        <f>(E84*(_int_inv_l*(1+_int_inv_l)^G84)/((1+_int_inv_l)^G84-1))-(F84*_int_inv_l/((1+_int_inv_l)^G84-1))</f>
        <v>0</v>
      </c>
      <c r="I84" s="675">
        <f>IF(CP!I60=0,Data!H399*Data!$J$271,CP!I60/CP!E60)</f>
        <v>0.02</v>
      </c>
      <c r="J84" s="104">
        <f t="shared" si="75"/>
        <v>0</v>
      </c>
      <c r="K84" s="36">
        <f t="shared" si="73"/>
        <v>6.7999999999999996E-3</v>
      </c>
      <c r="L84" s="104">
        <f t="shared" si="76"/>
        <v>0</v>
      </c>
      <c r="M84" s="109">
        <f t="shared" si="77"/>
        <v>0</v>
      </c>
    </row>
    <row r="85" spans="1:23" x14ac:dyDescent="0.3">
      <c r="A85" s="664" t="str">
        <f>Data!A400</f>
        <v>Shop Tools - LARGE SIZE</v>
      </c>
      <c r="B85" s="33">
        <f>Data!B400</f>
        <v>0</v>
      </c>
      <c r="C85" s="34" t="str">
        <f>Data!C400</f>
        <v>shop tools</v>
      </c>
      <c r="D85" s="109">
        <f>Data!D400*Data!$H$16</f>
        <v>0</v>
      </c>
      <c r="E85" s="109">
        <f t="shared" si="74"/>
        <v>0</v>
      </c>
      <c r="F85" s="109">
        <f>IF(CP!K63=0,Data!I400*E85,CP!K63*B85)</f>
        <v>0</v>
      </c>
      <c r="G85" s="60">
        <f>IF(CP!$G$63=0,Data!$F$400,CP!$G$63)</f>
        <v>20</v>
      </c>
      <c r="H85" s="109">
        <f>(E85*(_int_inv_l*(1+_int_inv_l)^G85)/((1+_int_inv_l)^G85-1))-(F85*_int_inv_l/((1+_int_inv_l)^G85-1))</f>
        <v>0</v>
      </c>
      <c r="I85" s="675">
        <f>IF(CP!I63=0,Data!H400*Data!$J$271,CP!I63/CP!E63)</f>
        <v>0.02</v>
      </c>
      <c r="J85" s="109">
        <f t="shared" si="75"/>
        <v>0</v>
      </c>
      <c r="K85" s="36">
        <f t="shared" si="73"/>
        <v>6.7999999999999996E-3</v>
      </c>
      <c r="L85" s="104">
        <f t="shared" si="76"/>
        <v>0</v>
      </c>
      <c r="M85" s="109">
        <f t="shared" si="77"/>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33">
        <f>Data!B417</f>
        <v>0</v>
      </c>
      <c r="C88" s="34" t="str">
        <f>Data!C417</f>
        <v>grain cleaner</v>
      </c>
      <c r="D88" s="109">
        <f>Data!D417*Data!$H$16*CP!$H$5</f>
        <v>0</v>
      </c>
      <c r="E88" s="109">
        <f t="shared" ref="E88:E90" si="78">D88*B88</f>
        <v>0</v>
      </c>
      <c r="F88" s="109">
        <f>IF(CP!K65=0,Data!I417*E88,CP!K65*B88)</f>
        <v>0</v>
      </c>
      <c r="G88" s="60">
        <f>IF(CP!$G$65=0,Data!$F$417,CP!$G$65)</f>
        <v>50</v>
      </c>
      <c r="H88" s="109">
        <f>(E88*(_int_inv_*(1+_int_inv_)^G88)/((1+_int_inv_)^G88-1))-(F88*_int_inv_/((1+_int_inv_)^G88-1))</f>
        <v>0</v>
      </c>
      <c r="I88" s="675">
        <f>IF(CP!I65=0,Data!H417*Data!$J$271,CP!I65/CP!E65)</f>
        <v>0.02</v>
      </c>
      <c r="J88" s="109">
        <f t="shared" ref="J88:J90" si="79">E88*I88</f>
        <v>0</v>
      </c>
      <c r="K88" s="36">
        <f>_tax_ins_</f>
        <v>6.7999999999999996E-3</v>
      </c>
      <c r="L88" s="104">
        <f t="shared" ref="L88:L90" si="80">E88*K88</f>
        <v>0</v>
      </c>
      <c r="M88" s="109">
        <f t="shared" ref="M88:M90" si="81">H88+J88+L88</f>
        <v>0</v>
      </c>
    </row>
    <row r="89" spans="1:23" x14ac:dyDescent="0.3">
      <c r="A89" s="664" t="str">
        <f>Data!A418</f>
        <v>Grain Cleaner - MEDIUM SIZE</v>
      </c>
      <c r="B89" s="33">
        <f>Data!B418</f>
        <v>1</v>
      </c>
      <c r="C89" s="34" t="str">
        <f>Data!C418</f>
        <v>grain cleaner</v>
      </c>
      <c r="D89" s="109">
        <f>Data!D418*Data!$H$16</f>
        <v>0</v>
      </c>
      <c r="E89" s="109">
        <f t="shared" si="78"/>
        <v>0</v>
      </c>
      <c r="F89" s="109">
        <f>IF(CP!K66=0,Data!I418*E89,CP!K66*B89)</f>
        <v>0</v>
      </c>
      <c r="G89" s="60">
        <f>IF(CP!$G$66=0,Data!$F$418,CP!$G$66)</f>
        <v>40</v>
      </c>
      <c r="H89" s="109">
        <f>(E89*(_int_inv_m*(1+_int_inv_m)^G89)/((1+_int_inv_m)^G89-1))-(F89*_int_inv_m/((1+_int_inv_m)^G89-1))</f>
        <v>0</v>
      </c>
      <c r="I89" s="675">
        <f>IF(CP!I66=0,Data!H418*Data!$J$271,CP!I66/CP!E66)</f>
        <v>0.02</v>
      </c>
      <c r="J89" s="109">
        <f t="shared" si="79"/>
        <v>0</v>
      </c>
      <c r="K89" s="36">
        <f>_tax_ins_</f>
        <v>6.7999999999999996E-3</v>
      </c>
      <c r="L89" s="104">
        <f t="shared" si="80"/>
        <v>0</v>
      </c>
      <c r="M89" s="109">
        <f t="shared" si="81"/>
        <v>0</v>
      </c>
    </row>
    <row r="90" spans="1:23" x14ac:dyDescent="0.3">
      <c r="A90" s="664" t="str">
        <f>Data!A419</f>
        <v>Grain Cleaner - LARGE SIZE</v>
      </c>
      <c r="B90" s="33">
        <f>Data!B419</f>
        <v>0</v>
      </c>
      <c r="C90" s="34" t="str">
        <f>Data!C419</f>
        <v>grain cleaner</v>
      </c>
      <c r="D90" s="109">
        <f>Data!D419*Data!$H$16</f>
        <v>0</v>
      </c>
      <c r="E90" s="109">
        <f t="shared" si="78"/>
        <v>0</v>
      </c>
      <c r="F90" s="109">
        <f>IF(CP!K67=0,Data!I419*E90,CP!K67*B90)</f>
        <v>0</v>
      </c>
      <c r="G90" s="60">
        <f>IF(CP!$G$67=0,Data!$F$419,CP!$G$67)</f>
        <v>20</v>
      </c>
      <c r="H90" s="109">
        <f>(E90*(_int_inv_l*(1+_int_inv_l)^G90)/((1+_int_inv_l)^G90-1))-(F90*_int_inv_l/((1+_int_inv_l)^G90-1))</f>
        <v>0</v>
      </c>
      <c r="I90" s="675">
        <f>IF(CP!I67=0,Data!H419*Data!$J$271,CP!I67/CP!E67)</f>
        <v>0.02</v>
      </c>
      <c r="J90" s="109">
        <f t="shared" si="79"/>
        <v>0</v>
      </c>
      <c r="K90" s="36">
        <f>_tax_ins_</f>
        <v>6.7999999999999996E-3</v>
      </c>
      <c r="L90" s="104">
        <f t="shared" si="80"/>
        <v>0</v>
      </c>
      <c r="M90" s="109">
        <f t="shared" si="81"/>
        <v>0</v>
      </c>
    </row>
    <row r="91" spans="1:23" x14ac:dyDescent="0.3">
      <c r="A91" s="6"/>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14"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Data!D423*Data!$AH$16*CP!$H$5</f>
        <v>0</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82">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Data!D424*Data!$AH$16</f>
        <v>0</v>
      </c>
      <c r="E94" s="109">
        <f t="shared" ref="E94:E95" si="83">D94*B94</f>
        <v>0</v>
      </c>
      <c r="F94" s="109">
        <f>IF(CP!K70=0,Data!I424*E94,CP!K70*B94)</f>
        <v>0</v>
      </c>
      <c r="G94" s="60">
        <f>IF(CP!$G$70=0,Data!$F$424,CP!$G$70)</f>
        <v>40</v>
      </c>
      <c r="H94" s="109">
        <f>(E94*(_int_inv_m*(1+_int_inv_m)^G94)/((1+_int_inv_m)^G94-1))-(F94*_int_inv_m/((1+_int_inv_m)^G94-1))</f>
        <v>0</v>
      </c>
      <c r="I94" s="675">
        <f>IF(CP!I70=0,Data!H424*Data!$J$271,CP!I70/CP!E70)</f>
        <v>0.02</v>
      </c>
      <c r="J94" s="109">
        <f t="shared" ref="J94:J95" si="84">E94*I94</f>
        <v>0</v>
      </c>
      <c r="K94" s="36">
        <f t="shared" si="82"/>
        <v>6.7999999999999996E-3</v>
      </c>
      <c r="L94" s="109">
        <f t="shared" ref="L94:L95" si="85">E94*K94</f>
        <v>0</v>
      </c>
      <c r="M94" s="109">
        <f t="shared" ref="M94:M95" si="86">H94+J94+L94</f>
        <v>0</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Data!D425*Data!$AH$16</f>
        <v>0</v>
      </c>
      <c r="E95" s="109">
        <f t="shared" si="83"/>
        <v>0</v>
      </c>
      <c r="F95" s="109">
        <f>IF(CP!K71=0,Data!I425*E95,CP!K71*B95)</f>
        <v>0</v>
      </c>
      <c r="G95" s="60">
        <f>IF(CP!$G$71=0,Data!$F$425,CP!$G$71)</f>
        <v>20</v>
      </c>
      <c r="H95" s="109">
        <f>(E95*(_int_inv_l*(1+_int_inv_l)^G95)/((1+_int_inv_l)^G95-1))-(F95*_int_inv_l/((1+_int_inv_l)^G95-1))</f>
        <v>0</v>
      </c>
      <c r="I95" s="675">
        <f>IF(CP!I71=0,Data!H425*Data!$J$271,CP!I71/CP!E71)</f>
        <v>0.02</v>
      </c>
      <c r="J95" s="109">
        <f t="shared" si="84"/>
        <v>0</v>
      </c>
      <c r="K95" s="36">
        <f t="shared" si="82"/>
        <v>6.7999999999999996E-3</v>
      </c>
      <c r="L95" s="109">
        <f t="shared" si="85"/>
        <v>0</v>
      </c>
      <c r="M95" s="109">
        <f t="shared" si="86"/>
        <v>0</v>
      </c>
      <c r="N95" s="34"/>
      <c r="O95" s="34"/>
      <c r="P95" s="34"/>
      <c r="Q95" s="34"/>
      <c r="R95" s="34"/>
      <c r="S95" s="34"/>
      <c r="T95" s="34"/>
      <c r="U95" s="34"/>
      <c r="V95" s="34"/>
      <c r="W95" s="34"/>
    </row>
    <row r="96" spans="1:23" x14ac:dyDescent="0.3">
      <c r="A96" s="6" t="str">
        <f>Data!A426</f>
        <v>Grain Roller</v>
      </c>
      <c r="B96" s="163">
        <f>Data!B426</f>
        <v>0</v>
      </c>
      <c r="C96" s="34" t="str">
        <f>Data!C426</f>
        <v>roller</v>
      </c>
      <c r="D96" s="109">
        <f>Data!D426*Data!$AN$16*C92</f>
        <v>0</v>
      </c>
      <c r="E96" s="109">
        <f>D96*B96</f>
        <v>0</v>
      </c>
      <c r="F96" s="109">
        <f>Data!I426*E96</f>
        <v>0</v>
      </c>
      <c r="G96" s="60">
        <f>Data!F426</f>
        <v>10</v>
      </c>
      <c r="H96" s="109">
        <f t="shared" ref="H96:H100" si="87">(E96*(_int_inv_*(1+_int_inv_)^G96)/((1+_int_inv_)^G96-1))-(F96*_int_inv_/((1+_int_inv_)^G96-1))</f>
        <v>0</v>
      </c>
      <c r="I96" s="36">
        <f>Data!H426*Data!$J$271</f>
        <v>0.02</v>
      </c>
      <c r="J96" s="109">
        <f>E96*I96</f>
        <v>0</v>
      </c>
      <c r="K96" s="36">
        <f t="shared" si="82"/>
        <v>6.7999999999999996E-3</v>
      </c>
      <c r="L96" s="109">
        <f>E96*K96</f>
        <v>0</v>
      </c>
      <c r="M96" s="109">
        <f>H96+J96+L96</f>
        <v>0</v>
      </c>
      <c r="N96" s="34"/>
      <c r="O96" s="34"/>
      <c r="P96" s="34"/>
      <c r="Q96" s="34"/>
      <c r="R96" s="34"/>
      <c r="S96" s="34"/>
      <c r="T96" s="34"/>
      <c r="U96" s="34"/>
      <c r="V96" s="34"/>
      <c r="W96" s="34"/>
    </row>
    <row r="97" spans="1:23" x14ac:dyDescent="0.3">
      <c r="A97" s="664" t="str">
        <f>Data!A455</f>
        <v>Grain Dryer (Winter Wheat) - SMALL SIZE</v>
      </c>
      <c r="B97" s="649">
        <f>Data!B455</f>
        <v>0</v>
      </c>
      <c r="C97" s="34" t="str">
        <f>Data!C449</f>
        <v>dryer</v>
      </c>
      <c r="D97" s="109">
        <f>Data!D449*Data!$D$16*$C$92*CP!$H$5</f>
        <v>0</v>
      </c>
      <c r="E97" s="109">
        <f>D97*B97</f>
        <v>0</v>
      </c>
      <c r="F97" s="109">
        <f>IF(CP!K72=0,Data!I449*E97,CP!K72*B97)</f>
        <v>0</v>
      </c>
      <c r="G97" s="60">
        <f>IF(CP!G72=0,Data!F449,CP!G72)</f>
        <v>10</v>
      </c>
      <c r="H97" s="109">
        <f t="shared" si="87"/>
        <v>0</v>
      </c>
      <c r="I97" s="675">
        <f>IF(CP!I72=0,Data!H449*Data!$J$271,CP!I72/CP!E72)</f>
        <v>0.02</v>
      </c>
      <c r="J97" s="109">
        <f>E97*I97</f>
        <v>0</v>
      </c>
      <c r="K97" s="36">
        <f t="shared" si="82"/>
        <v>6.7999999999999996E-3</v>
      </c>
      <c r="L97" s="109">
        <f>E97*K97</f>
        <v>0</v>
      </c>
      <c r="M97" s="109">
        <f>H97+J97+L97</f>
        <v>0</v>
      </c>
      <c r="N97" s="34"/>
      <c r="O97" s="34"/>
      <c r="P97" s="34"/>
      <c r="Q97" s="34"/>
      <c r="R97" s="34"/>
      <c r="S97" s="34"/>
      <c r="T97" s="34"/>
      <c r="U97" s="34"/>
      <c r="V97" s="34"/>
      <c r="W97" s="34"/>
    </row>
    <row r="98" spans="1:23" x14ac:dyDescent="0.3">
      <c r="A98" s="664" t="str">
        <f>Data!A456</f>
        <v>Grain Dryer (Winter Wheat) - MEDIUM SIZE</v>
      </c>
      <c r="B98" s="649">
        <f>Data!B456</f>
        <v>0</v>
      </c>
      <c r="C98" s="34" t="str">
        <f>Data!C450</f>
        <v>dryer</v>
      </c>
      <c r="D98" s="109">
        <f>Data!D450*Data!$D$16*$C$92</f>
        <v>0</v>
      </c>
      <c r="E98" s="109">
        <f>D98*B98</f>
        <v>0</v>
      </c>
      <c r="F98" s="109">
        <f>IF(CP!K73=0,Data!I450*E98,CP!K73*B98)</f>
        <v>0</v>
      </c>
      <c r="G98" s="60">
        <f>IF(CP!G73=0,Data!F450,CP!G73)</f>
        <v>10</v>
      </c>
      <c r="H98" s="109">
        <f t="shared" si="87"/>
        <v>0</v>
      </c>
      <c r="I98" s="675">
        <f>IF(CP!I73=0,Data!H450*Data!$J$271,CP!I73/CP!E73)</f>
        <v>0.02</v>
      </c>
      <c r="J98" s="109">
        <f>E98*I98</f>
        <v>0</v>
      </c>
      <c r="K98" s="36">
        <f t="shared" si="82"/>
        <v>6.7999999999999996E-3</v>
      </c>
      <c r="L98" s="109">
        <f>E98*K98</f>
        <v>0</v>
      </c>
      <c r="M98" s="109">
        <f>H98+J98+L98</f>
        <v>0</v>
      </c>
      <c r="N98" s="34"/>
      <c r="O98" s="34"/>
      <c r="P98" s="34"/>
      <c r="Q98" s="34"/>
      <c r="R98" s="34"/>
      <c r="S98" s="34"/>
      <c r="T98" s="34"/>
      <c r="U98" s="34"/>
      <c r="V98" s="34"/>
      <c r="W98" s="34"/>
    </row>
    <row r="99" spans="1:23" x14ac:dyDescent="0.3">
      <c r="A99" s="664" t="str">
        <f>Data!A457</f>
        <v>Grain Dryer (Winter Wheat) - LARGE SIZE</v>
      </c>
      <c r="B99" s="649">
        <f>Data!B457</f>
        <v>0</v>
      </c>
      <c r="C99" s="34" t="str">
        <f>Data!C451</f>
        <v>dryer</v>
      </c>
      <c r="D99" s="109">
        <f>Data!D451*Data!$D$16*$C$92</f>
        <v>0</v>
      </c>
      <c r="E99" s="109">
        <f>D99*B99</f>
        <v>0</v>
      </c>
      <c r="F99" s="109">
        <f>IF(CP!K74=0,Data!I451*E99,CP!K74*B99)</f>
        <v>0</v>
      </c>
      <c r="G99" s="60">
        <f>IF(CP!G74=0,Data!F451,CP!G74)</f>
        <v>10</v>
      </c>
      <c r="H99" s="109">
        <f t="shared" si="87"/>
        <v>0</v>
      </c>
      <c r="I99" s="675">
        <f>IF(CP!I74=0,Data!H451*Data!$J$271,CP!I74/CP!E74)</f>
        <v>0.02</v>
      </c>
      <c r="J99" s="109">
        <f>E99*I99</f>
        <v>0</v>
      </c>
      <c r="K99" s="36">
        <f t="shared" si="82"/>
        <v>6.7999999999999996E-3</v>
      </c>
      <c r="L99" s="109">
        <f>E99*K99</f>
        <v>0</v>
      </c>
      <c r="M99" s="109">
        <f>H99+J99+L99</f>
        <v>0</v>
      </c>
      <c r="N99" s="34"/>
      <c r="O99" s="34"/>
      <c r="P99" s="34"/>
      <c r="Q99" s="34"/>
      <c r="R99" s="34"/>
      <c r="S99" s="34"/>
      <c r="T99" s="34"/>
      <c r="U99" s="34"/>
      <c r="V99" s="34"/>
      <c r="W99" s="34"/>
    </row>
    <row r="100" spans="1:23" x14ac:dyDescent="0.3">
      <c r="A100" s="664" t="str">
        <f>Data!A458</f>
        <v>Grain Bags (Winter Wheat) - SMALL SIZE</v>
      </c>
      <c r="B100" s="974">
        <f>Data!B458</f>
        <v>0</v>
      </c>
      <c r="C100" s="34" t="str">
        <f>Data!C452</f>
        <v>grain bag</v>
      </c>
      <c r="D100" s="109">
        <f>Data!D452*Data!$D$16*C92</f>
        <v>0</v>
      </c>
      <c r="E100" s="109">
        <f>D100*B100</f>
        <v>0</v>
      </c>
      <c r="F100" s="109">
        <f>IF(CP!K75=0,Data!I452*E100,CP!K75*B100)</f>
        <v>0</v>
      </c>
      <c r="G100" s="60">
        <f>IF(CP!$G$75=0,Data!$F$452,CP!$G$75)</f>
        <v>5</v>
      </c>
      <c r="H100" s="109">
        <f t="shared" si="87"/>
        <v>0</v>
      </c>
      <c r="I100" s="675">
        <f>IF(CP!I75=0,Data!H452*Data!$J$271,CP!I75/CP!E75)</f>
        <v>0</v>
      </c>
      <c r="J100" s="109">
        <f>E100*I100</f>
        <v>0</v>
      </c>
      <c r="K100" s="36">
        <f t="shared" si="82"/>
        <v>6.7999999999999996E-3</v>
      </c>
      <c r="L100" s="109">
        <f>E100*K100</f>
        <v>0</v>
      </c>
      <c r="M100" s="109">
        <f>H100+J100+L100</f>
        <v>0</v>
      </c>
      <c r="N100" s="34"/>
      <c r="O100" s="34"/>
      <c r="P100" s="34"/>
      <c r="Q100" s="34"/>
      <c r="R100" s="34"/>
      <c r="S100" s="34"/>
      <c r="T100" s="34"/>
      <c r="U100" s="34"/>
      <c r="V100" s="34"/>
      <c r="W100" s="34"/>
    </row>
    <row r="101" spans="1:23" x14ac:dyDescent="0.3">
      <c r="A101" s="664" t="str">
        <f>Data!A459</f>
        <v>Grain Bin (Winter Wheat) - MEDIUM SIZE</v>
      </c>
      <c r="B101" s="974">
        <f>Data!B459</f>
        <v>1</v>
      </c>
      <c r="C101" s="34" t="str">
        <f>Data!C453</f>
        <v>crop storage</v>
      </c>
      <c r="D101" s="109">
        <f>Data!D453*Data!$D$16*C92</f>
        <v>0</v>
      </c>
      <c r="E101" s="109">
        <f t="shared" ref="E101:E102" si="88">D101*B101</f>
        <v>0</v>
      </c>
      <c r="F101" s="109">
        <f>IF(CP!K76=0,Data!I453*E101,CP!K76*B101)</f>
        <v>0</v>
      </c>
      <c r="G101" s="60">
        <f>IF(CP!$G$76=0,Data!$F$453,CP!$G$76)</f>
        <v>33</v>
      </c>
      <c r="H101" s="109">
        <f>(E101*(_int_inv_m*(1+_int_inv_m)^G101)/((1+_int_inv_m)^G101-1))-(F101*_int_inv_m/((1+_int_inv_m)^G101-1))</f>
        <v>0</v>
      </c>
      <c r="I101" s="675">
        <f>IF(CP!I76=0,Data!H453*Data!$J$271,CP!I76/CP!E76)</f>
        <v>0.01</v>
      </c>
      <c r="J101" s="109">
        <f t="shared" ref="J101:J102" si="89">E101*I101</f>
        <v>0</v>
      </c>
      <c r="K101" s="36">
        <f t="shared" si="82"/>
        <v>6.7999999999999996E-3</v>
      </c>
      <c r="L101" s="109">
        <f t="shared" ref="L101:L102" si="90">E101*K101</f>
        <v>0</v>
      </c>
      <c r="M101" s="109">
        <f t="shared" ref="M101:M102" si="91">H101+J101+L101</f>
        <v>0</v>
      </c>
      <c r="N101" s="34"/>
      <c r="O101" s="34"/>
      <c r="P101" s="34"/>
      <c r="Q101" s="34"/>
      <c r="R101" s="34"/>
      <c r="S101" s="34"/>
      <c r="T101" s="34"/>
      <c r="U101" s="34"/>
      <c r="V101" s="34"/>
      <c r="W101" s="34"/>
    </row>
    <row r="102" spans="1:23" x14ac:dyDescent="0.3">
      <c r="A102" s="664" t="str">
        <f>Data!A460</f>
        <v>Grain Bin (Winter Wheat) - LARGE SIZE</v>
      </c>
      <c r="B102" s="974">
        <f>Data!B460</f>
        <v>0</v>
      </c>
      <c r="C102" s="34" t="str">
        <f>Data!C454</f>
        <v>crop storage</v>
      </c>
      <c r="D102" s="109">
        <f>Data!D454*Data!$D$16*C92</f>
        <v>0</v>
      </c>
      <c r="E102" s="109">
        <f t="shared" si="88"/>
        <v>0</v>
      </c>
      <c r="F102" s="109">
        <f>IF(CP!K77=0,Data!I454*E102,CP!K77*B102)</f>
        <v>0</v>
      </c>
      <c r="G102" s="60">
        <f>IF(CP!$G$77=0,Data!$F$454,CP!$G$77)</f>
        <v>33</v>
      </c>
      <c r="H102" s="109">
        <f>(E102*(_int_inv_l*(1+_int_inv_l)^G102)/((1+_int_inv_l)^G102-1))-(F102*_int_inv_l/((1+_int_inv_l)^G102-1))</f>
        <v>0</v>
      </c>
      <c r="I102" s="675">
        <f>IF(CP!I77=0,Data!H454*Data!$J$271,CP!I77/CP!E77)</f>
        <v>0.01</v>
      </c>
      <c r="J102" s="109">
        <f t="shared" si="89"/>
        <v>0</v>
      </c>
      <c r="K102" s="36">
        <f t="shared" si="82"/>
        <v>6.7999999999999996E-3</v>
      </c>
      <c r="L102" s="109">
        <f t="shared" si="90"/>
        <v>0</v>
      </c>
      <c r="M102" s="109">
        <f t="shared" si="91"/>
        <v>0</v>
      </c>
      <c r="N102" s="34"/>
      <c r="O102" s="34"/>
      <c r="P102" s="34"/>
      <c r="Q102" s="34"/>
      <c r="R102" s="34"/>
      <c r="S102" s="34"/>
      <c r="T102" s="34"/>
      <c r="U102" s="34"/>
      <c r="V102" s="34"/>
      <c r="W102" s="34"/>
    </row>
    <row r="103" spans="1:23" x14ac:dyDescent="0.3">
      <c r="A103" s="6"/>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IF(Data!$C$39=1,Data!B92,0)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IF(Data!$C$40=1,Data!B92,0)</f>
        <v>0</v>
      </c>
      <c r="C106" s="868" t="str">
        <f>Data!H51</f>
        <v>acre(s)</v>
      </c>
      <c r="D106" s="109">
        <f>Data!$F$61</f>
        <v>1000</v>
      </c>
      <c r="E106" s="109">
        <f t="shared" ref="E106:E107" si="92">D106*B106</f>
        <v>0</v>
      </c>
      <c r="F106" s="864" t="s">
        <v>45</v>
      </c>
      <c r="G106" s="865" t="s">
        <v>45</v>
      </c>
      <c r="H106" s="109">
        <f>E106*_int_inv_m</f>
        <v>0</v>
      </c>
      <c r="I106" s="1307">
        <f>Data!$H$61*Data!$J$271</f>
        <v>0.01</v>
      </c>
      <c r="J106" s="109">
        <f t="shared" ref="J106:J107" si="93">E106*I106</f>
        <v>0</v>
      </c>
      <c r="K106" s="36">
        <f>_tax_ins_</f>
        <v>6.7999999999999996E-3</v>
      </c>
      <c r="L106" s="109">
        <f t="shared" ref="L106:L107" si="94">E106*K106</f>
        <v>0</v>
      </c>
      <c r="M106" s="109">
        <f t="shared" ref="M106:M107" si="95">H106+J106+L106</f>
        <v>0</v>
      </c>
      <c r="N106" s="34"/>
      <c r="O106" s="34"/>
      <c r="P106" s="34"/>
      <c r="Q106" s="34"/>
      <c r="R106" s="34"/>
      <c r="S106" s="34"/>
      <c r="T106" s="34"/>
      <c r="U106" s="34"/>
      <c r="V106" s="34"/>
      <c r="W106" s="34"/>
    </row>
    <row r="107" spans="1:23" x14ac:dyDescent="0.3">
      <c r="A107" s="664" t="str">
        <f>Data!A46</f>
        <v>Interest for investment (Large model)</v>
      </c>
      <c r="B107" s="33">
        <f>IF(Data!$C$41=1,Data!B92,0)</f>
        <v>0</v>
      </c>
      <c r="C107" s="868" t="str">
        <f>Data!H51</f>
        <v>acre(s)</v>
      </c>
      <c r="D107" s="109">
        <f>Data!$F$61</f>
        <v>1000</v>
      </c>
      <c r="E107" s="109">
        <f t="shared" si="92"/>
        <v>0</v>
      </c>
      <c r="F107" s="864" t="s">
        <v>45</v>
      </c>
      <c r="G107" s="865" t="s">
        <v>45</v>
      </c>
      <c r="H107" s="109">
        <f>E107*_int_inv_l</f>
        <v>0</v>
      </c>
      <c r="I107" s="1307">
        <f>Data!$H$61*Data!$J$271</f>
        <v>0.01</v>
      </c>
      <c r="J107" s="109">
        <f t="shared" si="93"/>
        <v>0</v>
      </c>
      <c r="K107" s="36">
        <f>_tax_ins_</f>
        <v>6.7999999999999996E-3</v>
      </c>
      <c r="L107" s="109">
        <f t="shared" si="94"/>
        <v>0</v>
      </c>
      <c r="M107" s="109">
        <f t="shared" si="95"/>
        <v>0</v>
      </c>
      <c r="N107" s="34"/>
      <c r="O107" s="34"/>
      <c r="P107" s="34"/>
      <c r="Q107" s="34"/>
      <c r="R107" s="34"/>
      <c r="S107" s="34"/>
      <c r="T107" s="34"/>
      <c r="U107" s="34"/>
      <c r="V107" s="34"/>
      <c r="W107" s="34"/>
    </row>
    <row r="108" spans="1:23" x14ac:dyDescent="0.3">
      <c r="A108" s="9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863"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Data!D495*Data!$H$16</f>
        <v>0</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Data!D496*Data!$H$16</f>
        <v>0</v>
      </c>
      <c r="E111" s="109">
        <f t="shared" ref="E111:E112" si="96">D111*B111</f>
        <v>0</v>
      </c>
      <c r="F111" s="109">
        <f>IF(CP!K80=0,Data!I496*E111,CP!K80*B111)</f>
        <v>0</v>
      </c>
      <c r="G111" s="34">
        <f>IF(CP!$G$80=0,Data!$F$496,CP!$G$80)</f>
        <v>33</v>
      </c>
      <c r="H111" s="109">
        <f>(E111*(_int_inv_m*(1+_int_inv_m)^G111)/((1+_int_inv_m)^G111-1))-(F111*_int_inv_m/((1+_int_inv_m)^G111-1))</f>
        <v>0</v>
      </c>
      <c r="I111" s="675">
        <f>IF(CP!I80=0,Data!H496*Data!$J$271,CP!I80/CP!E80)</f>
        <v>0.01</v>
      </c>
      <c r="J111" s="109">
        <f t="shared" ref="J111:J112" si="97">E111*I111</f>
        <v>0</v>
      </c>
      <c r="K111" s="36">
        <f>_tax_ins_</f>
        <v>6.7999999999999996E-3</v>
      </c>
      <c r="L111" s="109">
        <f t="shared" ref="L111:L112" si="98">E111*K111</f>
        <v>0</v>
      </c>
      <c r="M111" s="109">
        <f t="shared" ref="M111:M112" si="99">H111+J111+L111</f>
        <v>0</v>
      </c>
    </row>
    <row r="112" spans="1:23" x14ac:dyDescent="0.3">
      <c r="A112" s="664" t="str">
        <f>Data!A497</f>
        <v>Shop/Loading Shed - LARGE SIZE</v>
      </c>
      <c r="B112" s="33">
        <f>Data!B497</f>
        <v>0</v>
      </c>
      <c r="C112" s="34" t="str">
        <f>Data!C497</f>
        <v>building</v>
      </c>
      <c r="D112" s="109">
        <f>Data!D497*Data!$H$16</f>
        <v>0</v>
      </c>
      <c r="E112" s="109">
        <f t="shared" si="96"/>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7"/>
        <v>0</v>
      </c>
      <c r="K112" s="36">
        <f>_tax_ins_</f>
        <v>6.7999999999999996E-3</v>
      </c>
      <c r="L112" s="109">
        <f t="shared" si="98"/>
        <v>0</v>
      </c>
      <c r="M112" s="109">
        <f t="shared" si="99"/>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0</v>
      </c>
      <c r="F121" s="109">
        <f>SUM(F7:F119)</f>
        <v>0</v>
      </c>
      <c r="G121" s="34"/>
      <c r="H121" s="109">
        <f>SUM(H7:H119)</f>
        <v>0</v>
      </c>
      <c r="I121" s="35"/>
      <c r="J121" s="109">
        <f>SUM(J7:J119)</f>
        <v>0</v>
      </c>
      <c r="K121" s="35"/>
      <c r="L121" s="109">
        <f>SUM(L7:L119)</f>
        <v>0</v>
      </c>
      <c r="M121" s="109">
        <f>SUM(M7:M119)</f>
        <v>0</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1974</v>
      </c>
      <c r="E125" s="109">
        <f>SUM(E7:E103)</f>
        <v>0</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1975</v>
      </c>
      <c r="E126" s="109">
        <f>SUM(E105:E108)</f>
        <v>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1976</v>
      </c>
      <c r="E127" s="111">
        <f>SUM(E110:E116)</f>
        <v>0</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1977</v>
      </c>
      <c r="E128" s="109">
        <f>SUM(E125:E127)</f>
        <v>0</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1"/>
  <sheetViews>
    <sheetView workbookViewId="0">
      <pane ySplit="7" topLeftCell="A10" activePane="bottomLeft" state="frozen"/>
      <selection pane="bottomLeft" activeCell="J28" sqref="J28"/>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10.36328125" style="17" customWidth="1"/>
    <col min="16" max="16" width="9.08984375" style="17"/>
    <col min="17" max="17" width="6.90625" style="17" customWidth="1"/>
    <col min="18" max="18" width="7.36328125" style="17" customWidth="1"/>
    <col min="19" max="19" width="7.54296875" style="17" customWidth="1"/>
    <col min="20" max="16384" width="9.08984375" style="17"/>
  </cols>
  <sheetData>
    <row r="1" spans="1:12" x14ac:dyDescent="0.3">
      <c r="A1" s="61" t="s">
        <v>146</v>
      </c>
      <c r="B1" s="17" t="str">
        <f>model</f>
        <v>ME Grain &amp; Pulse</v>
      </c>
      <c r="E1" s="598" t="s">
        <v>106</v>
      </c>
      <c r="F1" s="55" t="s">
        <v>182</v>
      </c>
      <c r="G1" s="55" t="s">
        <v>108</v>
      </c>
    </row>
    <row r="2" spans="1:12" x14ac:dyDescent="0.3">
      <c r="A2" s="61"/>
      <c r="E2" s="598" t="s">
        <v>104</v>
      </c>
      <c r="F2" s="26">
        <f>Data!B132</f>
        <v>282.5</v>
      </c>
      <c r="G2" s="24">
        <f>F2/$F$4</f>
        <v>1</v>
      </c>
    </row>
    <row r="3" spans="1:12" x14ac:dyDescent="0.3">
      <c r="E3" s="598" t="s">
        <v>571</v>
      </c>
      <c r="F3" s="76">
        <f>(Data!B212*Data!K63)/100</f>
        <v>0</v>
      </c>
      <c r="G3" s="57">
        <f>F3/$F$4</f>
        <v>0</v>
      </c>
    </row>
    <row r="4" spans="1:12" x14ac:dyDescent="0.3">
      <c r="A4" s="7" t="s">
        <v>1184</v>
      </c>
      <c r="B4" s="8" t="s">
        <v>92</v>
      </c>
      <c r="C4" s="65">
        <f>triticale</f>
        <v>0</v>
      </c>
      <c r="D4" s="4" t="s">
        <v>93</v>
      </c>
      <c r="F4" s="26">
        <f>SUM(F2:F3)</f>
        <v>282.5</v>
      </c>
      <c r="G4" s="24">
        <f>SUM(G2:G3)</f>
        <v>1</v>
      </c>
    </row>
    <row r="6" spans="1:12" ht="13.5" x14ac:dyDescent="0.35">
      <c r="A6" s="5" t="s">
        <v>0</v>
      </c>
      <c r="B6" s="5"/>
    </row>
    <row r="7" spans="1:12" s="27" customFormat="1" ht="25.5" customHeight="1" x14ac:dyDescent="0.3">
      <c r="A7" s="41"/>
      <c r="B7" s="391" t="s">
        <v>919</v>
      </c>
      <c r="C7" s="42" t="s">
        <v>21</v>
      </c>
      <c r="D7" s="42" t="s">
        <v>22</v>
      </c>
      <c r="E7" s="646" t="s">
        <v>900</v>
      </c>
      <c r="F7" s="42" t="s">
        <v>23</v>
      </c>
      <c r="G7" s="42" t="s">
        <v>24</v>
      </c>
      <c r="H7" s="42" t="s">
        <v>65</v>
      </c>
    </row>
    <row r="8" spans="1:12" x14ac:dyDescent="0.3">
      <c r="A8" s="3" t="s">
        <v>13</v>
      </c>
      <c r="B8" s="3"/>
    </row>
    <row r="9" spans="1:12" x14ac:dyDescent="0.3">
      <c r="A9" s="638" t="s">
        <v>571</v>
      </c>
      <c r="B9" s="405">
        <f>IF(INPUT!$H$17&gt;0,1,0)</f>
        <v>1</v>
      </c>
      <c r="C9" s="816">
        <f>INPUT!$H$17</f>
        <v>140</v>
      </c>
      <c r="D9" s="34" t="s">
        <v>126</v>
      </c>
      <c r="E9" s="226">
        <f>C9*triticale</f>
        <v>0</v>
      </c>
      <c r="F9" s="371">
        <f>INPUT!$H$18</f>
        <v>0.56000000000000005</v>
      </c>
      <c r="G9" s="114">
        <f>C9*F9</f>
        <v>78.400000000000006</v>
      </c>
      <c r="H9" s="109">
        <f>B9*G9*triticale</f>
        <v>0</v>
      </c>
      <c r="K9" s="904" t="s">
        <v>246</v>
      </c>
      <c r="L9" s="904" t="s">
        <v>577</v>
      </c>
    </row>
    <row r="10" spans="1:12" x14ac:dyDescent="0.3">
      <c r="A10" s="638" t="s">
        <v>125</v>
      </c>
      <c r="B10" s="405">
        <f>IF(INPUT!$H$19="Clover",1,0)</f>
        <v>0</v>
      </c>
      <c r="C10" s="816">
        <f>IF(INPUT!$H$19="Clover",INPUT!$H$21,Tv!K10)</f>
        <v>8</v>
      </c>
      <c r="D10" s="34" t="s">
        <v>126</v>
      </c>
      <c r="E10" s="226">
        <f>C10*triticale</f>
        <v>0</v>
      </c>
      <c r="F10" s="371">
        <f>IF(INPUT!$H$19="Clover",INPUT!$H$22,Tv!L10)</f>
        <v>2.6</v>
      </c>
      <c r="G10" s="114">
        <f>C10*F10</f>
        <v>20.8</v>
      </c>
      <c r="H10" s="109">
        <f>B10*G10*triticale</f>
        <v>0</v>
      </c>
      <c r="K10" s="273">
        <f>8</f>
        <v>8</v>
      </c>
      <c r="L10" s="905">
        <f>130/50</f>
        <v>2.6</v>
      </c>
    </row>
    <row r="11" spans="1:12" x14ac:dyDescent="0.3">
      <c r="A11" s="638" t="s">
        <v>1143</v>
      </c>
      <c r="B11" s="405">
        <f>IF(INPUT!$H$19="Ryegrass",1,0)</f>
        <v>0</v>
      </c>
      <c r="C11" s="816">
        <f>IF(INPUT!$H$19="Ryegrass",INPUT!$H$21,Tv!K11)</f>
        <v>8</v>
      </c>
      <c r="D11" s="34" t="s">
        <v>126</v>
      </c>
      <c r="E11" s="226">
        <f>C11*triticale</f>
        <v>0</v>
      </c>
      <c r="F11" s="371">
        <f>IF(INPUT!$H$19="Ryegrass",INPUT!$H$22,Tv!L11)</f>
        <v>1.4</v>
      </c>
      <c r="G11" s="114">
        <f>C11*F11</f>
        <v>11.2</v>
      </c>
      <c r="H11" s="109">
        <f>B11*G11*triticale</f>
        <v>0</v>
      </c>
      <c r="K11" s="644">
        <v>8</v>
      </c>
      <c r="L11" s="905">
        <f>70/50</f>
        <v>1.4</v>
      </c>
    </row>
    <row r="12" spans="1:12" x14ac:dyDescent="0.3">
      <c r="A12" s="638" t="str">
        <f>IF(INPUT!$H$19="Other",INPUT!H20,"Other")</f>
        <v>Other</v>
      </c>
      <c r="B12" s="405">
        <f>IF(INPUT!$H$19="Other",1,0)</f>
        <v>0</v>
      </c>
      <c r="C12" s="816">
        <f>IF(INPUT!$H$19="Other",INPUT!$H$21,0)</f>
        <v>0</v>
      </c>
      <c r="D12" s="34" t="s">
        <v>126</v>
      </c>
      <c r="E12" s="226">
        <f>C12*triticale</f>
        <v>0</v>
      </c>
      <c r="F12" s="906">
        <f>IF(INPUT!$H$19="Other",INPUT!$H$22,0)</f>
        <v>0</v>
      </c>
      <c r="G12" s="110">
        <f>C12*F12</f>
        <v>0</v>
      </c>
      <c r="H12" s="109">
        <f>B12*G12*triticale</f>
        <v>0</v>
      </c>
      <c r="I12" s="108">
        <f>SUM(H8:H12)</f>
        <v>0</v>
      </c>
    </row>
    <row r="13" spans="1:12" x14ac:dyDescent="0.3">
      <c r="A13" s="3" t="s">
        <v>1</v>
      </c>
      <c r="B13" s="3"/>
      <c r="C13" s="46"/>
      <c r="D13" s="34"/>
      <c r="E13" s="226"/>
      <c r="F13" s="104"/>
      <c r="G13" s="104"/>
      <c r="H13" s="109"/>
      <c r="I13" s="17" t="s">
        <v>1586</v>
      </c>
    </row>
    <row r="14" spans="1:12" x14ac:dyDescent="0.3">
      <c r="A14" s="6" t="s">
        <v>251</v>
      </c>
      <c r="B14" s="397">
        <v>0</v>
      </c>
      <c r="C14" s="278">
        <v>0.125</v>
      </c>
      <c r="D14" s="34" t="s">
        <v>26</v>
      </c>
      <c r="E14" s="226">
        <f t="shared" ref="E14:E19" si="0">C14*triticale</f>
        <v>0</v>
      </c>
      <c r="F14" s="608">
        <v>600</v>
      </c>
      <c r="G14" s="114">
        <f>C14*F14</f>
        <v>75</v>
      </c>
      <c r="H14" s="109">
        <f t="shared" ref="H14:H19" si="1">B14*G14*triticale</f>
        <v>0</v>
      </c>
    </row>
    <row r="15" spans="1:12" x14ac:dyDescent="0.3">
      <c r="A15" s="6" t="s">
        <v>252</v>
      </c>
      <c r="B15" s="397">
        <v>0</v>
      </c>
      <c r="C15" s="359">
        <f>IF(Data!G128=0, 5/2000, 46/2000)</f>
        <v>2.3E-2</v>
      </c>
      <c r="D15" s="34" t="s">
        <v>26</v>
      </c>
      <c r="E15" s="226">
        <f t="shared" si="0"/>
        <v>0</v>
      </c>
      <c r="F15" s="608">
        <v>600</v>
      </c>
      <c r="G15" s="114">
        <f>C15*F15</f>
        <v>13.799999999999999</v>
      </c>
      <c r="H15" s="109">
        <f t="shared" si="1"/>
        <v>0</v>
      </c>
      <c r="I15" s="108"/>
    </row>
    <row r="16" spans="1:12" x14ac:dyDescent="0.3">
      <c r="A16" s="638" t="str">
        <f>IF(INPUT!$H$29="Chicken Manure", "Chicken Manure", "None")</f>
        <v>Chicken Manure</v>
      </c>
      <c r="B16" s="405">
        <f>IF(INPUT!$H$29="Chicken Manure",1,0)</f>
        <v>1</v>
      </c>
      <c r="C16" s="405">
        <f>IF(INPUT!$H$29="Chicken Manure",INPUT!$H$32,0)</f>
        <v>3</v>
      </c>
      <c r="D16" s="34" t="str">
        <f>IF(INPUT!$H$29="Chicken Manure",INPUT!$H$31,"ton")</f>
        <v>ton</v>
      </c>
      <c r="E16" s="226">
        <f t="shared" si="0"/>
        <v>0</v>
      </c>
      <c r="F16" s="901">
        <f>IF(INPUT!$H$29="Chicken Manure",INPUT!$H$33,0)</f>
        <v>35</v>
      </c>
      <c r="G16" s="114">
        <f>C16*F16</f>
        <v>105</v>
      </c>
      <c r="H16" s="109">
        <f t="shared" si="1"/>
        <v>0</v>
      </c>
      <c r="I16" s="108"/>
    </row>
    <row r="17" spans="1:12" x14ac:dyDescent="0.3">
      <c r="A17" s="638" t="str">
        <f>IF(INPUT!$H$29="Chilean Nitrate", "Chilean Nitrate", "None")</f>
        <v>None</v>
      </c>
      <c r="B17" s="405">
        <f>IF(INPUT!$H$29="Chilean Nitrate",1,0)</f>
        <v>0</v>
      </c>
      <c r="C17" s="816">
        <f>IF(INPUT!$H$29="Chilean Nitrate",INPUT!$H$32,0)</f>
        <v>0</v>
      </c>
      <c r="D17" s="34" t="str">
        <f>IF(INPUT!$H$29="Chilean Nitrate",INPUT!$H$31,"lb")</f>
        <v>lb</v>
      </c>
      <c r="E17" s="226">
        <f t="shared" si="0"/>
        <v>0</v>
      </c>
      <c r="F17" s="901">
        <f>IF(INPUT!$H$29="Chilean Nitrate",INPUT!$H$33,0)</f>
        <v>0</v>
      </c>
      <c r="G17" s="110">
        <f>C17*F17</f>
        <v>0</v>
      </c>
      <c r="H17" s="109">
        <f t="shared" si="1"/>
        <v>0</v>
      </c>
    </row>
    <row r="18" spans="1:12" x14ac:dyDescent="0.3">
      <c r="A18" s="638" t="str">
        <f>INPUT!H35</f>
        <v>Chilean Nitrate</v>
      </c>
      <c r="B18" s="405">
        <f>IF(INPUT!$H$35="None",0,1)</f>
        <v>1</v>
      </c>
      <c r="C18" s="816">
        <f>INPUT!$H$38</f>
        <v>0</v>
      </c>
      <c r="D18" s="34" t="str">
        <f>IF(INPUT!$H$35="None","n/a",INPUT!$H$37)</f>
        <v>lb</v>
      </c>
      <c r="E18" s="226">
        <f t="shared" si="0"/>
        <v>0</v>
      </c>
      <c r="F18" s="908">
        <f>INPUT!$H$39</f>
        <v>0.6</v>
      </c>
      <c r="G18" s="114">
        <f t="shared" ref="G18:G19" si="2">C18*F18</f>
        <v>0</v>
      </c>
      <c r="H18" s="109">
        <f t="shared" si="1"/>
        <v>0</v>
      </c>
      <c r="I18" s="108">
        <f>SUM(H13:H18)</f>
        <v>0</v>
      </c>
    </row>
    <row r="19" spans="1:12" x14ac:dyDescent="0.3">
      <c r="A19" s="638" t="s">
        <v>2</v>
      </c>
      <c r="B19" s="405">
        <f>INPUT!$H$41</f>
        <v>0</v>
      </c>
      <c r="C19" s="369">
        <f>INPUT!$H$43/INPUT!$H$44</f>
        <v>0.2</v>
      </c>
      <c r="D19" s="34" t="str">
        <f>INPUT!$H$42</f>
        <v>ton</v>
      </c>
      <c r="E19" s="226">
        <f t="shared" si="0"/>
        <v>0</v>
      </c>
      <c r="F19" s="109">
        <f>INPUT!$H$45</f>
        <v>38.260869565217398</v>
      </c>
      <c r="G19" s="114">
        <f t="shared" si="2"/>
        <v>7.6521739130434803</v>
      </c>
      <c r="H19" s="109">
        <f t="shared" si="1"/>
        <v>0</v>
      </c>
      <c r="I19" s="108">
        <f>SUM(H19:H19)</f>
        <v>0</v>
      </c>
    </row>
    <row r="20" spans="1:12" x14ac:dyDescent="0.3">
      <c r="A20" s="3" t="s">
        <v>1476</v>
      </c>
      <c r="B20" s="3"/>
      <c r="C20" s="46"/>
      <c r="D20" s="34"/>
      <c r="E20" s="226"/>
      <c r="F20" s="104"/>
      <c r="G20" s="104"/>
      <c r="H20" s="109"/>
    </row>
    <row r="21" spans="1:12" x14ac:dyDescent="0.3">
      <c r="A21" s="638" t="s">
        <v>1577</v>
      </c>
      <c r="B21" s="405">
        <f>IF(INPUT!$H$47=1,1,0)</f>
        <v>0</v>
      </c>
      <c r="C21" s="816">
        <f>INPUT!$H$49</f>
        <v>0</v>
      </c>
      <c r="D21" s="34" t="str">
        <f>INPUT!$H$48</f>
        <v>lb</v>
      </c>
      <c r="E21" s="226">
        <f t="shared" ref="E21:E23" si="3">C21*triticale</f>
        <v>0</v>
      </c>
      <c r="F21" s="900">
        <f>INPUT!$H$50</f>
        <v>0</v>
      </c>
      <c r="G21" s="110">
        <f>C21*F21</f>
        <v>0</v>
      </c>
      <c r="H21" s="109">
        <f t="shared" ref="H21:H23" si="4">B21*G21*triticale</f>
        <v>0</v>
      </c>
    </row>
    <row r="22" spans="1:12" x14ac:dyDescent="0.3">
      <c r="A22" s="6" t="s">
        <v>1477</v>
      </c>
      <c r="B22" s="397">
        <v>0</v>
      </c>
      <c r="C22" s="273">
        <v>0</v>
      </c>
      <c r="D22" s="34" t="s">
        <v>220</v>
      </c>
      <c r="E22" s="226">
        <f t="shared" si="3"/>
        <v>0</v>
      </c>
      <c r="F22" s="252">
        <v>0</v>
      </c>
      <c r="G22" s="110">
        <f>C22*F22</f>
        <v>0</v>
      </c>
      <c r="H22" s="109">
        <f t="shared" si="4"/>
        <v>0</v>
      </c>
    </row>
    <row r="23" spans="1:12" x14ac:dyDescent="0.3">
      <c r="A23" s="6" t="s">
        <v>1479</v>
      </c>
      <c r="B23" s="397">
        <v>0</v>
      </c>
      <c r="C23" s="273">
        <v>0</v>
      </c>
      <c r="D23" s="34" t="s">
        <v>220</v>
      </c>
      <c r="E23" s="226">
        <f t="shared" si="3"/>
        <v>0</v>
      </c>
      <c r="F23" s="252">
        <v>0</v>
      </c>
      <c r="G23" s="110">
        <f>C23*F23</f>
        <v>0</v>
      </c>
      <c r="H23" s="109">
        <f t="shared" si="4"/>
        <v>0</v>
      </c>
      <c r="I23" s="108">
        <f>SUM(H20:H23)</f>
        <v>0</v>
      </c>
    </row>
    <row r="24" spans="1:12" x14ac:dyDescent="0.3">
      <c r="A24" s="3" t="s">
        <v>14</v>
      </c>
      <c r="B24" s="3"/>
      <c r="C24" s="46"/>
      <c r="D24" s="34"/>
      <c r="E24" s="226"/>
      <c r="F24" s="104"/>
      <c r="G24" s="114"/>
      <c r="H24" s="109"/>
    </row>
    <row r="25" spans="1:12" x14ac:dyDescent="0.3">
      <c r="A25" s="22" t="s">
        <v>332</v>
      </c>
      <c r="B25" s="22"/>
      <c r="C25" s="46"/>
      <c r="D25" s="34"/>
      <c r="E25" s="226"/>
      <c r="F25" s="104"/>
      <c r="G25" s="114"/>
      <c r="H25" s="109"/>
    </row>
    <row r="26" spans="1:12" x14ac:dyDescent="0.3">
      <c r="A26" s="639" t="s">
        <v>1903</v>
      </c>
      <c r="B26" s="405">
        <f>IF(OS!$R$7="Moldboard Plow",OS!S7,0)</f>
        <v>0</v>
      </c>
      <c r="C26" s="156">
        <f>IF(OSI!$H$8&gt;0,(1/OSI!$H$8),Data!$H$579)</f>
        <v>0.23980815347721804</v>
      </c>
      <c r="D26" s="34" t="s">
        <v>128</v>
      </c>
      <c r="E26" s="226">
        <f t="shared" ref="E26" si="5">C26*triticale</f>
        <v>0</v>
      </c>
      <c r="F26" s="167">
        <f t="shared" ref="F26:F53" si="6">_wage_</f>
        <v>12.29</v>
      </c>
      <c r="G26" s="114">
        <f t="shared" ref="G26" si="7">C26*F26</f>
        <v>2.9472422062350097</v>
      </c>
      <c r="H26" s="109">
        <f t="shared" ref="H26" si="8">B26*G26*triticale</f>
        <v>0</v>
      </c>
    </row>
    <row r="27" spans="1:12" x14ac:dyDescent="0.3">
      <c r="A27" s="639" t="s">
        <v>468</v>
      </c>
      <c r="B27" s="405">
        <f>IF(OS!$R$8="Spr.Sld.Man.",OS!S8,0)</f>
        <v>1</v>
      </c>
      <c r="C27" s="156">
        <f>IF(OSI!$H$9&gt;0,(1/OSI!$H$9),Data!$H$585)</f>
        <v>0.25</v>
      </c>
      <c r="D27" s="34" t="s">
        <v>128</v>
      </c>
      <c r="E27" s="226">
        <f t="shared" ref="E27:E57" si="9">C27*triticale</f>
        <v>0</v>
      </c>
      <c r="F27" s="167">
        <f t="shared" si="6"/>
        <v>12.29</v>
      </c>
      <c r="G27" s="114">
        <f t="shared" ref="G27:G53" si="10">C27*F27</f>
        <v>3.0724999999999998</v>
      </c>
      <c r="H27" s="109">
        <f t="shared" ref="H27:H43" si="11">B27*G27*triticale</f>
        <v>0</v>
      </c>
    </row>
    <row r="28" spans="1:12" x14ac:dyDescent="0.3">
      <c r="A28" s="640" t="s">
        <v>1427</v>
      </c>
      <c r="B28" s="405">
        <f>IF(OS!$R$9="Chisel Plow",OS!S9,0)</f>
        <v>1</v>
      </c>
      <c r="C28" s="156">
        <f>IF(OSI!$H$10&gt;0,(1/OSI!$H$10),Data!$H$580)</f>
        <v>0.11764705882352899</v>
      </c>
      <c r="D28" s="34" t="s">
        <v>128</v>
      </c>
      <c r="E28" s="226">
        <f t="shared" si="9"/>
        <v>0</v>
      </c>
      <c r="F28" s="104">
        <f t="shared" si="6"/>
        <v>12.29</v>
      </c>
      <c r="G28" s="114">
        <f t="shared" si="10"/>
        <v>1.4458823529411713</v>
      </c>
      <c r="H28" s="109">
        <f t="shared" si="11"/>
        <v>0</v>
      </c>
      <c r="K28" s="55"/>
      <c r="L28" s="55"/>
    </row>
    <row r="29" spans="1:12" x14ac:dyDescent="0.3">
      <c r="A29" s="638" t="s">
        <v>485</v>
      </c>
      <c r="B29" s="405">
        <f>IF(OS!$R$10="Disk Harrow",OS!S10,0)</f>
        <v>1</v>
      </c>
      <c r="C29" s="645">
        <f>IF(OSI!$H$11&gt;0,(1/OSI!$H$11),Data!$H$581)</f>
        <v>8.1833060556464804E-2</v>
      </c>
      <c r="D29" s="34" t="s">
        <v>128</v>
      </c>
      <c r="E29" s="226">
        <f t="shared" si="9"/>
        <v>0</v>
      </c>
      <c r="F29" s="104">
        <f t="shared" si="6"/>
        <v>12.29</v>
      </c>
      <c r="G29" s="114">
        <f t="shared" si="10"/>
        <v>1.0057283142389524</v>
      </c>
      <c r="H29" s="109">
        <f t="shared" si="11"/>
        <v>0</v>
      </c>
      <c r="K29" s="55"/>
      <c r="L29" s="55"/>
    </row>
    <row r="30" spans="1:12" x14ac:dyDescent="0.3">
      <c r="A30" s="22" t="s">
        <v>315</v>
      </c>
      <c r="B30" s="397">
        <v>0</v>
      </c>
      <c r="C30" s="156">
        <f>Data!H582</f>
        <v>0.48</v>
      </c>
      <c r="D30" s="34" t="s">
        <v>128</v>
      </c>
      <c r="E30" s="226">
        <f t="shared" si="9"/>
        <v>0</v>
      </c>
      <c r="F30" s="104">
        <f t="shared" si="6"/>
        <v>12.29</v>
      </c>
      <c r="G30" s="114">
        <f t="shared" si="10"/>
        <v>5.8991999999999996</v>
      </c>
      <c r="H30" s="109">
        <f t="shared" si="11"/>
        <v>0</v>
      </c>
      <c r="K30" s="55"/>
      <c r="L30" s="55"/>
    </row>
    <row r="31" spans="1:12" x14ac:dyDescent="0.3">
      <c r="A31" s="22" t="s">
        <v>581</v>
      </c>
      <c r="B31" s="397">
        <v>0</v>
      </c>
      <c r="C31" s="156">
        <f>Data!H583</f>
        <v>9.2929292929292931E-2</v>
      </c>
      <c r="D31" s="34" t="s">
        <v>128</v>
      </c>
      <c r="E31" s="226">
        <f t="shared" si="9"/>
        <v>0</v>
      </c>
      <c r="F31" s="104">
        <f t="shared" si="6"/>
        <v>12.29</v>
      </c>
      <c r="G31" s="114">
        <f t="shared" si="10"/>
        <v>1.1421010101010101</v>
      </c>
      <c r="H31" s="109">
        <f t="shared" si="11"/>
        <v>0</v>
      </c>
      <c r="K31" s="55"/>
      <c r="L31" s="55"/>
    </row>
    <row r="32" spans="1:12" x14ac:dyDescent="0.3">
      <c r="A32" s="22" t="s">
        <v>322</v>
      </c>
      <c r="B32" s="397">
        <v>0</v>
      </c>
      <c r="C32" s="273">
        <f>0</f>
        <v>0</v>
      </c>
      <c r="D32" s="34" t="s">
        <v>128</v>
      </c>
      <c r="E32" s="226">
        <f t="shared" si="9"/>
        <v>0</v>
      </c>
      <c r="F32" s="104">
        <f t="shared" si="6"/>
        <v>12.29</v>
      </c>
      <c r="G32" s="110">
        <f t="shared" si="10"/>
        <v>0</v>
      </c>
      <c r="H32" s="109">
        <f t="shared" si="11"/>
        <v>0</v>
      </c>
    </row>
    <row r="33" spans="1:12" ht="13.5" thickBot="1" x14ac:dyDescent="0.35">
      <c r="A33" s="639" t="s">
        <v>333</v>
      </c>
      <c r="B33" s="405">
        <f>IF(OS!$R$11="Finish Harrow",OS!S11,0)</f>
        <v>1</v>
      </c>
      <c r="C33" s="645">
        <f>IF(OSI!$H$12&gt;0,(1/OSI!$H$12),Data!$H$589)</f>
        <v>7.7041602465331302E-2</v>
      </c>
      <c r="D33" s="34" t="s">
        <v>128</v>
      </c>
      <c r="E33" s="226">
        <f t="shared" si="9"/>
        <v>0</v>
      </c>
      <c r="F33" s="104">
        <f t="shared" si="6"/>
        <v>12.29</v>
      </c>
      <c r="G33" s="114">
        <f t="shared" si="10"/>
        <v>0.94684129429892161</v>
      </c>
      <c r="H33" s="109">
        <f t="shared" si="11"/>
        <v>0</v>
      </c>
      <c r="I33" s="216" t="s">
        <v>2166</v>
      </c>
      <c r="K33" s="914" t="s">
        <v>1627</v>
      </c>
      <c r="L33" s="55"/>
    </row>
    <row r="34" spans="1:12" ht="13.5" thickBot="1" x14ac:dyDescent="0.35">
      <c r="A34" s="639" t="s">
        <v>334</v>
      </c>
      <c r="B34" s="405">
        <f>IF(OS!$R$12="Grain Drill",OS!S12,0)</f>
        <v>1</v>
      </c>
      <c r="C34" s="156">
        <f>IF(OSI!$H$13&gt;0,(1/OSI!$H$14),Data!$H$594)</f>
        <v>7.7041602465331302E-2</v>
      </c>
      <c r="D34" s="34" t="s">
        <v>128</v>
      </c>
      <c r="E34" s="226">
        <f t="shared" si="9"/>
        <v>0</v>
      </c>
      <c r="F34" s="104">
        <f t="shared" si="6"/>
        <v>12.29</v>
      </c>
      <c r="G34" s="114">
        <f t="shared" si="10"/>
        <v>0.94684129429892161</v>
      </c>
      <c r="H34" s="109">
        <f t="shared" si="11"/>
        <v>0</v>
      </c>
      <c r="I34" s="216" t="s">
        <v>1627</v>
      </c>
      <c r="K34" s="56" t="s">
        <v>1630</v>
      </c>
      <c r="L34" s="913" t="s">
        <v>1625</v>
      </c>
    </row>
    <row r="35" spans="1:12" ht="13.5" thickBot="1" x14ac:dyDescent="0.35">
      <c r="A35" s="639" t="s">
        <v>2218</v>
      </c>
      <c r="B35" s="405">
        <f>IF(OS!$R$13="Tine Harrow",OS!S13,0)</f>
        <v>0</v>
      </c>
      <c r="C35" s="645">
        <f>IF(OSI!$H$14&gt;0,(1/OSI!$H$14),Data!$H$591)</f>
        <v>7.7041602465331302E-2</v>
      </c>
      <c r="D35" s="34" t="s">
        <v>128</v>
      </c>
      <c r="E35" s="226">
        <f t="shared" si="9"/>
        <v>0</v>
      </c>
      <c r="F35" s="167">
        <f t="shared" si="6"/>
        <v>12.29</v>
      </c>
      <c r="G35" s="114">
        <f t="shared" si="10"/>
        <v>0.94684129429892161</v>
      </c>
      <c r="H35" s="109">
        <f t="shared" si="11"/>
        <v>0</v>
      </c>
      <c r="I35" s="643">
        <v>2</v>
      </c>
      <c r="J35" s="668" t="s">
        <v>2217</v>
      </c>
      <c r="K35" s="55">
        <f>IF(OS!$R$13="None",0,1)</f>
        <v>0</v>
      </c>
      <c r="L35" s="1331">
        <f>OS!S13</f>
        <v>0</v>
      </c>
    </row>
    <row r="36" spans="1:12" ht="13.5" thickBot="1" x14ac:dyDescent="0.35">
      <c r="A36" s="639" t="s">
        <v>340</v>
      </c>
      <c r="B36" s="405">
        <f>IF(OS!$R$14="Cultivate",OS!S14,0)</f>
        <v>0</v>
      </c>
      <c r="C36" s="645">
        <f>IF(OSI!$H$15&gt;0,(1/OSI!$H$15),Data!$H$606)</f>
        <v>6.4724919093851099E-2</v>
      </c>
      <c r="D36" s="34" t="s">
        <v>128</v>
      </c>
      <c r="E36" s="226">
        <f t="shared" si="9"/>
        <v>0</v>
      </c>
      <c r="F36" s="167">
        <f t="shared" si="6"/>
        <v>12.29</v>
      </c>
      <c r="G36" s="114">
        <f t="shared" si="10"/>
        <v>0.79546925566342996</v>
      </c>
      <c r="H36" s="109">
        <f t="shared" si="11"/>
        <v>0</v>
      </c>
      <c r="J36" s="668" t="s">
        <v>1607</v>
      </c>
      <c r="K36" s="55">
        <f>IF(OS!$R$14="None",0,1)</f>
        <v>0</v>
      </c>
      <c r="L36" s="1331">
        <f>OS!S14</f>
        <v>0</v>
      </c>
    </row>
    <row r="37" spans="1:12" x14ac:dyDescent="0.3">
      <c r="A37" s="639" t="s">
        <v>1188</v>
      </c>
      <c r="B37" s="405">
        <f>IF(OS!$R$15="Spr.Chilean N",OS!S15,0)</f>
        <v>0</v>
      </c>
      <c r="C37" s="645">
        <f>IF(OSI!$H$16&gt;0,(1/OSI!$H$16),Data!$H$584)</f>
        <v>9.2929292929292903E-2</v>
      </c>
      <c r="D37" s="34" t="s">
        <v>128</v>
      </c>
      <c r="E37" s="226">
        <f t="shared" si="9"/>
        <v>0</v>
      </c>
      <c r="F37" s="167">
        <f t="shared" si="6"/>
        <v>12.29</v>
      </c>
      <c r="G37" s="114">
        <f t="shared" si="10"/>
        <v>1.1421010101010096</v>
      </c>
      <c r="H37" s="109">
        <f t="shared" si="11"/>
        <v>0</v>
      </c>
      <c r="K37" s="55"/>
      <c r="L37" s="55"/>
    </row>
    <row r="38" spans="1:12" x14ac:dyDescent="0.3">
      <c r="A38" s="22" t="s">
        <v>304</v>
      </c>
      <c r="B38" s="397">
        <v>0</v>
      </c>
      <c r="C38" s="156">
        <f>Data!H599</f>
        <v>0.11851851851851852</v>
      </c>
      <c r="D38" s="34" t="s">
        <v>128</v>
      </c>
      <c r="E38" s="226">
        <f t="shared" si="9"/>
        <v>0</v>
      </c>
      <c r="F38" s="104">
        <f t="shared" si="6"/>
        <v>12.29</v>
      </c>
      <c r="G38" s="114">
        <f t="shared" si="10"/>
        <v>1.4565925925925924</v>
      </c>
      <c r="H38" s="109">
        <f t="shared" si="11"/>
        <v>0</v>
      </c>
      <c r="K38" s="55"/>
      <c r="L38" s="55"/>
    </row>
    <row r="39" spans="1:12" x14ac:dyDescent="0.3">
      <c r="A39" s="639" t="s">
        <v>1628</v>
      </c>
      <c r="B39" s="405">
        <f>IF(OS!$R$16="Spray Fung.",OS!S16,0)</f>
        <v>0</v>
      </c>
      <c r="C39" s="156">
        <f>IF(OSI!$H$17&gt;0,(1/OSI!$H$17),Data!$H$601)</f>
        <v>2.169668040789759E-2</v>
      </c>
      <c r="D39" s="34" t="s">
        <v>128</v>
      </c>
      <c r="E39" s="226">
        <f t="shared" si="9"/>
        <v>0</v>
      </c>
      <c r="F39" s="167">
        <f t="shared" si="6"/>
        <v>12.29</v>
      </c>
      <c r="G39" s="114">
        <f t="shared" si="10"/>
        <v>0.26665220221306135</v>
      </c>
      <c r="H39" s="109">
        <f t="shared" si="11"/>
        <v>0</v>
      </c>
      <c r="K39" s="55"/>
      <c r="L39" s="55"/>
    </row>
    <row r="40" spans="1:12" x14ac:dyDescent="0.3">
      <c r="A40" s="639" t="s">
        <v>1321</v>
      </c>
      <c r="B40" s="405">
        <f>IF(OS!$R$18="Combine",OS!S18,0)</f>
        <v>1</v>
      </c>
      <c r="C40" s="156">
        <f>IF(OSI!$H$19&gt;0,(1/OSI!$H$19),Data!$H$614)</f>
        <v>0.33333333333333298</v>
      </c>
      <c r="D40" s="34" t="s">
        <v>128</v>
      </c>
      <c r="E40" s="226">
        <f t="shared" si="9"/>
        <v>0</v>
      </c>
      <c r="F40" s="104">
        <f t="shared" si="6"/>
        <v>12.29</v>
      </c>
      <c r="G40" s="114">
        <f t="shared" si="10"/>
        <v>4.0966666666666622</v>
      </c>
      <c r="H40" s="109">
        <f t="shared" si="11"/>
        <v>0</v>
      </c>
      <c r="K40" s="55"/>
      <c r="L40" s="55"/>
    </row>
    <row r="41" spans="1:12" x14ac:dyDescent="0.3">
      <c r="A41" s="666" t="s">
        <v>1022</v>
      </c>
      <c r="B41" s="397">
        <v>0</v>
      </c>
      <c r="C41" s="47">
        <f>Data!$H$615*Data!$F$221</f>
        <v>0</v>
      </c>
      <c r="D41" s="48" t="s">
        <v>115</v>
      </c>
      <c r="E41" s="647">
        <f t="shared" si="9"/>
        <v>0</v>
      </c>
      <c r="F41" s="118">
        <f>_wage_</f>
        <v>12.29</v>
      </c>
      <c r="G41" s="465">
        <f>C41*F41</f>
        <v>0</v>
      </c>
      <c r="H41" s="123">
        <f t="shared" si="11"/>
        <v>0</v>
      </c>
      <c r="K41" s="55"/>
      <c r="L41" s="55"/>
    </row>
    <row r="42" spans="1:12" x14ac:dyDescent="0.3">
      <c r="A42" s="639" t="s">
        <v>2086</v>
      </c>
      <c r="B42" s="405">
        <f>IF(OS!$R$19="Truck",OS!S19,0)</f>
        <v>1</v>
      </c>
      <c r="C42" s="156">
        <f>IF(OSI!$H$20&gt;0,(1/OSI!$H$20),Data!$H$634)</f>
        <v>7.7220784787178906E-2</v>
      </c>
      <c r="D42" s="34" t="s">
        <v>128</v>
      </c>
      <c r="E42" s="226">
        <f t="shared" si="9"/>
        <v>0</v>
      </c>
      <c r="F42" s="104">
        <f t="shared" si="6"/>
        <v>12.29</v>
      </c>
      <c r="G42" s="114">
        <f t="shared" si="10"/>
        <v>0.94904344503442872</v>
      </c>
      <c r="H42" s="109">
        <f t="shared" si="11"/>
        <v>0</v>
      </c>
      <c r="K42" s="55"/>
      <c r="L42" s="55"/>
    </row>
    <row r="43" spans="1:12" x14ac:dyDescent="0.3">
      <c r="A43" s="666" t="s">
        <v>1022</v>
      </c>
      <c r="B43" s="405">
        <f>B42</f>
        <v>1</v>
      </c>
      <c r="C43" s="47">
        <f>Data!$H$635*Data!$F$221</f>
        <v>0</v>
      </c>
      <c r="D43" s="48" t="s">
        <v>115</v>
      </c>
      <c r="E43" s="647">
        <f t="shared" si="9"/>
        <v>0</v>
      </c>
      <c r="F43" s="118">
        <f>_wage_</f>
        <v>12.29</v>
      </c>
      <c r="G43" s="465">
        <f>C43*F43</f>
        <v>0</v>
      </c>
      <c r="H43" s="123">
        <f t="shared" si="11"/>
        <v>0</v>
      </c>
      <c r="K43" s="55"/>
      <c r="L43" s="55"/>
    </row>
    <row r="44" spans="1:12" x14ac:dyDescent="0.3">
      <c r="A44" s="22" t="s">
        <v>756</v>
      </c>
      <c r="B44" s="405">
        <f>Data!$B$34</f>
        <v>0</v>
      </c>
      <c r="C44" s="156">
        <f>Data!H648*Data!B32</f>
        <v>0</v>
      </c>
      <c r="D44" s="34" t="s">
        <v>128</v>
      </c>
      <c r="E44" s="226">
        <f t="shared" si="9"/>
        <v>0</v>
      </c>
      <c r="F44" s="167">
        <f t="shared" si="6"/>
        <v>12.29</v>
      </c>
      <c r="G44" s="114">
        <f t="shared" si="10"/>
        <v>0</v>
      </c>
      <c r="H44" s="109">
        <f>(B44*G44*triticale)*Data!$B$34*Data!$H$34</f>
        <v>0</v>
      </c>
      <c r="I44" s="87"/>
    </row>
    <row r="45" spans="1:12" x14ac:dyDescent="0.3">
      <c r="A45" s="22" t="s">
        <v>757</v>
      </c>
      <c r="B45" s="405">
        <f>Data!$B$34*Data!$C$34</f>
        <v>0</v>
      </c>
      <c r="C45" s="156">
        <f>Data!H649*Data!B32</f>
        <v>0</v>
      </c>
      <c r="D45" s="34" t="s">
        <v>128</v>
      </c>
      <c r="E45" s="226">
        <f t="shared" si="9"/>
        <v>0</v>
      </c>
      <c r="F45" s="167">
        <f t="shared" si="6"/>
        <v>12.29</v>
      </c>
      <c r="G45" s="114">
        <f t="shared" si="10"/>
        <v>0</v>
      </c>
      <c r="H45" s="109">
        <f>(B45*G45*triticale)*Data!$B$34*Data!$C$34*Data!$F$34</f>
        <v>0</v>
      </c>
      <c r="I45" s="87"/>
    </row>
    <row r="46" spans="1:12" x14ac:dyDescent="0.3">
      <c r="A46" s="9" t="s">
        <v>1022</v>
      </c>
      <c r="B46" s="405">
        <f>Data!$B$34*Data!$C$34*0</f>
        <v>0</v>
      </c>
      <c r="C46" s="47">
        <f>Data!$H$650*Data!$F$221*Data!B32</f>
        <v>0</v>
      </c>
      <c r="D46" s="48" t="s">
        <v>115</v>
      </c>
      <c r="E46" s="647">
        <f t="shared" si="9"/>
        <v>0</v>
      </c>
      <c r="F46" s="118">
        <f>_wage_</f>
        <v>12.29</v>
      </c>
      <c r="G46" s="465">
        <f>C46*F46</f>
        <v>0</v>
      </c>
      <c r="H46" s="123">
        <f>(B46*G46*triticale)*Data!$B$34*Data!$C$34*Data!$F$34</f>
        <v>0</v>
      </c>
      <c r="I46" s="87"/>
    </row>
    <row r="47" spans="1:12" x14ac:dyDescent="0.3">
      <c r="A47" s="22" t="s">
        <v>752</v>
      </c>
      <c r="B47" s="405">
        <f>Data!$B$34*Data!$C$34</f>
        <v>0</v>
      </c>
      <c r="C47" s="156">
        <f>Data!H651*Data!B32</f>
        <v>0</v>
      </c>
      <c r="D47" s="34" t="s">
        <v>128</v>
      </c>
      <c r="E47" s="226">
        <f t="shared" si="9"/>
        <v>0</v>
      </c>
      <c r="F47" s="167">
        <f t="shared" si="6"/>
        <v>12.29</v>
      </c>
      <c r="G47" s="114">
        <f t="shared" si="10"/>
        <v>0</v>
      </c>
      <c r="H47" s="109">
        <f>(B47*G47*triticale)*Data!$B$34*Data!$C$34*Data!$F$34</f>
        <v>0</v>
      </c>
      <c r="I47" s="87"/>
    </row>
    <row r="48" spans="1:12" x14ac:dyDescent="0.3">
      <c r="A48" s="9" t="s">
        <v>1022</v>
      </c>
      <c r="B48" s="405">
        <f>Data!$B$34*Data!$C$34</f>
        <v>0</v>
      </c>
      <c r="C48" s="47">
        <f>Data!$H$652*Data!$F$221*Data!B32</f>
        <v>0</v>
      </c>
      <c r="D48" s="48" t="s">
        <v>115</v>
      </c>
      <c r="E48" s="647">
        <f t="shared" si="9"/>
        <v>0</v>
      </c>
      <c r="F48" s="118">
        <f>_wage_</f>
        <v>12.29</v>
      </c>
      <c r="G48" s="465">
        <f>C48*F48</f>
        <v>0</v>
      </c>
      <c r="H48" s="123">
        <f>(B48*G48*triticale)*Data!$B$34*Data!$C$34*Data!$F$34</f>
        <v>0</v>
      </c>
      <c r="I48" s="87"/>
    </row>
    <row r="49" spans="1:22" x14ac:dyDescent="0.3">
      <c r="A49" s="22" t="s">
        <v>758</v>
      </c>
      <c r="B49" s="405">
        <f>Data!$B$34*Data!$D$34</f>
        <v>0</v>
      </c>
      <c r="C49" s="156">
        <f>Data!H653*Data!B32</f>
        <v>0</v>
      </c>
      <c r="D49" s="34" t="s">
        <v>128</v>
      </c>
      <c r="E49" s="226">
        <f t="shared" si="9"/>
        <v>0</v>
      </c>
      <c r="F49" s="167">
        <f t="shared" si="6"/>
        <v>12.29</v>
      </c>
      <c r="G49" s="114">
        <f t="shared" si="10"/>
        <v>0</v>
      </c>
      <c r="H49" s="109">
        <f>(B49*G49*triticale)*Data!$B$34*Data!$D$34*Data!$G$34</f>
        <v>0</v>
      </c>
      <c r="I49" s="87"/>
    </row>
    <row r="50" spans="1:22" x14ac:dyDescent="0.3">
      <c r="A50" s="9" t="s">
        <v>1022</v>
      </c>
      <c r="B50" s="405">
        <f>Data!$B$34*Data!$D$34*0</f>
        <v>0</v>
      </c>
      <c r="C50" s="47">
        <f>Data!$H$654*Data!$F$221*Data!B32</f>
        <v>0</v>
      </c>
      <c r="D50" s="48" t="s">
        <v>115</v>
      </c>
      <c r="E50" s="647">
        <f t="shared" si="9"/>
        <v>0</v>
      </c>
      <c r="F50" s="118">
        <f>_wage_</f>
        <v>12.29</v>
      </c>
      <c r="G50" s="465">
        <f>C50*F50</f>
        <v>0</v>
      </c>
      <c r="H50" s="123">
        <f>(B50*G50*triticale)*Data!$B$34*Data!$D$34*Data!$G$34</f>
        <v>0</v>
      </c>
      <c r="I50" s="87"/>
    </row>
    <row r="51" spans="1:22" x14ac:dyDescent="0.3">
      <c r="A51" s="22" t="s">
        <v>753</v>
      </c>
      <c r="B51" s="405">
        <f>Data!$B$34*Data!$D$34</f>
        <v>0</v>
      </c>
      <c r="C51" s="156">
        <f>Data!H655*Data!B32</f>
        <v>0</v>
      </c>
      <c r="D51" s="34" t="s">
        <v>128</v>
      </c>
      <c r="E51" s="226">
        <f t="shared" si="9"/>
        <v>0</v>
      </c>
      <c r="F51" s="167">
        <f t="shared" si="6"/>
        <v>12.29</v>
      </c>
      <c r="G51" s="114">
        <f t="shared" si="10"/>
        <v>0</v>
      </c>
      <c r="H51" s="109">
        <f>(B51*G51*triticale)*Data!$B$34*Data!$D$34*Data!$G$34</f>
        <v>0</v>
      </c>
      <c r="I51" s="87"/>
    </row>
    <row r="52" spans="1:22" x14ac:dyDescent="0.3">
      <c r="A52" s="9" t="s">
        <v>1022</v>
      </c>
      <c r="B52" s="405">
        <f>Data!$B$34*Data!$D$34</f>
        <v>0</v>
      </c>
      <c r="C52" s="47">
        <f>Data!$H$656*Data!$F$221*Data!B32</f>
        <v>0</v>
      </c>
      <c r="D52" s="48" t="s">
        <v>115</v>
      </c>
      <c r="E52" s="647">
        <f t="shared" si="9"/>
        <v>0</v>
      </c>
      <c r="F52" s="118">
        <f>_wage_</f>
        <v>12.29</v>
      </c>
      <c r="G52" s="465">
        <f>C52*F52</f>
        <v>0</v>
      </c>
      <c r="H52" s="123">
        <f>(B52*G52*triticale)*Data!$B$34*Data!$D$34*Data!$G$34</f>
        <v>0</v>
      </c>
      <c r="I52" s="87"/>
    </row>
    <row r="53" spans="1:22" x14ac:dyDescent="0.3">
      <c r="A53" s="22" t="s">
        <v>759</v>
      </c>
      <c r="B53" s="397">
        <v>0</v>
      </c>
      <c r="C53" s="156">
        <f>Data!H657*Data!B32</f>
        <v>0</v>
      </c>
      <c r="D53" s="34" t="s">
        <v>128</v>
      </c>
      <c r="E53" s="226">
        <f t="shared" si="9"/>
        <v>0</v>
      </c>
      <c r="F53" s="167">
        <f t="shared" si="6"/>
        <v>12.29</v>
      </c>
      <c r="G53" s="114">
        <f t="shared" si="10"/>
        <v>0</v>
      </c>
      <c r="H53" s="109">
        <f>(B53*G53*triticale)*Data!$B$34*Data!$H$34</f>
        <v>0</v>
      </c>
      <c r="I53" s="87"/>
    </row>
    <row r="54" spans="1:22" x14ac:dyDescent="0.3">
      <c r="A54" s="9" t="s">
        <v>1022</v>
      </c>
      <c r="B54" s="405">
        <f>B53</f>
        <v>0</v>
      </c>
      <c r="C54" s="47">
        <f>Data!$H$658*Data!$F$221*Data!B32</f>
        <v>0</v>
      </c>
      <c r="D54" s="48" t="s">
        <v>115</v>
      </c>
      <c r="E54" s="647">
        <f t="shared" si="9"/>
        <v>0</v>
      </c>
      <c r="F54" s="118">
        <f>_wage_</f>
        <v>12.29</v>
      </c>
      <c r="G54" s="465">
        <f>C54*F54</f>
        <v>0</v>
      </c>
      <c r="H54" s="123">
        <f>(B54*G54*triticale)*Data!$B$34*Data!$H$34</f>
        <v>0</v>
      </c>
      <c r="I54" s="87"/>
    </row>
    <row r="55" spans="1:22" x14ac:dyDescent="0.3">
      <c r="A55" s="639" t="s">
        <v>1435</v>
      </c>
      <c r="B55" s="832"/>
      <c r="C55" s="47"/>
      <c r="D55" s="48"/>
      <c r="E55" s="647"/>
      <c r="F55" s="118"/>
      <c r="G55" s="465"/>
      <c r="H55" s="123"/>
      <c r="I55" s="87"/>
    </row>
    <row r="56" spans="1:22" x14ac:dyDescent="0.3">
      <c r="A56" s="638" t="s">
        <v>1436</v>
      </c>
      <c r="B56" s="405">
        <f>IF(OS!$R$20="Clean",OS!S20,0)</f>
        <v>1</v>
      </c>
      <c r="C56" s="156">
        <f>IF(OSI!$H$21&gt;0,(1/OSI!$H$21),Data!$H$669)</f>
        <v>1.008</v>
      </c>
      <c r="D56" s="34" t="s">
        <v>128</v>
      </c>
      <c r="E56" s="226">
        <f t="shared" si="9"/>
        <v>0</v>
      </c>
      <c r="F56" s="167">
        <f t="shared" ref="F56" si="12">_wage_</f>
        <v>12.29</v>
      </c>
      <c r="G56" s="114">
        <f t="shared" ref="G56" si="13">C56*F56</f>
        <v>12.388319999999998</v>
      </c>
      <c r="H56" s="109">
        <f>B56*G56*triticale</f>
        <v>0</v>
      </c>
      <c r="I56" s="87"/>
    </row>
    <row r="57" spans="1:22" x14ac:dyDescent="0.3">
      <c r="A57" s="666" t="s">
        <v>1022</v>
      </c>
      <c r="B57" s="405">
        <f>B56</f>
        <v>1</v>
      </c>
      <c r="C57" s="47">
        <f>Data!H670*Data!$F$221</f>
        <v>0</v>
      </c>
      <c r="D57" s="48" t="s">
        <v>115</v>
      </c>
      <c r="E57" s="647">
        <f t="shared" si="9"/>
        <v>0</v>
      </c>
      <c r="F57" s="118">
        <f>_wage_</f>
        <v>12.29</v>
      </c>
      <c r="G57" s="465">
        <f>C57*F57</f>
        <v>0</v>
      </c>
      <c r="H57" s="123">
        <f>B57*G57*triticale</f>
        <v>0</v>
      </c>
      <c r="I57" s="87"/>
      <c r="K57" s="55"/>
      <c r="L57" s="4" t="s">
        <v>1077</v>
      </c>
    </row>
    <row r="58" spans="1:22" x14ac:dyDescent="0.3">
      <c r="A58" s="639" t="s">
        <v>1147</v>
      </c>
      <c r="B58" s="22"/>
      <c r="C58" s="46"/>
      <c r="D58" s="34"/>
      <c r="E58" s="226"/>
      <c r="F58" s="104"/>
      <c r="G58" s="104"/>
      <c r="H58" s="109"/>
      <c r="J58" s="588">
        <f>OSI!$E$69</f>
        <v>30000</v>
      </c>
      <c r="K58" s="17" t="s">
        <v>220</v>
      </c>
      <c r="L58" s="17">
        <f>J58/2000</f>
        <v>15</v>
      </c>
      <c r="M58" s="17" t="s">
        <v>26</v>
      </c>
      <c r="N58" s="588">
        <f>OSI!$C$69</f>
        <v>500</v>
      </c>
      <c r="O58" s="17" t="s">
        <v>931</v>
      </c>
      <c r="P58" s="93" t="s">
        <v>944</v>
      </c>
      <c r="Q58" s="93"/>
      <c r="S58" s="588">
        <f>N58*Data!$K$63</f>
        <v>28000</v>
      </c>
      <c r="T58" s="17" t="s">
        <v>220</v>
      </c>
      <c r="U58" s="589">
        <f>S58/J58</f>
        <v>0.93333333333333335</v>
      </c>
    </row>
    <row r="59" spans="1:22" x14ac:dyDescent="0.3">
      <c r="A59" s="638" t="s">
        <v>1145</v>
      </c>
      <c r="B59" s="405">
        <f>IF(OS!$R$21="Dry",OS!S21,0)</f>
        <v>1</v>
      </c>
      <c r="C59" s="369">
        <f>IF(OSI!$H$22&gt;0,(1/OSI!$H$22),Data!$H$689)</f>
        <v>0.46451378835430901</v>
      </c>
      <c r="D59" s="34" t="s">
        <v>115</v>
      </c>
      <c r="E59" s="226">
        <f>C59*triticale</f>
        <v>0</v>
      </c>
      <c r="F59" s="104">
        <f>_wage_</f>
        <v>12.29</v>
      </c>
      <c r="G59" s="114">
        <f>C59*F59</f>
        <v>5.7088744588744573</v>
      </c>
      <c r="H59" s="110">
        <f>B59*G59*triticale*G4</f>
        <v>0</v>
      </c>
      <c r="I59" s="108"/>
      <c r="J59" s="588">
        <f>OSI!$E$70</f>
        <v>180</v>
      </c>
      <c r="K59" s="17" t="s">
        <v>220</v>
      </c>
      <c r="L59" s="17">
        <f>J59/2000</f>
        <v>0.09</v>
      </c>
      <c r="M59" s="17" t="s">
        <v>26</v>
      </c>
      <c r="N59" s="588">
        <f>OSI!$C$70</f>
        <v>3</v>
      </c>
      <c r="O59" s="17" t="s">
        <v>931</v>
      </c>
      <c r="P59" s="93" t="s">
        <v>945</v>
      </c>
      <c r="Q59" s="93"/>
      <c r="S59" s="588">
        <f>N59*Data!$K$63</f>
        <v>168</v>
      </c>
      <c r="T59" s="17" t="s">
        <v>220</v>
      </c>
      <c r="U59" s="589">
        <f>S59/J59</f>
        <v>0.93333333333333335</v>
      </c>
    </row>
    <row r="60" spans="1:22" x14ac:dyDescent="0.3">
      <c r="A60" s="666" t="s">
        <v>1022</v>
      </c>
      <c r="B60" s="405">
        <f>B59</f>
        <v>1</v>
      </c>
      <c r="C60" s="47">
        <f>C59*Data!$F$221</f>
        <v>0</v>
      </c>
      <c r="D60" s="48" t="s">
        <v>115</v>
      </c>
      <c r="E60" s="647">
        <f>C60*triticale</f>
        <v>0</v>
      </c>
      <c r="F60" s="118">
        <f>_wage_</f>
        <v>12.29</v>
      </c>
      <c r="G60" s="465">
        <f>C60*F60</f>
        <v>0</v>
      </c>
      <c r="H60" s="123">
        <f>B60*G60*triticale</f>
        <v>0</v>
      </c>
      <c r="I60" s="108">
        <f>SUM(H25:H60)</f>
        <v>0</v>
      </c>
      <c r="J60" s="108"/>
    </row>
    <row r="61" spans="1:22" x14ac:dyDescent="0.3">
      <c r="A61" s="1258" t="s">
        <v>2093</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IF(OSI!$H$77&gt;0,1*$P$73,0)</f>
        <v>1</v>
      </c>
      <c r="C63" s="410">
        <f>IF(triticale&gt;0,($T$63*((Data!$B$220*triticale)/$N$58))/triticale,0)</f>
        <v>0</v>
      </c>
      <c r="D63" s="34" t="s">
        <v>115</v>
      </c>
      <c r="E63" s="46">
        <f t="shared" ref="E63:E68" si="14">C63*triticale</f>
        <v>0</v>
      </c>
      <c r="F63" s="167">
        <f t="shared" ref="F63:F68" si="15">_wage_</f>
        <v>12.29</v>
      </c>
      <c r="G63" s="114">
        <f t="shared" ref="G63:G68" si="16">C63*F63</f>
        <v>0</v>
      </c>
      <c r="H63" s="110">
        <f t="shared" ref="H63:H68" si="17">B63*G63*triticale</f>
        <v>0</v>
      </c>
      <c r="J63" s="55" t="s">
        <v>762</v>
      </c>
      <c r="K63" s="816">
        <f>B63</f>
        <v>1</v>
      </c>
      <c r="L63" s="168">
        <f>IF(triticale&gt;0,(K63*(T63*_wage_)*((Data!$B$220*triticale)/$N$58))/triticale,0)</f>
        <v>0</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IF(Data!$F$221=0,0,1*$P$73)</f>
        <v>0</v>
      </c>
      <c r="C64" s="593">
        <f>C63*Data!$F$221</f>
        <v>0</v>
      </c>
      <c r="D64" s="48" t="s">
        <v>115</v>
      </c>
      <c r="E64" s="47">
        <f t="shared" si="14"/>
        <v>0</v>
      </c>
      <c r="F64" s="118">
        <f t="shared" si="15"/>
        <v>12.29</v>
      </c>
      <c r="G64" s="465">
        <f t="shared" si="16"/>
        <v>0</v>
      </c>
      <c r="H64" s="123">
        <f t="shared" si="17"/>
        <v>0</v>
      </c>
      <c r="J64" s="55" t="s">
        <v>943</v>
      </c>
      <c r="K64" s="816">
        <f>B65</f>
        <v>0</v>
      </c>
      <c r="L64" s="114">
        <f>IF(triticale&gt;0,(K64*(T64*_wage_)*((Data!$E$220*triticale)/$U$64))/triticale,0)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(U64*Data!$E$218)/Data!$H$218</f>
        <v>200</v>
      </c>
    </row>
    <row r="65" spans="1:22" x14ac:dyDescent="0.3">
      <c r="A65" s="638" t="s">
        <v>940</v>
      </c>
      <c r="B65" s="405">
        <f>IF(OSI!$H$81&gt;0,Data!$B$34*Data!$C$34*$P$74,0)</f>
        <v>0</v>
      </c>
      <c r="C65" s="410">
        <f>IF(triticale&gt;0,($T$64*(Tb!$B$17/Tv!$S$116))/triticale,0)</f>
        <v>0</v>
      </c>
      <c r="D65" s="34" t="s">
        <v>115</v>
      </c>
      <c r="E65" s="46">
        <f t="shared" si="14"/>
        <v>0</v>
      </c>
      <c r="F65" s="167">
        <f t="shared" si="15"/>
        <v>12.29</v>
      </c>
      <c r="G65" s="114">
        <f t="shared" si="16"/>
        <v>0</v>
      </c>
      <c r="H65" s="110">
        <f t="shared" si="17"/>
        <v>0</v>
      </c>
      <c r="J65" s="55" t="s">
        <v>948</v>
      </c>
      <c r="K65" s="816">
        <f>B67</f>
        <v>0</v>
      </c>
      <c r="L65" s="114">
        <f>IF(triticale&gt;0,(K65*(T65*_wage_)*((Data!$H$220*triticale)/$V$64))/triticale,0)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IF(Data!$F$222=0,0,1*$P$74)</f>
        <v>0</v>
      </c>
      <c r="C66" s="593">
        <f>C65*Data!$F$222</f>
        <v>0</v>
      </c>
      <c r="D66" s="48" t="s">
        <v>115</v>
      </c>
      <c r="E66" s="47">
        <f t="shared" si="14"/>
        <v>0</v>
      </c>
      <c r="F66" s="118">
        <f t="shared" si="15"/>
        <v>12.29</v>
      </c>
      <c r="G66" s="465">
        <f t="shared" si="16"/>
        <v>0</v>
      </c>
      <c r="H66" s="123">
        <f t="shared" si="17"/>
        <v>0</v>
      </c>
      <c r="Q66" s="216" t="s">
        <v>933</v>
      </c>
      <c r="R66" s="216" t="s">
        <v>933</v>
      </c>
      <c r="S66" s="216" t="s">
        <v>2047</v>
      </c>
      <c r="T66" s="216" t="s">
        <v>2050</v>
      </c>
    </row>
    <row r="67" spans="1:22" x14ac:dyDescent="0.3">
      <c r="A67" s="638" t="s">
        <v>941</v>
      </c>
      <c r="B67" s="405">
        <f>IF(OSI!$H$85&gt;0,Data!$B$34*Data!$D$34*$P$75,0)</f>
        <v>0</v>
      </c>
      <c r="C67" s="410">
        <f>IF(triticale&gt;0,($T$65*(Tb!$B$19/Tv!$T$116))/triticale,0)</f>
        <v>0</v>
      </c>
      <c r="D67" s="34" t="s">
        <v>115</v>
      </c>
      <c r="E67" s="46">
        <f t="shared" si="14"/>
        <v>0</v>
      </c>
      <c r="F67" s="167">
        <f t="shared" si="15"/>
        <v>12.29</v>
      </c>
      <c r="G67" s="114">
        <f t="shared" si="16"/>
        <v>0</v>
      </c>
      <c r="H67" s="110">
        <f t="shared" si="17"/>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IF(Data!$F$222=0,0,1*$P$75)</f>
        <v>0</v>
      </c>
      <c r="C68" s="593">
        <f>C67*Data!$F$222</f>
        <v>0</v>
      </c>
      <c r="D68" s="48" t="s">
        <v>115</v>
      </c>
      <c r="E68" s="47">
        <f t="shared" si="14"/>
        <v>0</v>
      </c>
      <c r="F68" s="118">
        <f t="shared" si="15"/>
        <v>12.29</v>
      </c>
      <c r="G68" s="465">
        <f t="shared" si="16"/>
        <v>0</v>
      </c>
      <c r="H68" s="123">
        <f t="shared" si="17"/>
        <v>0</v>
      </c>
      <c r="J68" s="55" t="s">
        <v>762</v>
      </c>
      <c r="K68" s="816">
        <f>B70</f>
        <v>0</v>
      </c>
      <c r="L68" s="168">
        <f>IF(triticale&gt;0,(K68*(T68*_wage_)*((Data!$B$220*triticale)/$N$59))/triticale,0)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IF(triticale&gt;0,(K69*(T69*_wage_)*((Data!$E$220*triticale)/$U$69))/triticale,0)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(U69*Data!$E$218)/Data!$H$218</f>
        <v>400</v>
      </c>
    </row>
    <row r="70" spans="1:22" x14ac:dyDescent="0.3">
      <c r="A70" s="638" t="s">
        <v>939</v>
      </c>
      <c r="B70" s="405">
        <f>IF(OSI!$H$78&gt;0,1*$Q$73,0)</f>
        <v>0</v>
      </c>
      <c r="C70" s="410">
        <f>IF(triticale&gt;0,($T$68*((Data!$B$220*triticale)/$N$59))/triticale,0)</f>
        <v>0</v>
      </c>
      <c r="D70" s="34" t="s">
        <v>115</v>
      </c>
      <c r="E70" s="46">
        <f t="shared" ref="E70:E75" si="18">C70*triticale</f>
        <v>0</v>
      </c>
      <c r="F70" s="167">
        <f t="shared" ref="F70:F75" si="19">_wage_</f>
        <v>12.29</v>
      </c>
      <c r="G70" s="114">
        <f t="shared" ref="G70:G75" si="20">C70*F70</f>
        <v>0</v>
      </c>
      <c r="H70" s="110">
        <f t="shared" ref="H70:H75" si="21">B70*G70*triticale</f>
        <v>0</v>
      </c>
      <c r="J70" s="55" t="s">
        <v>948</v>
      </c>
      <c r="K70" s="816">
        <f>B74</f>
        <v>0</v>
      </c>
      <c r="L70" s="114">
        <f>IF(triticale&gt;0,(K70*(T70*_wage_)*((Data!$H$220*triticale)/$V$69))/triticale,0)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IF(Data!$F$221=0,0,1*$Q$73)</f>
        <v>0</v>
      </c>
      <c r="C71" s="593">
        <f>C70*Data!$F$221</f>
        <v>0</v>
      </c>
      <c r="D71" s="48" t="s">
        <v>115</v>
      </c>
      <c r="E71" s="47">
        <f t="shared" si="18"/>
        <v>0</v>
      </c>
      <c r="F71" s="118">
        <f t="shared" si="19"/>
        <v>12.29</v>
      </c>
      <c r="G71" s="465">
        <f t="shared" si="20"/>
        <v>0</v>
      </c>
      <c r="H71" s="123">
        <f t="shared" si="21"/>
        <v>0</v>
      </c>
      <c r="J71" s="55"/>
      <c r="K71" s="114"/>
      <c r="L71" s="114"/>
      <c r="M71" s="22"/>
      <c r="N71" s="114"/>
      <c r="O71" s="22"/>
      <c r="P71" s="22"/>
      <c r="Q71" s="22"/>
      <c r="R71" s="22"/>
      <c r="S71" s="22"/>
      <c r="T71" s="22"/>
      <c r="U71" s="22"/>
    </row>
    <row r="72" spans="1:22" x14ac:dyDescent="0.3">
      <c r="A72" s="638" t="s">
        <v>940</v>
      </c>
      <c r="B72" s="405">
        <f>IF(OSI!$H$82&gt;0,Data!$B$34*Data!$C$34*$Q$74,0)</f>
        <v>0</v>
      </c>
      <c r="C72" s="410">
        <f>IF(triticale&gt;0,($T$69*(Tb!$B$17/Tv!$S$121))/triticale,0)</f>
        <v>0</v>
      </c>
      <c r="D72" s="34" t="s">
        <v>115</v>
      </c>
      <c r="E72" s="46">
        <f t="shared" si="18"/>
        <v>0</v>
      </c>
      <c r="F72" s="167">
        <f t="shared" si="19"/>
        <v>12.29</v>
      </c>
      <c r="G72" s="114">
        <f t="shared" si="20"/>
        <v>0</v>
      </c>
      <c r="H72" s="110">
        <f t="shared" si="21"/>
        <v>0</v>
      </c>
      <c r="M72" s="22"/>
      <c r="N72" s="114"/>
      <c r="O72" s="67" t="s">
        <v>947</v>
      </c>
      <c r="P72" s="216" t="s">
        <v>932</v>
      </c>
      <c r="Q72" s="216" t="s">
        <v>934</v>
      </c>
      <c r="R72" s="216" t="s">
        <v>76</v>
      </c>
      <c r="S72" s="22"/>
      <c r="U72" s="22"/>
    </row>
    <row r="73" spans="1:22" x14ac:dyDescent="0.3">
      <c r="A73" s="666" t="s">
        <v>2025</v>
      </c>
      <c r="B73" s="405">
        <f>IF(Data!$F$222=0,0,1*$Q$74)</f>
        <v>0</v>
      </c>
      <c r="C73" s="593">
        <f>C72*Data!$F$222</f>
        <v>0</v>
      </c>
      <c r="D73" s="48" t="s">
        <v>115</v>
      </c>
      <c r="E73" s="47">
        <f t="shared" si="18"/>
        <v>0</v>
      </c>
      <c r="F73" s="118">
        <f t="shared" si="19"/>
        <v>12.29</v>
      </c>
      <c r="G73" s="465">
        <f t="shared" si="20"/>
        <v>0</v>
      </c>
      <c r="H73" s="123">
        <f t="shared" si="21"/>
        <v>0</v>
      </c>
      <c r="M73" s="22"/>
      <c r="N73" s="114"/>
      <c r="O73" s="34" t="s">
        <v>762</v>
      </c>
      <c r="P73" s="922">
        <f>OSI!$C$77</f>
        <v>1</v>
      </c>
      <c r="Q73" s="922">
        <f>OSI!$C$78</f>
        <v>0</v>
      </c>
      <c r="R73" s="412">
        <f>SUM(P73:Q73)</f>
        <v>1</v>
      </c>
      <c r="S73" s="22"/>
      <c r="U73" s="22"/>
    </row>
    <row r="74" spans="1:22" x14ac:dyDescent="0.3">
      <c r="A74" s="638" t="s">
        <v>941</v>
      </c>
      <c r="B74" s="405">
        <f>IF(OSI!$H$86&gt;0,Data!$B$34*Data!$D$34*$Q$75,0)</f>
        <v>0</v>
      </c>
      <c r="C74" s="410">
        <f>IF(triticale&gt;0,($T$70*(Tb!$B$19/Tv!$T$121))/triticale,0)</f>
        <v>0</v>
      </c>
      <c r="D74" s="34" t="s">
        <v>115</v>
      </c>
      <c r="E74" s="46">
        <f t="shared" si="18"/>
        <v>0</v>
      </c>
      <c r="F74" s="167">
        <f t="shared" si="19"/>
        <v>12.29</v>
      </c>
      <c r="G74" s="114">
        <f t="shared" si="20"/>
        <v>0</v>
      </c>
      <c r="H74" s="110">
        <f t="shared" si="21"/>
        <v>0</v>
      </c>
      <c r="I74" s="50"/>
      <c r="M74" s="22"/>
      <c r="N74" s="114"/>
      <c r="O74" s="55" t="s">
        <v>943</v>
      </c>
      <c r="P74" s="922">
        <f>OSI!$C$81</f>
        <v>1</v>
      </c>
      <c r="Q74" s="922">
        <f>OSI!$C$82</f>
        <v>0</v>
      </c>
      <c r="R74" s="412">
        <f>SUM(P74:Q74)</f>
        <v>1</v>
      </c>
      <c r="S74" s="22"/>
      <c r="U74" s="22"/>
    </row>
    <row r="75" spans="1:22" x14ac:dyDescent="0.3">
      <c r="A75" s="666" t="s">
        <v>2025</v>
      </c>
      <c r="B75" s="405">
        <f>IF(Data!$F$222=0,0,1*$Q$75)</f>
        <v>0</v>
      </c>
      <c r="C75" s="593">
        <f>C74*Data!$F$222</f>
        <v>0</v>
      </c>
      <c r="D75" s="48" t="s">
        <v>115</v>
      </c>
      <c r="E75" s="47">
        <f t="shared" si="18"/>
        <v>0</v>
      </c>
      <c r="F75" s="118">
        <f t="shared" si="19"/>
        <v>12.29</v>
      </c>
      <c r="G75" s="465">
        <f t="shared" si="20"/>
        <v>0</v>
      </c>
      <c r="H75" s="123">
        <f t="shared" si="21"/>
        <v>0</v>
      </c>
      <c r="I75" s="108">
        <f>SUM(H62:H75)</f>
        <v>0</v>
      </c>
      <c r="M75" s="22"/>
      <c r="N75" s="114"/>
      <c r="O75" s="55" t="s">
        <v>948</v>
      </c>
      <c r="P75" s="922">
        <f>OSI!$C$85</f>
        <v>1</v>
      </c>
      <c r="Q75" s="922">
        <f>OSI!$C$86</f>
        <v>0</v>
      </c>
      <c r="R75" s="412">
        <f>SUM(P75:Q75)</f>
        <v>1</v>
      </c>
      <c r="S75" s="22"/>
      <c r="T75" s="22"/>
      <c r="U75" s="22"/>
    </row>
    <row r="76" spans="1:22" x14ac:dyDescent="0.3">
      <c r="A76" s="3" t="s">
        <v>66</v>
      </c>
      <c r="B76" s="3"/>
      <c r="C76" s="46"/>
      <c r="D76" s="34"/>
      <c r="E76" s="226"/>
      <c r="F76" s="104"/>
      <c r="G76" s="114"/>
      <c r="H76" s="109"/>
    </row>
    <row r="77" spans="1:22" x14ac:dyDescent="0.3">
      <c r="A77" s="22" t="s">
        <v>332</v>
      </c>
      <c r="B77" s="22"/>
      <c r="C77" s="46"/>
      <c r="D77" s="34"/>
      <c r="E77" s="226"/>
      <c r="F77" s="104"/>
      <c r="G77" s="114"/>
      <c r="H77" s="109"/>
    </row>
    <row r="78" spans="1:22" x14ac:dyDescent="0.3">
      <c r="A78" s="638" t="s">
        <v>1911</v>
      </c>
      <c r="B78" s="405">
        <f t="shared" ref="B78:B90" si="22">B26</f>
        <v>0</v>
      </c>
      <c r="C78" s="156">
        <f>IF(OSI!$H$28&gt;0,OSI!$H$28,Data!$R$579)</f>
        <v>1.32</v>
      </c>
      <c r="D78" s="34" t="s">
        <v>117</v>
      </c>
      <c r="E78" s="226">
        <f t="shared" ref="E78:E106" si="23">C78*triticale</f>
        <v>0</v>
      </c>
      <c r="F78" s="167">
        <f>diesel_fuel</f>
        <v>2.56</v>
      </c>
      <c r="G78" s="114">
        <f>C78*F78</f>
        <v>3.3792000000000004</v>
      </c>
      <c r="H78" s="109">
        <f t="shared" ref="H78:H95" si="24">B78*G78*triticale</f>
        <v>0</v>
      </c>
      <c r="K78" s="55"/>
    </row>
    <row r="79" spans="1:22" x14ac:dyDescent="0.3">
      <c r="A79" s="639" t="s">
        <v>468</v>
      </c>
      <c r="B79" s="405">
        <f t="shared" si="22"/>
        <v>1</v>
      </c>
      <c r="C79" s="156">
        <f>IF(OSI!$H$29&gt;0,OSI!$H$29,Data!$R$585)</f>
        <v>0.44023863292066601</v>
      </c>
      <c r="D79" s="34" t="s">
        <v>117</v>
      </c>
      <c r="E79" s="226">
        <f t="shared" si="23"/>
        <v>0</v>
      </c>
      <c r="F79" s="104">
        <f t="shared" ref="F79:F111" si="25">diesel_fuel</f>
        <v>2.56</v>
      </c>
      <c r="G79" s="114">
        <f t="shared" ref="G79:G105" si="26">C79*F79</f>
        <v>1.1270109002769051</v>
      </c>
      <c r="H79" s="109">
        <f t="shared" si="24"/>
        <v>0</v>
      </c>
    </row>
    <row r="80" spans="1:22" x14ac:dyDescent="0.3">
      <c r="A80" s="640" t="s">
        <v>1427</v>
      </c>
      <c r="B80" s="405">
        <f t="shared" si="22"/>
        <v>1</v>
      </c>
      <c r="C80" s="156">
        <f>IF(OSI!$H$30&gt;0,OSI!$H$30,Data!$R$580)</f>
        <v>0.64</v>
      </c>
      <c r="D80" s="34" t="s">
        <v>117</v>
      </c>
      <c r="E80" s="226">
        <f t="shared" si="23"/>
        <v>0</v>
      </c>
      <c r="F80" s="104">
        <f t="shared" si="25"/>
        <v>2.56</v>
      </c>
      <c r="G80" s="114">
        <f t="shared" si="26"/>
        <v>1.6384000000000001</v>
      </c>
      <c r="H80" s="109">
        <f t="shared" si="24"/>
        <v>0</v>
      </c>
    </row>
    <row r="81" spans="1:12" x14ac:dyDescent="0.3">
      <c r="A81" s="638" t="s">
        <v>485</v>
      </c>
      <c r="B81" s="405">
        <f t="shared" si="22"/>
        <v>1</v>
      </c>
      <c r="C81" s="156">
        <f>IF(OSI!$H$31&gt;0,OSI!$H$31,Data!$R$581)</f>
        <v>0.74</v>
      </c>
      <c r="D81" s="34" t="s">
        <v>117</v>
      </c>
      <c r="E81" s="226">
        <f t="shared" si="23"/>
        <v>0</v>
      </c>
      <c r="F81" s="104">
        <f t="shared" si="25"/>
        <v>2.56</v>
      </c>
      <c r="G81" s="114">
        <f t="shared" si="26"/>
        <v>1.8944000000000001</v>
      </c>
      <c r="H81" s="109">
        <f t="shared" si="24"/>
        <v>0</v>
      </c>
    </row>
    <row r="82" spans="1:12" x14ac:dyDescent="0.3">
      <c r="A82" s="22" t="s">
        <v>315</v>
      </c>
      <c r="B82" s="405">
        <f t="shared" si="22"/>
        <v>0</v>
      </c>
      <c r="C82" s="156">
        <f>Data!R582</f>
        <v>0.2</v>
      </c>
      <c r="D82" s="34" t="s">
        <v>117</v>
      </c>
      <c r="E82" s="226">
        <f t="shared" si="23"/>
        <v>0</v>
      </c>
      <c r="F82" s="104">
        <f t="shared" si="25"/>
        <v>2.56</v>
      </c>
      <c r="G82" s="114">
        <f t="shared" si="26"/>
        <v>0.51200000000000001</v>
      </c>
      <c r="H82" s="109">
        <f t="shared" si="24"/>
        <v>0</v>
      </c>
    </row>
    <row r="83" spans="1:12" x14ac:dyDescent="0.3">
      <c r="A83" s="22" t="s">
        <v>581</v>
      </c>
      <c r="B83" s="405">
        <f t="shared" si="22"/>
        <v>0</v>
      </c>
      <c r="C83" s="156">
        <f>Data!R583</f>
        <v>0.13183670241332501</v>
      </c>
      <c r="D83" s="34" t="s">
        <v>117</v>
      </c>
      <c r="E83" s="226">
        <f t="shared" si="23"/>
        <v>0</v>
      </c>
      <c r="F83" s="104">
        <f t="shared" si="25"/>
        <v>2.56</v>
      </c>
      <c r="G83" s="114">
        <f t="shared" si="26"/>
        <v>0.33750195817811202</v>
      </c>
      <c r="H83" s="109">
        <f t="shared" si="24"/>
        <v>0</v>
      </c>
    </row>
    <row r="84" spans="1:12" x14ac:dyDescent="0.3">
      <c r="A84" s="22" t="s">
        <v>322</v>
      </c>
      <c r="B84" s="405">
        <f t="shared" si="22"/>
        <v>0</v>
      </c>
      <c r="C84" s="273">
        <f>0</f>
        <v>0</v>
      </c>
      <c r="D84" s="34" t="s">
        <v>117</v>
      </c>
      <c r="E84" s="226">
        <f t="shared" si="23"/>
        <v>0</v>
      </c>
      <c r="F84" s="104">
        <f t="shared" si="25"/>
        <v>2.56</v>
      </c>
      <c r="G84" s="110">
        <f t="shared" si="26"/>
        <v>0</v>
      </c>
      <c r="H84" s="109">
        <f t="shared" si="24"/>
        <v>0</v>
      </c>
    </row>
    <row r="85" spans="1:12" x14ac:dyDescent="0.3">
      <c r="A85" s="639" t="s">
        <v>333</v>
      </c>
      <c r="B85" s="405">
        <f t="shared" si="22"/>
        <v>1</v>
      </c>
      <c r="C85" s="156">
        <f>IF(OSI!$H$32&gt;0,OSI!$H$32,Data!$R$589)</f>
        <v>0.34</v>
      </c>
      <c r="D85" s="34" t="s">
        <v>117</v>
      </c>
      <c r="E85" s="226">
        <f t="shared" si="23"/>
        <v>0</v>
      </c>
      <c r="F85" s="104">
        <f t="shared" si="25"/>
        <v>2.56</v>
      </c>
      <c r="G85" s="114">
        <f t="shared" si="26"/>
        <v>0.87040000000000006</v>
      </c>
      <c r="H85" s="109">
        <f t="shared" si="24"/>
        <v>0</v>
      </c>
    </row>
    <row r="86" spans="1:12" x14ac:dyDescent="0.3">
      <c r="A86" s="639" t="s">
        <v>334</v>
      </c>
      <c r="B86" s="405">
        <f t="shared" si="22"/>
        <v>1</v>
      </c>
      <c r="C86" s="156">
        <f>IF(OSI!$H$33&gt;0,OSI!$H$33,Data!$R$594)</f>
        <v>0.61</v>
      </c>
      <c r="D86" s="34" t="s">
        <v>117</v>
      </c>
      <c r="E86" s="226">
        <f t="shared" si="23"/>
        <v>0</v>
      </c>
      <c r="F86" s="104">
        <f t="shared" si="25"/>
        <v>2.56</v>
      </c>
      <c r="G86" s="114">
        <f t="shared" si="26"/>
        <v>1.5616000000000001</v>
      </c>
      <c r="H86" s="109">
        <f t="shared" si="24"/>
        <v>0</v>
      </c>
    </row>
    <row r="87" spans="1:12" x14ac:dyDescent="0.3">
      <c r="A87" s="639" t="s">
        <v>2218</v>
      </c>
      <c r="B87" s="405">
        <f t="shared" si="22"/>
        <v>0</v>
      </c>
      <c r="C87" s="156">
        <f>IF(OSI!$H$34&gt;0,OSI!$H$34,Data!$R$591)</f>
        <v>0.34</v>
      </c>
      <c r="D87" s="34" t="s">
        <v>117</v>
      </c>
      <c r="E87" s="226">
        <f t="shared" si="23"/>
        <v>0</v>
      </c>
      <c r="F87" s="104">
        <f t="shared" si="25"/>
        <v>2.56</v>
      </c>
      <c r="G87" s="114">
        <f t="shared" si="26"/>
        <v>0.87040000000000006</v>
      </c>
      <c r="H87" s="109">
        <f t="shared" si="24"/>
        <v>0</v>
      </c>
    </row>
    <row r="88" spans="1:12" x14ac:dyDescent="0.3">
      <c r="A88" s="639" t="s">
        <v>340</v>
      </c>
      <c r="B88" s="405">
        <f t="shared" si="22"/>
        <v>0</v>
      </c>
      <c r="C88" s="156">
        <f>IF(OSI!$H$35&gt;0,OSI!$H$35,Data!$R$606)</f>
        <v>0.46</v>
      </c>
      <c r="D88" s="34" t="s">
        <v>117</v>
      </c>
      <c r="E88" s="226">
        <f t="shared" si="23"/>
        <v>0</v>
      </c>
      <c r="F88" s="104">
        <f t="shared" si="25"/>
        <v>2.56</v>
      </c>
      <c r="G88" s="114">
        <f t="shared" si="26"/>
        <v>1.1776</v>
      </c>
      <c r="H88" s="109">
        <f t="shared" si="24"/>
        <v>0</v>
      </c>
    </row>
    <row r="89" spans="1:12" x14ac:dyDescent="0.3">
      <c r="A89" s="639" t="s">
        <v>1188</v>
      </c>
      <c r="B89" s="405">
        <f t="shared" si="22"/>
        <v>0</v>
      </c>
      <c r="C89" s="156">
        <f>IF(OSI!$H$36&gt;0,OSI!$H$36,Data!$R$584)</f>
        <v>0.13183670241332501</v>
      </c>
      <c r="D89" s="34" t="s">
        <v>117</v>
      </c>
      <c r="E89" s="226">
        <f t="shared" si="23"/>
        <v>0</v>
      </c>
      <c r="F89" s="104">
        <f t="shared" si="25"/>
        <v>2.56</v>
      </c>
      <c r="G89" s="114">
        <f t="shared" si="26"/>
        <v>0.33750195817811202</v>
      </c>
      <c r="H89" s="109">
        <f t="shared" si="24"/>
        <v>0</v>
      </c>
    </row>
    <row r="90" spans="1:12" x14ac:dyDescent="0.3">
      <c r="A90" s="22" t="s">
        <v>304</v>
      </c>
      <c r="B90" s="405">
        <f t="shared" si="22"/>
        <v>0</v>
      </c>
      <c r="C90" s="156">
        <f>Data!R599</f>
        <v>0.11981642612033799</v>
      </c>
      <c r="D90" s="34" t="s">
        <v>117</v>
      </c>
      <c r="E90" s="226">
        <f t="shared" si="23"/>
        <v>0</v>
      </c>
      <c r="F90" s="104">
        <f t="shared" si="25"/>
        <v>2.56</v>
      </c>
      <c r="G90" s="114">
        <f t="shared" si="26"/>
        <v>0.30673005086806526</v>
      </c>
      <c r="H90" s="109">
        <f t="shared" si="24"/>
        <v>0</v>
      </c>
    </row>
    <row r="91" spans="1:12" x14ac:dyDescent="0.3">
      <c r="A91" s="639" t="s">
        <v>1628</v>
      </c>
      <c r="B91" s="405">
        <f t="shared" ref="B91" si="27">B39</f>
        <v>0</v>
      </c>
      <c r="C91" s="156">
        <f>IF(OSI!$H$37&gt;0,OSI!$H$37,Data!$R$601)</f>
        <v>0.12</v>
      </c>
      <c r="D91" s="34" t="s">
        <v>117</v>
      </c>
      <c r="E91" s="226">
        <f t="shared" si="23"/>
        <v>0</v>
      </c>
      <c r="F91" s="104">
        <f t="shared" si="25"/>
        <v>2.56</v>
      </c>
      <c r="G91" s="114">
        <f t="shared" si="26"/>
        <v>0.30719999999999997</v>
      </c>
      <c r="H91" s="109">
        <f t="shared" si="24"/>
        <v>0</v>
      </c>
    </row>
    <row r="92" spans="1:12" x14ac:dyDescent="0.3">
      <c r="A92" s="639" t="s">
        <v>1321</v>
      </c>
      <c r="B92" s="405">
        <f t="shared" ref="B92:B106" si="28">B40</f>
        <v>1</v>
      </c>
      <c r="C92" s="156">
        <f>IF(OSI!$H$39&gt;0,OSI!$H$39,Data!$R$614)</f>
        <v>2</v>
      </c>
      <c r="D92" s="34" t="s">
        <v>117</v>
      </c>
      <c r="E92" s="226">
        <f t="shared" si="23"/>
        <v>0</v>
      </c>
      <c r="F92" s="104">
        <f t="shared" si="25"/>
        <v>2.56</v>
      </c>
      <c r="G92" s="114">
        <f t="shared" si="26"/>
        <v>5.12</v>
      </c>
      <c r="H92" s="109">
        <f t="shared" si="24"/>
        <v>0</v>
      </c>
    </row>
    <row r="93" spans="1:12" x14ac:dyDescent="0.3">
      <c r="A93" s="666" t="s">
        <v>1022</v>
      </c>
      <c r="B93" s="405">
        <f t="shared" si="28"/>
        <v>0</v>
      </c>
      <c r="C93" s="47">
        <f>Data!$R$615*Data!$F$221</f>
        <v>0</v>
      </c>
      <c r="D93" s="48" t="s">
        <v>117</v>
      </c>
      <c r="E93" s="647">
        <f t="shared" si="23"/>
        <v>0</v>
      </c>
      <c r="F93" s="118">
        <f>diesel_fuel</f>
        <v>2.56</v>
      </c>
      <c r="G93" s="465">
        <f>C93*F93</f>
        <v>0</v>
      </c>
      <c r="H93" s="123">
        <f t="shared" si="24"/>
        <v>0</v>
      </c>
    </row>
    <row r="94" spans="1:12" x14ac:dyDescent="0.3">
      <c r="A94" s="639" t="s">
        <v>2086</v>
      </c>
      <c r="B94" s="405">
        <f t="shared" si="28"/>
        <v>1</v>
      </c>
      <c r="C94" s="156">
        <f>IF(OSI!$H$40&gt;0,OSI!$H$40,Data!$R$630)</f>
        <v>0.14842835653417946</v>
      </c>
      <c r="D94" s="34" t="s">
        <v>117</v>
      </c>
      <c r="E94" s="226">
        <f t="shared" si="23"/>
        <v>0</v>
      </c>
      <c r="F94" s="104">
        <f t="shared" si="25"/>
        <v>2.56</v>
      </c>
      <c r="G94" s="114">
        <f t="shared" si="26"/>
        <v>0.37997659272749945</v>
      </c>
      <c r="H94" s="109">
        <f t="shared" si="24"/>
        <v>0</v>
      </c>
    </row>
    <row r="95" spans="1:12" x14ac:dyDescent="0.3">
      <c r="A95" s="666" t="s">
        <v>1022</v>
      </c>
      <c r="B95" s="405">
        <f t="shared" si="28"/>
        <v>1</v>
      </c>
      <c r="C95" s="47">
        <f>Data!$R$631*Data!$F$221</f>
        <v>0</v>
      </c>
      <c r="D95" s="48" t="s">
        <v>117</v>
      </c>
      <c r="E95" s="647">
        <f t="shared" si="23"/>
        <v>0</v>
      </c>
      <c r="F95" s="118">
        <f>diesel_fuel</f>
        <v>2.56</v>
      </c>
      <c r="G95" s="465">
        <f>C95*F95</f>
        <v>0</v>
      </c>
      <c r="H95" s="123">
        <f t="shared" si="24"/>
        <v>0</v>
      </c>
    </row>
    <row r="96" spans="1:12" x14ac:dyDescent="0.3">
      <c r="A96" s="22" t="s">
        <v>756</v>
      </c>
      <c r="B96" s="405">
        <f t="shared" si="28"/>
        <v>0</v>
      </c>
      <c r="C96" s="156">
        <f>Data!R648</f>
        <v>0.28809523809523802</v>
      </c>
      <c r="D96" s="34" t="s">
        <v>117</v>
      </c>
      <c r="E96" s="226">
        <f t="shared" si="23"/>
        <v>0</v>
      </c>
      <c r="F96" s="167">
        <f t="shared" si="25"/>
        <v>2.56</v>
      </c>
      <c r="G96" s="114">
        <f t="shared" si="26"/>
        <v>0.73752380952380936</v>
      </c>
      <c r="H96" s="109">
        <f>(B96*G96*triticale)*Data!$B$34*Data!$H$34</f>
        <v>0</v>
      </c>
      <c r="K96" s="55"/>
      <c r="L96" s="55"/>
    </row>
    <row r="97" spans="1:21" x14ac:dyDescent="0.3">
      <c r="A97" s="22" t="s">
        <v>757</v>
      </c>
      <c r="B97" s="405">
        <f t="shared" si="28"/>
        <v>0</v>
      </c>
      <c r="C97" s="156">
        <f>Data!R649</f>
        <v>0.34903846153846102</v>
      </c>
      <c r="D97" s="34" t="s">
        <v>117</v>
      </c>
      <c r="E97" s="226">
        <f t="shared" si="23"/>
        <v>0</v>
      </c>
      <c r="F97" s="167">
        <f t="shared" si="25"/>
        <v>2.56</v>
      </c>
      <c r="G97" s="114">
        <f t="shared" si="26"/>
        <v>0.89353846153846028</v>
      </c>
      <c r="H97" s="109">
        <f>(B97*G97*triticale)*Data!$B$34*Data!$C$34*Data!$F$34</f>
        <v>0</v>
      </c>
      <c r="K97" s="55"/>
      <c r="L97" s="55"/>
    </row>
    <row r="98" spans="1:21" x14ac:dyDescent="0.3">
      <c r="A98" s="9" t="s">
        <v>1022</v>
      </c>
      <c r="B98" s="405">
        <f t="shared" si="28"/>
        <v>0</v>
      </c>
      <c r="C98" s="47">
        <f>Data!$R$650*Data!$F$221</f>
        <v>0</v>
      </c>
      <c r="D98" s="48" t="s">
        <v>117</v>
      </c>
      <c r="E98" s="647">
        <f t="shared" si="23"/>
        <v>0</v>
      </c>
      <c r="F98" s="118">
        <f>diesel_fuel</f>
        <v>2.56</v>
      </c>
      <c r="G98" s="465">
        <f>C98*F98</f>
        <v>0</v>
      </c>
      <c r="H98" s="123">
        <f>(B98*G98*triticale)*Data!$B$34*Data!$C$34*Data!$F$34</f>
        <v>0</v>
      </c>
      <c r="K98" s="55"/>
      <c r="L98" s="55"/>
    </row>
    <row r="99" spans="1:21" x14ac:dyDescent="0.3">
      <c r="A99" s="22" t="s">
        <v>752</v>
      </c>
      <c r="B99" s="405">
        <f t="shared" si="28"/>
        <v>0</v>
      </c>
      <c r="C99" s="156">
        <f>Data!R651</f>
        <v>0.1</v>
      </c>
      <c r="D99" s="34" t="s">
        <v>117</v>
      </c>
      <c r="E99" s="226">
        <f t="shared" si="23"/>
        <v>0</v>
      </c>
      <c r="F99" s="167">
        <f t="shared" si="25"/>
        <v>2.56</v>
      </c>
      <c r="G99" s="114">
        <f t="shared" si="26"/>
        <v>0.25600000000000001</v>
      </c>
      <c r="H99" s="109">
        <f>(B99*G99*triticale)*Data!$B$34*Data!$C$34*Data!$F$34</f>
        <v>0</v>
      </c>
      <c r="K99" s="55"/>
      <c r="L99" s="55"/>
    </row>
    <row r="100" spans="1:21" x14ac:dyDescent="0.3">
      <c r="A100" s="9" t="s">
        <v>1022</v>
      </c>
      <c r="B100" s="405">
        <f t="shared" si="28"/>
        <v>0</v>
      </c>
      <c r="C100" s="47">
        <f>Data!$R$652*Data!$F$221</f>
        <v>0</v>
      </c>
      <c r="D100" s="48" t="s">
        <v>117</v>
      </c>
      <c r="E100" s="647">
        <f t="shared" si="23"/>
        <v>0</v>
      </c>
      <c r="F100" s="118">
        <f>diesel_fuel</f>
        <v>2.56</v>
      </c>
      <c r="G100" s="465">
        <f>C100*F100</f>
        <v>0</v>
      </c>
      <c r="H100" s="123">
        <f>(B100*G100*triticale)*Data!$B$34*Data!$C$34*Data!$F$34</f>
        <v>0</v>
      </c>
      <c r="K100" s="55"/>
      <c r="L100" s="55"/>
    </row>
    <row r="101" spans="1:21" x14ac:dyDescent="0.3">
      <c r="A101" s="22" t="s">
        <v>758</v>
      </c>
      <c r="B101" s="405">
        <f t="shared" si="28"/>
        <v>0</v>
      </c>
      <c r="C101" s="156">
        <f>Data!R653</f>
        <v>0.40333333333333299</v>
      </c>
      <c r="D101" s="34" t="s">
        <v>117</v>
      </c>
      <c r="E101" s="226">
        <f t="shared" si="23"/>
        <v>0</v>
      </c>
      <c r="F101" s="167">
        <f t="shared" si="25"/>
        <v>2.56</v>
      </c>
      <c r="G101" s="114">
        <f t="shared" si="26"/>
        <v>1.0325333333333324</v>
      </c>
      <c r="H101" s="109">
        <f>(B101*G101*triticale)*Data!$B$34*Data!$D$34*Data!$G$34</f>
        <v>0</v>
      </c>
      <c r="K101" s="55"/>
      <c r="L101" s="55"/>
    </row>
    <row r="102" spans="1:21" x14ac:dyDescent="0.3">
      <c r="A102" s="9" t="s">
        <v>1022</v>
      </c>
      <c r="B102" s="405">
        <f t="shared" si="28"/>
        <v>0</v>
      </c>
      <c r="C102" s="47">
        <f>Data!$R$654*Data!$F$221</f>
        <v>0</v>
      </c>
      <c r="D102" s="48" t="s">
        <v>117</v>
      </c>
      <c r="E102" s="647">
        <f t="shared" si="23"/>
        <v>0</v>
      </c>
      <c r="F102" s="118">
        <f>diesel_fuel</f>
        <v>2.56</v>
      </c>
      <c r="G102" s="465">
        <f>C102*F102</f>
        <v>0</v>
      </c>
      <c r="H102" s="123">
        <f>(B102*G102*triticale)*Data!$B$34*Data!$D$34*Data!$G$34</f>
        <v>0</v>
      </c>
      <c r="K102" s="55"/>
      <c r="L102" s="55"/>
    </row>
    <row r="103" spans="1:21" x14ac:dyDescent="0.3">
      <c r="A103" s="22" t="s">
        <v>753</v>
      </c>
      <c r="B103" s="405">
        <f t="shared" si="28"/>
        <v>0</v>
      </c>
      <c r="C103" s="165">
        <f>Data!R655</f>
        <v>0</v>
      </c>
      <c r="D103" s="34" t="s">
        <v>117</v>
      </c>
      <c r="E103" s="226">
        <f t="shared" si="23"/>
        <v>0</v>
      </c>
      <c r="F103" s="167">
        <f t="shared" si="25"/>
        <v>2.56</v>
      </c>
      <c r="G103" s="114">
        <f t="shared" si="26"/>
        <v>0</v>
      </c>
      <c r="H103" s="109">
        <f>(B103*G103*triticale)*Data!$B$34*Data!$D$34*Data!$G$34</f>
        <v>0</v>
      </c>
      <c r="K103" s="55"/>
      <c r="L103" s="55"/>
    </row>
    <row r="104" spans="1:21" x14ac:dyDescent="0.3">
      <c r="A104" s="9" t="s">
        <v>1022</v>
      </c>
      <c r="B104" s="405">
        <f t="shared" si="28"/>
        <v>0</v>
      </c>
      <c r="C104" s="83">
        <f>Data!$R$656*Data!$F$221</f>
        <v>0</v>
      </c>
      <c r="D104" s="48" t="s">
        <v>117</v>
      </c>
      <c r="E104" s="647">
        <f t="shared" si="23"/>
        <v>0</v>
      </c>
      <c r="F104" s="118">
        <f>diesel_fuel</f>
        <v>2.56</v>
      </c>
      <c r="G104" s="465">
        <f>C104*F104</f>
        <v>0</v>
      </c>
      <c r="H104" s="123">
        <f>(B104*G104*triticale)*Data!$B$34*Data!$D$34*Data!$G$34</f>
        <v>0</v>
      </c>
      <c r="K104" s="55"/>
      <c r="L104" s="55"/>
    </row>
    <row r="105" spans="1:21" x14ac:dyDescent="0.3">
      <c r="A105" s="22" t="s">
        <v>759</v>
      </c>
      <c r="B105" s="405">
        <f t="shared" si="28"/>
        <v>0</v>
      </c>
      <c r="C105" s="156">
        <f>Data!R657</f>
        <v>0.11</v>
      </c>
      <c r="D105" s="34" t="s">
        <v>117</v>
      </c>
      <c r="E105" s="226">
        <f t="shared" si="23"/>
        <v>0</v>
      </c>
      <c r="F105" s="167">
        <f t="shared" si="25"/>
        <v>2.56</v>
      </c>
      <c r="G105" s="114">
        <f t="shared" si="26"/>
        <v>0.28160000000000002</v>
      </c>
      <c r="H105" s="109">
        <f>(B105*G105*triticale)*Data!$B$34*Data!$H$34</f>
        <v>0</v>
      </c>
      <c r="K105" s="55"/>
      <c r="L105" s="55"/>
    </row>
    <row r="106" spans="1:21" x14ac:dyDescent="0.3">
      <c r="A106" s="9" t="s">
        <v>1022</v>
      </c>
      <c r="B106" s="405">
        <f t="shared" si="28"/>
        <v>0</v>
      </c>
      <c r="C106" s="47">
        <f>Data!$R$658*Data!$F$221</f>
        <v>0</v>
      </c>
      <c r="D106" s="48" t="s">
        <v>117</v>
      </c>
      <c r="E106" s="647">
        <f t="shared" si="23"/>
        <v>0</v>
      </c>
      <c r="F106" s="118">
        <f>diesel_fuel</f>
        <v>2.56</v>
      </c>
      <c r="G106" s="465">
        <f>C106*F106</f>
        <v>0</v>
      </c>
      <c r="H106" s="123">
        <f>(B106*G106*triticale)*Data!$B$34*Data!$H$34</f>
        <v>0</v>
      </c>
      <c r="K106" s="55"/>
      <c r="L106" s="55"/>
    </row>
    <row r="107" spans="1:21" x14ac:dyDescent="0.3">
      <c r="A107" s="639" t="s">
        <v>1435</v>
      </c>
      <c r="B107" s="832"/>
      <c r="C107" s="47"/>
      <c r="D107" s="48"/>
      <c r="E107" s="647"/>
      <c r="F107" s="118"/>
      <c r="G107" s="465"/>
      <c r="H107" s="123"/>
      <c r="K107" s="55"/>
      <c r="L107" s="55"/>
    </row>
    <row r="108" spans="1:21" x14ac:dyDescent="0.3">
      <c r="A108" s="638" t="s">
        <v>1436</v>
      </c>
      <c r="B108" s="405">
        <f>B56</f>
        <v>1</v>
      </c>
      <c r="C108" s="165">
        <f>IF(OSI!$H$41&gt;0,OSI!$H$41,Data!$R$669)</f>
        <v>0</v>
      </c>
      <c r="D108" s="34" t="s">
        <v>117</v>
      </c>
      <c r="E108" s="226">
        <f t="shared" ref="E108:E109" si="29">C108*triticale</f>
        <v>0</v>
      </c>
      <c r="F108" s="167">
        <f t="shared" si="25"/>
        <v>2.56</v>
      </c>
      <c r="G108" s="114">
        <f t="shared" ref="G108" si="30">C108*F108</f>
        <v>0</v>
      </c>
      <c r="H108" s="109">
        <f>B108*G108*triticale</f>
        <v>0</v>
      </c>
      <c r="K108" s="55"/>
      <c r="L108" s="55"/>
    </row>
    <row r="109" spans="1:21" x14ac:dyDescent="0.3">
      <c r="A109" s="666" t="s">
        <v>1022</v>
      </c>
      <c r="B109" s="405">
        <f>B57</f>
        <v>1</v>
      </c>
      <c r="C109" s="83">
        <f>Data!R670*Data!$F$221</f>
        <v>0</v>
      </c>
      <c r="D109" s="48" t="s">
        <v>117</v>
      </c>
      <c r="E109" s="647">
        <f t="shared" si="29"/>
        <v>0</v>
      </c>
      <c r="F109" s="118">
        <f>diesel_fuel</f>
        <v>2.56</v>
      </c>
      <c r="G109" s="465">
        <f>C109*F109</f>
        <v>0</v>
      </c>
      <c r="H109" s="123">
        <f>B109*G109*triticale</f>
        <v>0</v>
      </c>
      <c r="K109" s="55"/>
      <c r="L109" s="4" t="s">
        <v>1077</v>
      </c>
    </row>
    <row r="110" spans="1:21" x14ac:dyDescent="0.3">
      <c r="A110" s="639" t="s">
        <v>1147</v>
      </c>
      <c r="B110" s="60"/>
      <c r="C110" s="60"/>
      <c r="D110" s="34"/>
      <c r="E110" s="226"/>
      <c r="F110" s="104"/>
      <c r="G110" s="104"/>
      <c r="H110" s="109"/>
      <c r="J110" s="588">
        <f>OSI!$E$69</f>
        <v>30000</v>
      </c>
      <c r="K110" s="17" t="s">
        <v>220</v>
      </c>
      <c r="L110" s="17">
        <f>J110/2000</f>
        <v>15</v>
      </c>
      <c r="M110" s="17" t="s">
        <v>26</v>
      </c>
      <c r="N110" s="588">
        <f>OSI!$C$69</f>
        <v>500</v>
      </c>
      <c r="O110" s="17" t="s">
        <v>931</v>
      </c>
      <c r="P110" s="93" t="s">
        <v>944</v>
      </c>
      <c r="Q110" s="93"/>
      <c r="S110" s="588">
        <f>N110*Data!$K$63</f>
        <v>28000</v>
      </c>
      <c r="T110" s="17" t="s">
        <v>220</v>
      </c>
      <c r="U110" s="589">
        <f>S110/J110</f>
        <v>0.93333333333333335</v>
      </c>
    </row>
    <row r="111" spans="1:21" x14ac:dyDescent="0.3">
      <c r="A111" s="638" t="s">
        <v>1146</v>
      </c>
      <c r="B111" s="405">
        <f>B59</f>
        <v>1</v>
      </c>
      <c r="C111" s="816">
        <f>IF(OSI!$H$42&gt;0,OSI!$H$42,Data!$R$689)</f>
        <v>0</v>
      </c>
      <c r="D111" s="34" t="s">
        <v>116</v>
      </c>
      <c r="E111" s="226">
        <f>C111*triticale</f>
        <v>0</v>
      </c>
      <c r="F111" s="104">
        <f t="shared" si="25"/>
        <v>2.56</v>
      </c>
      <c r="G111" s="114">
        <f>C111*F111</f>
        <v>0</v>
      </c>
      <c r="H111" s="110">
        <f>B111*G111*triticale*G4</f>
        <v>0</v>
      </c>
      <c r="I111" s="108"/>
      <c r="J111" s="588">
        <f>OSI!$E$70</f>
        <v>180</v>
      </c>
      <c r="K111" s="17" t="s">
        <v>220</v>
      </c>
      <c r="L111" s="17">
        <f>J111/2000</f>
        <v>0.09</v>
      </c>
      <c r="M111" s="17" t="s">
        <v>26</v>
      </c>
      <c r="N111" s="588">
        <f>OSI!$C$70</f>
        <v>3</v>
      </c>
      <c r="O111" s="17" t="s">
        <v>931</v>
      </c>
      <c r="P111" s="93" t="s">
        <v>945</v>
      </c>
      <c r="Q111" s="93"/>
      <c r="S111" s="588">
        <f>N111*Data!$K$63</f>
        <v>168</v>
      </c>
      <c r="T111" s="17" t="s">
        <v>220</v>
      </c>
      <c r="U111" s="589">
        <f>S111/J111</f>
        <v>0.93333333333333335</v>
      </c>
    </row>
    <row r="112" spans="1:21" x14ac:dyDescent="0.3">
      <c r="A112" s="666" t="s">
        <v>1022</v>
      </c>
      <c r="B112" s="405">
        <f>B60</f>
        <v>1</v>
      </c>
      <c r="C112" s="83">
        <f>C111*Data!$F$221</f>
        <v>0</v>
      </c>
      <c r="D112" s="48" t="s">
        <v>117</v>
      </c>
      <c r="E112" s="647">
        <f>C112*triticale</f>
        <v>0</v>
      </c>
      <c r="F112" s="118">
        <f>diesel_fuel</f>
        <v>2.56</v>
      </c>
      <c r="G112" s="465">
        <f>C112*F112</f>
        <v>0</v>
      </c>
      <c r="H112" s="123">
        <f>B112*G112*triticale</f>
        <v>0</v>
      </c>
      <c r="I112" s="108">
        <f>SUM(H77:H112)</f>
        <v>0</v>
      </c>
      <c r="J112" s="108"/>
      <c r="K112" s="55"/>
      <c r="L112" s="24"/>
      <c r="M112" s="82"/>
    </row>
    <row r="113" spans="1:21" x14ac:dyDescent="0.3">
      <c r="A113" s="1258" t="s">
        <v>2093</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IF(OSI!$H$77&gt;0,1*$P$125,0)</f>
        <v>1</v>
      </c>
      <c r="C115" s="410">
        <f>IF(triticale&gt;0,($R$115*((Data!$B$220*triticale)/$N$110))/triticale,0)</f>
        <v>0</v>
      </c>
      <c r="D115" s="34" t="s">
        <v>117</v>
      </c>
      <c r="E115" s="46">
        <f t="shared" ref="E115:E120" si="31">C115*triticale</f>
        <v>0</v>
      </c>
      <c r="F115" s="167">
        <f t="shared" ref="F115:F119" si="32">diesel_fuel</f>
        <v>2.56</v>
      </c>
      <c r="G115" s="114">
        <f t="shared" ref="G115:G120" si="33">C115*F115</f>
        <v>0</v>
      </c>
      <c r="H115" s="110">
        <f t="shared" ref="H115:H120" si="34">B115*G115*triticale</f>
        <v>0</v>
      </c>
      <c r="J115" s="55" t="s">
        <v>762</v>
      </c>
      <c r="K115" s="369">
        <f>B115</f>
        <v>1</v>
      </c>
      <c r="L115" s="168">
        <f>IF(triticale&gt;0,(K115*(R115*diesel_fuel)*((Data!$B$220*triticale)/$N$110))/triticale,0)</f>
        <v>0</v>
      </c>
      <c r="M115" s="22" t="s">
        <v>254</v>
      </c>
      <c r="N115" s="168">
        <f>(R115*diesel_fuel)</f>
        <v>3.185777777777778</v>
      </c>
      <c r="O115" s="22" t="s">
        <v>935</v>
      </c>
      <c r="P115" s="816">
        <f>OSI!$G$69</f>
        <v>20</v>
      </c>
      <c r="Q115" s="816">
        <f>OSI!$G$70</f>
        <v>15</v>
      </c>
      <c r="R115" s="46">
        <f>(P115/Q115)*$U$110</f>
        <v>1.2444444444444445</v>
      </c>
      <c r="S115" s="216" t="s">
        <v>936</v>
      </c>
      <c r="T115" s="216" t="s">
        <v>937</v>
      </c>
    </row>
    <row r="116" spans="1:21" x14ac:dyDescent="0.3">
      <c r="A116" s="666" t="s">
        <v>2025</v>
      </c>
      <c r="B116" s="405">
        <f>IF(Data!$F$221=0,0,1*$P$125)</f>
        <v>0</v>
      </c>
      <c r="C116" s="593">
        <f>C115*Data!$F$221</f>
        <v>0</v>
      </c>
      <c r="D116" s="48" t="s">
        <v>117</v>
      </c>
      <c r="E116" s="47">
        <f t="shared" si="31"/>
        <v>0</v>
      </c>
      <c r="F116" s="118">
        <f>diesel_fuel</f>
        <v>2.56</v>
      </c>
      <c r="G116" s="465">
        <f t="shared" si="33"/>
        <v>0</v>
      </c>
      <c r="H116" s="123">
        <f t="shared" si="34"/>
        <v>0</v>
      </c>
      <c r="J116" s="55" t="s">
        <v>943</v>
      </c>
      <c r="K116" s="369">
        <f>B117</f>
        <v>0</v>
      </c>
      <c r="L116" s="114">
        <f>IF(triticale&gt;0,(K116*(R116*diesel_fuel)*((Data!$E$220*triticale)/$S$116))/triticale,0)</f>
        <v>0</v>
      </c>
      <c r="M116" s="22" t="s">
        <v>254</v>
      </c>
      <c r="N116" s="114">
        <f>R116*diesel_fuel</f>
        <v>3.185777777777778</v>
      </c>
      <c r="O116" s="22" t="s">
        <v>935</v>
      </c>
      <c r="P116" s="816">
        <f>OSI!$G$69</f>
        <v>20</v>
      </c>
      <c r="Q116" s="816">
        <f>OSI!$G$70</f>
        <v>15</v>
      </c>
      <c r="R116" s="46">
        <f t="shared" ref="R116:R117" si="35">(P116/Q116)*$U$110</f>
        <v>1.2444444444444445</v>
      </c>
      <c r="S116" s="816">
        <f>OSI!$G$71</f>
        <v>8</v>
      </c>
      <c r="T116" s="90">
        <f>(S116*Data!$E$218)/Data!$H$218</f>
        <v>200</v>
      </c>
    </row>
    <row r="117" spans="1:21" x14ac:dyDescent="0.3">
      <c r="A117" s="638" t="s">
        <v>940</v>
      </c>
      <c r="B117" s="405">
        <f>IF(OSI!$H$81&gt;0,Data!$B$34*Data!$C$34*$P$126,0)</f>
        <v>0</v>
      </c>
      <c r="C117" s="410">
        <f>IF(triticale&gt;0,($R$116*(Tb!$B$17/Tv!$S$116))/triticale,0)</f>
        <v>0</v>
      </c>
      <c r="D117" s="34" t="s">
        <v>117</v>
      </c>
      <c r="E117" s="46">
        <f t="shared" si="31"/>
        <v>0</v>
      </c>
      <c r="F117" s="167">
        <f t="shared" si="32"/>
        <v>2.56</v>
      </c>
      <c r="G117" s="114">
        <f t="shared" si="33"/>
        <v>0</v>
      </c>
      <c r="H117" s="110">
        <f t="shared" si="34"/>
        <v>0</v>
      </c>
      <c r="J117" s="55" t="s">
        <v>948</v>
      </c>
      <c r="K117" s="369">
        <f>B119</f>
        <v>0</v>
      </c>
      <c r="L117" s="114">
        <f>IF(triticale&gt;0,(K117*(R117*diesel_fuel)*((Data!$H$220*triticale)/$T$116))/triticale,0)</f>
        <v>0</v>
      </c>
      <c r="M117" s="22" t="s">
        <v>254</v>
      </c>
      <c r="N117" s="114">
        <f>R117*diesel_fuel</f>
        <v>3.185777777777778</v>
      </c>
      <c r="O117" s="22" t="s">
        <v>935</v>
      </c>
      <c r="P117" s="816">
        <f>OSI!$G$69</f>
        <v>20</v>
      </c>
      <c r="Q117" s="816">
        <f>OSI!$G$70</f>
        <v>15</v>
      </c>
      <c r="R117" s="46">
        <f t="shared" si="35"/>
        <v>1.2444444444444445</v>
      </c>
    </row>
    <row r="118" spans="1:21" x14ac:dyDescent="0.3">
      <c r="A118" s="666" t="s">
        <v>2025</v>
      </c>
      <c r="B118" s="405">
        <f>IF(Data!$F$222=0,0,1*$P$126)</f>
        <v>0</v>
      </c>
      <c r="C118" s="593">
        <f>C117*Data!$F$222</f>
        <v>0</v>
      </c>
      <c r="D118" s="48" t="s">
        <v>117</v>
      </c>
      <c r="E118" s="47">
        <f t="shared" si="31"/>
        <v>0</v>
      </c>
      <c r="F118" s="118">
        <f>diesel_fuel</f>
        <v>2.56</v>
      </c>
      <c r="G118" s="465">
        <f t="shared" si="33"/>
        <v>0</v>
      </c>
      <c r="H118" s="123">
        <f t="shared" si="34"/>
        <v>0</v>
      </c>
      <c r="Q118" s="216" t="s">
        <v>933</v>
      </c>
      <c r="R118" s="216" t="s">
        <v>933</v>
      </c>
    </row>
    <row r="119" spans="1:21" x14ac:dyDescent="0.3">
      <c r="A119" s="638" t="s">
        <v>941</v>
      </c>
      <c r="B119" s="405">
        <f>IF(OSI!$H$85&gt;0,Data!$B$34*Data!$D$34*$P$127,0)</f>
        <v>0</v>
      </c>
      <c r="C119" s="410">
        <f>IF(triticale&gt;0,($R$117*(Tb!$B$19/Tv!$T$116))/triticale,0)</f>
        <v>0</v>
      </c>
      <c r="D119" s="34" t="s">
        <v>117</v>
      </c>
      <c r="E119" s="46">
        <f t="shared" si="31"/>
        <v>0</v>
      </c>
      <c r="F119" s="167">
        <f t="shared" si="32"/>
        <v>2.56</v>
      </c>
      <c r="G119" s="114">
        <f t="shared" si="33"/>
        <v>0</v>
      </c>
      <c r="H119" s="110">
        <f t="shared" si="34"/>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IF(Data!$F$222=0,0,1*$P$127)</f>
        <v>0</v>
      </c>
      <c r="C120" s="593">
        <f>C119*Data!$F$222</f>
        <v>0</v>
      </c>
      <c r="D120" s="48" t="s">
        <v>117</v>
      </c>
      <c r="E120" s="47">
        <f t="shared" si="31"/>
        <v>0</v>
      </c>
      <c r="F120" s="118">
        <f>diesel_fuel</f>
        <v>2.56</v>
      </c>
      <c r="G120" s="465">
        <f t="shared" si="33"/>
        <v>0</v>
      </c>
      <c r="H120" s="123">
        <f t="shared" si="34"/>
        <v>0</v>
      </c>
      <c r="J120" s="55" t="s">
        <v>762</v>
      </c>
      <c r="K120" s="369">
        <f>B122</f>
        <v>0</v>
      </c>
      <c r="L120" s="168">
        <f>IF(triticale&gt;0,(K120*(R120*diesel_fuel)*((Data!$B$220*triticale)/$N$111))/triticale,0)</f>
        <v>0</v>
      </c>
      <c r="M120" s="22" t="s">
        <v>254</v>
      </c>
      <c r="N120" s="168">
        <f>(R120*diesel_fuel)</f>
        <v>6.826666666666668</v>
      </c>
      <c r="O120" s="22" t="s">
        <v>935</v>
      </c>
      <c r="P120" s="816">
        <f>OSI!$I$69</f>
        <v>20</v>
      </c>
      <c r="Q120" s="816">
        <f>OSI!$I$70</f>
        <v>7</v>
      </c>
      <c r="R120" s="46">
        <f>(P120/Q120)*$U$111</f>
        <v>2.666666666666667</v>
      </c>
      <c r="S120" s="216" t="s">
        <v>936</v>
      </c>
      <c r="T120" s="216" t="s">
        <v>937</v>
      </c>
    </row>
    <row r="121" spans="1:21" x14ac:dyDescent="0.3">
      <c r="A121" s="638" t="s">
        <v>942</v>
      </c>
      <c r="B121" s="34"/>
      <c r="C121" s="34"/>
      <c r="D121" s="34"/>
      <c r="E121" s="46"/>
      <c r="F121" s="68"/>
      <c r="G121" s="114"/>
      <c r="H121" s="110"/>
      <c r="J121" s="55" t="s">
        <v>943</v>
      </c>
      <c r="K121" s="369">
        <f>B124</f>
        <v>0</v>
      </c>
      <c r="L121" s="114">
        <f>IF(triticale&gt;0,(K121*(R121*diesel_fuel)*((Data!$E$220*triticale)/$S$121))/triticale,0)</f>
        <v>0</v>
      </c>
      <c r="M121" s="22" t="s">
        <v>254</v>
      </c>
      <c r="N121" s="114">
        <f>R121*diesel_fuel</f>
        <v>6.826666666666668</v>
      </c>
      <c r="O121" s="22" t="s">
        <v>935</v>
      </c>
      <c r="P121" s="816">
        <f>OSI!$I$69</f>
        <v>20</v>
      </c>
      <c r="Q121" s="816">
        <f>OSI!$I$70</f>
        <v>7</v>
      </c>
      <c r="R121" s="46">
        <f t="shared" ref="R121:R122" si="36">(P121/Q121)*$U$111</f>
        <v>2.666666666666667</v>
      </c>
      <c r="S121" s="816">
        <f>OSI!$I$71</f>
        <v>16</v>
      </c>
      <c r="T121" s="90">
        <f>(S121*Data!$E$218)/Data!$H$218</f>
        <v>400</v>
      </c>
    </row>
    <row r="122" spans="1:21" x14ac:dyDescent="0.3">
      <c r="A122" s="638" t="s">
        <v>939</v>
      </c>
      <c r="B122" s="405">
        <f>IF(OSI!$H$78&gt;0,1*$Q$125,0)</f>
        <v>0</v>
      </c>
      <c r="C122" s="410">
        <f>IF(triticale&gt;0,($R$120*((Data!$B$220*triticale)/$N$111))/triticale,0)</f>
        <v>0</v>
      </c>
      <c r="D122" s="34" t="s">
        <v>117</v>
      </c>
      <c r="E122" s="46">
        <f t="shared" ref="E122:E127" si="37">C122*triticale</f>
        <v>0</v>
      </c>
      <c r="F122" s="167">
        <f t="shared" ref="F122:F126" si="38">diesel_fuel</f>
        <v>2.56</v>
      </c>
      <c r="G122" s="114">
        <f t="shared" ref="G122:G127" si="39">C122*F122</f>
        <v>0</v>
      </c>
      <c r="H122" s="110">
        <f t="shared" ref="H122:H127" si="40">B122*G122*triticale</f>
        <v>0</v>
      </c>
      <c r="J122" s="55" t="s">
        <v>948</v>
      </c>
      <c r="K122" s="369">
        <f>B126</f>
        <v>0</v>
      </c>
      <c r="L122" s="114">
        <f>IF(triticale&gt;0,(K122*(R122*diesel_fuel)*((Data!$H$220*triticale)/$T$121))/triticale,0)</f>
        <v>0</v>
      </c>
      <c r="M122" s="22" t="s">
        <v>254</v>
      </c>
      <c r="N122" s="114">
        <f>R122*diesel_fuel</f>
        <v>6.826666666666668</v>
      </c>
      <c r="O122" s="22" t="s">
        <v>935</v>
      </c>
      <c r="P122" s="816">
        <f>OSI!$I$69</f>
        <v>20</v>
      </c>
      <c r="Q122" s="816">
        <f>OSI!$I$70</f>
        <v>7</v>
      </c>
      <c r="R122" s="46">
        <f t="shared" si="36"/>
        <v>2.666666666666667</v>
      </c>
    </row>
    <row r="123" spans="1:21" x14ac:dyDescent="0.3">
      <c r="A123" s="666" t="s">
        <v>2025</v>
      </c>
      <c r="B123" s="405">
        <f>IF(Data!$F$221=0,0,1*$Q$125)</f>
        <v>0</v>
      </c>
      <c r="C123" s="593">
        <f>C122*Data!$F$221</f>
        <v>0</v>
      </c>
      <c r="D123" s="48" t="s">
        <v>117</v>
      </c>
      <c r="E123" s="47">
        <f t="shared" si="37"/>
        <v>0</v>
      </c>
      <c r="F123" s="118">
        <f>diesel_fuel</f>
        <v>2.56</v>
      </c>
      <c r="G123" s="465">
        <f t="shared" si="39"/>
        <v>0</v>
      </c>
      <c r="H123" s="123">
        <f t="shared" si="40"/>
        <v>0</v>
      </c>
      <c r="J123" s="55"/>
      <c r="K123" s="114"/>
      <c r="L123" s="114"/>
      <c r="M123" s="22"/>
      <c r="N123" s="114"/>
      <c r="O123" s="22"/>
      <c r="P123" s="22"/>
      <c r="Q123" s="22"/>
      <c r="R123" s="22"/>
      <c r="S123" s="22"/>
      <c r="T123" s="22"/>
      <c r="U123" s="22"/>
    </row>
    <row r="124" spans="1:21" x14ac:dyDescent="0.3">
      <c r="A124" s="638" t="s">
        <v>940</v>
      </c>
      <c r="B124" s="405">
        <f>IF(OSI!$H$82&gt;0,Data!$B$34*Data!$C$34*$Q$126,0)</f>
        <v>0</v>
      </c>
      <c r="C124" s="410">
        <f>IF(triticale&gt;0,($R$121*(Tb!$B$17/Tv!$S$121))/triticale,0)</f>
        <v>0</v>
      </c>
      <c r="D124" s="34" t="s">
        <v>117</v>
      </c>
      <c r="E124" s="46">
        <f t="shared" si="37"/>
        <v>0</v>
      </c>
      <c r="F124" s="167">
        <f t="shared" si="38"/>
        <v>2.56</v>
      </c>
      <c r="G124" s="114">
        <f t="shared" si="39"/>
        <v>0</v>
      </c>
      <c r="H124" s="110">
        <f t="shared" si="40"/>
        <v>0</v>
      </c>
      <c r="M124" s="22"/>
      <c r="N124" s="114"/>
      <c r="O124" s="67" t="s">
        <v>2045</v>
      </c>
      <c r="P124" s="216" t="s">
        <v>932</v>
      </c>
      <c r="Q124" s="216" t="s">
        <v>934</v>
      </c>
      <c r="R124" s="216" t="s">
        <v>76</v>
      </c>
      <c r="S124" s="22"/>
      <c r="T124" s="22"/>
      <c r="U124" s="22"/>
    </row>
    <row r="125" spans="1:21" x14ac:dyDescent="0.3">
      <c r="A125" s="666" t="s">
        <v>2025</v>
      </c>
      <c r="B125" s="405">
        <f>IF(Data!$F$222=0,0,1*$Q$126)</f>
        <v>0</v>
      </c>
      <c r="C125" s="593">
        <f>C124*Data!$F$222</f>
        <v>0</v>
      </c>
      <c r="D125" s="48" t="s">
        <v>117</v>
      </c>
      <c r="E125" s="47">
        <f t="shared" si="37"/>
        <v>0</v>
      </c>
      <c r="F125" s="118">
        <f>diesel_fuel</f>
        <v>2.56</v>
      </c>
      <c r="G125" s="465">
        <f t="shared" si="39"/>
        <v>0</v>
      </c>
      <c r="H125" s="123">
        <f t="shared" si="40"/>
        <v>0</v>
      </c>
      <c r="M125" s="22"/>
      <c r="N125" s="114"/>
      <c r="O125" s="34" t="s">
        <v>762</v>
      </c>
      <c r="P125" s="922">
        <f>OSI!$C$77</f>
        <v>1</v>
      </c>
      <c r="Q125" s="922">
        <f>OSI!$C$78</f>
        <v>0</v>
      </c>
      <c r="R125" s="412">
        <f>SUM(P125:Q125)</f>
        <v>1</v>
      </c>
      <c r="S125" s="22"/>
      <c r="T125" s="22"/>
      <c r="U125" s="22"/>
    </row>
    <row r="126" spans="1:21" x14ac:dyDescent="0.3">
      <c r="A126" s="638" t="s">
        <v>941</v>
      </c>
      <c r="B126" s="405">
        <f>IF(OSI!$H$86&gt;0,Data!$B$34*Data!$D$34*$Q$127,0)</f>
        <v>0</v>
      </c>
      <c r="C126" s="410">
        <f>IF(triticale&gt;0,($R$122*(Tb!$B$19/Tv!$T$121))/triticale,0)</f>
        <v>0</v>
      </c>
      <c r="D126" s="34" t="s">
        <v>117</v>
      </c>
      <c r="E126" s="46">
        <f t="shared" si="37"/>
        <v>0</v>
      </c>
      <c r="F126" s="167">
        <f t="shared" si="38"/>
        <v>2.56</v>
      </c>
      <c r="G126" s="114">
        <f t="shared" si="39"/>
        <v>0</v>
      </c>
      <c r="H126" s="110">
        <f t="shared" si="40"/>
        <v>0</v>
      </c>
      <c r="I126" s="50"/>
      <c r="M126" s="22"/>
      <c r="N126" s="114"/>
      <c r="O126" s="55" t="s">
        <v>943</v>
      </c>
      <c r="P126" s="922">
        <f>OSI!$C$81</f>
        <v>1</v>
      </c>
      <c r="Q126" s="922">
        <f>OSI!$C$82</f>
        <v>0</v>
      </c>
      <c r="R126" s="412">
        <f>SUM(P126:Q126)</f>
        <v>1</v>
      </c>
      <c r="S126" s="22"/>
      <c r="T126" s="22"/>
      <c r="U126" s="22"/>
    </row>
    <row r="127" spans="1:21" x14ac:dyDescent="0.3">
      <c r="A127" s="666" t="s">
        <v>2025</v>
      </c>
      <c r="B127" s="405">
        <f>IF(Data!$F$222=0,0,1*$Q$127)</f>
        <v>0</v>
      </c>
      <c r="C127" s="593">
        <f>C126*Data!$F$222</f>
        <v>0</v>
      </c>
      <c r="D127" s="48" t="s">
        <v>117</v>
      </c>
      <c r="E127" s="47">
        <f t="shared" si="37"/>
        <v>0</v>
      </c>
      <c r="F127" s="118">
        <f>diesel_fuel</f>
        <v>2.56</v>
      </c>
      <c r="G127" s="465">
        <f t="shared" si="39"/>
        <v>0</v>
      </c>
      <c r="H127" s="123">
        <f t="shared" si="40"/>
        <v>0</v>
      </c>
      <c r="I127" s="108">
        <f>SUM(H114:H127)</f>
        <v>0</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46" t="s">
        <v>45</v>
      </c>
      <c r="E128" s="226" t="s">
        <v>45</v>
      </c>
      <c r="F128" s="68" t="s">
        <v>45</v>
      </c>
      <c r="G128" s="114">
        <f>IF(FARM!$C$20=0,0,H128/triticale)</f>
        <v>0</v>
      </c>
      <c r="H128" s="104">
        <f>B128*lube*SUM(H77:H127)</f>
        <v>0</v>
      </c>
      <c r="I128" s="108">
        <f>SUM(H128:H128)</f>
        <v>0</v>
      </c>
      <c r="K128" s="55"/>
      <c r="L128" s="81"/>
      <c r="M128" s="81"/>
    </row>
    <row r="129" spans="1:13" x14ac:dyDescent="0.3">
      <c r="A129" s="3" t="s">
        <v>491</v>
      </c>
      <c r="B129" s="643">
        <v>1</v>
      </c>
      <c r="C129" s="46" t="s">
        <v>45</v>
      </c>
      <c r="D129" s="46" t="s">
        <v>45</v>
      </c>
      <c r="E129" s="226" t="s">
        <v>45</v>
      </c>
      <c r="F129" s="68" t="s">
        <v>45</v>
      </c>
      <c r="G129" s="114">
        <f>IF(FARM!$C$20=0,0,H129/triticale)</f>
        <v>0</v>
      </c>
      <c r="H129" s="109">
        <f>B129*Tf!J121*Data!D17</f>
        <v>0</v>
      </c>
      <c r="L129" s="27"/>
      <c r="M129" s="27"/>
    </row>
    <row r="130" spans="1:13" x14ac:dyDescent="0.3">
      <c r="A130" s="3"/>
      <c r="B130" s="397">
        <v>0</v>
      </c>
      <c r="C130" s="46" t="s">
        <v>45</v>
      </c>
      <c r="D130" s="46" t="s">
        <v>45</v>
      </c>
      <c r="E130" s="226" t="s">
        <v>45</v>
      </c>
      <c r="F130" s="68" t="s">
        <v>45</v>
      </c>
      <c r="G130" s="272">
        <f>0</f>
        <v>0</v>
      </c>
      <c r="H130" s="110">
        <f>B130*G130*triticale</f>
        <v>0</v>
      </c>
      <c r="I130" s="108">
        <f>SUM(H129:H130)</f>
        <v>0</v>
      </c>
      <c r="L130" s="81"/>
      <c r="M130" s="81"/>
    </row>
    <row r="131" spans="1:13" x14ac:dyDescent="0.3">
      <c r="A131" s="3" t="s">
        <v>170</v>
      </c>
      <c r="B131" s="405">
        <f>IF(OSI!$H$52=0,0,1)</f>
        <v>0</v>
      </c>
      <c r="C131" s="46" t="s">
        <v>45</v>
      </c>
      <c r="D131" s="46" t="s">
        <v>45</v>
      </c>
      <c r="E131" s="226" t="s">
        <v>45</v>
      </c>
      <c r="F131" s="68" t="s">
        <v>45</v>
      </c>
      <c r="G131" s="114">
        <f>IF(FARM!$C$20=0,0,OSI!$H$52/triticale)</f>
        <v>0</v>
      </c>
      <c r="H131" s="109">
        <f>B131*G131*triticale</f>
        <v>0</v>
      </c>
      <c r="I131" s="108">
        <f>SUM(H131:H131)</f>
        <v>0</v>
      </c>
      <c r="K131" s="55"/>
      <c r="L131" s="81"/>
      <c r="M131" s="81"/>
    </row>
    <row r="132" spans="1:13" x14ac:dyDescent="0.3">
      <c r="A132" s="3" t="s">
        <v>75</v>
      </c>
      <c r="B132" s="405">
        <f>IF(OSI!$H$53=0,0,1)</f>
        <v>1</v>
      </c>
      <c r="C132" s="46" t="s">
        <v>45</v>
      </c>
      <c r="D132" s="46" t="s">
        <v>45</v>
      </c>
      <c r="E132" s="226" t="s">
        <v>45</v>
      </c>
      <c r="F132" s="114">
        <f>G132</f>
        <v>0</v>
      </c>
      <c r="G132" s="114">
        <f>IF(FARM!$C$20=0,0,OSI!$H$53/triticale)</f>
        <v>0</v>
      </c>
      <c r="H132" s="110">
        <f>B132*G132*triticale</f>
        <v>0</v>
      </c>
      <c r="K132" s="55"/>
    </row>
    <row r="133" spans="1:13" x14ac:dyDescent="0.3">
      <c r="A133" s="3"/>
      <c r="B133" s="397">
        <v>0</v>
      </c>
      <c r="C133" s="46" t="s">
        <v>45</v>
      </c>
      <c r="D133" s="34" t="s">
        <v>45</v>
      </c>
      <c r="E133" s="34" t="s">
        <v>45</v>
      </c>
      <c r="F133" s="55" t="s">
        <v>45</v>
      </c>
      <c r="G133" s="272">
        <f>0</f>
        <v>0</v>
      </c>
      <c r="H133" s="110">
        <f>B133*G133*triticale</f>
        <v>0</v>
      </c>
      <c r="I133" s="108">
        <f>SUM(H132:H133)</f>
        <v>0</v>
      </c>
      <c r="L133" s="24"/>
      <c r="M133" s="24"/>
    </row>
    <row r="134" spans="1:13" x14ac:dyDescent="0.3">
      <c r="A134" s="69" t="s">
        <v>173</v>
      </c>
      <c r="B134" s="69"/>
      <c r="C134" s="46"/>
      <c r="D134" s="34"/>
      <c r="E134" s="226"/>
      <c r="F134" s="114"/>
      <c r="G134" s="114"/>
      <c r="H134" s="109"/>
    </row>
    <row r="135" spans="1:13" x14ac:dyDescent="0.3">
      <c r="A135" s="856" t="s">
        <v>1504</v>
      </c>
      <c r="B135" s="405">
        <f>IF(Data!$F$75=0,0,1)</f>
        <v>1</v>
      </c>
      <c r="C135" s="46" t="s">
        <v>45</v>
      </c>
      <c r="D135" s="46" t="s">
        <v>45</v>
      </c>
      <c r="E135" s="226" t="s">
        <v>45</v>
      </c>
      <c r="F135" s="68" t="s">
        <v>45</v>
      </c>
      <c r="G135" s="676">
        <f>Data!$F$75</f>
        <v>1.5</v>
      </c>
      <c r="H135" s="110">
        <f>B135*G135*triticale</f>
        <v>0</v>
      </c>
      <c r="I135" s="108">
        <f>SUM(H135:H135)</f>
        <v>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10">
        <f>B137*G137*triticale</f>
        <v>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10">
        <f>B138*G138*triticale</f>
        <v>0</v>
      </c>
      <c r="I138" s="108">
        <f>SUM(H136:H138)</f>
        <v>0</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10">
        <f>B140*G140*triticale</f>
        <v>0</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10">
        <f>B141*G141*triticale</f>
        <v>0</v>
      </c>
      <c r="I141" s="108">
        <f>SUM(H139:H141)</f>
        <v>0</v>
      </c>
    </row>
    <row r="142" spans="1:13" x14ac:dyDescent="0.3">
      <c r="A142" s="856" t="s">
        <v>1503</v>
      </c>
      <c r="B142" s="677">
        <f>limeapp</f>
        <v>0.2</v>
      </c>
      <c r="C142" s="46" t="s">
        <v>45</v>
      </c>
      <c r="D142" s="46" t="s">
        <v>45</v>
      </c>
      <c r="E142" s="226" t="s">
        <v>45</v>
      </c>
      <c r="F142" s="110">
        <f>Data!$E$97</f>
        <v>75</v>
      </c>
      <c r="G142" s="114">
        <f>B142*F142</f>
        <v>15</v>
      </c>
      <c r="H142" s="110">
        <f>G142*triticale</f>
        <v>0</v>
      </c>
      <c r="I142" s="108">
        <f>SUM(H142:H142)</f>
        <v>0</v>
      </c>
    </row>
    <row r="143" spans="1:13" x14ac:dyDescent="0.3">
      <c r="A143" s="70" t="s">
        <v>177</v>
      </c>
      <c r="B143" s="70"/>
      <c r="G143" s="114"/>
      <c r="H143" s="110"/>
    </row>
    <row r="144" spans="1:13" x14ac:dyDescent="0.3">
      <c r="A144" s="22" t="s">
        <v>174</v>
      </c>
      <c r="B144" s="816">
        <f>IF(Data!$E$57&gt;0,1,0)</f>
        <v>1</v>
      </c>
      <c r="C144" s="34" t="s">
        <v>45</v>
      </c>
      <c r="D144" s="34" t="s">
        <v>81</v>
      </c>
      <c r="E144" s="226" t="s">
        <v>45</v>
      </c>
      <c r="F144" s="110">
        <f>Data!D61</f>
        <v>50</v>
      </c>
      <c r="G144" s="114">
        <f>IF(triticale&gt;0,H144/triticale,0)</f>
        <v>0</v>
      </c>
      <c r="H144" s="110">
        <f>B144*F144*triticale*Data!E57*Data!D17</f>
        <v>0</v>
      </c>
    </row>
    <row r="145" spans="1:18" x14ac:dyDescent="0.3">
      <c r="A145" s="22" t="s">
        <v>224</v>
      </c>
      <c r="B145" s="1305">
        <f>IF(Data!$F$65&gt;0,1,0)</f>
        <v>0</v>
      </c>
      <c r="C145" s="34" t="s">
        <v>45</v>
      </c>
      <c r="D145" s="34" t="s">
        <v>225</v>
      </c>
      <c r="E145" s="226" t="s">
        <v>45</v>
      </c>
      <c r="F145" s="55" t="s">
        <v>45</v>
      </c>
      <c r="G145" s="1306">
        <f>Data!$F$65</f>
        <v>0</v>
      </c>
      <c r="H145" s="110">
        <f>B145*G145*triticale</f>
        <v>0</v>
      </c>
      <c r="I145" s="108">
        <f>SUM(H143:H145)</f>
        <v>0</v>
      </c>
    </row>
    <row r="146" spans="1:18" x14ac:dyDescent="0.3">
      <c r="A146" s="665" t="s">
        <v>179</v>
      </c>
      <c r="I146" s="50"/>
      <c r="J146" s="27"/>
      <c r="K146" s="1293" t="s">
        <v>2104</v>
      </c>
      <c r="L146" s="1293" t="s">
        <v>236</v>
      </c>
      <c r="M146" s="1293" t="s">
        <v>393</v>
      </c>
      <c r="N146" s="114"/>
      <c r="O146" s="55"/>
      <c r="P146" s="55"/>
      <c r="Q146" s="55"/>
      <c r="R146" s="412"/>
    </row>
    <row r="147" spans="1:18" x14ac:dyDescent="0.3">
      <c r="A147" s="639" t="s">
        <v>957</v>
      </c>
      <c r="B147" s="405">
        <f>IF(OS!$R21="Dry",1,0)</f>
        <v>1</v>
      </c>
      <c r="C147" s="34" t="s">
        <v>45</v>
      </c>
      <c r="D147" s="75" t="s">
        <v>45</v>
      </c>
      <c r="E147" s="226" t="s">
        <v>45</v>
      </c>
      <c r="F147" s="55" t="s">
        <v>45</v>
      </c>
      <c r="G147" s="367">
        <f>Data!$I$72*Data!B221</f>
        <v>24.08469119431529</v>
      </c>
      <c r="H147" s="110">
        <f>B147*G147*triticale</f>
        <v>0</v>
      </c>
      <c r="I147" s="50"/>
      <c r="K147" s="114">
        <f>Data!$I$72</f>
        <v>0.53521535987367308</v>
      </c>
      <c r="L147" s="24">
        <f>Data!B221</f>
        <v>45</v>
      </c>
      <c r="M147" s="98">
        <f>K147*L147</f>
        <v>24.08469119431529</v>
      </c>
      <c r="N147" s="216"/>
      <c r="O147" s="216"/>
    </row>
    <row r="148" spans="1:18" x14ac:dyDescent="0.3">
      <c r="A148" s="666" t="s">
        <v>1022</v>
      </c>
      <c r="B148" s="405">
        <f>B147</f>
        <v>1</v>
      </c>
      <c r="C148" s="47" t="s">
        <v>45</v>
      </c>
      <c r="D148" s="47" t="s">
        <v>45</v>
      </c>
      <c r="E148" s="647" t="s">
        <v>45</v>
      </c>
      <c r="F148" s="590" t="s">
        <v>45</v>
      </c>
      <c r="G148" s="465">
        <f>Data!$I$72*(Data!B220-Data!B221)</f>
        <v>-24.08469119431529</v>
      </c>
      <c r="H148" s="123">
        <f>B148*G148*triticale</f>
        <v>0</v>
      </c>
      <c r="I148" s="108">
        <f>SUM(H146:H148)</f>
        <v>0</v>
      </c>
    </row>
    <row r="149" spans="1:18" x14ac:dyDescent="0.3">
      <c r="A149" s="22" t="s">
        <v>952</v>
      </c>
      <c r="B149" s="110"/>
      <c r="C149" s="110"/>
      <c r="D149" s="110"/>
      <c r="E149" s="598"/>
      <c r="F149" s="110"/>
      <c r="G149" s="110"/>
      <c r="H149" s="110"/>
      <c r="K149" s="415" t="s">
        <v>1075</v>
      </c>
      <c r="L149" s="114"/>
    </row>
    <row r="150" spans="1:18" x14ac:dyDescent="0.3">
      <c r="A150" s="411" t="s">
        <v>953</v>
      </c>
      <c r="B150" s="405">
        <f>IF(Tf!$B$76=1,1,0)</f>
        <v>0</v>
      </c>
      <c r="C150" s="46" t="s">
        <v>45</v>
      </c>
      <c r="D150" s="34" t="s">
        <v>956</v>
      </c>
      <c r="E150" s="226" t="s">
        <v>45</v>
      </c>
      <c r="F150" s="1290">
        <f>Straw!$I$33</f>
        <v>5.42372881355932</v>
      </c>
      <c r="G150" s="414">
        <f>B150*F150*Data!$E$220</f>
        <v>0</v>
      </c>
      <c r="H150" s="110">
        <f>B150*G150*triticale*Data!$C$34*K150*Data!B34</f>
        <v>0</v>
      </c>
      <c r="J150" s="55" t="s">
        <v>1076</v>
      </c>
      <c r="K150" s="1291">
        <f>Straw!$I$31</f>
        <v>0</v>
      </c>
      <c r="L150" s="114"/>
    </row>
    <row r="151" spans="1:18" x14ac:dyDescent="0.3">
      <c r="A151" s="9" t="s">
        <v>1022</v>
      </c>
      <c r="B151" s="405">
        <f>B150</f>
        <v>0</v>
      </c>
      <c r="C151" s="47" t="s">
        <v>45</v>
      </c>
      <c r="D151" s="47" t="s">
        <v>45</v>
      </c>
      <c r="E151" s="647" t="s">
        <v>45</v>
      </c>
      <c r="F151" s="465">
        <f>F150</f>
        <v>5.42372881355932</v>
      </c>
      <c r="G151" s="465">
        <f>B151*F151*Data!$E$220*Data!$F$221</f>
        <v>0</v>
      </c>
      <c r="H151" s="123">
        <f>B151*G151*triticale*Data!$C$34*$K$150*Data!B34</f>
        <v>0</v>
      </c>
      <c r="J151" s="55" t="s">
        <v>1040</v>
      </c>
      <c r="K151" s="1292">
        <f>Straw!$I$32</f>
        <v>1</v>
      </c>
      <c r="L151" s="114"/>
    </row>
    <row r="152" spans="1:18" x14ac:dyDescent="0.3">
      <c r="A152" s="411" t="s">
        <v>954</v>
      </c>
      <c r="B152" s="405">
        <f>IF(Tf!$B$76=1,1,0)</f>
        <v>0</v>
      </c>
      <c r="C152" s="46" t="s">
        <v>45</v>
      </c>
      <c r="D152" s="34" t="s">
        <v>956</v>
      </c>
      <c r="E152" s="226" t="s">
        <v>45</v>
      </c>
      <c r="F152" s="1290">
        <f>Straw!$I$34</f>
        <v>0.86</v>
      </c>
      <c r="G152" s="414">
        <f>B152*F152*Data!$E$220</f>
        <v>0</v>
      </c>
      <c r="H152" s="110">
        <f>B152*G152*triticale*Data!$C$34*K151*Data!B34</f>
        <v>0</v>
      </c>
      <c r="K152" s="587">
        <f>SUM(K150:K151)</f>
        <v>1</v>
      </c>
      <c r="L152" s="114"/>
    </row>
    <row r="153" spans="1:18" x14ac:dyDescent="0.3">
      <c r="A153" s="9" t="s">
        <v>1022</v>
      </c>
      <c r="B153" s="405">
        <f>B152</f>
        <v>0</v>
      </c>
      <c r="C153" s="47" t="s">
        <v>45</v>
      </c>
      <c r="D153" s="47" t="s">
        <v>45</v>
      </c>
      <c r="E153" s="647" t="s">
        <v>45</v>
      </c>
      <c r="F153" s="465">
        <f>F152</f>
        <v>0.86</v>
      </c>
      <c r="G153" s="465">
        <f>B153*F153*Data!$E$220*Data!$F$221</f>
        <v>0</v>
      </c>
      <c r="H153" s="123">
        <f>B153*G153*triticale*Data!$C$34*$K$151*Data!B34</f>
        <v>0</v>
      </c>
    </row>
    <row r="154" spans="1:18" x14ac:dyDescent="0.3">
      <c r="A154" s="411" t="s">
        <v>955</v>
      </c>
      <c r="B154" s="405">
        <f>IF(Tf!$B$77=1,1,0)</f>
        <v>0</v>
      </c>
      <c r="C154" s="46" t="s">
        <v>45</v>
      </c>
      <c r="D154" s="34" t="s">
        <v>956</v>
      </c>
      <c r="E154" s="226" t="s">
        <v>45</v>
      </c>
      <c r="F154" s="1290">
        <f>Straw!$I$35</f>
        <v>7.0000000000000007E-2</v>
      </c>
      <c r="G154" s="414">
        <f>B154*F154*Data!$E$220</f>
        <v>0</v>
      </c>
      <c r="H154" s="110">
        <f>B154*G154*triticale*Data!$C$34*Data!B34</f>
        <v>0</v>
      </c>
    </row>
    <row r="155" spans="1:18" x14ac:dyDescent="0.3">
      <c r="A155" s="9" t="s">
        <v>1022</v>
      </c>
      <c r="B155" s="405">
        <f>B154</f>
        <v>0</v>
      </c>
      <c r="C155" s="47" t="s">
        <v>45</v>
      </c>
      <c r="D155" s="47" t="s">
        <v>45</v>
      </c>
      <c r="E155" s="647" t="s">
        <v>45</v>
      </c>
      <c r="F155" s="465">
        <f>F154</f>
        <v>7.0000000000000007E-2</v>
      </c>
      <c r="G155" s="465">
        <f>B155*F155*Data!$E$220*Data!$F$221</f>
        <v>0</v>
      </c>
      <c r="H155" s="123">
        <f>B155*G155*triticale*Data!$D$34*Data!B34</f>
        <v>0</v>
      </c>
      <c r="I155" s="108">
        <f>SUM(H147:H155)</f>
        <v>0</v>
      </c>
    </row>
    <row r="156" spans="1:18" x14ac:dyDescent="0.3">
      <c r="A156" s="665" t="s">
        <v>2075</v>
      </c>
      <c r="E156" s="17"/>
    </row>
    <row r="157" spans="1:18" x14ac:dyDescent="0.3">
      <c r="A157" s="639" t="s">
        <v>2026</v>
      </c>
      <c r="B157" s="405">
        <f>IF(OSI!$H$92&gt;0,OSI!$H$92,0)</f>
        <v>0</v>
      </c>
      <c r="C157" s="643">
        <v>1</v>
      </c>
      <c r="D157" s="34" t="s">
        <v>1517</v>
      </c>
      <c r="E157" s="34">
        <f>B157*C157</f>
        <v>0</v>
      </c>
      <c r="F157" s="676">
        <f>OSI!$H$92</f>
        <v>0</v>
      </c>
      <c r="G157" s="114">
        <f>(C157*F157)/crops</f>
        <v>0</v>
      </c>
      <c r="H157" s="110">
        <f>B157*G157*triticale</f>
        <v>0</v>
      </c>
    </row>
    <row r="158" spans="1:18" x14ac:dyDescent="0.3">
      <c r="A158" s="639" t="s">
        <v>2027</v>
      </c>
      <c r="B158" s="405">
        <f>IF(OSI!$H$94&gt;0,OSI!$H$94,0)</f>
        <v>0</v>
      </c>
      <c r="C158" s="405">
        <f>OSI!$H$94</f>
        <v>0</v>
      </c>
      <c r="D158" s="34" t="s">
        <v>2028</v>
      </c>
      <c r="E158" s="34">
        <f>B158*C158</f>
        <v>0</v>
      </c>
      <c r="F158" s="367">
        <f>OSI!$H$95</f>
        <v>0</v>
      </c>
      <c r="G158" s="114">
        <f>(C158*F158)/crops</f>
        <v>0</v>
      </c>
      <c r="H158" s="110">
        <f>B158*G158*triticale</f>
        <v>0</v>
      </c>
      <c r="I158" s="108">
        <f>SUM(H156:H158)</f>
        <v>0</v>
      </c>
    </row>
    <row r="159" spans="1:18" x14ac:dyDescent="0.3">
      <c r="A159" s="856" t="s">
        <v>1518</v>
      </c>
      <c r="B159" s="644"/>
      <c r="C159" s="47"/>
      <c r="D159" s="48"/>
      <c r="E159" s="48"/>
      <c r="F159" s="118"/>
      <c r="G159" s="465"/>
      <c r="H159" s="124"/>
      <c r="I159" s="110"/>
    </row>
    <row r="160" spans="1:18" x14ac:dyDescent="0.3">
      <c r="A160" s="638" t="s">
        <v>1519</v>
      </c>
      <c r="B160" s="816">
        <f>IF(Data!$P$108&gt;0,1,0)</f>
        <v>1</v>
      </c>
      <c r="C160" s="862">
        <f>Data!$Q$108</f>
        <v>0.1</v>
      </c>
      <c r="D160" s="34" t="s">
        <v>128</v>
      </c>
      <c r="E160" s="228">
        <f>C160*triticale</f>
        <v>0</v>
      </c>
      <c r="F160" s="167">
        <f t="shared" ref="F160:F163" si="41">_wage_</f>
        <v>12.29</v>
      </c>
      <c r="G160" s="114">
        <f t="shared" ref="G160:G165" si="42">C160*F160</f>
        <v>1.2290000000000001</v>
      </c>
      <c r="H160" s="110">
        <f>B160*G160*triticale</f>
        <v>0</v>
      </c>
      <c r="I160" s="110"/>
    </row>
    <row r="161" spans="1:9" x14ac:dyDescent="0.3">
      <c r="A161" s="638" t="s">
        <v>1520</v>
      </c>
      <c r="B161" s="816">
        <f>IF(Data!$P$109&gt;0,1,0)</f>
        <v>1</v>
      </c>
      <c r="C161" s="862">
        <f>Data!$Q$109</f>
        <v>0.02</v>
      </c>
      <c r="D161" s="34" t="s">
        <v>128</v>
      </c>
      <c r="E161" s="228">
        <f>C161*triticale</f>
        <v>0</v>
      </c>
      <c r="F161" s="167">
        <f t="shared" si="41"/>
        <v>12.29</v>
      </c>
      <c r="G161" s="114">
        <f t="shared" si="42"/>
        <v>0.24579999999999999</v>
      </c>
      <c r="H161" s="110">
        <f>B161*G161*triticale</f>
        <v>0</v>
      </c>
      <c r="I161" s="110"/>
    </row>
    <row r="162" spans="1:9" x14ac:dyDescent="0.3">
      <c r="A162" s="638" t="s">
        <v>1521</v>
      </c>
      <c r="B162" s="816">
        <f>IF(Data!$P$110&gt;0,1,0)</f>
        <v>1</v>
      </c>
      <c r="C162" s="862">
        <f>Data!$Q$110</f>
        <v>0.45500000000000002</v>
      </c>
      <c r="D162" s="34" t="s">
        <v>128</v>
      </c>
      <c r="E162" s="228">
        <f>C162*triticale</f>
        <v>0</v>
      </c>
      <c r="F162" s="167">
        <f t="shared" si="41"/>
        <v>12.29</v>
      </c>
      <c r="G162" s="114">
        <f t="shared" si="42"/>
        <v>5.5919499999999998</v>
      </c>
      <c r="H162" s="110">
        <f>B162*G162*triticale</f>
        <v>0</v>
      </c>
      <c r="I162" s="110"/>
    </row>
    <row r="163" spans="1:9" x14ac:dyDescent="0.3">
      <c r="A163" s="638" t="s">
        <v>1522</v>
      </c>
      <c r="B163" s="816">
        <f>IF(Data!$P$111&gt;0,1,0)</f>
        <v>1</v>
      </c>
      <c r="C163" s="862">
        <f>Data!$Q$111</f>
        <v>0.32500000000000001</v>
      </c>
      <c r="D163" s="34" t="s">
        <v>128</v>
      </c>
      <c r="E163" s="228">
        <f>C163*triticale</f>
        <v>0</v>
      </c>
      <c r="F163" s="167">
        <f t="shared" si="41"/>
        <v>12.29</v>
      </c>
      <c r="G163" s="114">
        <f t="shared" si="42"/>
        <v>3.9942500000000001</v>
      </c>
      <c r="H163" s="110">
        <f>B163*G163*triticale</f>
        <v>0</v>
      </c>
      <c r="I163" s="110">
        <f>SUM(H159:H163)</f>
        <v>0</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C165*triticale</f>
        <v>0</v>
      </c>
      <c r="F165" s="167">
        <f>Data!$S$271</f>
        <v>45</v>
      </c>
      <c r="G165" s="110">
        <f t="shared" si="42"/>
        <v>0</v>
      </c>
      <c r="H165" s="110">
        <f t="shared" ref="H165:H171" si="43">B165*G165*triticale</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43"/>
        <v>0</v>
      </c>
      <c r="I166" s="110"/>
    </row>
    <row r="167" spans="1:9" x14ac:dyDescent="0.3">
      <c r="A167" s="856" t="s">
        <v>1513</v>
      </c>
      <c r="B167" s="816">
        <f>Data!$G$114</f>
        <v>1</v>
      </c>
      <c r="C167" s="46" t="s">
        <v>45</v>
      </c>
      <c r="D167" s="46" t="s">
        <v>1517</v>
      </c>
      <c r="E167" s="46" t="s">
        <v>45</v>
      </c>
      <c r="F167" s="676">
        <f>Data!$I$114</f>
        <v>500</v>
      </c>
      <c r="G167" s="114">
        <f>F167/crops</f>
        <v>1.25</v>
      </c>
      <c r="H167" s="110">
        <f t="shared" si="43"/>
        <v>0</v>
      </c>
      <c r="I167" s="110"/>
    </row>
    <row r="168" spans="1:9" x14ac:dyDescent="0.3">
      <c r="A168" s="856" t="s">
        <v>1514</v>
      </c>
      <c r="B168" s="816">
        <f>Data!$G$115</f>
        <v>1</v>
      </c>
      <c r="C168" s="46" t="s">
        <v>45</v>
      </c>
      <c r="D168" s="46" t="s">
        <v>1517</v>
      </c>
      <c r="E168" s="46" t="s">
        <v>45</v>
      </c>
      <c r="F168" s="676">
        <f>Data!$I$115</f>
        <v>250</v>
      </c>
      <c r="G168" s="114">
        <f>F168/crops</f>
        <v>0.625</v>
      </c>
      <c r="H168" s="110">
        <f t="shared" si="43"/>
        <v>0</v>
      </c>
      <c r="I168" s="110">
        <f>SUM(H166:H168)</f>
        <v>0</v>
      </c>
    </row>
    <row r="169" spans="1:9" x14ac:dyDescent="0.3">
      <c r="A169" s="70" t="s">
        <v>180</v>
      </c>
      <c r="B169" s="405">
        <f>IF(othexp&gt;0,1,0)</f>
        <v>0</v>
      </c>
      <c r="C169" s="34" t="s">
        <v>45</v>
      </c>
      <c r="D169" s="34" t="s">
        <v>45</v>
      </c>
      <c r="E169" s="226" t="s">
        <v>45</v>
      </c>
      <c r="F169" s="68" t="s">
        <v>45</v>
      </c>
      <c r="G169" s="114">
        <f>othexp</f>
        <v>0</v>
      </c>
      <c r="H169" s="110">
        <f t="shared" si="43"/>
        <v>0</v>
      </c>
    </row>
    <row r="170" spans="1:9" x14ac:dyDescent="0.3">
      <c r="A170" s="22" t="s">
        <v>181</v>
      </c>
      <c r="B170" s="397">
        <v>0</v>
      </c>
      <c r="C170" s="34" t="s">
        <v>45</v>
      </c>
      <c r="D170" s="34" t="s">
        <v>45</v>
      </c>
      <c r="E170" s="226" t="s">
        <v>45</v>
      </c>
      <c r="F170" s="68" t="s">
        <v>45</v>
      </c>
      <c r="G170" s="272">
        <f>0</f>
        <v>0</v>
      </c>
      <c r="H170" s="110">
        <f t="shared" si="43"/>
        <v>0</v>
      </c>
      <c r="I170" s="108">
        <f>SUM(H169:H170)</f>
        <v>0</v>
      </c>
    </row>
    <row r="171" spans="1:9" x14ac:dyDescent="0.3">
      <c r="A171" s="3" t="s">
        <v>226</v>
      </c>
      <c r="B171" s="397">
        <v>0</v>
      </c>
      <c r="C171" s="34" t="s">
        <v>45</v>
      </c>
      <c r="D171" s="34" t="s">
        <v>45</v>
      </c>
      <c r="E171" s="226" t="s">
        <v>45</v>
      </c>
      <c r="F171" s="68" t="s">
        <v>45</v>
      </c>
      <c r="G171" s="272">
        <v>0</v>
      </c>
      <c r="H171" s="110">
        <f t="shared" si="43"/>
        <v>0</v>
      </c>
    </row>
    <row r="172" spans="1:9" x14ac:dyDescent="0.3">
      <c r="A172" s="3" t="s">
        <v>73</v>
      </c>
      <c r="B172" s="3"/>
      <c r="F172" s="114"/>
      <c r="G172" s="119">
        <f>SUM(G8:G171)</f>
        <v>423.21618837522624</v>
      </c>
      <c r="H172" s="111">
        <f>SUM(H8:H171)</f>
        <v>0</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5">
        <f>_int_oper_</f>
        <v>4.7341710603787002E-2</v>
      </c>
      <c r="D175" s="34">
        <f>Data!$B$48</f>
        <v>7</v>
      </c>
      <c r="E175" s="226"/>
      <c r="F175" s="114"/>
      <c r="G175" s="104">
        <f>IF(triticale&gt;0,H175/triticale,0)</f>
        <v>0</v>
      </c>
      <c r="H175" s="109">
        <f>C175*(D175/12)*(H172)</f>
        <v>0</v>
      </c>
    </row>
    <row r="176" spans="1:9" x14ac:dyDescent="0.3">
      <c r="F176" s="114"/>
      <c r="G176" s="103"/>
      <c r="H176" s="127"/>
    </row>
    <row r="177" spans="1:8" ht="14" thickBot="1" x14ac:dyDescent="0.4">
      <c r="A177" s="1" t="s">
        <v>74</v>
      </c>
      <c r="B177" s="1"/>
      <c r="F177" s="114"/>
      <c r="G177" s="121">
        <f>G172+G175</f>
        <v>423.21618837522624</v>
      </c>
      <c r="H177" s="128">
        <f>H172+H175</f>
        <v>0</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49"/>
    </row>
    <row r="185" spans="1:8" x14ac:dyDescent="0.3">
      <c r="F185" s="34"/>
      <c r="G185" s="34"/>
      <c r="H185" s="49"/>
    </row>
    <row r="186" spans="1:8" x14ac:dyDescent="0.3">
      <c r="F186" s="34"/>
      <c r="G186" s="34"/>
      <c r="H186" s="49"/>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c r="G671" s="34"/>
      <c r="H671" s="34"/>
    </row>
    <row r="672" spans="6:8" x14ac:dyDescent="0.3">
      <c r="F672" s="34"/>
      <c r="G672" s="34"/>
      <c r="H672" s="34"/>
    </row>
    <row r="673" spans="6:8" x14ac:dyDescent="0.3">
      <c r="F673" s="34"/>
      <c r="G673" s="34"/>
      <c r="H673" s="34"/>
    </row>
    <row r="674" spans="6:8" x14ac:dyDescent="0.3">
      <c r="F674" s="34"/>
      <c r="G674" s="34"/>
      <c r="H674" s="34"/>
    </row>
    <row r="675" spans="6:8" x14ac:dyDescent="0.3">
      <c r="F675" s="34"/>
      <c r="G675" s="34"/>
      <c r="H675" s="34"/>
    </row>
    <row r="676" spans="6:8" x14ac:dyDescent="0.3">
      <c r="F676" s="34"/>
      <c r="G676" s="34"/>
      <c r="H676" s="34"/>
    </row>
    <row r="677" spans="6:8" x14ac:dyDescent="0.3">
      <c r="F677" s="34"/>
      <c r="G677" s="34"/>
      <c r="H677" s="34"/>
    </row>
    <row r="678" spans="6:8" x14ac:dyDescent="0.3">
      <c r="F678" s="34"/>
      <c r="G678" s="34"/>
      <c r="H678" s="34"/>
    </row>
    <row r="679" spans="6:8" x14ac:dyDescent="0.3">
      <c r="F679" s="34"/>
      <c r="G679" s="34"/>
      <c r="H679" s="34"/>
    </row>
    <row r="680" spans="6:8" x14ac:dyDescent="0.3">
      <c r="F680" s="34"/>
    </row>
    <row r="681" spans="6:8" x14ac:dyDescent="0.3">
      <c r="F681" s="34"/>
    </row>
    <row r="682" spans="6:8" x14ac:dyDescent="0.3">
      <c r="F682" s="34"/>
    </row>
    <row r="683" spans="6:8" x14ac:dyDescent="0.3">
      <c r="F683" s="34"/>
    </row>
    <row r="684" spans="6:8" x14ac:dyDescent="0.3">
      <c r="F684" s="34"/>
    </row>
    <row r="685" spans="6:8" x14ac:dyDescent="0.3">
      <c r="F685" s="34"/>
    </row>
    <row r="686" spans="6:8" x14ac:dyDescent="0.3">
      <c r="F686" s="34"/>
    </row>
    <row r="687" spans="6:8" x14ac:dyDescent="0.3">
      <c r="F687" s="34"/>
    </row>
    <row r="688" spans="6:8" x14ac:dyDescent="0.3">
      <c r="F688" s="34"/>
    </row>
    <row r="689" spans="6:6" x14ac:dyDescent="0.3">
      <c r="F689" s="34"/>
    </row>
    <row r="690" spans="6:6" x14ac:dyDescent="0.3">
      <c r="F690" s="34"/>
    </row>
    <row r="691" spans="6:6" x14ac:dyDescent="0.3">
      <c r="F691" s="34"/>
    </row>
    <row r="692" spans="6:6" x14ac:dyDescent="0.3">
      <c r="F692" s="34"/>
    </row>
    <row r="693" spans="6:6" x14ac:dyDescent="0.3">
      <c r="F693" s="34"/>
    </row>
    <row r="694" spans="6:6" x14ac:dyDescent="0.3">
      <c r="F694" s="34"/>
    </row>
    <row r="695" spans="6:6" x14ac:dyDescent="0.3">
      <c r="F695" s="34"/>
    </row>
    <row r="696" spans="6:6" x14ac:dyDescent="0.3">
      <c r="F696" s="34"/>
    </row>
    <row r="697" spans="6:6" x14ac:dyDescent="0.3">
      <c r="F697" s="34"/>
    </row>
    <row r="698" spans="6:6" x14ac:dyDescent="0.3">
      <c r="F698" s="34"/>
    </row>
    <row r="699" spans="6:6" x14ac:dyDescent="0.3">
      <c r="F699" s="34"/>
    </row>
    <row r="700" spans="6:6" x14ac:dyDescent="0.3">
      <c r="F700" s="34"/>
    </row>
    <row r="701" spans="6:6" x14ac:dyDescent="0.3">
      <c r="F701" s="34"/>
    </row>
  </sheetData>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pane="bottomLeft" activeCell="D31" sqref="D31"/>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customWidth="1"/>
    <col min="12" max="13" width="9.6328125" style="17" customWidth="1"/>
    <col min="14" max="16384" width="9.08984375" style="17"/>
  </cols>
  <sheetData>
    <row r="1" spans="1:18" x14ac:dyDescent="0.3">
      <c r="A1" s="61" t="s">
        <v>146</v>
      </c>
      <c r="B1" s="17" t="str">
        <f>model</f>
        <v>ME Grain &amp; Pulse</v>
      </c>
    </row>
    <row r="3" spans="1:18" x14ac:dyDescent="0.3">
      <c r="A3" s="16" t="s">
        <v>1190</v>
      </c>
    </row>
    <row r="4" spans="1:18" x14ac:dyDescent="0.3">
      <c r="A4" s="16"/>
    </row>
    <row r="5" spans="1:18" x14ac:dyDescent="0.3">
      <c r="B5" s="8" t="s">
        <v>92</v>
      </c>
      <c r="C5" s="65">
        <f>triticale</f>
        <v>0</v>
      </c>
      <c r="D5" s="4" t="s">
        <v>93</v>
      </c>
      <c r="H5" s="28"/>
    </row>
    <row r="6" spans="1:18"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c r="N6" s="11"/>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Data!D276*Data!$H$17*CP!$H$5</f>
        <v>0</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x14ac:dyDescent="0.3">
      <c r="A10" s="664" t="str">
        <f>Data!A277</f>
        <v>Medium tractor (105 hp) - SMALL SIZE</v>
      </c>
      <c r="B10" s="33">
        <f>Data!B277</f>
        <v>0</v>
      </c>
      <c r="C10" s="34" t="str">
        <f>Data!C277</f>
        <v>tractor</v>
      </c>
      <c r="D10" s="109">
        <f>Data!D277*Data!$H$17*CP!$H$5</f>
        <v>0</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Data!D278*Data!$H$17*CP!$H$5</f>
        <v>0</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x14ac:dyDescent="0.3">
      <c r="A12" s="664" t="str">
        <f>Data!A279</f>
        <v>Large tractor (160 hp) - SMALL SIZE</v>
      </c>
      <c r="B12" s="33">
        <f>Data!B279</f>
        <v>0</v>
      </c>
      <c r="C12" s="34" t="str">
        <f>Data!C279</f>
        <v>tractor</v>
      </c>
      <c r="D12" s="109">
        <f>Data!D279*Data!$H$17*CP!$H$5</f>
        <v>0</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x14ac:dyDescent="0.3">
      <c r="A13" s="664" t="str">
        <f>Data!A280</f>
        <v>Large tractor (200 hp) - SMALL SIZE</v>
      </c>
      <c r="B13" s="33">
        <f>Data!B280</f>
        <v>0</v>
      </c>
      <c r="C13" s="34" t="str">
        <f>Data!C280</f>
        <v>tractor</v>
      </c>
      <c r="D13" s="109">
        <f>Data!D280*Data!$H$17*CP!$H$5</f>
        <v>0</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Data!D282*Data!$H$17</f>
        <v>0</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Data!D283*Data!$H$17</f>
        <v>0</v>
      </c>
      <c r="E15" s="109">
        <f>D15*B15</f>
        <v>0</v>
      </c>
      <c r="F15" s="109">
        <f>IF(CP!K11=0,Data!I283*E15,CP!K11*B15)</f>
        <v>0</v>
      </c>
      <c r="G15" s="60">
        <f>IF(CP!$G$11=0,Data!$F$283,CP!$G$11)</f>
        <v>40</v>
      </c>
      <c r="H15" s="109">
        <f>(E15*(_int_inv_m*(1+_int_inv_m)^G15)/((1+_int_inv_m)^G15-1))-(F15*_int_inv_m/((1+_int_inv_m)^G15-1))</f>
        <v>0</v>
      </c>
      <c r="I15" s="36">
        <f>IF(CP!I11=0,Data!H283*Data!$J$271,CP!I11/CP!E11)</f>
        <v>1.35E-2</v>
      </c>
      <c r="J15" s="109">
        <f>E15*I15</f>
        <v>0</v>
      </c>
      <c r="K15" s="36">
        <f t="shared" si="1"/>
        <v>6.7999999999999996E-3</v>
      </c>
      <c r="L15" s="109">
        <f>E15*K15</f>
        <v>0</v>
      </c>
      <c r="M15" s="109">
        <f>H15+J15+L15</f>
        <v>0</v>
      </c>
      <c r="N15" s="34"/>
      <c r="O15" s="34"/>
      <c r="P15" s="34"/>
      <c r="Q15" s="34"/>
      <c r="R15" s="34"/>
    </row>
    <row r="16" spans="1:18" x14ac:dyDescent="0.3">
      <c r="A16" s="664" t="str">
        <f>Data!A284</f>
        <v>Medium/Large tractor (130 hp) - MEDIUM SIZE</v>
      </c>
      <c r="B16" s="33">
        <f>Data!B284</f>
        <v>0</v>
      </c>
      <c r="C16" s="34" t="str">
        <f>Data!C284</f>
        <v>tractor</v>
      </c>
      <c r="D16" s="109">
        <f>Data!D284*Data!$H$17</f>
        <v>0</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Data!D285*Data!$H$17</f>
        <v>0</v>
      </c>
      <c r="E17" s="109">
        <f>D17*B17</f>
        <v>0</v>
      </c>
      <c r="F17" s="109">
        <f>IF(CP!K13=0,Data!I285*E17,CP!K13*B17)</f>
        <v>0</v>
      </c>
      <c r="G17" s="60">
        <f>IF(CP!$G$13=0,Data!$F$285,CP!$G$13)</f>
        <v>30</v>
      </c>
      <c r="H17" s="109">
        <f>(E17*(_int_inv_m*(1+_int_inv_m)^G17)/((1+_int_inv_m)^G17-1))-(F17*_int_inv_m/((1+_int_inv_m)^G17-1))</f>
        <v>0</v>
      </c>
      <c r="I17" s="36">
        <f>IF(CP!I13=0,Data!H285*Data!$J$271,CP!I13/CP!E13)</f>
        <v>1.6666666666666666E-2</v>
      </c>
      <c r="J17" s="109">
        <f>E17*I17</f>
        <v>0</v>
      </c>
      <c r="K17" s="36">
        <f t="shared" si="1"/>
        <v>6.7999999999999996E-3</v>
      </c>
      <c r="L17" s="109">
        <f>E17*K17</f>
        <v>0</v>
      </c>
      <c r="M17" s="109">
        <f>H17+J17+L17</f>
        <v>0</v>
      </c>
      <c r="N17" s="34"/>
      <c r="O17" s="34"/>
      <c r="P17" s="34"/>
      <c r="Q17" s="34"/>
      <c r="R17" s="34"/>
    </row>
    <row r="18" spans="1:23" x14ac:dyDescent="0.3">
      <c r="A18" s="664" t="str">
        <f>Data!A286</f>
        <v>Large tractor (200 hp) - MEDIUM SIZE</v>
      </c>
      <c r="B18" s="33">
        <f>Data!B286</f>
        <v>0</v>
      </c>
      <c r="C18" s="34" t="str">
        <f>Data!C286</f>
        <v>tractor</v>
      </c>
      <c r="D18" s="109">
        <f>Data!D286*Data!$H$17</f>
        <v>0</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Data!D288*Data!$H$17</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Data!D289*Data!$H$17</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Data!D290*Data!$H$17</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Data!D291*Data!$H$17</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Data!D292*Data!$H$17</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664" t="str">
        <f>Data!A297</f>
        <v>Bulk Body Truck(s) - SMALL SIZE</v>
      </c>
      <c r="B26" s="84">
        <f>Data!B297</f>
        <v>0</v>
      </c>
      <c r="C26" s="34" t="str">
        <f>Data!C297</f>
        <v>truck</v>
      </c>
      <c r="D26" s="109">
        <f>Data!D297*Data!$J$17*CP!$H$5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23" x14ac:dyDescent="0.3">
      <c r="A27" s="664" t="str">
        <f>Data!A298</f>
        <v>Bulk Body Truck(s) - MEDIUM SIZE</v>
      </c>
      <c r="B27" s="84">
        <f>Data!B298</f>
        <v>3</v>
      </c>
      <c r="C27" s="34" t="str">
        <f>Data!C298</f>
        <v>truck</v>
      </c>
      <c r="D27" s="109">
        <f>Data!D298*Data!$J$17</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34"/>
      <c r="P27" s="34"/>
      <c r="Q27" s="34"/>
      <c r="R27" s="34"/>
    </row>
    <row r="28" spans="1:23" x14ac:dyDescent="0.3">
      <c r="A28" s="664" t="str">
        <f>Data!A299</f>
        <v>Bulk Body Truck(s) - LARGE SIZE</v>
      </c>
      <c r="B28" s="84">
        <f>Data!B299</f>
        <v>0</v>
      </c>
      <c r="C28" s="34" t="str">
        <f>Data!C299</f>
        <v>truck</v>
      </c>
      <c r="D28" s="109">
        <f>Data!D299*Data!$J$17</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23" x14ac:dyDescent="0.3">
      <c r="A29" s="664" t="str">
        <f>Data!A300</f>
        <v>Flat Bed Truck(s) - SMALL SIZE</v>
      </c>
      <c r="B29" s="84">
        <f>Data!B300</f>
        <v>0</v>
      </c>
      <c r="C29" s="34" t="str">
        <f>Data!C300</f>
        <v>truck</v>
      </c>
      <c r="D29" s="109">
        <f>Data!D300*Data!$J$17*CP!$H$5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Data!D301*Data!$J$17</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Data!D302*Data!$J$17</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Data!D303*Data!$J$17</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863"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Data!D310*Data!$P$17*CP!$H$5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23" x14ac:dyDescent="0.3">
      <c r="A36" s="664" t="str">
        <f>Data!A311</f>
        <v>Moldboard Plow (9 ft) - MEDIUM SIZE</v>
      </c>
      <c r="B36" s="33">
        <f>Data!B311</f>
        <v>1</v>
      </c>
      <c r="C36" s="34" t="str">
        <f>Data!C311</f>
        <v>moldboard plow</v>
      </c>
      <c r="D36" s="109">
        <f>Data!D311*Data!$P$17</f>
        <v>0</v>
      </c>
      <c r="E36" s="109">
        <f t="shared" ref="E36:E37" si="20">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1">E36*I36</f>
        <v>0</v>
      </c>
      <c r="K36" s="36">
        <f t="shared" si="19"/>
        <v>6.7999999999999996E-3</v>
      </c>
      <c r="L36" s="109">
        <f t="shared" ref="L36:L37" si="22">E36*K36</f>
        <v>0</v>
      </c>
      <c r="M36" s="109">
        <f t="shared" ref="M36:M37" si="23">H36+J36+L36</f>
        <v>0</v>
      </c>
      <c r="N36" s="34"/>
      <c r="O36" s="34"/>
      <c r="P36" s="34"/>
      <c r="Q36" s="34"/>
      <c r="R36" s="34"/>
    </row>
    <row r="37" spans="1:23" x14ac:dyDescent="0.3">
      <c r="A37" s="664" t="str">
        <f>Data!A312</f>
        <v>Moldboard Plow (12 ft) - LARGE SIZE</v>
      </c>
      <c r="B37" s="33">
        <f>Data!B312</f>
        <v>0</v>
      </c>
      <c r="C37" s="34" t="str">
        <f>Data!C312</f>
        <v>moldboard plow</v>
      </c>
      <c r="D37" s="109">
        <f>Data!D312*Data!$P$17</f>
        <v>0</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23" x14ac:dyDescent="0.3">
      <c r="A38" s="664" t="str">
        <f>Data!A313</f>
        <v>Chisel Plow (15 ft) - SMALL SIZE</v>
      </c>
      <c r="B38" s="33">
        <f>Data!B313</f>
        <v>0</v>
      </c>
      <c r="C38" s="34" t="str">
        <f>Data!C313</f>
        <v>chisel plow</v>
      </c>
      <c r="D38" s="109">
        <f>Data!D313*Data!$P$17*CP!$H$5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4">_tax_ins_</f>
        <v>6.7999999999999996E-3</v>
      </c>
      <c r="L38" s="109">
        <f>E38*K38</f>
        <v>0</v>
      </c>
      <c r="M38" s="109">
        <f>H38+J38+L38</f>
        <v>0</v>
      </c>
      <c r="N38" s="34"/>
      <c r="O38" s="34"/>
      <c r="P38" s="34"/>
      <c r="Q38" s="34"/>
      <c r="R38" s="34"/>
    </row>
    <row r="39" spans="1:23" x14ac:dyDescent="0.3">
      <c r="A39" s="664" t="str">
        <f>Data!A314</f>
        <v>Chisel Plow (15 ft) - MEDIUM SIZE</v>
      </c>
      <c r="B39" s="33">
        <f>Data!B314</f>
        <v>1</v>
      </c>
      <c r="C39" s="34" t="str">
        <f>Data!C314</f>
        <v>chisel plow</v>
      </c>
      <c r="D39" s="109">
        <f>Data!D314*Data!$P$17</f>
        <v>0</v>
      </c>
      <c r="E39" s="109">
        <f t="shared" ref="E39:E40" si="25">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6">E39*I39</f>
        <v>0</v>
      </c>
      <c r="K39" s="36">
        <f t="shared" si="24"/>
        <v>6.7999999999999996E-3</v>
      </c>
      <c r="L39" s="109">
        <f t="shared" ref="L39:L40" si="27">E39*K39</f>
        <v>0</v>
      </c>
      <c r="M39" s="109">
        <f t="shared" ref="M39:M40" si="28">H39+J39+L39</f>
        <v>0</v>
      </c>
      <c r="N39" s="34"/>
      <c r="O39" s="34"/>
      <c r="P39" s="34"/>
      <c r="Q39" s="34"/>
      <c r="R39" s="34"/>
    </row>
    <row r="40" spans="1:23" x14ac:dyDescent="0.3">
      <c r="A40" s="664" t="str">
        <f>Data!A315</f>
        <v>Chisel Plow (23 ft) - LARGE SIZE</v>
      </c>
      <c r="B40" s="33">
        <f>Data!B315</f>
        <v>0</v>
      </c>
      <c r="C40" s="34" t="str">
        <f>Data!C315</f>
        <v>chisel plow</v>
      </c>
      <c r="D40" s="109">
        <f>Data!D315*Data!$P$17</f>
        <v>0</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23" x14ac:dyDescent="0.3">
      <c r="A41" s="664" t="str">
        <f>Data!A316</f>
        <v>Disk Harrow (12 ft) - SMALL SIZE</v>
      </c>
      <c r="B41" s="33">
        <f>Data!B316</f>
        <v>0</v>
      </c>
      <c r="C41" s="34" t="str">
        <f>Data!C316</f>
        <v>disk harrow</v>
      </c>
      <c r="D41" s="109">
        <f>Data!D316*Data!$P$17*CP!$H$5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23" x14ac:dyDescent="0.3">
      <c r="A42" s="664" t="str">
        <f>Data!A317</f>
        <v>Disk Harrow (21 ft) - MEDIUM SIZE</v>
      </c>
      <c r="B42" s="33">
        <f>Data!B317</f>
        <v>1</v>
      </c>
      <c r="C42" s="34" t="str">
        <f>Data!C317</f>
        <v>disk harrow</v>
      </c>
      <c r="D42" s="109">
        <f>Data!D317*Data!$P$17</f>
        <v>0</v>
      </c>
      <c r="E42" s="109">
        <f t="shared" ref="E42:E43" si="29">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0">E42*I42</f>
        <v>0</v>
      </c>
      <c r="K42" s="36">
        <f t="shared" si="24"/>
        <v>6.7999999999999996E-3</v>
      </c>
      <c r="L42" s="109">
        <f t="shared" ref="L42:L43" si="31">E42*K42</f>
        <v>0</v>
      </c>
      <c r="M42" s="109">
        <f t="shared" ref="M42:M43" si="32">H42+J42+L42</f>
        <v>0</v>
      </c>
    </row>
    <row r="43" spans="1:23" x14ac:dyDescent="0.3">
      <c r="A43" s="664" t="str">
        <f>Data!A318</f>
        <v>Disk Harrow (30 ft) - LARGE SIZE</v>
      </c>
      <c r="B43" s="33">
        <f>Data!B318</f>
        <v>0</v>
      </c>
      <c r="C43" s="34" t="str">
        <f>Data!C318</f>
        <v>disk harrow</v>
      </c>
      <c r="D43" s="109">
        <f>Data!D318*Data!$P$17</f>
        <v>0</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23" ht="13.25" customHeight="1" x14ac:dyDescent="0.3">
      <c r="A44" s="664" t="str">
        <f>Data!A319</f>
        <v>Soil Conditioner/Field Cultivator (18 ft) - SMALL SIZE</v>
      </c>
      <c r="B44" s="33">
        <f>Data!B319</f>
        <v>0</v>
      </c>
      <c r="C44" s="34" t="str">
        <f>Data!C319</f>
        <v>condit.</v>
      </c>
      <c r="D44" s="109">
        <f>Data!D319*Data!$P$17*CP!$H$5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23" ht="13.25" customHeight="1" x14ac:dyDescent="0.3">
      <c r="A45" s="664" t="str">
        <f>Data!A320</f>
        <v>Soil Conditioner/Field Cultivator (18 ft) - MEDIUM SIZE</v>
      </c>
      <c r="B45" s="33">
        <f>Data!B320</f>
        <v>1</v>
      </c>
      <c r="C45" s="34" t="str">
        <f>Data!C320</f>
        <v>condit.</v>
      </c>
      <c r="D45" s="109">
        <f>Data!D320*Data!$P$17</f>
        <v>0</v>
      </c>
      <c r="E45" s="109">
        <f t="shared" ref="E45:E46" si="33">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4">E45*I45</f>
        <v>0</v>
      </c>
      <c r="K45" s="36">
        <f t="shared" si="24"/>
        <v>6.7999999999999996E-3</v>
      </c>
      <c r="L45" s="109">
        <f t="shared" ref="L45:L46" si="35">E45*K45</f>
        <v>0</v>
      </c>
      <c r="M45" s="109">
        <f t="shared" ref="M45:M46" si="36">H45+J45+L45</f>
        <v>0</v>
      </c>
    </row>
    <row r="46" spans="1:23" ht="13.25" customHeight="1" x14ac:dyDescent="0.3">
      <c r="A46" s="664" t="str">
        <f>Data!A321</f>
        <v>Soil Conditioner/Field Cultivator (18 ft) - LARGE SIZE</v>
      </c>
      <c r="B46" s="33">
        <f>Data!B321</f>
        <v>0</v>
      </c>
      <c r="C46" s="34" t="str">
        <f>Data!C321</f>
        <v>condit.</v>
      </c>
      <c r="D46" s="109">
        <f>Data!D321*Data!$P$17</f>
        <v>0</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23" ht="13.25" customHeight="1" x14ac:dyDescent="0.3">
      <c r="A47" s="664" t="str">
        <f>Data!A325</f>
        <v>Tine-Harrow (i.e. Lely, 20-30 ft) - SMALL SIZE</v>
      </c>
      <c r="B47" s="33">
        <f>Data!B325</f>
        <v>0</v>
      </c>
      <c r="C47" s="90" t="str">
        <f>Data!C325</f>
        <v>tine-harrow</v>
      </c>
      <c r="D47" s="109">
        <f>Data!D325*Data!$P$17*CP!$H$5</f>
        <v>0</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4"/>
        <v>6.7999999999999996E-3</v>
      </c>
      <c r="L47" s="109">
        <f>E47*K47</f>
        <v>0</v>
      </c>
      <c r="M47" s="109">
        <f>H47+J47+L47</f>
        <v>0</v>
      </c>
    </row>
    <row r="48" spans="1:23" ht="13.25" customHeight="1" x14ac:dyDescent="0.3">
      <c r="A48" s="664" t="str">
        <f>Data!A326</f>
        <v>Tine-Harrow (i.e. Lely, 20-30 ft) - MEDIUM SIZE</v>
      </c>
      <c r="B48" s="33">
        <f>Data!B326*Tv!K35</f>
        <v>0</v>
      </c>
      <c r="C48" s="90" t="str">
        <f>Data!C326</f>
        <v>tine-harrow</v>
      </c>
      <c r="D48" s="109">
        <f>Data!D326*Data!$P$17</f>
        <v>0</v>
      </c>
      <c r="E48" s="109">
        <f t="shared" ref="E48:E49" si="37">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8">E48*I48</f>
        <v>0</v>
      </c>
      <c r="K48" s="36">
        <f t="shared" si="24"/>
        <v>6.7999999999999996E-3</v>
      </c>
      <c r="L48" s="109">
        <f t="shared" ref="L48:L49" si="39">E48*K48</f>
        <v>0</v>
      </c>
      <c r="M48" s="109">
        <f t="shared" ref="M48:M49" si="40">H48+J48+L48</f>
        <v>0</v>
      </c>
    </row>
    <row r="49" spans="1:23" ht="13.25" customHeight="1" x14ac:dyDescent="0.3">
      <c r="A49" s="664" t="str">
        <f>Data!A327</f>
        <v>Tine-Harrow (i.e. Lely, 20-30 ft) - LARGE SIZE</v>
      </c>
      <c r="B49" s="33">
        <f>Data!B327</f>
        <v>0</v>
      </c>
      <c r="C49" s="90" t="str">
        <f>Data!C327</f>
        <v>tine-harrow</v>
      </c>
      <c r="D49" s="109">
        <f>Data!D327*Data!$P$17</f>
        <v>0</v>
      </c>
      <c r="E49" s="109">
        <f t="shared" si="37"/>
        <v>0</v>
      </c>
      <c r="F49" s="109">
        <f>IF(CP!$K$30=0,Data!I327*E49,CP!$K$30*B49)</f>
        <v>0</v>
      </c>
      <c r="G49" s="60">
        <f>IF(CP!$G$30=0,Data!$F$327,CP!$G$30)</f>
        <v>40</v>
      </c>
      <c r="H49" s="109">
        <f>(E49*(_int_inv_l*(1+_int_inv_l)^G49)/((1+_int_inv_l)^G49-1))-(F49*_int_inv_l/((1+_int_inv_l)^G49-1))</f>
        <v>0</v>
      </c>
      <c r="I49" s="675">
        <f>IF(CP!$I$30=0,Data!H327*Data!$J$271,CP!$I$30/CP!$E$30)</f>
        <v>0.02</v>
      </c>
      <c r="J49" s="109">
        <f t="shared" si="38"/>
        <v>0</v>
      </c>
      <c r="K49" s="36">
        <f t="shared" si="24"/>
        <v>6.7999999999999996E-3</v>
      </c>
      <c r="L49" s="109">
        <f t="shared" si="39"/>
        <v>0</v>
      </c>
      <c r="M49" s="109">
        <f t="shared" si="40"/>
        <v>0</v>
      </c>
    </row>
    <row r="50" spans="1:23" ht="12.6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 t="str">
        <f>Data!A334</f>
        <v xml:space="preserve">Fertilizer Spreader </v>
      </c>
      <c r="B52" s="33">
        <f>Data!B334</f>
        <v>0</v>
      </c>
      <c r="C52" s="34" t="str">
        <f>Data!C334</f>
        <v>fert.spread</v>
      </c>
      <c r="D52" s="109">
        <f>Data!D334*Data!$N$17</f>
        <v>0</v>
      </c>
      <c r="E52" s="109">
        <f>D52*B52</f>
        <v>0</v>
      </c>
      <c r="F52" s="109">
        <f>Data!I334*E52</f>
        <v>0</v>
      </c>
      <c r="G52" s="60">
        <f>Data!F334</f>
        <v>10</v>
      </c>
      <c r="H52" s="109">
        <f t="shared" ref="H52" si="41">(E52*(_int_inv_*(1+_int_inv_)^G52)/((1+_int_inv_)^G52-1))-(F52*_int_inv_/((1+_int_inv_)^G52-1))</f>
        <v>0</v>
      </c>
      <c r="I52" s="37">
        <f>Data!H334*Data!$J$271</f>
        <v>4.4999999999999998E-2</v>
      </c>
      <c r="J52" s="109">
        <f>E52*I52</f>
        <v>0</v>
      </c>
      <c r="K52" s="36">
        <f t="shared" ref="K52:K61" si="42">_tax_ins_</f>
        <v>6.7999999999999996E-3</v>
      </c>
      <c r="L52" s="109">
        <f>E52*K52</f>
        <v>0</v>
      </c>
      <c r="M52" s="109">
        <f>H52+J52+L52</f>
        <v>0</v>
      </c>
    </row>
    <row r="53" spans="1:23" ht="12.65" customHeight="1" x14ac:dyDescent="0.3">
      <c r="A53" s="664" t="str">
        <f>Data!A335</f>
        <v>Spin Spreader (Chilean nitrate, 50 ft swath) - SMALL SIZE</v>
      </c>
      <c r="B53" s="33">
        <f>Data!B335</f>
        <v>0</v>
      </c>
      <c r="C53" s="34" t="str">
        <f>Data!C335</f>
        <v>spin spread</v>
      </c>
      <c r="D53" s="109">
        <f>Data!D335*Data!$N$17*CP!$H$5</f>
        <v>0</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2"/>
        <v>6.7999999999999996E-3</v>
      </c>
      <c r="L53" s="109">
        <f>E53*K53</f>
        <v>0</v>
      </c>
      <c r="M53" s="109">
        <f>H53+J53+L53</f>
        <v>0</v>
      </c>
    </row>
    <row r="54" spans="1:23" ht="12.65" customHeight="1" x14ac:dyDescent="0.3">
      <c r="A54" s="664" t="str">
        <f>Data!A336</f>
        <v>Spin Spreader (Chilean nitrate, 50 ft swath) - MEDIUM SIZE</v>
      </c>
      <c r="B54" s="33">
        <f>Data!B336</f>
        <v>1</v>
      </c>
      <c r="C54" s="34" t="str">
        <f>Data!C336</f>
        <v>spin spread</v>
      </c>
      <c r="D54" s="109">
        <f>Data!D336*Data!$N$17</f>
        <v>0</v>
      </c>
      <c r="E54" s="109">
        <f t="shared" ref="E54:E55" si="43">D54*B54</f>
        <v>0</v>
      </c>
      <c r="F54" s="109">
        <f>IF(CP!$K$32=0,Data!I336*E54,CP!$K$32*B54)</f>
        <v>0</v>
      </c>
      <c r="G54" s="60">
        <f>IF(CP!$G$32=0,Data!$F$336,CP!$G$32)</f>
        <v>40</v>
      </c>
      <c r="H54" s="109">
        <f>(E54*(_int_inv_m*(1+_int_inv_m)^G54)/((1+_int_inv_m)^G54-1))-(F54*_int_inv_m/((1+_int_inv_m)^G54-1))</f>
        <v>0</v>
      </c>
      <c r="I54" s="675">
        <f>IF(CP!$I$32=0,Data!H336*Data!$J$271,CP!$I$32/CP!$E$32)</f>
        <v>0.02</v>
      </c>
      <c r="J54" s="109">
        <f t="shared" ref="J54:J55" si="44">E54*I54</f>
        <v>0</v>
      </c>
      <c r="K54" s="36">
        <f t="shared" si="42"/>
        <v>6.7999999999999996E-3</v>
      </c>
      <c r="L54" s="109">
        <f t="shared" ref="L54:L55" si="45">E54*K54</f>
        <v>0</v>
      </c>
      <c r="M54" s="109">
        <f t="shared" ref="M54:M55" si="46">H54+J54+L54</f>
        <v>0</v>
      </c>
    </row>
    <row r="55" spans="1:23" ht="12.65" customHeight="1" x14ac:dyDescent="0.3">
      <c r="A55" s="664" t="str">
        <f>Data!A337</f>
        <v>Spin Spreader (Chilean nitrate, 50 ft swath) - LARGE SIZE</v>
      </c>
      <c r="B55" s="33">
        <f>Data!B337</f>
        <v>0</v>
      </c>
      <c r="C55" s="34" t="str">
        <f>Data!C337</f>
        <v>spin spread</v>
      </c>
      <c r="D55" s="109">
        <f>Data!D337*Data!$N$17</f>
        <v>0</v>
      </c>
      <c r="E55" s="109">
        <f t="shared" si="43"/>
        <v>0</v>
      </c>
      <c r="F55" s="109">
        <f>IF(CP!$K$32=0,Data!I337*E55,CP!$K$32*B55)</f>
        <v>0</v>
      </c>
      <c r="G55" s="60">
        <f>IF(CP!$G$32=0,Data!$F$337,CP!$G$32)</f>
        <v>40</v>
      </c>
      <c r="H55" s="109">
        <f>(E55*(_int_inv_l*(1+_int_inv_l)^G55)/((1+_int_inv_l)^G55-1))-(F55*_int_inv_l/((1+_int_inv_l)^G55-1))</f>
        <v>0</v>
      </c>
      <c r="I55" s="675">
        <f>IF(CP!$I$32=0,Data!H337*Data!$J$271,CP!$I$32/CP!$E$32)</f>
        <v>0.02</v>
      </c>
      <c r="J55" s="109">
        <f t="shared" si="44"/>
        <v>0</v>
      </c>
      <c r="K55" s="36">
        <f t="shared" si="42"/>
        <v>6.7999999999999996E-3</v>
      </c>
      <c r="L55" s="109">
        <f t="shared" si="45"/>
        <v>0</v>
      </c>
      <c r="M55" s="109">
        <f t="shared" si="46"/>
        <v>0</v>
      </c>
    </row>
    <row r="56" spans="1:23" x14ac:dyDescent="0.3">
      <c r="A56" s="664" t="str">
        <f>Data!A338</f>
        <v>Manure Spreader - SMALL SIZE</v>
      </c>
      <c r="B56" s="33">
        <f>Data!B338</f>
        <v>0</v>
      </c>
      <c r="C56" s="34" t="str">
        <f>Data!C338</f>
        <v>man.spread</v>
      </c>
      <c r="D56" s="109">
        <f>Data!D338*Data!$N$17*CP!$H$5</f>
        <v>0</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2"/>
        <v>6.7999999999999996E-3</v>
      </c>
      <c r="L56" s="109">
        <f>E56*K56</f>
        <v>0</v>
      </c>
      <c r="M56" s="109">
        <f>H56+J56+L56</f>
        <v>0</v>
      </c>
    </row>
    <row r="57" spans="1:23" x14ac:dyDescent="0.3">
      <c r="A57" s="664" t="str">
        <f>Data!A339</f>
        <v>Manure Spreader - MEDIUM SIZE</v>
      </c>
      <c r="B57" s="33">
        <f>Data!B339</f>
        <v>1</v>
      </c>
      <c r="C57" s="34" t="str">
        <f>Data!C339</f>
        <v>man.spread</v>
      </c>
      <c r="D57" s="109">
        <f>Data!D339*Data!$N$17</f>
        <v>0</v>
      </c>
      <c r="E57" s="109">
        <f t="shared" ref="E57:E58" si="47">D57*B57</f>
        <v>0</v>
      </c>
      <c r="F57" s="109">
        <f>IF(CP!$K$33=0,Data!I339*E57,CP!$K$33*B57)</f>
        <v>0</v>
      </c>
      <c r="G57" s="60">
        <f>IF(CP!$G$33=0,Data!$F$339,CP!$G$33)</f>
        <v>40</v>
      </c>
      <c r="H57" s="109">
        <f>(E57*(_int_inv_m*(1+_int_inv_m)^G57)/((1+_int_inv_m)^G57-1))-(F57*_int_inv_m/((1+_int_inv_m)^G57-1))</f>
        <v>0</v>
      </c>
      <c r="I57" s="36">
        <f>IF(CP!$I$33=0,Data!H339*Data!$J$271,CP!$I$33/CP!$E$33)</f>
        <v>2.2825263157894699E-2</v>
      </c>
      <c r="J57" s="109">
        <f t="shared" ref="J57:J58" si="48">E57*I57</f>
        <v>0</v>
      </c>
      <c r="K57" s="36">
        <f t="shared" si="42"/>
        <v>6.7999999999999996E-3</v>
      </c>
      <c r="L57" s="109">
        <f t="shared" ref="L57:L58" si="49">E57*K57</f>
        <v>0</v>
      </c>
      <c r="M57" s="109">
        <f t="shared" ref="M57:M58" si="50">H57+J57+L57</f>
        <v>0</v>
      </c>
    </row>
    <row r="58" spans="1:23" x14ac:dyDescent="0.3">
      <c r="A58" s="664" t="str">
        <f>Data!A340</f>
        <v>Manure Spreader - LARGE SIZE</v>
      </c>
      <c r="B58" s="33">
        <f>Data!B340</f>
        <v>0</v>
      </c>
      <c r="C58" s="34" t="str">
        <f>Data!C340</f>
        <v>man.spread</v>
      </c>
      <c r="D58" s="109">
        <f>Data!D340*Data!$N$17</f>
        <v>0</v>
      </c>
      <c r="E58" s="109">
        <f t="shared" si="47"/>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8"/>
        <v>0</v>
      </c>
      <c r="K58" s="36">
        <f t="shared" si="42"/>
        <v>6.7999999999999996E-3</v>
      </c>
      <c r="L58" s="109">
        <f t="shared" si="49"/>
        <v>0</v>
      </c>
      <c r="M58" s="109">
        <f t="shared" si="50"/>
        <v>0</v>
      </c>
    </row>
    <row r="59" spans="1:23" x14ac:dyDescent="0.3">
      <c r="A59" s="664" t="str">
        <f>Data!A343</f>
        <v>Grain Drill (Presswheel, 16 ft) - SMALL SIZE</v>
      </c>
      <c r="B59" s="33">
        <f>Data!B343</f>
        <v>0</v>
      </c>
      <c r="C59" s="34" t="str">
        <f>Data!C343</f>
        <v>grain drill</v>
      </c>
      <c r="D59" s="109">
        <f>Data!D343*Data!$AR$17*CP!$H$5</f>
        <v>0</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2"/>
        <v>6.7999999999999996E-3</v>
      </c>
      <c r="L59" s="109">
        <f>E59*K59</f>
        <v>0</v>
      </c>
      <c r="M59" s="109">
        <f>H59+J59+L59</f>
        <v>0</v>
      </c>
      <c r="N59" s="34"/>
      <c r="O59" s="34"/>
      <c r="P59" s="34"/>
      <c r="Q59" s="34"/>
      <c r="R59" s="34"/>
      <c r="S59" s="34"/>
      <c r="T59" s="34"/>
      <c r="U59" s="34"/>
      <c r="V59" s="34"/>
      <c r="W59" s="34"/>
    </row>
    <row r="60" spans="1:23" x14ac:dyDescent="0.3">
      <c r="A60" s="664" t="str">
        <f>Data!A344</f>
        <v>Grain Drill (Presswheel, 25 ft) - MEDIUM SIZE</v>
      </c>
      <c r="B60" s="33">
        <f>Data!B344</f>
        <v>1</v>
      </c>
      <c r="C60" s="34" t="str">
        <f>Data!C344</f>
        <v>grain drill</v>
      </c>
      <c r="D60" s="109">
        <f>Data!D344*Data!$AR$17</f>
        <v>0</v>
      </c>
      <c r="E60" s="109">
        <f t="shared" ref="E60:E61" si="51">D60*B60</f>
        <v>0</v>
      </c>
      <c r="F60" s="109">
        <f>IF(CP!K35=0,Data!I344*E60,CP!K35*B60)</f>
        <v>0</v>
      </c>
      <c r="G60" s="60">
        <f>IF(CP!$G$35=0,Data!$F$344,CP!$G$35)</f>
        <v>40</v>
      </c>
      <c r="H60" s="109">
        <f>(E60*(_int_inv_m*(1+_int_inv_m)^G60)/((1+_int_inv_m)^G60-1))-(F60*_int_inv_m/((1+_int_inv_m)^G60-1))</f>
        <v>0</v>
      </c>
      <c r="I60" s="36">
        <f>IF(CP!I35=0,Data!H344*Data!$J$271,CP!I35/CP!E35)</f>
        <v>2.3673333333333331E-2</v>
      </c>
      <c r="J60" s="109">
        <f t="shared" ref="J60:J61" si="52">E60*I60</f>
        <v>0</v>
      </c>
      <c r="K60" s="36">
        <f t="shared" si="42"/>
        <v>6.7999999999999996E-3</v>
      </c>
      <c r="L60" s="109">
        <f t="shared" ref="L60:L61" si="53">E60*K60</f>
        <v>0</v>
      </c>
      <c r="M60" s="109">
        <f t="shared" ref="M60:M61" si="54">H60+J60+L60</f>
        <v>0</v>
      </c>
      <c r="N60" s="34"/>
      <c r="O60" s="34"/>
      <c r="P60" s="34"/>
      <c r="Q60" s="34"/>
      <c r="R60" s="34"/>
      <c r="S60" s="34"/>
      <c r="T60" s="34"/>
      <c r="U60" s="34"/>
      <c r="V60" s="34"/>
      <c r="W60" s="34"/>
    </row>
    <row r="61" spans="1:23" x14ac:dyDescent="0.3">
      <c r="A61" s="664" t="str">
        <f>Data!A345</f>
        <v>Grain Drill (Presswheel, 30 ft) - LARGE SIZE</v>
      </c>
      <c r="B61" s="33">
        <f>Data!B345</f>
        <v>0</v>
      </c>
      <c r="C61" s="34" t="str">
        <f>Data!C345</f>
        <v>grain drill</v>
      </c>
      <c r="D61" s="109">
        <f>Data!D345*Data!$AR$17</f>
        <v>0</v>
      </c>
      <c r="E61" s="109">
        <f t="shared" si="51"/>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2"/>
        <v>0</v>
      </c>
      <c r="K61" s="36">
        <f t="shared" si="42"/>
        <v>6.7999999999999996E-3</v>
      </c>
      <c r="L61" s="109">
        <f t="shared" si="53"/>
        <v>0</v>
      </c>
      <c r="M61" s="109">
        <f t="shared" si="54"/>
        <v>0</v>
      </c>
      <c r="N61" s="34"/>
      <c r="O61" s="34"/>
      <c r="P61" s="34"/>
      <c r="Q61" s="34"/>
      <c r="R61" s="34"/>
      <c r="S61" s="34"/>
      <c r="T61" s="34"/>
      <c r="U61" s="34"/>
      <c r="V61" s="34"/>
      <c r="W61" s="34"/>
    </row>
    <row r="62" spans="1:23"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Data!D353*Data!$P$17*CP!$H$5</f>
        <v>0</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Data!D354*Data!$P$17</f>
        <v>0</v>
      </c>
      <c r="E65" s="109">
        <f t="shared" ref="E65:E66" si="55">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6">E65*I65</f>
        <v>0</v>
      </c>
      <c r="K65" s="36">
        <f>_tax_ins_</f>
        <v>6.7999999999999996E-3</v>
      </c>
      <c r="L65" s="109">
        <f t="shared" ref="L65:L66" si="57">E65*K65</f>
        <v>0</v>
      </c>
      <c r="M65" s="109">
        <f t="shared" ref="M65:M66" si="58">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Data!D355*Data!$P$17</f>
        <v>0</v>
      </c>
      <c r="E66" s="109">
        <f t="shared" si="55"/>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6"/>
        <v>0</v>
      </c>
      <c r="K66" s="36">
        <f>_tax_ins_</f>
        <v>6.7999999999999996E-3</v>
      </c>
      <c r="L66" s="109">
        <f t="shared" si="57"/>
        <v>0</v>
      </c>
      <c r="M66" s="109">
        <f t="shared" si="58"/>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14"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Data!D381*Data!$AH$17*CP!$H$5</f>
        <v>0</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59">_tax_ins_</f>
        <v>6.7999999999999996E-3</v>
      </c>
      <c r="L69" s="109">
        <f>E69*K69</f>
        <v>0</v>
      </c>
      <c r="M69" s="109">
        <f>H69+J69+L69</f>
        <v>0</v>
      </c>
      <c r="N69" s="34"/>
      <c r="O69" s="34"/>
      <c r="P69" s="34"/>
      <c r="Q69" s="34"/>
      <c r="R69" s="34"/>
      <c r="S69" s="34"/>
      <c r="T69" s="34"/>
      <c r="U69" s="34"/>
      <c r="V69" s="34"/>
      <c r="W69" s="34"/>
    </row>
    <row r="70" spans="1:23" x14ac:dyDescent="0.3">
      <c r="A70" s="664" t="str">
        <f>Data!A382</f>
        <v>Combine (IHC) - MEDIUM SIZE</v>
      </c>
      <c r="B70" s="33">
        <f>Data!B382</f>
        <v>1</v>
      </c>
      <c r="C70" s="34" t="str">
        <f>Data!C382</f>
        <v>combine</v>
      </c>
      <c r="D70" s="109">
        <f>Data!D382*Data!$AH$17</f>
        <v>0</v>
      </c>
      <c r="E70" s="109">
        <f t="shared" ref="E70:E71" si="60">D70*B70</f>
        <v>0</v>
      </c>
      <c r="F70" s="109">
        <f>IF(CP!K49=0,Data!I382*E70,CP!K49*B70)</f>
        <v>0</v>
      </c>
      <c r="G70" s="60">
        <f>IF(CP!$G$49=0,Data!$F$382,CP!$G$49)</f>
        <v>40</v>
      </c>
      <c r="H70" s="109">
        <f>(E70*(_int_inv_m*(1+_int_inv_m)^G70)/((1+_int_inv_m)^G70-1))-(F70*_int_inv_m/((1+_int_inv_m)^G70-1))</f>
        <v>0</v>
      </c>
      <c r="I70" s="37">
        <f>IF(CP!I49=0,Data!H382*Data!$J$271,CP!I49/CP!E49)</f>
        <v>2.8219081272084806E-2</v>
      </c>
      <c r="J70" s="109">
        <f t="shared" ref="J70:J71" si="61">E70*I70</f>
        <v>0</v>
      </c>
      <c r="K70" s="36">
        <f t="shared" si="59"/>
        <v>6.7999999999999996E-3</v>
      </c>
      <c r="L70" s="109">
        <f t="shared" ref="L70:L71" si="62">E70*K70</f>
        <v>0</v>
      </c>
      <c r="M70" s="109">
        <f t="shared" ref="M70:M71" si="63">H70+J70+L70</f>
        <v>0</v>
      </c>
      <c r="N70" s="34"/>
      <c r="O70" s="34"/>
      <c r="P70" s="34"/>
      <c r="Q70" s="34"/>
      <c r="R70" s="34"/>
      <c r="S70" s="34"/>
      <c r="T70" s="34"/>
      <c r="U70" s="34"/>
      <c r="V70" s="34"/>
      <c r="W70" s="34"/>
    </row>
    <row r="71" spans="1:23" x14ac:dyDescent="0.3">
      <c r="A71" s="664" t="str">
        <f>Data!A383</f>
        <v>Combine (IHC) - LARGE SIZE</v>
      </c>
      <c r="B71" s="33">
        <f>Data!B383</f>
        <v>0</v>
      </c>
      <c r="C71" s="34" t="str">
        <f>Data!C383</f>
        <v>combine</v>
      </c>
      <c r="D71" s="109">
        <f>Data!D383*Data!$AH$17</f>
        <v>0</v>
      </c>
      <c r="E71" s="109">
        <f t="shared" si="60"/>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1"/>
        <v>0</v>
      </c>
      <c r="K71" s="36">
        <f t="shared" si="59"/>
        <v>6.7999999999999996E-3</v>
      </c>
      <c r="L71" s="109">
        <f t="shared" si="62"/>
        <v>0</v>
      </c>
      <c r="M71" s="109">
        <f t="shared" si="63"/>
        <v>0</v>
      </c>
      <c r="N71" s="34"/>
      <c r="O71" s="34"/>
      <c r="P71" s="34"/>
      <c r="Q71" s="34"/>
      <c r="R71" s="34"/>
      <c r="S71" s="34"/>
      <c r="T71" s="34"/>
      <c r="U71" s="34"/>
      <c r="V71" s="34"/>
      <c r="W71" s="34"/>
    </row>
    <row r="72" spans="1:23" ht="13.25" customHeight="1" x14ac:dyDescent="0.3">
      <c r="A72" s="664" t="str">
        <f>Data!A385</f>
        <v xml:space="preserve">     Combine small grain head (15 ft) - SMALL SIZE</v>
      </c>
      <c r="B72" s="33">
        <f>Data!B385</f>
        <v>0</v>
      </c>
      <c r="C72" s="34" t="str">
        <f>Data!C385</f>
        <v>sm.gr.hd.</v>
      </c>
      <c r="D72" s="109">
        <f>Data!D385*Data!$AJ$17*CP!$H$5</f>
        <v>0</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59"/>
        <v>6.7999999999999996E-3</v>
      </c>
      <c r="L72" s="109">
        <f>E72*K72</f>
        <v>0</v>
      </c>
      <c r="M72" s="109">
        <f>H72+J72+L72</f>
        <v>0</v>
      </c>
      <c r="N72" s="34"/>
      <c r="O72" s="34"/>
      <c r="P72" s="34"/>
      <c r="Q72" s="34"/>
      <c r="R72" s="34"/>
      <c r="S72" s="34"/>
      <c r="T72" s="34"/>
      <c r="U72" s="34"/>
      <c r="V72" s="34"/>
    </row>
    <row r="73" spans="1:23" ht="13.25" customHeight="1" x14ac:dyDescent="0.3">
      <c r="A73" s="664" t="str">
        <f>Data!A386</f>
        <v xml:space="preserve">     Combine small grain head (15 ft) - MEDIUM SIZE</v>
      </c>
      <c r="B73" s="33">
        <f>Data!B386</f>
        <v>1</v>
      </c>
      <c r="C73" s="34" t="str">
        <f>Data!C386</f>
        <v>sm.gr.hd.</v>
      </c>
      <c r="D73" s="109">
        <f>Data!D386*Data!$AJ$17</f>
        <v>0</v>
      </c>
      <c r="E73" s="109">
        <f t="shared" ref="E73:E74" si="64">D73*B73</f>
        <v>0</v>
      </c>
      <c r="F73" s="109">
        <f>IF(CP!K52=0,Data!I386*E73,CP!K52*B73)</f>
        <v>0</v>
      </c>
      <c r="G73" s="60">
        <f>IF(CP!$G$51=0,Data!$F$386,CP!$G$51)</f>
        <v>50</v>
      </c>
      <c r="H73" s="109">
        <f>(E73*(_int_inv_m*(1+_int_inv_m)^G73)/((1+_int_inv_m)^G73-1))-(F73*_int_inv_m/((1+_int_inv_m)^G73-1))</f>
        <v>0</v>
      </c>
      <c r="I73" s="37">
        <f>IF(CP!I52=0,Data!H386*Data!$J$271,CP!I52/CP!E52)</f>
        <v>2.6278604651162791E-2</v>
      </c>
      <c r="J73" s="109">
        <f t="shared" ref="J73:J74" si="65">E73*I73</f>
        <v>0</v>
      </c>
      <c r="K73" s="36">
        <f t="shared" si="59"/>
        <v>6.7999999999999996E-3</v>
      </c>
      <c r="L73" s="109">
        <f t="shared" ref="L73:L74" si="66">E73*K73</f>
        <v>0</v>
      </c>
      <c r="M73" s="109">
        <f t="shared" ref="M73:M74" si="67">H73+J73+L73</f>
        <v>0</v>
      </c>
      <c r="N73" s="34"/>
      <c r="O73" s="34"/>
      <c r="P73" s="34"/>
      <c r="Q73" s="34"/>
      <c r="R73" s="34"/>
      <c r="S73" s="34"/>
      <c r="T73" s="34"/>
      <c r="U73" s="34"/>
      <c r="V73" s="34"/>
    </row>
    <row r="74" spans="1:23" ht="13.25" customHeight="1" x14ac:dyDescent="0.3">
      <c r="A74" s="664" t="str">
        <f>Data!A387</f>
        <v xml:space="preserve">     Combine small grain head (20 ft) - LARGE SIZE</v>
      </c>
      <c r="B74" s="33">
        <f>Data!B387</f>
        <v>0</v>
      </c>
      <c r="C74" s="34" t="str">
        <f>Data!C387</f>
        <v>sm.gr.hd.</v>
      </c>
      <c r="D74" s="109">
        <f>Data!D387*Data!$AJ$17</f>
        <v>0</v>
      </c>
      <c r="E74" s="109">
        <f t="shared" si="64"/>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5"/>
        <v>0</v>
      </c>
      <c r="K74" s="36">
        <f t="shared" si="59"/>
        <v>6.7999999999999996E-3</v>
      </c>
      <c r="L74" s="109">
        <f t="shared" si="66"/>
        <v>0</v>
      </c>
      <c r="M74" s="109">
        <f t="shared" si="67"/>
        <v>0</v>
      </c>
      <c r="N74" s="34"/>
      <c r="O74" s="34"/>
      <c r="P74" s="34"/>
      <c r="Q74" s="34"/>
      <c r="R74" s="34"/>
      <c r="S74" s="34"/>
      <c r="T74" s="34"/>
      <c r="U74" s="34"/>
      <c r="V74" s="34"/>
    </row>
    <row r="75" spans="1:23" x14ac:dyDescent="0.3">
      <c r="A75" s="19" t="str">
        <f>Data!A378</f>
        <v xml:space="preserve">Raker </v>
      </c>
      <c r="B75" s="163">
        <f>Data!B378*Data!$B$34</f>
        <v>0</v>
      </c>
      <c r="C75" s="34" t="str">
        <f>Data!C378</f>
        <v>raker</v>
      </c>
      <c r="D75" s="109">
        <f>Data!D378*Data!$AF$17</f>
        <v>0</v>
      </c>
      <c r="E75" s="109">
        <f>D75*B75</f>
        <v>0</v>
      </c>
      <c r="F75" s="109">
        <f>Data!I378*E75</f>
        <v>0</v>
      </c>
      <c r="G75" s="60">
        <f>Data!F378</f>
        <v>50</v>
      </c>
      <c r="H75" s="109">
        <f t="shared" ref="H75:H77" si="68">(E75*(_int_inv_*(1+_int_inv_)^G75)/((1+_int_inv_)^G75-1))-(F75*_int_inv_/((1+_int_inv_)^G75-1))</f>
        <v>0</v>
      </c>
      <c r="I75" s="164">
        <f>Data!H378*Data!$J$271</f>
        <v>4.4999999999999998E-2</v>
      </c>
      <c r="J75" s="109">
        <f>E75*I75</f>
        <v>0</v>
      </c>
      <c r="K75" s="36">
        <f t="shared" si="59"/>
        <v>6.7999999999999996E-3</v>
      </c>
      <c r="L75" s="109">
        <f>E75*K75</f>
        <v>0</v>
      </c>
      <c r="M75" s="109">
        <f>H75+J75+L75</f>
        <v>0</v>
      </c>
    </row>
    <row r="76" spans="1:23" x14ac:dyDescent="0.3">
      <c r="A76" s="19" t="str">
        <f>Data!A379</f>
        <v>Baler (Round)</v>
      </c>
      <c r="B76" s="163">
        <f>Data!B379*Data!$B$34*Data!$C$34</f>
        <v>0</v>
      </c>
      <c r="C76" s="34" t="str">
        <f>Data!C379</f>
        <v>round baler</v>
      </c>
      <c r="D76" s="109">
        <f>Data!D379*Data!$AF$17</f>
        <v>0</v>
      </c>
      <c r="E76" s="109">
        <f>D76*B76</f>
        <v>0</v>
      </c>
      <c r="F76" s="109">
        <f>Data!I379*E76</f>
        <v>0</v>
      </c>
      <c r="G76" s="60">
        <f>Data!F379</f>
        <v>40</v>
      </c>
      <c r="H76" s="109">
        <f t="shared" si="68"/>
        <v>0</v>
      </c>
      <c r="I76" s="164">
        <f>Data!H379*Data!$J$271</f>
        <v>4.4999999999999998E-2</v>
      </c>
      <c r="J76" s="109">
        <f>E76*I76</f>
        <v>0</v>
      </c>
      <c r="K76" s="36">
        <f t="shared" si="59"/>
        <v>6.7999999999999996E-3</v>
      </c>
      <c r="L76" s="109">
        <f>E76*K76</f>
        <v>0</v>
      </c>
      <c r="M76" s="109">
        <f>H76+J76+L76</f>
        <v>0</v>
      </c>
    </row>
    <row r="77" spans="1:23" x14ac:dyDescent="0.3">
      <c r="A77" s="19" t="str">
        <f>Data!A380</f>
        <v>Baler (Square)</v>
      </c>
      <c r="B77" s="163">
        <f>Data!B380*Data!$B$34*Data!$D$34</f>
        <v>0</v>
      </c>
      <c r="C77" s="34" t="str">
        <f>Data!C380</f>
        <v>square baler</v>
      </c>
      <c r="D77" s="109">
        <f>Data!D380*Data!$AF$17</f>
        <v>0</v>
      </c>
      <c r="E77" s="109">
        <f>D77*B77</f>
        <v>0</v>
      </c>
      <c r="F77" s="109">
        <f>Data!I380*E77</f>
        <v>0</v>
      </c>
      <c r="G77" s="60">
        <f>Data!F380</f>
        <v>20</v>
      </c>
      <c r="H77" s="109">
        <f t="shared" si="68"/>
        <v>0</v>
      </c>
      <c r="I77" s="164">
        <f>Data!H380*Data!$J$271</f>
        <v>4.4999999999999998E-2</v>
      </c>
      <c r="J77" s="109">
        <f>E77*I77</f>
        <v>0</v>
      </c>
      <c r="K77" s="36">
        <f t="shared" si="59"/>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14"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Data!D395*Data!$H$17*CP!$H$5</f>
        <v>0</v>
      </c>
      <c r="E80" s="109">
        <f>D80*B80</f>
        <v>0</v>
      </c>
      <c r="F80" s="109">
        <f>IF(CP!K58=0,Data!I395*E80,CP!K58*B80)</f>
        <v>0</v>
      </c>
      <c r="G80" s="60">
        <f>IF(CP!$G$58=0,Data!$F$395,CP!$G$58)</f>
        <v>50</v>
      </c>
      <c r="H80" s="104">
        <f t="shared" ref="H80:H81" si="69">(E80*(_int_inv_*(1+_int_inv_)^G80)/((1+_int_inv_)^G80-1))-(F80*_int_inv_/((1+_int_inv_)^G80-1))</f>
        <v>0</v>
      </c>
      <c r="I80" s="675">
        <f>IF(CP!I58=0,Data!H395*Data!$J$271,CP!I58/CP!E58)</f>
        <v>0.02</v>
      </c>
      <c r="J80" s="104">
        <f>E80*I80</f>
        <v>0</v>
      </c>
      <c r="K80" s="36">
        <f t="shared" ref="K80:K85" si="70">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Data!D396*Data!$H$17*CP!$H$5</f>
        <v>0</v>
      </c>
      <c r="E81" s="109">
        <f>D81*B81</f>
        <v>0</v>
      </c>
      <c r="F81" s="109">
        <f>IF(CP!K61=0,Data!I396*E81,CP!K61*B81)</f>
        <v>0</v>
      </c>
      <c r="G81" s="60">
        <f>IF(CP!$G$61=0,Data!$F$396,CP!$G$61)</f>
        <v>50</v>
      </c>
      <c r="H81" s="109">
        <f t="shared" si="69"/>
        <v>0</v>
      </c>
      <c r="I81" s="675">
        <f>IF(CP!I61=0,Data!H396*Data!$J$271,CP!I61/CP!E61)</f>
        <v>0.02</v>
      </c>
      <c r="J81" s="109">
        <f>E81*I81</f>
        <v>0</v>
      </c>
      <c r="K81" s="36">
        <f t="shared" si="70"/>
        <v>6.7999999999999996E-3</v>
      </c>
      <c r="L81" s="104">
        <f>E81*K81</f>
        <v>0</v>
      </c>
      <c r="M81" s="109">
        <f>H81+J81+L81</f>
        <v>0</v>
      </c>
    </row>
    <row r="82" spans="1:23" x14ac:dyDescent="0.3">
      <c r="A82" s="664" t="str">
        <f>Data!A397</f>
        <v>Fuel Tanks - MEDIUM SIZE</v>
      </c>
      <c r="B82" s="33">
        <f>Data!B397</f>
        <v>1</v>
      </c>
      <c r="C82" s="34" t="str">
        <f>Data!C397</f>
        <v>fuel tank</v>
      </c>
      <c r="D82" s="109">
        <f>Data!D397*Data!$H$17</f>
        <v>0</v>
      </c>
      <c r="E82" s="109">
        <f t="shared" ref="E82:E85" si="71">D82*B82</f>
        <v>0</v>
      </c>
      <c r="F82" s="109">
        <f>IF(CP!K59=0,Data!I397*E82,CP!K59*B82)</f>
        <v>0</v>
      </c>
      <c r="G82" s="60">
        <f>IF(CP!$G$59=0,Data!$F$397,CP!$G$59)</f>
        <v>40</v>
      </c>
      <c r="H82" s="109">
        <f>(E82*(_int_inv_m*(1+_int_inv_m)^G82)/((1+_int_inv_m)^G82-1))-(F82*_int_inv_m/((1+_int_inv_m)^G82-1))</f>
        <v>0</v>
      </c>
      <c r="I82" s="675">
        <f>IF(CP!I59=0,Data!H397*Data!$J$271,CP!I59/CP!E59)</f>
        <v>0.02</v>
      </c>
      <c r="J82" s="104">
        <f t="shared" ref="J82:J85" si="72">E82*I82</f>
        <v>0</v>
      </c>
      <c r="K82" s="36">
        <f t="shared" si="70"/>
        <v>6.7999999999999996E-3</v>
      </c>
      <c r="L82" s="104">
        <f t="shared" ref="L82:L85" si="73">E82*K82</f>
        <v>0</v>
      </c>
      <c r="M82" s="109">
        <f t="shared" ref="M82:M85" si="74">H82+J82+L82</f>
        <v>0</v>
      </c>
    </row>
    <row r="83" spans="1:23" x14ac:dyDescent="0.3">
      <c r="A83" s="664" t="str">
        <f>Data!A398</f>
        <v>Shop Tools - MEDIUM SIZE</v>
      </c>
      <c r="B83" s="33">
        <f>Data!B398</f>
        <v>1</v>
      </c>
      <c r="C83" s="34" t="str">
        <f>Data!C398</f>
        <v>shop tools</v>
      </c>
      <c r="D83" s="109">
        <f>Data!D398*Data!$H$17</f>
        <v>0</v>
      </c>
      <c r="E83" s="109">
        <f t="shared" si="71"/>
        <v>0</v>
      </c>
      <c r="F83" s="109">
        <f>IF(CP!K62=0,Data!I398*E83,CP!K62*B83)</f>
        <v>0</v>
      </c>
      <c r="G83" s="60">
        <f>IF(CP!$G$62=0,Data!$F$398,CP!$G$62)</f>
        <v>40</v>
      </c>
      <c r="H83" s="109">
        <f>(E83*(_int_inv_m*(1+_int_inv_m)^G83)/((1+_int_inv_m)^G83-1))-(F83*_int_inv_m/((1+_int_inv_m)^G83-1))</f>
        <v>0</v>
      </c>
      <c r="I83" s="675">
        <f>IF(CP!I62=0,Data!H398*Data!$J$271,CP!I62/CP!E62)</f>
        <v>0.02</v>
      </c>
      <c r="J83" s="109">
        <f t="shared" si="72"/>
        <v>0</v>
      </c>
      <c r="K83" s="36">
        <f t="shared" si="70"/>
        <v>6.7999999999999996E-3</v>
      </c>
      <c r="L83" s="104">
        <f t="shared" si="73"/>
        <v>0</v>
      </c>
      <c r="M83" s="109">
        <f t="shared" si="74"/>
        <v>0</v>
      </c>
    </row>
    <row r="84" spans="1:23" x14ac:dyDescent="0.3">
      <c r="A84" s="664" t="str">
        <f>Data!A399</f>
        <v>Fuel Tanks - LARGE SIZE</v>
      </c>
      <c r="B84" s="33">
        <f>Data!B399</f>
        <v>0</v>
      </c>
      <c r="C84" s="34" t="str">
        <f>Data!C399</f>
        <v>fuel tank</v>
      </c>
      <c r="D84" s="109">
        <f>Data!D399*Data!$H$17</f>
        <v>0</v>
      </c>
      <c r="E84" s="109">
        <f t="shared" si="71"/>
        <v>0</v>
      </c>
      <c r="F84" s="109">
        <f>IF(CP!K60=0,Data!I399*E84,CP!K60*B84)</f>
        <v>0</v>
      </c>
      <c r="G84" s="60">
        <f>IF(CP!$G$60=0,Data!$F$399,CP!$G$60)</f>
        <v>20</v>
      </c>
      <c r="H84" s="109">
        <f>(E84*(_int_inv_l*(1+_int_inv_l)^G84)/((1+_int_inv_l)^G84-1))-(F84*_int_inv_l/((1+_int_inv_l)^G84-1))</f>
        <v>0</v>
      </c>
      <c r="I84" s="675">
        <f>IF(CP!I60=0,Data!H399*Data!$J$271,CP!I60/CP!E60)</f>
        <v>0.02</v>
      </c>
      <c r="J84" s="104">
        <f t="shared" si="72"/>
        <v>0</v>
      </c>
      <c r="K84" s="36">
        <f t="shared" si="70"/>
        <v>6.7999999999999996E-3</v>
      </c>
      <c r="L84" s="104">
        <f t="shared" si="73"/>
        <v>0</v>
      </c>
      <c r="M84" s="109">
        <f t="shared" si="74"/>
        <v>0</v>
      </c>
    </row>
    <row r="85" spans="1:23" x14ac:dyDescent="0.3">
      <c r="A85" s="664" t="str">
        <f>Data!A400</f>
        <v>Shop Tools - LARGE SIZE</v>
      </c>
      <c r="B85" s="33">
        <f>Data!B400</f>
        <v>0</v>
      </c>
      <c r="C85" s="34" t="str">
        <f>Data!C400</f>
        <v>shop tools</v>
      </c>
      <c r="D85" s="109">
        <f>Data!D400*Data!$H$17</f>
        <v>0</v>
      </c>
      <c r="E85" s="109">
        <f t="shared" si="71"/>
        <v>0</v>
      </c>
      <c r="F85" s="109">
        <f>IF(CP!K63=0,Data!I400*E85,CP!K63*B85)</f>
        <v>0</v>
      </c>
      <c r="G85" s="60">
        <f>IF(CP!$G$63=0,Data!$F$400,CP!$G$63)</f>
        <v>20</v>
      </c>
      <c r="H85" s="109">
        <f>(E85*(_int_inv_l*(1+_int_inv_l)^G85)/((1+_int_inv_l)^G85-1))-(F85*_int_inv_l/((1+_int_inv_l)^G85-1))</f>
        <v>0</v>
      </c>
      <c r="I85" s="675">
        <f>IF(CP!I63=0,Data!H400*Data!$J$271,CP!I63/CP!E63)</f>
        <v>0.02</v>
      </c>
      <c r="J85" s="109">
        <f t="shared" si="72"/>
        <v>0</v>
      </c>
      <c r="K85" s="36">
        <f t="shared" si="70"/>
        <v>6.7999999999999996E-3</v>
      </c>
      <c r="L85" s="104">
        <f t="shared" si="73"/>
        <v>0</v>
      </c>
      <c r="M85" s="109">
        <f t="shared" si="74"/>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33">
        <f>Data!B417</f>
        <v>0</v>
      </c>
      <c r="C88" s="34" t="str">
        <f>Data!C417</f>
        <v>grain cleaner</v>
      </c>
      <c r="D88" s="109">
        <f>Data!D417*Data!$H$17*CP!$H$5</f>
        <v>0</v>
      </c>
      <c r="E88" s="109">
        <f t="shared" ref="E88:E90" si="75">D88*B88</f>
        <v>0</v>
      </c>
      <c r="F88" s="109">
        <f>IF(CP!K65=0,Data!I417*E88,CP!K65*B88)</f>
        <v>0</v>
      </c>
      <c r="G88" s="60">
        <f>IF(CP!$G$65=0,Data!$F$417,CP!$G$65)</f>
        <v>50</v>
      </c>
      <c r="H88" s="109">
        <f>(E88*(_int_inv_*(1+_int_inv_)^G88)/((1+_int_inv_)^G88-1))-(F88*_int_inv_/((1+_int_inv_)^G88-1))</f>
        <v>0</v>
      </c>
      <c r="I88" s="675">
        <f>IF(CP!I65=0,Data!H417*Data!$J$271,CP!I65/CP!E65)</f>
        <v>0.02</v>
      </c>
      <c r="J88" s="109">
        <f t="shared" ref="J88:J90" si="76">E88*I88</f>
        <v>0</v>
      </c>
      <c r="K88" s="36">
        <f>_tax_ins_</f>
        <v>6.7999999999999996E-3</v>
      </c>
      <c r="L88" s="104">
        <f t="shared" ref="L88:L90" si="77">E88*K88</f>
        <v>0</v>
      </c>
      <c r="M88" s="109">
        <f t="shared" ref="M88:M90" si="78">H88+J88+L88</f>
        <v>0</v>
      </c>
    </row>
    <row r="89" spans="1:23" x14ac:dyDescent="0.3">
      <c r="A89" s="664" t="str">
        <f>Data!A418</f>
        <v>Grain Cleaner - MEDIUM SIZE</v>
      </c>
      <c r="B89" s="33">
        <f>Data!B418</f>
        <v>1</v>
      </c>
      <c r="C89" s="34" t="str">
        <f>Data!C418</f>
        <v>grain cleaner</v>
      </c>
      <c r="D89" s="109">
        <f>Data!D418*Data!$H$17</f>
        <v>0</v>
      </c>
      <c r="E89" s="109">
        <f t="shared" si="75"/>
        <v>0</v>
      </c>
      <c r="F89" s="109">
        <f>IF(CP!K66=0,Data!I418*E89,CP!K66*B89)</f>
        <v>0</v>
      </c>
      <c r="G89" s="60">
        <f>IF(CP!$G$66=0,Data!$F$418,CP!$G$66)</f>
        <v>40</v>
      </c>
      <c r="H89" s="109">
        <f>(E89*(_int_inv_m*(1+_int_inv_m)^G89)/((1+_int_inv_m)^G89-1))-(F89*_int_inv_m/((1+_int_inv_m)^G89-1))</f>
        <v>0</v>
      </c>
      <c r="I89" s="675">
        <f>IF(CP!I66=0,Data!H418*Data!$J$271,CP!I66/CP!E66)</f>
        <v>0.02</v>
      </c>
      <c r="J89" s="109">
        <f t="shared" si="76"/>
        <v>0</v>
      </c>
      <c r="K89" s="36">
        <f>_tax_ins_</f>
        <v>6.7999999999999996E-3</v>
      </c>
      <c r="L89" s="104">
        <f t="shared" si="77"/>
        <v>0</v>
      </c>
      <c r="M89" s="109">
        <f t="shared" si="78"/>
        <v>0</v>
      </c>
    </row>
    <row r="90" spans="1:23" x14ac:dyDescent="0.3">
      <c r="A90" s="664" t="str">
        <f>Data!A419</f>
        <v>Grain Cleaner - LARGE SIZE</v>
      </c>
      <c r="B90" s="33">
        <f>Data!B419</f>
        <v>0</v>
      </c>
      <c r="C90" s="34" t="str">
        <f>Data!C419</f>
        <v>grain cleaner</v>
      </c>
      <c r="D90" s="109">
        <f>Data!D419*Data!$H$17</f>
        <v>0</v>
      </c>
      <c r="E90" s="109">
        <f t="shared" si="75"/>
        <v>0</v>
      </c>
      <c r="F90" s="109">
        <f>IF(CP!K67=0,Data!I419*E90,CP!K67*B90)</f>
        <v>0</v>
      </c>
      <c r="G90" s="60">
        <f>IF(CP!$G$67=0,Data!$F$419,CP!$G$67)</f>
        <v>20</v>
      </c>
      <c r="H90" s="109">
        <f>(E90*(_int_inv_l*(1+_int_inv_l)^G90)/((1+_int_inv_l)^G90-1))-(F90*_int_inv_l/((1+_int_inv_l)^G90-1))</f>
        <v>0</v>
      </c>
      <c r="I90" s="675">
        <f>IF(CP!I67=0,Data!H419*Data!$J$271,CP!I67/CP!E67)</f>
        <v>0.02</v>
      </c>
      <c r="J90" s="109">
        <f t="shared" si="76"/>
        <v>0</v>
      </c>
      <c r="K90" s="36">
        <f>_tax_ins_</f>
        <v>6.7999999999999996E-3</v>
      </c>
      <c r="L90" s="104">
        <f t="shared" si="77"/>
        <v>0</v>
      </c>
      <c r="M90" s="109">
        <f t="shared" si="78"/>
        <v>0</v>
      </c>
    </row>
    <row r="91" spans="1:23" x14ac:dyDescent="0.3">
      <c r="A91" s="6"/>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14"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Data!D423*Data!$AH$17*CP!$H$5</f>
        <v>0</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79">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Data!D424*Data!$AH$17</f>
        <v>0</v>
      </c>
      <c r="E94" s="109">
        <f t="shared" ref="E94:E95" si="80">D94*B94</f>
        <v>0</v>
      </c>
      <c r="F94" s="109">
        <f>IF(CP!K70=0,Data!I424*E94,CP!K70*B94)</f>
        <v>0</v>
      </c>
      <c r="G94" s="60">
        <f>IF(CP!$G$70=0,Data!$F$424,CP!$G$70)</f>
        <v>40</v>
      </c>
      <c r="H94" s="109">
        <f>(E94*(_int_inv_m*(1+_int_inv_m)^G94)/((1+_int_inv_m)^G94-1))-(F94*_int_inv_m/((1+_int_inv_m)^G94-1))</f>
        <v>0</v>
      </c>
      <c r="I94" s="675">
        <f>IF(CP!I70=0,Data!H424*Data!$J$271,CP!I70/CP!E70)</f>
        <v>0.02</v>
      </c>
      <c r="J94" s="109">
        <f t="shared" ref="J94:J95" si="81">E94*I94</f>
        <v>0</v>
      </c>
      <c r="K94" s="36">
        <f t="shared" si="79"/>
        <v>6.7999999999999996E-3</v>
      </c>
      <c r="L94" s="109">
        <f t="shared" ref="L94:L95" si="82">E94*K94</f>
        <v>0</v>
      </c>
      <c r="M94" s="109">
        <f t="shared" ref="M94:M95" si="83">H94+J94+L94</f>
        <v>0</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Data!D425*Data!$AH$17</f>
        <v>0</v>
      </c>
      <c r="E95" s="109">
        <f t="shared" si="80"/>
        <v>0</v>
      </c>
      <c r="F95" s="109">
        <f>IF(CP!K71=0,Data!I425*E95,CP!K71*B95)</f>
        <v>0</v>
      </c>
      <c r="G95" s="60">
        <f>IF(CP!$G$71=0,Data!$F$425,CP!$G$71)</f>
        <v>20</v>
      </c>
      <c r="H95" s="109">
        <f>(E95*(_int_inv_l*(1+_int_inv_l)^G95)/((1+_int_inv_l)^G95-1))-(F95*_int_inv_l/((1+_int_inv_l)^G95-1))</f>
        <v>0</v>
      </c>
      <c r="I95" s="675">
        <f>IF(CP!I71=0,Data!H425*Data!$J$271,CP!I71/CP!E71)</f>
        <v>0.02</v>
      </c>
      <c r="J95" s="109">
        <f t="shared" si="81"/>
        <v>0</v>
      </c>
      <c r="K95" s="36">
        <f t="shared" si="79"/>
        <v>6.7999999999999996E-3</v>
      </c>
      <c r="L95" s="109">
        <f t="shared" si="82"/>
        <v>0</v>
      </c>
      <c r="M95" s="109">
        <f t="shared" si="83"/>
        <v>0</v>
      </c>
      <c r="N95" s="34"/>
      <c r="O95" s="34"/>
      <c r="P95" s="34"/>
      <c r="Q95" s="34"/>
      <c r="R95" s="34"/>
      <c r="S95" s="34"/>
      <c r="T95" s="34"/>
      <c r="U95" s="34"/>
      <c r="V95" s="34"/>
      <c r="W95" s="34"/>
    </row>
    <row r="96" spans="1:23" x14ac:dyDescent="0.3">
      <c r="A96" s="664" t="str">
        <f>Data!A426</f>
        <v>Grain Roller</v>
      </c>
      <c r="B96" s="163">
        <f>Data!B426</f>
        <v>0</v>
      </c>
      <c r="C96" s="34" t="str">
        <f>Data!C426</f>
        <v>roller</v>
      </c>
      <c r="D96" s="109">
        <f>Data!D426*Data!$AN$17*C92</f>
        <v>0</v>
      </c>
      <c r="E96" s="109">
        <f>D96*B96</f>
        <v>0</v>
      </c>
      <c r="F96" s="109">
        <f>Data!I426*E96</f>
        <v>0</v>
      </c>
      <c r="G96" s="60">
        <f>Data!F426</f>
        <v>10</v>
      </c>
      <c r="H96" s="109">
        <f t="shared" ref="H96:H100" si="84">(E96*(_int_inv_*(1+_int_inv_)^G96)/((1+_int_inv_)^G96-1))-(F96*_int_inv_/((1+_int_inv_)^G96-1))</f>
        <v>0</v>
      </c>
      <c r="I96" s="36">
        <f>Data!H426*Data!$J$271</f>
        <v>0.02</v>
      </c>
      <c r="J96" s="109">
        <f>E96*I96</f>
        <v>0</v>
      </c>
      <c r="K96" s="36">
        <f t="shared" si="79"/>
        <v>6.7999999999999996E-3</v>
      </c>
      <c r="L96" s="109">
        <f>E96*K96</f>
        <v>0</v>
      </c>
      <c r="M96" s="109">
        <f>H96+J96+L96</f>
        <v>0</v>
      </c>
      <c r="N96" s="34"/>
      <c r="O96" s="34"/>
      <c r="P96" s="34"/>
      <c r="Q96" s="34"/>
      <c r="R96" s="34"/>
      <c r="S96" s="34"/>
      <c r="T96" s="34"/>
      <c r="U96" s="34"/>
      <c r="V96" s="34"/>
      <c r="W96" s="34"/>
    </row>
    <row r="97" spans="1:23" x14ac:dyDescent="0.3">
      <c r="A97" s="664" t="str">
        <f>Data!A461</f>
        <v>Grain Dryer (Triticale) - SMALL SIZE</v>
      </c>
      <c r="B97" s="649">
        <f>Data!B461</f>
        <v>0</v>
      </c>
      <c r="C97" s="34" t="str">
        <f>Data!C461</f>
        <v>dryer</v>
      </c>
      <c r="D97" s="109">
        <f>Data!D461*Data!$D$17*$C$92*CP!$H$5</f>
        <v>0</v>
      </c>
      <c r="E97" s="109">
        <f>D97*B97</f>
        <v>0</v>
      </c>
      <c r="F97" s="109">
        <f>IF(CP!K72=0,Data!I461*E97,CP!K72*B97)</f>
        <v>0</v>
      </c>
      <c r="G97" s="60">
        <f>IF(CP!G72=0,Data!F461,CP!G72)</f>
        <v>10</v>
      </c>
      <c r="H97" s="109">
        <f t="shared" si="84"/>
        <v>0</v>
      </c>
      <c r="I97" s="675">
        <f>IF(CP!I72=0,Data!H461*Data!$J$271,CP!I72/CP!E72)</f>
        <v>0.02</v>
      </c>
      <c r="J97" s="109">
        <f>E97*I97</f>
        <v>0</v>
      </c>
      <c r="K97" s="36">
        <f t="shared" si="79"/>
        <v>6.7999999999999996E-3</v>
      </c>
      <c r="L97" s="109">
        <f>E97*K97</f>
        <v>0</v>
      </c>
      <c r="M97" s="109">
        <f>H97+J97+L97</f>
        <v>0</v>
      </c>
      <c r="N97" s="34"/>
      <c r="O97" s="34"/>
      <c r="P97" s="34"/>
      <c r="Q97" s="34"/>
      <c r="R97" s="34"/>
      <c r="S97" s="34"/>
      <c r="T97" s="34"/>
      <c r="U97" s="34"/>
      <c r="V97" s="34"/>
      <c r="W97" s="34"/>
    </row>
    <row r="98" spans="1:23" x14ac:dyDescent="0.3">
      <c r="A98" s="664" t="str">
        <f>Data!A462</f>
        <v>Grain Dryer (Triticale) - MEDIUM SIZE</v>
      </c>
      <c r="B98" s="649">
        <f>Data!B462</f>
        <v>0</v>
      </c>
      <c r="C98" s="34" t="str">
        <f>Data!C462</f>
        <v>dryer</v>
      </c>
      <c r="D98" s="109">
        <f>Data!D462*Data!$D$17*$C$92</f>
        <v>0</v>
      </c>
      <c r="E98" s="109">
        <f>D98*B98</f>
        <v>0</v>
      </c>
      <c r="F98" s="109">
        <f>IF(CP!K73=0,Data!I462*E98,CP!K73*B98)</f>
        <v>0</v>
      </c>
      <c r="G98" s="60">
        <f>IF(CP!G73=0,Data!F462,CP!G73)</f>
        <v>10</v>
      </c>
      <c r="H98" s="109">
        <f t="shared" ref="H98:H99" si="85">(E98*(_int_inv_*(1+_int_inv_)^G98)/((1+_int_inv_)^G98-1))-(F98*_int_inv_/((1+_int_inv_)^G98-1))</f>
        <v>0</v>
      </c>
      <c r="I98" s="675">
        <f>IF(CP!I73=0,Data!H462*Data!$J$271,CP!I73/CP!E73)</f>
        <v>0.02</v>
      </c>
      <c r="J98" s="109">
        <f>E98*I98</f>
        <v>0</v>
      </c>
      <c r="K98" s="36">
        <f t="shared" si="79"/>
        <v>6.7999999999999996E-3</v>
      </c>
      <c r="L98" s="109">
        <f>E98*K98</f>
        <v>0</v>
      </c>
      <c r="M98" s="109">
        <f>H98+J98+L98</f>
        <v>0</v>
      </c>
      <c r="N98" s="34"/>
      <c r="O98" s="34"/>
      <c r="P98" s="34"/>
      <c r="Q98" s="34"/>
      <c r="R98" s="34"/>
      <c r="S98" s="34"/>
      <c r="T98" s="34"/>
      <c r="U98" s="34"/>
      <c r="V98" s="34"/>
      <c r="W98" s="34"/>
    </row>
    <row r="99" spans="1:23" x14ac:dyDescent="0.3">
      <c r="A99" s="664" t="str">
        <f>Data!A463</f>
        <v>Grain Dryer (Triticale) - LARGE SIZE</v>
      </c>
      <c r="B99" s="649">
        <f>Data!B463</f>
        <v>0</v>
      </c>
      <c r="C99" s="34" t="str">
        <f>Data!C463</f>
        <v>dryer</v>
      </c>
      <c r="D99" s="109">
        <f>Data!D463*Data!$D$17*$C$92</f>
        <v>0</v>
      </c>
      <c r="E99" s="109">
        <f>D99*B99</f>
        <v>0</v>
      </c>
      <c r="F99" s="109">
        <f>IF(CP!K74=0,Data!I463*E99,CP!K74*B99)</f>
        <v>0</v>
      </c>
      <c r="G99" s="60">
        <f>IF(CP!G74=0,Data!F463,CP!G74)</f>
        <v>10</v>
      </c>
      <c r="H99" s="109">
        <f t="shared" si="85"/>
        <v>0</v>
      </c>
      <c r="I99" s="675">
        <f>IF(CP!I74=0,Data!H463*Data!$J$271,CP!I74/CP!E74)</f>
        <v>0.02</v>
      </c>
      <c r="J99" s="109">
        <f>E99*I99</f>
        <v>0</v>
      </c>
      <c r="K99" s="36">
        <f t="shared" si="79"/>
        <v>6.7999999999999996E-3</v>
      </c>
      <c r="L99" s="109">
        <f>E99*K99</f>
        <v>0</v>
      </c>
      <c r="M99" s="109">
        <f>H99+J99+L99</f>
        <v>0</v>
      </c>
      <c r="N99" s="34"/>
      <c r="O99" s="34"/>
      <c r="P99" s="34"/>
      <c r="Q99" s="34"/>
      <c r="R99" s="34"/>
      <c r="S99" s="34"/>
      <c r="T99" s="34"/>
      <c r="U99" s="34"/>
      <c r="V99" s="34"/>
      <c r="W99" s="34"/>
    </row>
    <row r="100" spans="1:23" x14ac:dyDescent="0.3">
      <c r="A100" s="664" t="str">
        <f>Data!A464</f>
        <v>Grain Bags (Triticale) - SMALL SIZE</v>
      </c>
      <c r="B100" s="974">
        <f>Data!B464</f>
        <v>0</v>
      </c>
      <c r="C100" s="34" t="str">
        <f>Data!C464</f>
        <v>grain bag</v>
      </c>
      <c r="D100" s="109">
        <f>Data!D464*Data!$D$17*C92</f>
        <v>0</v>
      </c>
      <c r="E100" s="109">
        <f>D100*B100</f>
        <v>0</v>
      </c>
      <c r="F100" s="109">
        <f>IF(CP!K75=0,Data!I464*E100,CP!K75*B100)</f>
        <v>0</v>
      </c>
      <c r="G100" s="60">
        <f>IF(CP!$G$75=0,Data!$F$464,CP!$G$75)</f>
        <v>5</v>
      </c>
      <c r="H100" s="109">
        <f t="shared" si="84"/>
        <v>0</v>
      </c>
      <c r="I100" s="675">
        <f>IF(CP!I75=0,Data!H464*Data!$J$271,CP!I75/CP!E75)</f>
        <v>0</v>
      </c>
      <c r="J100" s="109">
        <f>E100*I100</f>
        <v>0</v>
      </c>
      <c r="K100" s="36">
        <f t="shared" si="79"/>
        <v>6.7999999999999996E-3</v>
      </c>
      <c r="L100" s="109">
        <f>E100*K100</f>
        <v>0</v>
      </c>
      <c r="M100" s="109">
        <f>H100+J100+L100</f>
        <v>0</v>
      </c>
      <c r="N100" s="34"/>
      <c r="O100" s="34"/>
      <c r="P100" s="34"/>
      <c r="Q100" s="34"/>
      <c r="R100" s="34"/>
      <c r="S100" s="34"/>
      <c r="T100" s="34"/>
      <c r="U100" s="34"/>
      <c r="V100" s="34"/>
      <c r="W100" s="34"/>
    </row>
    <row r="101" spans="1:23" x14ac:dyDescent="0.3">
      <c r="A101" s="664" t="str">
        <f>Data!A465</f>
        <v>Grain Bin (Triticale) - MEDIUM SIZE</v>
      </c>
      <c r="B101" s="163">
        <f>Data!B465</f>
        <v>1</v>
      </c>
      <c r="C101" s="34" t="str">
        <f>Data!C465</f>
        <v>crop storage</v>
      </c>
      <c r="D101" s="109">
        <f>Data!D465*Data!$D$17*C92</f>
        <v>0</v>
      </c>
      <c r="E101" s="109">
        <f t="shared" ref="E101:E102" si="86">D101*B101</f>
        <v>0</v>
      </c>
      <c r="F101" s="109">
        <f>IF(CP!K76=0,Data!I465*E101,CP!K76*B101)</f>
        <v>0</v>
      </c>
      <c r="G101" s="60">
        <f>IF(CP!$G$76=0,Data!$F$465,CP!$G$76)</f>
        <v>33</v>
      </c>
      <c r="H101" s="109">
        <f>(E101*(_int_inv_m*(1+_int_inv_m)^G101)/((1+_int_inv_m)^G101-1))-(F101*_int_inv_m/((1+_int_inv_m)^G101-1))</f>
        <v>0</v>
      </c>
      <c r="I101" s="675">
        <f>IF(CP!I76=0,Data!H465*Data!$J$271,CP!I76/CP!E76)</f>
        <v>0.01</v>
      </c>
      <c r="J101" s="109">
        <f t="shared" ref="J101:J102" si="87">E101*I101</f>
        <v>0</v>
      </c>
      <c r="K101" s="36">
        <f t="shared" si="79"/>
        <v>6.7999999999999996E-3</v>
      </c>
      <c r="L101" s="109">
        <f t="shared" ref="L101:L102" si="88">E101*K101</f>
        <v>0</v>
      </c>
      <c r="M101" s="109">
        <f t="shared" ref="M101:M102" si="89">H101+J101+L101</f>
        <v>0</v>
      </c>
      <c r="N101" s="34"/>
      <c r="O101" s="34"/>
      <c r="P101" s="34"/>
      <c r="Q101" s="34"/>
      <c r="R101" s="34"/>
      <c r="S101" s="34"/>
      <c r="T101" s="34"/>
      <c r="U101" s="34"/>
      <c r="V101" s="34"/>
      <c r="W101" s="34"/>
    </row>
    <row r="102" spans="1:23" x14ac:dyDescent="0.3">
      <c r="A102" s="664" t="str">
        <f>Data!A466</f>
        <v>Grain Bin (Triticale) - LARGE SIZE</v>
      </c>
      <c r="B102" s="163">
        <f>Data!B466</f>
        <v>0</v>
      </c>
      <c r="C102" s="34" t="str">
        <f>Data!C466</f>
        <v>crop storage</v>
      </c>
      <c r="D102" s="109">
        <f>Data!D466*Data!$D$17*C92</f>
        <v>0</v>
      </c>
      <c r="E102" s="109">
        <f t="shared" si="86"/>
        <v>0</v>
      </c>
      <c r="F102" s="109">
        <f>IF(CP!K77=0,Data!I466*E102,CP!K77*B102)</f>
        <v>0</v>
      </c>
      <c r="G102" s="60">
        <f>IF(CP!$G$77=0,Data!$F$466,CP!$G$77)</f>
        <v>33</v>
      </c>
      <c r="H102" s="109">
        <f>(E102*(_int_inv_l*(1+_int_inv_l)^G102)/((1+_int_inv_l)^G102-1))-(F102*_int_inv_l/((1+_int_inv_l)^G102-1))</f>
        <v>0</v>
      </c>
      <c r="I102" s="675">
        <f>IF(CP!I77=0,Data!H466*Data!$J$271,CP!I77/CP!E77)</f>
        <v>0.01</v>
      </c>
      <c r="J102" s="109">
        <f t="shared" si="87"/>
        <v>0</v>
      </c>
      <c r="K102" s="36">
        <f t="shared" si="79"/>
        <v>6.7999999999999996E-3</v>
      </c>
      <c r="L102" s="109">
        <f t="shared" si="88"/>
        <v>0</v>
      </c>
      <c r="M102" s="109">
        <f t="shared" si="89"/>
        <v>0</v>
      </c>
      <c r="N102" s="34"/>
      <c r="O102" s="34"/>
      <c r="P102" s="34"/>
      <c r="Q102" s="34"/>
      <c r="R102" s="34"/>
      <c r="S102" s="34"/>
      <c r="T102" s="34"/>
      <c r="U102" s="34"/>
      <c r="V102" s="34"/>
      <c r="W102" s="34"/>
    </row>
    <row r="103" spans="1:23" x14ac:dyDescent="0.3">
      <c r="A103" s="664"/>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IF(Data!$C$39=1,Data!B95,0)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IF(Data!$C$40=1,Data!B95,0)</f>
        <v>0</v>
      </c>
      <c r="C106" s="868" t="str">
        <f>Data!H51</f>
        <v>acre(s)</v>
      </c>
      <c r="D106" s="109">
        <f>Data!$F$61</f>
        <v>1000</v>
      </c>
      <c r="E106" s="109">
        <f t="shared" ref="E106:E107" si="90">D106*B106</f>
        <v>0</v>
      </c>
      <c r="F106" s="864" t="s">
        <v>45</v>
      </c>
      <c r="G106" s="865" t="s">
        <v>45</v>
      </c>
      <c r="H106" s="109">
        <f>E106*_int_inv_m</f>
        <v>0</v>
      </c>
      <c r="I106" s="1307">
        <f>Data!$H$61*Data!$J$271</f>
        <v>0.01</v>
      </c>
      <c r="J106" s="109">
        <f t="shared" ref="J106:J107" si="91">E106*I106</f>
        <v>0</v>
      </c>
      <c r="K106" s="36">
        <f>_tax_ins_</f>
        <v>6.7999999999999996E-3</v>
      </c>
      <c r="L106" s="109">
        <f t="shared" ref="L106:L107" si="92">E106*K106</f>
        <v>0</v>
      </c>
      <c r="M106" s="109">
        <f t="shared" ref="M106:M107" si="93">H106+J106+L106</f>
        <v>0</v>
      </c>
      <c r="N106" s="34"/>
      <c r="O106" s="34"/>
      <c r="P106" s="34"/>
      <c r="Q106" s="34"/>
      <c r="R106" s="34"/>
      <c r="S106" s="34"/>
      <c r="T106" s="34"/>
      <c r="U106" s="34"/>
      <c r="V106" s="34"/>
      <c r="W106" s="34"/>
    </row>
    <row r="107" spans="1:23" x14ac:dyDescent="0.3">
      <c r="A107" s="664" t="str">
        <f>Data!A46</f>
        <v>Interest for investment (Large model)</v>
      </c>
      <c r="B107" s="33">
        <f>IF(Data!$C$41=1,Data!B95,0)</f>
        <v>0</v>
      </c>
      <c r="C107" s="868" t="str">
        <f>Data!H51</f>
        <v>acre(s)</v>
      </c>
      <c r="D107" s="109">
        <f>Data!$F$61</f>
        <v>1000</v>
      </c>
      <c r="E107" s="109">
        <f t="shared" si="90"/>
        <v>0</v>
      </c>
      <c r="F107" s="864" t="s">
        <v>45</v>
      </c>
      <c r="G107" s="865" t="s">
        <v>45</v>
      </c>
      <c r="H107" s="109">
        <f>E107*_int_inv_l</f>
        <v>0</v>
      </c>
      <c r="I107" s="1307">
        <f>Data!$H$61*Data!$J$271</f>
        <v>0.01</v>
      </c>
      <c r="J107" s="109">
        <f t="shared" si="91"/>
        <v>0</v>
      </c>
      <c r="K107" s="36">
        <f>_tax_ins_</f>
        <v>6.7999999999999996E-3</v>
      </c>
      <c r="L107" s="109">
        <f t="shared" si="92"/>
        <v>0</v>
      </c>
      <c r="M107" s="109">
        <f t="shared" si="93"/>
        <v>0</v>
      </c>
      <c r="N107" s="34"/>
      <c r="O107" s="34"/>
      <c r="P107" s="34"/>
      <c r="Q107" s="34"/>
      <c r="R107" s="34"/>
      <c r="S107" s="34"/>
      <c r="T107" s="34"/>
      <c r="U107" s="34"/>
      <c r="V107" s="34"/>
      <c r="W107" s="34"/>
    </row>
    <row r="108" spans="1:23" x14ac:dyDescent="0.3">
      <c r="A108" s="9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863"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Data!D495*Data!$H$17</f>
        <v>0</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Data!D496*Data!$H$17</f>
        <v>0</v>
      </c>
      <c r="E111" s="109">
        <f t="shared" ref="E111:E112" si="94">D111*B111</f>
        <v>0</v>
      </c>
      <c r="F111" s="109">
        <f>IF(CP!K80=0,Data!I496*E111,CP!K80*B111)</f>
        <v>0</v>
      </c>
      <c r="G111" s="34">
        <f>IF(CP!$G$80=0,Data!$F$496,CP!$G$80)</f>
        <v>33</v>
      </c>
      <c r="H111" s="109">
        <f>(E111*(_int_inv_m*(1+_int_inv_m)^G111)/((1+_int_inv_m)^G111-1))-(F111*_int_inv_m/((1+_int_inv_m)^G111-1))</f>
        <v>0</v>
      </c>
      <c r="I111" s="675">
        <f>IF(CP!I80=0,Data!H496*Data!$J$271,CP!I80/CP!E80)</f>
        <v>0.01</v>
      </c>
      <c r="J111" s="109">
        <f t="shared" ref="J111:J112" si="95">E111*I111</f>
        <v>0</v>
      </c>
      <c r="K111" s="36">
        <f>_tax_ins_</f>
        <v>6.7999999999999996E-3</v>
      </c>
      <c r="L111" s="109">
        <f t="shared" ref="L111:L112" si="96">E111*K111</f>
        <v>0</v>
      </c>
      <c r="M111" s="109">
        <f t="shared" ref="M111:M112" si="97">H111+J111+L111</f>
        <v>0</v>
      </c>
    </row>
    <row r="112" spans="1:23" x14ac:dyDescent="0.3">
      <c r="A112" s="664" t="str">
        <f>Data!A497</f>
        <v>Shop/Loading Shed - LARGE SIZE</v>
      </c>
      <c r="B112" s="33">
        <f>Data!B497</f>
        <v>0</v>
      </c>
      <c r="C112" s="34" t="str">
        <f>Data!C497</f>
        <v>building</v>
      </c>
      <c r="D112" s="109">
        <f>Data!D497*Data!$H$17</f>
        <v>0</v>
      </c>
      <c r="E112" s="109">
        <f t="shared" si="94"/>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5"/>
        <v>0</v>
      </c>
      <c r="K112" s="36">
        <f>_tax_ins_</f>
        <v>6.7999999999999996E-3</v>
      </c>
      <c r="L112" s="109">
        <f t="shared" si="96"/>
        <v>0</v>
      </c>
      <c r="M112" s="109">
        <f t="shared" si="97"/>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0</v>
      </c>
      <c r="F121" s="109">
        <f>SUM(F7:F119)</f>
        <v>0</v>
      </c>
      <c r="G121" s="34"/>
      <c r="H121" s="109">
        <f>SUM(H7:H119)</f>
        <v>0</v>
      </c>
      <c r="I121" s="35"/>
      <c r="J121" s="109">
        <f>SUM(J7:J119)</f>
        <v>0</v>
      </c>
      <c r="K121" s="35"/>
      <c r="L121" s="109">
        <f>SUM(L7:L119)</f>
        <v>0</v>
      </c>
      <c r="M121" s="109">
        <f>SUM(M7:M119)</f>
        <v>0</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1191</v>
      </c>
      <c r="E125" s="109">
        <f>SUM(E7:E103)</f>
        <v>0</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1192</v>
      </c>
      <c r="E126" s="109">
        <f>SUM(E105:E108)</f>
        <v>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1193</v>
      </c>
      <c r="E127" s="111">
        <f>SUM(E110:E116)</f>
        <v>0</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1194</v>
      </c>
      <c r="E128" s="109">
        <f>SUM(E125:E127)</f>
        <v>0</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701"/>
  <sheetViews>
    <sheetView workbookViewId="0">
      <pane ySplit="7" topLeftCell="A12" activePane="bottomLeft" state="frozen"/>
      <selection pane="bottomLeft" activeCell="K27" sqref="K27"/>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10.36328125" style="17" customWidth="1"/>
    <col min="16" max="16" width="9.08984375" style="17"/>
    <col min="17" max="17" width="6.90625" style="17" customWidth="1"/>
    <col min="18" max="18" width="7.36328125" style="17" customWidth="1"/>
    <col min="19" max="19" width="7.54296875" style="17" customWidth="1"/>
    <col min="20" max="16384" width="9.08984375" style="17"/>
  </cols>
  <sheetData>
    <row r="1" spans="1:12" x14ac:dyDescent="0.3">
      <c r="A1" s="61" t="s">
        <v>146</v>
      </c>
      <c r="B1" s="17" t="str">
        <f>model</f>
        <v>ME Grain &amp; Pulse</v>
      </c>
      <c r="E1" s="598" t="s">
        <v>106</v>
      </c>
      <c r="F1" s="55" t="s">
        <v>182</v>
      </c>
      <c r="G1" s="55" t="s">
        <v>108</v>
      </c>
    </row>
    <row r="2" spans="1:12" x14ac:dyDescent="0.3">
      <c r="A2" s="61"/>
      <c r="E2" s="598" t="s">
        <v>104</v>
      </c>
      <c r="F2" s="26">
        <f>Data!B132</f>
        <v>282.5</v>
      </c>
      <c r="G2" s="24">
        <f>F2/$F$4</f>
        <v>0.9231422782824652</v>
      </c>
    </row>
    <row r="3" spans="1:12" x14ac:dyDescent="0.3">
      <c r="E3" s="598" t="s">
        <v>572</v>
      </c>
      <c r="F3" s="76">
        <f>(Data!B228*Data!K63)/100</f>
        <v>23.52</v>
      </c>
      <c r="G3" s="57">
        <f>F3/$F$4</f>
        <v>7.6857721717534799E-2</v>
      </c>
    </row>
    <row r="4" spans="1:12" x14ac:dyDescent="0.3">
      <c r="A4" s="7" t="s">
        <v>1195</v>
      </c>
      <c r="B4" s="8" t="s">
        <v>92</v>
      </c>
      <c r="C4" s="65">
        <f>spelt</f>
        <v>100</v>
      </c>
      <c r="D4" s="4" t="s">
        <v>93</v>
      </c>
      <c r="F4" s="26">
        <f>SUM(F2:F3)</f>
        <v>306.02</v>
      </c>
      <c r="G4" s="24">
        <f>SUM(G2:G3)</f>
        <v>1</v>
      </c>
    </row>
    <row r="6" spans="1:12" ht="13.5" x14ac:dyDescent="0.35">
      <c r="A6" s="5" t="s">
        <v>0</v>
      </c>
      <c r="B6" s="5"/>
    </row>
    <row r="7" spans="1:12" s="27" customFormat="1" ht="25.5" customHeight="1" x14ac:dyDescent="0.3">
      <c r="A7" s="41"/>
      <c r="B7" s="391" t="s">
        <v>919</v>
      </c>
      <c r="C7" s="42" t="s">
        <v>21</v>
      </c>
      <c r="D7" s="42" t="s">
        <v>22</v>
      </c>
      <c r="E7" s="646" t="s">
        <v>900</v>
      </c>
      <c r="F7" s="42" t="s">
        <v>23</v>
      </c>
      <c r="G7" s="42" t="s">
        <v>24</v>
      </c>
      <c r="H7" s="42" t="s">
        <v>65</v>
      </c>
    </row>
    <row r="8" spans="1:12" x14ac:dyDescent="0.3">
      <c r="A8" s="3" t="s">
        <v>13</v>
      </c>
      <c r="B8" s="3"/>
    </row>
    <row r="9" spans="1:12" x14ac:dyDescent="0.3">
      <c r="A9" s="638" t="s">
        <v>572</v>
      </c>
      <c r="B9" s="405">
        <f>IF(INPUT!$I$17&gt;0,1,0)</f>
        <v>1</v>
      </c>
      <c r="C9" s="816">
        <f>INPUT!$I$17</f>
        <v>140</v>
      </c>
      <c r="D9" s="34" t="s">
        <v>126</v>
      </c>
      <c r="E9" s="226">
        <f>C9*spelt</f>
        <v>14000</v>
      </c>
      <c r="F9" s="371">
        <f>INPUT!$I$18</f>
        <v>0.7</v>
      </c>
      <c r="G9" s="114">
        <f>C9*F9</f>
        <v>98</v>
      </c>
      <c r="H9" s="109">
        <f>B9*G9*spelt</f>
        <v>9800</v>
      </c>
      <c r="K9" s="904" t="s">
        <v>246</v>
      </c>
      <c r="L9" s="904" t="s">
        <v>577</v>
      </c>
    </row>
    <row r="10" spans="1:12" x14ac:dyDescent="0.3">
      <c r="A10" s="638" t="s">
        <v>125</v>
      </c>
      <c r="B10" s="405">
        <f>IF(INPUT!$I$19="Clover",1,0)</f>
        <v>0</v>
      </c>
      <c r="C10" s="816">
        <f>IF(INPUT!$I$19="Clover",INPUT!$I$21,Sv!K10)</f>
        <v>8</v>
      </c>
      <c r="D10" s="34" t="s">
        <v>126</v>
      </c>
      <c r="E10" s="226">
        <f>C10*spelt</f>
        <v>800</v>
      </c>
      <c r="F10" s="371">
        <f>IF(INPUT!$I$19="Clover",INPUT!$I$22,Sv!L10)</f>
        <v>2.6</v>
      </c>
      <c r="G10" s="114">
        <f>C10*F10</f>
        <v>20.8</v>
      </c>
      <c r="H10" s="109">
        <f>B10*G10*spelt</f>
        <v>0</v>
      </c>
      <c r="K10" s="273">
        <f>8</f>
        <v>8</v>
      </c>
      <c r="L10" s="905">
        <f>130/50</f>
        <v>2.6</v>
      </c>
    </row>
    <row r="11" spans="1:12" x14ac:dyDescent="0.3">
      <c r="A11" s="638" t="s">
        <v>1143</v>
      </c>
      <c r="B11" s="405">
        <f>IF(INPUT!$I$19="Ryegrass",1,0)</f>
        <v>0</v>
      </c>
      <c r="C11" s="816">
        <f>IF(INPUT!$I$19="Ryegrass",INPUT!$I$21,Sv!K11)</f>
        <v>8</v>
      </c>
      <c r="D11" s="34" t="s">
        <v>126</v>
      </c>
      <c r="E11" s="226">
        <f>C11*spelt</f>
        <v>800</v>
      </c>
      <c r="F11" s="371">
        <f>IF(INPUT!$I$19="Ryegrass",INPUT!$I$22,Sv!L11)</f>
        <v>1.4</v>
      </c>
      <c r="G11" s="114">
        <f>C11*F11</f>
        <v>11.2</v>
      </c>
      <c r="H11" s="109">
        <f>B11*G11*spelt</f>
        <v>0</v>
      </c>
      <c r="K11" s="644">
        <v>8</v>
      </c>
      <c r="L11" s="905">
        <f>70/50</f>
        <v>1.4</v>
      </c>
    </row>
    <row r="12" spans="1:12" x14ac:dyDescent="0.3">
      <c r="A12" s="638" t="str">
        <f>IF(INPUT!$I$19="Other",INPUT!I20,"Other")</f>
        <v>Other</v>
      </c>
      <c r="B12" s="405">
        <f>IF(INPUT!$I$19="Other",1,0)</f>
        <v>0</v>
      </c>
      <c r="C12" s="816">
        <f>IF(INPUT!$I$19="Other",INPUT!$I$21,0)</f>
        <v>0</v>
      </c>
      <c r="D12" s="34" t="s">
        <v>126</v>
      </c>
      <c r="E12" s="226">
        <f>C12*spelt</f>
        <v>0</v>
      </c>
      <c r="F12" s="906">
        <f>IF(INPUT!$I$19="Other",INPUT!$I$22,0)</f>
        <v>0</v>
      </c>
      <c r="G12" s="110">
        <f>C12*F12</f>
        <v>0</v>
      </c>
      <c r="H12" s="109">
        <f>B12*G12*spelt</f>
        <v>0</v>
      </c>
      <c r="I12" s="108">
        <f>SUM(H8:H12)</f>
        <v>9800</v>
      </c>
    </row>
    <row r="13" spans="1:12" x14ac:dyDescent="0.3">
      <c r="A13" s="3" t="s">
        <v>1</v>
      </c>
      <c r="B13" s="3"/>
      <c r="C13" s="46"/>
      <c r="D13" s="34"/>
      <c r="E13" s="226"/>
      <c r="F13" s="104"/>
      <c r="G13" s="104"/>
      <c r="H13" s="109"/>
    </row>
    <row r="14" spans="1:12" x14ac:dyDescent="0.3">
      <c r="A14" s="6" t="s">
        <v>251</v>
      </c>
      <c r="B14" s="397">
        <v>0</v>
      </c>
      <c r="C14" s="278">
        <v>0.125</v>
      </c>
      <c r="D14" s="34" t="s">
        <v>26</v>
      </c>
      <c r="E14" s="226">
        <f t="shared" ref="E14:E19" si="0">C14*spelt</f>
        <v>12.5</v>
      </c>
      <c r="F14" s="608">
        <v>600</v>
      </c>
      <c r="G14" s="114">
        <f>C14*F14</f>
        <v>75</v>
      </c>
      <c r="H14" s="109">
        <f t="shared" ref="H14:H19" si="1">B14*G14*spelt</f>
        <v>0</v>
      </c>
    </row>
    <row r="15" spans="1:12" x14ac:dyDescent="0.3">
      <c r="A15" s="6" t="s">
        <v>252</v>
      </c>
      <c r="B15" s="397">
        <v>0</v>
      </c>
      <c r="C15" s="359">
        <f>IF(Data!G128=0, 5/2000, 46/2000)</f>
        <v>2.3E-2</v>
      </c>
      <c r="D15" s="34" t="s">
        <v>26</v>
      </c>
      <c r="E15" s="226">
        <f t="shared" si="0"/>
        <v>2.2999999999999998</v>
      </c>
      <c r="F15" s="608">
        <v>600</v>
      </c>
      <c r="G15" s="114">
        <f>C15*F15</f>
        <v>13.799999999999999</v>
      </c>
      <c r="H15" s="109">
        <f t="shared" si="1"/>
        <v>0</v>
      </c>
      <c r="I15" s="108"/>
    </row>
    <row r="16" spans="1:12" x14ac:dyDescent="0.3">
      <c r="A16" s="638" t="str">
        <f>IF(INPUT!$I$29="Chicken Manure", "Chicken Manure", "None")</f>
        <v>Chicken Manure</v>
      </c>
      <c r="B16" s="405">
        <f>IF(INPUT!$I$29="Chicken Manure",1,0)</f>
        <v>1</v>
      </c>
      <c r="C16" s="405">
        <f>IF(INPUT!$I$29="Chicken Manure",INPUT!$I$32,0)</f>
        <v>3</v>
      </c>
      <c r="D16" s="34" t="str">
        <f>IF(INPUT!$I$29="Chicken Manure",INPUT!$I$31,"ton")</f>
        <v>ton</v>
      </c>
      <c r="E16" s="226">
        <f t="shared" si="0"/>
        <v>300</v>
      </c>
      <c r="F16" s="901">
        <f>IF(INPUT!$I$29="Chicken Manure",INPUT!$I$33,0)</f>
        <v>35</v>
      </c>
      <c r="G16" s="114">
        <f>C16*F16</f>
        <v>105</v>
      </c>
      <c r="H16" s="109">
        <f t="shared" si="1"/>
        <v>10500</v>
      </c>
      <c r="I16" s="108"/>
    </row>
    <row r="17" spans="1:12" x14ac:dyDescent="0.3">
      <c r="A17" s="638" t="str">
        <f>IF(INPUT!$I$29="Chilean Nitrate", "Chilean Nitrate", "None")</f>
        <v>None</v>
      </c>
      <c r="B17" s="405">
        <f>IF(INPUT!$I$29="Chilean Nitrate",1,0)</f>
        <v>0</v>
      </c>
      <c r="C17" s="816">
        <f>IF(INPUT!$I$29="Chilean Nitrate",INPUT!$I$32,0)</f>
        <v>0</v>
      </c>
      <c r="D17" s="34" t="str">
        <f>IF(INPUT!$I$29="Chilean Nitrate",INPUT!$I$31,"lb")</f>
        <v>lb</v>
      </c>
      <c r="E17" s="226">
        <f t="shared" si="0"/>
        <v>0</v>
      </c>
      <c r="F17" s="901">
        <f>IF(INPUT!$I$29="Chilean Nitrate",INPUT!$I$33,0)</f>
        <v>0</v>
      </c>
      <c r="G17" s="110">
        <f>C17*F17</f>
        <v>0</v>
      </c>
      <c r="H17" s="109">
        <f t="shared" si="1"/>
        <v>0</v>
      </c>
    </row>
    <row r="18" spans="1:12" x14ac:dyDescent="0.3">
      <c r="A18" s="638" t="str">
        <f>INPUT!I35</f>
        <v>Chilean Nitrate</v>
      </c>
      <c r="B18" s="405">
        <f>IF(INPUT!$I$35="None",0,1)</f>
        <v>1</v>
      </c>
      <c r="C18" s="816">
        <f>INPUT!$I$38</f>
        <v>0</v>
      </c>
      <c r="D18" s="34" t="str">
        <f>IF(INPUT!$I$35="None","n/a",INPUT!$I$37)</f>
        <v>lb</v>
      </c>
      <c r="E18" s="226">
        <f t="shared" si="0"/>
        <v>0</v>
      </c>
      <c r="F18" s="908">
        <f>INPUT!$I$39</f>
        <v>0.6</v>
      </c>
      <c r="G18" s="114">
        <f t="shared" ref="G18:G19" si="2">C18*F18</f>
        <v>0</v>
      </c>
      <c r="H18" s="109">
        <f t="shared" si="1"/>
        <v>0</v>
      </c>
      <c r="I18" s="108">
        <f>SUM(H13:H18)</f>
        <v>10500</v>
      </c>
    </row>
    <row r="19" spans="1:12" x14ac:dyDescent="0.3">
      <c r="A19" s="638" t="s">
        <v>2</v>
      </c>
      <c r="B19" s="405">
        <f>INPUT!$I$41</f>
        <v>0</v>
      </c>
      <c r="C19" s="369">
        <f>INPUT!$I$43/INPUT!$I$44</f>
        <v>0.2</v>
      </c>
      <c r="D19" s="34" t="str">
        <f>INPUT!$I$42</f>
        <v>ton</v>
      </c>
      <c r="E19" s="226">
        <f t="shared" si="0"/>
        <v>20</v>
      </c>
      <c r="F19" s="109">
        <f>INPUT!$I$45</f>
        <v>38.260869565217398</v>
      </c>
      <c r="G19" s="114">
        <f t="shared" si="2"/>
        <v>7.6521739130434803</v>
      </c>
      <c r="H19" s="109">
        <f t="shared" si="1"/>
        <v>0</v>
      </c>
      <c r="I19" s="108">
        <f>SUM(H19:H19)</f>
        <v>0</v>
      </c>
    </row>
    <row r="20" spans="1:12" x14ac:dyDescent="0.3">
      <c r="A20" s="3" t="s">
        <v>1476</v>
      </c>
      <c r="B20" s="3"/>
      <c r="C20" s="46"/>
      <c r="D20" s="34"/>
      <c r="E20" s="226"/>
      <c r="F20" s="104"/>
      <c r="G20" s="114"/>
      <c r="H20" s="109"/>
    </row>
    <row r="21" spans="1:12" x14ac:dyDescent="0.3">
      <c r="A21" s="638" t="s">
        <v>1577</v>
      </c>
      <c r="B21" s="405">
        <f>IF(INPUT!$I$47=1,1,0)</f>
        <v>0</v>
      </c>
      <c r="C21" s="816">
        <f>INPUT!$I$49</f>
        <v>0</v>
      </c>
      <c r="D21" s="34" t="str">
        <f>INPUT!$I$48</f>
        <v>lb</v>
      </c>
      <c r="E21" s="226">
        <f t="shared" ref="E21:E23" si="3">C21*spelt</f>
        <v>0</v>
      </c>
      <c r="F21" s="900">
        <f>INPUT!$I$50</f>
        <v>0</v>
      </c>
      <c r="G21" s="110">
        <f>C21*F21</f>
        <v>0</v>
      </c>
      <c r="H21" s="109">
        <f t="shared" ref="H21:H23" si="4">B21*G21*spelt</f>
        <v>0</v>
      </c>
    </row>
    <row r="22" spans="1:12" x14ac:dyDescent="0.3">
      <c r="A22" s="6" t="s">
        <v>1477</v>
      </c>
      <c r="B22" s="397">
        <v>0</v>
      </c>
      <c r="C22" s="273">
        <v>0</v>
      </c>
      <c r="D22" s="34" t="s">
        <v>220</v>
      </c>
      <c r="E22" s="226">
        <f t="shared" si="3"/>
        <v>0</v>
      </c>
      <c r="F22" s="252">
        <v>0</v>
      </c>
      <c r="G22" s="110">
        <f>C22*F22</f>
        <v>0</v>
      </c>
      <c r="H22" s="109">
        <f t="shared" si="4"/>
        <v>0</v>
      </c>
    </row>
    <row r="23" spans="1:12" x14ac:dyDescent="0.3">
      <c r="A23" s="6" t="s">
        <v>1479</v>
      </c>
      <c r="B23" s="397">
        <v>0</v>
      </c>
      <c r="C23" s="273">
        <v>0</v>
      </c>
      <c r="D23" s="34" t="s">
        <v>220</v>
      </c>
      <c r="E23" s="226">
        <f t="shared" si="3"/>
        <v>0</v>
      </c>
      <c r="F23" s="252">
        <v>0</v>
      </c>
      <c r="G23" s="110">
        <f>C23*F23</f>
        <v>0</v>
      </c>
      <c r="H23" s="109">
        <f t="shared" si="4"/>
        <v>0</v>
      </c>
      <c r="I23" s="108">
        <f>SUM(H20:H23)</f>
        <v>0</v>
      </c>
    </row>
    <row r="24" spans="1:12" x14ac:dyDescent="0.3">
      <c r="A24" s="3" t="s">
        <v>14</v>
      </c>
      <c r="B24" s="3"/>
      <c r="C24" s="46"/>
      <c r="D24" s="34"/>
      <c r="E24" s="226"/>
      <c r="F24" s="104"/>
      <c r="G24" s="114"/>
      <c r="H24" s="109"/>
    </row>
    <row r="25" spans="1:12" x14ac:dyDescent="0.3">
      <c r="A25" s="22" t="s">
        <v>332</v>
      </c>
      <c r="B25" s="22"/>
      <c r="C25" s="46"/>
      <c r="D25" s="34"/>
      <c r="E25" s="226"/>
      <c r="F25" s="104"/>
      <c r="G25" s="114"/>
      <c r="H25" s="109"/>
    </row>
    <row r="26" spans="1:12" x14ac:dyDescent="0.3">
      <c r="A26" s="639" t="s">
        <v>1903</v>
      </c>
      <c r="B26" s="405">
        <f>IF(OS!$U$7="Moldboard Plow",OS!V7,0)</f>
        <v>0</v>
      </c>
      <c r="C26" s="156">
        <f>IF(OSI!$I$8&gt;0,(1/OSI!$I$8),Data!$H$579)</f>
        <v>0.23980815347721804</v>
      </c>
      <c r="D26" s="34" t="s">
        <v>128</v>
      </c>
      <c r="E26" s="226">
        <f t="shared" ref="E26" si="5">C26*spelt</f>
        <v>23.980815347721805</v>
      </c>
      <c r="F26" s="167">
        <f t="shared" ref="F26:F53" si="6">_wage_</f>
        <v>12.29</v>
      </c>
      <c r="G26" s="114">
        <f t="shared" ref="G26" si="7">C26*F26</f>
        <v>2.9472422062350097</v>
      </c>
      <c r="H26" s="109">
        <f t="shared" ref="H26" si="8">B26*G26*spelt</f>
        <v>0</v>
      </c>
    </row>
    <row r="27" spans="1:12" x14ac:dyDescent="0.3">
      <c r="A27" s="639" t="s">
        <v>468</v>
      </c>
      <c r="B27" s="405">
        <f>IF(OS!$U$8="Spr.Sld.Man.",OS!V8,0)</f>
        <v>1</v>
      </c>
      <c r="C27" s="156">
        <f>IF(OSI!$I$9&gt;0,(1/OSI!$I$9),Data!$H$585)</f>
        <v>0.25</v>
      </c>
      <c r="D27" s="34" t="s">
        <v>128</v>
      </c>
      <c r="E27" s="226">
        <f t="shared" ref="E27:E57" si="9">C27*spelt</f>
        <v>25</v>
      </c>
      <c r="F27" s="167">
        <f t="shared" si="6"/>
        <v>12.29</v>
      </c>
      <c r="G27" s="114">
        <f t="shared" ref="G27:G53" si="10">C27*F27</f>
        <v>3.0724999999999998</v>
      </c>
      <c r="H27" s="109">
        <f t="shared" ref="H27:H43" si="11">B27*G27*spelt</f>
        <v>307.25</v>
      </c>
    </row>
    <row r="28" spans="1:12" x14ac:dyDescent="0.3">
      <c r="A28" s="640" t="s">
        <v>1427</v>
      </c>
      <c r="B28" s="405">
        <f>IF(OS!$U$9="Chisel Plow",OS!V9,0)</f>
        <v>1</v>
      </c>
      <c r="C28" s="156">
        <f>IF(OSI!$I$10&gt;0,(1/OSI!$I$10),Data!$H$580)</f>
        <v>0.11764705882352899</v>
      </c>
      <c r="D28" s="34" t="s">
        <v>128</v>
      </c>
      <c r="E28" s="226">
        <f t="shared" si="9"/>
        <v>11.764705882352899</v>
      </c>
      <c r="F28" s="104">
        <f t="shared" si="6"/>
        <v>12.29</v>
      </c>
      <c r="G28" s="114">
        <f t="shared" si="10"/>
        <v>1.4458823529411713</v>
      </c>
      <c r="H28" s="109">
        <f t="shared" si="11"/>
        <v>144.58823529411714</v>
      </c>
      <c r="K28" s="55"/>
      <c r="L28" s="55"/>
    </row>
    <row r="29" spans="1:12" x14ac:dyDescent="0.3">
      <c r="A29" s="638" t="s">
        <v>485</v>
      </c>
      <c r="B29" s="405">
        <f>IF(OS!$U$10="Disk Harrow",OS!V10,0)</f>
        <v>1</v>
      </c>
      <c r="C29" s="645">
        <f>IF(OSI!$I$11&gt;0,(1/OSI!$I$11),Data!$H$581)</f>
        <v>8.1833060556464804E-2</v>
      </c>
      <c r="D29" s="34" t="s">
        <v>128</v>
      </c>
      <c r="E29" s="226">
        <f t="shared" si="9"/>
        <v>8.1833060556464812</v>
      </c>
      <c r="F29" s="104">
        <f t="shared" si="6"/>
        <v>12.29</v>
      </c>
      <c r="G29" s="114">
        <f t="shared" si="10"/>
        <v>1.0057283142389524</v>
      </c>
      <c r="H29" s="109">
        <f t="shared" si="11"/>
        <v>100.57283142389524</v>
      </c>
      <c r="K29" s="55"/>
      <c r="L29" s="55"/>
    </row>
    <row r="30" spans="1:12" x14ac:dyDescent="0.3">
      <c r="A30" s="22" t="s">
        <v>315</v>
      </c>
      <c r="B30" s="397">
        <v>0</v>
      </c>
      <c r="C30" s="156">
        <f>Data!H582</f>
        <v>0.48</v>
      </c>
      <c r="D30" s="34" t="s">
        <v>128</v>
      </c>
      <c r="E30" s="226">
        <f t="shared" si="9"/>
        <v>48</v>
      </c>
      <c r="F30" s="104">
        <f t="shared" si="6"/>
        <v>12.29</v>
      </c>
      <c r="G30" s="114">
        <f t="shared" si="10"/>
        <v>5.8991999999999996</v>
      </c>
      <c r="H30" s="109">
        <f t="shared" si="11"/>
        <v>0</v>
      </c>
      <c r="K30" s="55"/>
      <c r="L30" s="55"/>
    </row>
    <row r="31" spans="1:12" x14ac:dyDescent="0.3">
      <c r="A31" s="22" t="s">
        <v>581</v>
      </c>
      <c r="B31" s="397">
        <v>0</v>
      </c>
      <c r="C31" s="156">
        <f>Data!H583</f>
        <v>9.2929292929292931E-2</v>
      </c>
      <c r="D31" s="34" t="s">
        <v>128</v>
      </c>
      <c r="E31" s="226">
        <f t="shared" si="9"/>
        <v>9.2929292929292924</v>
      </c>
      <c r="F31" s="104">
        <f t="shared" si="6"/>
        <v>12.29</v>
      </c>
      <c r="G31" s="114">
        <f t="shared" si="10"/>
        <v>1.1421010101010101</v>
      </c>
      <c r="H31" s="109">
        <f t="shared" si="11"/>
        <v>0</v>
      </c>
      <c r="K31" s="55"/>
      <c r="L31" s="55"/>
    </row>
    <row r="32" spans="1:12" x14ac:dyDescent="0.3">
      <c r="A32" s="22" t="s">
        <v>322</v>
      </c>
      <c r="B32" s="397">
        <v>0</v>
      </c>
      <c r="C32" s="273">
        <f>0</f>
        <v>0</v>
      </c>
      <c r="D32" s="34" t="s">
        <v>128</v>
      </c>
      <c r="E32" s="226">
        <f t="shared" si="9"/>
        <v>0</v>
      </c>
      <c r="F32" s="104">
        <f t="shared" si="6"/>
        <v>12.29</v>
      </c>
      <c r="G32" s="110">
        <f t="shared" si="10"/>
        <v>0</v>
      </c>
      <c r="H32" s="109">
        <f t="shared" si="11"/>
        <v>0</v>
      </c>
    </row>
    <row r="33" spans="1:12" ht="13.5" thickBot="1" x14ac:dyDescent="0.35">
      <c r="A33" s="639" t="s">
        <v>333</v>
      </c>
      <c r="B33" s="405">
        <f>IF(OS!$U$11="Finish Harrow",OS!V11,0)</f>
        <v>1</v>
      </c>
      <c r="C33" s="645">
        <f>IF(OSI!$I$12&gt;0,(1/OSI!$I$12),Data!$H$589)</f>
        <v>7.7041602465331302E-2</v>
      </c>
      <c r="D33" s="34" t="s">
        <v>128</v>
      </c>
      <c r="E33" s="226">
        <f t="shared" si="9"/>
        <v>7.7041602465331298</v>
      </c>
      <c r="F33" s="104">
        <f t="shared" si="6"/>
        <v>12.29</v>
      </c>
      <c r="G33" s="114">
        <f t="shared" si="10"/>
        <v>0.94684129429892161</v>
      </c>
      <c r="H33" s="109">
        <f t="shared" si="11"/>
        <v>94.684129429892167</v>
      </c>
      <c r="I33" s="216" t="s">
        <v>2166</v>
      </c>
      <c r="K33" s="914" t="s">
        <v>1627</v>
      </c>
      <c r="L33" s="55"/>
    </row>
    <row r="34" spans="1:12" ht="13.5" thickBot="1" x14ac:dyDescent="0.35">
      <c r="A34" s="639" t="s">
        <v>334</v>
      </c>
      <c r="B34" s="405">
        <f>IF(OS!$U$12="Grain Drill",OS!V12,0)</f>
        <v>1</v>
      </c>
      <c r="C34" s="156">
        <f>IF(OSI!$I$13&gt;0,(1/OSI!$I$14),Data!$H$594)</f>
        <v>7.7041602465331302E-2</v>
      </c>
      <c r="D34" s="34" t="s">
        <v>128</v>
      </c>
      <c r="E34" s="226">
        <f t="shared" si="9"/>
        <v>7.7041602465331298</v>
      </c>
      <c r="F34" s="104">
        <f t="shared" si="6"/>
        <v>12.29</v>
      </c>
      <c r="G34" s="114">
        <f t="shared" si="10"/>
        <v>0.94684129429892161</v>
      </c>
      <c r="H34" s="109">
        <f t="shared" si="11"/>
        <v>94.684129429892167</v>
      </c>
      <c r="I34" s="216" t="s">
        <v>1627</v>
      </c>
      <c r="K34" s="56" t="s">
        <v>1630</v>
      </c>
      <c r="L34" s="913" t="s">
        <v>1625</v>
      </c>
    </row>
    <row r="35" spans="1:12" ht="13.5" thickBot="1" x14ac:dyDescent="0.35">
      <c r="A35" s="639" t="s">
        <v>2218</v>
      </c>
      <c r="B35" s="405">
        <f>IF(OS!$U$13="Tine Harrow",OS!V13,0)</f>
        <v>0</v>
      </c>
      <c r="C35" s="645">
        <f>IF(OSI!$I$14&gt;0,(1/OSI!$I$14),Data!$H$591)</f>
        <v>7.7041602465331302E-2</v>
      </c>
      <c r="D35" s="34" t="s">
        <v>128</v>
      </c>
      <c r="E35" s="226">
        <f t="shared" si="9"/>
        <v>7.7041602465331298</v>
      </c>
      <c r="F35" s="167">
        <f t="shared" si="6"/>
        <v>12.29</v>
      </c>
      <c r="G35" s="114">
        <f t="shared" si="10"/>
        <v>0.94684129429892161</v>
      </c>
      <c r="H35" s="109">
        <f t="shared" si="11"/>
        <v>0</v>
      </c>
      <c r="I35" s="643">
        <v>2</v>
      </c>
      <c r="J35" s="668" t="s">
        <v>2217</v>
      </c>
      <c r="K35" s="55">
        <f>IF(OS!$U$13="None",0,1)</f>
        <v>0</v>
      </c>
      <c r="L35" s="1331">
        <f>OS!V13</f>
        <v>0</v>
      </c>
    </row>
    <row r="36" spans="1:12" ht="13.5" thickBot="1" x14ac:dyDescent="0.35">
      <c r="A36" s="639" t="s">
        <v>340</v>
      </c>
      <c r="B36" s="405">
        <f>IF(OS!$U$14="Cultivate",OS!V14,0)</f>
        <v>0</v>
      </c>
      <c r="C36" s="645">
        <f>IF(OSI!$I$15&gt;0,(1/OSI!$I$15),Data!$H$606)</f>
        <v>6.4724919093851099E-2</v>
      </c>
      <c r="D36" s="34" t="s">
        <v>128</v>
      </c>
      <c r="E36" s="226">
        <f t="shared" si="9"/>
        <v>6.4724919093851101</v>
      </c>
      <c r="F36" s="167">
        <f t="shared" si="6"/>
        <v>12.29</v>
      </c>
      <c r="G36" s="114">
        <f t="shared" si="10"/>
        <v>0.79546925566342996</v>
      </c>
      <c r="H36" s="109">
        <f t="shared" si="11"/>
        <v>0</v>
      </c>
      <c r="J36" s="668" t="s">
        <v>1607</v>
      </c>
      <c r="K36" s="55">
        <f>IF(OS!$U$14="None",0,1)</f>
        <v>0</v>
      </c>
      <c r="L36" s="1331">
        <f>OS!V14</f>
        <v>0</v>
      </c>
    </row>
    <row r="37" spans="1:12" x14ac:dyDescent="0.3">
      <c r="A37" s="639" t="s">
        <v>1626</v>
      </c>
      <c r="B37" s="405">
        <f>IF(OS!$U$15="Spr.Chilean N",OS!V15,0)</f>
        <v>0</v>
      </c>
      <c r="C37" s="645">
        <f>IF(OSI!$I$16&gt;0,(1/OSI!$I$16),Data!$H$584)</f>
        <v>9.2929292929292903E-2</v>
      </c>
      <c r="D37" s="34" t="s">
        <v>128</v>
      </c>
      <c r="E37" s="226">
        <f t="shared" si="9"/>
        <v>9.2929292929292906</v>
      </c>
      <c r="F37" s="167">
        <f t="shared" si="6"/>
        <v>12.29</v>
      </c>
      <c r="G37" s="114">
        <f t="shared" si="10"/>
        <v>1.1421010101010096</v>
      </c>
      <c r="H37" s="109">
        <f t="shared" si="11"/>
        <v>0</v>
      </c>
      <c r="K37" s="55"/>
      <c r="L37" s="55"/>
    </row>
    <row r="38" spans="1:12" x14ac:dyDescent="0.3">
      <c r="A38" s="22" t="s">
        <v>304</v>
      </c>
      <c r="B38" s="397">
        <v>0</v>
      </c>
      <c r="C38" s="156">
        <f>Data!H599</f>
        <v>0.11851851851851852</v>
      </c>
      <c r="D38" s="34" t="s">
        <v>128</v>
      </c>
      <c r="E38" s="226">
        <f t="shared" si="9"/>
        <v>11.851851851851853</v>
      </c>
      <c r="F38" s="104">
        <f t="shared" si="6"/>
        <v>12.29</v>
      </c>
      <c r="G38" s="114">
        <f t="shared" si="10"/>
        <v>1.4565925925925924</v>
      </c>
      <c r="H38" s="109">
        <f t="shared" si="11"/>
        <v>0</v>
      </c>
      <c r="K38" s="55"/>
      <c r="L38" s="55"/>
    </row>
    <row r="39" spans="1:12" x14ac:dyDescent="0.3">
      <c r="A39" s="639" t="s">
        <v>1628</v>
      </c>
      <c r="B39" s="405">
        <f>IF(OS!$U$16="Spray Fung.",OS!V16,0)</f>
        <v>0</v>
      </c>
      <c r="C39" s="156">
        <f>IF(OSI!$I$17&gt;0,(1/OSI!$I$17),Data!$H$601)</f>
        <v>2.169668040789759E-2</v>
      </c>
      <c r="D39" s="34" t="s">
        <v>128</v>
      </c>
      <c r="E39" s="226">
        <f t="shared" si="9"/>
        <v>2.1696680407897588</v>
      </c>
      <c r="F39" s="167">
        <f t="shared" si="6"/>
        <v>12.29</v>
      </c>
      <c r="G39" s="114">
        <f t="shared" si="10"/>
        <v>0.26665220221306135</v>
      </c>
      <c r="H39" s="109">
        <f t="shared" si="11"/>
        <v>0</v>
      </c>
      <c r="K39" s="55"/>
      <c r="L39" s="55"/>
    </row>
    <row r="40" spans="1:12" x14ac:dyDescent="0.3">
      <c r="A40" s="639" t="s">
        <v>1322</v>
      </c>
      <c r="B40" s="405">
        <f>IF(OS!$U$18="Combine",OS!V18,0)</f>
        <v>1</v>
      </c>
      <c r="C40" s="156">
        <f>IF(OSI!$I$19&gt;0,(1/OSI!$I$19),Data!$H$614)</f>
        <v>0.33333333333333298</v>
      </c>
      <c r="D40" s="34" t="s">
        <v>128</v>
      </c>
      <c r="E40" s="226">
        <f t="shared" si="9"/>
        <v>33.3333333333333</v>
      </c>
      <c r="F40" s="104">
        <f t="shared" si="6"/>
        <v>12.29</v>
      </c>
      <c r="G40" s="114">
        <f t="shared" si="10"/>
        <v>4.0966666666666622</v>
      </c>
      <c r="H40" s="109">
        <f t="shared" si="11"/>
        <v>409.66666666666623</v>
      </c>
      <c r="K40" s="55"/>
      <c r="L40" s="55"/>
    </row>
    <row r="41" spans="1:12" x14ac:dyDescent="0.3">
      <c r="A41" s="666" t="s">
        <v>1022</v>
      </c>
      <c r="B41" s="397">
        <v>0</v>
      </c>
      <c r="C41" s="47">
        <f>Data!$H$615*Data!$F$229</f>
        <v>0</v>
      </c>
      <c r="D41" s="48" t="s">
        <v>115</v>
      </c>
      <c r="E41" s="647">
        <f t="shared" si="9"/>
        <v>0</v>
      </c>
      <c r="F41" s="118">
        <f>_wage_</f>
        <v>12.29</v>
      </c>
      <c r="G41" s="465">
        <f>C41*F41</f>
        <v>0</v>
      </c>
      <c r="H41" s="123">
        <f t="shared" si="11"/>
        <v>0</v>
      </c>
      <c r="K41" s="55"/>
      <c r="L41" s="55"/>
    </row>
    <row r="42" spans="1:12" x14ac:dyDescent="0.3">
      <c r="A42" s="639" t="s">
        <v>2087</v>
      </c>
      <c r="B42" s="405">
        <f>IF(OS!$U$19="Truck",OS!V19,0)</f>
        <v>1</v>
      </c>
      <c r="C42" s="156">
        <f>IF(OSI!$I$20&gt;0,(1/OSI!$I$20),Data!$H$636)</f>
        <v>7.8140079844169097E-2</v>
      </c>
      <c r="D42" s="34" t="s">
        <v>128</v>
      </c>
      <c r="E42" s="226">
        <f t="shared" si="9"/>
        <v>7.8140079844169099</v>
      </c>
      <c r="F42" s="104">
        <f t="shared" si="6"/>
        <v>12.29</v>
      </c>
      <c r="G42" s="114">
        <f t="shared" si="10"/>
        <v>0.96034158128483815</v>
      </c>
      <c r="H42" s="109">
        <f t="shared" si="11"/>
        <v>96.03415812848381</v>
      </c>
      <c r="K42" s="55"/>
      <c r="L42" s="55"/>
    </row>
    <row r="43" spans="1:12" x14ac:dyDescent="0.3">
      <c r="A43" s="666" t="s">
        <v>1022</v>
      </c>
      <c r="B43" s="405">
        <f>B42</f>
        <v>1</v>
      </c>
      <c r="C43" s="47">
        <f>Data!$H$637*Data!$F$229</f>
        <v>0</v>
      </c>
      <c r="D43" s="48" t="s">
        <v>115</v>
      </c>
      <c r="E43" s="647">
        <f t="shared" si="9"/>
        <v>0</v>
      </c>
      <c r="F43" s="118">
        <f>_wage_</f>
        <v>12.29</v>
      </c>
      <c r="G43" s="465">
        <f>C43*F43</f>
        <v>0</v>
      </c>
      <c r="H43" s="123">
        <f t="shared" si="11"/>
        <v>0</v>
      </c>
      <c r="K43" s="55"/>
      <c r="L43" s="55"/>
    </row>
    <row r="44" spans="1:12" x14ac:dyDescent="0.3">
      <c r="A44" s="22" t="s">
        <v>756</v>
      </c>
      <c r="B44" s="405">
        <f>Data!$B$35</f>
        <v>0</v>
      </c>
      <c r="C44" s="156">
        <f>Data!H648*Data!B35</f>
        <v>0</v>
      </c>
      <c r="D44" s="34" t="s">
        <v>128</v>
      </c>
      <c r="E44" s="226">
        <f t="shared" si="9"/>
        <v>0</v>
      </c>
      <c r="F44" s="167">
        <f t="shared" si="6"/>
        <v>12.29</v>
      </c>
      <c r="G44" s="114">
        <f t="shared" si="10"/>
        <v>0</v>
      </c>
      <c r="H44" s="109">
        <f>(B44*G44*spelt)*Data!$B$35*Data!$H$35</f>
        <v>0</v>
      </c>
      <c r="I44" s="87"/>
    </row>
    <row r="45" spans="1:12" x14ac:dyDescent="0.3">
      <c r="A45" s="22" t="s">
        <v>757</v>
      </c>
      <c r="B45" s="405">
        <f>Data!$B$35*Data!$C$35</f>
        <v>0</v>
      </c>
      <c r="C45" s="156">
        <f>Data!H649*Data!B35</f>
        <v>0</v>
      </c>
      <c r="D45" s="34" t="s">
        <v>128</v>
      </c>
      <c r="E45" s="226">
        <f t="shared" si="9"/>
        <v>0</v>
      </c>
      <c r="F45" s="167">
        <f t="shared" si="6"/>
        <v>12.29</v>
      </c>
      <c r="G45" s="114">
        <f t="shared" si="10"/>
        <v>0</v>
      </c>
      <c r="H45" s="109">
        <f>(B45*G45*spelt)*Data!$B$35*Data!$C$35*Data!$F$35</f>
        <v>0</v>
      </c>
      <c r="I45" s="87"/>
    </row>
    <row r="46" spans="1:12" x14ac:dyDescent="0.3">
      <c r="A46" s="9" t="s">
        <v>1022</v>
      </c>
      <c r="B46" s="405">
        <f>Data!$B$35*Data!$C$35*0</f>
        <v>0</v>
      </c>
      <c r="C46" s="47">
        <f>Data!$H$650*Data!$F$229*Data!B35</f>
        <v>0</v>
      </c>
      <c r="D46" s="48" t="s">
        <v>115</v>
      </c>
      <c r="E46" s="647">
        <f t="shared" si="9"/>
        <v>0</v>
      </c>
      <c r="F46" s="118">
        <f>_wage_</f>
        <v>12.29</v>
      </c>
      <c r="G46" s="465">
        <f>C46*F46</f>
        <v>0</v>
      </c>
      <c r="H46" s="123">
        <f>(B46*G46*spelt)*Data!$B$35*Data!$C$35*Data!$F$35</f>
        <v>0</v>
      </c>
      <c r="I46" s="87"/>
    </row>
    <row r="47" spans="1:12" x14ac:dyDescent="0.3">
      <c r="A47" s="22" t="s">
        <v>752</v>
      </c>
      <c r="B47" s="405">
        <f>Data!$B$35*Data!$C$35</f>
        <v>0</v>
      </c>
      <c r="C47" s="156">
        <f>Data!H651*Data!B35</f>
        <v>0</v>
      </c>
      <c r="D47" s="34" t="s">
        <v>128</v>
      </c>
      <c r="E47" s="226">
        <f t="shared" si="9"/>
        <v>0</v>
      </c>
      <c r="F47" s="167">
        <f t="shared" si="6"/>
        <v>12.29</v>
      </c>
      <c r="G47" s="114">
        <f t="shared" si="10"/>
        <v>0</v>
      </c>
      <c r="H47" s="109">
        <f>(B47*G47*spelt)*Data!$B$35*Data!$C$35*Data!$F$35</f>
        <v>0</v>
      </c>
      <c r="I47" s="87"/>
    </row>
    <row r="48" spans="1:12" x14ac:dyDescent="0.3">
      <c r="A48" s="9" t="s">
        <v>1022</v>
      </c>
      <c r="B48" s="405">
        <f>Data!$B$35*Data!$C$35</f>
        <v>0</v>
      </c>
      <c r="C48" s="47">
        <f>Data!$H$652*Data!$F$229*Data!B35</f>
        <v>0</v>
      </c>
      <c r="D48" s="48" t="s">
        <v>115</v>
      </c>
      <c r="E48" s="647">
        <f t="shared" si="9"/>
        <v>0</v>
      </c>
      <c r="F48" s="118">
        <f>_wage_</f>
        <v>12.29</v>
      </c>
      <c r="G48" s="465">
        <f>C48*F48</f>
        <v>0</v>
      </c>
      <c r="H48" s="123">
        <f>(B48*G48*spelt)*Data!$B$35*Data!$C$35*Data!$F$35</f>
        <v>0</v>
      </c>
      <c r="I48" s="87"/>
    </row>
    <row r="49" spans="1:22" x14ac:dyDescent="0.3">
      <c r="A49" s="22" t="s">
        <v>758</v>
      </c>
      <c r="B49" s="405">
        <f>Data!$B$35*Data!$D$35</f>
        <v>0</v>
      </c>
      <c r="C49" s="156">
        <f>Data!H653*Data!B35</f>
        <v>0</v>
      </c>
      <c r="D49" s="34" t="s">
        <v>128</v>
      </c>
      <c r="E49" s="226">
        <f t="shared" si="9"/>
        <v>0</v>
      </c>
      <c r="F49" s="167">
        <f t="shared" si="6"/>
        <v>12.29</v>
      </c>
      <c r="G49" s="114">
        <f t="shared" si="10"/>
        <v>0</v>
      </c>
      <c r="H49" s="109">
        <f>(B49*G49*spelt)*Data!$B$35*Data!$D$35*Data!$G$35</f>
        <v>0</v>
      </c>
      <c r="I49" s="87"/>
    </row>
    <row r="50" spans="1:22" x14ac:dyDescent="0.3">
      <c r="A50" s="9" t="s">
        <v>1022</v>
      </c>
      <c r="B50" s="405">
        <f>Data!$B$35*Data!$D$35*0</f>
        <v>0</v>
      </c>
      <c r="C50" s="47">
        <f>Data!$H$654*Data!$F$229*Data!B35</f>
        <v>0</v>
      </c>
      <c r="D50" s="48" t="s">
        <v>115</v>
      </c>
      <c r="E50" s="647">
        <f t="shared" si="9"/>
        <v>0</v>
      </c>
      <c r="F50" s="118">
        <f>_wage_</f>
        <v>12.29</v>
      </c>
      <c r="G50" s="465">
        <f>C50*F50</f>
        <v>0</v>
      </c>
      <c r="H50" s="123">
        <f>(B50*G50*spelt)*Data!$B$35*Data!$D$35*Data!$G$35</f>
        <v>0</v>
      </c>
      <c r="I50" s="87"/>
    </row>
    <row r="51" spans="1:22" x14ac:dyDescent="0.3">
      <c r="A51" s="22" t="s">
        <v>753</v>
      </c>
      <c r="B51" s="405">
        <f>Data!$B$35*Data!$D$35</f>
        <v>0</v>
      </c>
      <c r="C51" s="156">
        <f>Data!H655*Data!B35</f>
        <v>0</v>
      </c>
      <c r="D51" s="34" t="s">
        <v>128</v>
      </c>
      <c r="E51" s="226">
        <f t="shared" si="9"/>
        <v>0</v>
      </c>
      <c r="F51" s="167">
        <f t="shared" si="6"/>
        <v>12.29</v>
      </c>
      <c r="G51" s="114">
        <f t="shared" si="10"/>
        <v>0</v>
      </c>
      <c r="H51" s="109">
        <f>(B51*G51*spelt)*Data!$B$35*Data!$D$35*Data!$G$35</f>
        <v>0</v>
      </c>
      <c r="I51" s="87"/>
    </row>
    <row r="52" spans="1:22" x14ac:dyDescent="0.3">
      <c r="A52" s="9" t="s">
        <v>1022</v>
      </c>
      <c r="B52" s="405">
        <f>Data!$B$35*Data!$D$35</f>
        <v>0</v>
      </c>
      <c r="C52" s="47">
        <f>Data!$H$656*Data!$F$229*Data!B35</f>
        <v>0</v>
      </c>
      <c r="D52" s="48" t="s">
        <v>115</v>
      </c>
      <c r="E52" s="647">
        <f t="shared" si="9"/>
        <v>0</v>
      </c>
      <c r="F52" s="118">
        <f>_wage_</f>
        <v>12.29</v>
      </c>
      <c r="G52" s="465">
        <f>C52*F52</f>
        <v>0</v>
      </c>
      <c r="H52" s="123">
        <f>(B52*G52*spelt)*Data!$B$35*Data!$D$35*Data!$G$35</f>
        <v>0</v>
      </c>
      <c r="I52" s="87"/>
    </row>
    <row r="53" spans="1:22" x14ac:dyDescent="0.3">
      <c r="A53" s="22" t="s">
        <v>759</v>
      </c>
      <c r="B53" s="397">
        <v>0</v>
      </c>
      <c r="C53" s="156">
        <f>Data!H657*Data!B35</f>
        <v>0</v>
      </c>
      <c r="D53" s="34" t="s">
        <v>128</v>
      </c>
      <c r="E53" s="226">
        <f t="shared" si="9"/>
        <v>0</v>
      </c>
      <c r="F53" s="167">
        <f t="shared" si="6"/>
        <v>12.29</v>
      </c>
      <c r="G53" s="114">
        <f t="shared" si="10"/>
        <v>0</v>
      </c>
      <c r="H53" s="109">
        <f>(B53*G53*spelt)*Data!$B$35*Data!$H$35</f>
        <v>0</v>
      </c>
      <c r="I53" s="87"/>
    </row>
    <row r="54" spans="1:22" x14ac:dyDescent="0.3">
      <c r="A54" s="9" t="s">
        <v>1022</v>
      </c>
      <c r="B54" s="405">
        <f>B53</f>
        <v>0</v>
      </c>
      <c r="C54" s="47">
        <f>Data!$H$658*Data!$F$229*Data!B35</f>
        <v>0</v>
      </c>
      <c r="D54" s="48" t="s">
        <v>115</v>
      </c>
      <c r="E54" s="647">
        <f t="shared" si="9"/>
        <v>0</v>
      </c>
      <c r="F54" s="118">
        <f>_wage_</f>
        <v>12.29</v>
      </c>
      <c r="G54" s="465">
        <f>C54*F54</f>
        <v>0</v>
      </c>
      <c r="H54" s="123">
        <f>(B54*G54*spelt)*Data!$B$35*Data!$H$35</f>
        <v>0</v>
      </c>
      <c r="I54" s="87"/>
    </row>
    <row r="55" spans="1:22" x14ac:dyDescent="0.3">
      <c r="A55" s="639" t="s">
        <v>1435</v>
      </c>
      <c r="B55" s="832"/>
      <c r="C55" s="47"/>
      <c r="D55" s="48"/>
      <c r="E55" s="647"/>
      <c r="F55" s="118"/>
      <c r="G55" s="465"/>
      <c r="H55" s="123"/>
      <c r="I55" s="87"/>
    </row>
    <row r="56" spans="1:22" x14ac:dyDescent="0.3">
      <c r="A56" s="638" t="s">
        <v>1436</v>
      </c>
      <c r="B56" s="405">
        <f>IF(OS!$U$20="Clean",OS!V20,0)</f>
        <v>1</v>
      </c>
      <c r="C56" s="156">
        <f>IF(OSI!$I$21&gt;0,(1/OSI!$I$21),Data!$H$671)</f>
        <v>1.02</v>
      </c>
      <c r="D56" s="34" t="s">
        <v>128</v>
      </c>
      <c r="E56" s="226">
        <f t="shared" si="9"/>
        <v>102</v>
      </c>
      <c r="F56" s="167">
        <f t="shared" ref="F56" si="12">_wage_</f>
        <v>12.29</v>
      </c>
      <c r="G56" s="114">
        <f t="shared" ref="G56" si="13">C56*F56</f>
        <v>12.5358</v>
      </c>
      <c r="H56" s="109">
        <f>B56*G56*spelt</f>
        <v>1253.58</v>
      </c>
      <c r="I56" s="87"/>
    </row>
    <row r="57" spans="1:22" x14ac:dyDescent="0.3">
      <c r="A57" s="666" t="s">
        <v>1022</v>
      </c>
      <c r="B57" s="405">
        <f>B56</f>
        <v>1</v>
      </c>
      <c r="C57" s="47">
        <f>Data!H672*Data!$F$229</f>
        <v>0</v>
      </c>
      <c r="D57" s="48" t="s">
        <v>115</v>
      </c>
      <c r="E57" s="647">
        <f t="shared" si="9"/>
        <v>0</v>
      </c>
      <c r="F57" s="118">
        <f>_wage_</f>
        <v>12.29</v>
      </c>
      <c r="G57" s="465">
        <f>C57*F57</f>
        <v>0</v>
      </c>
      <c r="H57" s="123">
        <f>B57*G57*spelt</f>
        <v>0</v>
      </c>
      <c r="I57" s="87"/>
      <c r="K57" s="55"/>
      <c r="L57" s="4" t="s">
        <v>1077</v>
      </c>
    </row>
    <row r="58" spans="1:22" x14ac:dyDescent="0.3">
      <c r="A58" s="639" t="s">
        <v>1147</v>
      </c>
      <c r="B58" s="22"/>
      <c r="C58" s="46"/>
      <c r="D58" s="34"/>
      <c r="E58" s="226"/>
      <c r="F58" s="104"/>
      <c r="G58" s="104"/>
      <c r="H58" s="109"/>
      <c r="J58" s="588">
        <f>OSI!$E$69</f>
        <v>30000</v>
      </c>
      <c r="K58" s="17" t="s">
        <v>220</v>
      </c>
      <c r="L58" s="17">
        <f>J58/2000</f>
        <v>15</v>
      </c>
      <c r="M58" s="17" t="s">
        <v>26</v>
      </c>
      <c r="N58" s="588">
        <f>OSI!$C$69</f>
        <v>500</v>
      </c>
      <c r="O58" s="17" t="s">
        <v>931</v>
      </c>
      <c r="P58" s="93" t="s">
        <v>944</v>
      </c>
      <c r="Q58" s="93"/>
      <c r="S58" s="588">
        <f>N58*Data!$K$64</f>
        <v>30000</v>
      </c>
      <c r="T58" s="17" t="s">
        <v>220</v>
      </c>
      <c r="U58" s="589">
        <f>S58/J58</f>
        <v>1</v>
      </c>
    </row>
    <row r="59" spans="1:22" x14ac:dyDescent="0.3">
      <c r="A59" s="638" t="s">
        <v>1145</v>
      </c>
      <c r="B59" s="405">
        <f>IF(OS!$U$21="Dry",OS!V21,0)</f>
        <v>1</v>
      </c>
      <c r="C59" s="369">
        <f>IF(OSI!$I$22&gt;0,(1/OSI!$I$22),Data!$H$691)</f>
        <v>0.43354620246402198</v>
      </c>
      <c r="D59" s="34" t="s">
        <v>115</v>
      </c>
      <c r="E59" s="226">
        <f>C59*spelt</f>
        <v>43.354620246402199</v>
      </c>
      <c r="F59" s="104">
        <f>_wage_</f>
        <v>12.29</v>
      </c>
      <c r="G59" s="114">
        <f>C59*F59</f>
        <v>5.3282828282828296</v>
      </c>
      <c r="H59" s="110">
        <f>B59*G59*spelt*G4</f>
        <v>532.82828282828291</v>
      </c>
      <c r="I59" s="108"/>
      <c r="J59" s="588">
        <f>OSI!$E$70</f>
        <v>180</v>
      </c>
      <c r="K59" s="17" t="s">
        <v>220</v>
      </c>
      <c r="L59" s="17">
        <f>J59/2000</f>
        <v>0.09</v>
      </c>
      <c r="M59" s="17" t="s">
        <v>26</v>
      </c>
      <c r="N59" s="588">
        <f>OSI!$C$70</f>
        <v>3</v>
      </c>
      <c r="O59" s="17" t="s">
        <v>931</v>
      </c>
      <c r="P59" s="93" t="s">
        <v>945</v>
      </c>
      <c r="Q59" s="93"/>
      <c r="S59" s="588">
        <f>N59*Data!$K$64</f>
        <v>180</v>
      </c>
      <c r="T59" s="17" t="s">
        <v>220</v>
      </c>
      <c r="U59" s="589">
        <f>S59/J59</f>
        <v>1</v>
      </c>
    </row>
    <row r="60" spans="1:22" x14ac:dyDescent="0.3">
      <c r="A60" s="666" t="s">
        <v>1022</v>
      </c>
      <c r="B60" s="405">
        <f>B59</f>
        <v>1</v>
      </c>
      <c r="C60" s="47">
        <f>C59*Data!$F$229</f>
        <v>0</v>
      </c>
      <c r="D60" s="48" t="s">
        <v>115</v>
      </c>
      <c r="E60" s="647">
        <f>C60*spelt</f>
        <v>0</v>
      </c>
      <c r="F60" s="118">
        <f>_wage_</f>
        <v>12.29</v>
      </c>
      <c r="G60" s="465">
        <f>C60*F60</f>
        <v>0</v>
      </c>
      <c r="H60" s="123">
        <f>B60*G60*spelt</f>
        <v>0</v>
      </c>
      <c r="I60" s="108">
        <f>SUM(H25:H60)</f>
        <v>3033.8884332012294</v>
      </c>
      <c r="J60" s="108"/>
    </row>
    <row r="61" spans="1:22" x14ac:dyDescent="0.3">
      <c r="A61" s="1258" t="s">
        <v>2094</v>
      </c>
      <c r="E61" s="17"/>
      <c r="Q61" s="216" t="s">
        <v>933</v>
      </c>
      <c r="R61" s="216" t="s">
        <v>933</v>
      </c>
      <c r="S61" s="216" t="s">
        <v>2047</v>
      </c>
      <c r="T61" s="216" t="s">
        <v>2050</v>
      </c>
    </row>
    <row r="62" spans="1:22" x14ac:dyDescent="0.3">
      <c r="A62" s="638" t="s">
        <v>938</v>
      </c>
      <c r="E62" s="17"/>
      <c r="H62" s="98"/>
      <c r="J62" s="67" t="s">
        <v>932</v>
      </c>
      <c r="K62" s="216" t="s">
        <v>946</v>
      </c>
      <c r="L62" s="89" t="s">
        <v>2046</v>
      </c>
      <c r="M62" s="89"/>
      <c r="N62" s="89" t="s">
        <v>2046</v>
      </c>
      <c r="O62" s="89"/>
      <c r="P62" s="216" t="s">
        <v>763</v>
      </c>
      <c r="Q62" s="216" t="s">
        <v>2042</v>
      </c>
      <c r="R62" s="216" t="s">
        <v>2043</v>
      </c>
      <c r="S62" s="216" t="s">
        <v>2048</v>
      </c>
      <c r="T62" s="216" t="s">
        <v>2051</v>
      </c>
    </row>
    <row r="63" spans="1:22" x14ac:dyDescent="0.3">
      <c r="A63" s="638" t="s">
        <v>939</v>
      </c>
      <c r="B63" s="405">
        <f>IF(OSI!$I$77&gt;0,1*$P$73,0)</f>
        <v>1</v>
      </c>
      <c r="C63" s="410">
        <f>IF(spelt&gt;0,($T$63*((Data!$B$228*spelt)/$N$58))/spelt,0)</f>
        <v>0.126</v>
      </c>
      <c r="D63" s="34" t="s">
        <v>115</v>
      </c>
      <c r="E63" s="46">
        <f t="shared" ref="E63:E68" si="14">C63*spelt</f>
        <v>12.6</v>
      </c>
      <c r="F63" s="167">
        <f t="shared" ref="F63:F68" si="15">_wage_</f>
        <v>12.29</v>
      </c>
      <c r="G63" s="114">
        <f t="shared" ref="G63:G68" si="16">C63*F63</f>
        <v>1.5485399999999998</v>
      </c>
      <c r="H63" s="110">
        <f t="shared" ref="H63:H68" si="17">B63*G63*spelt</f>
        <v>154.85399999999998</v>
      </c>
      <c r="J63" s="55" t="s">
        <v>762</v>
      </c>
      <c r="K63" s="816">
        <f>B63</f>
        <v>1</v>
      </c>
      <c r="L63" s="168">
        <f>IF(spelt&gt;0,(K63*(T63*_wage_)*((Data!$B$228*spelt)/$N$58))/spelt,0)</f>
        <v>1.5485399999999998</v>
      </c>
      <c r="M63" s="22" t="s">
        <v>254</v>
      </c>
      <c r="N63" s="168">
        <f>(T63*_wage_)</f>
        <v>18.434999999999999</v>
      </c>
      <c r="O63" s="22" t="s">
        <v>935</v>
      </c>
      <c r="P63" s="816">
        <f>OSI!$G$69</f>
        <v>20</v>
      </c>
      <c r="Q63" s="816">
        <f>OSI!$G$72</f>
        <v>40</v>
      </c>
      <c r="R63" s="46">
        <f>(P63/Q63)</f>
        <v>0.5</v>
      </c>
      <c r="S63" s="226">
        <f>OSI!$G$73</f>
        <v>1</v>
      </c>
      <c r="T63" s="46">
        <f>SUM(R63:S63)</f>
        <v>1.5</v>
      </c>
      <c r="U63" s="216" t="s">
        <v>936</v>
      </c>
      <c r="V63" s="216" t="s">
        <v>937</v>
      </c>
    </row>
    <row r="64" spans="1:22" x14ac:dyDescent="0.3">
      <c r="A64" s="666" t="s">
        <v>2025</v>
      </c>
      <c r="B64" s="405">
        <f>IF(Data!$F$229=0,0,1*$P$73)</f>
        <v>0</v>
      </c>
      <c r="C64" s="593">
        <f>C63*Data!$F$229</f>
        <v>0</v>
      </c>
      <c r="D64" s="48" t="s">
        <v>115</v>
      </c>
      <c r="E64" s="47">
        <f t="shared" si="14"/>
        <v>0</v>
      </c>
      <c r="F64" s="118">
        <f t="shared" si="15"/>
        <v>12.29</v>
      </c>
      <c r="G64" s="465">
        <f t="shared" si="16"/>
        <v>0</v>
      </c>
      <c r="H64" s="123">
        <f t="shared" si="17"/>
        <v>0</v>
      </c>
      <c r="J64" s="55" t="s">
        <v>943</v>
      </c>
      <c r="K64" s="816">
        <f>B65</f>
        <v>0</v>
      </c>
      <c r="L64" s="114">
        <f>IF(spelt&gt;0,(K64*(T64*_wage_)*((Data!$E$228*spelt)/$U$64))/spelt,0)</f>
        <v>0</v>
      </c>
      <c r="M64" s="22" t="s">
        <v>254</v>
      </c>
      <c r="N64" s="168">
        <f>(T64*_wage_)</f>
        <v>18.434999999999999</v>
      </c>
      <c r="O64" s="22" t="s">
        <v>935</v>
      </c>
      <c r="P64" s="816">
        <f>OSI!$G$69</f>
        <v>20</v>
      </c>
      <c r="Q64" s="816">
        <f>OSI!$G$72</f>
        <v>40</v>
      </c>
      <c r="R64" s="46">
        <f>(P64/Q64)</f>
        <v>0.5</v>
      </c>
      <c r="S64" s="226">
        <f>OSI!$G$73</f>
        <v>1</v>
      </c>
      <c r="T64" s="46">
        <f>SUM(R64:S64)</f>
        <v>1.5</v>
      </c>
      <c r="U64" s="816">
        <f>OSI!$G$71</f>
        <v>8</v>
      </c>
      <c r="V64" s="90">
        <f>(U64*Data!$E$226)/Data!$H$226</f>
        <v>200</v>
      </c>
    </row>
    <row r="65" spans="1:22" x14ac:dyDescent="0.3">
      <c r="A65" s="638" t="s">
        <v>940</v>
      </c>
      <c r="B65" s="405">
        <f>IF(OSI!$I$81&gt;0,Data!$B$35*Data!$C$35*$P$74,0)</f>
        <v>0</v>
      </c>
      <c r="C65" s="410">
        <f>IF(spelt&gt;0,($T$64*(Sb!$B$17/Sv!$S$116))/spelt,0)</f>
        <v>0</v>
      </c>
      <c r="D65" s="34" t="s">
        <v>115</v>
      </c>
      <c r="E65" s="46">
        <f t="shared" si="14"/>
        <v>0</v>
      </c>
      <c r="F65" s="167">
        <f t="shared" si="15"/>
        <v>12.29</v>
      </c>
      <c r="G65" s="114">
        <f t="shared" si="16"/>
        <v>0</v>
      </c>
      <c r="H65" s="110">
        <f t="shared" si="17"/>
        <v>0</v>
      </c>
      <c r="J65" s="55" t="s">
        <v>948</v>
      </c>
      <c r="K65" s="816">
        <f>B67</f>
        <v>0</v>
      </c>
      <c r="L65" s="114">
        <f>IF(spelt&gt;0,(K65*(T65*_wage_)*((Data!$H$228*spelt)/$V$64))/spelt,0)</f>
        <v>0</v>
      </c>
      <c r="M65" s="22" t="s">
        <v>254</v>
      </c>
      <c r="N65" s="168">
        <f>(T65*_wage_)</f>
        <v>18.434999999999999</v>
      </c>
      <c r="O65" s="22" t="s">
        <v>935</v>
      </c>
      <c r="P65" s="816">
        <f>OSI!$G$69</f>
        <v>20</v>
      </c>
      <c r="Q65" s="816">
        <f>OSI!$G$72</f>
        <v>40</v>
      </c>
      <c r="R65" s="46">
        <f>(P65/Q65)</f>
        <v>0.5</v>
      </c>
      <c r="S65" s="226">
        <f>OSI!$G$73</f>
        <v>1</v>
      </c>
      <c r="T65" s="46">
        <f>SUM(R65:S65)</f>
        <v>1.5</v>
      </c>
    </row>
    <row r="66" spans="1:22" x14ac:dyDescent="0.3">
      <c r="A66" s="666" t="s">
        <v>2025</v>
      </c>
      <c r="B66" s="405">
        <f>IF(Data!$F$230=0,0,1*$P$74)</f>
        <v>0</v>
      </c>
      <c r="C66" s="593">
        <f>C65*Data!$F$230</f>
        <v>0</v>
      </c>
      <c r="D66" s="48" t="s">
        <v>115</v>
      </c>
      <c r="E66" s="47">
        <f t="shared" si="14"/>
        <v>0</v>
      </c>
      <c r="F66" s="118">
        <f t="shared" si="15"/>
        <v>12.29</v>
      </c>
      <c r="G66" s="465">
        <f t="shared" si="16"/>
        <v>0</v>
      </c>
      <c r="H66" s="123">
        <f t="shared" si="17"/>
        <v>0</v>
      </c>
      <c r="Q66" s="216" t="s">
        <v>933</v>
      </c>
      <c r="R66" s="216" t="s">
        <v>933</v>
      </c>
      <c r="S66" s="216" t="s">
        <v>2047</v>
      </c>
      <c r="T66" s="216" t="s">
        <v>2050</v>
      </c>
    </row>
    <row r="67" spans="1:22" x14ac:dyDescent="0.3">
      <c r="A67" s="638" t="s">
        <v>941</v>
      </c>
      <c r="B67" s="405">
        <f>IF(OSI!$I$85&gt;0,Data!$B$35*Data!$D$35*$P$75,0)</f>
        <v>0</v>
      </c>
      <c r="C67" s="410">
        <f>IF(spelt&gt;0,($T$65*(Sb!$B$19/Sv!$T$116))/spelt,0)</f>
        <v>0</v>
      </c>
      <c r="D67" s="34" t="s">
        <v>115</v>
      </c>
      <c r="E67" s="46">
        <f t="shared" si="14"/>
        <v>0</v>
      </c>
      <c r="F67" s="167">
        <f t="shared" si="15"/>
        <v>12.29</v>
      </c>
      <c r="G67" s="114">
        <f t="shared" si="16"/>
        <v>0</v>
      </c>
      <c r="H67" s="110">
        <f t="shared" si="17"/>
        <v>0</v>
      </c>
      <c r="J67" s="67" t="s">
        <v>934</v>
      </c>
      <c r="K67" s="216" t="s">
        <v>946</v>
      </c>
      <c r="L67" s="89" t="s">
        <v>2046</v>
      </c>
      <c r="M67" s="89"/>
      <c r="N67" s="89" t="s">
        <v>2046</v>
      </c>
      <c r="O67" s="89"/>
      <c r="P67" s="216" t="s">
        <v>763</v>
      </c>
      <c r="Q67" s="216" t="s">
        <v>2042</v>
      </c>
      <c r="R67" s="216" t="s">
        <v>2043</v>
      </c>
      <c r="S67" s="216" t="s">
        <v>2048</v>
      </c>
      <c r="T67" s="216" t="s">
        <v>2051</v>
      </c>
    </row>
    <row r="68" spans="1:22" x14ac:dyDescent="0.3">
      <c r="A68" s="666" t="s">
        <v>2024</v>
      </c>
      <c r="B68" s="405">
        <f>IF(Data!$F$230=0,0,1*$P$75)</f>
        <v>0</v>
      </c>
      <c r="C68" s="593">
        <f>C67*Data!$F$230</f>
        <v>0</v>
      </c>
      <c r="D68" s="48" t="s">
        <v>115</v>
      </c>
      <c r="E68" s="47">
        <f t="shared" si="14"/>
        <v>0</v>
      </c>
      <c r="F68" s="118">
        <f t="shared" si="15"/>
        <v>12.29</v>
      </c>
      <c r="G68" s="465">
        <f t="shared" si="16"/>
        <v>0</v>
      </c>
      <c r="H68" s="123">
        <f t="shared" si="17"/>
        <v>0</v>
      </c>
      <c r="J68" s="55" t="s">
        <v>762</v>
      </c>
      <c r="K68" s="816">
        <f>B70</f>
        <v>0</v>
      </c>
      <c r="L68" s="168">
        <f>IF(spelt&gt;0,(K68*(T68*_wage_)*((Data!$B$228*spelt)/$N$59))/spelt,0)</f>
        <v>0</v>
      </c>
      <c r="M68" s="22" t="s">
        <v>254</v>
      </c>
      <c r="N68" s="168">
        <f>(T68*_wage_)</f>
        <v>30.724999999999998</v>
      </c>
      <c r="O68" s="22" t="s">
        <v>935</v>
      </c>
      <c r="P68" s="816">
        <f>OSI!$I$69</f>
        <v>20</v>
      </c>
      <c r="Q68" s="816">
        <f>OSI!$I$72</f>
        <v>40</v>
      </c>
      <c r="R68" s="46">
        <f>(P68/Q68)</f>
        <v>0.5</v>
      </c>
      <c r="S68" s="226">
        <f>OSI!$I$73</f>
        <v>2</v>
      </c>
      <c r="T68" s="46">
        <f>SUM(R68:S68)</f>
        <v>2.5</v>
      </c>
      <c r="U68" s="216" t="s">
        <v>936</v>
      </c>
      <c r="V68" s="216" t="s">
        <v>937</v>
      </c>
    </row>
    <row r="69" spans="1:22" x14ac:dyDescent="0.3">
      <c r="A69" s="638" t="s">
        <v>942</v>
      </c>
      <c r="B69" s="34"/>
      <c r="C69" s="34"/>
      <c r="D69" s="34"/>
      <c r="E69" s="46"/>
      <c r="F69" s="68"/>
      <c r="G69" s="114"/>
      <c r="H69" s="110"/>
      <c r="J69" s="55" t="s">
        <v>943</v>
      </c>
      <c r="K69" s="816">
        <f>B72</f>
        <v>0</v>
      </c>
      <c r="L69" s="114">
        <f>IF(spelt&gt;0,(K69*(T69*_wage_)*((Data!$E$228*spelt)/$U$69))/spelt,0)</f>
        <v>0</v>
      </c>
      <c r="M69" s="22" t="s">
        <v>254</v>
      </c>
      <c r="N69" s="168">
        <f>(T69*_wage_)</f>
        <v>30.724999999999998</v>
      </c>
      <c r="O69" s="22" t="s">
        <v>935</v>
      </c>
      <c r="P69" s="816">
        <f>OSI!$I$69</f>
        <v>20</v>
      </c>
      <c r="Q69" s="816">
        <f>OSI!$I$72</f>
        <v>40</v>
      </c>
      <c r="R69" s="46">
        <f>(P69/Q69)</f>
        <v>0.5</v>
      </c>
      <c r="S69" s="226">
        <f>OSI!$I$73</f>
        <v>2</v>
      </c>
      <c r="T69" s="46">
        <f>SUM(R69:S69)</f>
        <v>2.5</v>
      </c>
      <c r="U69" s="816">
        <f>OSI!$I$71</f>
        <v>16</v>
      </c>
      <c r="V69" s="90">
        <f>(U69*Data!$E$226)/Data!$H$226</f>
        <v>400</v>
      </c>
    </row>
    <row r="70" spans="1:22" x14ac:dyDescent="0.3">
      <c r="A70" s="638" t="s">
        <v>939</v>
      </c>
      <c r="B70" s="405">
        <f>IF(OSI!$I$78&gt;0,1*$Q$73,0)</f>
        <v>0</v>
      </c>
      <c r="C70" s="410">
        <f>IF(spelt&gt;0,($T$68*((Data!$B$228*spelt)/$N$59))/spelt,0)</f>
        <v>35</v>
      </c>
      <c r="D70" s="34" t="s">
        <v>115</v>
      </c>
      <c r="E70" s="46">
        <f t="shared" ref="E70:E75" si="18">C70*spelt</f>
        <v>3500</v>
      </c>
      <c r="F70" s="167">
        <f t="shared" ref="F70:F75" si="19">_wage_</f>
        <v>12.29</v>
      </c>
      <c r="G70" s="114">
        <f t="shared" ref="G70:G75" si="20">C70*F70</f>
        <v>430.15</v>
      </c>
      <c r="H70" s="110">
        <f t="shared" ref="H70:H75" si="21">B70*G70*spelt</f>
        <v>0</v>
      </c>
      <c r="J70" s="55" t="s">
        <v>948</v>
      </c>
      <c r="K70" s="816">
        <f>B74</f>
        <v>0</v>
      </c>
      <c r="L70" s="114">
        <f>IF(spelt&gt;0,(K70*(T70*_wage_)*((Data!$H$228*spelt)/$V$69))/spelt,0)</f>
        <v>0</v>
      </c>
      <c r="M70" s="22" t="s">
        <v>254</v>
      </c>
      <c r="N70" s="168">
        <f>(T70*_wage_)</f>
        <v>30.724999999999998</v>
      </c>
      <c r="O70" s="22" t="s">
        <v>935</v>
      </c>
      <c r="P70" s="816">
        <f>OSI!$I$69</f>
        <v>20</v>
      </c>
      <c r="Q70" s="816">
        <f>OSI!$I$72</f>
        <v>40</v>
      </c>
      <c r="R70" s="46">
        <f>(P70/Q70)</f>
        <v>0.5</v>
      </c>
      <c r="S70" s="226">
        <f>OSI!$I$73</f>
        <v>2</v>
      </c>
      <c r="T70" s="46">
        <f>SUM(R70:S70)</f>
        <v>2.5</v>
      </c>
    </row>
    <row r="71" spans="1:22" x14ac:dyDescent="0.3">
      <c r="A71" s="666" t="s">
        <v>2025</v>
      </c>
      <c r="B71" s="405">
        <f>IF(Data!$F$229=0,0,1*$Q$73)</f>
        <v>0</v>
      </c>
      <c r="C71" s="593">
        <f>C70*Data!$F$229</f>
        <v>0</v>
      </c>
      <c r="D71" s="48" t="s">
        <v>115</v>
      </c>
      <c r="E71" s="47">
        <f t="shared" si="18"/>
        <v>0</v>
      </c>
      <c r="F71" s="118">
        <f t="shared" si="19"/>
        <v>12.29</v>
      </c>
      <c r="G71" s="465">
        <f t="shared" si="20"/>
        <v>0</v>
      </c>
      <c r="H71" s="123">
        <f t="shared" si="21"/>
        <v>0</v>
      </c>
      <c r="J71" s="55"/>
      <c r="K71" s="114"/>
      <c r="L71" s="114"/>
      <c r="M71" s="22"/>
      <c r="N71" s="114"/>
      <c r="O71" s="22"/>
      <c r="P71" s="22"/>
      <c r="Q71" s="22"/>
      <c r="R71" s="22"/>
      <c r="S71" s="22"/>
      <c r="T71" s="22"/>
      <c r="U71" s="22"/>
    </row>
    <row r="72" spans="1:22" x14ac:dyDescent="0.3">
      <c r="A72" s="638" t="s">
        <v>940</v>
      </c>
      <c r="B72" s="405">
        <f>IF(OSI!$I$82&gt;0,Data!$B$35*Data!$C$35*$Q$74,0)</f>
        <v>0</v>
      </c>
      <c r="C72" s="410">
        <f>IF(spelt&gt;0,($T$69*(Sb!$B$17/Sv!$S$121))/spelt,0)</f>
        <v>0</v>
      </c>
      <c r="D72" s="34" t="s">
        <v>115</v>
      </c>
      <c r="E72" s="46">
        <f t="shared" si="18"/>
        <v>0</v>
      </c>
      <c r="F72" s="167">
        <f t="shared" si="19"/>
        <v>12.29</v>
      </c>
      <c r="G72" s="114">
        <f t="shared" si="20"/>
        <v>0</v>
      </c>
      <c r="H72" s="110">
        <f t="shared" si="21"/>
        <v>0</v>
      </c>
      <c r="M72" s="22"/>
      <c r="N72" s="114"/>
      <c r="O72" s="67" t="s">
        <v>947</v>
      </c>
      <c r="P72" s="216" t="s">
        <v>932</v>
      </c>
      <c r="Q72" s="216" t="s">
        <v>934</v>
      </c>
      <c r="R72" s="216" t="s">
        <v>76</v>
      </c>
      <c r="S72" s="22"/>
      <c r="U72" s="22"/>
    </row>
    <row r="73" spans="1:22" x14ac:dyDescent="0.3">
      <c r="A73" s="666" t="s">
        <v>2025</v>
      </c>
      <c r="B73" s="405">
        <f>IF(Data!$F$230=0,0,1*$Q$74)</f>
        <v>0</v>
      </c>
      <c r="C73" s="593">
        <f>C72*Data!$F$230</f>
        <v>0</v>
      </c>
      <c r="D73" s="48" t="s">
        <v>115</v>
      </c>
      <c r="E73" s="47">
        <f t="shared" si="18"/>
        <v>0</v>
      </c>
      <c r="F73" s="118">
        <f t="shared" si="19"/>
        <v>12.29</v>
      </c>
      <c r="G73" s="465">
        <f t="shared" si="20"/>
        <v>0</v>
      </c>
      <c r="H73" s="123">
        <f t="shared" si="21"/>
        <v>0</v>
      </c>
      <c r="M73" s="22"/>
      <c r="N73" s="114"/>
      <c r="O73" s="34" t="s">
        <v>762</v>
      </c>
      <c r="P73" s="922">
        <f>OSI!$C$77</f>
        <v>1</v>
      </c>
      <c r="Q73" s="922">
        <f>OSI!$C$78</f>
        <v>0</v>
      </c>
      <c r="R73" s="412">
        <f>SUM(P73:Q73)</f>
        <v>1</v>
      </c>
      <c r="S73" s="22"/>
      <c r="U73" s="22"/>
    </row>
    <row r="74" spans="1:22" x14ac:dyDescent="0.3">
      <c r="A74" s="638" t="s">
        <v>941</v>
      </c>
      <c r="B74" s="405">
        <f>IF(OSI!$I$86&gt;0,Data!$B$35*Data!$D$35*$Q$75,0)</f>
        <v>0</v>
      </c>
      <c r="C74" s="410">
        <f>IF(spelt&gt;0,($T$70*(Sb!$B$19/Sv!$T$121))/spelt,0)</f>
        <v>0</v>
      </c>
      <c r="D74" s="34" t="s">
        <v>115</v>
      </c>
      <c r="E74" s="46">
        <f t="shared" si="18"/>
        <v>0</v>
      </c>
      <c r="F74" s="167">
        <f t="shared" si="19"/>
        <v>12.29</v>
      </c>
      <c r="G74" s="114">
        <f t="shared" si="20"/>
        <v>0</v>
      </c>
      <c r="H74" s="110">
        <f t="shared" si="21"/>
        <v>0</v>
      </c>
      <c r="I74" s="50"/>
      <c r="M74" s="22"/>
      <c r="N74" s="114"/>
      <c r="O74" s="55" t="s">
        <v>943</v>
      </c>
      <c r="P74" s="922">
        <f>OSI!$C$81</f>
        <v>1</v>
      </c>
      <c r="Q74" s="922">
        <f>OSI!$C$82</f>
        <v>0</v>
      </c>
      <c r="R74" s="412">
        <f>SUM(P74:Q74)</f>
        <v>1</v>
      </c>
      <c r="S74" s="22"/>
      <c r="U74" s="22"/>
    </row>
    <row r="75" spans="1:22" x14ac:dyDescent="0.3">
      <c r="A75" s="666" t="s">
        <v>2025</v>
      </c>
      <c r="B75" s="405">
        <f>IF(Data!$F$230=0,0,1*$Q$75)</f>
        <v>0</v>
      </c>
      <c r="C75" s="593">
        <f>C74*Data!$F$230</f>
        <v>0</v>
      </c>
      <c r="D75" s="48" t="s">
        <v>115</v>
      </c>
      <c r="E75" s="47">
        <f t="shared" si="18"/>
        <v>0</v>
      </c>
      <c r="F75" s="118">
        <f t="shared" si="19"/>
        <v>12.29</v>
      </c>
      <c r="G75" s="465">
        <f t="shared" si="20"/>
        <v>0</v>
      </c>
      <c r="H75" s="123">
        <f t="shared" si="21"/>
        <v>0</v>
      </c>
      <c r="I75" s="108">
        <f>SUM(H62:H75)</f>
        <v>154.85399999999998</v>
      </c>
      <c r="M75" s="22"/>
      <c r="N75" s="114"/>
      <c r="O75" s="55" t="s">
        <v>948</v>
      </c>
      <c r="P75" s="922">
        <f>OSI!$C$85</f>
        <v>1</v>
      </c>
      <c r="Q75" s="922">
        <f>OSI!$C$86</f>
        <v>0</v>
      </c>
      <c r="R75" s="412">
        <f>SUM(P75:Q75)</f>
        <v>1</v>
      </c>
      <c r="S75" s="22"/>
      <c r="T75" s="22"/>
      <c r="U75" s="22"/>
    </row>
    <row r="76" spans="1:22" x14ac:dyDescent="0.3">
      <c r="A76" s="3" t="s">
        <v>66</v>
      </c>
      <c r="B76" s="3"/>
      <c r="C76" s="46"/>
      <c r="D76" s="34"/>
      <c r="E76" s="226"/>
      <c r="F76" s="104"/>
      <c r="G76" s="114"/>
      <c r="H76" s="109"/>
    </row>
    <row r="77" spans="1:22" x14ac:dyDescent="0.3">
      <c r="A77" s="22" t="s">
        <v>332</v>
      </c>
      <c r="B77" s="22"/>
      <c r="C77" s="46"/>
      <c r="D77" s="34"/>
      <c r="E77" s="226"/>
      <c r="F77" s="104"/>
      <c r="G77" s="114"/>
      <c r="H77" s="109"/>
    </row>
    <row r="78" spans="1:22" x14ac:dyDescent="0.3">
      <c r="A78" s="638" t="s">
        <v>1911</v>
      </c>
      <c r="B78" s="405">
        <f t="shared" ref="B78:B106" si="22">B26</f>
        <v>0</v>
      </c>
      <c r="C78" s="156">
        <f>IF(OSI!$I$28&gt;0,OSI!$I$28,Data!$R$579)</f>
        <v>1.32</v>
      </c>
      <c r="D78" s="34" t="s">
        <v>117</v>
      </c>
      <c r="E78" s="226">
        <f t="shared" ref="E78:E106" si="23">C78*spelt</f>
        <v>132</v>
      </c>
      <c r="F78" s="167">
        <f>diesel_fuel</f>
        <v>2.56</v>
      </c>
      <c r="G78" s="114">
        <f>C78*F78</f>
        <v>3.3792000000000004</v>
      </c>
      <c r="H78" s="109">
        <f t="shared" ref="H78:H95" si="24">B78*G78*spelt</f>
        <v>0</v>
      </c>
      <c r="K78" s="55"/>
    </row>
    <row r="79" spans="1:22" x14ac:dyDescent="0.3">
      <c r="A79" s="639" t="s">
        <v>468</v>
      </c>
      <c r="B79" s="405">
        <f t="shared" si="22"/>
        <v>1</v>
      </c>
      <c r="C79" s="156">
        <f>IF(OSI!$I$29&gt;0,OSI!$I$29,Data!$R$585)</f>
        <v>0.44023863292066601</v>
      </c>
      <c r="D79" s="34" t="s">
        <v>117</v>
      </c>
      <c r="E79" s="226">
        <f t="shared" si="23"/>
        <v>44.023863292066601</v>
      </c>
      <c r="F79" s="104">
        <f t="shared" ref="F79:F111" si="25">diesel_fuel</f>
        <v>2.56</v>
      </c>
      <c r="G79" s="114">
        <f t="shared" ref="G79:G105" si="26">C79*F79</f>
        <v>1.1270109002769051</v>
      </c>
      <c r="H79" s="109">
        <f t="shared" si="24"/>
        <v>112.70109002769051</v>
      </c>
    </row>
    <row r="80" spans="1:22" x14ac:dyDescent="0.3">
      <c r="A80" s="640" t="s">
        <v>1427</v>
      </c>
      <c r="B80" s="405">
        <f t="shared" si="22"/>
        <v>1</v>
      </c>
      <c r="C80" s="156">
        <f>IF(OSI!$I$30&gt;0,OSI!$I$30,Data!$R$580)</f>
        <v>0.64</v>
      </c>
      <c r="D80" s="34" t="s">
        <v>117</v>
      </c>
      <c r="E80" s="226">
        <f t="shared" si="23"/>
        <v>64</v>
      </c>
      <c r="F80" s="104">
        <f t="shared" si="25"/>
        <v>2.56</v>
      </c>
      <c r="G80" s="114">
        <f t="shared" si="26"/>
        <v>1.6384000000000001</v>
      </c>
      <c r="H80" s="109">
        <f t="shared" si="24"/>
        <v>163.84</v>
      </c>
    </row>
    <row r="81" spans="1:12" x14ac:dyDescent="0.3">
      <c r="A81" s="638" t="s">
        <v>485</v>
      </c>
      <c r="B81" s="405">
        <f t="shared" si="22"/>
        <v>1</v>
      </c>
      <c r="C81" s="156">
        <f>IF(OSI!$I$31&gt;0,OSI!$I$31,Data!$R$581)</f>
        <v>0.74</v>
      </c>
      <c r="D81" s="34" t="s">
        <v>117</v>
      </c>
      <c r="E81" s="226">
        <f t="shared" si="23"/>
        <v>74</v>
      </c>
      <c r="F81" s="104">
        <f t="shared" si="25"/>
        <v>2.56</v>
      </c>
      <c r="G81" s="114">
        <f t="shared" si="26"/>
        <v>1.8944000000000001</v>
      </c>
      <c r="H81" s="109">
        <f t="shared" si="24"/>
        <v>189.44</v>
      </c>
    </row>
    <row r="82" spans="1:12" x14ac:dyDescent="0.3">
      <c r="A82" s="22" t="s">
        <v>315</v>
      </c>
      <c r="B82" s="405">
        <f t="shared" si="22"/>
        <v>0</v>
      </c>
      <c r="C82" s="156">
        <f>Data!R582</f>
        <v>0.2</v>
      </c>
      <c r="D82" s="34" t="s">
        <v>117</v>
      </c>
      <c r="E82" s="226">
        <f t="shared" si="23"/>
        <v>20</v>
      </c>
      <c r="F82" s="104">
        <f t="shared" si="25"/>
        <v>2.56</v>
      </c>
      <c r="G82" s="114">
        <f t="shared" si="26"/>
        <v>0.51200000000000001</v>
      </c>
      <c r="H82" s="109">
        <f t="shared" si="24"/>
        <v>0</v>
      </c>
    </row>
    <row r="83" spans="1:12" x14ac:dyDescent="0.3">
      <c r="A83" s="22" t="s">
        <v>581</v>
      </c>
      <c r="B83" s="405">
        <f t="shared" si="22"/>
        <v>0</v>
      </c>
      <c r="C83" s="156">
        <f>Data!R583</f>
        <v>0.13183670241332501</v>
      </c>
      <c r="D83" s="34" t="s">
        <v>117</v>
      </c>
      <c r="E83" s="226">
        <f t="shared" si="23"/>
        <v>13.183670241332502</v>
      </c>
      <c r="F83" s="104">
        <f t="shared" si="25"/>
        <v>2.56</v>
      </c>
      <c r="G83" s="114">
        <f t="shared" si="26"/>
        <v>0.33750195817811202</v>
      </c>
      <c r="H83" s="109">
        <f t="shared" si="24"/>
        <v>0</v>
      </c>
    </row>
    <row r="84" spans="1:12" x14ac:dyDescent="0.3">
      <c r="A84" s="22" t="s">
        <v>322</v>
      </c>
      <c r="B84" s="405">
        <f t="shared" si="22"/>
        <v>0</v>
      </c>
      <c r="C84" s="273">
        <f>0</f>
        <v>0</v>
      </c>
      <c r="D84" s="34" t="s">
        <v>117</v>
      </c>
      <c r="E84" s="226">
        <f t="shared" si="23"/>
        <v>0</v>
      </c>
      <c r="F84" s="104">
        <f t="shared" si="25"/>
        <v>2.56</v>
      </c>
      <c r="G84" s="110">
        <f t="shared" si="26"/>
        <v>0</v>
      </c>
      <c r="H84" s="109">
        <f t="shared" si="24"/>
        <v>0</v>
      </c>
    </row>
    <row r="85" spans="1:12" x14ac:dyDescent="0.3">
      <c r="A85" s="639" t="s">
        <v>333</v>
      </c>
      <c r="B85" s="405">
        <f t="shared" si="22"/>
        <v>1</v>
      </c>
      <c r="C85" s="156">
        <f>IF(OSI!$I$32&gt;0,OSI!$I$32,Data!$R$589)</f>
        <v>0.34</v>
      </c>
      <c r="D85" s="34" t="s">
        <v>117</v>
      </c>
      <c r="E85" s="226">
        <f t="shared" si="23"/>
        <v>34</v>
      </c>
      <c r="F85" s="104">
        <f t="shared" si="25"/>
        <v>2.56</v>
      </c>
      <c r="G85" s="114">
        <f t="shared" si="26"/>
        <v>0.87040000000000006</v>
      </c>
      <c r="H85" s="109">
        <f t="shared" si="24"/>
        <v>87.04</v>
      </c>
    </row>
    <row r="86" spans="1:12" x14ac:dyDescent="0.3">
      <c r="A86" s="639" t="s">
        <v>334</v>
      </c>
      <c r="B86" s="405">
        <f t="shared" si="22"/>
        <v>1</v>
      </c>
      <c r="C86" s="156">
        <f>IF(OSI!$I$33&gt;0,OSI!$I$33,Data!$R$594)</f>
        <v>0.61</v>
      </c>
      <c r="D86" s="34" t="s">
        <v>117</v>
      </c>
      <c r="E86" s="226">
        <f t="shared" si="23"/>
        <v>61</v>
      </c>
      <c r="F86" s="104">
        <f t="shared" si="25"/>
        <v>2.56</v>
      </c>
      <c r="G86" s="114">
        <f t="shared" si="26"/>
        <v>1.5616000000000001</v>
      </c>
      <c r="H86" s="109">
        <f t="shared" si="24"/>
        <v>156.16</v>
      </c>
    </row>
    <row r="87" spans="1:12" x14ac:dyDescent="0.3">
      <c r="A87" s="639" t="s">
        <v>2218</v>
      </c>
      <c r="B87" s="405">
        <f t="shared" si="22"/>
        <v>0</v>
      </c>
      <c r="C87" s="156">
        <f>IF(OSI!$I$34&gt;0,OSI!$I$34,Data!$R$591)</f>
        <v>0.34</v>
      </c>
      <c r="D87" s="34" t="s">
        <v>117</v>
      </c>
      <c r="E87" s="226">
        <f t="shared" si="23"/>
        <v>34</v>
      </c>
      <c r="F87" s="104">
        <f t="shared" si="25"/>
        <v>2.56</v>
      </c>
      <c r="G87" s="114">
        <f t="shared" si="26"/>
        <v>0.87040000000000006</v>
      </c>
      <c r="H87" s="109">
        <f t="shared" si="24"/>
        <v>0</v>
      </c>
    </row>
    <row r="88" spans="1:12" x14ac:dyDescent="0.3">
      <c r="A88" s="639" t="s">
        <v>340</v>
      </c>
      <c r="B88" s="405">
        <f t="shared" si="22"/>
        <v>0</v>
      </c>
      <c r="C88" s="156">
        <f>IF(OSI!$I$35&gt;0,OSI!$I$35,Data!$R$606)</f>
        <v>0.46</v>
      </c>
      <c r="D88" s="34" t="s">
        <v>117</v>
      </c>
      <c r="E88" s="226">
        <f t="shared" si="23"/>
        <v>46</v>
      </c>
      <c r="F88" s="104">
        <f t="shared" si="25"/>
        <v>2.56</v>
      </c>
      <c r="G88" s="114">
        <f t="shared" si="26"/>
        <v>1.1776</v>
      </c>
      <c r="H88" s="109">
        <f t="shared" si="24"/>
        <v>0</v>
      </c>
    </row>
    <row r="89" spans="1:12" x14ac:dyDescent="0.3">
      <c r="A89" s="639" t="s">
        <v>1626</v>
      </c>
      <c r="B89" s="405">
        <f t="shared" si="22"/>
        <v>0</v>
      </c>
      <c r="C89" s="156">
        <f>IF(OSI!$I$36&gt;0,OSI!$I$36,Data!$R$584)</f>
        <v>0.13183670241332501</v>
      </c>
      <c r="D89" s="34" t="s">
        <v>117</v>
      </c>
      <c r="E89" s="226">
        <f t="shared" si="23"/>
        <v>13.183670241332502</v>
      </c>
      <c r="F89" s="104">
        <f t="shared" si="25"/>
        <v>2.56</v>
      </c>
      <c r="G89" s="114">
        <f t="shared" si="26"/>
        <v>0.33750195817811202</v>
      </c>
      <c r="H89" s="109">
        <f t="shared" si="24"/>
        <v>0</v>
      </c>
    </row>
    <row r="90" spans="1:12" x14ac:dyDescent="0.3">
      <c r="A90" s="22" t="s">
        <v>304</v>
      </c>
      <c r="B90" s="405">
        <f t="shared" si="22"/>
        <v>0</v>
      </c>
      <c r="C90" s="156">
        <f>Data!R599</f>
        <v>0.11981642612033799</v>
      </c>
      <c r="D90" s="34" t="s">
        <v>117</v>
      </c>
      <c r="E90" s="226">
        <f t="shared" si="23"/>
        <v>11.981642612033799</v>
      </c>
      <c r="F90" s="104">
        <f t="shared" si="25"/>
        <v>2.56</v>
      </c>
      <c r="G90" s="114">
        <f t="shared" si="26"/>
        <v>0.30673005086806526</v>
      </c>
      <c r="H90" s="109">
        <f t="shared" si="24"/>
        <v>0</v>
      </c>
    </row>
    <row r="91" spans="1:12" x14ac:dyDescent="0.3">
      <c r="A91" s="639" t="s">
        <v>1628</v>
      </c>
      <c r="B91" s="405">
        <f t="shared" si="22"/>
        <v>0</v>
      </c>
      <c r="C91" s="156">
        <f>IF(OSI!$I$37&gt;0,OSI!$I$37,Data!$R$601)</f>
        <v>0.12</v>
      </c>
      <c r="D91" s="34" t="s">
        <v>117</v>
      </c>
      <c r="E91" s="226">
        <f t="shared" si="23"/>
        <v>12</v>
      </c>
      <c r="F91" s="104">
        <f t="shared" si="25"/>
        <v>2.56</v>
      </c>
      <c r="G91" s="114">
        <f t="shared" si="26"/>
        <v>0.30719999999999997</v>
      </c>
      <c r="H91" s="109">
        <f t="shared" si="24"/>
        <v>0</v>
      </c>
    </row>
    <row r="92" spans="1:12" x14ac:dyDescent="0.3">
      <c r="A92" s="639" t="s">
        <v>1322</v>
      </c>
      <c r="B92" s="405">
        <f t="shared" si="22"/>
        <v>1</v>
      </c>
      <c r="C92" s="156">
        <f>IF(OSI!$I$39&gt;0,OSI!$I$39,Data!$R$614)</f>
        <v>2</v>
      </c>
      <c r="D92" s="34" t="s">
        <v>117</v>
      </c>
      <c r="E92" s="226">
        <f t="shared" si="23"/>
        <v>200</v>
      </c>
      <c r="F92" s="104">
        <f t="shared" si="25"/>
        <v>2.56</v>
      </c>
      <c r="G92" s="114">
        <f t="shared" si="26"/>
        <v>5.12</v>
      </c>
      <c r="H92" s="109">
        <f t="shared" si="24"/>
        <v>512</v>
      </c>
    </row>
    <row r="93" spans="1:12" x14ac:dyDescent="0.3">
      <c r="A93" s="666" t="s">
        <v>1022</v>
      </c>
      <c r="B93" s="405">
        <f t="shared" si="22"/>
        <v>0</v>
      </c>
      <c r="C93" s="47">
        <f>Data!$R$615*Data!$F$229</f>
        <v>0</v>
      </c>
      <c r="D93" s="48" t="s">
        <v>117</v>
      </c>
      <c r="E93" s="647">
        <f t="shared" si="23"/>
        <v>0</v>
      </c>
      <c r="F93" s="118">
        <f>diesel_fuel</f>
        <v>2.56</v>
      </c>
      <c r="G93" s="465">
        <f>C93*F93</f>
        <v>0</v>
      </c>
      <c r="H93" s="123">
        <f t="shared" si="24"/>
        <v>0</v>
      </c>
    </row>
    <row r="94" spans="1:12" x14ac:dyDescent="0.3">
      <c r="A94" s="639" t="s">
        <v>2087</v>
      </c>
      <c r="B94" s="405">
        <f t="shared" si="22"/>
        <v>1</v>
      </c>
      <c r="C94" s="156">
        <f>IF(OSI!$I$40&gt;0,OSI!$I$40,Data!$R$634)</f>
        <v>0.15019536077863399</v>
      </c>
      <c r="D94" s="34" t="s">
        <v>117</v>
      </c>
      <c r="E94" s="226">
        <f t="shared" si="23"/>
        <v>15.0195360778634</v>
      </c>
      <c r="F94" s="104">
        <f t="shared" si="25"/>
        <v>2.56</v>
      </c>
      <c r="G94" s="114">
        <f t="shared" si="26"/>
        <v>0.38450012359330304</v>
      </c>
      <c r="H94" s="109">
        <f t="shared" si="24"/>
        <v>38.450012359330302</v>
      </c>
    </row>
    <row r="95" spans="1:12" x14ac:dyDescent="0.3">
      <c r="A95" s="666" t="s">
        <v>1022</v>
      </c>
      <c r="B95" s="405">
        <f t="shared" si="22"/>
        <v>1</v>
      </c>
      <c r="C95" s="47">
        <f>Data!$R$635*Data!$F$229</f>
        <v>0</v>
      </c>
      <c r="D95" s="48" t="s">
        <v>117</v>
      </c>
      <c r="E95" s="647">
        <f t="shared" si="23"/>
        <v>0</v>
      </c>
      <c r="F95" s="118">
        <f>diesel_fuel</f>
        <v>2.56</v>
      </c>
      <c r="G95" s="465">
        <f>C95*F95</f>
        <v>0</v>
      </c>
      <c r="H95" s="123">
        <f t="shared" si="24"/>
        <v>0</v>
      </c>
    </row>
    <row r="96" spans="1:12" x14ac:dyDescent="0.3">
      <c r="A96" s="22" t="s">
        <v>756</v>
      </c>
      <c r="B96" s="405">
        <f t="shared" si="22"/>
        <v>0</v>
      </c>
      <c r="C96" s="156">
        <f>Data!R648</f>
        <v>0.28809523809523802</v>
      </c>
      <c r="D96" s="34" t="s">
        <v>117</v>
      </c>
      <c r="E96" s="226">
        <f t="shared" si="23"/>
        <v>28.809523809523803</v>
      </c>
      <c r="F96" s="167">
        <f t="shared" si="25"/>
        <v>2.56</v>
      </c>
      <c r="G96" s="114">
        <f t="shared" si="26"/>
        <v>0.73752380952380936</v>
      </c>
      <c r="H96" s="109">
        <f>(B96*G96*spelt)*Data!$B$35*Data!$H$35</f>
        <v>0</v>
      </c>
      <c r="K96" s="55"/>
      <c r="L96" s="55"/>
    </row>
    <row r="97" spans="1:21" x14ac:dyDescent="0.3">
      <c r="A97" s="22" t="s">
        <v>757</v>
      </c>
      <c r="B97" s="405">
        <f t="shared" si="22"/>
        <v>0</v>
      </c>
      <c r="C97" s="156">
        <f>Data!R649</f>
        <v>0.34903846153846102</v>
      </c>
      <c r="D97" s="34" t="s">
        <v>117</v>
      </c>
      <c r="E97" s="226">
        <f t="shared" si="23"/>
        <v>34.903846153846104</v>
      </c>
      <c r="F97" s="167">
        <f t="shared" si="25"/>
        <v>2.56</v>
      </c>
      <c r="G97" s="114">
        <f t="shared" si="26"/>
        <v>0.89353846153846028</v>
      </c>
      <c r="H97" s="109">
        <f>(B97*G97*spelt)*Data!$B$35*Data!$C$35*Data!$F$35</f>
        <v>0</v>
      </c>
      <c r="K97" s="55"/>
      <c r="L97" s="55"/>
    </row>
    <row r="98" spans="1:21" x14ac:dyDescent="0.3">
      <c r="A98" s="9" t="s">
        <v>1022</v>
      </c>
      <c r="B98" s="405">
        <f t="shared" si="22"/>
        <v>0</v>
      </c>
      <c r="C98" s="47">
        <f>Data!$R$650*Data!$F$229</f>
        <v>0</v>
      </c>
      <c r="D98" s="48" t="s">
        <v>117</v>
      </c>
      <c r="E98" s="647">
        <f t="shared" si="23"/>
        <v>0</v>
      </c>
      <c r="F98" s="118">
        <f>diesel_fuel</f>
        <v>2.56</v>
      </c>
      <c r="G98" s="465">
        <f>C98*F98</f>
        <v>0</v>
      </c>
      <c r="H98" s="123">
        <f>(B98*G98*spelt)*Data!$B$35*Data!$C$35*Data!$F$35</f>
        <v>0</v>
      </c>
      <c r="K98" s="55"/>
      <c r="L98" s="55"/>
    </row>
    <row r="99" spans="1:21" x14ac:dyDescent="0.3">
      <c r="A99" s="22" t="s">
        <v>752</v>
      </c>
      <c r="B99" s="405">
        <f t="shared" si="22"/>
        <v>0</v>
      </c>
      <c r="C99" s="156">
        <f>Data!R651</f>
        <v>0.1</v>
      </c>
      <c r="D99" s="34" t="s">
        <v>117</v>
      </c>
      <c r="E99" s="226">
        <f t="shared" si="23"/>
        <v>10</v>
      </c>
      <c r="F99" s="167">
        <f t="shared" si="25"/>
        <v>2.56</v>
      </c>
      <c r="G99" s="114">
        <f t="shared" si="26"/>
        <v>0.25600000000000001</v>
      </c>
      <c r="H99" s="109">
        <f>(B99*G99*spelt)*Data!$B$35*Data!$C$35*Data!$F$35</f>
        <v>0</v>
      </c>
      <c r="K99" s="55"/>
      <c r="L99" s="55"/>
    </row>
    <row r="100" spans="1:21" x14ac:dyDescent="0.3">
      <c r="A100" s="9" t="s">
        <v>1022</v>
      </c>
      <c r="B100" s="405">
        <f t="shared" si="22"/>
        <v>0</v>
      </c>
      <c r="C100" s="47">
        <f>Data!$R$652*Data!$F$229</f>
        <v>0</v>
      </c>
      <c r="D100" s="48" t="s">
        <v>117</v>
      </c>
      <c r="E100" s="647">
        <f t="shared" si="23"/>
        <v>0</v>
      </c>
      <c r="F100" s="118">
        <f>diesel_fuel</f>
        <v>2.56</v>
      </c>
      <c r="G100" s="465">
        <f>C100*F100</f>
        <v>0</v>
      </c>
      <c r="H100" s="123">
        <f>(B100*G100*spelt)*Data!$B$35*Data!$C$35*Data!$F$35</f>
        <v>0</v>
      </c>
      <c r="K100" s="55"/>
      <c r="L100" s="55"/>
    </row>
    <row r="101" spans="1:21" x14ac:dyDescent="0.3">
      <c r="A101" s="22" t="s">
        <v>758</v>
      </c>
      <c r="B101" s="405">
        <f t="shared" si="22"/>
        <v>0</v>
      </c>
      <c r="C101" s="156">
        <f>Data!R653</f>
        <v>0.40333333333333299</v>
      </c>
      <c r="D101" s="34" t="s">
        <v>117</v>
      </c>
      <c r="E101" s="226">
        <f t="shared" si="23"/>
        <v>40.3333333333333</v>
      </c>
      <c r="F101" s="167">
        <f t="shared" si="25"/>
        <v>2.56</v>
      </c>
      <c r="G101" s="114">
        <f t="shared" si="26"/>
        <v>1.0325333333333324</v>
      </c>
      <c r="H101" s="109">
        <f>(B101*G101*spelt)*Data!$B$35*Data!$D$35*Data!$G$35</f>
        <v>0</v>
      </c>
      <c r="K101" s="55"/>
      <c r="L101" s="55"/>
    </row>
    <row r="102" spans="1:21" x14ac:dyDescent="0.3">
      <c r="A102" s="9" t="s">
        <v>1022</v>
      </c>
      <c r="B102" s="405">
        <f t="shared" si="22"/>
        <v>0</v>
      </c>
      <c r="C102" s="47">
        <f>Data!$R$654*Data!$F$229</f>
        <v>0</v>
      </c>
      <c r="D102" s="48" t="s">
        <v>117</v>
      </c>
      <c r="E102" s="647">
        <f t="shared" si="23"/>
        <v>0</v>
      </c>
      <c r="F102" s="118">
        <f>diesel_fuel</f>
        <v>2.56</v>
      </c>
      <c r="G102" s="465">
        <f>C102*F102</f>
        <v>0</v>
      </c>
      <c r="H102" s="123">
        <f>(B102*G102*spelt)*Data!$B$35*Data!$D$35*Data!$G$35</f>
        <v>0</v>
      </c>
      <c r="K102" s="55"/>
      <c r="L102" s="55"/>
    </row>
    <row r="103" spans="1:21" x14ac:dyDescent="0.3">
      <c r="A103" s="22" t="s">
        <v>753</v>
      </c>
      <c r="B103" s="405">
        <f t="shared" si="22"/>
        <v>0</v>
      </c>
      <c r="C103" s="165">
        <f>Data!R655</f>
        <v>0</v>
      </c>
      <c r="D103" s="34" t="s">
        <v>117</v>
      </c>
      <c r="E103" s="226">
        <f t="shared" si="23"/>
        <v>0</v>
      </c>
      <c r="F103" s="167">
        <f t="shared" si="25"/>
        <v>2.56</v>
      </c>
      <c r="G103" s="114">
        <f t="shared" si="26"/>
        <v>0</v>
      </c>
      <c r="H103" s="109">
        <f>(B103*G103*spelt)*Data!$B$35*Data!$D$35*Data!$G$35</f>
        <v>0</v>
      </c>
      <c r="K103" s="55"/>
      <c r="L103" s="55"/>
    </row>
    <row r="104" spans="1:21" x14ac:dyDescent="0.3">
      <c r="A104" s="9" t="s">
        <v>1022</v>
      </c>
      <c r="B104" s="405">
        <f t="shared" si="22"/>
        <v>0</v>
      </c>
      <c r="C104" s="83">
        <f>Data!$R$656*Data!$F$229</f>
        <v>0</v>
      </c>
      <c r="D104" s="48" t="s">
        <v>117</v>
      </c>
      <c r="E104" s="647">
        <f t="shared" si="23"/>
        <v>0</v>
      </c>
      <c r="F104" s="118">
        <f>diesel_fuel</f>
        <v>2.56</v>
      </c>
      <c r="G104" s="465">
        <f>C104*F104</f>
        <v>0</v>
      </c>
      <c r="H104" s="123">
        <f>(B104*G104*spelt)*Data!$B$35*Data!$D$35*Data!$G$35</f>
        <v>0</v>
      </c>
      <c r="K104" s="55"/>
      <c r="L104" s="55"/>
    </row>
    <row r="105" spans="1:21" x14ac:dyDescent="0.3">
      <c r="A105" s="22" t="s">
        <v>759</v>
      </c>
      <c r="B105" s="405">
        <f t="shared" si="22"/>
        <v>0</v>
      </c>
      <c r="C105" s="156">
        <f>Data!R657</f>
        <v>0.11</v>
      </c>
      <c r="D105" s="34" t="s">
        <v>117</v>
      </c>
      <c r="E105" s="226">
        <f t="shared" si="23"/>
        <v>11</v>
      </c>
      <c r="F105" s="167">
        <f t="shared" si="25"/>
        <v>2.56</v>
      </c>
      <c r="G105" s="114">
        <f t="shared" si="26"/>
        <v>0.28160000000000002</v>
      </c>
      <c r="H105" s="109">
        <f>(B105*G105*spelt)*Data!$B$35*Data!$H$35</f>
        <v>0</v>
      </c>
      <c r="K105" s="55"/>
      <c r="L105" s="55"/>
    </row>
    <row r="106" spans="1:21" x14ac:dyDescent="0.3">
      <c r="A106" s="9" t="s">
        <v>1022</v>
      </c>
      <c r="B106" s="405">
        <f t="shared" si="22"/>
        <v>0</v>
      </c>
      <c r="C106" s="47">
        <f>Data!$R$658*Data!$F$229</f>
        <v>0</v>
      </c>
      <c r="D106" s="48" t="s">
        <v>117</v>
      </c>
      <c r="E106" s="647">
        <f t="shared" si="23"/>
        <v>0</v>
      </c>
      <c r="F106" s="118">
        <f>diesel_fuel</f>
        <v>2.56</v>
      </c>
      <c r="G106" s="465">
        <f>C106*F106</f>
        <v>0</v>
      </c>
      <c r="H106" s="123">
        <f>(B106*G106*spelt)*Data!$B$35*Data!$H$35</f>
        <v>0</v>
      </c>
      <c r="K106" s="55"/>
      <c r="L106" s="55"/>
    </row>
    <row r="107" spans="1:21" x14ac:dyDescent="0.3">
      <c r="A107" s="639" t="s">
        <v>1435</v>
      </c>
      <c r="B107" s="832"/>
      <c r="C107" s="47"/>
      <c r="D107" s="48"/>
      <c r="E107" s="647"/>
      <c r="F107" s="118"/>
      <c r="G107" s="465"/>
      <c r="H107" s="123"/>
      <c r="K107" s="55"/>
      <c r="L107" s="55"/>
    </row>
    <row r="108" spans="1:21" x14ac:dyDescent="0.3">
      <c r="A108" s="638" t="s">
        <v>1436</v>
      </c>
      <c r="B108" s="405">
        <f>B56</f>
        <v>1</v>
      </c>
      <c r="C108" s="165">
        <f>IF(OSI!$I$41&gt;0,OSI!$I$41,Data!$R$671)</f>
        <v>0</v>
      </c>
      <c r="D108" s="34" t="s">
        <v>117</v>
      </c>
      <c r="E108" s="226">
        <f t="shared" ref="E108:E109" si="27">C108*spelt</f>
        <v>0</v>
      </c>
      <c r="F108" s="167">
        <f t="shared" si="25"/>
        <v>2.56</v>
      </c>
      <c r="G108" s="114">
        <f t="shared" ref="G108" si="28">C108*F108</f>
        <v>0</v>
      </c>
      <c r="H108" s="109">
        <f>B108*G108*spelt</f>
        <v>0</v>
      </c>
      <c r="K108" s="55"/>
      <c r="L108" s="55"/>
    </row>
    <row r="109" spans="1:21" x14ac:dyDescent="0.3">
      <c r="A109" s="666" t="s">
        <v>1022</v>
      </c>
      <c r="B109" s="405">
        <f>B57</f>
        <v>1</v>
      </c>
      <c r="C109" s="83">
        <f>Data!R672*Data!$F$229</f>
        <v>0</v>
      </c>
      <c r="D109" s="48" t="s">
        <v>117</v>
      </c>
      <c r="E109" s="647">
        <f t="shared" si="27"/>
        <v>0</v>
      </c>
      <c r="F109" s="118">
        <f>diesel_fuel</f>
        <v>2.56</v>
      </c>
      <c r="G109" s="465">
        <f>C109*F109</f>
        <v>0</v>
      </c>
      <c r="H109" s="123">
        <f>B109*G109*spelt</f>
        <v>0</v>
      </c>
      <c r="K109" s="55"/>
      <c r="L109" s="4" t="s">
        <v>1077</v>
      </c>
    </row>
    <row r="110" spans="1:21" x14ac:dyDescent="0.3">
      <c r="A110" s="639" t="s">
        <v>1147</v>
      </c>
      <c r="B110" s="60"/>
      <c r="C110" s="60"/>
      <c r="D110" s="34"/>
      <c r="E110" s="226"/>
      <c r="F110" s="104"/>
      <c r="G110" s="104"/>
      <c r="H110" s="109"/>
      <c r="J110" s="588">
        <f>OSI!$E$69</f>
        <v>30000</v>
      </c>
      <c r="K110" s="17" t="s">
        <v>220</v>
      </c>
      <c r="L110" s="17">
        <f>J110/2000</f>
        <v>15</v>
      </c>
      <c r="M110" s="17" t="s">
        <v>26</v>
      </c>
      <c r="N110" s="588">
        <f>OSI!$C$69</f>
        <v>500</v>
      </c>
      <c r="O110" s="17" t="s">
        <v>931</v>
      </c>
      <c r="P110" s="93" t="s">
        <v>944</v>
      </c>
      <c r="Q110" s="93"/>
      <c r="S110" s="588">
        <f>N110*Data!$K$64</f>
        <v>30000</v>
      </c>
      <c r="T110" s="17" t="s">
        <v>220</v>
      </c>
      <c r="U110" s="589">
        <f>S110/J110</f>
        <v>1</v>
      </c>
    </row>
    <row r="111" spans="1:21" x14ac:dyDescent="0.3">
      <c r="A111" s="638" t="s">
        <v>1146</v>
      </c>
      <c r="B111" s="405">
        <f>B59</f>
        <v>1</v>
      </c>
      <c r="C111" s="816">
        <f>IF(OSI!$I$42&gt;0,OSI!$I$42,Data!$R$691)</f>
        <v>0</v>
      </c>
      <c r="D111" s="34" t="s">
        <v>116</v>
      </c>
      <c r="E111" s="226">
        <f>C111*spelt</f>
        <v>0</v>
      </c>
      <c r="F111" s="104">
        <f t="shared" si="25"/>
        <v>2.56</v>
      </c>
      <c r="G111" s="114">
        <f>C111*F111</f>
        <v>0</v>
      </c>
      <c r="H111" s="110">
        <f>B111*G111*spelt*G4</f>
        <v>0</v>
      </c>
      <c r="I111" s="108"/>
      <c r="J111" s="588">
        <f>OSI!$E$70</f>
        <v>180</v>
      </c>
      <c r="K111" s="17" t="s">
        <v>220</v>
      </c>
      <c r="L111" s="17">
        <f>J111/2000</f>
        <v>0.09</v>
      </c>
      <c r="M111" s="17" t="s">
        <v>26</v>
      </c>
      <c r="N111" s="588">
        <f>OSI!$C$70</f>
        <v>3</v>
      </c>
      <c r="O111" s="17" t="s">
        <v>931</v>
      </c>
      <c r="P111" s="93" t="s">
        <v>945</v>
      </c>
      <c r="Q111" s="93"/>
      <c r="S111" s="588">
        <f>N111*Data!$K$64</f>
        <v>180</v>
      </c>
      <c r="T111" s="17" t="s">
        <v>220</v>
      </c>
      <c r="U111" s="589">
        <f>S111/J111</f>
        <v>1</v>
      </c>
    </row>
    <row r="112" spans="1:21" x14ac:dyDescent="0.3">
      <c r="A112" s="666" t="s">
        <v>1022</v>
      </c>
      <c r="B112" s="405">
        <f>B60</f>
        <v>1</v>
      </c>
      <c r="C112" s="83">
        <f>C111*Data!$F$229</f>
        <v>0</v>
      </c>
      <c r="D112" s="48" t="s">
        <v>117</v>
      </c>
      <c r="E112" s="647">
        <f>C112*spelt</f>
        <v>0</v>
      </c>
      <c r="F112" s="118">
        <f>diesel_fuel</f>
        <v>2.56</v>
      </c>
      <c r="G112" s="465">
        <f>C112*F112</f>
        <v>0</v>
      </c>
      <c r="H112" s="123">
        <f>B112*G112*spelt</f>
        <v>0</v>
      </c>
      <c r="I112" s="108">
        <f>SUM(H77:H112)</f>
        <v>1259.6311023870207</v>
      </c>
      <c r="J112" s="108"/>
      <c r="K112" s="55"/>
      <c r="L112" s="24"/>
      <c r="M112" s="82"/>
    </row>
    <row r="113" spans="1:21" x14ac:dyDescent="0.3">
      <c r="A113" s="1258" t="s">
        <v>2094</v>
      </c>
      <c r="E113" s="17"/>
      <c r="Q113" s="216" t="s">
        <v>933</v>
      </c>
      <c r="R113" s="216" t="s">
        <v>933</v>
      </c>
    </row>
    <row r="114" spans="1:21" x14ac:dyDescent="0.3">
      <c r="A114" s="638" t="s">
        <v>938</v>
      </c>
      <c r="E114" s="17"/>
      <c r="H114" s="98"/>
      <c r="J114" s="67" t="s">
        <v>932</v>
      </c>
      <c r="K114" s="216" t="s">
        <v>946</v>
      </c>
      <c r="L114" s="89" t="s">
        <v>2044</v>
      </c>
      <c r="M114" s="89"/>
      <c r="N114" s="89" t="s">
        <v>2044</v>
      </c>
      <c r="O114" s="89"/>
      <c r="P114" s="216" t="s">
        <v>763</v>
      </c>
      <c r="Q114" s="216" t="s">
        <v>764</v>
      </c>
      <c r="R114" s="216" t="s">
        <v>119</v>
      </c>
    </row>
    <row r="115" spans="1:21" x14ac:dyDescent="0.3">
      <c r="A115" s="638" t="s">
        <v>939</v>
      </c>
      <c r="B115" s="405">
        <f>IF(OSI!$I$77&gt;0,1*$P$125,0)</f>
        <v>1</v>
      </c>
      <c r="C115" s="410">
        <f>IF(spelt&gt;0,($R$115*((Data!$B$228*spelt)/$N$110))/spelt,0)</f>
        <v>0.11199999999999999</v>
      </c>
      <c r="D115" s="34" t="s">
        <v>117</v>
      </c>
      <c r="E115" s="46">
        <f t="shared" ref="E115:E120" si="29">C115*spelt</f>
        <v>11.2</v>
      </c>
      <c r="F115" s="167">
        <f t="shared" ref="F115:F119" si="30">diesel_fuel</f>
        <v>2.56</v>
      </c>
      <c r="G115" s="114">
        <f t="shared" ref="G115:G120" si="31">C115*F115</f>
        <v>0.28671999999999997</v>
      </c>
      <c r="H115" s="110">
        <f t="shared" ref="H115:H120" si="32">B115*G115*spelt</f>
        <v>28.671999999999997</v>
      </c>
      <c r="J115" s="55" t="s">
        <v>762</v>
      </c>
      <c r="K115" s="369">
        <f>B115</f>
        <v>1</v>
      </c>
      <c r="L115" s="168">
        <f>IF(spelt&gt;0,(K115*(R115*diesel_fuel)*((Data!$B$228*spelt)/$N$110))/spelt,0)</f>
        <v>0.28672000000000003</v>
      </c>
      <c r="M115" s="22" t="s">
        <v>254</v>
      </c>
      <c r="N115" s="168">
        <f>(R115*diesel_fuel)</f>
        <v>3.4133333333333331</v>
      </c>
      <c r="O115" s="22" t="s">
        <v>935</v>
      </c>
      <c r="P115" s="816">
        <f>OSI!$G$69</f>
        <v>20</v>
      </c>
      <c r="Q115" s="816">
        <f>OSI!$G$70</f>
        <v>15</v>
      </c>
      <c r="R115" s="46">
        <f>(P115/Q115)*$U$110</f>
        <v>1.3333333333333333</v>
      </c>
      <c r="S115" s="216" t="s">
        <v>936</v>
      </c>
      <c r="T115" s="216" t="s">
        <v>937</v>
      </c>
    </row>
    <row r="116" spans="1:21" x14ac:dyDescent="0.3">
      <c r="A116" s="666" t="s">
        <v>2025</v>
      </c>
      <c r="B116" s="405">
        <f>IF(Data!$F$229=0,0,1*$P$125)</f>
        <v>0</v>
      </c>
      <c r="C116" s="593">
        <f>C115*Data!$F$229</f>
        <v>0</v>
      </c>
      <c r="D116" s="48" t="s">
        <v>117</v>
      </c>
      <c r="E116" s="47">
        <f t="shared" si="29"/>
        <v>0</v>
      </c>
      <c r="F116" s="118">
        <f>diesel_fuel</f>
        <v>2.56</v>
      </c>
      <c r="G116" s="465">
        <f t="shared" si="31"/>
        <v>0</v>
      </c>
      <c r="H116" s="123">
        <f t="shared" si="32"/>
        <v>0</v>
      </c>
      <c r="J116" s="55" t="s">
        <v>943</v>
      </c>
      <c r="K116" s="369">
        <f>B117</f>
        <v>0</v>
      </c>
      <c r="L116" s="114">
        <f>IF(spelt&gt;0,(K116*(R116*diesel_fuel)*((Data!$E$228*spelt)/$S$116))/spelt,0)</f>
        <v>0</v>
      </c>
      <c r="M116" s="22" t="s">
        <v>254</v>
      </c>
      <c r="N116" s="114">
        <f>R116*diesel_fuel</f>
        <v>3.4133333333333331</v>
      </c>
      <c r="O116" s="22" t="s">
        <v>935</v>
      </c>
      <c r="P116" s="816">
        <f>OSI!$G$69</f>
        <v>20</v>
      </c>
      <c r="Q116" s="816">
        <f>OSI!$G$70</f>
        <v>15</v>
      </c>
      <c r="R116" s="46">
        <f t="shared" ref="R116:R117" si="33">(P116/Q116)*$U$110</f>
        <v>1.3333333333333333</v>
      </c>
      <c r="S116" s="816">
        <f>OSI!$G$71</f>
        <v>8</v>
      </c>
      <c r="T116" s="90">
        <f>(S116*Data!$E$226)/Data!$H$226</f>
        <v>200</v>
      </c>
    </row>
    <row r="117" spans="1:21" x14ac:dyDescent="0.3">
      <c r="A117" s="638" t="s">
        <v>940</v>
      </c>
      <c r="B117" s="405">
        <f>IF(OSI!$I$81&gt;0,Data!$B$35*Data!$C$35*$P$126,0)</f>
        <v>0</v>
      </c>
      <c r="C117" s="410">
        <f>IF(spelt&gt;0,($R$116*(Sb!$B$17/Sv!$S$116))/spelt,0)</f>
        <v>0</v>
      </c>
      <c r="D117" s="34" t="s">
        <v>117</v>
      </c>
      <c r="E117" s="46">
        <f t="shared" si="29"/>
        <v>0</v>
      </c>
      <c r="F117" s="167">
        <f t="shared" si="30"/>
        <v>2.56</v>
      </c>
      <c r="G117" s="114">
        <f t="shared" si="31"/>
        <v>0</v>
      </c>
      <c r="H117" s="110">
        <f t="shared" si="32"/>
        <v>0</v>
      </c>
      <c r="J117" s="55" t="s">
        <v>948</v>
      </c>
      <c r="K117" s="369">
        <f>B119</f>
        <v>0</v>
      </c>
      <c r="L117" s="114">
        <f>IF(spelt&gt;0,(K117*(R117*diesel_fuel)*((Data!$H$228*spelt)/$T$116))/spelt,0)</f>
        <v>0</v>
      </c>
      <c r="M117" s="22" t="s">
        <v>254</v>
      </c>
      <c r="N117" s="114">
        <f>R117*diesel_fuel</f>
        <v>3.4133333333333331</v>
      </c>
      <c r="O117" s="22" t="s">
        <v>935</v>
      </c>
      <c r="P117" s="816">
        <f>OSI!$G$69</f>
        <v>20</v>
      </c>
      <c r="Q117" s="816">
        <f>OSI!$G$70</f>
        <v>15</v>
      </c>
      <c r="R117" s="46">
        <f t="shared" si="33"/>
        <v>1.3333333333333333</v>
      </c>
    </row>
    <row r="118" spans="1:21" x14ac:dyDescent="0.3">
      <c r="A118" s="666" t="s">
        <v>2025</v>
      </c>
      <c r="B118" s="405">
        <f>IF(Data!$F$230=0,0,1*$P$126)</f>
        <v>0</v>
      </c>
      <c r="C118" s="593">
        <f>C117*Data!$F$230</f>
        <v>0</v>
      </c>
      <c r="D118" s="48" t="s">
        <v>117</v>
      </c>
      <c r="E118" s="47">
        <f t="shared" si="29"/>
        <v>0</v>
      </c>
      <c r="F118" s="118">
        <f>diesel_fuel</f>
        <v>2.56</v>
      </c>
      <c r="G118" s="465">
        <f t="shared" si="31"/>
        <v>0</v>
      </c>
      <c r="H118" s="123">
        <f t="shared" si="32"/>
        <v>0</v>
      </c>
      <c r="Q118" s="216" t="s">
        <v>933</v>
      </c>
      <c r="R118" s="216" t="s">
        <v>933</v>
      </c>
    </row>
    <row r="119" spans="1:21" x14ac:dyDescent="0.3">
      <c r="A119" s="638" t="s">
        <v>941</v>
      </c>
      <c r="B119" s="405">
        <f>IF(OSI!$I$85&gt;0,Data!$B$35*Data!$D$35*$P$127,0)</f>
        <v>0</v>
      </c>
      <c r="C119" s="410">
        <f>IF(spelt&gt;0,($R$117*(Sb!$B$19/Sv!$T$116))/spelt,0)</f>
        <v>0</v>
      </c>
      <c r="D119" s="34" t="s">
        <v>117</v>
      </c>
      <c r="E119" s="46">
        <f t="shared" si="29"/>
        <v>0</v>
      </c>
      <c r="F119" s="167">
        <f t="shared" si="30"/>
        <v>2.56</v>
      </c>
      <c r="G119" s="114">
        <f t="shared" si="31"/>
        <v>0</v>
      </c>
      <c r="H119" s="110">
        <f t="shared" si="32"/>
        <v>0</v>
      </c>
      <c r="J119" s="67" t="s">
        <v>934</v>
      </c>
      <c r="K119" s="216" t="s">
        <v>946</v>
      </c>
      <c r="L119" s="89" t="s">
        <v>2044</v>
      </c>
      <c r="M119" s="89"/>
      <c r="N119" s="89" t="s">
        <v>2044</v>
      </c>
      <c r="O119" s="89"/>
      <c r="P119" s="216" t="s">
        <v>763</v>
      </c>
      <c r="Q119" s="216" t="s">
        <v>764</v>
      </c>
      <c r="R119" s="216" t="s">
        <v>119</v>
      </c>
    </row>
    <row r="120" spans="1:21" x14ac:dyDescent="0.3">
      <c r="A120" s="666" t="s">
        <v>2024</v>
      </c>
      <c r="B120" s="405">
        <f>IF(Data!$F$230=0,0,1*$P$127)</f>
        <v>0</v>
      </c>
      <c r="C120" s="593">
        <f>C119*Data!$F$230</f>
        <v>0</v>
      </c>
      <c r="D120" s="48" t="s">
        <v>117</v>
      </c>
      <c r="E120" s="47">
        <f t="shared" si="29"/>
        <v>0</v>
      </c>
      <c r="F120" s="118">
        <f>diesel_fuel</f>
        <v>2.56</v>
      </c>
      <c r="G120" s="465">
        <f t="shared" si="31"/>
        <v>0</v>
      </c>
      <c r="H120" s="123">
        <f t="shared" si="32"/>
        <v>0</v>
      </c>
      <c r="J120" s="55" t="s">
        <v>762</v>
      </c>
      <c r="K120" s="369">
        <f>B122</f>
        <v>0</v>
      </c>
      <c r="L120" s="168">
        <f>IF(spelt&gt;0,(K120*(R120*diesel_fuel)*((Data!$B$228*spelt)/$N$111))/spelt,0)</f>
        <v>0</v>
      </c>
      <c r="M120" s="22" t="s">
        <v>254</v>
      </c>
      <c r="N120" s="168">
        <f>(R120*diesel_fuel)</f>
        <v>7.3142857142857149</v>
      </c>
      <c r="O120" s="22" t="s">
        <v>935</v>
      </c>
      <c r="P120" s="816">
        <f>OSI!$I$69</f>
        <v>20</v>
      </c>
      <c r="Q120" s="816">
        <f>OSI!$I$70</f>
        <v>7</v>
      </c>
      <c r="R120" s="46">
        <f>(P120/Q120)*$U$111</f>
        <v>2.8571428571428572</v>
      </c>
      <c r="S120" s="216" t="s">
        <v>936</v>
      </c>
      <c r="T120" s="216" t="s">
        <v>937</v>
      </c>
    </row>
    <row r="121" spans="1:21" x14ac:dyDescent="0.3">
      <c r="A121" s="638" t="s">
        <v>942</v>
      </c>
      <c r="B121" s="34"/>
      <c r="C121" s="34"/>
      <c r="D121" s="34"/>
      <c r="E121" s="46"/>
      <c r="F121" s="68"/>
      <c r="G121" s="114"/>
      <c r="H121" s="110"/>
      <c r="J121" s="55" t="s">
        <v>943</v>
      </c>
      <c r="K121" s="369">
        <f>B124</f>
        <v>0</v>
      </c>
      <c r="L121" s="114">
        <f>IF(spelt&gt;0,(K121*(R121*diesel_fuel)*((Data!$E$228*spelt)/$S$121))/spelt,0)</f>
        <v>0</v>
      </c>
      <c r="M121" s="22" t="s">
        <v>254</v>
      </c>
      <c r="N121" s="114">
        <f>R121*diesel_fuel</f>
        <v>7.3142857142857149</v>
      </c>
      <c r="O121" s="22" t="s">
        <v>935</v>
      </c>
      <c r="P121" s="816">
        <f>OSI!$I$69</f>
        <v>20</v>
      </c>
      <c r="Q121" s="816">
        <f>OSI!$I$70</f>
        <v>7</v>
      </c>
      <c r="R121" s="46">
        <f t="shared" ref="R121:R122" si="34">(P121/Q121)*$U$111</f>
        <v>2.8571428571428572</v>
      </c>
      <c r="S121" s="816">
        <f>OSI!$I$71</f>
        <v>16</v>
      </c>
      <c r="T121" s="90">
        <f>(S121*Data!$E$226)/Data!$H$226</f>
        <v>400</v>
      </c>
    </row>
    <row r="122" spans="1:21" x14ac:dyDescent="0.3">
      <c r="A122" s="638" t="s">
        <v>939</v>
      </c>
      <c r="B122" s="405">
        <f>IF(OSI!$I$78&gt;0,1*$Q$125,0)</f>
        <v>0</v>
      </c>
      <c r="C122" s="410">
        <f>IF(spelt&gt;0,($R$120*((Data!$B$228*spelt)/$N$111))/spelt,0)</f>
        <v>40</v>
      </c>
      <c r="D122" s="34" t="s">
        <v>117</v>
      </c>
      <c r="E122" s="46">
        <f t="shared" ref="E122:E127" si="35">C122*spelt</f>
        <v>4000</v>
      </c>
      <c r="F122" s="167">
        <f t="shared" ref="F122:F126" si="36">diesel_fuel</f>
        <v>2.56</v>
      </c>
      <c r="G122" s="114">
        <f t="shared" ref="G122:G127" si="37">C122*F122</f>
        <v>102.4</v>
      </c>
      <c r="H122" s="110">
        <f t="shared" ref="H122:H127" si="38">B122*G122*spelt</f>
        <v>0</v>
      </c>
      <c r="J122" s="55" t="s">
        <v>948</v>
      </c>
      <c r="K122" s="369">
        <f>B126</f>
        <v>0</v>
      </c>
      <c r="L122" s="114">
        <f>IF(spelt&gt;0,(K122*(R122*diesel_fuel)*((Data!$H$228*spelt)/$T$121))/spelt,0)</f>
        <v>0</v>
      </c>
      <c r="M122" s="22" t="s">
        <v>254</v>
      </c>
      <c r="N122" s="114">
        <f>R122*diesel_fuel</f>
        <v>7.3142857142857149</v>
      </c>
      <c r="O122" s="22" t="s">
        <v>935</v>
      </c>
      <c r="P122" s="816">
        <f>OSI!$I$69</f>
        <v>20</v>
      </c>
      <c r="Q122" s="816">
        <f>OSI!$I$70</f>
        <v>7</v>
      </c>
      <c r="R122" s="46">
        <f t="shared" si="34"/>
        <v>2.8571428571428572</v>
      </c>
    </row>
    <row r="123" spans="1:21" x14ac:dyDescent="0.3">
      <c r="A123" s="666" t="s">
        <v>2025</v>
      </c>
      <c r="B123" s="405">
        <f>IF(Data!$F$229=0,0,1*$Q$125)</f>
        <v>0</v>
      </c>
      <c r="C123" s="593">
        <f>C122*Data!$F$229</f>
        <v>0</v>
      </c>
      <c r="D123" s="48" t="s">
        <v>117</v>
      </c>
      <c r="E123" s="47">
        <f t="shared" si="35"/>
        <v>0</v>
      </c>
      <c r="F123" s="118">
        <f>diesel_fuel</f>
        <v>2.56</v>
      </c>
      <c r="G123" s="465">
        <f t="shared" si="37"/>
        <v>0</v>
      </c>
      <c r="H123" s="123">
        <f t="shared" si="38"/>
        <v>0</v>
      </c>
      <c r="J123" s="55"/>
      <c r="K123" s="114"/>
      <c r="L123" s="114"/>
      <c r="M123" s="22"/>
      <c r="N123" s="114"/>
      <c r="O123" s="22"/>
      <c r="P123" s="22"/>
      <c r="Q123" s="22"/>
      <c r="R123" s="22"/>
      <c r="S123" s="22"/>
      <c r="T123" s="22"/>
      <c r="U123" s="22"/>
    </row>
    <row r="124" spans="1:21" x14ac:dyDescent="0.3">
      <c r="A124" s="638" t="s">
        <v>940</v>
      </c>
      <c r="B124" s="405">
        <f>IF(OSI!$I$82&gt;0,Data!$B$35*Data!$C$35*$Q$126,0)</f>
        <v>0</v>
      </c>
      <c r="C124" s="410">
        <f>IF(spelt&gt;0,($R$121*(Sb!$B$17/Sv!$S$121))/spelt,0)</f>
        <v>0</v>
      </c>
      <c r="D124" s="34" t="s">
        <v>117</v>
      </c>
      <c r="E124" s="46">
        <f t="shared" si="35"/>
        <v>0</v>
      </c>
      <c r="F124" s="167">
        <f t="shared" si="36"/>
        <v>2.56</v>
      </c>
      <c r="G124" s="114">
        <f t="shared" si="37"/>
        <v>0</v>
      </c>
      <c r="H124" s="110">
        <f t="shared" si="38"/>
        <v>0</v>
      </c>
      <c r="M124" s="22"/>
      <c r="N124" s="114"/>
      <c r="O124" s="67" t="s">
        <v>2045</v>
      </c>
      <c r="P124" s="216" t="s">
        <v>932</v>
      </c>
      <c r="Q124" s="216" t="s">
        <v>934</v>
      </c>
      <c r="R124" s="216" t="s">
        <v>76</v>
      </c>
      <c r="S124" s="22"/>
      <c r="T124" s="22"/>
      <c r="U124" s="22"/>
    </row>
    <row r="125" spans="1:21" x14ac:dyDescent="0.3">
      <c r="A125" s="666" t="s">
        <v>2025</v>
      </c>
      <c r="B125" s="405">
        <f>IF(Data!$F$230=0,0,1*$Q$126)</f>
        <v>0</v>
      </c>
      <c r="C125" s="593">
        <f>C124*Data!$F$230</f>
        <v>0</v>
      </c>
      <c r="D125" s="48" t="s">
        <v>117</v>
      </c>
      <c r="E125" s="47">
        <f t="shared" si="35"/>
        <v>0</v>
      </c>
      <c r="F125" s="118">
        <f>diesel_fuel</f>
        <v>2.56</v>
      </c>
      <c r="G125" s="465">
        <f t="shared" si="37"/>
        <v>0</v>
      </c>
      <c r="H125" s="123">
        <f t="shared" si="38"/>
        <v>0</v>
      </c>
      <c r="M125" s="22"/>
      <c r="N125" s="114"/>
      <c r="O125" s="34" t="s">
        <v>762</v>
      </c>
      <c r="P125" s="922">
        <f>OSI!$C$77</f>
        <v>1</v>
      </c>
      <c r="Q125" s="922">
        <f>OSI!$C$78</f>
        <v>0</v>
      </c>
      <c r="R125" s="412">
        <f>SUM(P125:Q125)</f>
        <v>1</v>
      </c>
      <c r="S125" s="22"/>
      <c r="T125" s="22"/>
      <c r="U125" s="22"/>
    </row>
    <row r="126" spans="1:21" x14ac:dyDescent="0.3">
      <c r="A126" s="638" t="s">
        <v>941</v>
      </c>
      <c r="B126" s="405">
        <f>IF(OSI!$I$86&gt;0,Data!$B$35*Data!$D$35*$Q$127,0)</f>
        <v>0</v>
      </c>
      <c r="C126" s="410">
        <f>IF(spelt&gt;0,($R$122*(Sb!$B$19/Sv!$T$121))/spelt,0)</f>
        <v>0</v>
      </c>
      <c r="D126" s="34" t="s">
        <v>117</v>
      </c>
      <c r="E126" s="46">
        <f t="shared" si="35"/>
        <v>0</v>
      </c>
      <c r="F126" s="167">
        <f t="shared" si="36"/>
        <v>2.56</v>
      </c>
      <c r="G126" s="114">
        <f t="shared" si="37"/>
        <v>0</v>
      </c>
      <c r="H126" s="110">
        <f t="shared" si="38"/>
        <v>0</v>
      </c>
      <c r="I126" s="50"/>
      <c r="M126" s="22"/>
      <c r="N126" s="114"/>
      <c r="O126" s="55" t="s">
        <v>943</v>
      </c>
      <c r="P126" s="922">
        <f>OSI!$C$81</f>
        <v>1</v>
      </c>
      <c r="Q126" s="922">
        <f>OSI!$C$82</f>
        <v>0</v>
      </c>
      <c r="R126" s="412">
        <f>SUM(P126:Q126)</f>
        <v>1</v>
      </c>
      <c r="S126" s="22"/>
      <c r="T126" s="22"/>
      <c r="U126" s="22"/>
    </row>
    <row r="127" spans="1:21" x14ac:dyDescent="0.3">
      <c r="A127" s="666" t="s">
        <v>2025</v>
      </c>
      <c r="B127" s="405">
        <f>IF(Data!$F$230=0,0,1*$Q$127)</f>
        <v>0</v>
      </c>
      <c r="C127" s="593">
        <f>C126*Data!$F$230</f>
        <v>0</v>
      </c>
      <c r="D127" s="48" t="s">
        <v>117</v>
      </c>
      <c r="E127" s="47">
        <f t="shared" si="35"/>
        <v>0</v>
      </c>
      <c r="F127" s="118">
        <f>diesel_fuel</f>
        <v>2.56</v>
      </c>
      <c r="G127" s="465">
        <f t="shared" si="37"/>
        <v>0</v>
      </c>
      <c r="H127" s="123">
        <f t="shared" si="38"/>
        <v>0</v>
      </c>
      <c r="I127" s="108">
        <f>SUM(H114:H127)</f>
        <v>28.671999999999997</v>
      </c>
      <c r="M127" s="22"/>
      <c r="N127" s="114"/>
      <c r="O127" s="55" t="s">
        <v>948</v>
      </c>
      <c r="P127" s="922">
        <f>OSI!$C$85</f>
        <v>1</v>
      </c>
      <c r="Q127" s="922">
        <f>OSI!$C$86</f>
        <v>0</v>
      </c>
      <c r="R127" s="412">
        <f>SUM(P127:Q127)</f>
        <v>1</v>
      </c>
      <c r="S127" s="22"/>
      <c r="T127" s="22"/>
      <c r="U127" s="22"/>
    </row>
    <row r="128" spans="1:21" x14ac:dyDescent="0.3">
      <c r="A128" s="3" t="s">
        <v>20</v>
      </c>
      <c r="B128" s="405">
        <f>IF(OSI!$B$46=0,0,1)</f>
        <v>1</v>
      </c>
      <c r="C128" s="46" t="s">
        <v>45</v>
      </c>
      <c r="D128" s="46" t="s">
        <v>45</v>
      </c>
      <c r="E128" s="226" t="s">
        <v>45</v>
      </c>
      <c r="F128" s="68" t="s">
        <v>45</v>
      </c>
      <c r="G128" s="114">
        <f>IF(FARM!$C$21=0,0,H128/spelt)</f>
        <v>1.610378877983776</v>
      </c>
      <c r="H128" s="104">
        <f>B128*lube*SUM(H77:H127)</f>
        <v>161.0378877983776</v>
      </c>
      <c r="I128" s="108">
        <f>SUM(H128:H128)</f>
        <v>161.0378877983776</v>
      </c>
      <c r="K128" s="55"/>
      <c r="L128" s="81"/>
      <c r="M128" s="81"/>
    </row>
    <row r="129" spans="1:13" x14ac:dyDescent="0.3">
      <c r="A129" s="3" t="s">
        <v>491</v>
      </c>
      <c r="B129" s="644">
        <v>1</v>
      </c>
      <c r="C129" s="46" t="s">
        <v>45</v>
      </c>
      <c r="D129" s="46" t="s">
        <v>45</v>
      </c>
      <c r="E129" s="226" t="s">
        <v>45</v>
      </c>
      <c r="F129" s="68" t="s">
        <v>45</v>
      </c>
      <c r="G129" s="114">
        <f>IF(FARM!$C$21=0,0,H129/spelt)</f>
        <v>72.737209198926479</v>
      </c>
      <c r="H129" s="109">
        <f>B129*Sf!J121*Data!D18</f>
        <v>7273.7209198926485</v>
      </c>
      <c r="L129" s="27"/>
      <c r="M129" s="27"/>
    </row>
    <row r="130" spans="1:13" x14ac:dyDescent="0.3">
      <c r="A130" s="3"/>
      <c r="B130" s="397">
        <v>0</v>
      </c>
      <c r="C130" s="46" t="s">
        <v>45</v>
      </c>
      <c r="D130" s="46" t="s">
        <v>45</v>
      </c>
      <c r="E130" s="226" t="s">
        <v>45</v>
      </c>
      <c r="F130" s="68" t="s">
        <v>45</v>
      </c>
      <c r="G130" s="272">
        <f>0</f>
        <v>0</v>
      </c>
      <c r="H130" s="109">
        <f>B130*G130*spelt</f>
        <v>0</v>
      </c>
      <c r="I130" s="108">
        <f>SUM(H129:H130)</f>
        <v>7273.7209198926485</v>
      </c>
      <c r="L130" s="81"/>
      <c r="M130" s="81"/>
    </row>
    <row r="131" spans="1:13" x14ac:dyDescent="0.3">
      <c r="A131" s="3" t="s">
        <v>170</v>
      </c>
      <c r="B131" s="405">
        <f>IF(OSI!$I$52=0,0,1)</f>
        <v>0</v>
      </c>
      <c r="C131" s="46" t="s">
        <v>45</v>
      </c>
      <c r="D131" s="46" t="s">
        <v>45</v>
      </c>
      <c r="E131" s="226" t="s">
        <v>45</v>
      </c>
      <c r="F131" s="68" t="s">
        <v>45</v>
      </c>
      <c r="G131" s="114">
        <f>IF(FARM!$C$21=0,0,OSI!$I$52/spelt)</f>
        <v>0</v>
      </c>
      <c r="H131" s="109">
        <f>B131*G131*spelt</f>
        <v>0</v>
      </c>
      <c r="I131" s="108">
        <f>SUM(H131:H131)</f>
        <v>0</v>
      </c>
      <c r="K131" s="55"/>
      <c r="L131" s="81"/>
      <c r="M131" s="81"/>
    </row>
    <row r="132" spans="1:13" x14ac:dyDescent="0.3">
      <c r="A132" s="3" t="s">
        <v>75</v>
      </c>
      <c r="B132" s="405">
        <f>IF(OSI!$I$53=0,0,1)</f>
        <v>1</v>
      </c>
      <c r="C132" s="46" t="s">
        <v>45</v>
      </c>
      <c r="D132" s="46" t="s">
        <v>45</v>
      </c>
      <c r="E132" s="226" t="s">
        <v>45</v>
      </c>
      <c r="F132" s="114">
        <f>G132</f>
        <v>3</v>
      </c>
      <c r="G132" s="114">
        <f>IF(FARM!$C$21=0,0,OSI!$I$53/spelt)</f>
        <v>3</v>
      </c>
      <c r="H132" s="109">
        <f>B132*G132*spelt</f>
        <v>300</v>
      </c>
      <c r="K132" s="55"/>
    </row>
    <row r="133" spans="1:13" x14ac:dyDescent="0.3">
      <c r="A133" s="3"/>
      <c r="B133" s="397">
        <v>0</v>
      </c>
      <c r="C133" s="46" t="s">
        <v>45</v>
      </c>
      <c r="D133" s="34" t="s">
        <v>45</v>
      </c>
      <c r="E133" s="34" t="s">
        <v>45</v>
      </c>
      <c r="F133" s="55" t="s">
        <v>45</v>
      </c>
      <c r="G133" s="272">
        <f>0</f>
        <v>0</v>
      </c>
      <c r="H133" s="109">
        <f>B133*G133*spelt</f>
        <v>0</v>
      </c>
      <c r="I133" s="108">
        <f>SUM(H132:H133)</f>
        <v>300</v>
      </c>
      <c r="L133" s="24"/>
      <c r="M133" s="24"/>
    </row>
    <row r="134" spans="1:13" x14ac:dyDescent="0.3">
      <c r="A134" s="69" t="s">
        <v>173</v>
      </c>
      <c r="B134" s="69"/>
      <c r="C134" s="46"/>
      <c r="D134" s="34"/>
      <c r="E134" s="226"/>
      <c r="F134" s="114"/>
      <c r="G134" s="114"/>
      <c r="H134" s="109"/>
    </row>
    <row r="135" spans="1:13" x14ac:dyDescent="0.3">
      <c r="A135" s="856" t="s">
        <v>1504</v>
      </c>
      <c r="B135" s="405">
        <f>IF(Data!$F$75=0,0,1)</f>
        <v>1</v>
      </c>
      <c r="C135" s="46" t="s">
        <v>45</v>
      </c>
      <c r="D135" s="46" t="s">
        <v>45</v>
      </c>
      <c r="E135" s="226" t="s">
        <v>45</v>
      </c>
      <c r="F135" s="68" t="s">
        <v>45</v>
      </c>
      <c r="G135" s="676">
        <f>Data!$F$75</f>
        <v>1.5</v>
      </c>
      <c r="H135" s="109">
        <f>B135*G135*spelt</f>
        <v>150</v>
      </c>
      <c r="I135" s="108">
        <f>SUM(H135:H135)</f>
        <v>150</v>
      </c>
    </row>
    <row r="136" spans="1:13" x14ac:dyDescent="0.3">
      <c r="A136" s="856" t="s">
        <v>1510</v>
      </c>
      <c r="E136" s="17"/>
    </row>
    <row r="137" spans="1:13" x14ac:dyDescent="0.3">
      <c r="A137" s="638" t="s">
        <v>1507</v>
      </c>
      <c r="B137" s="816">
        <f>IF(OSI!$C$63&gt;0,1,0)</f>
        <v>1</v>
      </c>
      <c r="C137" s="817">
        <f>IF(OSI!$C$63&gt;0,OSI!$C$63,Data!$G$108)</f>
        <v>4</v>
      </c>
      <c r="D137" s="34" t="s">
        <v>1496</v>
      </c>
      <c r="E137" s="34">
        <f>B137*C137</f>
        <v>4</v>
      </c>
      <c r="F137" s="676">
        <f>IF(OSI!$C$63&gt;0,OSI!$C$64,Data!$I$108)</f>
        <v>250</v>
      </c>
      <c r="G137" s="114">
        <f>(C137*F137)/crops</f>
        <v>2.5</v>
      </c>
      <c r="H137" s="109">
        <f>B137*G137*spelt</f>
        <v>250</v>
      </c>
    </row>
    <row r="138" spans="1:13" x14ac:dyDescent="0.3">
      <c r="A138" s="638" t="s">
        <v>1509</v>
      </c>
      <c r="B138" s="816">
        <f>IF(OSI!$D$63&gt;0,1,0)</f>
        <v>1</v>
      </c>
      <c r="C138" s="366">
        <f>IF(OSI!$D$63&gt;0,OSI!$D$63,Data!$G$109)</f>
        <v>1000</v>
      </c>
      <c r="D138" s="34" t="s">
        <v>1508</v>
      </c>
      <c r="E138" s="226">
        <f>B138*C138</f>
        <v>1000</v>
      </c>
      <c r="F138" s="367">
        <f>IF(OSI!$D$63&gt;0,OSI!$D$64,Data!$I$109)</f>
        <v>2.5</v>
      </c>
      <c r="G138" s="114">
        <f>(C138*F138)/crops</f>
        <v>6.25</v>
      </c>
      <c r="H138" s="109">
        <f>B138*G138*spelt</f>
        <v>625</v>
      </c>
      <c r="I138" s="108">
        <f>SUM(H136:H138)</f>
        <v>875</v>
      </c>
    </row>
    <row r="139" spans="1:13" x14ac:dyDescent="0.3">
      <c r="A139" s="856" t="s">
        <v>1499</v>
      </c>
      <c r="B139" s="405"/>
      <c r="C139" s="46"/>
      <c r="D139" s="34"/>
      <c r="E139" s="34"/>
      <c r="F139" s="55"/>
      <c r="G139" s="138"/>
      <c r="H139" s="110"/>
    </row>
    <row r="140" spans="1:13" x14ac:dyDescent="0.3">
      <c r="A140" s="638" t="s">
        <v>1511</v>
      </c>
      <c r="B140" s="816">
        <f>IF(OSI!$G$62&gt;0,1,0)</f>
        <v>1</v>
      </c>
      <c r="C140" s="816">
        <f>IF(OSI!$G$62&gt;0,OSI!$G$62,Data!$G$111)</f>
        <v>12</v>
      </c>
      <c r="D140" s="34" t="s">
        <v>1502</v>
      </c>
      <c r="E140" s="34">
        <f>B140*C140</f>
        <v>12</v>
      </c>
      <c r="F140" s="676">
        <f>IF(OSI!$G$62&gt;0,OSI!$G$63,Data!$I$111)</f>
        <v>75</v>
      </c>
      <c r="G140" s="114">
        <f>(C140*F140)/crops</f>
        <v>2.25</v>
      </c>
      <c r="H140" s="109">
        <f>B140*G140*spelt</f>
        <v>225</v>
      </c>
    </row>
    <row r="141" spans="1:13" x14ac:dyDescent="0.3">
      <c r="A141" s="638" t="s">
        <v>1500</v>
      </c>
      <c r="B141" s="816">
        <f>IF(OSI!$I$62&gt;0,1,0)</f>
        <v>1</v>
      </c>
      <c r="C141" s="816">
        <f>IF(OSI!$I$62&gt;0,OSI!$I$62,Data!$G$112)</f>
        <v>12</v>
      </c>
      <c r="D141" s="34" t="s">
        <v>1502</v>
      </c>
      <c r="E141" s="34">
        <f>B141*C141</f>
        <v>12</v>
      </c>
      <c r="F141" s="676">
        <f>IF(OSI!$I$62&gt;0,OSI!$I$63,Data!$I$112)</f>
        <v>75</v>
      </c>
      <c r="G141" s="114">
        <f>(C141*F141)/crops</f>
        <v>2.25</v>
      </c>
      <c r="H141" s="109">
        <f>B141*G141*spelt</f>
        <v>225</v>
      </c>
      <c r="I141" s="108">
        <f>SUM(H139:H141)</f>
        <v>450</v>
      </c>
    </row>
    <row r="142" spans="1:13" x14ac:dyDescent="0.3">
      <c r="A142" s="856" t="s">
        <v>1503</v>
      </c>
      <c r="B142" s="677">
        <f>limeapp</f>
        <v>0.2</v>
      </c>
      <c r="C142" s="46" t="s">
        <v>45</v>
      </c>
      <c r="D142" s="46" t="s">
        <v>45</v>
      </c>
      <c r="E142" s="226" t="s">
        <v>45</v>
      </c>
      <c r="F142" s="110">
        <f>Data!$E$97</f>
        <v>75</v>
      </c>
      <c r="G142" s="114">
        <f>B142*F142</f>
        <v>15</v>
      </c>
      <c r="H142" s="109">
        <f>G142*spelt</f>
        <v>1500</v>
      </c>
      <c r="I142" s="108">
        <f>SUM(H142:H142)</f>
        <v>1500</v>
      </c>
    </row>
    <row r="143" spans="1:13" x14ac:dyDescent="0.3">
      <c r="A143" s="70" t="s">
        <v>177</v>
      </c>
      <c r="B143" s="70"/>
      <c r="G143" s="114"/>
      <c r="H143" s="110"/>
    </row>
    <row r="144" spans="1:13" x14ac:dyDescent="0.3">
      <c r="A144" s="22" t="s">
        <v>174</v>
      </c>
      <c r="B144" s="816">
        <f>IF(Data!$E$57&gt;0,1,0)</f>
        <v>1</v>
      </c>
      <c r="C144" s="34" t="s">
        <v>45</v>
      </c>
      <c r="D144" s="34" t="s">
        <v>81</v>
      </c>
      <c r="E144" s="226" t="s">
        <v>45</v>
      </c>
      <c r="F144" s="110">
        <f>Data!D61</f>
        <v>50</v>
      </c>
      <c r="G144" s="114">
        <f>IF(spelt&gt;0,H144/spelt,0)</f>
        <v>12.5</v>
      </c>
      <c r="H144" s="110">
        <f>B144*F144*spelt*Data!E57*Data!D18</f>
        <v>1250</v>
      </c>
    </row>
    <row r="145" spans="1:18" x14ac:dyDescent="0.3">
      <c r="A145" s="22" t="s">
        <v>224</v>
      </c>
      <c r="B145" s="1305">
        <f>IF(Data!$F$65&gt;0,1,0)</f>
        <v>0</v>
      </c>
      <c r="C145" s="34" t="s">
        <v>45</v>
      </c>
      <c r="D145" s="34" t="s">
        <v>225</v>
      </c>
      <c r="E145" s="226" t="s">
        <v>45</v>
      </c>
      <c r="F145" s="55" t="s">
        <v>45</v>
      </c>
      <c r="G145" s="1306">
        <f>Data!$F$65</f>
        <v>0</v>
      </c>
      <c r="H145" s="110">
        <f>B145*G145*spelt</f>
        <v>0</v>
      </c>
      <c r="I145" s="108">
        <f>SUM(H143:H145)</f>
        <v>1250</v>
      </c>
    </row>
    <row r="146" spans="1:18" x14ac:dyDescent="0.3">
      <c r="A146" s="665" t="s">
        <v>179</v>
      </c>
      <c r="I146" s="50"/>
      <c r="J146" s="27"/>
      <c r="K146" s="1293" t="s">
        <v>2104</v>
      </c>
      <c r="L146" s="1293" t="s">
        <v>236</v>
      </c>
      <c r="M146" s="1293" t="s">
        <v>393</v>
      </c>
      <c r="N146" s="114"/>
      <c r="O146" s="55"/>
      <c r="P146" s="55"/>
      <c r="Q146" s="55"/>
      <c r="R146" s="412"/>
    </row>
    <row r="147" spans="1:18" x14ac:dyDescent="0.3">
      <c r="A147" s="639" t="s">
        <v>957</v>
      </c>
      <c r="B147" s="405">
        <f>IF(OS!$U$21="Dry",1,0)</f>
        <v>1</v>
      </c>
      <c r="C147" s="34" t="s">
        <v>45</v>
      </c>
      <c r="D147" s="75" t="s">
        <v>45</v>
      </c>
      <c r="E147" s="226" t="s">
        <v>45</v>
      </c>
      <c r="F147" s="55" t="s">
        <v>45</v>
      </c>
      <c r="G147" s="367">
        <f>Data!$I$72*Data!B229</f>
        <v>22.479045114694269</v>
      </c>
      <c r="H147" s="110">
        <f>B147*G147*spelt</f>
        <v>2247.9045114694268</v>
      </c>
      <c r="I147" s="50"/>
      <c r="K147" s="114">
        <f>Data!$I$72</f>
        <v>0.53521535987367308</v>
      </c>
      <c r="L147" s="24">
        <f>Data!B229</f>
        <v>42</v>
      </c>
      <c r="M147" s="98">
        <f>K147*L147</f>
        <v>22.479045114694269</v>
      </c>
      <c r="N147" s="216"/>
      <c r="O147" s="216"/>
    </row>
    <row r="148" spans="1:18" x14ac:dyDescent="0.3">
      <c r="A148" s="666" t="s">
        <v>1022</v>
      </c>
      <c r="B148" s="405">
        <f>B147</f>
        <v>1</v>
      </c>
      <c r="C148" s="47" t="s">
        <v>45</v>
      </c>
      <c r="D148" s="47" t="s">
        <v>45</v>
      </c>
      <c r="E148" s="647" t="s">
        <v>45</v>
      </c>
      <c r="F148" s="590" t="s">
        <v>45</v>
      </c>
      <c r="G148" s="465">
        <f>Data!$I$72*(Data!B228-Data!B229)</f>
        <v>0</v>
      </c>
      <c r="H148" s="123">
        <f>B148*G148*spelt</f>
        <v>0</v>
      </c>
      <c r="I148" s="108">
        <f>SUM(H146:H148)</f>
        <v>2247.9045114694268</v>
      </c>
    </row>
    <row r="149" spans="1:18" x14ac:dyDescent="0.3">
      <c r="A149" s="22" t="s">
        <v>952</v>
      </c>
      <c r="B149" s="110"/>
      <c r="C149" s="110"/>
      <c r="D149" s="110"/>
      <c r="E149" s="598"/>
      <c r="F149" s="110"/>
      <c r="G149" s="110"/>
      <c r="H149" s="110"/>
      <c r="K149" s="415" t="s">
        <v>1075</v>
      </c>
      <c r="L149" s="114"/>
    </row>
    <row r="150" spans="1:18" x14ac:dyDescent="0.3">
      <c r="A150" s="411" t="s">
        <v>953</v>
      </c>
      <c r="B150" s="405">
        <f>IF(Sf!$B$76=1,1,0)</f>
        <v>0</v>
      </c>
      <c r="C150" s="46" t="s">
        <v>45</v>
      </c>
      <c r="D150" s="34" t="s">
        <v>956</v>
      </c>
      <c r="E150" s="226" t="s">
        <v>45</v>
      </c>
      <c r="F150" s="1290">
        <f>Straw!$J$33</f>
        <v>5.42372881355932</v>
      </c>
      <c r="G150" s="414">
        <f>B150*F150*Data!$E$228</f>
        <v>0</v>
      </c>
      <c r="H150" s="110">
        <f>B150*G150*spelt*Data!$C$35*K150*Data!B35</f>
        <v>0</v>
      </c>
      <c r="J150" s="55" t="s">
        <v>1076</v>
      </c>
      <c r="K150" s="1291">
        <f>Straw!$J$31</f>
        <v>0</v>
      </c>
      <c r="L150" s="114"/>
    </row>
    <row r="151" spans="1:18" x14ac:dyDescent="0.3">
      <c r="A151" s="9" t="s">
        <v>1022</v>
      </c>
      <c r="B151" s="405">
        <f>B150</f>
        <v>0</v>
      </c>
      <c r="C151" s="47" t="s">
        <v>45</v>
      </c>
      <c r="D151" s="47" t="s">
        <v>45</v>
      </c>
      <c r="E151" s="647" t="s">
        <v>45</v>
      </c>
      <c r="F151" s="465">
        <f>F150</f>
        <v>5.42372881355932</v>
      </c>
      <c r="G151" s="465">
        <f>B151*F151*Data!$E$228*Data!$F$229</f>
        <v>0</v>
      </c>
      <c r="H151" s="123">
        <f>B151*G151*spelt*Data!$C$35*$K$150*Data!B35</f>
        <v>0</v>
      </c>
      <c r="J151" s="55" t="s">
        <v>1040</v>
      </c>
      <c r="K151" s="1292">
        <f>Straw!$J$32</f>
        <v>1</v>
      </c>
      <c r="L151" s="114"/>
    </row>
    <row r="152" spans="1:18" x14ac:dyDescent="0.3">
      <c r="A152" s="411" t="s">
        <v>954</v>
      </c>
      <c r="B152" s="405">
        <f>IF(Sf!$B$76=1,1,0)</f>
        <v>0</v>
      </c>
      <c r="C152" s="46" t="s">
        <v>45</v>
      </c>
      <c r="D152" s="34" t="s">
        <v>956</v>
      </c>
      <c r="E152" s="226" t="s">
        <v>45</v>
      </c>
      <c r="F152" s="1290">
        <f>Straw!$J$34</f>
        <v>0.86</v>
      </c>
      <c r="G152" s="414">
        <f>B152*F152*Data!$E$228</f>
        <v>0</v>
      </c>
      <c r="H152" s="110">
        <f>B152*G152*spelt*Data!$C$35*K151*Data!B35</f>
        <v>0</v>
      </c>
      <c r="K152" s="587">
        <f>SUM(K150:K151)</f>
        <v>1</v>
      </c>
      <c r="L152" s="114"/>
    </row>
    <row r="153" spans="1:18" x14ac:dyDescent="0.3">
      <c r="A153" s="9" t="s">
        <v>1022</v>
      </c>
      <c r="B153" s="405">
        <f>B152</f>
        <v>0</v>
      </c>
      <c r="C153" s="47" t="s">
        <v>45</v>
      </c>
      <c r="D153" s="47" t="s">
        <v>45</v>
      </c>
      <c r="E153" s="647" t="s">
        <v>45</v>
      </c>
      <c r="F153" s="465">
        <f>F152</f>
        <v>0.86</v>
      </c>
      <c r="G153" s="465">
        <f>B153*F153*Data!$E$228*Data!$F$229</f>
        <v>0</v>
      </c>
      <c r="H153" s="123">
        <f>B153*G153*spelt*Data!$C$35*$K$151*Data!B35</f>
        <v>0</v>
      </c>
    </row>
    <row r="154" spans="1:18" x14ac:dyDescent="0.3">
      <c r="A154" s="411" t="s">
        <v>955</v>
      </c>
      <c r="B154" s="405">
        <f>IF(Sf!$B$77=1,1,0)</f>
        <v>0</v>
      </c>
      <c r="C154" s="46" t="s">
        <v>45</v>
      </c>
      <c r="D154" s="34" t="s">
        <v>956</v>
      </c>
      <c r="E154" s="226" t="s">
        <v>45</v>
      </c>
      <c r="F154" s="1290">
        <f>Straw!$J$35</f>
        <v>7.0000000000000007E-2</v>
      </c>
      <c r="G154" s="414">
        <f>B154*F154*Data!$H$228</f>
        <v>0</v>
      </c>
      <c r="H154" s="110">
        <f>B154*G154*spelt*Data!$C$35*Data!B35</f>
        <v>0</v>
      </c>
    </row>
    <row r="155" spans="1:18" x14ac:dyDescent="0.3">
      <c r="A155" s="9" t="s">
        <v>1022</v>
      </c>
      <c r="B155" s="405">
        <f>B154</f>
        <v>0</v>
      </c>
      <c r="C155" s="47" t="s">
        <v>45</v>
      </c>
      <c r="D155" s="47" t="s">
        <v>45</v>
      </c>
      <c r="E155" s="647" t="s">
        <v>45</v>
      </c>
      <c r="F155" s="465">
        <f>F154</f>
        <v>7.0000000000000007E-2</v>
      </c>
      <c r="G155" s="465">
        <f>B155*F155*Data!$H$228*Data!$F$229</f>
        <v>0</v>
      </c>
      <c r="H155" s="123">
        <f>B155*G155*spelt*Data!$D$35*Data!B35</f>
        <v>0</v>
      </c>
      <c r="I155" s="108">
        <f>SUM(H147:H155)</f>
        <v>2247.9045114694268</v>
      </c>
    </row>
    <row r="156" spans="1:18" x14ac:dyDescent="0.3">
      <c r="A156" s="665" t="s">
        <v>2075</v>
      </c>
      <c r="E156" s="17"/>
    </row>
    <row r="157" spans="1:18" x14ac:dyDescent="0.3">
      <c r="A157" s="639" t="s">
        <v>2026</v>
      </c>
      <c r="B157" s="405">
        <f>IF(OSI!$I$92&gt;0,OSI!$I$92,0)</f>
        <v>0</v>
      </c>
      <c r="C157" s="643">
        <v>1</v>
      </c>
      <c r="D157" s="34" t="s">
        <v>1517</v>
      </c>
      <c r="E157" s="34">
        <f>B157*C157</f>
        <v>0</v>
      </c>
      <c r="F157" s="676">
        <f>OSI!$I$92</f>
        <v>0</v>
      </c>
      <c r="G157" s="114">
        <f>(C157*F157)/crops</f>
        <v>0</v>
      </c>
      <c r="H157" s="110">
        <f>B157*G157*spelt</f>
        <v>0</v>
      </c>
    </row>
    <row r="158" spans="1:18" x14ac:dyDescent="0.3">
      <c r="A158" s="639" t="s">
        <v>2027</v>
      </c>
      <c r="B158" s="405">
        <f>IF(OSI!$I$94&gt;0,OSI!$I$94,0)</f>
        <v>0</v>
      </c>
      <c r="C158" s="405">
        <f>OSI!$I$94</f>
        <v>0</v>
      </c>
      <c r="D158" s="34" t="s">
        <v>2028</v>
      </c>
      <c r="E158" s="34">
        <f>B158*C158</f>
        <v>0</v>
      </c>
      <c r="F158" s="367">
        <f>OSI!$I$95</f>
        <v>0</v>
      </c>
      <c r="G158" s="114">
        <f>(C158*F158)/crops</f>
        <v>0</v>
      </c>
      <c r="H158" s="110">
        <f>B158*G158*spelt</f>
        <v>0</v>
      </c>
      <c r="I158" s="108">
        <f>SUM(H156:H158)</f>
        <v>0</v>
      </c>
    </row>
    <row r="159" spans="1:18" x14ac:dyDescent="0.3">
      <c r="A159" s="856" t="s">
        <v>1518</v>
      </c>
      <c r="B159" s="644"/>
      <c r="C159" s="47"/>
      <c r="D159" s="48"/>
      <c r="E159" s="48"/>
      <c r="F159" s="118"/>
      <c r="G159" s="465"/>
      <c r="H159" s="124"/>
      <c r="I159" s="110"/>
    </row>
    <row r="160" spans="1:18" x14ac:dyDescent="0.3">
      <c r="A160" s="638" t="s">
        <v>1519</v>
      </c>
      <c r="B160" s="816">
        <f>IF(Data!$P$108&gt;0,1,0)</f>
        <v>1</v>
      </c>
      <c r="C160" s="862">
        <f>Data!$Q$108</f>
        <v>0.1</v>
      </c>
      <c r="D160" s="34" t="s">
        <v>128</v>
      </c>
      <c r="E160" s="228">
        <f>C160*spelt</f>
        <v>10</v>
      </c>
      <c r="F160" s="167">
        <f t="shared" ref="F160:F163" si="39">_wage_</f>
        <v>12.29</v>
      </c>
      <c r="G160" s="114">
        <f t="shared" ref="G160:G165" si="40">C160*F160</f>
        <v>1.2290000000000001</v>
      </c>
      <c r="H160" s="110">
        <f>B160*G160*spelt</f>
        <v>122.9</v>
      </c>
      <c r="I160" s="110"/>
    </row>
    <row r="161" spans="1:9" x14ac:dyDescent="0.3">
      <c r="A161" s="638" t="s">
        <v>1520</v>
      </c>
      <c r="B161" s="816">
        <f>IF(Data!$P$109&gt;0,1,0)</f>
        <v>1</v>
      </c>
      <c r="C161" s="862">
        <f>Data!$Q$109</f>
        <v>0.02</v>
      </c>
      <c r="D161" s="34" t="s">
        <v>128</v>
      </c>
      <c r="E161" s="228">
        <f>C161*spelt</f>
        <v>2</v>
      </c>
      <c r="F161" s="167">
        <f t="shared" si="39"/>
        <v>12.29</v>
      </c>
      <c r="G161" s="114">
        <f t="shared" si="40"/>
        <v>0.24579999999999999</v>
      </c>
      <c r="H161" s="110">
        <f>B161*G161*spelt</f>
        <v>24.58</v>
      </c>
      <c r="I161" s="110"/>
    </row>
    <row r="162" spans="1:9" x14ac:dyDescent="0.3">
      <c r="A162" s="638" t="s">
        <v>1521</v>
      </c>
      <c r="B162" s="816">
        <f>IF(Data!$P$110&gt;0,1,0)</f>
        <v>1</v>
      </c>
      <c r="C162" s="862">
        <f>Data!$Q$110</f>
        <v>0.45500000000000002</v>
      </c>
      <c r="D162" s="34" t="s">
        <v>128</v>
      </c>
      <c r="E162" s="228">
        <f>C162*spelt</f>
        <v>45.5</v>
      </c>
      <c r="F162" s="167">
        <f t="shared" si="39"/>
        <v>12.29</v>
      </c>
      <c r="G162" s="114">
        <f t="shared" si="40"/>
        <v>5.5919499999999998</v>
      </c>
      <c r="H162" s="110">
        <f>B162*G162*spelt</f>
        <v>559.19499999999994</v>
      </c>
      <c r="I162" s="110"/>
    </row>
    <row r="163" spans="1:9" x14ac:dyDescent="0.3">
      <c r="A163" s="638" t="s">
        <v>1522</v>
      </c>
      <c r="B163" s="816">
        <f>IF(Data!$P$111&gt;0,1,0)</f>
        <v>1</v>
      </c>
      <c r="C163" s="862">
        <f>Data!$Q$111</f>
        <v>0.32500000000000001</v>
      </c>
      <c r="D163" s="34" t="s">
        <v>128</v>
      </c>
      <c r="E163" s="228">
        <f>C163*spelt</f>
        <v>32.5</v>
      </c>
      <c r="F163" s="167">
        <f t="shared" si="39"/>
        <v>12.29</v>
      </c>
      <c r="G163" s="114">
        <f t="shared" si="40"/>
        <v>3.9942500000000001</v>
      </c>
      <c r="H163" s="110">
        <f>B163*G163*spelt</f>
        <v>399.42500000000001</v>
      </c>
      <c r="I163" s="110">
        <f>SUM(H159:H163)</f>
        <v>1106.0999999999999</v>
      </c>
    </row>
    <row r="164" spans="1:9" x14ac:dyDescent="0.3">
      <c r="A164" s="856" t="s">
        <v>1528</v>
      </c>
      <c r="B164" s="644"/>
      <c r="C164" s="862"/>
      <c r="D164" s="34"/>
      <c r="E164" s="228"/>
      <c r="F164" s="167"/>
      <c r="G164" s="114"/>
      <c r="H164" s="110"/>
      <c r="I164" s="110"/>
    </row>
    <row r="165" spans="1:9" x14ac:dyDescent="0.3">
      <c r="A165" s="638" t="s">
        <v>1530</v>
      </c>
      <c r="B165" s="816">
        <f>IF(Data!$P$113&gt;0,1,0)</f>
        <v>0</v>
      </c>
      <c r="C165" s="226">
        <f>Data!$Q$113</f>
        <v>0</v>
      </c>
      <c r="D165" s="34" t="s">
        <v>128</v>
      </c>
      <c r="E165" s="226">
        <f>C165*spelt</f>
        <v>0</v>
      </c>
      <c r="F165" s="167">
        <f>Data!$S$271</f>
        <v>45</v>
      </c>
      <c r="G165" s="110">
        <f t="shared" si="40"/>
        <v>0</v>
      </c>
      <c r="H165" s="110">
        <f t="shared" ref="H165:H171" si="41">B165*G165*spelt</f>
        <v>0</v>
      </c>
      <c r="I165" s="110">
        <f>SUM(H164:H165)</f>
        <v>0</v>
      </c>
    </row>
    <row r="166" spans="1:9" x14ac:dyDescent="0.3">
      <c r="A166" s="856" t="s">
        <v>1512</v>
      </c>
      <c r="B166" s="816">
        <f>Data!$G$113</f>
        <v>1</v>
      </c>
      <c r="C166" s="46" t="s">
        <v>45</v>
      </c>
      <c r="D166" s="46" t="s">
        <v>1517</v>
      </c>
      <c r="E166" s="46" t="s">
        <v>45</v>
      </c>
      <c r="F166" s="676">
        <f>Data!$I$113</f>
        <v>200</v>
      </c>
      <c r="G166" s="114">
        <f>F166/crops</f>
        <v>0.5</v>
      </c>
      <c r="H166" s="110">
        <f t="shared" si="41"/>
        <v>50</v>
      </c>
      <c r="I166" s="110"/>
    </row>
    <row r="167" spans="1:9" x14ac:dyDescent="0.3">
      <c r="A167" s="856" t="s">
        <v>1513</v>
      </c>
      <c r="B167" s="816">
        <f>Data!$G$114</f>
        <v>1</v>
      </c>
      <c r="C167" s="46" t="s">
        <v>45</v>
      </c>
      <c r="D167" s="46" t="s">
        <v>1517</v>
      </c>
      <c r="E167" s="46" t="s">
        <v>45</v>
      </c>
      <c r="F167" s="676">
        <f>Data!$I$114</f>
        <v>500</v>
      </c>
      <c r="G167" s="114">
        <f>F167/crops</f>
        <v>1.25</v>
      </c>
      <c r="H167" s="110">
        <f t="shared" si="41"/>
        <v>125</v>
      </c>
      <c r="I167" s="110"/>
    </row>
    <row r="168" spans="1:9" x14ac:dyDescent="0.3">
      <c r="A168" s="856" t="s">
        <v>1514</v>
      </c>
      <c r="B168" s="816">
        <f>Data!$G$115</f>
        <v>1</v>
      </c>
      <c r="C168" s="46" t="s">
        <v>45</v>
      </c>
      <c r="D168" s="46" t="s">
        <v>1517</v>
      </c>
      <c r="E168" s="46" t="s">
        <v>45</v>
      </c>
      <c r="F168" s="676">
        <f>Data!$I$115</f>
        <v>250</v>
      </c>
      <c r="G168" s="114">
        <f>F168/crops</f>
        <v>0.625</v>
      </c>
      <c r="H168" s="110">
        <f t="shared" si="41"/>
        <v>62.5</v>
      </c>
      <c r="I168" s="110">
        <f>SUM(H166:H168)</f>
        <v>237.5</v>
      </c>
    </row>
    <row r="169" spans="1:9" x14ac:dyDescent="0.3">
      <c r="A169" s="70" t="s">
        <v>180</v>
      </c>
      <c r="B169" s="405">
        <f>IF(othexp&gt;0,1,0)</f>
        <v>0</v>
      </c>
      <c r="C169" s="34" t="s">
        <v>45</v>
      </c>
      <c r="D169" s="34" t="s">
        <v>45</v>
      </c>
      <c r="E169" s="226" t="s">
        <v>45</v>
      </c>
      <c r="F169" s="68" t="s">
        <v>45</v>
      </c>
      <c r="G169" s="114">
        <f>othexp</f>
        <v>0</v>
      </c>
      <c r="H169" s="110">
        <f t="shared" si="41"/>
        <v>0</v>
      </c>
    </row>
    <row r="170" spans="1:9" x14ac:dyDescent="0.3">
      <c r="A170" s="22" t="s">
        <v>181</v>
      </c>
      <c r="B170" s="397">
        <v>0</v>
      </c>
      <c r="C170" s="34" t="s">
        <v>45</v>
      </c>
      <c r="D170" s="34" t="s">
        <v>45</v>
      </c>
      <c r="E170" s="226" t="s">
        <v>45</v>
      </c>
      <c r="F170" s="68" t="s">
        <v>45</v>
      </c>
      <c r="G170" s="272">
        <f>0</f>
        <v>0</v>
      </c>
      <c r="H170" s="110">
        <f t="shared" si="41"/>
        <v>0</v>
      </c>
      <c r="I170" s="108">
        <f>SUM(H169:H170)</f>
        <v>0</v>
      </c>
    </row>
    <row r="171" spans="1:9" x14ac:dyDescent="0.3">
      <c r="A171" s="3" t="s">
        <v>226</v>
      </c>
      <c r="B171" s="397">
        <v>0</v>
      </c>
      <c r="C171" s="34" t="s">
        <v>45</v>
      </c>
      <c r="D171" s="34" t="s">
        <v>45</v>
      </c>
      <c r="E171" s="226" t="s">
        <v>45</v>
      </c>
      <c r="F171" s="68" t="s">
        <v>45</v>
      </c>
      <c r="G171" s="272">
        <v>0</v>
      </c>
      <c r="H171" s="110">
        <f t="shared" si="41"/>
        <v>0</v>
      </c>
    </row>
    <row r="172" spans="1:9" x14ac:dyDescent="0.3">
      <c r="A172" s="3" t="s">
        <v>73</v>
      </c>
      <c r="B172" s="3"/>
      <c r="F172" s="114"/>
      <c r="G172" s="119">
        <f>SUM(G8:G171)</f>
        <v>1089.3107916033553</v>
      </c>
      <c r="H172" s="111">
        <f>SUM(H8:H171)</f>
        <v>40328.308854748713</v>
      </c>
    </row>
    <row r="173" spans="1:9" x14ac:dyDescent="0.3">
      <c r="F173" s="114"/>
      <c r="G173" s="114"/>
      <c r="H173" s="109"/>
    </row>
    <row r="174" spans="1:9" ht="39" x14ac:dyDescent="0.3">
      <c r="A174" s="3" t="s">
        <v>69</v>
      </c>
      <c r="B174" s="3"/>
      <c r="C174" s="25" t="s">
        <v>70</v>
      </c>
      <c r="D174" s="25" t="s">
        <v>71</v>
      </c>
      <c r="E174" s="648"/>
      <c r="F174" s="114"/>
      <c r="G174" s="120" t="s">
        <v>1292</v>
      </c>
      <c r="H174" s="126" t="s">
        <v>72</v>
      </c>
    </row>
    <row r="175" spans="1:9" x14ac:dyDescent="0.3">
      <c r="A175" s="3"/>
      <c r="B175" s="3"/>
      <c r="C175" s="35">
        <f>_int_oper_</f>
        <v>4.7341710603787002E-2</v>
      </c>
      <c r="D175" s="34">
        <f>Data!$B$48</f>
        <v>7</v>
      </c>
      <c r="E175" s="226"/>
      <c r="F175" s="114"/>
      <c r="G175" s="104">
        <f>IF(spelt&gt;0,H175/spelt,0)</f>
        <v>11.137064907159651</v>
      </c>
      <c r="H175" s="109">
        <f>C175*(D175/12)*(H172)</f>
        <v>1113.7064907159652</v>
      </c>
    </row>
    <row r="176" spans="1:9" x14ac:dyDescent="0.3">
      <c r="F176" s="114"/>
      <c r="G176" s="103"/>
      <c r="H176" s="127"/>
    </row>
    <row r="177" spans="1:8" ht="14" thickBot="1" x14ac:dyDescent="0.4">
      <c r="A177" s="1" t="s">
        <v>74</v>
      </c>
      <c r="B177" s="1"/>
      <c r="F177" s="114"/>
      <c r="G177" s="121">
        <f>G172+G175</f>
        <v>1100.4478565105148</v>
      </c>
      <c r="H177" s="128">
        <f>H172+H175</f>
        <v>41442.015345464679</v>
      </c>
    </row>
    <row r="178" spans="1:8" ht="13.5" thickTop="1" x14ac:dyDescent="0.3">
      <c r="F178" s="34"/>
      <c r="G178" s="34"/>
      <c r="H178" s="49"/>
    </row>
    <row r="179" spans="1:8" x14ac:dyDescent="0.3">
      <c r="F179" s="34"/>
      <c r="G179" s="34"/>
      <c r="H179" s="49"/>
    </row>
    <row r="180" spans="1:8" x14ac:dyDescent="0.3">
      <c r="F180" s="34"/>
      <c r="G180" s="34"/>
      <c r="H180" s="49"/>
    </row>
    <row r="181" spans="1:8" x14ac:dyDescent="0.3">
      <c r="F181" s="34"/>
      <c r="G181" s="34"/>
      <c r="H181" s="49"/>
    </row>
    <row r="182" spans="1:8" x14ac:dyDescent="0.3">
      <c r="F182" s="34"/>
      <c r="G182" s="34"/>
      <c r="H182" s="49"/>
    </row>
    <row r="183" spans="1:8" x14ac:dyDescent="0.3">
      <c r="F183" s="34"/>
      <c r="G183" s="34"/>
      <c r="H183" s="49"/>
    </row>
    <row r="184" spans="1:8" x14ac:dyDescent="0.3">
      <c r="F184" s="34"/>
      <c r="G184" s="34"/>
      <c r="H184" s="49"/>
    </row>
    <row r="185" spans="1:8" x14ac:dyDescent="0.3">
      <c r="F185" s="34"/>
      <c r="G185" s="34"/>
      <c r="H185" s="49"/>
    </row>
    <row r="186" spans="1:8" x14ac:dyDescent="0.3">
      <c r="F186" s="34"/>
      <c r="G186" s="34"/>
      <c r="H186" s="49"/>
    </row>
    <row r="187" spans="1:8" x14ac:dyDescent="0.3">
      <c r="F187" s="34"/>
      <c r="G187" s="34"/>
      <c r="H187" s="34"/>
    </row>
    <row r="188" spans="1:8" x14ac:dyDescent="0.3">
      <c r="F188" s="34"/>
      <c r="G188" s="34"/>
      <c r="H188" s="34"/>
    </row>
    <row r="189" spans="1:8" x14ac:dyDescent="0.3">
      <c r="F189" s="34"/>
      <c r="G189" s="34"/>
      <c r="H189" s="34"/>
    </row>
    <row r="190" spans="1:8" x14ac:dyDescent="0.3">
      <c r="F190" s="34"/>
      <c r="G190" s="34"/>
      <c r="H190" s="34"/>
    </row>
    <row r="191" spans="1:8" x14ac:dyDescent="0.3">
      <c r="F191" s="34"/>
      <c r="G191" s="34"/>
      <c r="H191" s="34"/>
    </row>
    <row r="192" spans="1: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c r="G637" s="34"/>
      <c r="H637" s="34"/>
    </row>
    <row r="638" spans="6:8" x14ac:dyDescent="0.3">
      <c r="F638" s="34"/>
      <c r="G638" s="34"/>
      <c r="H638" s="34"/>
    </row>
    <row r="639" spans="6:8" x14ac:dyDescent="0.3">
      <c r="F639" s="34"/>
      <c r="G639" s="34"/>
      <c r="H639" s="34"/>
    </row>
    <row r="640" spans="6:8" x14ac:dyDescent="0.3">
      <c r="F640" s="34"/>
      <c r="G640" s="34"/>
      <c r="H640" s="34"/>
    </row>
    <row r="641" spans="6:8" x14ac:dyDescent="0.3">
      <c r="F641" s="34"/>
      <c r="G641" s="34"/>
      <c r="H641" s="34"/>
    </row>
    <row r="642" spans="6:8" x14ac:dyDescent="0.3">
      <c r="F642" s="34"/>
      <c r="G642" s="34"/>
      <c r="H642" s="34"/>
    </row>
    <row r="643" spans="6:8" x14ac:dyDescent="0.3">
      <c r="F643" s="34"/>
      <c r="G643" s="34"/>
      <c r="H643" s="34"/>
    </row>
    <row r="644" spans="6:8" x14ac:dyDescent="0.3">
      <c r="F644" s="34"/>
      <c r="G644" s="34"/>
      <c r="H644" s="34"/>
    </row>
    <row r="645" spans="6:8" x14ac:dyDescent="0.3">
      <c r="F645" s="34"/>
      <c r="G645" s="34"/>
      <c r="H645" s="34"/>
    </row>
    <row r="646" spans="6:8" x14ac:dyDescent="0.3">
      <c r="F646" s="34"/>
      <c r="G646" s="34"/>
      <c r="H646" s="34"/>
    </row>
    <row r="647" spans="6:8" x14ac:dyDescent="0.3">
      <c r="F647" s="34"/>
      <c r="G647" s="34"/>
      <c r="H647" s="34"/>
    </row>
    <row r="648" spans="6:8" x14ac:dyDescent="0.3">
      <c r="F648" s="34"/>
      <c r="G648" s="34"/>
      <c r="H648" s="34"/>
    </row>
    <row r="649" spans="6:8" x14ac:dyDescent="0.3">
      <c r="F649" s="34"/>
      <c r="G649" s="34"/>
      <c r="H649" s="34"/>
    </row>
    <row r="650" spans="6:8" x14ac:dyDescent="0.3">
      <c r="F650" s="34"/>
      <c r="G650" s="34"/>
      <c r="H650" s="34"/>
    </row>
    <row r="651" spans="6:8" x14ac:dyDescent="0.3">
      <c r="F651" s="34"/>
      <c r="G651" s="34"/>
      <c r="H651" s="34"/>
    </row>
    <row r="652" spans="6:8" x14ac:dyDescent="0.3">
      <c r="F652" s="34"/>
      <c r="G652" s="34"/>
      <c r="H652" s="34"/>
    </row>
    <row r="653" spans="6:8" x14ac:dyDescent="0.3">
      <c r="F653" s="34"/>
      <c r="G653" s="34"/>
      <c r="H653" s="34"/>
    </row>
    <row r="654" spans="6:8" x14ac:dyDescent="0.3">
      <c r="F654" s="34"/>
      <c r="G654" s="34"/>
      <c r="H654" s="34"/>
    </row>
    <row r="655" spans="6:8" x14ac:dyDescent="0.3">
      <c r="F655" s="34"/>
      <c r="G655" s="34"/>
      <c r="H655" s="34"/>
    </row>
    <row r="656" spans="6:8" x14ac:dyDescent="0.3">
      <c r="F656" s="34"/>
      <c r="G656" s="34"/>
      <c r="H656" s="34"/>
    </row>
    <row r="657" spans="6:8" x14ac:dyDescent="0.3">
      <c r="F657" s="34"/>
      <c r="G657" s="34"/>
      <c r="H657" s="34"/>
    </row>
    <row r="658" spans="6:8" x14ac:dyDescent="0.3">
      <c r="F658" s="34"/>
      <c r="G658" s="34"/>
      <c r="H658" s="34"/>
    </row>
    <row r="659" spans="6:8" x14ac:dyDescent="0.3">
      <c r="F659" s="34"/>
      <c r="G659" s="34"/>
      <c r="H659" s="34"/>
    </row>
    <row r="660" spans="6:8" x14ac:dyDescent="0.3">
      <c r="F660" s="34"/>
      <c r="G660" s="34"/>
      <c r="H660" s="34"/>
    </row>
    <row r="661" spans="6:8" x14ac:dyDescent="0.3">
      <c r="F661" s="34"/>
      <c r="G661" s="34"/>
      <c r="H661" s="34"/>
    </row>
    <row r="662" spans="6:8" x14ac:dyDescent="0.3">
      <c r="F662" s="34"/>
      <c r="G662" s="34"/>
      <c r="H662" s="34"/>
    </row>
    <row r="663" spans="6:8" x14ac:dyDescent="0.3">
      <c r="F663" s="34"/>
      <c r="G663" s="34"/>
      <c r="H663" s="34"/>
    </row>
    <row r="664" spans="6:8" x14ac:dyDescent="0.3">
      <c r="F664" s="34"/>
      <c r="G664" s="34"/>
      <c r="H664" s="34"/>
    </row>
    <row r="665" spans="6:8" x14ac:dyDescent="0.3">
      <c r="F665" s="34"/>
      <c r="G665" s="34"/>
      <c r="H665" s="34"/>
    </row>
    <row r="666" spans="6:8" x14ac:dyDescent="0.3">
      <c r="F666" s="34"/>
      <c r="G666" s="34"/>
      <c r="H666" s="34"/>
    </row>
    <row r="667" spans="6:8" x14ac:dyDescent="0.3">
      <c r="F667" s="34"/>
      <c r="G667" s="34"/>
      <c r="H667" s="34"/>
    </row>
    <row r="668" spans="6:8" x14ac:dyDescent="0.3">
      <c r="F668" s="34"/>
      <c r="G668" s="34"/>
      <c r="H668" s="34"/>
    </row>
    <row r="669" spans="6:8" x14ac:dyDescent="0.3">
      <c r="F669" s="34"/>
      <c r="G669" s="34"/>
      <c r="H669" s="34"/>
    </row>
    <row r="670" spans="6:8" x14ac:dyDescent="0.3">
      <c r="F670" s="34"/>
      <c r="G670" s="34"/>
      <c r="H670" s="34"/>
    </row>
    <row r="671" spans="6:8" x14ac:dyDescent="0.3">
      <c r="F671" s="34"/>
      <c r="G671" s="34"/>
      <c r="H671" s="34"/>
    </row>
    <row r="672" spans="6:8" x14ac:dyDescent="0.3">
      <c r="F672" s="34"/>
      <c r="G672" s="34"/>
      <c r="H672" s="34"/>
    </row>
    <row r="673" spans="6:8" x14ac:dyDescent="0.3">
      <c r="F673" s="34"/>
      <c r="G673" s="34"/>
      <c r="H673" s="34"/>
    </row>
    <row r="674" spans="6:8" x14ac:dyDescent="0.3">
      <c r="F674" s="34"/>
      <c r="G674" s="34"/>
      <c r="H674" s="34"/>
    </row>
    <row r="675" spans="6:8" x14ac:dyDescent="0.3">
      <c r="F675" s="34"/>
      <c r="G675" s="34"/>
      <c r="H675" s="34"/>
    </row>
    <row r="676" spans="6:8" x14ac:dyDescent="0.3">
      <c r="F676" s="34"/>
      <c r="G676" s="34"/>
      <c r="H676" s="34"/>
    </row>
    <row r="677" spans="6:8" x14ac:dyDescent="0.3">
      <c r="F677" s="34"/>
      <c r="G677" s="34"/>
      <c r="H677" s="34"/>
    </row>
    <row r="678" spans="6:8" x14ac:dyDescent="0.3">
      <c r="F678" s="34"/>
      <c r="G678" s="34"/>
      <c r="H678" s="34"/>
    </row>
    <row r="679" spans="6:8" x14ac:dyDescent="0.3">
      <c r="F679" s="34"/>
      <c r="G679" s="34"/>
      <c r="H679" s="34"/>
    </row>
    <row r="680" spans="6:8" x14ac:dyDescent="0.3">
      <c r="F680" s="34"/>
    </row>
    <row r="681" spans="6:8" x14ac:dyDescent="0.3">
      <c r="F681" s="34"/>
    </row>
    <row r="682" spans="6:8" x14ac:dyDescent="0.3">
      <c r="F682" s="34"/>
    </row>
    <row r="683" spans="6:8" x14ac:dyDescent="0.3">
      <c r="F683" s="34"/>
    </row>
    <row r="684" spans="6:8" x14ac:dyDescent="0.3">
      <c r="F684" s="34"/>
    </row>
    <row r="685" spans="6:8" x14ac:dyDescent="0.3">
      <c r="F685" s="34"/>
    </row>
    <row r="686" spans="6:8" x14ac:dyDescent="0.3">
      <c r="F686" s="34"/>
    </row>
    <row r="687" spans="6:8" x14ac:dyDescent="0.3">
      <c r="F687" s="34"/>
    </row>
    <row r="688" spans="6:8" x14ac:dyDescent="0.3">
      <c r="F688" s="34"/>
    </row>
    <row r="689" spans="6:6" x14ac:dyDescent="0.3">
      <c r="F689" s="34"/>
    </row>
    <row r="690" spans="6:6" x14ac:dyDescent="0.3">
      <c r="F690" s="34"/>
    </row>
    <row r="691" spans="6:6" x14ac:dyDescent="0.3">
      <c r="F691" s="34"/>
    </row>
    <row r="692" spans="6:6" x14ac:dyDescent="0.3">
      <c r="F692" s="34"/>
    </row>
    <row r="693" spans="6:6" x14ac:dyDescent="0.3">
      <c r="F693" s="34"/>
    </row>
    <row r="694" spans="6:6" x14ac:dyDescent="0.3">
      <c r="F694" s="34"/>
    </row>
    <row r="695" spans="6:6" x14ac:dyDescent="0.3">
      <c r="F695" s="34"/>
    </row>
    <row r="696" spans="6:6" x14ac:dyDescent="0.3">
      <c r="F696" s="34"/>
    </row>
    <row r="697" spans="6:6" x14ac:dyDescent="0.3">
      <c r="F697" s="34"/>
    </row>
    <row r="698" spans="6:6" x14ac:dyDescent="0.3">
      <c r="F698" s="34"/>
    </row>
    <row r="699" spans="6:6" x14ac:dyDescent="0.3">
      <c r="F699" s="34"/>
    </row>
    <row r="700" spans="6:6" x14ac:dyDescent="0.3">
      <c r="F700" s="34"/>
    </row>
    <row r="701" spans="6:6" x14ac:dyDescent="0.3">
      <c r="F701" s="34"/>
    </row>
  </sheetData>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8"/>
  <sheetViews>
    <sheetView workbookViewId="0">
      <pane ySplit="6" topLeftCell="A7" activePane="bottomLeft" state="frozen"/>
      <selection pane="bottomLeft" activeCell="D31" sqref="D31"/>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customWidth="1"/>
    <col min="12" max="13" width="9.6328125" style="17" customWidth="1"/>
    <col min="14" max="16384" width="9.08984375" style="17"/>
  </cols>
  <sheetData>
    <row r="1" spans="1:18" x14ac:dyDescent="0.3">
      <c r="A1" s="61" t="s">
        <v>146</v>
      </c>
      <c r="B1" s="17" t="str">
        <f>model</f>
        <v>ME Grain &amp; Pulse</v>
      </c>
    </row>
    <row r="3" spans="1:18" x14ac:dyDescent="0.3">
      <c r="A3" s="16" t="s">
        <v>1197</v>
      </c>
    </row>
    <row r="4" spans="1:18" x14ac:dyDescent="0.3">
      <c r="A4" s="16"/>
    </row>
    <row r="5" spans="1:18" x14ac:dyDescent="0.3">
      <c r="B5" s="8" t="s">
        <v>92</v>
      </c>
      <c r="C5" s="65">
        <f>spelt</f>
        <v>100</v>
      </c>
      <c r="D5" s="4" t="s">
        <v>93</v>
      </c>
      <c r="H5" s="28"/>
    </row>
    <row r="6" spans="1:18"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c r="N6" s="11"/>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Data!D276*Data!$H$18*CP!$H$5</f>
        <v>18404.462111011475</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ht="13.25" customHeight="1" x14ac:dyDescent="0.3">
      <c r="A10" s="664" t="str">
        <f>Data!A277</f>
        <v>Medium tractor (105 hp) - SMALL SIZE</v>
      </c>
      <c r="B10" s="33">
        <f>Data!B277</f>
        <v>0</v>
      </c>
      <c r="C10" s="34" t="str">
        <f>Data!C277</f>
        <v>tractor</v>
      </c>
      <c r="D10" s="109">
        <f>Data!D277*Data!$H$18*CP!$H$5</f>
        <v>33694.32294169793</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Data!D278*Data!$H$18*CP!$H$5</f>
        <v>39923.525502347969</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ht="13.25" customHeight="1" x14ac:dyDescent="0.3">
      <c r="A12" s="664" t="str">
        <f>Data!A279</f>
        <v>Large tractor (160 hp) - SMALL SIZE</v>
      </c>
      <c r="B12" s="33">
        <f>Data!B279</f>
        <v>0</v>
      </c>
      <c r="C12" s="34" t="str">
        <f>Data!C279</f>
        <v>tractor</v>
      </c>
      <c r="D12" s="109">
        <f>Data!D279*Data!$H$18*CP!$H$5</f>
        <v>53514.512907402597</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ht="13.25" customHeight="1" x14ac:dyDescent="0.3">
      <c r="A13" s="664" t="str">
        <f>Data!A280</f>
        <v>Large tractor (200 hp) - SMALL SIZE</v>
      </c>
      <c r="B13" s="33">
        <f>Data!B280</f>
        <v>0</v>
      </c>
      <c r="C13" s="34" t="str">
        <f>Data!C280</f>
        <v>tractor</v>
      </c>
      <c r="D13" s="109">
        <f>Data!D280*Data!$H$18*CP!$H$5</f>
        <v>66539.209170579939</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Data!D282*Data!$H$18</f>
        <v>18404.462111011475</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Data!D283*Data!$H$18</f>
        <v>33694.32294169793</v>
      </c>
      <c r="E15" s="109">
        <f>D15*B15</f>
        <v>33694.32294169793</v>
      </c>
      <c r="F15" s="109">
        <f>IF(CP!K11=0,Data!I283*E15,CP!K11*B15)</f>
        <v>14488.55886493011</v>
      </c>
      <c r="G15" s="60">
        <f>IF(CP!$G$11=0,Data!$F$283,CP!$G$11)</f>
        <v>40</v>
      </c>
      <c r="H15" s="109">
        <f>(E15*(_int_inv_m*(1+_int_inv_m)^G15)/((1+_int_inv_m)^G15-1))-(F15*_int_inv_m/((1+_int_inv_m)^G15-1))</f>
        <v>938.48385710436207</v>
      </c>
      <c r="I15" s="36">
        <f>IF(CP!I11=0,Data!H283*Data!$J$271,CP!I11/CP!E11)</f>
        <v>1.35E-2</v>
      </c>
      <c r="J15" s="109">
        <f>E15*I15</f>
        <v>454.87335971292208</v>
      </c>
      <c r="K15" s="36">
        <f t="shared" si="1"/>
        <v>6.7999999999999996E-3</v>
      </c>
      <c r="L15" s="109">
        <f>E15*K15</f>
        <v>229.12139600354593</v>
      </c>
      <c r="M15" s="109">
        <f>H15+J15+L15</f>
        <v>1622.47861282083</v>
      </c>
      <c r="N15" s="34"/>
      <c r="O15" s="34"/>
      <c r="P15" s="34"/>
      <c r="Q15" s="34"/>
      <c r="R15" s="34"/>
    </row>
    <row r="16" spans="1:18" x14ac:dyDescent="0.3">
      <c r="A16" s="664" t="str">
        <f>Data!A284</f>
        <v>Medium/Large tractor (130 hp) - MEDIUM SIZE</v>
      </c>
      <c r="B16" s="33">
        <f>Data!B284</f>
        <v>0</v>
      </c>
      <c r="C16" s="34" t="str">
        <f>Data!C284</f>
        <v>tractor</v>
      </c>
      <c r="D16" s="109">
        <f>Data!D284*Data!$H$18</f>
        <v>39923.525502347969</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Data!D285*Data!$H$18</f>
        <v>53514.512907402597</v>
      </c>
      <c r="E17" s="109">
        <f>D17*B17</f>
        <v>53514.512907402597</v>
      </c>
      <c r="F17" s="109">
        <f>IF(CP!K13=0,Data!I285*E17,CP!K13*B17)</f>
        <v>20335.514904812986</v>
      </c>
      <c r="G17" s="60">
        <f>IF(CP!$G$13=0,Data!$F$285,CP!$G$13)</f>
        <v>30</v>
      </c>
      <c r="H17" s="109">
        <f>(E17*(_int_inv_m*(1+_int_inv_m)^G17)/((1+_int_inv_m)^G17-1))-(F17*_int_inv_m/((1+_int_inv_m)^G17-1))</f>
        <v>1807.05063426371</v>
      </c>
      <c r="I17" s="36">
        <f>IF(CP!I13=0,Data!H285*Data!$J$271,CP!I13/CP!E13)</f>
        <v>1.6666666666666666E-2</v>
      </c>
      <c r="J17" s="109">
        <f>E17*I17</f>
        <v>891.90854845670992</v>
      </c>
      <c r="K17" s="36">
        <f t="shared" si="1"/>
        <v>6.7999999999999996E-3</v>
      </c>
      <c r="L17" s="109">
        <f>E17*K17</f>
        <v>363.89868777033763</v>
      </c>
      <c r="M17" s="109">
        <f>H17+J17+L17</f>
        <v>3062.8578704907577</v>
      </c>
      <c r="N17" s="34"/>
      <c r="O17" s="34"/>
      <c r="P17" s="34"/>
      <c r="Q17" s="34"/>
      <c r="R17" s="34"/>
    </row>
    <row r="18" spans="1:23" x14ac:dyDescent="0.3">
      <c r="A18" s="664" t="str">
        <f>Data!A286</f>
        <v>Large tractor (200 hp) - MEDIUM SIZE</v>
      </c>
      <c r="B18" s="33">
        <f>Data!B286</f>
        <v>0</v>
      </c>
      <c r="C18" s="34" t="str">
        <f>Data!C286</f>
        <v>tractor</v>
      </c>
      <c r="D18" s="109">
        <f>Data!D286*Data!$H$18</f>
        <v>66539.209170579939</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Data!D288*Data!$H$18</f>
        <v>18404.462111011475</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Data!D289*Data!$H$18</f>
        <v>33694.32294169793</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Data!D290*Data!$H$18</f>
        <v>39923.525502347969</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Data!D291*Data!$H$18</f>
        <v>53514.512907402597</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Data!D292*Data!$H$18</f>
        <v>66539.209170579939</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664" t="str">
        <f>Data!A297</f>
        <v>Bulk Body Truck(s) - SMALL SIZE</v>
      </c>
      <c r="B26" s="84">
        <f>Data!B297</f>
        <v>0</v>
      </c>
      <c r="C26" s="34" t="str">
        <f>Data!C297</f>
        <v>truck</v>
      </c>
      <c r="D26" s="109">
        <f>Data!D297*Data!$J$18*CP!$H$5</f>
        <v>9938.9165212235675</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23" x14ac:dyDescent="0.3">
      <c r="A27" s="664" t="str">
        <f>Data!A298</f>
        <v>Bulk Body Truck(s) - MEDIUM SIZE</v>
      </c>
      <c r="B27" s="84">
        <f>Data!B298</f>
        <v>3</v>
      </c>
      <c r="C27" s="34" t="str">
        <f>Data!C298</f>
        <v>truck</v>
      </c>
      <c r="D27" s="109">
        <f>Data!D298*Data!$J$18</f>
        <v>9938.9165212235675</v>
      </c>
      <c r="E27" s="109">
        <f t="shared" ref="E27:E32" si="14">D27*B27</f>
        <v>29816.749563670703</v>
      </c>
      <c r="F27" s="109">
        <f>IF(CP!K16=0,Data!I298*E27,CP!K16*B27)</f>
        <v>7752.3548865543826</v>
      </c>
      <c r="G27" s="60">
        <f>IF(CP!$G$16=0,Data!$F$298,CP!$G$16)</f>
        <v>40</v>
      </c>
      <c r="H27" s="109">
        <f>(E27*(_int_inv_m*(1+_int_inv_m)^G27)/((1+_int_inv_m)^G27-1))-(F27*_int_inv_m/((1+_int_inv_m)^G27-1))</f>
        <v>918.10111135542957</v>
      </c>
      <c r="I27" s="675">
        <f>IF(CP!I16=0,Data!H298*Data!$J$271,CP!I16/CP!E16)</f>
        <v>0.02</v>
      </c>
      <c r="J27" s="109">
        <f t="shared" ref="J27:J32" si="15">E27*I27</f>
        <v>596.33499127341406</v>
      </c>
      <c r="K27" s="36">
        <f>_tax_ins_</f>
        <v>6.7999999999999996E-3</v>
      </c>
      <c r="L27" s="109">
        <f t="shared" ref="L27:L32" si="16">E27*K27</f>
        <v>202.75389703296077</v>
      </c>
      <c r="M27" s="109">
        <f t="shared" ref="M27:M32" si="17">H27+J27+L27</f>
        <v>1717.1899996618044</v>
      </c>
      <c r="N27" s="34"/>
      <c r="O27" s="34"/>
      <c r="P27" s="34"/>
      <c r="Q27" s="34"/>
      <c r="R27" s="34"/>
    </row>
    <row r="28" spans="1:23" x14ac:dyDescent="0.3">
      <c r="A28" s="664" t="str">
        <f>Data!A299</f>
        <v>Bulk Body Truck(s) - LARGE SIZE</v>
      </c>
      <c r="B28" s="84">
        <f>Data!B299</f>
        <v>0</v>
      </c>
      <c r="C28" s="34" t="str">
        <f>Data!C299</f>
        <v>truck</v>
      </c>
      <c r="D28" s="109">
        <f>Data!D299*Data!$J$18</f>
        <v>9938.9165212235675</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23" x14ac:dyDescent="0.3">
      <c r="A29" s="664" t="str">
        <f>Data!A300</f>
        <v>Flat Bed Truck(s) - SMALL SIZE</v>
      </c>
      <c r="B29" s="84">
        <f>Data!B300</f>
        <v>0</v>
      </c>
      <c r="C29" s="34" t="str">
        <f>Data!C300</f>
        <v>truck</v>
      </c>
      <c r="D29" s="109">
        <f>Data!D300*Data!$J$18*CP!$H$5</f>
        <v>9938.9165212235675</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Data!D301*Data!$J$18</f>
        <v>9938.9165212235675</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Data!D302*Data!$J$18</f>
        <v>9938.9165212235675</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Data!D303*Data!$J$18</f>
        <v>24067.373529784236</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Data!D310*Data!$P$18*CP!$H$5</f>
        <v>7928.0759862818659</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23" x14ac:dyDescent="0.3">
      <c r="A36" s="664" t="str">
        <f>Data!A311</f>
        <v>Moldboard Plow (9 ft) - MEDIUM SIZE</v>
      </c>
      <c r="B36" s="33">
        <f>Data!B311</f>
        <v>1</v>
      </c>
      <c r="C36" s="34" t="str">
        <f>Data!C311</f>
        <v>moldboard plow</v>
      </c>
      <c r="D36" s="109">
        <f>Data!D311*Data!$P$18</f>
        <v>7928.0759862818659</v>
      </c>
      <c r="E36" s="109">
        <f t="shared" ref="E36:E37" si="20">D36*B36</f>
        <v>7928.0759862818659</v>
      </c>
      <c r="F36" s="109">
        <f>IF(CP!$K$20=0,Data!I311*E36,CP!$K$20*B36)</f>
        <v>2616.2650754730157</v>
      </c>
      <c r="G36" s="60">
        <f>IF(CP!$G$20=0,Data!$F$311,CP!$G$20)</f>
        <v>40</v>
      </c>
      <c r="H36" s="109">
        <f>(E36*(_int_inv_m*(1+_int_inv_m)^G36)/((1+_int_inv_m)^G36-1))-(F36*_int_inv_m/((1+_int_inv_m)^G36-1))</f>
        <v>234.52400535185396</v>
      </c>
      <c r="I36" s="36">
        <f>IF(CP!$I$20=0,Data!H311*Data!$J$271,CP!$I$20/CP!$E$20)</f>
        <v>5.1710357142857148E-2</v>
      </c>
      <c r="J36" s="109">
        <f t="shared" ref="J36:J37" si="21">E36*I36</f>
        <v>409.96364070634473</v>
      </c>
      <c r="K36" s="36">
        <f t="shared" si="19"/>
        <v>6.7999999999999996E-3</v>
      </c>
      <c r="L36" s="109">
        <f t="shared" ref="L36:L37" si="22">E36*K36</f>
        <v>53.910916706716684</v>
      </c>
      <c r="M36" s="109">
        <f t="shared" ref="M36:M37" si="23">H36+J36+L36</f>
        <v>698.39856276491537</v>
      </c>
      <c r="N36" s="34"/>
      <c r="O36" s="34"/>
      <c r="P36" s="34"/>
      <c r="Q36" s="34"/>
      <c r="R36" s="34"/>
    </row>
    <row r="37" spans="1:23" x14ac:dyDescent="0.3">
      <c r="A37" s="664" t="str">
        <f>Data!A312</f>
        <v>Moldboard Plow (12 ft) - LARGE SIZE</v>
      </c>
      <c r="B37" s="33">
        <f>Data!B312</f>
        <v>0</v>
      </c>
      <c r="C37" s="34" t="str">
        <f>Data!C312</f>
        <v>moldboard plow</v>
      </c>
      <c r="D37" s="109">
        <f>Data!D312*Data!$P$18</f>
        <v>11892.113979422798</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23" x14ac:dyDescent="0.3">
      <c r="A38" s="664" t="str">
        <f>Data!A313</f>
        <v>Chisel Plow (15 ft) - SMALL SIZE</v>
      </c>
      <c r="B38" s="33">
        <f>Data!B313</f>
        <v>0</v>
      </c>
      <c r="C38" s="34" t="str">
        <f>Data!C313</f>
        <v>chisel plow</v>
      </c>
      <c r="D38" s="109">
        <f>Data!D313*Data!$P$18*CP!$H$5</f>
        <v>5379.7658478341236</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49" si="24">_tax_ins_</f>
        <v>6.7999999999999996E-3</v>
      </c>
      <c r="L38" s="109">
        <f>E38*K38</f>
        <v>0</v>
      </c>
      <c r="M38" s="109">
        <f>H38+J38+L38</f>
        <v>0</v>
      </c>
      <c r="N38" s="34"/>
      <c r="O38" s="34"/>
      <c r="P38" s="34"/>
      <c r="Q38" s="34"/>
      <c r="R38" s="34"/>
    </row>
    <row r="39" spans="1:23" x14ac:dyDescent="0.3">
      <c r="A39" s="664" t="str">
        <f>Data!A314</f>
        <v>Chisel Plow (15 ft) - MEDIUM SIZE</v>
      </c>
      <c r="B39" s="33">
        <f>Data!B314</f>
        <v>1</v>
      </c>
      <c r="C39" s="34" t="str">
        <f>Data!C314</f>
        <v>chisel plow</v>
      </c>
      <c r="D39" s="109">
        <f>Data!D314*Data!$P$18</f>
        <v>5379.7658478341236</v>
      </c>
      <c r="E39" s="109">
        <f t="shared" ref="E39:E40" si="25">D39*B39</f>
        <v>5379.7658478341236</v>
      </c>
      <c r="F39" s="109">
        <f>IF(CP!$K$22=0,Data!I314*E39,CP!$K$22*B39)</f>
        <v>1775.3227297852609</v>
      </c>
      <c r="G39" s="60">
        <f>IF(CP!$G$22=0,Data!$F$314,CP!$G$22)</f>
        <v>40</v>
      </c>
      <c r="H39" s="109">
        <f>(E39*(_int_inv_m*(1+_int_inv_m)^G39)/((1+_int_inv_m)^G39-1))-(F39*_int_inv_m/((1+_int_inv_m)^G39-1))</f>
        <v>159.14128934590093</v>
      </c>
      <c r="I39" s="36">
        <f>IF(CP!$I$22=0,Data!H314*Data!$J$271,CP!$I$22/CP!$E$22)</f>
        <v>2.433684210526316E-2</v>
      </c>
      <c r="J39" s="109">
        <f t="shared" ref="J39:J40" si="26">E39*I39</f>
        <v>130.92651200202627</v>
      </c>
      <c r="K39" s="36">
        <f t="shared" si="24"/>
        <v>6.7999999999999996E-3</v>
      </c>
      <c r="L39" s="109">
        <f t="shared" ref="L39:L40" si="27">E39*K39</f>
        <v>36.582407765272038</v>
      </c>
      <c r="M39" s="109">
        <f t="shared" ref="M39:M40" si="28">H39+J39+L39</f>
        <v>326.65020911319925</v>
      </c>
      <c r="N39" s="34"/>
      <c r="O39" s="34"/>
      <c r="P39" s="34"/>
      <c r="Q39" s="34"/>
      <c r="R39" s="34"/>
    </row>
    <row r="40" spans="1:23" x14ac:dyDescent="0.3">
      <c r="A40" s="664" t="str">
        <f>Data!A315</f>
        <v>Chisel Plow (23 ft) - LARGE SIZE</v>
      </c>
      <c r="B40" s="33">
        <f>Data!B315</f>
        <v>0</v>
      </c>
      <c r="C40" s="34" t="str">
        <f>Data!C315</f>
        <v>chisel plow</v>
      </c>
      <c r="D40" s="109">
        <f>Data!D315*Data!$P$18</f>
        <v>9910.0949828523317</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23" x14ac:dyDescent="0.3">
      <c r="A41" s="664" t="str">
        <f>Data!A316</f>
        <v>Disk Harrow (12 ft) - SMALL SIZE</v>
      </c>
      <c r="B41" s="33">
        <f>Data!B316</f>
        <v>0</v>
      </c>
      <c r="C41" s="34" t="str">
        <f>Data!C316</f>
        <v>disk harrow</v>
      </c>
      <c r="D41" s="109">
        <f>Data!D316*Data!$P$18*CP!$H$5</f>
        <v>5379.7658478341236</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23" x14ac:dyDescent="0.3">
      <c r="A42" s="664" t="str">
        <f>Data!A317</f>
        <v>Disk Harrow (21 ft) - MEDIUM SIZE</v>
      </c>
      <c r="B42" s="33">
        <f>Data!B317</f>
        <v>1</v>
      </c>
      <c r="C42" s="34" t="str">
        <f>Data!C317</f>
        <v>disk harrow</v>
      </c>
      <c r="D42" s="109">
        <f>Data!D317*Data!$P$18</f>
        <v>11325.822837545522</v>
      </c>
      <c r="E42" s="109">
        <f t="shared" ref="E42:E43" si="29">D42*B42</f>
        <v>11325.822837545522</v>
      </c>
      <c r="F42" s="109">
        <f>IF(CP!K25=0,Data!I317*E42,CP!K25*B42)</f>
        <v>3397.7468512636565</v>
      </c>
      <c r="G42" s="60">
        <f>IF(CP!$G$25=0,Data!$F$317,CP!$G$25)</f>
        <v>40</v>
      </c>
      <c r="H42" s="109">
        <f>(E42*(_int_inv_m*(1+_int_inv_m)^G42)/((1+_int_inv_m)^G42-1))-(F42*_int_inv_m/((1+_int_inv_m)^G42-1))</f>
        <v>340.90755376056626</v>
      </c>
      <c r="I42" s="36">
        <f>IF(CP!I25=0,Data!H317*Data!$J$271,CP!I25/CP!E25)</f>
        <v>3.3605000000000003E-2</v>
      </c>
      <c r="J42" s="109">
        <f t="shared" ref="J42:J43" si="30">E42*I42</f>
        <v>380.6042764557173</v>
      </c>
      <c r="K42" s="36">
        <f t="shared" si="24"/>
        <v>6.7999999999999996E-3</v>
      </c>
      <c r="L42" s="109">
        <f t="shared" ref="L42:L43" si="31">E42*K42</f>
        <v>77.015595295309538</v>
      </c>
      <c r="M42" s="109">
        <f t="shared" ref="M42:M43" si="32">H42+J42+L42</f>
        <v>798.52742551159304</v>
      </c>
    </row>
    <row r="43" spans="1:23" x14ac:dyDescent="0.3">
      <c r="A43" s="664" t="str">
        <f>Data!A318</f>
        <v>Disk Harrow (30 ft) - LARGE SIZE</v>
      </c>
      <c r="B43" s="33">
        <f>Data!B318</f>
        <v>0</v>
      </c>
      <c r="C43" s="34" t="str">
        <f>Data!C318</f>
        <v>disk harrow</v>
      </c>
      <c r="D43" s="109">
        <f>Data!D318*Data!$P$18</f>
        <v>15573.006401625094</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23" ht="13.25" customHeight="1" x14ac:dyDescent="0.3">
      <c r="A44" s="664" t="str">
        <f>Data!A319</f>
        <v>Soil Conditioner/Field Cultivator (18 ft) - SMALL SIZE</v>
      </c>
      <c r="B44" s="33">
        <f>Data!B319</f>
        <v>0</v>
      </c>
      <c r="C44" s="34" t="str">
        <f>Data!C319</f>
        <v>condit.</v>
      </c>
      <c r="D44" s="109">
        <f>Data!D319*Data!$P$18*CP!$H$5</f>
        <v>7361.7848444045894</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23" ht="13.25" customHeight="1" x14ac:dyDescent="0.3">
      <c r="A45" s="664" t="str">
        <f>Data!A320</f>
        <v>Soil Conditioner/Field Cultivator (18 ft) - MEDIUM SIZE</v>
      </c>
      <c r="B45" s="33">
        <f>Data!B320</f>
        <v>1</v>
      </c>
      <c r="C45" s="34" t="str">
        <f>Data!C320</f>
        <v>condit.</v>
      </c>
      <c r="D45" s="109">
        <f>Data!D320*Data!$P$18</f>
        <v>7361.7848444045894</v>
      </c>
      <c r="E45" s="109">
        <f t="shared" ref="E45:E46" si="33">D45*B45</f>
        <v>7361.7848444045894</v>
      </c>
      <c r="F45" s="109">
        <f>IF(CP!$K$27=0,Data!I320*E45,CP!$K$27*B45)</f>
        <v>2208.5354533213767</v>
      </c>
      <c r="G45" s="60">
        <f>IF(CP!$G$27=0,Data!$F$320,CP!$G$27)</f>
        <v>40</v>
      </c>
      <c r="H45" s="109">
        <f>(E45*(_int_inv_m*(1+_int_inv_m)^G45)/((1+_int_inv_m)^G45-1))-(F45*_int_inv_m/((1+_int_inv_m)^G45-1))</f>
        <v>221.58990994436803</v>
      </c>
      <c r="I45" s="36">
        <f>IF(CP!$I$27=0,Data!H320*Data!$J$271,CP!$I$27/CP!$E$27)</f>
        <v>3.245E-2</v>
      </c>
      <c r="J45" s="109">
        <f t="shared" ref="J45:J46" si="34">E45*I45</f>
        <v>238.88991820092892</v>
      </c>
      <c r="K45" s="36">
        <f t="shared" si="24"/>
        <v>6.7999999999999996E-3</v>
      </c>
      <c r="L45" s="109">
        <f t="shared" ref="L45:L46" si="35">E45*K45</f>
        <v>50.060136941951207</v>
      </c>
      <c r="M45" s="109">
        <f t="shared" ref="M45:M46" si="36">H45+J45+L45</f>
        <v>510.53996508724816</v>
      </c>
    </row>
    <row r="46" spans="1:23" ht="13.25" customHeight="1" x14ac:dyDescent="0.3">
      <c r="A46" s="664" t="str">
        <f>Data!A321</f>
        <v>Soil Conditioner/Field Cultivator (18 ft) - LARGE SIZE</v>
      </c>
      <c r="B46" s="33">
        <f>Data!B321</f>
        <v>0</v>
      </c>
      <c r="C46" s="34" t="str">
        <f>Data!C321</f>
        <v>condit.</v>
      </c>
      <c r="D46" s="109">
        <f>Data!D321*Data!$P$18</f>
        <v>7361.7848444045894</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23" ht="13.25" customHeight="1" x14ac:dyDescent="0.3">
      <c r="A47" s="664" t="str">
        <f>Data!A325</f>
        <v>Tine-Harrow (i.e. Lely, 20-30 ft) - SMALL SIZE</v>
      </c>
      <c r="B47" s="33">
        <f>Data!B325</f>
        <v>0</v>
      </c>
      <c r="C47" s="90" t="str">
        <f>Data!C325</f>
        <v>tine-harrow</v>
      </c>
      <c r="D47" s="109">
        <f>Data!D325*Data!$P$18*CP!$H$5</f>
        <v>1415.7278546931902</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24"/>
        <v>6.7999999999999996E-3</v>
      </c>
      <c r="L47" s="109">
        <f>E47*K47</f>
        <v>0</v>
      </c>
      <c r="M47" s="109">
        <f>H47+J47+L47</f>
        <v>0</v>
      </c>
    </row>
    <row r="48" spans="1:23" ht="13.25" customHeight="1" x14ac:dyDescent="0.3">
      <c r="A48" s="664" t="str">
        <f>Data!A326</f>
        <v>Tine-Harrow (i.e. Lely, 20-30 ft) - MEDIUM SIZE</v>
      </c>
      <c r="B48" s="33">
        <f>Data!B326*Sv!K35</f>
        <v>0</v>
      </c>
      <c r="C48" s="90" t="str">
        <f>Data!C326</f>
        <v>tine-harrow</v>
      </c>
      <c r="D48" s="109">
        <f>Data!D326*Data!$P$18</f>
        <v>1415.7278546931902</v>
      </c>
      <c r="E48" s="109">
        <f t="shared" ref="E48:E49" si="37">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8">E48*I48</f>
        <v>0</v>
      </c>
      <c r="K48" s="36">
        <f t="shared" si="24"/>
        <v>6.7999999999999996E-3</v>
      </c>
      <c r="L48" s="109">
        <f t="shared" ref="L48:L49" si="39">E48*K48</f>
        <v>0</v>
      </c>
      <c r="M48" s="109">
        <f t="shared" ref="M48:M49" si="40">H48+J48+L48</f>
        <v>0</v>
      </c>
    </row>
    <row r="49" spans="1:23" ht="13.25" customHeight="1" x14ac:dyDescent="0.3">
      <c r="A49" s="664" t="str">
        <f>Data!A327</f>
        <v>Tine-Harrow (i.e. Lely, 20-30 ft) - LARGE SIZE</v>
      </c>
      <c r="B49" s="33">
        <f>Data!B327</f>
        <v>0</v>
      </c>
      <c r="C49" s="90" t="str">
        <f>Data!C327</f>
        <v>tine-harrow</v>
      </c>
      <c r="D49" s="109">
        <f>Data!D327*Data!$P$18</f>
        <v>1415.7278546931902</v>
      </c>
      <c r="E49" s="109">
        <f t="shared" si="37"/>
        <v>0</v>
      </c>
      <c r="F49" s="109">
        <f>IF(CP!$K$30=0,Data!I327*E49,CP!$K$30*B49)</f>
        <v>0</v>
      </c>
      <c r="G49" s="60">
        <f>IF(CP!$G$30=0,Data!$F$327,CP!$G$30)</f>
        <v>40</v>
      </c>
      <c r="H49" s="109">
        <f>(E49*(_int_inv_l*(1+_int_inv_l)^G49)/((1+_int_inv_l)^G49-1))-(F49*_int_inv_l/((1+_int_inv_l)^G49-1))</f>
        <v>0</v>
      </c>
      <c r="I49" s="675">
        <f>IF(CP!$I$30=0,Data!H327*Data!$J$271,CP!$I$30/CP!$E$30)</f>
        <v>0.02</v>
      </c>
      <c r="J49" s="109">
        <f t="shared" si="38"/>
        <v>0</v>
      </c>
      <c r="K49" s="36">
        <f t="shared" si="24"/>
        <v>6.7999999999999996E-3</v>
      </c>
      <c r="L49" s="109">
        <f t="shared" si="39"/>
        <v>0</v>
      </c>
      <c r="M49" s="109">
        <f t="shared" si="40"/>
        <v>0</v>
      </c>
    </row>
    <row r="50" spans="1:23" ht="12.6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 t="str">
        <f>Data!A334</f>
        <v xml:space="preserve">Fertilizer Spreader </v>
      </c>
      <c r="B52" s="33">
        <f>Data!B334</f>
        <v>0</v>
      </c>
      <c r="C52" s="34" t="str">
        <f>Data!C334</f>
        <v>fert.spread</v>
      </c>
      <c r="D52" s="109">
        <f>Data!D334*Data!$N$18</f>
        <v>912.71349676107911</v>
      </c>
      <c r="E52" s="109">
        <f>D52*B52</f>
        <v>0</v>
      </c>
      <c r="F52" s="109">
        <f>Data!I334*E52</f>
        <v>0</v>
      </c>
      <c r="G52" s="60">
        <f>Data!F334</f>
        <v>10</v>
      </c>
      <c r="H52" s="109">
        <f t="shared" ref="H52" si="41">(E52*(_int_inv_*(1+_int_inv_)^G52)/((1+_int_inv_)^G52-1))-(F52*_int_inv_/((1+_int_inv_)^G52-1))</f>
        <v>0</v>
      </c>
      <c r="I52" s="37">
        <f>Data!H334*Data!$J$271</f>
        <v>4.4999999999999998E-2</v>
      </c>
      <c r="J52" s="109">
        <f>E52*I52</f>
        <v>0</v>
      </c>
      <c r="K52" s="36">
        <f t="shared" ref="K52:K61" si="42">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Data!D335*Data!$N$18*CP!$H$5</f>
        <v>1820.13349759377</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2"/>
        <v>6.7999999999999996E-3</v>
      </c>
      <c r="L53" s="109">
        <f>E53*K53</f>
        <v>0</v>
      </c>
      <c r="M53" s="109">
        <f>H53+J53+L53</f>
        <v>0</v>
      </c>
    </row>
    <row r="54" spans="1:23" ht="13.25" customHeight="1" x14ac:dyDescent="0.3">
      <c r="A54" s="664" t="str">
        <f>Data!A336</f>
        <v>Spin Spreader (Chilean nitrate, 50 ft swath) - MEDIUM SIZE</v>
      </c>
      <c r="B54" s="33">
        <f>Data!B336</f>
        <v>1</v>
      </c>
      <c r="C54" s="34" t="str">
        <f>Data!C336</f>
        <v>spin spread</v>
      </c>
      <c r="D54" s="109">
        <f>Data!D336*Data!$N$18</f>
        <v>1820.13349759377</v>
      </c>
      <c r="E54" s="109">
        <f t="shared" ref="E54:E55" si="43">D54*B54</f>
        <v>1820.13349759377</v>
      </c>
      <c r="F54" s="109">
        <f>IF(CP!$K$32=0,Data!I336*E54,CP!$K$32*B54)</f>
        <v>364.02669951875401</v>
      </c>
      <c r="G54" s="60">
        <f>IF(CP!$G$32=0,Data!$F$336,CP!$G$32)</f>
        <v>40</v>
      </c>
      <c r="H54" s="109">
        <f>(E54*(_int_inv_m*(1+_int_inv_m)^G54)/((1+_int_inv_m)^G54-1))-(F54*_int_inv_m/((1+_int_inv_m)^G54-1))</f>
        <v>57.932301630135136</v>
      </c>
      <c r="I54" s="675">
        <f>IF(CP!$I$32=0,Data!H336*Data!$J$271,CP!$I$32/CP!$E$32)</f>
        <v>0.02</v>
      </c>
      <c r="J54" s="109">
        <f t="shared" ref="J54:J55" si="44">E54*I54</f>
        <v>36.402669951875403</v>
      </c>
      <c r="K54" s="36">
        <f t="shared" si="42"/>
        <v>6.7999999999999996E-3</v>
      </c>
      <c r="L54" s="109">
        <f t="shared" ref="L54:L55" si="45">E54*K54</f>
        <v>12.376907783637636</v>
      </c>
      <c r="M54" s="109">
        <f t="shared" ref="M54:M55" si="46">H54+J54+L54</f>
        <v>106.71187936564817</v>
      </c>
    </row>
    <row r="55" spans="1:23" ht="13.25" customHeight="1" x14ac:dyDescent="0.3">
      <c r="A55" s="664" t="str">
        <f>Data!A337</f>
        <v>Spin Spreader (Chilean nitrate, 50 ft swath) - LARGE SIZE</v>
      </c>
      <c r="B55" s="33">
        <f>Data!B337</f>
        <v>0</v>
      </c>
      <c r="C55" s="34" t="str">
        <f>Data!C337</f>
        <v>spin spread</v>
      </c>
      <c r="D55" s="109">
        <f>Data!D337*Data!$N$18</f>
        <v>1820.13349759377</v>
      </c>
      <c r="E55" s="109">
        <f t="shared" si="43"/>
        <v>0</v>
      </c>
      <c r="F55" s="109">
        <f>IF(CP!$K$32=0,Data!I337*E55,CP!$K$32*B55)</f>
        <v>0</v>
      </c>
      <c r="G55" s="60">
        <f>IF(CP!$G$32=0,Data!$F$337,CP!$G$32)</f>
        <v>40</v>
      </c>
      <c r="H55" s="109">
        <f>(E55*(_int_inv_l*(1+_int_inv_l)^G55)/((1+_int_inv_l)^G55-1))-(F55*_int_inv_l/((1+_int_inv_l)^G55-1))</f>
        <v>0</v>
      </c>
      <c r="I55" s="675">
        <f>IF(CP!$I$32=0,Data!H337*Data!$J$271,CP!$I$32/CP!$E$32)</f>
        <v>0.02</v>
      </c>
      <c r="J55" s="109">
        <f t="shared" si="44"/>
        <v>0</v>
      </c>
      <c r="K55" s="36">
        <f t="shared" si="42"/>
        <v>6.7999999999999996E-3</v>
      </c>
      <c r="L55" s="109">
        <f t="shared" si="45"/>
        <v>0</v>
      </c>
      <c r="M55" s="109">
        <f t="shared" si="46"/>
        <v>0</v>
      </c>
    </row>
    <row r="56" spans="1:23" x14ac:dyDescent="0.3">
      <c r="A56" s="664" t="str">
        <f>Data!A338</f>
        <v>Manure Spreader - SMALL SIZE</v>
      </c>
      <c r="B56" s="33">
        <f>Data!B338</f>
        <v>0</v>
      </c>
      <c r="C56" s="34" t="str">
        <f>Data!C338</f>
        <v>man.spread</v>
      </c>
      <c r="D56" s="109">
        <f>Data!D338*Data!$N$18*CP!$H$5</f>
        <v>2817.1253121183304</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2"/>
        <v>6.7999999999999996E-3</v>
      </c>
      <c r="L56" s="109">
        <f>E56*K56</f>
        <v>0</v>
      </c>
      <c r="M56" s="109">
        <f>H56+J56+L56</f>
        <v>0</v>
      </c>
    </row>
    <row r="57" spans="1:23" x14ac:dyDescent="0.3">
      <c r="A57" s="664" t="str">
        <f>Data!A339</f>
        <v>Manure Spreader - MEDIUM SIZE</v>
      </c>
      <c r="B57" s="33">
        <f>Data!B339</f>
        <v>1</v>
      </c>
      <c r="C57" s="34" t="str">
        <f>Data!C339</f>
        <v>man.spread</v>
      </c>
      <c r="D57" s="109">
        <f>Data!D339*Data!$N$18</f>
        <v>2817.1253121183304</v>
      </c>
      <c r="E57" s="109">
        <f t="shared" ref="E57:E58" si="47">D57*B57</f>
        <v>2817.1253121183304</v>
      </c>
      <c r="F57" s="109">
        <f>IF(CP!$K$33=0,Data!I339*E57,CP!$K$33*B57)</f>
        <v>704.2813280295826</v>
      </c>
      <c r="G57" s="60">
        <f>IF(CP!$G$33=0,Data!$F$339,CP!$G$33)</f>
        <v>40</v>
      </c>
      <c r="H57" s="109">
        <f>(E57*(_int_inv_m*(1+_int_inv_m)^G57)/((1+_int_inv_m)^G57-1))-(F57*_int_inv_m/((1+_int_inv_m)^G57-1))</f>
        <v>87.230349370195967</v>
      </c>
      <c r="I57" s="36">
        <f>IF(CP!$I$33=0,Data!H339*Data!$J$271,CP!$I$33/CP!$E$33)</f>
        <v>2.2825263157894699E-2</v>
      </c>
      <c r="J57" s="109">
        <f t="shared" ref="J57:J58" si="48">E57*I57</f>
        <v>64.301626597867127</v>
      </c>
      <c r="K57" s="36">
        <f t="shared" si="42"/>
        <v>6.7999999999999996E-3</v>
      </c>
      <c r="L57" s="109">
        <f t="shared" ref="L57:L58" si="49">E57*K57</f>
        <v>19.156452122404644</v>
      </c>
      <c r="M57" s="109">
        <f t="shared" ref="M57:M58" si="50">H57+J57+L57</f>
        <v>170.68842809046771</v>
      </c>
    </row>
    <row r="58" spans="1:23" x14ac:dyDescent="0.3">
      <c r="A58" s="664" t="str">
        <f>Data!A340</f>
        <v>Manure Spreader - LARGE SIZE</v>
      </c>
      <c r="B58" s="33">
        <f>Data!B340</f>
        <v>0</v>
      </c>
      <c r="C58" s="34" t="str">
        <f>Data!C340</f>
        <v>man.spread</v>
      </c>
      <c r="D58" s="109">
        <f>Data!D340*Data!$N$18</f>
        <v>2817.1253121183304</v>
      </c>
      <c r="E58" s="109">
        <f t="shared" si="47"/>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8"/>
        <v>0</v>
      </c>
      <c r="K58" s="36">
        <f t="shared" si="42"/>
        <v>6.7999999999999996E-3</v>
      </c>
      <c r="L58" s="109">
        <f t="shared" si="49"/>
        <v>0</v>
      </c>
      <c r="M58" s="109">
        <f t="shared" si="50"/>
        <v>0</v>
      </c>
    </row>
    <row r="59" spans="1:23" x14ac:dyDescent="0.3">
      <c r="A59" s="664" t="str">
        <f>Data!A343</f>
        <v>Grain Drill (Presswheel, 16 ft) - SMALL SIZE</v>
      </c>
      <c r="B59" s="33">
        <f>Data!B343</f>
        <v>0</v>
      </c>
      <c r="C59" s="34" t="str">
        <f>Data!C343</f>
        <v>grain drill</v>
      </c>
      <c r="D59" s="109">
        <f>Data!D343*Data!$AR$18*CP!$H$5</f>
        <v>6229.2025606500374</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2"/>
        <v>6.7999999999999996E-3</v>
      </c>
      <c r="L59" s="109">
        <f>E59*K59</f>
        <v>0</v>
      </c>
      <c r="M59" s="109">
        <f>H59+J59+L59</f>
        <v>0</v>
      </c>
      <c r="N59" s="34"/>
      <c r="O59" s="34"/>
      <c r="P59" s="34"/>
      <c r="Q59" s="34"/>
      <c r="R59" s="34"/>
      <c r="S59" s="34"/>
      <c r="T59" s="34"/>
      <c r="U59" s="34"/>
      <c r="V59" s="34"/>
      <c r="W59" s="34"/>
    </row>
    <row r="60" spans="1:23" x14ac:dyDescent="0.3">
      <c r="A60" s="664" t="str">
        <f>Data!A344</f>
        <v>Grain Drill (Presswheel, 25 ft) - MEDIUM SIZE</v>
      </c>
      <c r="B60" s="33">
        <f>Data!B344</f>
        <v>1</v>
      </c>
      <c r="C60" s="34" t="str">
        <f>Data!C344</f>
        <v>grain drill</v>
      </c>
      <c r="D60" s="109">
        <f>Data!D344*Data!$AR$18</f>
        <v>12741.550692238714</v>
      </c>
      <c r="E60" s="109">
        <f t="shared" ref="E60:E61" si="51">D60*B60</f>
        <v>12741.550692238714</v>
      </c>
      <c r="F60" s="109">
        <f>IF(CP!K35=0,Data!I344*E60,CP!K35*B60)</f>
        <v>5096.6202768954863</v>
      </c>
      <c r="G60" s="60">
        <f>IF(CP!$G$35=0,Data!$F$344,CP!$G$35)</f>
        <v>40</v>
      </c>
      <c r="H60" s="109">
        <f>(E60*(_int_inv_m*(1+_int_inv_m)^G60)/((1+_int_inv_m)^G60-1))-(F60*_int_inv_m/((1+_int_inv_m)^G60-1))</f>
        <v>361.49627147773128</v>
      </c>
      <c r="I60" s="36">
        <f>IF(CP!I35=0,Data!H344*Data!$J$271,CP!I35/CP!E35)</f>
        <v>2.3673333333333331E-2</v>
      </c>
      <c r="J60" s="109">
        <f t="shared" ref="J60:J61" si="52">E60*I60</f>
        <v>301.63497672093115</v>
      </c>
      <c r="K60" s="36">
        <f t="shared" si="42"/>
        <v>6.7999999999999996E-3</v>
      </c>
      <c r="L60" s="109">
        <f t="shared" ref="L60:L61" si="53">E60*K60</f>
        <v>86.642544707223252</v>
      </c>
      <c r="M60" s="109">
        <f t="shared" ref="M60:M61" si="54">H60+J60+L60</f>
        <v>749.77379290588567</v>
      </c>
      <c r="N60" s="34"/>
      <c r="O60" s="34"/>
      <c r="P60" s="34"/>
      <c r="Q60" s="34"/>
      <c r="R60" s="34"/>
      <c r="S60" s="34"/>
      <c r="T60" s="34"/>
      <c r="U60" s="34"/>
      <c r="V60" s="34"/>
      <c r="W60" s="34"/>
    </row>
    <row r="61" spans="1:23" x14ac:dyDescent="0.3">
      <c r="A61" s="664" t="str">
        <f>Data!A345</f>
        <v>Grain Drill (Presswheel, 30 ft) - LARGE SIZE</v>
      </c>
      <c r="B61" s="33">
        <f>Data!B345</f>
        <v>0</v>
      </c>
      <c r="C61" s="34" t="str">
        <f>Data!C345</f>
        <v>grain drill</v>
      </c>
      <c r="D61" s="109">
        <f>Data!D345*Data!$AR$18</f>
        <v>16139.297543502369</v>
      </c>
      <c r="E61" s="109">
        <f t="shared" si="51"/>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2"/>
        <v>0</v>
      </c>
      <c r="K61" s="36">
        <f t="shared" si="42"/>
        <v>6.7999999999999996E-3</v>
      </c>
      <c r="L61" s="109">
        <f t="shared" si="53"/>
        <v>0</v>
      </c>
      <c r="M61" s="109">
        <f t="shared" si="54"/>
        <v>0</v>
      </c>
      <c r="N61" s="34"/>
      <c r="O61" s="34"/>
      <c r="P61" s="34"/>
      <c r="Q61" s="34"/>
      <c r="R61" s="34"/>
      <c r="S61" s="34"/>
      <c r="T61" s="34"/>
      <c r="U61" s="34"/>
      <c r="V61" s="34"/>
      <c r="W61" s="34"/>
    </row>
    <row r="62" spans="1:23"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Data!D353*Data!$P$18*CP!$H$5</f>
        <v>5946.0569897113992</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Data!D354*Data!$P$18</f>
        <v>12741.550692238714</v>
      </c>
      <c r="E65" s="109">
        <f t="shared" ref="E65:E66" si="55">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6">E65*I65</f>
        <v>0</v>
      </c>
      <c r="K65" s="36">
        <f>_tax_ins_</f>
        <v>6.7999999999999996E-3</v>
      </c>
      <c r="L65" s="109">
        <f t="shared" ref="L65:L66" si="57">E65*K65</f>
        <v>0</v>
      </c>
      <c r="M65" s="109">
        <f t="shared" ref="M65:M66" si="58">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Data!D355*Data!$P$18</f>
        <v>66256.063599641304</v>
      </c>
      <c r="E66" s="109">
        <f t="shared" si="55"/>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6"/>
        <v>0</v>
      </c>
      <c r="K66" s="36">
        <f>_tax_ins_</f>
        <v>6.7999999999999996E-3</v>
      </c>
      <c r="L66" s="109">
        <f t="shared" si="57"/>
        <v>0</v>
      </c>
      <c r="M66" s="109">
        <f t="shared" si="58"/>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14"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664" t="str">
        <f>Data!A381</f>
        <v>Combine (IHC) - SMALL SIZE</v>
      </c>
      <c r="B69" s="33">
        <f>Data!B381</f>
        <v>0</v>
      </c>
      <c r="C69" s="34" t="str">
        <f>Data!C381</f>
        <v>combine</v>
      </c>
      <c r="D69" s="109">
        <f>Data!D381*Data!$AH$18*CP!$H$5</f>
        <v>40065.098287817287</v>
      </c>
      <c r="E69" s="109">
        <f>D69*B69</f>
        <v>0</v>
      </c>
      <c r="F69" s="109">
        <f>IF(CP!K48=0,Data!I381*E69,CP!K48*B69)</f>
        <v>0</v>
      </c>
      <c r="G69" s="60">
        <f>IF(CP!$G$48=0,Data!$F$381,CP!$G$48)</f>
        <v>50</v>
      </c>
      <c r="H69" s="109">
        <f>(E69*(_int_inv_*(1+_int_inv_)^G69)/((1+_int_inv_)^G69-1))-(F69*_int_inv_/((1+_int_inv_)^G69-1))</f>
        <v>0</v>
      </c>
      <c r="I69" s="37">
        <f>IF(CP!I48=0,Data!H381*Data!$J$271,CP!I48/CP!E48)</f>
        <v>2.8219081272084806E-2</v>
      </c>
      <c r="J69" s="109">
        <f>E69*I69</f>
        <v>0</v>
      </c>
      <c r="K69" s="36">
        <f t="shared" ref="K69:K77" si="59">_tax_ins_</f>
        <v>6.7999999999999996E-3</v>
      </c>
      <c r="L69" s="109">
        <f>E69*K69</f>
        <v>0</v>
      </c>
      <c r="M69" s="109">
        <f>H69+J69+L69</f>
        <v>0</v>
      </c>
      <c r="N69" s="34"/>
      <c r="O69" s="34"/>
      <c r="P69" s="34"/>
      <c r="Q69" s="34"/>
      <c r="R69" s="34"/>
      <c r="S69" s="34"/>
      <c r="T69" s="34"/>
      <c r="U69" s="34"/>
      <c r="V69" s="34"/>
      <c r="W69" s="34"/>
    </row>
    <row r="70" spans="1:23" x14ac:dyDescent="0.3">
      <c r="A70" s="664" t="str">
        <f>Data!A382</f>
        <v>Combine (IHC) - MEDIUM SIZE</v>
      </c>
      <c r="B70" s="33">
        <f>Data!B382</f>
        <v>1</v>
      </c>
      <c r="C70" s="34" t="str">
        <f>Data!C382</f>
        <v>combine</v>
      </c>
      <c r="D70" s="109">
        <f>Data!D382*Data!$AH$18</f>
        <v>60097.647431725927</v>
      </c>
      <c r="E70" s="109">
        <f t="shared" ref="E70:E71" si="60">D70*B70</f>
        <v>60097.647431725927</v>
      </c>
      <c r="F70" s="109">
        <f>IF(CP!K49=0,Data!I382*E70,CP!K49*B70)</f>
        <v>11418.553012027925</v>
      </c>
      <c r="G70" s="60">
        <f>IF(CP!$G$49=0,Data!$F$382,CP!$G$49)</f>
        <v>40</v>
      </c>
      <c r="H70" s="109">
        <f>(E70*(_int_inv_m*(1+_int_inv_m)^G70)/((1+_int_inv_m)^G70-1))-(F70*_int_inv_m/((1+_int_inv_m)^G70-1))</f>
        <v>1923.2123298145805</v>
      </c>
      <c r="I70" s="37">
        <f>IF(CP!I49=0,Data!H382*Data!$J$271,CP!I49/CP!E49)</f>
        <v>2.8219081272084806E-2</v>
      </c>
      <c r="J70" s="109">
        <f t="shared" ref="J70:J71" si="61">E70*I70</f>
        <v>1695.9003971369727</v>
      </c>
      <c r="K70" s="36">
        <f t="shared" si="59"/>
        <v>6.7999999999999996E-3</v>
      </c>
      <c r="L70" s="109">
        <f t="shared" ref="L70:L71" si="62">E70*K70</f>
        <v>408.6640025357363</v>
      </c>
      <c r="M70" s="109">
        <f t="shared" ref="M70:M71" si="63">H70+J70+L70</f>
        <v>4027.7767294872897</v>
      </c>
      <c r="N70" s="34"/>
      <c r="O70" s="34"/>
      <c r="P70" s="34"/>
      <c r="Q70" s="34"/>
      <c r="R70" s="34"/>
      <c r="S70" s="34"/>
      <c r="T70" s="34"/>
      <c r="U70" s="34"/>
      <c r="V70" s="34"/>
      <c r="W70" s="34"/>
    </row>
    <row r="71" spans="1:23" x14ac:dyDescent="0.3">
      <c r="A71" s="664" t="str">
        <f>Data!A383</f>
        <v>Combine (IHC) - LARGE SIZE</v>
      </c>
      <c r="B71" s="33">
        <f>Data!B383</f>
        <v>0</v>
      </c>
      <c r="C71" s="34" t="str">
        <f>Data!C383</f>
        <v>combine</v>
      </c>
      <c r="D71" s="109">
        <f>Data!D383*Data!$AH$18</f>
        <v>80130.196575634574</v>
      </c>
      <c r="E71" s="109">
        <f t="shared" si="60"/>
        <v>0</v>
      </c>
      <c r="F71" s="109">
        <f>IF(CP!K50=0,Data!I383*E71,CP!K50*B71)</f>
        <v>0</v>
      </c>
      <c r="G71" s="60">
        <f>IF(CP!$G$50=0,Data!$F$383,CP!$G$50)</f>
        <v>20</v>
      </c>
      <c r="H71" s="109">
        <f>(E71*(_int_inv_l*(1+_int_inv_l)^G71)/((1+_int_inv_l)^G71-1))-(F71*_int_inv_l/((1+_int_inv_l)^G71-1))</f>
        <v>0</v>
      </c>
      <c r="I71" s="37">
        <f>IF(CP!I50=0,Data!H383*Data!$J$271,CP!I50/CP!E50)</f>
        <v>2.8219081272084806E-2</v>
      </c>
      <c r="J71" s="109">
        <f t="shared" si="61"/>
        <v>0</v>
      </c>
      <c r="K71" s="36">
        <f t="shared" si="59"/>
        <v>6.7999999999999996E-3</v>
      </c>
      <c r="L71" s="109">
        <f t="shared" si="62"/>
        <v>0</v>
      </c>
      <c r="M71" s="109">
        <f t="shared" si="63"/>
        <v>0</v>
      </c>
      <c r="N71" s="34"/>
      <c r="O71" s="34"/>
      <c r="P71" s="34"/>
      <c r="Q71" s="34"/>
      <c r="R71" s="34"/>
      <c r="S71" s="34"/>
      <c r="T71" s="34"/>
      <c r="U71" s="34"/>
      <c r="V71" s="34"/>
      <c r="W71" s="34"/>
    </row>
    <row r="72" spans="1:23" ht="13.25" customHeight="1" x14ac:dyDescent="0.3">
      <c r="A72" s="664" t="str">
        <f>Data!A385</f>
        <v xml:space="preserve">     Combine small grain head (15 ft) - SMALL SIZE</v>
      </c>
      <c r="B72" s="33">
        <f>Data!B385</f>
        <v>0</v>
      </c>
      <c r="C72" s="34" t="str">
        <f>Data!C385</f>
        <v>sm.gr.hd.</v>
      </c>
      <c r="D72" s="109">
        <f>Data!D385*Data!$AJ$18*CP!$H$5</f>
        <v>11739.861059479816</v>
      </c>
      <c r="E72" s="109">
        <f>D72*B72</f>
        <v>0</v>
      </c>
      <c r="F72" s="109">
        <f>IF(CP!K51=0,Data!I385*E72,CP!K51*B72)</f>
        <v>0</v>
      </c>
      <c r="G72" s="60">
        <f>IF(CP!$G$51=0,Data!$F$385,CP!$G$51)</f>
        <v>50</v>
      </c>
      <c r="H72" s="109">
        <f>(E72*(_int_inv_*(1+_int_inv_)^G72)/((1+_int_inv_)^G72-1))-(F72*_int_inv_/((1+_int_inv_)^G72-1))</f>
        <v>0</v>
      </c>
      <c r="I72" s="37">
        <f>IF(CP!I51=0,Data!H385*Data!$J$271,CP!I51/CP!E51)</f>
        <v>2.6278604651162791E-2</v>
      </c>
      <c r="J72" s="109">
        <f>E72*I72</f>
        <v>0</v>
      </c>
      <c r="K72" s="36">
        <f t="shared" si="59"/>
        <v>6.7999999999999996E-3</v>
      </c>
      <c r="L72" s="109">
        <f>E72*K72</f>
        <v>0</v>
      </c>
      <c r="M72" s="109">
        <f>H72+J72+L72</f>
        <v>0</v>
      </c>
      <c r="N72" s="34"/>
      <c r="O72" s="34"/>
      <c r="P72" s="34"/>
      <c r="Q72" s="34"/>
      <c r="R72" s="34"/>
      <c r="S72" s="34"/>
      <c r="T72" s="34"/>
      <c r="U72" s="34"/>
      <c r="V72" s="34"/>
    </row>
    <row r="73" spans="1:23" ht="13.25" customHeight="1" x14ac:dyDescent="0.3">
      <c r="A73" s="664" t="str">
        <f>Data!A386</f>
        <v xml:space="preserve">     Combine small grain head (15 ft) - MEDIUM SIZE</v>
      </c>
      <c r="B73" s="33">
        <f>Data!B386</f>
        <v>1</v>
      </c>
      <c r="C73" s="34" t="str">
        <f>Data!C386</f>
        <v>sm.gr.hd.</v>
      </c>
      <c r="D73" s="109">
        <f>Data!D386*Data!$AJ$18</f>
        <v>15653.148079306422</v>
      </c>
      <c r="E73" s="109">
        <f t="shared" ref="E73:E74" si="64">D73*B73</f>
        <v>15653.148079306422</v>
      </c>
      <c r="F73" s="109">
        <f>IF(CP!K52=0,Data!I386*E73,CP!K52*B73)</f>
        <v>2974.09813506822</v>
      </c>
      <c r="G73" s="60">
        <f>IF(CP!$G$51=0,Data!$F$386,CP!$G$51)</f>
        <v>50</v>
      </c>
      <c r="H73" s="109">
        <f>(E73*(_int_inv_m*(1+_int_inv_m)^G73)/((1+_int_inv_m)^G73-1))-(F73*_int_inv_m/((1+_int_inv_m)^G73-1))</f>
        <v>440.24536251772838</v>
      </c>
      <c r="I73" s="37">
        <f>IF(CP!I52=0,Data!H386*Data!$J$271,CP!I52/CP!E52)</f>
        <v>2.6278604651162791E-2</v>
      </c>
      <c r="J73" s="109">
        <f t="shared" ref="J73:J74" si="65">E73*I73</f>
        <v>411.34288992220166</v>
      </c>
      <c r="K73" s="36">
        <f t="shared" si="59"/>
        <v>6.7999999999999996E-3</v>
      </c>
      <c r="L73" s="109">
        <f t="shared" ref="L73:L74" si="66">E73*K73</f>
        <v>106.44140693928367</v>
      </c>
      <c r="M73" s="109">
        <f t="shared" ref="M73:M74" si="67">H73+J73+L73</f>
        <v>958.02965937921374</v>
      </c>
      <c r="N73" s="34"/>
      <c r="O73" s="34"/>
      <c r="P73" s="34"/>
      <c r="Q73" s="34"/>
      <c r="R73" s="34"/>
      <c r="S73" s="34"/>
      <c r="T73" s="34"/>
      <c r="U73" s="34"/>
      <c r="V73" s="34"/>
    </row>
    <row r="74" spans="1:23" ht="13.25" customHeight="1" x14ac:dyDescent="0.3">
      <c r="A74" s="664" t="str">
        <f>Data!A387</f>
        <v xml:space="preserve">     Combine small grain head (20 ft) - LARGE SIZE</v>
      </c>
      <c r="B74" s="33">
        <f>Data!B387</f>
        <v>0</v>
      </c>
      <c r="C74" s="34" t="str">
        <f>Data!C387</f>
        <v>sm.gr.hd.</v>
      </c>
      <c r="D74" s="109">
        <f>Data!D387*Data!$AJ$18</f>
        <v>20385.495173050225</v>
      </c>
      <c r="E74" s="109">
        <f t="shared" si="64"/>
        <v>0</v>
      </c>
      <c r="F74" s="109">
        <f>IF(CP!K53=0,Data!I387*E74,CP!K53*B74)</f>
        <v>0</v>
      </c>
      <c r="G74" s="60">
        <f>IF(CP!$G$51=0,Data!$F$387,CP!$G$51)</f>
        <v>50</v>
      </c>
      <c r="H74" s="109">
        <f>(E74*(_int_inv_l*(1+_int_inv_l)^G74)/((1+_int_inv_l)^G74-1))-(F74*_int_inv_l/((1+_int_inv_l)^G74-1))</f>
        <v>0</v>
      </c>
      <c r="I74" s="37">
        <f>IF(CP!I53=0,Data!H387*Data!$J$271,CP!I53/CP!E53)</f>
        <v>2.6278604651162791E-2</v>
      </c>
      <c r="J74" s="109">
        <f t="shared" si="65"/>
        <v>0</v>
      </c>
      <c r="K74" s="36">
        <f t="shared" si="59"/>
        <v>6.7999999999999996E-3</v>
      </c>
      <c r="L74" s="109">
        <f t="shared" si="66"/>
        <v>0</v>
      </c>
      <c r="M74" s="109">
        <f t="shared" si="67"/>
        <v>0</v>
      </c>
      <c r="N74" s="34"/>
      <c r="O74" s="34"/>
      <c r="P74" s="34"/>
      <c r="Q74" s="34"/>
      <c r="R74" s="34"/>
      <c r="S74" s="34"/>
      <c r="T74" s="34"/>
      <c r="U74" s="34"/>
      <c r="V74" s="34"/>
    </row>
    <row r="75" spans="1:23" x14ac:dyDescent="0.3">
      <c r="A75" s="19" t="str">
        <f>Data!A378</f>
        <v xml:space="preserve">Raker </v>
      </c>
      <c r="B75" s="163">
        <f>Data!B378*Data!$B$35</f>
        <v>0</v>
      </c>
      <c r="C75" s="34" t="str">
        <f>Data!C378</f>
        <v>raker</v>
      </c>
      <c r="D75" s="109">
        <f>Data!D378*Data!$AF$18</f>
        <v>3377.7726930079675</v>
      </c>
      <c r="E75" s="109">
        <f>D75*B75</f>
        <v>0</v>
      </c>
      <c r="F75" s="109">
        <f>Data!I378*E75</f>
        <v>0</v>
      </c>
      <c r="G75" s="60">
        <f>Data!F378</f>
        <v>50</v>
      </c>
      <c r="H75" s="109">
        <f t="shared" ref="H75:H77" si="68">(E75*(_int_inv_*(1+_int_inv_)^G75)/((1+_int_inv_)^G75-1))-(F75*_int_inv_/((1+_int_inv_)^G75-1))</f>
        <v>0</v>
      </c>
      <c r="I75" s="164">
        <f>Data!H378*Data!$J$271</f>
        <v>4.4999999999999998E-2</v>
      </c>
      <c r="J75" s="109">
        <f>E75*I75</f>
        <v>0</v>
      </c>
      <c r="K75" s="36">
        <f t="shared" si="59"/>
        <v>6.7999999999999996E-3</v>
      </c>
      <c r="L75" s="109">
        <f>E75*K75</f>
        <v>0</v>
      </c>
      <c r="M75" s="109">
        <f>H75+J75+L75</f>
        <v>0</v>
      </c>
    </row>
    <row r="76" spans="1:23" x14ac:dyDescent="0.3">
      <c r="A76" s="19" t="str">
        <f>Data!A379</f>
        <v>Baler (Round)</v>
      </c>
      <c r="B76" s="163">
        <f>Data!B379*Data!$B$35*Data!$C$35</f>
        <v>0</v>
      </c>
      <c r="C76" s="34" t="str">
        <f>Data!C379</f>
        <v>round baler</v>
      </c>
      <c r="D76" s="109">
        <f>Data!D379*Data!$AF$18</f>
        <v>7599.9885592679275</v>
      </c>
      <c r="E76" s="109">
        <f>D76*B76</f>
        <v>0</v>
      </c>
      <c r="F76" s="109">
        <f>Data!I379*E76</f>
        <v>0</v>
      </c>
      <c r="G76" s="60">
        <f>Data!F379</f>
        <v>40</v>
      </c>
      <c r="H76" s="109">
        <f t="shared" si="68"/>
        <v>0</v>
      </c>
      <c r="I76" s="164">
        <f>Data!H379*Data!$J$271</f>
        <v>4.4999999999999998E-2</v>
      </c>
      <c r="J76" s="109">
        <f>E76*I76</f>
        <v>0</v>
      </c>
      <c r="K76" s="36">
        <f t="shared" si="59"/>
        <v>6.7999999999999996E-3</v>
      </c>
      <c r="L76" s="109">
        <f>E76*K76</f>
        <v>0</v>
      </c>
      <c r="M76" s="109">
        <f>H76+J76+L76</f>
        <v>0</v>
      </c>
    </row>
    <row r="77" spans="1:23" x14ac:dyDescent="0.3">
      <c r="A77" s="19" t="str">
        <f>Data!A380</f>
        <v>Baler (Square)</v>
      </c>
      <c r="B77" s="163">
        <f>Data!B380*Data!$B$35*Data!$D$35</f>
        <v>0</v>
      </c>
      <c r="C77" s="34" t="str">
        <f>Data!C380</f>
        <v>square baler</v>
      </c>
      <c r="D77" s="109">
        <f>Data!D380*Data!$AF$18</f>
        <v>7961.8927763759239</v>
      </c>
      <c r="E77" s="109">
        <f>D77*B77</f>
        <v>0</v>
      </c>
      <c r="F77" s="109">
        <f>Data!I380*E77</f>
        <v>0</v>
      </c>
      <c r="G77" s="60">
        <f>Data!F380</f>
        <v>20</v>
      </c>
      <c r="H77" s="109">
        <f t="shared" si="68"/>
        <v>0</v>
      </c>
      <c r="I77" s="164">
        <f>Data!H380*Data!$J$271</f>
        <v>4.4999999999999998E-2</v>
      </c>
      <c r="J77" s="109">
        <f>E77*I77</f>
        <v>0</v>
      </c>
      <c r="K77" s="36">
        <f t="shared" si="59"/>
        <v>6.7999999999999996E-3</v>
      </c>
      <c r="L77" s="109">
        <f>E77*K77</f>
        <v>0</v>
      </c>
      <c r="M77" s="109">
        <f>H77+J77+L77</f>
        <v>0</v>
      </c>
    </row>
    <row r="78" spans="1:23" x14ac:dyDescent="0.3">
      <c r="A78" s="6"/>
      <c r="B78" s="33"/>
      <c r="C78" s="34"/>
      <c r="D78" s="109"/>
      <c r="E78" s="109"/>
      <c r="F78" s="109"/>
      <c r="G78" s="34"/>
      <c r="H78" s="109"/>
      <c r="I78" s="675"/>
      <c r="J78" s="109"/>
      <c r="K78" s="36"/>
      <c r="L78" s="109"/>
      <c r="M78" s="109"/>
      <c r="N78" s="34"/>
      <c r="O78" s="34"/>
      <c r="P78" s="34"/>
      <c r="Q78" s="34"/>
      <c r="R78" s="34"/>
      <c r="S78" s="34"/>
      <c r="T78" s="34"/>
      <c r="U78" s="34"/>
      <c r="V78" s="34"/>
      <c r="W78" s="34"/>
    </row>
    <row r="79" spans="1:23" x14ac:dyDescent="0.3">
      <c r="A79" s="14" t="s">
        <v>357</v>
      </c>
      <c r="B79" s="33"/>
      <c r="C79" s="34"/>
      <c r="D79" s="109"/>
      <c r="E79" s="109"/>
      <c r="F79" s="109"/>
      <c r="G79" s="34"/>
      <c r="H79" s="109"/>
      <c r="I79" s="675"/>
      <c r="J79" s="109"/>
      <c r="K79" s="36"/>
      <c r="L79" s="109"/>
      <c r="M79" s="109"/>
    </row>
    <row r="80" spans="1:23" x14ac:dyDescent="0.3">
      <c r="A80" s="664" t="str">
        <f>Data!A395</f>
        <v>Fuel Tanks - SMALL SIZE</v>
      </c>
      <c r="B80" s="33">
        <f>Data!B395</f>
        <v>0</v>
      </c>
      <c r="C80" s="34" t="str">
        <f>Data!C395</f>
        <v>fuel tank</v>
      </c>
      <c r="D80" s="109">
        <f>Data!D395*Data!$H$18*CP!$H$5</f>
        <v>35.496130432941314</v>
      </c>
      <c r="E80" s="109">
        <f>D80*B80</f>
        <v>0</v>
      </c>
      <c r="F80" s="109">
        <f>IF(CP!K58=0,Data!I395*E80,CP!K58*B80)</f>
        <v>0</v>
      </c>
      <c r="G80" s="60">
        <f>IF(CP!$G$58=0,Data!$F$395,CP!$G$58)</f>
        <v>50</v>
      </c>
      <c r="H80" s="104">
        <f t="shared" ref="H80:H81" si="69">(E80*(_int_inv_*(1+_int_inv_)^G80)/((1+_int_inv_)^G80-1))-(F80*_int_inv_/((1+_int_inv_)^G80-1))</f>
        <v>0</v>
      </c>
      <c r="I80" s="675">
        <f>IF(CP!I58=0,Data!H395*Data!$J$271,CP!I58/CP!E58)</f>
        <v>0.02</v>
      </c>
      <c r="J80" s="104">
        <f>E80*I80</f>
        <v>0</v>
      </c>
      <c r="K80" s="36">
        <f t="shared" ref="K80:K85" si="70">_tax_ins_</f>
        <v>6.7999999999999996E-3</v>
      </c>
      <c r="L80" s="104">
        <f>E80*K80</f>
        <v>0</v>
      </c>
      <c r="M80" s="109">
        <f>H80+J80+L80</f>
        <v>0</v>
      </c>
    </row>
    <row r="81" spans="1:23" x14ac:dyDescent="0.3">
      <c r="A81" s="664" t="str">
        <f>Data!A396</f>
        <v>Shop Tools - SMALL SIZE</v>
      </c>
      <c r="B81" s="33">
        <f>Data!B396</f>
        <v>0</v>
      </c>
      <c r="C81" s="34" t="str">
        <f>Data!C396</f>
        <v>shop tools</v>
      </c>
      <c r="D81" s="109">
        <f>Data!D396*Data!$H$18*CP!$H$5</f>
        <v>354.96130432941311</v>
      </c>
      <c r="E81" s="109">
        <f>D81*B81</f>
        <v>0</v>
      </c>
      <c r="F81" s="109">
        <f>IF(CP!K61=0,Data!I396*E81,CP!K61*B81)</f>
        <v>0</v>
      </c>
      <c r="G81" s="60">
        <f>IF(CP!$G$61=0,Data!$F$396,CP!$G$61)</f>
        <v>50</v>
      </c>
      <c r="H81" s="109">
        <f t="shared" si="69"/>
        <v>0</v>
      </c>
      <c r="I81" s="675">
        <f>IF(CP!I61=0,Data!H396*Data!$J$271,CP!I61/CP!E61)</f>
        <v>0.02</v>
      </c>
      <c r="J81" s="109">
        <f>E81*I81</f>
        <v>0</v>
      </c>
      <c r="K81" s="36">
        <f t="shared" si="70"/>
        <v>6.7999999999999996E-3</v>
      </c>
      <c r="L81" s="104">
        <f>E81*K81</f>
        <v>0</v>
      </c>
      <c r="M81" s="109">
        <f>H81+J81+L81</f>
        <v>0</v>
      </c>
    </row>
    <row r="82" spans="1:23" x14ac:dyDescent="0.3">
      <c r="A82" s="664" t="str">
        <f>Data!A397</f>
        <v>Fuel Tanks - MEDIUM SIZE</v>
      </c>
      <c r="B82" s="33">
        <f>Data!B397</f>
        <v>1</v>
      </c>
      <c r="C82" s="34" t="str">
        <f>Data!C397</f>
        <v>fuel tank</v>
      </c>
      <c r="D82" s="109">
        <f>Data!D397*Data!$H$18</f>
        <v>177.48065216470656</v>
      </c>
      <c r="E82" s="109">
        <f t="shared" ref="E82:E85" si="71">D82*B82</f>
        <v>177.48065216470656</v>
      </c>
      <c r="F82" s="109">
        <f>IF(CP!K59=0,Data!I397*E82,CP!K59*B82)</f>
        <v>62.118228257647289</v>
      </c>
      <c r="G82" s="60">
        <f>IF(CP!$G$59=0,Data!$F$397,CP!$G$59)</f>
        <v>40</v>
      </c>
      <c r="H82" s="109">
        <f>(E82*(_int_inv_m*(1+_int_inv_m)^G82)/((1+_int_inv_m)^G82-1))-(F82*_int_inv_m/((1+_int_inv_m)^G82-1))</f>
        <v>5.1887778046507051</v>
      </c>
      <c r="I82" s="675">
        <f>IF(CP!I59=0,Data!H397*Data!$J$271,CP!I59/CP!E59)</f>
        <v>0.02</v>
      </c>
      <c r="J82" s="104">
        <f t="shared" ref="J82:J85" si="72">E82*I82</f>
        <v>3.5496130432941313</v>
      </c>
      <c r="K82" s="36">
        <f t="shared" si="70"/>
        <v>6.7999999999999996E-3</v>
      </c>
      <c r="L82" s="104">
        <f t="shared" ref="L82:L85" si="73">E82*K82</f>
        <v>1.2068684347200045</v>
      </c>
      <c r="M82" s="109">
        <f t="shared" ref="M82:M85" si="74">H82+J82+L82</f>
        <v>9.9452592826648409</v>
      </c>
    </row>
    <row r="83" spans="1:23" x14ac:dyDescent="0.3">
      <c r="A83" s="664" t="str">
        <f>Data!A398</f>
        <v>Shop Tools - MEDIUM SIZE</v>
      </c>
      <c r="B83" s="33">
        <f>Data!B398</f>
        <v>1</v>
      </c>
      <c r="C83" s="34" t="str">
        <f>Data!C398</f>
        <v>shop tools</v>
      </c>
      <c r="D83" s="109">
        <f>Data!D398*Data!$H$18</f>
        <v>1774.8065216470657</v>
      </c>
      <c r="E83" s="109">
        <f t="shared" si="71"/>
        <v>1774.8065216470657</v>
      </c>
      <c r="F83" s="109">
        <f>IF(CP!K62=0,Data!I398*E83,CP!K62*B83)</f>
        <v>621.18228257647297</v>
      </c>
      <c r="G83" s="60">
        <f>IF(CP!$G$62=0,Data!$F$398,CP!$G$62)</f>
        <v>40</v>
      </c>
      <c r="H83" s="109">
        <f>(E83*(_int_inv_m*(1+_int_inv_m)^G83)/((1+_int_inv_m)^G83-1))-(F83*_int_inv_m/((1+_int_inv_m)^G83-1))</f>
        <v>51.887778046507051</v>
      </c>
      <c r="I83" s="675">
        <f>IF(CP!I62=0,Data!H398*Data!$J$271,CP!I62/CP!E62)</f>
        <v>0.02</v>
      </c>
      <c r="J83" s="109">
        <f t="shared" si="72"/>
        <v>35.496130432941314</v>
      </c>
      <c r="K83" s="36">
        <f t="shared" si="70"/>
        <v>6.7999999999999996E-3</v>
      </c>
      <c r="L83" s="104">
        <f t="shared" si="73"/>
        <v>12.068684347200046</v>
      </c>
      <c r="M83" s="109">
        <f t="shared" si="74"/>
        <v>99.452592826648413</v>
      </c>
    </row>
    <row r="84" spans="1:23" x14ac:dyDescent="0.3">
      <c r="A84" s="664" t="str">
        <f>Data!A399</f>
        <v>Fuel Tanks - LARGE SIZE</v>
      </c>
      <c r="B84" s="33">
        <f>Data!B399</f>
        <v>0</v>
      </c>
      <c r="C84" s="34" t="str">
        <f>Data!C399</f>
        <v>fuel tank</v>
      </c>
      <c r="D84" s="109">
        <f>Data!D399*Data!$H$18</f>
        <v>354.96130432941311</v>
      </c>
      <c r="E84" s="109">
        <f t="shared" si="71"/>
        <v>0</v>
      </c>
      <c r="F84" s="109">
        <f>IF(CP!K60=0,Data!I399*E84,CP!K60*B84)</f>
        <v>0</v>
      </c>
      <c r="G84" s="60">
        <f>IF(CP!$G$60=0,Data!$F$399,CP!$G$60)</f>
        <v>20</v>
      </c>
      <c r="H84" s="109">
        <f>(E84*(_int_inv_l*(1+_int_inv_l)^G84)/((1+_int_inv_l)^G84-1))-(F84*_int_inv_l/((1+_int_inv_l)^G84-1))</f>
        <v>0</v>
      </c>
      <c r="I84" s="675">
        <f>IF(CP!I60=0,Data!H399*Data!$J$271,CP!I60/CP!E60)</f>
        <v>0.02</v>
      </c>
      <c r="J84" s="104">
        <f t="shared" si="72"/>
        <v>0</v>
      </c>
      <c r="K84" s="36">
        <f t="shared" si="70"/>
        <v>6.7999999999999996E-3</v>
      </c>
      <c r="L84" s="104">
        <f t="shared" si="73"/>
        <v>0</v>
      </c>
      <c r="M84" s="109">
        <f t="shared" si="74"/>
        <v>0</v>
      </c>
    </row>
    <row r="85" spans="1:23" x14ac:dyDescent="0.3">
      <c r="A85" s="664" t="str">
        <f>Data!A400</f>
        <v>Shop Tools - LARGE SIZE</v>
      </c>
      <c r="B85" s="33">
        <f>Data!B400</f>
        <v>0</v>
      </c>
      <c r="C85" s="34" t="str">
        <f>Data!C400</f>
        <v>shop tools</v>
      </c>
      <c r="D85" s="109">
        <f>Data!D400*Data!$H$18</f>
        <v>3549.6130432941313</v>
      </c>
      <c r="E85" s="109">
        <f t="shared" si="71"/>
        <v>0</v>
      </c>
      <c r="F85" s="109">
        <f>IF(CP!K63=0,Data!I400*E85,CP!K63*B85)</f>
        <v>0</v>
      </c>
      <c r="G85" s="60">
        <f>IF(CP!$G$63=0,Data!$F$400,CP!$G$63)</f>
        <v>20</v>
      </c>
      <c r="H85" s="109">
        <f>(E85*(_int_inv_l*(1+_int_inv_l)^G85)/((1+_int_inv_l)^G85-1))-(F85*_int_inv_l/((1+_int_inv_l)^G85-1))</f>
        <v>0</v>
      </c>
      <c r="I85" s="675">
        <f>IF(CP!I63=0,Data!H400*Data!$J$271,CP!I63/CP!E63)</f>
        <v>0.02</v>
      </c>
      <c r="J85" s="109">
        <f t="shared" si="72"/>
        <v>0</v>
      </c>
      <c r="K85" s="36">
        <f t="shared" si="70"/>
        <v>6.7999999999999996E-3</v>
      </c>
      <c r="L85" s="104">
        <f t="shared" si="73"/>
        <v>0</v>
      </c>
      <c r="M85" s="109">
        <f t="shared" si="74"/>
        <v>0</v>
      </c>
    </row>
    <row r="86" spans="1:23" x14ac:dyDescent="0.3">
      <c r="A86" s="6"/>
      <c r="B86" s="33"/>
      <c r="C86" s="34"/>
      <c r="D86" s="109"/>
      <c r="E86" s="109"/>
      <c r="F86" s="109"/>
      <c r="G86" s="34"/>
      <c r="H86" s="109"/>
      <c r="I86" s="35"/>
      <c r="J86" s="109"/>
      <c r="K86" s="36"/>
      <c r="L86" s="109"/>
      <c r="M86" s="109"/>
      <c r="N86" s="34"/>
      <c r="O86" s="34"/>
      <c r="P86" s="34"/>
      <c r="Q86" s="34"/>
      <c r="R86" s="34"/>
      <c r="S86" s="34"/>
      <c r="T86" s="34"/>
      <c r="U86" s="34"/>
      <c r="V86" s="34"/>
      <c r="W86" s="34"/>
    </row>
    <row r="87" spans="1:23" x14ac:dyDescent="0.3">
      <c r="A87" s="14" t="s">
        <v>1400</v>
      </c>
      <c r="B87" s="33"/>
      <c r="C87" s="34"/>
      <c r="D87" s="109"/>
      <c r="E87" s="109"/>
      <c r="F87" s="109"/>
      <c r="G87" s="34"/>
      <c r="H87" s="109"/>
      <c r="I87" s="35"/>
      <c r="J87" s="109"/>
      <c r="K87" s="36"/>
      <c r="L87" s="109"/>
      <c r="M87" s="109"/>
      <c r="N87" s="34"/>
      <c r="O87" s="34"/>
      <c r="P87" s="34"/>
      <c r="Q87" s="34"/>
      <c r="R87" s="34"/>
      <c r="S87" s="34"/>
      <c r="T87" s="34"/>
      <c r="U87" s="34"/>
      <c r="V87" s="34"/>
      <c r="W87" s="34"/>
    </row>
    <row r="88" spans="1:23" x14ac:dyDescent="0.3">
      <c r="A88" s="664" t="str">
        <f>Data!A417</f>
        <v>Grain Cleaner - SMALL SIZE</v>
      </c>
      <c r="B88" s="33">
        <f>Data!B417</f>
        <v>0</v>
      </c>
      <c r="C88" s="34" t="str">
        <f>Data!C417</f>
        <v>grain cleaner</v>
      </c>
      <c r="D88" s="109">
        <f>Data!D417*Data!$H$18*CP!$H$5</f>
        <v>7078.6392734659521</v>
      </c>
      <c r="E88" s="109">
        <f t="shared" ref="E88:E90" si="75">D88*B88</f>
        <v>0</v>
      </c>
      <c r="F88" s="109">
        <f>IF(CP!K65=0,Data!I417*E88,CP!K65*B88)</f>
        <v>0</v>
      </c>
      <c r="G88" s="60">
        <f>IF(CP!$G$65=0,Data!$F$417,CP!$G$65)</f>
        <v>50</v>
      </c>
      <c r="H88" s="109">
        <f>(E88*(_int_inv_*(1+_int_inv_)^G88)/((1+_int_inv_)^G88-1))-(F88*_int_inv_/((1+_int_inv_)^G88-1))</f>
        <v>0</v>
      </c>
      <c r="I88" s="675">
        <f>IF(CP!I65=0,Data!H417*Data!$J$271,CP!I65/CP!E65)</f>
        <v>0.02</v>
      </c>
      <c r="J88" s="109">
        <f t="shared" ref="J88:J90" si="76">E88*I88</f>
        <v>0</v>
      </c>
      <c r="K88" s="36">
        <f>_tax_ins_</f>
        <v>6.7999999999999996E-3</v>
      </c>
      <c r="L88" s="104">
        <f t="shared" ref="L88:L90" si="77">E88*K88</f>
        <v>0</v>
      </c>
      <c r="M88" s="109">
        <f t="shared" ref="M88:M90" si="78">H88+J88+L88</f>
        <v>0</v>
      </c>
    </row>
    <row r="89" spans="1:23" x14ac:dyDescent="0.3">
      <c r="A89" s="664" t="str">
        <f>Data!A418</f>
        <v>Grain Cleaner - MEDIUM SIZE</v>
      </c>
      <c r="B89" s="33">
        <f>Data!B418</f>
        <v>1</v>
      </c>
      <c r="C89" s="34" t="str">
        <f>Data!C418</f>
        <v>grain cleaner</v>
      </c>
      <c r="D89" s="109">
        <f>Data!D418*Data!$H$18</f>
        <v>14157.278546931904</v>
      </c>
      <c r="E89" s="109">
        <f t="shared" si="75"/>
        <v>14157.278546931904</v>
      </c>
      <c r="F89" s="109">
        <f>IF(CP!K66=0,Data!I418*E89,CP!K66*B89)</f>
        <v>2689.8829239170618</v>
      </c>
      <c r="G89" s="60">
        <f>IF(CP!$G$66=0,Data!$F$418,CP!$G$66)</f>
        <v>40</v>
      </c>
      <c r="H89" s="109">
        <f>(E89*(_int_inv_m*(1+_int_inv_m)^G89)/((1+_int_inv_m)^G89-1))-(F89*_int_inv_m/((1+_int_inv_m)^G89-1))</f>
        <v>453.0535523709259</v>
      </c>
      <c r="I89" s="675">
        <f>IF(CP!I66=0,Data!H418*Data!$J$271,CP!I66/CP!E66)</f>
        <v>0.02</v>
      </c>
      <c r="J89" s="109">
        <f t="shared" si="76"/>
        <v>283.14557093863812</v>
      </c>
      <c r="K89" s="36">
        <f>_tax_ins_</f>
        <v>6.7999999999999996E-3</v>
      </c>
      <c r="L89" s="104">
        <f t="shared" si="77"/>
        <v>96.269494119136937</v>
      </c>
      <c r="M89" s="109">
        <f t="shared" si="78"/>
        <v>832.46861742870101</v>
      </c>
    </row>
    <row r="90" spans="1:23" x14ac:dyDescent="0.3">
      <c r="A90" s="664" t="str">
        <f>Data!A419</f>
        <v>Grain Cleaner - LARGE SIZE</v>
      </c>
      <c r="B90" s="33">
        <f>Data!B419</f>
        <v>0</v>
      </c>
      <c r="C90" s="34" t="str">
        <f>Data!C419</f>
        <v>grain cleaner</v>
      </c>
      <c r="D90" s="109">
        <f>Data!D419*Data!$H$18</f>
        <v>27606.693166517212</v>
      </c>
      <c r="E90" s="109">
        <f t="shared" si="75"/>
        <v>0</v>
      </c>
      <c r="F90" s="109">
        <f>IF(CP!K67=0,Data!I419*E90,CP!K67*B90)</f>
        <v>0</v>
      </c>
      <c r="G90" s="60">
        <f>IF(CP!$G$67=0,Data!$F$419,CP!$G$67)</f>
        <v>20</v>
      </c>
      <c r="H90" s="109">
        <f>(E90*(_int_inv_l*(1+_int_inv_l)^G90)/((1+_int_inv_l)^G90-1))-(F90*_int_inv_l/((1+_int_inv_l)^G90-1))</f>
        <v>0</v>
      </c>
      <c r="I90" s="675">
        <f>IF(CP!I67=0,Data!H419*Data!$J$271,CP!I67/CP!E67)</f>
        <v>0.02</v>
      </c>
      <c r="J90" s="109">
        <f t="shared" si="76"/>
        <v>0</v>
      </c>
      <c r="K90" s="36">
        <f>_tax_ins_</f>
        <v>6.7999999999999996E-3</v>
      </c>
      <c r="L90" s="104">
        <f t="shared" si="77"/>
        <v>0</v>
      </c>
      <c r="M90" s="109">
        <f t="shared" si="78"/>
        <v>0</v>
      </c>
    </row>
    <row r="91" spans="1:23" x14ac:dyDescent="0.3">
      <c r="A91" s="6"/>
      <c r="B91" s="33"/>
      <c r="C91" s="34"/>
      <c r="D91" s="109"/>
      <c r="E91" s="109"/>
      <c r="F91" s="109"/>
      <c r="G91" s="34"/>
      <c r="H91" s="109"/>
      <c r="I91" s="35"/>
      <c r="J91" s="109"/>
      <c r="K91" s="36"/>
      <c r="L91" s="109"/>
      <c r="M91" s="109"/>
      <c r="N91" s="34"/>
      <c r="O91" s="34"/>
      <c r="P91" s="34"/>
      <c r="Q91" s="34"/>
      <c r="R91" s="34"/>
      <c r="S91" s="34"/>
      <c r="T91" s="34"/>
      <c r="U91" s="34"/>
      <c r="V91" s="34"/>
      <c r="W91" s="34"/>
    </row>
    <row r="92" spans="1:23" x14ac:dyDescent="0.3">
      <c r="A92" s="863" t="s">
        <v>237</v>
      </c>
      <c r="B92" s="33"/>
      <c r="C92" s="350">
        <v>1</v>
      </c>
      <c r="D92" s="351" t="s">
        <v>949</v>
      </c>
      <c r="E92" s="352"/>
      <c r="F92" s="352"/>
      <c r="G92" s="354"/>
      <c r="H92" s="352"/>
      <c r="I92" s="360"/>
      <c r="J92" s="409"/>
      <c r="K92" s="36"/>
      <c r="L92" s="109"/>
      <c r="M92" s="109"/>
      <c r="N92" s="34"/>
      <c r="O92" s="34"/>
      <c r="P92" s="34"/>
      <c r="Q92" s="34"/>
      <c r="R92" s="34"/>
      <c r="S92" s="34"/>
      <c r="T92" s="34"/>
      <c r="U92" s="34"/>
      <c r="V92" s="34"/>
      <c r="W92" s="34"/>
    </row>
    <row r="93" spans="1:23" x14ac:dyDescent="0.3">
      <c r="A93" s="664" t="str">
        <f>Data!A423</f>
        <v>Grain Auger(s) - SMALL SIZE</v>
      </c>
      <c r="B93" s="163">
        <f>Data!B423</f>
        <v>0</v>
      </c>
      <c r="C93" s="34" t="str">
        <f>Data!C423</f>
        <v>auger</v>
      </c>
      <c r="D93" s="109">
        <f>Data!D423*Data!$AH$18*CP!$H$5</f>
        <v>1415.7278546931902</v>
      </c>
      <c r="E93" s="109">
        <f>D93*B93</f>
        <v>0</v>
      </c>
      <c r="F93" s="109">
        <f>IF(CP!K69=0,Data!I423*E93,CP!K69*B93)</f>
        <v>0</v>
      </c>
      <c r="G93" s="60">
        <f>IF(CP!$G$69=0,Data!$F$423,CP!$G$69)</f>
        <v>50</v>
      </c>
      <c r="H93" s="109">
        <f>(E93*(_int_inv_*(1+_int_inv_)^G93)/((1+_int_inv_)^G93-1))-(F93*_int_inv_/((1+_int_inv_)^G93-1))</f>
        <v>0</v>
      </c>
      <c r="I93" s="675">
        <f>IF(CP!I69=0,Data!H423*Data!$J$271,CP!I69/CP!E69)</f>
        <v>0.02</v>
      </c>
      <c r="J93" s="109">
        <f>E93*I93</f>
        <v>0</v>
      </c>
      <c r="K93" s="36">
        <f t="shared" ref="K93:K102" si="79">_tax_ins_</f>
        <v>6.7999999999999996E-3</v>
      </c>
      <c r="L93" s="109">
        <f>E93*K93</f>
        <v>0</v>
      </c>
      <c r="M93" s="109">
        <f>H93+J93+L93</f>
        <v>0</v>
      </c>
      <c r="N93" s="34"/>
      <c r="O93" s="34"/>
      <c r="P93" s="34"/>
      <c r="Q93" s="34"/>
      <c r="R93" s="34"/>
      <c r="S93" s="34"/>
      <c r="T93" s="34"/>
      <c r="U93" s="34"/>
      <c r="V93" s="34"/>
      <c r="W93" s="34"/>
    </row>
    <row r="94" spans="1:23" x14ac:dyDescent="0.3">
      <c r="A94" s="664" t="str">
        <f>Data!A424</f>
        <v>Grain Auger(s) - MEDIUM SIZE</v>
      </c>
      <c r="B94" s="163">
        <f>Data!B424</f>
        <v>2</v>
      </c>
      <c r="C94" s="34" t="str">
        <f>Data!C424</f>
        <v>auger</v>
      </c>
      <c r="D94" s="109">
        <f>Data!D424*Data!$AH$18</f>
        <v>1415.7278546931902</v>
      </c>
      <c r="E94" s="109">
        <f t="shared" ref="E94:E95" si="80">D94*B94</f>
        <v>2831.4557093863805</v>
      </c>
      <c r="F94" s="109">
        <f>IF(CP!K70=0,Data!I424*E94,CP!K70*B94)</f>
        <v>537.97658478341225</v>
      </c>
      <c r="G94" s="60">
        <f>IF(CP!$G$70=0,Data!$F$424,CP!$G$70)</f>
        <v>40</v>
      </c>
      <c r="H94" s="109">
        <f>(E94*(_int_inv_m*(1+_int_inv_m)^G94)/((1+_int_inv_m)^G94-1))-(F94*_int_inv_m/((1+_int_inv_m)^G94-1))</f>
        <v>90.610710474185197</v>
      </c>
      <c r="I94" s="675">
        <f>IF(CP!I70=0,Data!H424*Data!$J$271,CP!I70/CP!E70)</f>
        <v>0.02</v>
      </c>
      <c r="J94" s="109">
        <f t="shared" ref="J94:J95" si="81">E94*I94</f>
        <v>56.629114187727609</v>
      </c>
      <c r="K94" s="36">
        <f t="shared" si="79"/>
        <v>6.7999999999999996E-3</v>
      </c>
      <c r="L94" s="109">
        <f t="shared" ref="L94:L95" si="82">E94*K94</f>
        <v>19.253898823827384</v>
      </c>
      <c r="M94" s="109">
        <f t="shared" ref="M94:M95" si="83">H94+J94+L94</f>
        <v>166.49372348574019</v>
      </c>
      <c r="N94" s="34"/>
      <c r="O94" s="34"/>
      <c r="P94" s="34"/>
      <c r="Q94" s="34"/>
      <c r="R94" s="34"/>
      <c r="S94" s="34"/>
      <c r="T94" s="34"/>
      <c r="U94" s="34"/>
      <c r="V94" s="34"/>
      <c r="W94" s="34"/>
    </row>
    <row r="95" spans="1:23" x14ac:dyDescent="0.3">
      <c r="A95" s="664" t="str">
        <f>Data!A425</f>
        <v>Grain Auger(s) - LARGE SIZE</v>
      </c>
      <c r="B95" s="163">
        <f>Data!B425</f>
        <v>0</v>
      </c>
      <c r="C95" s="34" t="str">
        <f>Data!C425</f>
        <v>auger</v>
      </c>
      <c r="D95" s="109">
        <f>Data!D425*Data!$AH$18</f>
        <v>1415.7278546931902</v>
      </c>
      <c r="E95" s="109">
        <f t="shared" si="80"/>
        <v>0</v>
      </c>
      <c r="F95" s="109">
        <f>IF(CP!K71=0,Data!I425*E95,CP!K71*B95)</f>
        <v>0</v>
      </c>
      <c r="G95" s="60">
        <f>IF(CP!$G$71=0,Data!$F$425,CP!$G$71)</f>
        <v>20</v>
      </c>
      <c r="H95" s="109">
        <f>(E95*(_int_inv_l*(1+_int_inv_l)^G95)/((1+_int_inv_l)^G95-1))-(F95*_int_inv_l/((1+_int_inv_l)^G95-1))</f>
        <v>0</v>
      </c>
      <c r="I95" s="675">
        <f>IF(CP!I71=0,Data!H425*Data!$J$271,CP!I71/CP!E71)</f>
        <v>0.02</v>
      </c>
      <c r="J95" s="109">
        <f t="shared" si="81"/>
        <v>0</v>
      </c>
      <c r="K95" s="36">
        <f t="shared" si="79"/>
        <v>6.7999999999999996E-3</v>
      </c>
      <c r="L95" s="109">
        <f t="shared" si="82"/>
        <v>0</v>
      </c>
      <c r="M95" s="109">
        <f t="shared" si="83"/>
        <v>0</v>
      </c>
      <c r="N95" s="34"/>
      <c r="O95" s="34"/>
      <c r="P95" s="34"/>
      <c r="Q95" s="34"/>
      <c r="R95" s="34"/>
      <c r="S95" s="34"/>
      <c r="T95" s="34"/>
      <c r="U95" s="34"/>
      <c r="V95" s="34"/>
      <c r="W95" s="34"/>
    </row>
    <row r="96" spans="1:23" x14ac:dyDescent="0.3">
      <c r="A96" s="6" t="str">
        <f>Data!A426</f>
        <v>Grain Roller</v>
      </c>
      <c r="B96" s="163">
        <f>Data!B426</f>
        <v>0</v>
      </c>
      <c r="C96" s="34" t="str">
        <f>Data!C426</f>
        <v>roller</v>
      </c>
      <c r="D96" s="109">
        <f>Data!D426*Data!$AN$18*C92</f>
        <v>684.53512257080934</v>
      </c>
      <c r="E96" s="109">
        <f>D96*B96</f>
        <v>0</v>
      </c>
      <c r="F96" s="109">
        <f>Data!I426*E96</f>
        <v>0</v>
      </c>
      <c r="G96" s="60">
        <f>Data!F426</f>
        <v>10</v>
      </c>
      <c r="H96" s="109">
        <f t="shared" ref="H96:H100" si="84">(E96*(_int_inv_*(1+_int_inv_)^G96)/((1+_int_inv_)^G96-1))-(F96*_int_inv_/((1+_int_inv_)^G96-1))</f>
        <v>0</v>
      </c>
      <c r="I96" s="36">
        <f>Data!H426*Data!$J$271</f>
        <v>0.02</v>
      </c>
      <c r="J96" s="109">
        <f>E96*I96</f>
        <v>0</v>
      </c>
      <c r="K96" s="36">
        <f t="shared" si="79"/>
        <v>6.7999999999999996E-3</v>
      </c>
      <c r="L96" s="109">
        <f>E96*K96</f>
        <v>0</v>
      </c>
      <c r="M96" s="109">
        <f>H96+J96+L96</f>
        <v>0</v>
      </c>
      <c r="N96" s="34"/>
      <c r="O96" s="34"/>
      <c r="P96" s="34"/>
      <c r="Q96" s="34"/>
      <c r="R96" s="34"/>
      <c r="S96" s="34"/>
      <c r="T96" s="34"/>
      <c r="U96" s="34"/>
      <c r="V96" s="34"/>
      <c r="W96" s="34"/>
    </row>
    <row r="97" spans="1:23" x14ac:dyDescent="0.3">
      <c r="A97" s="664" t="str">
        <f>Data!A467</f>
        <v>Grain Dryer (Spelt) - SMALL SIZE</v>
      </c>
      <c r="B97" s="649">
        <f>Data!B467</f>
        <v>0</v>
      </c>
      <c r="C97" s="34" t="str">
        <f>Data!C467</f>
        <v>dryer</v>
      </c>
      <c r="D97" s="109">
        <f>Data!D467*Data!$D$18*$C$92*CP!$H$5</f>
        <v>7521.8122569115903</v>
      </c>
      <c r="E97" s="109">
        <f>D97*B97</f>
        <v>0</v>
      </c>
      <c r="F97" s="109">
        <f>IF(CP!K72=0,Data!I467*E97,CP!K72*B97)</f>
        <v>0</v>
      </c>
      <c r="G97" s="60">
        <f>IF(CP!G72=0,Data!F467,CP!G72)</f>
        <v>10</v>
      </c>
      <c r="H97" s="109">
        <f t="shared" si="84"/>
        <v>0</v>
      </c>
      <c r="I97" s="675">
        <f>IF(CP!I72=0,Data!H467*Data!$J$271,CP!I72/CP!E72)</f>
        <v>0.02</v>
      </c>
      <c r="J97" s="109">
        <f>E97*I97</f>
        <v>0</v>
      </c>
      <c r="K97" s="36">
        <f t="shared" si="79"/>
        <v>6.7999999999999996E-3</v>
      </c>
      <c r="L97" s="109">
        <f>E97*K97</f>
        <v>0</v>
      </c>
      <c r="M97" s="109">
        <f>H97+J97+L97</f>
        <v>0</v>
      </c>
      <c r="N97" s="34"/>
      <c r="O97" s="34"/>
      <c r="P97" s="34"/>
      <c r="Q97" s="34"/>
      <c r="R97" s="34"/>
      <c r="S97" s="34"/>
      <c r="T97" s="34"/>
      <c r="U97" s="34"/>
      <c r="V97" s="34"/>
      <c r="W97" s="34"/>
    </row>
    <row r="98" spans="1:23" x14ac:dyDescent="0.3">
      <c r="A98" s="664" t="str">
        <f>Data!A468</f>
        <v>Grain Dryer (Spelt) - MEDIUM SIZE</v>
      </c>
      <c r="B98" s="649">
        <f>Data!B468</f>
        <v>0.25</v>
      </c>
      <c r="C98" s="34" t="str">
        <f>Data!C468</f>
        <v>dryer</v>
      </c>
      <c r="D98" s="109">
        <f>Data!D468*Data!$D$18*$C$92</f>
        <v>7521.8122569115903</v>
      </c>
      <c r="E98" s="109">
        <f>D98*B98</f>
        <v>1880.4530642278976</v>
      </c>
      <c r="F98" s="109">
        <f>IF(CP!K73=0,Data!I468*E98,CP!K73*B98)</f>
        <v>357.28608220330057</v>
      </c>
      <c r="G98" s="60">
        <f>IF(CP!G73=0,Data!F468,CP!G73)</f>
        <v>10</v>
      </c>
      <c r="H98" s="109">
        <f t="shared" ref="H98:H99" si="85">(E98*(_int_inv_*(1+_int_inv_)^G98)/((1+_int_inv_)^G98-1))-(F98*_int_inv_/((1+_int_inv_)^G98-1))</f>
        <v>152.43853894838844</v>
      </c>
      <c r="I98" s="675">
        <f>IF(CP!I73=0,Data!H468*Data!$J$271,CP!I73/CP!E73)</f>
        <v>0.02</v>
      </c>
      <c r="J98" s="109">
        <f>E98*I98</f>
        <v>37.609061284557953</v>
      </c>
      <c r="K98" s="36">
        <f t="shared" si="79"/>
        <v>6.7999999999999996E-3</v>
      </c>
      <c r="L98" s="109">
        <f>E98*K98</f>
        <v>12.787080836749704</v>
      </c>
      <c r="M98" s="109">
        <f>H98+J98+L98</f>
        <v>202.8346810696961</v>
      </c>
      <c r="N98" s="34"/>
      <c r="O98" s="34"/>
      <c r="P98" s="34"/>
      <c r="Q98" s="34"/>
      <c r="R98" s="34"/>
      <c r="S98" s="34"/>
      <c r="T98" s="34"/>
      <c r="U98" s="34"/>
      <c r="V98" s="34"/>
      <c r="W98" s="34"/>
    </row>
    <row r="99" spans="1:23" x14ac:dyDescent="0.3">
      <c r="A99" s="664" t="str">
        <f>Data!A469</f>
        <v>Grain Dryer (Spelt) - LARGE SIZE</v>
      </c>
      <c r="B99" s="649">
        <f>Data!B469</f>
        <v>0</v>
      </c>
      <c r="C99" s="34" t="str">
        <f>Data!C469</f>
        <v>dryer</v>
      </c>
      <c r="D99" s="109">
        <f>Data!D469*Data!$D$18*$C$92</f>
        <v>7521.8122569115903</v>
      </c>
      <c r="E99" s="109">
        <f>D99*B99</f>
        <v>0</v>
      </c>
      <c r="F99" s="109">
        <f>IF(CP!K74=0,Data!I469*E99,CP!K74*B99)</f>
        <v>0</v>
      </c>
      <c r="G99" s="60">
        <f>IF(CP!G74=0,Data!F469,CP!G74)</f>
        <v>10</v>
      </c>
      <c r="H99" s="109">
        <f t="shared" si="85"/>
        <v>0</v>
      </c>
      <c r="I99" s="675">
        <f>IF(CP!I74=0,Data!H469*Data!$J$271,CP!I74/CP!E74)</f>
        <v>0.02</v>
      </c>
      <c r="J99" s="109">
        <f>E99*I99</f>
        <v>0</v>
      </c>
      <c r="K99" s="36">
        <f t="shared" si="79"/>
        <v>6.7999999999999996E-3</v>
      </c>
      <c r="L99" s="109">
        <f>E99*K99</f>
        <v>0</v>
      </c>
      <c r="M99" s="109">
        <f>H99+J99+L99</f>
        <v>0</v>
      </c>
      <c r="N99" s="34"/>
      <c r="O99" s="34"/>
      <c r="P99" s="34"/>
      <c r="Q99" s="34"/>
      <c r="R99" s="34"/>
      <c r="S99" s="34"/>
      <c r="T99" s="34"/>
      <c r="U99" s="34"/>
      <c r="V99" s="34"/>
      <c r="W99" s="34"/>
    </row>
    <row r="100" spans="1:23" x14ac:dyDescent="0.3">
      <c r="A100" s="664" t="str">
        <f>Data!A470</f>
        <v>Grain Bags (Spelt) - SMALL SIZE</v>
      </c>
      <c r="B100" s="974">
        <f>Data!B470</f>
        <v>0</v>
      </c>
      <c r="C100" s="34" t="str">
        <f>Data!C470</f>
        <v>grain bag</v>
      </c>
      <c r="D100" s="109">
        <f>Data!D470*Data!$D$18*C92</f>
        <v>10</v>
      </c>
      <c r="E100" s="109">
        <f>D100*B100</f>
        <v>0</v>
      </c>
      <c r="F100" s="109">
        <f>IF(CP!K75=0,Data!I470*E100,CP!K75*B100)</f>
        <v>0</v>
      </c>
      <c r="G100" s="60">
        <f>IF(CP!$G$75=0,Data!$F$470,CP!$G$75)</f>
        <v>5</v>
      </c>
      <c r="H100" s="109">
        <f t="shared" si="84"/>
        <v>0</v>
      </c>
      <c r="I100" s="675">
        <f>IF(CP!I75=0,Data!H470*Data!$J$271,CP!I75/CP!E75)</f>
        <v>0</v>
      </c>
      <c r="J100" s="109">
        <f>E100*I100</f>
        <v>0</v>
      </c>
      <c r="K100" s="36">
        <f t="shared" si="79"/>
        <v>6.7999999999999996E-3</v>
      </c>
      <c r="L100" s="109">
        <f>E100*K100</f>
        <v>0</v>
      </c>
      <c r="M100" s="109">
        <f>H100+J100+L100</f>
        <v>0</v>
      </c>
      <c r="N100" s="34"/>
      <c r="O100" s="34"/>
      <c r="P100" s="34"/>
      <c r="Q100" s="34"/>
      <c r="R100" s="34"/>
      <c r="S100" s="34"/>
      <c r="T100" s="34"/>
      <c r="U100" s="34"/>
      <c r="V100" s="34"/>
      <c r="W100" s="34"/>
    </row>
    <row r="101" spans="1:23" x14ac:dyDescent="0.3">
      <c r="A101" s="664" t="str">
        <f>Data!A471</f>
        <v>Grain Bin (Spelt) - MEDIUM SIZE</v>
      </c>
      <c r="B101" s="163">
        <f>Data!B471</f>
        <v>1</v>
      </c>
      <c r="C101" s="34" t="str">
        <f>Data!C471</f>
        <v>crop storage</v>
      </c>
      <c r="D101" s="109">
        <f>Data!D471*Data!$D$18*C92</f>
        <v>21106.2051928939</v>
      </c>
      <c r="E101" s="109">
        <f t="shared" ref="E101:E102" si="86">D101*B101</f>
        <v>21106.2051928939</v>
      </c>
      <c r="F101" s="109">
        <f>IF(CP!K76=0,Data!I471*E101,CP!K76*B101)</f>
        <v>7387.1718175128644</v>
      </c>
      <c r="G101" s="60">
        <f>IF(CP!$G$76=0,Data!$F$471,CP!$G$76)</f>
        <v>33</v>
      </c>
      <c r="H101" s="109">
        <f>(E101*(_int_inv_m*(1+_int_inv_m)^G101)/((1+_int_inv_m)^G101-1))-(F101*_int_inv_m/((1+_int_inv_m)^G101-1))</f>
        <v>687.94464629638969</v>
      </c>
      <c r="I101" s="675">
        <f>IF(CP!I76=0,Data!H471*Data!$J$271,CP!I76/CP!E76)</f>
        <v>0.01</v>
      </c>
      <c r="J101" s="109">
        <f t="shared" ref="J101:J102" si="87">E101*I101</f>
        <v>211.06205192893901</v>
      </c>
      <c r="K101" s="36">
        <f t="shared" si="79"/>
        <v>6.7999999999999996E-3</v>
      </c>
      <c r="L101" s="109">
        <f t="shared" ref="L101:L102" si="88">E101*K101</f>
        <v>143.5221953116785</v>
      </c>
      <c r="M101" s="109">
        <f t="shared" ref="M101:M102" si="89">H101+J101+L101</f>
        <v>1042.5288935370072</v>
      </c>
      <c r="N101" s="34"/>
      <c r="O101" s="34"/>
      <c r="P101" s="34"/>
      <c r="Q101" s="34"/>
      <c r="R101" s="34"/>
      <c r="S101" s="34"/>
      <c r="T101" s="34"/>
      <c r="U101" s="34"/>
      <c r="V101" s="34"/>
      <c r="W101" s="34"/>
    </row>
    <row r="102" spans="1:23" x14ac:dyDescent="0.3">
      <c r="A102" s="664" t="str">
        <f>Data!A472</f>
        <v>Grain Bin (Spelt) - LARGE SIZE</v>
      </c>
      <c r="B102" s="163">
        <f>Data!B472</f>
        <v>0</v>
      </c>
      <c r="C102" s="34" t="str">
        <f>Data!C472</f>
        <v>crop storage</v>
      </c>
      <c r="D102" s="109">
        <f>Data!D472*Data!$D$18*C92</f>
        <v>36937.112722940503</v>
      </c>
      <c r="E102" s="109">
        <f t="shared" si="86"/>
        <v>0</v>
      </c>
      <c r="F102" s="109">
        <f>IF(CP!K77=0,Data!I472*E102,CP!K77*B102)</f>
        <v>0</v>
      </c>
      <c r="G102" s="60">
        <f>IF(CP!$G$77=0,Data!$F$472,CP!$G$77)</f>
        <v>33</v>
      </c>
      <c r="H102" s="109">
        <f>(E102*(_int_inv_l*(1+_int_inv_l)^G102)/((1+_int_inv_l)^G102-1))-(F102*_int_inv_l/((1+_int_inv_l)^G102-1))</f>
        <v>0</v>
      </c>
      <c r="I102" s="675">
        <f>IF(CP!I77=0,Data!H472*Data!$J$271,CP!I77/CP!E77)</f>
        <v>0.01</v>
      </c>
      <c r="J102" s="109">
        <f t="shared" si="87"/>
        <v>0</v>
      </c>
      <c r="K102" s="36">
        <f t="shared" si="79"/>
        <v>6.7999999999999996E-3</v>
      </c>
      <c r="L102" s="109">
        <f t="shared" si="88"/>
        <v>0</v>
      </c>
      <c r="M102" s="109">
        <f t="shared" si="89"/>
        <v>0</v>
      </c>
      <c r="N102" s="34"/>
      <c r="O102" s="34"/>
      <c r="P102" s="34"/>
      <c r="Q102" s="34"/>
      <c r="R102" s="34"/>
      <c r="S102" s="34"/>
      <c r="T102" s="34"/>
      <c r="U102" s="34"/>
      <c r="V102" s="34"/>
      <c r="W102" s="34"/>
    </row>
    <row r="103" spans="1:23" x14ac:dyDescent="0.3">
      <c r="A103" s="664"/>
      <c r="B103" s="33"/>
      <c r="C103" s="34"/>
      <c r="D103" s="109"/>
      <c r="E103" s="109"/>
      <c r="F103" s="109"/>
      <c r="G103" s="34"/>
      <c r="H103" s="109"/>
      <c r="I103" s="675"/>
      <c r="J103" s="109"/>
      <c r="K103" s="36"/>
      <c r="L103" s="109"/>
      <c r="M103" s="109"/>
      <c r="N103" s="34"/>
      <c r="O103" s="34"/>
      <c r="P103" s="34"/>
      <c r="Q103" s="34"/>
      <c r="R103" s="34"/>
      <c r="S103" s="34"/>
      <c r="T103" s="34"/>
      <c r="U103" s="34"/>
      <c r="V103" s="34"/>
      <c r="W103" s="34"/>
    </row>
    <row r="104" spans="1:23" x14ac:dyDescent="0.3">
      <c r="A104" s="863" t="s">
        <v>12</v>
      </c>
      <c r="B104" s="17"/>
      <c r="N104" s="34"/>
      <c r="O104" s="34"/>
      <c r="P104" s="34"/>
      <c r="Q104" s="34"/>
      <c r="R104" s="34"/>
      <c r="S104" s="34"/>
      <c r="T104" s="34"/>
      <c r="U104" s="34"/>
      <c r="V104" s="34"/>
      <c r="W104" s="34"/>
    </row>
    <row r="105" spans="1:23" x14ac:dyDescent="0.3">
      <c r="A105" s="664" t="str">
        <f>Data!A44</f>
        <v>Interest for investment (Small model)</v>
      </c>
      <c r="B105" s="84">
        <f>IF(Data!$C$39=1,Data!B98,0)</f>
        <v>0</v>
      </c>
      <c r="C105" s="869" t="str">
        <f>Data!H51</f>
        <v>acre(s)</v>
      </c>
      <c r="D105" s="109">
        <f>Data!$F$61</f>
        <v>1000</v>
      </c>
      <c r="E105" s="109">
        <f>D105*B105</f>
        <v>0</v>
      </c>
      <c r="F105" s="864" t="s">
        <v>45</v>
      </c>
      <c r="G105" s="865" t="s">
        <v>45</v>
      </c>
      <c r="H105" s="109">
        <f>E105*_int_inv_</f>
        <v>0</v>
      </c>
      <c r="I105" s="1307">
        <f>Data!$H$61*Data!$J$271</f>
        <v>0.01</v>
      </c>
      <c r="J105" s="109">
        <f>E105*I105</f>
        <v>0</v>
      </c>
      <c r="K105" s="36">
        <f>_tax_ins_</f>
        <v>6.7999999999999996E-3</v>
      </c>
      <c r="L105" s="109">
        <f>E105*K105</f>
        <v>0</v>
      </c>
      <c r="M105" s="109">
        <f>H105+J105+L105</f>
        <v>0</v>
      </c>
      <c r="N105" s="34"/>
      <c r="O105" s="34"/>
      <c r="P105" s="34"/>
      <c r="Q105" s="34"/>
      <c r="R105" s="34"/>
      <c r="S105" s="34"/>
      <c r="T105" s="34"/>
      <c r="U105" s="34"/>
      <c r="V105" s="34"/>
      <c r="W105" s="34"/>
    </row>
    <row r="106" spans="1:23" x14ac:dyDescent="0.3">
      <c r="A106" s="664" t="str">
        <f>Data!A45</f>
        <v>Interest for investment (Medium model)</v>
      </c>
      <c r="B106" s="33">
        <f>IF(Data!$C$40=1,Data!B98,0)</f>
        <v>75</v>
      </c>
      <c r="C106" s="868" t="str">
        <f>Data!H51</f>
        <v>acre(s)</v>
      </c>
      <c r="D106" s="109">
        <f>Data!$F$61</f>
        <v>1000</v>
      </c>
      <c r="E106" s="109">
        <f t="shared" ref="E106:E107" si="90">D106*B106</f>
        <v>75000</v>
      </c>
      <c r="F106" s="864" t="s">
        <v>45</v>
      </c>
      <c r="G106" s="865" t="s">
        <v>45</v>
      </c>
      <c r="H106" s="109">
        <f>E106*_int_inv_m</f>
        <v>1350</v>
      </c>
      <c r="I106" s="1307">
        <f>Data!$H$61*Data!$J$271</f>
        <v>0.01</v>
      </c>
      <c r="J106" s="109">
        <f t="shared" ref="J106:J107" si="91">E106*I106</f>
        <v>750</v>
      </c>
      <c r="K106" s="36">
        <f>_tax_ins_</f>
        <v>6.7999999999999996E-3</v>
      </c>
      <c r="L106" s="109">
        <f t="shared" ref="L106:L107" si="92">E106*K106</f>
        <v>510</v>
      </c>
      <c r="M106" s="109">
        <f t="shared" ref="M106:M107" si="93">H106+J106+L106</f>
        <v>2610</v>
      </c>
      <c r="N106" s="34"/>
      <c r="O106" s="34"/>
      <c r="P106" s="34"/>
      <c r="Q106" s="34"/>
      <c r="R106" s="34"/>
      <c r="S106" s="34"/>
      <c r="T106" s="34"/>
      <c r="U106" s="34"/>
      <c r="V106" s="34"/>
      <c r="W106" s="34"/>
    </row>
    <row r="107" spans="1:23" x14ac:dyDescent="0.3">
      <c r="A107" s="664" t="str">
        <f>Data!A46</f>
        <v>Interest for investment (Large model)</v>
      </c>
      <c r="B107" s="33">
        <f>IF(Data!$C$41=1,Data!B98,0)</f>
        <v>0</v>
      </c>
      <c r="C107" s="868" t="str">
        <f>Data!H51</f>
        <v>acre(s)</v>
      </c>
      <c r="D107" s="109">
        <f>Data!$F$61</f>
        <v>1000</v>
      </c>
      <c r="E107" s="109">
        <f t="shared" si="90"/>
        <v>0</v>
      </c>
      <c r="F107" s="864" t="s">
        <v>45</v>
      </c>
      <c r="G107" s="865" t="s">
        <v>45</v>
      </c>
      <c r="H107" s="109">
        <f>E107*_int_inv_l</f>
        <v>0</v>
      </c>
      <c r="I107" s="1307">
        <f>Data!$H$61*Data!$J$271</f>
        <v>0.01</v>
      </c>
      <c r="J107" s="109">
        <f t="shared" si="91"/>
        <v>0</v>
      </c>
      <c r="K107" s="36">
        <f>_tax_ins_</f>
        <v>6.7999999999999996E-3</v>
      </c>
      <c r="L107" s="109">
        <f t="shared" si="92"/>
        <v>0</v>
      </c>
      <c r="M107" s="109">
        <f t="shared" si="93"/>
        <v>0</v>
      </c>
      <c r="N107" s="34"/>
      <c r="O107" s="34"/>
      <c r="P107" s="34"/>
      <c r="Q107" s="34"/>
      <c r="R107" s="34"/>
      <c r="S107" s="34"/>
      <c r="T107" s="34"/>
      <c r="U107" s="34"/>
      <c r="V107" s="34"/>
      <c r="W107" s="34"/>
    </row>
    <row r="108" spans="1:23" x14ac:dyDescent="0.3">
      <c r="A108" s="93"/>
      <c r="B108" s="33"/>
      <c r="C108" s="34"/>
      <c r="D108" s="109"/>
      <c r="E108" s="109"/>
      <c r="F108" s="109"/>
      <c r="G108" s="38"/>
      <c r="H108" s="109"/>
      <c r="I108" s="35"/>
      <c r="J108" s="109"/>
      <c r="K108" s="36"/>
      <c r="L108" s="109"/>
      <c r="M108" s="109"/>
      <c r="N108" s="34"/>
      <c r="O108" s="34"/>
      <c r="P108" s="34"/>
      <c r="Q108" s="34"/>
      <c r="R108" s="34"/>
      <c r="S108" s="34"/>
      <c r="T108" s="34"/>
      <c r="U108" s="34"/>
      <c r="V108" s="34"/>
      <c r="W108" s="34"/>
    </row>
    <row r="109" spans="1:23" x14ac:dyDescent="0.3">
      <c r="A109" s="863" t="s">
        <v>1229</v>
      </c>
      <c r="B109" s="33"/>
      <c r="C109" s="34"/>
      <c r="D109" s="109"/>
      <c r="E109" s="109"/>
      <c r="F109" s="109"/>
      <c r="G109" s="34"/>
      <c r="H109" s="109"/>
      <c r="I109" s="35"/>
      <c r="J109" s="109"/>
      <c r="K109" s="36"/>
      <c r="L109" s="110"/>
      <c r="M109" s="109"/>
      <c r="N109" s="34"/>
      <c r="O109" s="34"/>
      <c r="P109" s="34"/>
      <c r="Q109" s="34"/>
      <c r="R109" s="34"/>
      <c r="S109" s="34"/>
      <c r="T109" s="34"/>
      <c r="U109" s="34"/>
      <c r="V109" s="34"/>
      <c r="W109" s="34"/>
    </row>
    <row r="110" spans="1:23" x14ac:dyDescent="0.3">
      <c r="A110" s="664" t="str">
        <f>Data!A495</f>
        <v>Shop/Loading Shed - SMALL SIZE</v>
      </c>
      <c r="B110" s="33">
        <f>Data!B495</f>
        <v>0</v>
      </c>
      <c r="C110" s="34" t="str">
        <f>Data!C495</f>
        <v>building</v>
      </c>
      <c r="D110" s="109">
        <f>Data!D495*Data!$H$18</f>
        <v>14157.278546931904</v>
      </c>
      <c r="E110" s="109">
        <f>D110*B110</f>
        <v>0</v>
      </c>
      <c r="F110" s="109">
        <f>IF(CP!K79=0,Data!I495*E110,CP!K79*B110)</f>
        <v>0</v>
      </c>
      <c r="G110" s="34">
        <f>IF(CP!$G$79=0,Data!$F$495,CP!$G$79)</f>
        <v>33</v>
      </c>
      <c r="H110" s="109">
        <f>(E110*(_int_inv_*(1+_int_inv_)^G110)/((1+_int_inv_)^G110-1))-(F110*_int_inv_/((1+_int_inv_)^G110-1))</f>
        <v>0</v>
      </c>
      <c r="I110" s="675">
        <f>IF(CP!I79=0,Data!H495*Data!$J$271,CP!I79/CP!E79)</f>
        <v>0.01</v>
      </c>
      <c r="J110" s="109">
        <f>E110*I110</f>
        <v>0</v>
      </c>
      <c r="K110" s="36">
        <f>_tax_ins_</f>
        <v>6.7999999999999996E-3</v>
      </c>
      <c r="L110" s="109">
        <f>E110*K110</f>
        <v>0</v>
      </c>
      <c r="M110" s="109">
        <f>H110+J110+L110</f>
        <v>0</v>
      </c>
    </row>
    <row r="111" spans="1:23" x14ac:dyDescent="0.3">
      <c r="A111" s="664" t="str">
        <f>Data!A496</f>
        <v>Shop/Loading Shed - MEDIUM SIZE</v>
      </c>
      <c r="B111" s="33">
        <f>Data!B496</f>
        <v>1</v>
      </c>
      <c r="C111" s="34" t="str">
        <f>Data!C496</f>
        <v>building</v>
      </c>
      <c r="D111" s="109">
        <f>Data!D496*Data!$H$18</f>
        <v>28314.557093863808</v>
      </c>
      <c r="E111" s="109">
        <f t="shared" ref="E111:E112" si="94">D111*B111</f>
        <v>28314.557093863808</v>
      </c>
      <c r="F111" s="109">
        <f>IF(CP!K80=0,Data!I496*E111,CP!K80*B111)</f>
        <v>21235.917820397855</v>
      </c>
      <c r="G111" s="34">
        <f>IF(CP!$G$80=0,Data!$F$496,CP!$G$80)</f>
        <v>33</v>
      </c>
      <c r="H111" s="109">
        <f>(E111*(_int_inv_m*(1+_int_inv_m)^G111)/((1+_int_inv_m)^G111-1))-(F111*_int_inv_m/((1+_int_inv_m)^G111-1))</f>
        <v>668.59845547728332</v>
      </c>
      <c r="I111" s="675">
        <f>IF(CP!I80=0,Data!H496*Data!$J$271,CP!I80/CP!E80)</f>
        <v>0.01</v>
      </c>
      <c r="J111" s="109">
        <f t="shared" ref="J111:J112" si="95">E111*I111</f>
        <v>283.14557093863812</v>
      </c>
      <c r="K111" s="36">
        <f>_tax_ins_</f>
        <v>6.7999999999999996E-3</v>
      </c>
      <c r="L111" s="109">
        <f t="shared" ref="L111:L112" si="96">E111*K111</f>
        <v>192.53898823827387</v>
      </c>
      <c r="M111" s="109">
        <f t="shared" ref="M111:M112" si="97">H111+J111+L111</f>
        <v>1144.2830146541953</v>
      </c>
    </row>
    <row r="112" spans="1:23" x14ac:dyDescent="0.3">
      <c r="A112" s="664" t="str">
        <f>Data!A497</f>
        <v>Shop/Loading Shed - LARGE SIZE</v>
      </c>
      <c r="B112" s="33">
        <f>Data!B497</f>
        <v>0</v>
      </c>
      <c r="C112" s="34" t="str">
        <f>Data!C497</f>
        <v>building</v>
      </c>
      <c r="D112" s="109">
        <f>Data!D497*Data!$H$18</f>
        <v>56629.114187727617</v>
      </c>
      <c r="E112" s="109">
        <f t="shared" si="94"/>
        <v>0</v>
      </c>
      <c r="F112" s="109">
        <f>IF(CP!K81=0,Data!I497*E112,CP!K81*B112)</f>
        <v>0</v>
      </c>
      <c r="G112" s="34">
        <f>IF(CP!$G$81=0,Data!$F$497,CP!$G$81)</f>
        <v>33</v>
      </c>
      <c r="H112" s="109">
        <f>(E112*(_int_inv_l*(1+_int_inv_l)^G112)/((1+_int_inv_l)^G112-1))-(F112*_int_inv_l/((1+_int_inv_l)^G112-1))</f>
        <v>0</v>
      </c>
      <c r="I112" s="675">
        <f>IF(CP!I81=0,Data!H497*Data!$J$271,CP!I81/CP!E81)</f>
        <v>0.01</v>
      </c>
      <c r="J112" s="109">
        <f t="shared" si="95"/>
        <v>0</v>
      </c>
      <c r="K112" s="36">
        <f>_tax_ins_</f>
        <v>6.7999999999999996E-3</v>
      </c>
      <c r="L112" s="109">
        <f t="shared" si="96"/>
        <v>0</v>
      </c>
      <c r="M112" s="109">
        <f t="shared" si="97"/>
        <v>0</v>
      </c>
    </row>
    <row r="113" spans="1:23" x14ac:dyDescent="0.3">
      <c r="A113" s="6"/>
      <c r="B113" s="33"/>
      <c r="C113" s="34"/>
      <c r="D113" s="109"/>
      <c r="E113" s="109"/>
      <c r="F113" s="109"/>
      <c r="G113" s="34"/>
      <c r="H113" s="109"/>
      <c r="I113" s="35"/>
      <c r="J113" s="109"/>
      <c r="K113" s="36"/>
      <c r="L113" s="109"/>
      <c r="M113" s="109"/>
      <c r="N113" s="34"/>
      <c r="O113" s="34"/>
      <c r="P113" s="34"/>
      <c r="Q113" s="34"/>
      <c r="R113" s="34"/>
    </row>
    <row r="114" spans="1:23" ht="12.75" customHeight="1" x14ac:dyDescent="0.3">
      <c r="A114" s="14" t="s">
        <v>514</v>
      </c>
      <c r="B114" s="351" t="s">
        <v>1538</v>
      </c>
      <c r="C114" s="351"/>
      <c r="D114" s="351"/>
      <c r="E114" s="351"/>
      <c r="F114" s="351"/>
      <c r="G114" s="351"/>
      <c r="H114" s="112"/>
      <c r="I114" s="35"/>
      <c r="J114" s="109"/>
      <c r="K114" s="36"/>
      <c r="L114" s="109"/>
      <c r="M114" s="109"/>
      <c r="N114" s="34"/>
      <c r="O114" s="34"/>
      <c r="P114" s="34"/>
      <c r="Q114" s="34"/>
      <c r="R114" s="34"/>
      <c r="S114" s="34"/>
      <c r="T114" s="34"/>
      <c r="U114" s="34"/>
      <c r="V114" s="34"/>
    </row>
    <row r="115" spans="1:23" ht="12.75" customHeight="1" x14ac:dyDescent="0.3">
      <c r="A115" s="14" t="s">
        <v>515</v>
      </c>
      <c r="B115" s="351" t="s">
        <v>1539</v>
      </c>
      <c r="C115" s="351"/>
      <c r="D115" s="351"/>
      <c r="E115" s="351"/>
      <c r="F115" s="351"/>
      <c r="G115" s="351"/>
      <c r="H115" s="112"/>
      <c r="I115" s="35"/>
      <c r="J115" s="109"/>
      <c r="K115" s="36"/>
      <c r="L115" s="109"/>
      <c r="M115" s="109"/>
      <c r="N115" s="34"/>
      <c r="O115" s="34"/>
      <c r="P115" s="34"/>
      <c r="Q115" s="34"/>
      <c r="R115" s="34"/>
      <c r="S115" s="34"/>
      <c r="T115" s="34"/>
      <c r="U115" s="34"/>
      <c r="V115" s="34"/>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x14ac:dyDescent="0.3">
      <c r="A117" s="14" t="s">
        <v>19</v>
      </c>
      <c r="B117" s="865" t="s">
        <v>45</v>
      </c>
      <c r="C117" s="864" t="s">
        <v>45</v>
      </c>
      <c r="D117" s="864" t="s">
        <v>45</v>
      </c>
      <c r="E117" s="864" t="s">
        <v>45</v>
      </c>
      <c r="F117" s="864" t="s">
        <v>45</v>
      </c>
      <c r="G117" s="865" t="s">
        <v>45</v>
      </c>
      <c r="H117" s="864" t="s">
        <v>45</v>
      </c>
      <c r="I117" s="865" t="s">
        <v>45</v>
      </c>
      <c r="J117" s="864" t="s">
        <v>45</v>
      </c>
      <c r="K117" s="865" t="s">
        <v>45</v>
      </c>
      <c r="L117" s="864" t="s">
        <v>45</v>
      </c>
      <c r="M117" s="864" t="s">
        <v>45</v>
      </c>
      <c r="N117" s="34"/>
      <c r="O117" s="34"/>
      <c r="P117" s="34"/>
      <c r="Q117" s="34"/>
      <c r="R117" s="34"/>
      <c r="S117" s="34"/>
      <c r="T117" s="34"/>
      <c r="U117" s="34"/>
      <c r="V117" s="34"/>
      <c r="W117" s="34"/>
    </row>
    <row r="118" spans="1:23" x14ac:dyDescent="0.3">
      <c r="A118" s="14"/>
      <c r="B118" s="33"/>
      <c r="C118" s="34"/>
      <c r="D118" s="109"/>
      <c r="E118" s="109"/>
      <c r="F118" s="109"/>
      <c r="G118" s="34"/>
      <c r="H118" s="109"/>
      <c r="I118" s="35"/>
      <c r="J118" s="109"/>
      <c r="K118" s="35"/>
      <c r="L118" s="110"/>
      <c r="M118" s="109"/>
      <c r="N118" s="34"/>
      <c r="O118" s="34"/>
      <c r="P118" s="34"/>
      <c r="Q118" s="34"/>
      <c r="R118" s="34"/>
      <c r="S118" s="34"/>
      <c r="T118" s="34"/>
      <c r="U118" s="34"/>
      <c r="V118" s="34"/>
      <c r="W118" s="34"/>
    </row>
    <row r="119" spans="1:23" x14ac:dyDescent="0.3">
      <c r="A119" s="14" t="s">
        <v>64</v>
      </c>
      <c r="B119" s="865" t="s">
        <v>45</v>
      </c>
      <c r="C119" s="864" t="s">
        <v>45</v>
      </c>
      <c r="D119" s="866">
        <v>0</v>
      </c>
      <c r="E119" s="866">
        <v>0</v>
      </c>
      <c r="F119" s="866">
        <v>0</v>
      </c>
      <c r="G119" s="247">
        <v>1</v>
      </c>
      <c r="H119" s="109">
        <f>(E119*(_int_inv_*(1+_int_inv_)^G119)/((1+_int_inv_)^G119-1))-(F119*_int_inv_/((1+_int_inv_)^G119-1))</f>
        <v>0</v>
      </c>
      <c r="I119" s="251">
        <v>0.01</v>
      </c>
      <c r="J119" s="109">
        <f>E119*I119</f>
        <v>0</v>
      </c>
      <c r="K119" s="36">
        <f>_tax_ins_</f>
        <v>6.7999999999999996E-3</v>
      </c>
      <c r="L119" s="109">
        <f>E119*K119</f>
        <v>0</v>
      </c>
      <c r="M119" s="109">
        <f>H119+J119+L119</f>
        <v>0</v>
      </c>
      <c r="N119" s="34"/>
      <c r="O119" s="34"/>
      <c r="P119" s="34"/>
      <c r="Q119" s="34"/>
      <c r="R119" s="34"/>
      <c r="S119" s="34"/>
      <c r="T119" s="34"/>
      <c r="U119" s="34"/>
      <c r="V119" s="34"/>
      <c r="W119" s="34"/>
    </row>
    <row r="120" spans="1:23" x14ac:dyDescent="0.3">
      <c r="B120" s="33"/>
      <c r="C120" s="34"/>
      <c r="D120" s="109"/>
      <c r="E120" s="109"/>
      <c r="F120" s="109"/>
      <c r="G120" s="34"/>
      <c r="H120" s="109"/>
      <c r="I120" s="35"/>
      <c r="J120" s="110"/>
      <c r="K120" s="35"/>
      <c r="L120" s="110"/>
      <c r="M120" s="109"/>
      <c r="N120" s="34"/>
      <c r="O120" s="34"/>
      <c r="P120" s="34"/>
      <c r="Q120" s="34"/>
      <c r="R120" s="34"/>
      <c r="S120" s="34"/>
      <c r="T120" s="34"/>
      <c r="U120" s="34"/>
      <c r="V120" s="34"/>
      <c r="W120" s="34"/>
    </row>
    <row r="121" spans="1:23" ht="13.5" x14ac:dyDescent="0.35">
      <c r="A121" s="1" t="s">
        <v>68</v>
      </c>
      <c r="B121" s="33"/>
      <c r="C121" s="34"/>
      <c r="D121" s="109"/>
      <c r="E121" s="109">
        <f>SUM(E7:E119)</f>
        <v>387392.87672293611</v>
      </c>
      <c r="F121" s="109">
        <f>SUM(F7:F119)</f>
        <v>106023.41395732937</v>
      </c>
      <c r="G121" s="34"/>
      <c r="H121" s="109">
        <f>SUM(H7:H119)</f>
        <v>10949.637435354893</v>
      </c>
      <c r="I121" s="35"/>
      <c r="J121" s="109">
        <f>SUM(J7:J119)</f>
        <v>7273.7209198926485</v>
      </c>
      <c r="K121" s="35"/>
      <c r="L121" s="109">
        <f>SUM(L7:L119)</f>
        <v>2634.2715617159656</v>
      </c>
      <c r="M121" s="109">
        <f>SUM(M7:M119)</f>
        <v>20857.629916963509</v>
      </c>
      <c r="N121" s="34"/>
      <c r="O121" s="34"/>
      <c r="P121" s="34"/>
      <c r="Q121" s="34"/>
      <c r="R121" s="34"/>
      <c r="S121" s="34"/>
      <c r="T121" s="34"/>
      <c r="U121" s="34"/>
      <c r="V121" s="34"/>
      <c r="W121" s="34"/>
    </row>
    <row r="122" spans="1:23" x14ac:dyDescent="0.3">
      <c r="B122" s="33"/>
      <c r="C122" s="34"/>
      <c r="D122" s="109"/>
      <c r="E122" s="109"/>
      <c r="F122" s="109"/>
      <c r="G122" s="34"/>
      <c r="H122" s="112"/>
      <c r="I122" s="35"/>
      <c r="J122" s="34"/>
      <c r="K122" s="35"/>
      <c r="L122" s="110"/>
      <c r="M122" s="109"/>
      <c r="N122" s="34"/>
      <c r="O122" s="34"/>
      <c r="P122" s="34"/>
      <c r="Q122" s="34"/>
      <c r="R122" s="34"/>
      <c r="S122" s="34"/>
      <c r="T122" s="34"/>
      <c r="U122" s="34"/>
      <c r="V122" s="34"/>
      <c r="W122" s="34"/>
    </row>
    <row r="123" spans="1:23" x14ac:dyDescent="0.3">
      <c r="B123" s="33"/>
      <c r="C123" s="34"/>
      <c r="D123" s="109"/>
      <c r="E123" s="109"/>
      <c r="F123" s="109"/>
      <c r="G123" s="34"/>
      <c r="H123" s="32"/>
      <c r="I123" s="35"/>
      <c r="J123" s="34"/>
      <c r="K123" s="35"/>
      <c r="L123" s="110"/>
      <c r="M123" s="109"/>
      <c r="N123" s="34"/>
      <c r="O123" s="34"/>
      <c r="P123" s="34"/>
      <c r="Q123" s="34"/>
      <c r="R123" s="34"/>
      <c r="S123" s="34"/>
      <c r="T123" s="34"/>
      <c r="U123" s="34"/>
      <c r="V123" s="34"/>
      <c r="W123" s="34"/>
    </row>
    <row r="124" spans="1:23" x14ac:dyDescent="0.3">
      <c r="B124" s="33"/>
      <c r="C124" s="34"/>
      <c r="D124" s="134" t="s">
        <v>136</v>
      </c>
      <c r="E124" s="109"/>
      <c r="F124" s="109"/>
      <c r="G124" s="34"/>
      <c r="H124" s="32"/>
      <c r="I124" s="35"/>
      <c r="J124" s="34"/>
      <c r="K124" s="35"/>
      <c r="L124" s="34"/>
      <c r="M124" s="32"/>
      <c r="N124" s="34"/>
      <c r="O124" s="34"/>
      <c r="P124" s="34"/>
      <c r="Q124" s="34"/>
      <c r="R124" s="34"/>
      <c r="S124" s="34"/>
      <c r="T124" s="34"/>
      <c r="U124" s="34"/>
      <c r="V124" s="34"/>
      <c r="W124" s="34"/>
    </row>
    <row r="125" spans="1:23" x14ac:dyDescent="0.3">
      <c r="B125" s="33"/>
      <c r="C125" s="34"/>
      <c r="D125" s="110" t="s">
        <v>1828</v>
      </c>
      <c r="E125" s="109">
        <f>SUM(E7:E103)</f>
        <v>284078.31962907233</v>
      </c>
      <c r="F125" s="109"/>
      <c r="G125" s="34"/>
      <c r="H125" s="32"/>
      <c r="I125" s="35"/>
      <c r="J125" s="34"/>
      <c r="K125" s="35"/>
      <c r="L125" s="34"/>
      <c r="M125" s="32"/>
      <c r="N125" s="34"/>
      <c r="O125" s="34"/>
      <c r="P125" s="34"/>
      <c r="Q125" s="34"/>
      <c r="R125" s="34"/>
      <c r="S125" s="34"/>
      <c r="T125" s="34"/>
      <c r="U125" s="34"/>
      <c r="V125" s="34"/>
      <c r="W125" s="34"/>
    </row>
    <row r="126" spans="1:23" x14ac:dyDescent="0.3">
      <c r="B126" s="33"/>
      <c r="C126" s="34"/>
      <c r="D126" s="110" t="s">
        <v>1829</v>
      </c>
      <c r="E126" s="109">
        <f>SUM(E105:E108)</f>
        <v>75000</v>
      </c>
      <c r="F126" s="109"/>
      <c r="G126" s="34"/>
      <c r="H126" s="32"/>
      <c r="I126" s="35"/>
      <c r="J126" s="34"/>
      <c r="K126" s="35"/>
      <c r="L126" s="34"/>
      <c r="M126" s="32"/>
      <c r="N126" s="34"/>
      <c r="O126" s="34"/>
      <c r="P126" s="34"/>
      <c r="Q126" s="34"/>
      <c r="R126" s="34"/>
      <c r="S126" s="34"/>
      <c r="T126" s="34"/>
      <c r="U126" s="34"/>
      <c r="V126" s="34"/>
      <c r="W126" s="34"/>
    </row>
    <row r="127" spans="1:23" x14ac:dyDescent="0.3">
      <c r="B127" s="33"/>
      <c r="C127" s="34"/>
      <c r="D127" s="127" t="s">
        <v>1830</v>
      </c>
      <c r="E127" s="111">
        <f>SUM(E110:E116)</f>
        <v>28314.557093863808</v>
      </c>
      <c r="F127" s="109"/>
      <c r="G127" s="34"/>
      <c r="H127" s="32"/>
      <c r="I127" s="34"/>
      <c r="J127" s="34"/>
      <c r="K127" s="35"/>
      <c r="L127" s="34"/>
      <c r="M127" s="32"/>
      <c r="N127" s="34"/>
      <c r="O127" s="34"/>
      <c r="P127" s="34"/>
      <c r="Q127" s="34"/>
      <c r="R127" s="34"/>
      <c r="S127" s="34"/>
      <c r="T127" s="34"/>
      <c r="U127" s="34"/>
      <c r="V127" s="34"/>
      <c r="W127" s="34"/>
    </row>
    <row r="128" spans="1:23" x14ac:dyDescent="0.3">
      <c r="B128" s="33"/>
      <c r="C128" s="34"/>
      <c r="D128" s="135" t="s">
        <v>1831</v>
      </c>
      <c r="E128" s="109">
        <f>SUM(E125:E127)</f>
        <v>387392.87672293611</v>
      </c>
      <c r="F128" s="109"/>
      <c r="G128" s="34"/>
      <c r="H128" s="32"/>
      <c r="I128" s="34"/>
      <c r="J128" s="34"/>
      <c r="K128" s="35"/>
      <c r="L128" s="34"/>
      <c r="M128" s="32"/>
      <c r="N128" s="34"/>
      <c r="O128" s="34"/>
      <c r="P128" s="34"/>
      <c r="Q128" s="34"/>
      <c r="R128" s="34"/>
      <c r="S128" s="34"/>
      <c r="T128" s="34"/>
      <c r="U128" s="34"/>
      <c r="V128" s="34"/>
      <c r="W128" s="34"/>
    </row>
    <row r="129" spans="2:23" x14ac:dyDescent="0.3">
      <c r="B129" s="33"/>
      <c r="C129" s="34"/>
      <c r="D129" s="32"/>
      <c r="E129" s="32"/>
      <c r="F129" s="32"/>
      <c r="G129" s="34"/>
      <c r="H129" s="32"/>
      <c r="I129" s="34"/>
      <c r="J129" s="34"/>
      <c r="K129" s="35"/>
      <c r="L129" s="34"/>
      <c r="M129" s="32"/>
      <c r="N129" s="34"/>
      <c r="O129" s="34"/>
      <c r="P129" s="34"/>
      <c r="Q129" s="34"/>
      <c r="R129" s="34"/>
      <c r="S129" s="34"/>
      <c r="T129" s="34"/>
      <c r="U129" s="34"/>
      <c r="V129" s="34"/>
      <c r="W129" s="34"/>
    </row>
    <row r="130" spans="2:23" x14ac:dyDescent="0.3">
      <c r="B130" s="33"/>
      <c r="C130" s="34"/>
      <c r="D130" s="32"/>
      <c r="E130" s="32"/>
      <c r="F130" s="32"/>
      <c r="G130" s="34"/>
      <c r="H130" s="32"/>
      <c r="I130" s="34"/>
      <c r="J130" s="34"/>
      <c r="K130" s="35"/>
      <c r="L130" s="34"/>
      <c r="M130" s="32"/>
      <c r="N130" s="34"/>
      <c r="O130" s="34"/>
      <c r="P130" s="34"/>
      <c r="Q130" s="34"/>
      <c r="R130" s="34"/>
      <c r="S130" s="34"/>
      <c r="T130" s="34"/>
      <c r="U130" s="34"/>
      <c r="V130" s="34"/>
      <c r="W130" s="34"/>
    </row>
    <row r="131" spans="2:23" x14ac:dyDescent="0.3">
      <c r="B131" s="33"/>
      <c r="C131" s="34"/>
      <c r="D131" s="32"/>
      <c r="E131" s="32"/>
      <c r="F131" s="32"/>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4"/>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4"/>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4"/>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K846" s="40"/>
    </row>
    <row r="847" spans="2:23" x14ac:dyDescent="0.3">
      <c r="K847" s="40"/>
    </row>
    <row r="848" spans="2:23"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sheetData>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52"/>
  <sheetViews>
    <sheetView workbookViewId="0">
      <pane ySplit="7" topLeftCell="A8" activePane="bottomLeft" state="frozen"/>
      <selection pane="bottomLeft" activeCell="B20" sqref="B20"/>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9" x14ac:dyDescent="0.3">
      <c r="A1" s="61" t="s">
        <v>146</v>
      </c>
      <c r="B1" s="17" t="str">
        <f>model</f>
        <v>ME Grain &amp; Pulse</v>
      </c>
      <c r="E1" s="598" t="s">
        <v>106</v>
      </c>
      <c r="F1" s="55" t="s">
        <v>182</v>
      </c>
      <c r="G1" s="55" t="s">
        <v>108</v>
      </c>
    </row>
    <row r="2" spans="1:9" x14ac:dyDescent="0.3">
      <c r="E2" s="598" t="s">
        <v>104</v>
      </c>
      <c r="F2" s="26">
        <f>Data!B132</f>
        <v>282.5</v>
      </c>
      <c r="G2" s="24">
        <f>F2/$F$4</f>
        <v>1</v>
      </c>
    </row>
    <row r="3" spans="1:9" x14ac:dyDescent="0.3">
      <c r="B3" s="4"/>
      <c r="E3" s="598" t="s">
        <v>2107</v>
      </c>
      <c r="F3" s="41">
        <f>(Data!B244*Data!K66)/100</f>
        <v>0</v>
      </c>
      <c r="G3" s="57">
        <f>F3/$F$4</f>
        <v>0</v>
      </c>
    </row>
    <row r="4" spans="1:9" x14ac:dyDescent="0.3">
      <c r="A4" s="7" t="s">
        <v>2108</v>
      </c>
      <c r="B4" s="8" t="s">
        <v>92</v>
      </c>
      <c r="C4" s="65">
        <f>buckwheat</f>
        <v>100</v>
      </c>
      <c r="D4" s="4" t="s">
        <v>93</v>
      </c>
      <c r="F4" s="26">
        <f>SUM(F2:F3)</f>
        <v>282.5</v>
      </c>
      <c r="G4" s="24">
        <f>SUM(G2:G3)</f>
        <v>1</v>
      </c>
    </row>
    <row r="6" spans="1:9" ht="13.5" x14ac:dyDescent="0.35">
      <c r="A6" s="5" t="s">
        <v>0</v>
      </c>
    </row>
    <row r="7" spans="1:9" s="27" customFormat="1" ht="26" x14ac:dyDescent="0.3">
      <c r="A7" s="41"/>
      <c r="B7" s="391" t="s">
        <v>919</v>
      </c>
      <c r="C7" s="42" t="s">
        <v>21</v>
      </c>
      <c r="D7" s="42" t="s">
        <v>22</v>
      </c>
      <c r="E7" s="646" t="s">
        <v>900</v>
      </c>
      <c r="F7" s="42" t="s">
        <v>23</v>
      </c>
      <c r="G7" s="42" t="s">
        <v>24</v>
      </c>
      <c r="H7" s="42" t="s">
        <v>65</v>
      </c>
    </row>
    <row r="8" spans="1:9" x14ac:dyDescent="0.3">
      <c r="A8" s="3" t="s">
        <v>13</v>
      </c>
      <c r="B8" s="3"/>
    </row>
    <row r="9" spans="1:9" x14ac:dyDescent="0.3">
      <c r="A9" s="638" t="s">
        <v>2107</v>
      </c>
      <c r="B9" s="405">
        <f>IF(INPUT!$J$17&gt;0,1,0)</f>
        <v>1</v>
      </c>
      <c r="C9" s="816">
        <f>INPUT!$J$17</f>
        <v>70</v>
      </c>
      <c r="D9" s="34" t="s">
        <v>126</v>
      </c>
      <c r="E9" s="226">
        <f>C9*buckwheat</f>
        <v>7000</v>
      </c>
      <c r="F9" s="371">
        <f>INPUT!J18</f>
        <v>1.06</v>
      </c>
      <c r="G9" s="114">
        <f>C9*F9</f>
        <v>74.2</v>
      </c>
      <c r="H9" s="109">
        <f>B9*G9*buckwheat</f>
        <v>7420</v>
      </c>
      <c r="I9" s="108">
        <f>SUM(H9:H9)</f>
        <v>7420</v>
      </c>
    </row>
    <row r="10" spans="1:9" x14ac:dyDescent="0.3">
      <c r="A10" s="3" t="s">
        <v>1</v>
      </c>
      <c r="B10" s="3"/>
      <c r="C10" s="46"/>
      <c r="D10" s="34"/>
      <c r="E10" s="226"/>
      <c r="F10" s="167"/>
      <c r="G10" s="114"/>
      <c r="H10" s="109"/>
    </row>
    <row r="11" spans="1:9" x14ac:dyDescent="0.3">
      <c r="A11" s="638" t="str">
        <f>IF(INPUT!$K$29="Chicken Manure", "Chicken Manure", "None")</f>
        <v>None</v>
      </c>
      <c r="B11" s="405">
        <f>IF(INPUT!$J$29="Chicken Manure",1,0)</f>
        <v>0</v>
      </c>
      <c r="C11" s="816">
        <f>IF(INPUT!$J$29="Chicken Manure",INPUT!$J$32,0)</f>
        <v>0</v>
      </c>
      <c r="D11" s="34" t="str">
        <f>IF(INPUT!$J$29="Chicken Manure",INPUT!$J$31,"ton")</f>
        <v>ton</v>
      </c>
      <c r="E11" s="226">
        <f>C11*buckwheat</f>
        <v>0</v>
      </c>
      <c r="F11" s="901">
        <f>IF(INPUT!$J$29="Chicken Manure",INPUT!$J$33,0)</f>
        <v>0</v>
      </c>
      <c r="G11" s="110">
        <f>C11*F11</f>
        <v>0</v>
      </c>
      <c r="H11" s="109">
        <f>B11*G11*buckwheat</f>
        <v>0</v>
      </c>
    </row>
    <row r="12" spans="1:9" x14ac:dyDescent="0.3">
      <c r="A12" s="638" t="str">
        <f>IF(INPUT!$K$35="Chilean Nitrate", "Chilean Nitrate", "None")</f>
        <v>None</v>
      </c>
      <c r="B12" s="405">
        <f>IF(INPUT!$J$35="Chilean Nitrate",1,0)</f>
        <v>0</v>
      </c>
      <c r="C12" s="816">
        <f>IF(INPUT!$J$35="Chicken Manure",INPUT!$J$38,0)</f>
        <v>0</v>
      </c>
      <c r="D12" s="34" t="str">
        <f>IF(INPUT!$J$35="Chilean Nitrate",INPUT!$J$37,"lb")</f>
        <v>lb</v>
      </c>
      <c r="E12" s="226">
        <f>C12*buckwheat</f>
        <v>0</v>
      </c>
      <c r="F12" s="901">
        <f>IF(INPUT!$J$35="Chicken Manure",INPUT!$J$39,0)</f>
        <v>0</v>
      </c>
      <c r="G12" s="110">
        <f>C12*F12</f>
        <v>0</v>
      </c>
      <c r="H12" s="109">
        <f>B12*G12*buckwheat</f>
        <v>0</v>
      </c>
      <c r="I12" s="108">
        <f>SUM(H10:H12)</f>
        <v>0</v>
      </c>
    </row>
    <row r="13" spans="1:9" x14ac:dyDescent="0.3">
      <c r="A13" s="638" t="s">
        <v>2</v>
      </c>
      <c r="B13" s="405">
        <f>INPUT!$J$41</f>
        <v>0</v>
      </c>
      <c r="C13" s="369">
        <f>INPUT!$J$43/INPUT!$J$44</f>
        <v>0.2</v>
      </c>
      <c r="D13" s="34" t="str">
        <f>INPUT!$J$42</f>
        <v>ton</v>
      </c>
      <c r="E13" s="226">
        <f>C13*buckwheat</f>
        <v>20</v>
      </c>
      <c r="F13" s="109">
        <f>INPUT!$J$45</f>
        <v>38.260869565217398</v>
      </c>
      <c r="G13" s="114">
        <f>C13*F13</f>
        <v>7.6521739130434803</v>
      </c>
      <c r="H13" s="109">
        <f>B13*G13*buckwheat</f>
        <v>0</v>
      </c>
      <c r="I13" s="108">
        <f>SUM(H13:H13)</f>
        <v>0</v>
      </c>
    </row>
    <row r="14" spans="1:9" x14ac:dyDescent="0.3">
      <c r="A14" s="3" t="s">
        <v>1476</v>
      </c>
      <c r="B14" s="3"/>
      <c r="C14" s="46"/>
      <c r="D14" s="34"/>
      <c r="E14" s="226"/>
      <c r="F14" s="104"/>
      <c r="G14" s="114"/>
      <c r="H14" s="109"/>
    </row>
    <row r="15" spans="1:9" x14ac:dyDescent="0.3">
      <c r="A15" s="638" t="s">
        <v>1577</v>
      </c>
      <c r="B15" s="405">
        <f>IF(INPUT!$J$47=1,1,0)</f>
        <v>0</v>
      </c>
      <c r="C15" s="816">
        <f>INPUT!$J$49</f>
        <v>0</v>
      </c>
      <c r="D15" s="34" t="str">
        <f>INPUT!$J$48</f>
        <v>lb</v>
      </c>
      <c r="E15" s="226">
        <f>C15*buckwheat</f>
        <v>0</v>
      </c>
      <c r="F15" s="900">
        <f>INPUT!$J$50</f>
        <v>0</v>
      </c>
      <c r="G15" s="110">
        <f>C15*F15</f>
        <v>0</v>
      </c>
      <c r="H15" s="109">
        <f>B15*G15*buckwheat</f>
        <v>0</v>
      </c>
    </row>
    <row r="16" spans="1:9" x14ac:dyDescent="0.3">
      <c r="A16" s="6" t="s">
        <v>1477</v>
      </c>
      <c r="B16" s="397">
        <v>0</v>
      </c>
      <c r="C16" s="273">
        <v>0</v>
      </c>
      <c r="D16" s="34" t="s">
        <v>220</v>
      </c>
      <c r="E16" s="226">
        <f>C16*buckwheat</f>
        <v>0</v>
      </c>
      <c r="F16" s="252">
        <v>0</v>
      </c>
      <c r="G16" s="110">
        <f>C16*F16</f>
        <v>0</v>
      </c>
      <c r="H16" s="109">
        <f>B16*G16*buckwheat</f>
        <v>0</v>
      </c>
    </row>
    <row r="17" spans="1:12" x14ac:dyDescent="0.3">
      <c r="A17" s="6" t="s">
        <v>1479</v>
      </c>
      <c r="B17" s="397">
        <v>0</v>
      </c>
      <c r="C17" s="273">
        <v>0</v>
      </c>
      <c r="D17" s="34" t="s">
        <v>220</v>
      </c>
      <c r="E17" s="226">
        <f>C17*buckwheat</f>
        <v>0</v>
      </c>
      <c r="F17" s="252">
        <v>0</v>
      </c>
      <c r="G17" s="110">
        <f>C17*F17</f>
        <v>0</v>
      </c>
      <c r="H17" s="109">
        <f>B17*G17*buckwheat</f>
        <v>0</v>
      </c>
      <c r="I17" s="108">
        <f>SUM(H14:H17)</f>
        <v>0</v>
      </c>
    </row>
    <row r="18" spans="1:12" x14ac:dyDescent="0.3">
      <c r="A18" s="3" t="s">
        <v>14</v>
      </c>
      <c r="B18" s="3"/>
      <c r="C18" s="46"/>
      <c r="D18" s="34"/>
      <c r="E18" s="226"/>
      <c r="F18" s="104"/>
      <c r="G18" s="114"/>
      <c r="H18" s="109"/>
    </row>
    <row r="19" spans="1:12" x14ac:dyDescent="0.3">
      <c r="A19" s="22" t="s">
        <v>332</v>
      </c>
      <c r="B19" s="22"/>
      <c r="C19" s="46"/>
      <c r="D19" s="34"/>
      <c r="E19" s="226"/>
      <c r="F19" s="104"/>
      <c r="G19" s="114"/>
      <c r="H19" s="109"/>
    </row>
    <row r="20" spans="1:12" x14ac:dyDescent="0.3">
      <c r="A20" s="639" t="s">
        <v>1903</v>
      </c>
      <c r="B20" s="405">
        <f>IF(OS!$X$7="Moldboard Plow",OS!Y7,0)</f>
        <v>0</v>
      </c>
      <c r="C20" s="156">
        <f>IF(OSI!$J$8&gt;0,(1/OSI!$J$8),Data!$H$579)</f>
        <v>0.23980815347721804</v>
      </c>
      <c r="D20" s="34" t="s">
        <v>128</v>
      </c>
      <c r="E20" s="226">
        <f t="shared" ref="E20:E38" si="0">C20*buckwheat</f>
        <v>23.980815347721805</v>
      </c>
      <c r="F20" s="167">
        <f>_wage_</f>
        <v>12.29</v>
      </c>
      <c r="G20" s="114">
        <f>C20*F20</f>
        <v>2.9472422062350097</v>
      </c>
      <c r="H20" s="109">
        <f t="shared" ref="H20:H38" si="1">B20*G20*buckwheat</f>
        <v>0</v>
      </c>
    </row>
    <row r="21" spans="1:12" x14ac:dyDescent="0.3">
      <c r="A21" s="639" t="s">
        <v>468</v>
      </c>
      <c r="B21" s="405">
        <f>IF(OS!$X$8="Spr.Sld.Man.",OS!Y8,0)</f>
        <v>1</v>
      </c>
      <c r="C21" s="156">
        <f>IF(OSI!$J$9&gt;0,(1/OSI!$J$9),Data!$H$585)</f>
        <v>0.25</v>
      </c>
      <c r="D21" s="34" t="s">
        <v>128</v>
      </c>
      <c r="E21" s="226">
        <f t="shared" si="0"/>
        <v>25</v>
      </c>
      <c r="F21" s="167">
        <f>_wage_</f>
        <v>12.29</v>
      </c>
      <c r="G21" s="114">
        <f>C21*F21</f>
        <v>3.0724999999999998</v>
      </c>
      <c r="H21" s="109">
        <f t="shared" si="1"/>
        <v>307.25</v>
      </c>
    </row>
    <row r="22" spans="1:12" x14ac:dyDescent="0.3">
      <c r="A22" s="640" t="s">
        <v>1427</v>
      </c>
      <c r="B22" s="405">
        <f>IF(OS!$X$9="Chisel Plow",OS!Y9,0)</f>
        <v>1</v>
      </c>
      <c r="C22" s="156">
        <f>IF(OSI!$J$10&gt;0,(1/OSI!$J$10),Data!$H$580)</f>
        <v>0.11764705882352899</v>
      </c>
      <c r="D22" s="34" t="s">
        <v>128</v>
      </c>
      <c r="E22" s="226">
        <f t="shared" si="0"/>
        <v>11.764705882352899</v>
      </c>
      <c r="F22" s="167">
        <f>_wage_</f>
        <v>12.29</v>
      </c>
      <c r="G22" s="114">
        <f>C22*F22</f>
        <v>1.4458823529411713</v>
      </c>
      <c r="H22" s="109">
        <f t="shared" si="1"/>
        <v>144.58823529411714</v>
      </c>
    </row>
    <row r="23" spans="1:12" x14ac:dyDescent="0.3">
      <c r="A23" s="638" t="s">
        <v>485</v>
      </c>
      <c r="B23" s="405">
        <f>IF(OS!$X$10="Disk Harrow",OS!Y10,0)</f>
        <v>1</v>
      </c>
      <c r="C23" s="645">
        <f>IF(OSI!$J$11&gt;0,(1/OSI!$J$11),Data!$H$581)</f>
        <v>8.1833060556464804E-2</v>
      </c>
      <c r="D23" s="34" t="s">
        <v>128</v>
      </c>
      <c r="E23" s="226">
        <f t="shared" si="0"/>
        <v>8.1833060556464812</v>
      </c>
      <c r="F23" s="167">
        <f t="shared" ref="F23:F43" si="2">_wage_</f>
        <v>12.29</v>
      </c>
      <c r="G23" s="114">
        <f t="shared" ref="G23:G37" si="3">C23*F23</f>
        <v>1.0057283142389524</v>
      </c>
      <c r="H23" s="109">
        <f t="shared" si="1"/>
        <v>100.57283142389524</v>
      </c>
    </row>
    <row r="24" spans="1:12" ht="13.5" thickBot="1" x14ac:dyDescent="0.35">
      <c r="A24" s="639" t="s">
        <v>333</v>
      </c>
      <c r="B24" s="405">
        <f>IF(OS!$X$11="Finish Harrow",OS!Y11,0)</f>
        <v>1</v>
      </c>
      <c r="C24" s="645">
        <f>IF(OSI!$J$12&gt;0,(1/OSI!$J$12),Data!$H$589)</f>
        <v>7.7041602465331302E-2</v>
      </c>
      <c r="D24" s="34" t="s">
        <v>128</v>
      </c>
      <c r="E24" s="226">
        <f t="shared" si="0"/>
        <v>7.7041602465331298</v>
      </c>
      <c r="F24" s="104">
        <f t="shared" si="2"/>
        <v>12.29</v>
      </c>
      <c r="G24" s="114">
        <f t="shared" si="3"/>
        <v>0.94684129429892161</v>
      </c>
      <c r="H24" s="109">
        <f t="shared" si="1"/>
        <v>94.684129429892167</v>
      </c>
      <c r="I24" s="216" t="s">
        <v>2166</v>
      </c>
      <c r="K24" s="914" t="s">
        <v>1627</v>
      </c>
      <c r="L24" s="55"/>
    </row>
    <row r="25" spans="1:12" ht="13.5" thickBot="1" x14ac:dyDescent="0.35">
      <c r="A25" s="639" t="s">
        <v>334</v>
      </c>
      <c r="B25" s="405">
        <f>IF(OS!$X$12="Grain Drill",OS!Y12,0)</f>
        <v>1</v>
      </c>
      <c r="C25" s="156">
        <f>IF(OSI!$J$13&gt;0,(1/OSI!$J$14),Data!$H$594)</f>
        <v>7.7041602465331302E-2</v>
      </c>
      <c r="D25" s="34" t="s">
        <v>128</v>
      </c>
      <c r="E25" s="226">
        <f t="shared" si="0"/>
        <v>7.7041602465331298</v>
      </c>
      <c r="F25" s="104">
        <f t="shared" si="2"/>
        <v>12.29</v>
      </c>
      <c r="G25" s="114">
        <f>C25*F25</f>
        <v>0.94684129429892161</v>
      </c>
      <c r="H25" s="109">
        <f t="shared" si="1"/>
        <v>94.684129429892167</v>
      </c>
      <c r="I25" s="216" t="s">
        <v>1627</v>
      </c>
      <c r="K25" s="56" t="s">
        <v>1630</v>
      </c>
      <c r="L25" s="913" t="s">
        <v>1625</v>
      </c>
    </row>
    <row r="26" spans="1:12" ht="13.5" thickBot="1" x14ac:dyDescent="0.35">
      <c r="A26" s="639" t="s">
        <v>2218</v>
      </c>
      <c r="B26" s="405">
        <f>IF(OS!$X$13="Tine Harrow",OS!Y13,0)</f>
        <v>0</v>
      </c>
      <c r="C26" s="645">
        <f>IF(OSI!$J$14&gt;0,(1/OSI!$J$14),Data!$H$591)</f>
        <v>7.7041602465331302E-2</v>
      </c>
      <c r="D26" s="34" t="s">
        <v>128</v>
      </c>
      <c r="E26" s="226">
        <f t="shared" si="0"/>
        <v>7.7041602465331298</v>
      </c>
      <c r="F26" s="104">
        <f t="shared" si="2"/>
        <v>12.29</v>
      </c>
      <c r="G26" s="114">
        <f t="shared" si="3"/>
        <v>0.94684129429892161</v>
      </c>
      <c r="H26" s="109">
        <f t="shared" si="1"/>
        <v>0</v>
      </c>
      <c r="I26" s="643">
        <v>2</v>
      </c>
      <c r="J26" s="668" t="s">
        <v>2217</v>
      </c>
      <c r="K26" s="55">
        <f>IF(OS!$X$13="None",0,1)</f>
        <v>0</v>
      </c>
      <c r="L26" s="1331">
        <f>OS!Y13</f>
        <v>0</v>
      </c>
    </row>
    <row r="27" spans="1:12" x14ac:dyDescent="0.3">
      <c r="A27" s="22" t="s">
        <v>315</v>
      </c>
      <c r="B27" s="397">
        <v>0</v>
      </c>
      <c r="C27" s="156">
        <f>Data!H582</f>
        <v>0.48</v>
      </c>
      <c r="D27" s="34" t="s">
        <v>128</v>
      </c>
      <c r="E27" s="226">
        <f t="shared" si="0"/>
        <v>48</v>
      </c>
      <c r="F27" s="167">
        <f t="shared" si="2"/>
        <v>12.29</v>
      </c>
      <c r="G27" s="114">
        <f t="shared" si="3"/>
        <v>5.8991999999999996</v>
      </c>
      <c r="H27" s="109">
        <f t="shared" si="1"/>
        <v>0</v>
      </c>
    </row>
    <row r="28" spans="1:12" ht="13.5" thickBot="1" x14ac:dyDescent="0.35">
      <c r="A28" s="22" t="s">
        <v>338</v>
      </c>
      <c r="B28" s="397">
        <v>0</v>
      </c>
      <c r="C28" s="156">
        <f>Data!H592</f>
        <v>9.8335351450666228E-2</v>
      </c>
      <c r="D28" s="34" t="s">
        <v>128</v>
      </c>
      <c r="E28" s="226">
        <f t="shared" si="0"/>
        <v>9.8335351450666231</v>
      </c>
      <c r="F28" s="167">
        <f t="shared" si="2"/>
        <v>12.29</v>
      </c>
      <c r="G28" s="114">
        <f t="shared" si="3"/>
        <v>1.2085414693286878</v>
      </c>
      <c r="H28" s="109">
        <f t="shared" si="1"/>
        <v>0</v>
      </c>
      <c r="K28" s="914" t="s">
        <v>1627</v>
      </c>
    </row>
    <row r="29" spans="1:12" ht="13.5" thickBot="1" x14ac:dyDescent="0.35">
      <c r="A29" s="22" t="s">
        <v>1284</v>
      </c>
      <c r="B29" s="397">
        <v>0</v>
      </c>
      <c r="C29" s="156">
        <f>Data!H595</f>
        <v>0.3933414058026653</v>
      </c>
      <c r="D29" s="34" t="s">
        <v>128</v>
      </c>
      <c r="E29" s="226">
        <f t="shared" si="0"/>
        <v>39.334140580266528</v>
      </c>
      <c r="F29" s="167">
        <f t="shared" si="2"/>
        <v>12.29</v>
      </c>
      <c r="G29" s="114">
        <f t="shared" si="3"/>
        <v>4.8341658773147564</v>
      </c>
      <c r="H29" s="109">
        <f t="shared" si="1"/>
        <v>0</v>
      </c>
      <c r="K29" s="56" t="s">
        <v>1630</v>
      </c>
      <c r="L29" s="913" t="s">
        <v>1625</v>
      </c>
    </row>
    <row r="30" spans="1:12" ht="13.5" thickBot="1" x14ac:dyDescent="0.35">
      <c r="A30" s="639" t="s">
        <v>340</v>
      </c>
      <c r="B30" s="405">
        <f>IF(OS!$X$14="Cultivate",OS!Y14,0)</f>
        <v>0</v>
      </c>
      <c r="C30" s="645">
        <f>IF(OSI!$J$15&gt;0,(1/OSI!$J$15),Data!$H$606)</f>
        <v>6.4724919093851099E-2</v>
      </c>
      <c r="D30" s="34" t="s">
        <v>128</v>
      </c>
      <c r="E30" s="226">
        <f t="shared" si="0"/>
        <v>6.4724919093851101</v>
      </c>
      <c r="F30" s="167">
        <f t="shared" si="2"/>
        <v>12.29</v>
      </c>
      <c r="G30" s="114">
        <f>C30*F30</f>
        <v>0.79546925566342996</v>
      </c>
      <c r="H30" s="109">
        <f t="shared" si="1"/>
        <v>0</v>
      </c>
      <c r="J30" s="668" t="s">
        <v>1607</v>
      </c>
      <c r="K30" s="55">
        <f>IF(OS!$X$14="None",0,1)</f>
        <v>0</v>
      </c>
      <c r="L30" s="1331">
        <f>OS!Y14</f>
        <v>0</v>
      </c>
    </row>
    <row r="31" spans="1:12" x14ac:dyDescent="0.3">
      <c r="A31" s="639" t="s">
        <v>1626</v>
      </c>
      <c r="B31" s="405">
        <f>IF(OS!$X$15="Spr.Chilean N",OS!Y15,0)</f>
        <v>0</v>
      </c>
      <c r="C31" s="645">
        <f>IF(OSI!$J$16&gt;0,(1/OSI!$J$16),Data!$H$584)</f>
        <v>9.2929292929292903E-2</v>
      </c>
      <c r="D31" s="34" t="s">
        <v>128</v>
      </c>
      <c r="E31" s="226">
        <f t="shared" si="0"/>
        <v>9.2929292929292906</v>
      </c>
      <c r="F31" s="167">
        <f t="shared" si="2"/>
        <v>12.29</v>
      </c>
      <c r="G31" s="114">
        <f>C31*F31</f>
        <v>1.1421010101010096</v>
      </c>
      <c r="H31" s="109">
        <f t="shared" si="1"/>
        <v>0</v>
      </c>
    </row>
    <row r="32" spans="1:12" x14ac:dyDescent="0.3">
      <c r="A32" s="22" t="s">
        <v>304</v>
      </c>
      <c r="B32" s="397">
        <v>0</v>
      </c>
      <c r="C32" s="156">
        <f>Data!H600</f>
        <v>0.11851851851851852</v>
      </c>
      <c r="D32" s="34" t="s">
        <v>128</v>
      </c>
      <c r="E32" s="226">
        <f t="shared" si="0"/>
        <v>11.851851851851853</v>
      </c>
      <c r="F32" s="167">
        <f t="shared" si="2"/>
        <v>12.29</v>
      </c>
      <c r="G32" s="114">
        <f t="shared" si="3"/>
        <v>1.4565925925925924</v>
      </c>
      <c r="H32" s="109">
        <f t="shared" si="1"/>
        <v>0</v>
      </c>
    </row>
    <row r="33" spans="1:21" x14ac:dyDescent="0.3">
      <c r="A33" s="639" t="s">
        <v>1628</v>
      </c>
      <c r="B33" s="405">
        <f>IF(OS!$X$16="Spray Fung.",OS!Y16,0)</f>
        <v>0</v>
      </c>
      <c r="C33" s="156">
        <f>IF(OSI!$J$17&gt;0,(1/OSI!$J$17),Data!$H$601)</f>
        <v>2.169668040789759E-2</v>
      </c>
      <c r="D33" s="34" t="s">
        <v>128</v>
      </c>
      <c r="E33" s="226">
        <f t="shared" si="0"/>
        <v>2.1696680407897588</v>
      </c>
      <c r="F33" s="167">
        <f t="shared" si="2"/>
        <v>12.29</v>
      </c>
      <c r="G33" s="114">
        <f>C33*F33</f>
        <v>0.26665220221306135</v>
      </c>
      <c r="H33" s="109">
        <f t="shared" si="1"/>
        <v>0</v>
      </c>
    </row>
    <row r="34" spans="1:21" x14ac:dyDescent="0.3">
      <c r="A34" s="639" t="s">
        <v>2129</v>
      </c>
      <c r="B34" s="405">
        <f>IF(OS!$X$17="Windrow",OS!Y17,0)</f>
        <v>1</v>
      </c>
      <c r="C34" s="156">
        <f>IF(OSI!$J$18&gt;0,(1/OSI!$J$18),Data!$H$614)</f>
        <v>0.2</v>
      </c>
      <c r="D34" s="34" t="s">
        <v>128</v>
      </c>
      <c r="E34" s="226">
        <f t="shared" si="0"/>
        <v>20</v>
      </c>
      <c r="F34" s="167">
        <f t="shared" si="2"/>
        <v>12.29</v>
      </c>
      <c r="G34" s="114">
        <f>C34*F34</f>
        <v>2.4580000000000002</v>
      </c>
      <c r="H34" s="109">
        <f t="shared" si="1"/>
        <v>245.8</v>
      </c>
    </row>
    <row r="35" spans="1:21" x14ac:dyDescent="0.3">
      <c r="A35" s="639" t="s">
        <v>2128</v>
      </c>
      <c r="B35" s="405">
        <f>IF(OS!$X$18="Combine",OS!Y18,0)</f>
        <v>1</v>
      </c>
      <c r="C35" s="156">
        <f>IF(OSI!$J$19&gt;0,(1/OSI!$J$19),Data!$H$614)</f>
        <v>0.33333333333333331</v>
      </c>
      <c r="D35" s="34" t="s">
        <v>128</v>
      </c>
      <c r="E35" s="226">
        <f t="shared" si="0"/>
        <v>33.333333333333329</v>
      </c>
      <c r="F35" s="167">
        <f t="shared" si="2"/>
        <v>12.29</v>
      </c>
      <c r="G35" s="114">
        <f t="shared" si="3"/>
        <v>4.0966666666666658</v>
      </c>
      <c r="H35" s="109">
        <f t="shared" si="1"/>
        <v>409.66666666666657</v>
      </c>
    </row>
    <row r="36" spans="1:21" x14ac:dyDescent="0.3">
      <c r="A36" s="666" t="s">
        <v>1022</v>
      </c>
      <c r="B36" s="397">
        <v>0</v>
      </c>
      <c r="C36" s="47">
        <f>Data!$H$615*Data!$F$236</f>
        <v>0</v>
      </c>
      <c r="D36" s="48" t="s">
        <v>115</v>
      </c>
      <c r="E36" s="647">
        <f t="shared" si="0"/>
        <v>0</v>
      </c>
      <c r="F36" s="118">
        <f>_wage_</f>
        <v>12.29</v>
      </c>
      <c r="G36" s="465">
        <f>C36*F36</f>
        <v>0</v>
      </c>
      <c r="H36" s="123">
        <f t="shared" si="1"/>
        <v>0</v>
      </c>
    </row>
    <row r="37" spans="1:21" x14ac:dyDescent="0.3">
      <c r="A37" s="639" t="s">
        <v>2130</v>
      </c>
      <c r="B37" s="405">
        <f>IF(OS!$X$19="Truck",OS!Y19,0)</f>
        <v>1</v>
      </c>
      <c r="C37" s="156">
        <f>IF(OSI!$J$20&gt;0,(1/OSI!$J$20),Data!$H$638)</f>
        <v>5.2539173489355794E-2</v>
      </c>
      <c r="D37" s="34" t="s">
        <v>128</v>
      </c>
      <c r="E37" s="226">
        <f t="shared" si="0"/>
        <v>5.2539173489355795</v>
      </c>
      <c r="F37" s="167">
        <f t="shared" si="2"/>
        <v>12.29</v>
      </c>
      <c r="G37" s="114">
        <f t="shared" si="3"/>
        <v>0.64570644218418261</v>
      </c>
      <c r="H37" s="109">
        <f t="shared" si="1"/>
        <v>64.570644218418266</v>
      </c>
    </row>
    <row r="38" spans="1:21" x14ac:dyDescent="0.3">
      <c r="A38" s="666" t="s">
        <v>1022</v>
      </c>
      <c r="B38" s="405">
        <f>B37</f>
        <v>1</v>
      </c>
      <c r="C38" s="47">
        <f>Data!$H$639*Data!$F$236</f>
        <v>0</v>
      </c>
      <c r="D38" s="48" t="s">
        <v>115</v>
      </c>
      <c r="E38" s="647">
        <f t="shared" si="0"/>
        <v>0</v>
      </c>
      <c r="F38" s="118">
        <f>_wage_</f>
        <v>12.29</v>
      </c>
      <c r="G38" s="465">
        <f>C38*F38</f>
        <v>0</v>
      </c>
      <c r="H38" s="123">
        <f t="shared" si="1"/>
        <v>0</v>
      </c>
    </row>
    <row r="39" spans="1:21" x14ac:dyDescent="0.3">
      <c r="A39" s="639" t="s">
        <v>1435</v>
      </c>
      <c r="B39" s="832"/>
      <c r="C39" s="47"/>
      <c r="D39" s="48"/>
      <c r="E39" s="647"/>
      <c r="F39" s="118"/>
      <c r="G39" s="465"/>
      <c r="H39" s="123"/>
    </row>
    <row r="40" spans="1:21" x14ac:dyDescent="0.3">
      <c r="A40" s="638" t="s">
        <v>1436</v>
      </c>
      <c r="B40" s="405">
        <f>IF(OS!$X$20="Clean",OS!Y20,0)</f>
        <v>1</v>
      </c>
      <c r="C40" s="156">
        <f>IF(OSI!$J$21&gt;0,(1/OSI!$J$21),Data!$H$673)</f>
        <v>0.36</v>
      </c>
      <c r="D40" s="34" t="s">
        <v>128</v>
      </c>
      <c r="E40" s="226">
        <f>C40*buckwheat</f>
        <v>36</v>
      </c>
      <c r="F40" s="167">
        <f t="shared" ref="F40" si="4">_wage_</f>
        <v>12.29</v>
      </c>
      <c r="G40" s="114">
        <f t="shared" ref="G40" si="5">C40*F40</f>
        <v>4.4243999999999994</v>
      </c>
      <c r="H40" s="109">
        <f>B40*G40*buckwheat</f>
        <v>442.43999999999994</v>
      </c>
    </row>
    <row r="41" spans="1:21" x14ac:dyDescent="0.3">
      <c r="A41" s="666" t="s">
        <v>1022</v>
      </c>
      <c r="B41" s="405">
        <f>B40</f>
        <v>1</v>
      </c>
      <c r="C41" s="47">
        <f>Data!H674*Data!$F$236</f>
        <v>0</v>
      </c>
      <c r="D41" s="48" t="s">
        <v>115</v>
      </c>
      <c r="E41" s="647">
        <f>C41*buckwheat</f>
        <v>0</v>
      </c>
      <c r="F41" s="118">
        <f>_wage_</f>
        <v>12.29</v>
      </c>
      <c r="G41" s="465">
        <f>C41*F41</f>
        <v>0</v>
      </c>
      <c r="H41" s="123">
        <f>B41*G41*buckwheat</f>
        <v>0</v>
      </c>
      <c r="L41" s="4" t="s">
        <v>1077</v>
      </c>
    </row>
    <row r="42" spans="1:21" x14ac:dyDescent="0.3">
      <c r="A42" s="639" t="s">
        <v>1147</v>
      </c>
      <c r="B42" s="22"/>
      <c r="C42" s="46"/>
      <c r="D42" s="34"/>
      <c r="E42" s="226"/>
      <c r="F42" s="90"/>
      <c r="G42" s="114"/>
      <c r="H42" s="109"/>
      <c r="J42" s="588">
        <f>OSI!$E$69</f>
        <v>30000</v>
      </c>
      <c r="K42" s="17" t="s">
        <v>220</v>
      </c>
      <c r="L42" s="17">
        <f>J42/2000</f>
        <v>15</v>
      </c>
      <c r="M42" s="17" t="s">
        <v>26</v>
      </c>
      <c r="N42" s="588">
        <f>OSI!$C$69</f>
        <v>500</v>
      </c>
      <c r="O42" s="17" t="s">
        <v>931</v>
      </c>
      <c r="P42" s="93" t="s">
        <v>944</v>
      </c>
      <c r="Q42" s="93"/>
      <c r="S42" s="588">
        <f>N42*Data!$K$65</f>
        <v>24000</v>
      </c>
      <c r="T42" s="17" t="s">
        <v>220</v>
      </c>
      <c r="U42" s="589">
        <f>S42/J42</f>
        <v>0.8</v>
      </c>
    </row>
    <row r="43" spans="1:21" x14ac:dyDescent="0.3">
      <c r="A43" s="638" t="s">
        <v>1146</v>
      </c>
      <c r="B43" s="405">
        <f>IF(OS!$X$21="Dry",OS!Y21,0)</f>
        <v>1</v>
      </c>
      <c r="C43" s="369">
        <f>IF(OSI!$J$22&gt;0,(1/OSI!$J$22),Data!$H$693)</f>
        <v>0.15607663288704801</v>
      </c>
      <c r="D43" s="34" t="s">
        <v>115</v>
      </c>
      <c r="E43" s="226">
        <f>C43*buckwheat</f>
        <v>15.607663288704801</v>
      </c>
      <c r="F43" s="167">
        <f t="shared" si="2"/>
        <v>12.29</v>
      </c>
      <c r="G43" s="114">
        <f>C43*F43</f>
        <v>1.91818181818182</v>
      </c>
      <c r="H43" s="109">
        <f>B43*G43*buckwheat</f>
        <v>191.81818181818201</v>
      </c>
      <c r="I43" s="108"/>
      <c r="J43" s="588">
        <f>OSI!$E$70</f>
        <v>180</v>
      </c>
      <c r="K43" s="17" t="s">
        <v>220</v>
      </c>
      <c r="L43" s="17">
        <f>J43/2000</f>
        <v>0.09</v>
      </c>
      <c r="M43" s="17" t="s">
        <v>26</v>
      </c>
      <c r="N43" s="588">
        <f>OSI!$C$70</f>
        <v>3</v>
      </c>
      <c r="O43" s="17" t="s">
        <v>931</v>
      </c>
      <c r="P43" s="93" t="s">
        <v>945</v>
      </c>
      <c r="Q43" s="93"/>
      <c r="S43" s="588">
        <f>N43*Data!$K$65</f>
        <v>144</v>
      </c>
      <c r="T43" s="17" t="s">
        <v>220</v>
      </c>
      <c r="U43" s="589">
        <f>S43/J43</f>
        <v>0.8</v>
      </c>
    </row>
    <row r="44" spans="1:21" x14ac:dyDescent="0.3">
      <c r="A44" s="666" t="s">
        <v>1022</v>
      </c>
      <c r="B44" s="405">
        <f>B43</f>
        <v>1</v>
      </c>
      <c r="C44" s="47">
        <f>C43*Data!$F$236</f>
        <v>0</v>
      </c>
      <c r="D44" s="48" t="s">
        <v>115</v>
      </c>
      <c r="E44" s="647">
        <f>C44*buckwheat</f>
        <v>0</v>
      </c>
      <c r="F44" s="118">
        <f>_wage_</f>
        <v>12.29</v>
      </c>
      <c r="G44" s="465">
        <f>C44*F44</f>
        <v>0</v>
      </c>
      <c r="H44" s="123">
        <f>B44*G44*buckwheat</f>
        <v>0</v>
      </c>
      <c r="I44" s="108">
        <f>SUM(H19:H45)</f>
        <v>2096.0748182810635</v>
      </c>
    </row>
    <row r="45" spans="1:21" x14ac:dyDescent="0.3">
      <c r="A45" s="1258" t="s">
        <v>2127</v>
      </c>
      <c r="Q45" s="216" t="s">
        <v>933</v>
      </c>
      <c r="R45" s="216" t="s">
        <v>933</v>
      </c>
      <c r="S45" s="216" t="s">
        <v>2047</v>
      </c>
      <c r="T45" s="216" t="s">
        <v>2050</v>
      </c>
    </row>
    <row r="46" spans="1:21" x14ac:dyDescent="0.3">
      <c r="A46" s="638" t="s">
        <v>938</v>
      </c>
      <c r="H46" s="98"/>
      <c r="J46" s="67" t="s">
        <v>932</v>
      </c>
      <c r="K46" s="216" t="s">
        <v>946</v>
      </c>
      <c r="L46" s="89" t="s">
        <v>2046</v>
      </c>
      <c r="M46" s="89"/>
      <c r="N46" s="89" t="s">
        <v>2046</v>
      </c>
      <c r="O46" s="89"/>
      <c r="P46" s="216" t="s">
        <v>763</v>
      </c>
      <c r="Q46" s="216" t="s">
        <v>2042</v>
      </c>
      <c r="R46" s="216" t="s">
        <v>2043</v>
      </c>
      <c r="S46" s="216" t="s">
        <v>2048</v>
      </c>
      <c r="T46" s="216" t="s">
        <v>2051</v>
      </c>
    </row>
    <row r="47" spans="1:21" x14ac:dyDescent="0.3">
      <c r="A47" s="638" t="s">
        <v>939</v>
      </c>
      <c r="B47" s="405">
        <f>IF(OSI!$J$77&gt;0,1*$P$53,0)</f>
        <v>1</v>
      </c>
      <c r="C47" s="410">
        <f>IF(buckwheat&gt;0,($T$47*((Data!$B$236*buckwheat)/$N$42))/buckwheat,0)</f>
        <v>4.4999999999999998E-2</v>
      </c>
      <c r="D47" s="34" t="s">
        <v>115</v>
      </c>
      <c r="E47" s="226">
        <f>C47*buckwheat</f>
        <v>4.5</v>
      </c>
      <c r="F47" s="167">
        <f t="shared" ref="F47" si="6">_wage_</f>
        <v>12.29</v>
      </c>
      <c r="G47" s="114">
        <f t="shared" ref="G47:G48" si="7">C47*F47</f>
        <v>0.55304999999999993</v>
      </c>
      <c r="H47" s="109">
        <f>B47*G47*buckwheat</f>
        <v>55.304999999999993</v>
      </c>
      <c r="J47" s="55" t="s">
        <v>762</v>
      </c>
      <c r="K47" s="816">
        <f>B47</f>
        <v>1</v>
      </c>
      <c r="L47" s="168">
        <f>IF(buckwheat&gt;0,(K47*(T47*_wage_)*((Data!$B$236*buckwheat)/$N$42))/buckwheat,0)</f>
        <v>0.55304999999999993</v>
      </c>
      <c r="M47" s="22" t="s">
        <v>254</v>
      </c>
      <c r="N47" s="168">
        <f>(T47*_wage_)</f>
        <v>18.434999999999999</v>
      </c>
      <c r="O47" s="22" t="s">
        <v>935</v>
      </c>
      <c r="P47" s="816">
        <f>OSI!$G$69</f>
        <v>20</v>
      </c>
      <c r="Q47" s="816">
        <f>OSI!$G$72</f>
        <v>40</v>
      </c>
      <c r="R47" s="46">
        <f>(P47/Q47)</f>
        <v>0.5</v>
      </c>
      <c r="S47" s="226">
        <f>OSI!$G$73</f>
        <v>1</v>
      </c>
      <c r="T47" s="46">
        <f>SUM(R47:S47)</f>
        <v>1.5</v>
      </c>
    </row>
    <row r="48" spans="1:21" x14ac:dyDescent="0.3">
      <c r="A48" s="666" t="s">
        <v>2025</v>
      </c>
      <c r="B48" s="405">
        <f>IF(Data!$F$236=0,0,1*$P$53)</f>
        <v>0</v>
      </c>
      <c r="C48" s="593">
        <f>C47*Data!$F$236</f>
        <v>0</v>
      </c>
      <c r="D48" s="48" t="s">
        <v>115</v>
      </c>
      <c r="E48" s="647">
        <f>C48*buckwheat</f>
        <v>0</v>
      </c>
      <c r="F48" s="118">
        <f>_wage_</f>
        <v>12.29</v>
      </c>
      <c r="G48" s="465">
        <f t="shared" si="7"/>
        <v>0</v>
      </c>
      <c r="H48" s="123">
        <f>B48*G48*buckwheat</f>
        <v>0</v>
      </c>
      <c r="Q48" s="216" t="s">
        <v>933</v>
      </c>
      <c r="R48" s="216" t="s">
        <v>933</v>
      </c>
      <c r="S48" s="216" t="s">
        <v>2047</v>
      </c>
      <c r="T48" s="216" t="s">
        <v>2050</v>
      </c>
    </row>
    <row r="49" spans="1:20" x14ac:dyDescent="0.3">
      <c r="A49" s="638" t="s">
        <v>942</v>
      </c>
      <c r="B49" s="34"/>
      <c r="C49" s="34"/>
      <c r="D49" s="34"/>
      <c r="E49" s="226"/>
      <c r="F49" s="68"/>
      <c r="G49" s="114"/>
      <c r="H49" s="110"/>
      <c r="J49" s="67" t="s">
        <v>934</v>
      </c>
      <c r="K49" s="216" t="s">
        <v>946</v>
      </c>
      <c r="L49" s="89" t="s">
        <v>2046</v>
      </c>
      <c r="M49" s="89"/>
      <c r="N49" s="89" t="s">
        <v>2046</v>
      </c>
      <c r="O49" s="89"/>
      <c r="P49" s="216" t="s">
        <v>763</v>
      </c>
      <c r="Q49" s="216" t="s">
        <v>2042</v>
      </c>
      <c r="R49" s="216" t="s">
        <v>2043</v>
      </c>
      <c r="S49" s="216" t="s">
        <v>2048</v>
      </c>
      <c r="T49" s="216" t="s">
        <v>2051</v>
      </c>
    </row>
    <row r="50" spans="1:20" x14ac:dyDescent="0.3">
      <c r="A50" s="638" t="s">
        <v>939</v>
      </c>
      <c r="B50" s="405">
        <f>IF(OSI!$J$78&gt;0,1*$Q$53,0)</f>
        <v>0</v>
      </c>
      <c r="C50" s="410">
        <f>IF(buckwheat&gt;0,($T$50*((Data!$B$236*buckwheat)/$N$43))/buckwheat,0)</f>
        <v>12.5</v>
      </c>
      <c r="D50" s="34" t="s">
        <v>115</v>
      </c>
      <c r="E50" s="226">
        <f>C50*buckwheat</f>
        <v>1250</v>
      </c>
      <c r="F50" s="167">
        <f t="shared" ref="F50" si="8">_wage_</f>
        <v>12.29</v>
      </c>
      <c r="G50" s="114">
        <f t="shared" ref="G50:G51" si="9">C50*F50</f>
        <v>153.625</v>
      </c>
      <c r="H50" s="109">
        <f>B50*G50*buckwheat</f>
        <v>0</v>
      </c>
      <c r="J50" s="55" t="s">
        <v>762</v>
      </c>
      <c r="K50" s="816">
        <f>B50</f>
        <v>0</v>
      </c>
      <c r="L50" s="168">
        <f>IF(buckwheat&gt;0,(K50*(T50*_wage_)*((Data!$B$236*buckwheat)/$N$43))/buckwheat,0)</f>
        <v>0</v>
      </c>
      <c r="M50" s="22" t="s">
        <v>254</v>
      </c>
      <c r="N50" s="168">
        <f>(T50*_wage_)</f>
        <v>30.724999999999998</v>
      </c>
      <c r="O50" s="22" t="s">
        <v>935</v>
      </c>
      <c r="P50" s="816">
        <f>OSI!$I$69</f>
        <v>20</v>
      </c>
      <c r="Q50" s="816">
        <f>OSI!$I$72</f>
        <v>40</v>
      </c>
      <c r="R50" s="46">
        <f>(P50/Q50)</f>
        <v>0.5</v>
      </c>
      <c r="S50" s="226">
        <f>OSI!$I$73</f>
        <v>2</v>
      </c>
      <c r="T50" s="46">
        <f>SUM(R50:S50)</f>
        <v>2.5</v>
      </c>
    </row>
    <row r="51" spans="1:20" x14ac:dyDescent="0.3">
      <c r="A51" s="666" t="s">
        <v>2025</v>
      </c>
      <c r="B51" s="405">
        <f>IF(Data!$F$236=0,0,1*$Q$53)</f>
        <v>0</v>
      </c>
      <c r="C51" s="593">
        <f>C50*Data!$F$236</f>
        <v>0</v>
      </c>
      <c r="D51" s="48" t="s">
        <v>115</v>
      </c>
      <c r="E51" s="647">
        <f>C51*buckwheat</f>
        <v>0</v>
      </c>
      <c r="F51" s="118">
        <f>_wage_</f>
        <v>12.29</v>
      </c>
      <c r="G51" s="465">
        <f t="shared" si="9"/>
        <v>0</v>
      </c>
      <c r="H51" s="123">
        <f>B51*G51*buckwheat</f>
        <v>0</v>
      </c>
      <c r="I51" s="108">
        <f>SUM(H46:H51)</f>
        <v>55.304999999999993</v>
      </c>
      <c r="J51" s="89"/>
      <c r="K51" s="89"/>
      <c r="L51" s="89"/>
      <c r="M51" s="216"/>
      <c r="N51" s="216"/>
      <c r="O51" s="216"/>
    </row>
    <row r="52" spans="1:20" x14ac:dyDescent="0.3">
      <c r="A52" s="3" t="s">
        <v>66</v>
      </c>
      <c r="B52" s="3"/>
      <c r="C52" s="46"/>
      <c r="D52" s="34"/>
      <c r="E52" s="226"/>
      <c r="F52" s="167"/>
      <c r="G52" s="114"/>
      <c r="H52" s="109"/>
      <c r="I52" s="99"/>
      <c r="O52" s="67" t="s">
        <v>947</v>
      </c>
      <c r="P52" s="216" t="s">
        <v>932</v>
      </c>
      <c r="Q52" s="216" t="s">
        <v>934</v>
      </c>
      <c r="R52" s="216" t="s">
        <v>76</v>
      </c>
    </row>
    <row r="53" spans="1:20" x14ac:dyDescent="0.3">
      <c r="A53" s="22" t="s">
        <v>332</v>
      </c>
      <c r="B53" s="22"/>
      <c r="C53" s="46"/>
      <c r="D53" s="34"/>
      <c r="E53" s="226"/>
      <c r="F53" s="167"/>
      <c r="G53" s="114"/>
      <c r="H53" s="109"/>
      <c r="I53" s="99"/>
      <c r="O53" s="34" t="s">
        <v>762</v>
      </c>
      <c r="P53" s="922">
        <f>OSI!$J$77</f>
        <v>1</v>
      </c>
      <c r="Q53" s="922">
        <f>OSI!$J$78</f>
        <v>0</v>
      </c>
      <c r="R53" s="412">
        <f>SUM(P53:Q53)</f>
        <v>1</v>
      </c>
    </row>
    <row r="54" spans="1:20" x14ac:dyDescent="0.3">
      <c r="A54" s="638" t="s">
        <v>1911</v>
      </c>
      <c r="B54" s="405">
        <f t="shared" ref="B54:B68" si="10">B20</f>
        <v>0</v>
      </c>
      <c r="C54" s="156">
        <f>IF(OSI!$J$28&gt;0,OSI!$J$28,Data!$R$579)</f>
        <v>1.32</v>
      </c>
      <c r="D54" s="34" t="s">
        <v>117</v>
      </c>
      <c r="E54" s="226">
        <f t="shared" ref="E54:E72" si="11">C54*buckwheat</f>
        <v>132</v>
      </c>
      <c r="F54" s="167">
        <f>diesel_fuel</f>
        <v>2.56</v>
      </c>
      <c r="G54" s="114">
        <f>C54*F54</f>
        <v>3.3792000000000004</v>
      </c>
      <c r="H54" s="109">
        <f t="shared" ref="H54:H72" si="12">B54*G54*buckwheat</f>
        <v>0</v>
      </c>
      <c r="K54" s="55"/>
    </row>
    <row r="55" spans="1:20" x14ac:dyDescent="0.3">
      <c r="A55" s="639" t="s">
        <v>468</v>
      </c>
      <c r="B55" s="405">
        <f t="shared" si="10"/>
        <v>1</v>
      </c>
      <c r="C55" s="156">
        <f>IF(OSI!$J$29&gt;0,OSI!$J$29,Data!$R$585)</f>
        <v>0.44023863292066601</v>
      </c>
      <c r="D55" s="34" t="s">
        <v>117</v>
      </c>
      <c r="E55" s="226">
        <f t="shared" si="11"/>
        <v>44.023863292066601</v>
      </c>
      <c r="F55" s="167">
        <f>diesel_fuel</f>
        <v>2.56</v>
      </c>
      <c r="G55" s="114">
        <f>C55*F55</f>
        <v>1.1270109002769051</v>
      </c>
      <c r="H55" s="109">
        <f t="shared" si="12"/>
        <v>112.70109002769051</v>
      </c>
      <c r="I55" s="99"/>
    </row>
    <row r="56" spans="1:20" x14ac:dyDescent="0.3">
      <c r="A56" s="640" t="s">
        <v>1427</v>
      </c>
      <c r="B56" s="405">
        <f t="shared" si="10"/>
        <v>1</v>
      </c>
      <c r="C56" s="156">
        <f>IF(OSI!$J$30&gt;0,OSI!$J$30,Data!$R$580)</f>
        <v>0.64</v>
      </c>
      <c r="D56" s="34" t="s">
        <v>117</v>
      </c>
      <c r="E56" s="226">
        <f t="shared" si="11"/>
        <v>64</v>
      </c>
      <c r="F56" s="167">
        <f>diesel_fuel</f>
        <v>2.56</v>
      </c>
      <c r="G56" s="114">
        <f>C56*F56</f>
        <v>1.6384000000000001</v>
      </c>
      <c r="H56" s="109">
        <f t="shared" si="12"/>
        <v>163.84</v>
      </c>
      <c r="I56" s="99"/>
    </row>
    <row r="57" spans="1:20" x14ac:dyDescent="0.3">
      <c r="A57" s="638" t="s">
        <v>485</v>
      </c>
      <c r="B57" s="405">
        <f t="shared" si="10"/>
        <v>1</v>
      </c>
      <c r="C57" s="156">
        <f>IF(OSI!$J$31&gt;0,OSI!$J$31,Data!$R$581)</f>
        <v>0.74</v>
      </c>
      <c r="D57" s="34" t="s">
        <v>117</v>
      </c>
      <c r="E57" s="226">
        <f t="shared" si="11"/>
        <v>74</v>
      </c>
      <c r="F57" s="167">
        <f t="shared" ref="F57:F77" si="13">diesel_fuel</f>
        <v>2.56</v>
      </c>
      <c r="G57" s="114">
        <f t="shared" ref="G57:G71" si="14">C57*F57</f>
        <v>1.8944000000000001</v>
      </c>
      <c r="H57" s="109">
        <f t="shared" si="12"/>
        <v>189.44</v>
      </c>
      <c r="I57" s="99"/>
    </row>
    <row r="58" spans="1:20" x14ac:dyDescent="0.3">
      <c r="A58" s="639" t="s">
        <v>333</v>
      </c>
      <c r="B58" s="405">
        <f t="shared" si="10"/>
        <v>1</v>
      </c>
      <c r="C58" s="156">
        <f>IF(OSI!$J$32&gt;0,OSI!$J$32,Data!$R$589)</f>
        <v>0.34</v>
      </c>
      <c r="D58" s="34" t="s">
        <v>117</v>
      </c>
      <c r="E58" s="226">
        <f t="shared" si="11"/>
        <v>34</v>
      </c>
      <c r="F58" s="104">
        <f t="shared" si="13"/>
        <v>2.56</v>
      </c>
      <c r="G58" s="114">
        <f t="shared" si="14"/>
        <v>0.87040000000000006</v>
      </c>
      <c r="H58" s="109">
        <f t="shared" si="12"/>
        <v>87.04</v>
      </c>
    </row>
    <row r="59" spans="1:20" x14ac:dyDescent="0.3">
      <c r="A59" s="639" t="s">
        <v>334</v>
      </c>
      <c r="B59" s="405">
        <f t="shared" si="10"/>
        <v>1</v>
      </c>
      <c r="C59" s="156">
        <f>IF(OSI!$J$33&gt;0,OSI!$J$33,Data!$R$594)</f>
        <v>0.61</v>
      </c>
      <c r="D59" s="34" t="s">
        <v>117</v>
      </c>
      <c r="E59" s="226">
        <f t="shared" si="11"/>
        <v>61</v>
      </c>
      <c r="F59" s="167">
        <f t="shared" si="13"/>
        <v>2.56</v>
      </c>
      <c r="G59" s="114">
        <f>C59*F59</f>
        <v>1.5616000000000001</v>
      </c>
      <c r="H59" s="109">
        <f t="shared" si="12"/>
        <v>156.16</v>
      </c>
      <c r="K59" s="55"/>
      <c r="L59" s="55"/>
    </row>
    <row r="60" spans="1:20" x14ac:dyDescent="0.3">
      <c r="A60" s="639" t="s">
        <v>2218</v>
      </c>
      <c r="B60" s="405">
        <f t="shared" si="10"/>
        <v>0</v>
      </c>
      <c r="C60" s="156">
        <f>IF(OSI!$J$34&gt;0,OSI!$J$34,Data!$R$591)</f>
        <v>0.34</v>
      </c>
      <c r="D60" s="34" t="s">
        <v>117</v>
      </c>
      <c r="E60" s="226">
        <f t="shared" si="11"/>
        <v>34</v>
      </c>
      <c r="F60" s="104">
        <f t="shared" si="13"/>
        <v>2.56</v>
      </c>
      <c r="G60" s="114">
        <f t="shared" si="14"/>
        <v>0.87040000000000006</v>
      </c>
      <c r="H60" s="109">
        <f t="shared" si="12"/>
        <v>0</v>
      </c>
    </row>
    <row r="61" spans="1:20" x14ac:dyDescent="0.3">
      <c r="A61" s="22" t="s">
        <v>315</v>
      </c>
      <c r="B61" s="405">
        <f t="shared" si="10"/>
        <v>0</v>
      </c>
      <c r="C61" s="156">
        <f>Data!R582</f>
        <v>0.2</v>
      </c>
      <c r="D61" s="34" t="s">
        <v>117</v>
      </c>
      <c r="E61" s="226">
        <f t="shared" si="11"/>
        <v>20</v>
      </c>
      <c r="F61" s="167">
        <f t="shared" si="13"/>
        <v>2.56</v>
      </c>
      <c r="G61" s="114">
        <f t="shared" si="14"/>
        <v>0.51200000000000001</v>
      </c>
      <c r="H61" s="109">
        <f t="shared" si="12"/>
        <v>0</v>
      </c>
      <c r="I61" s="99"/>
    </row>
    <row r="62" spans="1:20" x14ac:dyDescent="0.3">
      <c r="A62" s="22" t="s">
        <v>338</v>
      </c>
      <c r="B62" s="405">
        <f t="shared" si="10"/>
        <v>0</v>
      </c>
      <c r="C62" s="156">
        <f>Data!R592</f>
        <v>0.83039215686274503</v>
      </c>
      <c r="D62" s="34" t="s">
        <v>117</v>
      </c>
      <c r="E62" s="226">
        <f t="shared" si="11"/>
        <v>83.039215686274503</v>
      </c>
      <c r="F62" s="167">
        <f t="shared" si="13"/>
        <v>2.56</v>
      </c>
      <c r="G62" s="114">
        <f t="shared" si="14"/>
        <v>2.1258039215686275</v>
      </c>
      <c r="H62" s="109">
        <f t="shared" si="12"/>
        <v>0</v>
      </c>
      <c r="I62" s="99"/>
    </row>
    <row r="63" spans="1:20" x14ac:dyDescent="0.3">
      <c r="A63" s="22" t="s">
        <v>339</v>
      </c>
      <c r="B63" s="405">
        <f t="shared" si="10"/>
        <v>0</v>
      </c>
      <c r="C63" s="156">
        <f>Data!R595</f>
        <v>0.34178571428571403</v>
      </c>
      <c r="D63" s="34" t="s">
        <v>117</v>
      </c>
      <c r="E63" s="226">
        <f t="shared" si="11"/>
        <v>34.178571428571402</v>
      </c>
      <c r="F63" s="167">
        <f t="shared" si="13"/>
        <v>2.56</v>
      </c>
      <c r="G63" s="114">
        <f t="shared" si="14"/>
        <v>0.87497142857142796</v>
      </c>
      <c r="H63" s="109">
        <f t="shared" si="12"/>
        <v>0</v>
      </c>
      <c r="I63" s="99"/>
    </row>
    <row r="64" spans="1:20" x14ac:dyDescent="0.3">
      <c r="A64" s="639" t="s">
        <v>340</v>
      </c>
      <c r="B64" s="405">
        <f t="shared" si="10"/>
        <v>0</v>
      </c>
      <c r="C64" s="156">
        <f>IF(OSI!$J$35&gt;0,OSI!$J$35,Data!$R$606)</f>
        <v>0.46</v>
      </c>
      <c r="D64" s="34" t="s">
        <v>117</v>
      </c>
      <c r="E64" s="226">
        <f t="shared" si="11"/>
        <v>46</v>
      </c>
      <c r="F64" s="167">
        <f t="shared" si="13"/>
        <v>2.56</v>
      </c>
      <c r="G64" s="114">
        <f>C64*F64</f>
        <v>1.1776</v>
      </c>
      <c r="H64" s="109">
        <f t="shared" si="12"/>
        <v>0</v>
      </c>
      <c r="I64" s="99"/>
    </row>
    <row r="65" spans="1:21" x14ac:dyDescent="0.3">
      <c r="A65" s="639" t="s">
        <v>1626</v>
      </c>
      <c r="B65" s="405">
        <f t="shared" si="10"/>
        <v>0</v>
      </c>
      <c r="C65" s="156">
        <f>IF(OSI!$J$36&gt;0,OSI!$J$36,Data!$R$584)</f>
        <v>0.13183670241332501</v>
      </c>
      <c r="D65" s="34" t="s">
        <v>117</v>
      </c>
      <c r="E65" s="226">
        <f t="shared" si="11"/>
        <v>13.183670241332502</v>
      </c>
      <c r="F65" s="167">
        <f t="shared" si="13"/>
        <v>2.56</v>
      </c>
      <c r="G65" s="114">
        <f>C65*F65</f>
        <v>0.33750195817811202</v>
      </c>
      <c r="H65" s="109">
        <f t="shared" si="12"/>
        <v>0</v>
      </c>
      <c r="I65" s="99"/>
    </row>
    <row r="66" spans="1:21" x14ac:dyDescent="0.3">
      <c r="A66" s="22" t="s">
        <v>304</v>
      </c>
      <c r="B66" s="405">
        <f t="shared" si="10"/>
        <v>0</v>
      </c>
      <c r="C66" s="156">
        <f>Data!R600</f>
        <v>0.11981642612033799</v>
      </c>
      <c r="D66" s="34" t="s">
        <v>117</v>
      </c>
      <c r="E66" s="226">
        <f t="shared" si="11"/>
        <v>11.981642612033799</v>
      </c>
      <c r="F66" s="167">
        <f t="shared" si="13"/>
        <v>2.56</v>
      </c>
      <c r="G66" s="114">
        <f t="shared" si="14"/>
        <v>0.30673005086806526</v>
      </c>
      <c r="H66" s="109">
        <f t="shared" si="12"/>
        <v>0</v>
      </c>
      <c r="I66" s="99"/>
    </row>
    <row r="67" spans="1:21" x14ac:dyDescent="0.3">
      <c r="A67" s="639" t="s">
        <v>1628</v>
      </c>
      <c r="B67" s="405">
        <f t="shared" si="10"/>
        <v>0</v>
      </c>
      <c r="C67" s="156">
        <f>IF(OSI!$J$37&gt;0,OSI!$J$37,Data!$R$601)</f>
        <v>0.12</v>
      </c>
      <c r="D67" s="34" t="s">
        <v>117</v>
      </c>
      <c r="E67" s="226">
        <f t="shared" si="11"/>
        <v>12</v>
      </c>
      <c r="F67" s="167">
        <f t="shared" si="13"/>
        <v>2.56</v>
      </c>
      <c r="G67" s="114">
        <f>C67*F67</f>
        <v>0.30719999999999997</v>
      </c>
      <c r="H67" s="109">
        <f t="shared" si="12"/>
        <v>0</v>
      </c>
      <c r="I67" s="99"/>
    </row>
    <row r="68" spans="1:21" x14ac:dyDescent="0.3">
      <c r="A68" s="639" t="s">
        <v>2129</v>
      </c>
      <c r="B68" s="405">
        <f t="shared" si="10"/>
        <v>1</v>
      </c>
      <c r="C68" s="156">
        <f>IF(OSI!$J$38&gt;0,OSI!$J$38,Data!$R$611)</f>
        <v>1.5</v>
      </c>
      <c r="D68" s="34" t="s">
        <v>117</v>
      </c>
      <c r="E68" s="226">
        <f t="shared" si="11"/>
        <v>150</v>
      </c>
      <c r="F68" s="167">
        <f t="shared" si="13"/>
        <v>2.56</v>
      </c>
      <c r="G68" s="114">
        <f>C68*F68</f>
        <v>3.84</v>
      </c>
      <c r="H68" s="109">
        <f t="shared" si="12"/>
        <v>384</v>
      </c>
      <c r="I68" s="99"/>
    </row>
    <row r="69" spans="1:21" x14ac:dyDescent="0.3">
      <c r="A69" s="639" t="s">
        <v>2128</v>
      </c>
      <c r="B69" s="405">
        <f>B35</f>
        <v>1</v>
      </c>
      <c r="C69" s="156">
        <f>IF(OSI!$J$39&gt;0,OSI!$J$39,Data!$R$614)</f>
        <v>2</v>
      </c>
      <c r="D69" s="34" t="s">
        <v>117</v>
      </c>
      <c r="E69" s="226">
        <f t="shared" si="11"/>
        <v>200</v>
      </c>
      <c r="F69" s="167">
        <f t="shared" si="13"/>
        <v>2.56</v>
      </c>
      <c r="G69" s="114">
        <f t="shared" si="14"/>
        <v>5.12</v>
      </c>
      <c r="H69" s="109">
        <f t="shared" si="12"/>
        <v>512</v>
      </c>
      <c r="I69" s="99"/>
    </row>
    <row r="70" spans="1:21" x14ac:dyDescent="0.3">
      <c r="A70" s="666" t="s">
        <v>1022</v>
      </c>
      <c r="B70" s="405">
        <f>B36</f>
        <v>0</v>
      </c>
      <c r="C70" s="47">
        <f>Data!$R$615*Data!$F$236</f>
        <v>0</v>
      </c>
      <c r="D70" s="48" t="s">
        <v>117</v>
      </c>
      <c r="E70" s="647">
        <f t="shared" si="11"/>
        <v>0</v>
      </c>
      <c r="F70" s="118">
        <f>diesel_fuel</f>
        <v>2.56</v>
      </c>
      <c r="G70" s="465">
        <f>C70*F70</f>
        <v>0</v>
      </c>
      <c r="H70" s="123">
        <f t="shared" si="12"/>
        <v>0</v>
      </c>
      <c r="I70" s="99"/>
    </row>
    <row r="71" spans="1:21" x14ac:dyDescent="0.3">
      <c r="A71" s="639" t="s">
        <v>2130</v>
      </c>
      <c r="B71" s="405">
        <f>B37</f>
        <v>1</v>
      </c>
      <c r="C71" s="156">
        <f>IF(OSI!$J$40&gt;0,OSI!$J$40,Data!$R$638)</f>
        <v>9.425462738349473E-2</v>
      </c>
      <c r="D71" s="34" t="s">
        <v>117</v>
      </c>
      <c r="E71" s="226">
        <f t="shared" si="11"/>
        <v>9.4254627383494736</v>
      </c>
      <c r="F71" s="167">
        <f t="shared" si="13"/>
        <v>2.56</v>
      </c>
      <c r="G71" s="114">
        <f t="shared" si="14"/>
        <v>0.2412918461017465</v>
      </c>
      <c r="H71" s="109">
        <f t="shared" si="12"/>
        <v>24.129184610174651</v>
      </c>
      <c r="I71" s="99"/>
    </row>
    <row r="72" spans="1:21" x14ac:dyDescent="0.3">
      <c r="A72" s="666" t="s">
        <v>1022</v>
      </c>
      <c r="B72" s="405">
        <f>B38</f>
        <v>1</v>
      </c>
      <c r="C72" s="47">
        <f>Data!$R$639*Data!$F$236</f>
        <v>0</v>
      </c>
      <c r="D72" s="48" t="s">
        <v>117</v>
      </c>
      <c r="E72" s="647">
        <f t="shared" si="11"/>
        <v>0</v>
      </c>
      <c r="F72" s="118">
        <f>diesel_fuel</f>
        <v>2.56</v>
      </c>
      <c r="G72" s="465">
        <f>C72*F72</f>
        <v>0</v>
      </c>
      <c r="H72" s="123">
        <f t="shared" si="12"/>
        <v>0</v>
      </c>
      <c r="I72" s="99"/>
    </row>
    <row r="73" spans="1:21" x14ac:dyDescent="0.3">
      <c r="A73" s="639" t="s">
        <v>1435</v>
      </c>
      <c r="B73" s="832"/>
      <c r="C73" s="47"/>
      <c r="D73" s="48"/>
      <c r="E73" s="647"/>
      <c r="F73" s="118"/>
      <c r="G73" s="465"/>
      <c r="H73" s="123"/>
      <c r="I73" s="99"/>
    </row>
    <row r="74" spans="1:21" x14ac:dyDescent="0.3">
      <c r="A74" s="638" t="s">
        <v>1436</v>
      </c>
      <c r="B74" s="405">
        <f>B40</f>
        <v>1</v>
      </c>
      <c r="C74" s="165">
        <f>IF(OSI!$J$41&gt;0,OSI!$J$41,Data!$R$673)</f>
        <v>0</v>
      </c>
      <c r="D74" s="34" t="s">
        <v>117</v>
      </c>
      <c r="E74" s="226">
        <f>C74*buckwheat</f>
        <v>0</v>
      </c>
      <c r="F74" s="167">
        <f t="shared" si="13"/>
        <v>2.56</v>
      </c>
      <c r="G74" s="114">
        <f t="shared" ref="G74" si="15">C74*F74</f>
        <v>0</v>
      </c>
      <c r="H74" s="109">
        <f>B74*G74*buckwheat</f>
        <v>0</v>
      </c>
      <c r="I74" s="99"/>
    </row>
    <row r="75" spans="1:21" x14ac:dyDescent="0.3">
      <c r="A75" s="666" t="s">
        <v>1022</v>
      </c>
      <c r="B75" s="405">
        <f>B41</f>
        <v>1</v>
      </c>
      <c r="C75" s="83">
        <f>Data!R674*Data!$F$236</f>
        <v>0</v>
      </c>
      <c r="D75" s="48" t="s">
        <v>117</v>
      </c>
      <c r="E75" s="647">
        <f>C75*buckwheat</f>
        <v>0</v>
      </c>
      <c r="F75" s="118">
        <f>diesel_fuel</f>
        <v>2.56</v>
      </c>
      <c r="G75" s="465">
        <f>C75*F75</f>
        <v>0</v>
      </c>
      <c r="H75" s="123">
        <f>B75*G75*buckwheat</f>
        <v>0</v>
      </c>
      <c r="I75" s="99"/>
      <c r="L75" s="4" t="s">
        <v>1077</v>
      </c>
    </row>
    <row r="76" spans="1:21" x14ac:dyDescent="0.3">
      <c r="A76" s="639" t="s">
        <v>1147</v>
      </c>
      <c r="B76" s="46"/>
      <c r="C76" s="46"/>
      <c r="D76" s="34"/>
      <c r="E76" s="226"/>
      <c r="F76" s="90"/>
      <c r="G76" s="114"/>
      <c r="H76" s="109"/>
      <c r="I76" s="99"/>
      <c r="J76" s="588">
        <f>OSI!$E$69</f>
        <v>30000</v>
      </c>
      <c r="K76" s="17" t="s">
        <v>220</v>
      </c>
      <c r="L76" s="17">
        <f>J76/2000</f>
        <v>15</v>
      </c>
      <c r="M76" s="17" t="s">
        <v>26</v>
      </c>
      <c r="N76" s="588">
        <f>OSI!$C$69</f>
        <v>500</v>
      </c>
      <c r="O76" s="17" t="s">
        <v>931</v>
      </c>
      <c r="P76" s="93" t="s">
        <v>944</v>
      </c>
      <c r="Q76" s="93"/>
      <c r="S76" s="588">
        <f>N76*Data!$K$65</f>
        <v>24000</v>
      </c>
      <c r="T76" s="17" t="s">
        <v>220</v>
      </c>
      <c r="U76" s="589">
        <f>S76/J76</f>
        <v>0.8</v>
      </c>
    </row>
    <row r="77" spans="1:21" x14ac:dyDescent="0.3">
      <c r="A77" s="638" t="s">
        <v>1146</v>
      </c>
      <c r="B77" s="405">
        <f>B43</f>
        <v>1</v>
      </c>
      <c r="C77" s="816">
        <f>IF(OSI!$J$42&gt;0,OSI!$J$42,Data!$R$693)</f>
        <v>0</v>
      </c>
      <c r="D77" s="34" t="s">
        <v>116</v>
      </c>
      <c r="E77" s="226">
        <f>C77*buckwheat</f>
        <v>0</v>
      </c>
      <c r="F77" s="167">
        <f t="shared" si="13"/>
        <v>2.56</v>
      </c>
      <c r="G77" s="114">
        <f>C77*F77</f>
        <v>0</v>
      </c>
      <c r="H77" s="109">
        <f>B77*G77*buckwheat</f>
        <v>0</v>
      </c>
      <c r="I77" s="108"/>
      <c r="J77" s="588">
        <f>OSI!$E$70</f>
        <v>180</v>
      </c>
      <c r="K77" s="17" t="s">
        <v>220</v>
      </c>
      <c r="L77" s="17">
        <f>J77/2000</f>
        <v>0.09</v>
      </c>
      <c r="M77" s="17" t="s">
        <v>26</v>
      </c>
      <c r="N77" s="588">
        <f>OSI!$C$70</f>
        <v>3</v>
      </c>
      <c r="O77" s="17" t="s">
        <v>931</v>
      </c>
      <c r="P77" s="93" t="s">
        <v>945</v>
      </c>
      <c r="Q77" s="93"/>
      <c r="S77" s="588">
        <f>N77*Data!$K$65</f>
        <v>144</v>
      </c>
      <c r="T77" s="17" t="s">
        <v>220</v>
      </c>
      <c r="U77" s="589">
        <f>S77/J77</f>
        <v>0.8</v>
      </c>
    </row>
    <row r="78" spans="1:21" x14ac:dyDescent="0.3">
      <c r="A78" s="666" t="s">
        <v>1022</v>
      </c>
      <c r="B78" s="405">
        <f>B44</f>
        <v>1</v>
      </c>
      <c r="C78" s="83">
        <f>C77*Data!$F$236</f>
        <v>0</v>
      </c>
      <c r="D78" s="48" t="s">
        <v>117</v>
      </c>
      <c r="E78" s="647">
        <f>C78*buckwheat</f>
        <v>0</v>
      </c>
      <c r="F78" s="118">
        <f>diesel_fuel</f>
        <v>2.56</v>
      </c>
      <c r="G78" s="465">
        <f>C78*F78</f>
        <v>0</v>
      </c>
      <c r="H78" s="123">
        <f>B78*G78*buckwheat</f>
        <v>0</v>
      </c>
      <c r="I78" s="108">
        <f>SUM(H53:H79)</f>
        <v>1629.3102746378652</v>
      </c>
    </row>
    <row r="79" spans="1:21" x14ac:dyDescent="0.3">
      <c r="A79" s="1258" t="s">
        <v>2095</v>
      </c>
      <c r="Q79" s="216" t="s">
        <v>933</v>
      </c>
    </row>
    <row r="80" spans="1:21" x14ac:dyDescent="0.3">
      <c r="A80" s="638" t="s">
        <v>938</v>
      </c>
      <c r="H80" s="98"/>
      <c r="J80" s="67" t="s">
        <v>932</v>
      </c>
      <c r="K80" s="216" t="s">
        <v>946</v>
      </c>
      <c r="L80" s="89" t="s">
        <v>2044</v>
      </c>
      <c r="M80" s="89"/>
      <c r="N80" s="89" t="s">
        <v>2044</v>
      </c>
      <c r="O80" s="89"/>
      <c r="P80" s="216" t="s">
        <v>763</v>
      </c>
      <c r="Q80" s="216" t="s">
        <v>764</v>
      </c>
      <c r="R80" s="216" t="s">
        <v>119</v>
      </c>
    </row>
    <row r="81" spans="1:18" x14ac:dyDescent="0.3">
      <c r="A81" s="638" t="s">
        <v>939</v>
      </c>
      <c r="B81" s="405">
        <f>IF(OSI!$J$77&gt;0,1*$P$87,0)</f>
        <v>1</v>
      </c>
      <c r="C81" s="410">
        <f>IF(buckwheat&gt;0,($R$81*((Data!$B$236*buckwheat)/$N$76))/buckwheat,0)</f>
        <v>3.2000000000000001E-2</v>
      </c>
      <c r="D81" s="34" t="s">
        <v>117</v>
      </c>
      <c r="E81" s="228">
        <f>C81*buckwheat</f>
        <v>3.2</v>
      </c>
      <c r="F81" s="167">
        <f t="shared" ref="F81" si="16">diesel_fuel</f>
        <v>2.56</v>
      </c>
      <c r="G81" s="114">
        <f t="shared" ref="G81:G82" si="17">C81*F81</f>
        <v>8.1920000000000007E-2</v>
      </c>
      <c r="H81" s="109">
        <f>B81*G81*buckwheat</f>
        <v>8.1920000000000002</v>
      </c>
      <c r="J81" s="55" t="s">
        <v>762</v>
      </c>
      <c r="K81" s="816">
        <f>B81</f>
        <v>1</v>
      </c>
      <c r="L81" s="168">
        <f>IF(buckwheat&gt;0,(K81*(R81*diesel_fuel)*((Data!$B$236*buckwheat)/$N$76))/buckwheat,0)</f>
        <v>8.1920000000000007E-2</v>
      </c>
      <c r="M81" s="22" t="s">
        <v>254</v>
      </c>
      <c r="N81" s="168">
        <f>(R81*diesel_fuel)</f>
        <v>2.7306666666666666</v>
      </c>
      <c r="O81" s="22" t="s">
        <v>935</v>
      </c>
      <c r="P81" s="816">
        <f>OSI!$G$69</f>
        <v>20</v>
      </c>
      <c r="Q81" s="816">
        <f>OSI!$G$70</f>
        <v>15</v>
      </c>
      <c r="R81" s="46">
        <f>(P81/Q81)*U76</f>
        <v>1.0666666666666667</v>
      </c>
    </row>
    <row r="82" spans="1:18" x14ac:dyDescent="0.3">
      <c r="A82" s="666" t="s">
        <v>2025</v>
      </c>
      <c r="B82" s="405">
        <f>IF(Data!$F$236=0,0,1*$P$87)</f>
        <v>0</v>
      </c>
      <c r="C82" s="593">
        <f>C81*Data!$F$236</f>
        <v>0</v>
      </c>
      <c r="D82" s="48" t="s">
        <v>117</v>
      </c>
      <c r="E82" s="1282">
        <f>C82*buckwheat</f>
        <v>0</v>
      </c>
      <c r="F82" s="118">
        <f>diesel_fuel</f>
        <v>2.56</v>
      </c>
      <c r="G82" s="465">
        <f t="shared" si="17"/>
        <v>0</v>
      </c>
      <c r="H82" s="123">
        <f>B82*G82*buckwheat</f>
        <v>0</v>
      </c>
      <c r="Q82" s="216" t="s">
        <v>933</v>
      </c>
    </row>
    <row r="83" spans="1:18" x14ac:dyDescent="0.3">
      <c r="A83" s="638" t="s">
        <v>942</v>
      </c>
      <c r="B83" s="34"/>
      <c r="C83" s="34"/>
      <c r="D83" s="34"/>
      <c r="E83" s="226"/>
      <c r="F83" s="68"/>
      <c r="G83" s="114"/>
      <c r="H83" s="110"/>
      <c r="J83" s="67" t="s">
        <v>934</v>
      </c>
      <c r="K83" s="216" t="s">
        <v>946</v>
      </c>
      <c r="L83" s="89" t="s">
        <v>2044</v>
      </c>
      <c r="M83" s="89"/>
      <c r="N83" s="89" t="s">
        <v>2044</v>
      </c>
      <c r="O83" s="89"/>
      <c r="P83" s="216" t="s">
        <v>763</v>
      </c>
      <c r="Q83" s="216" t="s">
        <v>764</v>
      </c>
      <c r="R83" s="216" t="s">
        <v>119</v>
      </c>
    </row>
    <row r="84" spans="1:18" x14ac:dyDescent="0.3">
      <c r="A84" s="638" t="s">
        <v>939</v>
      </c>
      <c r="B84" s="405">
        <f>IF(OSI!$J$78&gt;0,1*$Q$87,0)</f>
        <v>0</v>
      </c>
      <c r="C84" s="410">
        <f>IF(buckwheat&gt;0,($R$84*((Data!$B$236*buckwheat)/$N$77))/buckwheat,0)</f>
        <v>11.428571428571431</v>
      </c>
      <c r="D84" s="34" t="s">
        <v>117</v>
      </c>
      <c r="E84" s="228">
        <f>C84*buckwheat</f>
        <v>1142.8571428571431</v>
      </c>
      <c r="F84" s="167">
        <f t="shared" ref="F84" si="18">diesel_fuel</f>
        <v>2.56</v>
      </c>
      <c r="G84" s="114">
        <f t="shared" ref="G84:G85" si="19">C84*F84</f>
        <v>29.257142857142863</v>
      </c>
      <c r="H84" s="109">
        <f>B84*G84*buckwheat</f>
        <v>0</v>
      </c>
      <c r="J84" s="55" t="s">
        <v>762</v>
      </c>
      <c r="K84" s="816">
        <f>B84</f>
        <v>0</v>
      </c>
      <c r="L84" s="168">
        <f>IF(buckwheat&gt;0,(K84*(R84*diesel_fuel)*((Data!$B$236*buckwheat)/$N$77))/buckwheat,0)</f>
        <v>0</v>
      </c>
      <c r="M84" s="22" t="s">
        <v>254</v>
      </c>
      <c r="N84" s="168">
        <f>(R84*diesel_fuel)</f>
        <v>5.8514285714285723</v>
      </c>
      <c r="O84" s="22" t="s">
        <v>935</v>
      </c>
      <c r="P84" s="816">
        <f>OSI!$I$69</f>
        <v>20</v>
      </c>
      <c r="Q84" s="816">
        <f>OSI!$I$70</f>
        <v>7</v>
      </c>
      <c r="R84" s="46">
        <f>(P84/Q84)*U77</f>
        <v>2.285714285714286</v>
      </c>
    </row>
    <row r="85" spans="1:18" x14ac:dyDescent="0.3">
      <c r="A85" s="666" t="s">
        <v>2025</v>
      </c>
      <c r="B85" s="405">
        <f>IF(Data!$F$236=0,0,1*$Q$87)</f>
        <v>0</v>
      </c>
      <c r="C85" s="593">
        <f>C84*Data!$F$236</f>
        <v>0</v>
      </c>
      <c r="D85" s="48" t="s">
        <v>117</v>
      </c>
      <c r="E85" s="1282">
        <f>C85*buckwheat</f>
        <v>0</v>
      </c>
      <c r="F85" s="118">
        <f>diesel_fuel</f>
        <v>2.56</v>
      </c>
      <c r="G85" s="465">
        <f t="shared" si="19"/>
        <v>0</v>
      </c>
      <c r="H85" s="123">
        <f>B85*G85*buckwheat</f>
        <v>0</v>
      </c>
      <c r="I85" s="108">
        <f>SUM(H80:H85)</f>
        <v>8.1920000000000002</v>
      </c>
      <c r="J85" s="89"/>
      <c r="K85" s="89"/>
      <c r="L85" s="89"/>
      <c r="M85" s="216"/>
      <c r="N85" s="216"/>
      <c r="O85" s="216"/>
    </row>
    <row r="86" spans="1:18" x14ac:dyDescent="0.3">
      <c r="A86" s="3" t="s">
        <v>20</v>
      </c>
      <c r="B86" s="405">
        <f>IF(OSI!$B$46=0,0,1)</f>
        <v>1</v>
      </c>
      <c r="C86" s="46" t="s">
        <v>45</v>
      </c>
      <c r="D86" s="46" t="s">
        <v>45</v>
      </c>
      <c r="E86" s="226" t="s">
        <v>45</v>
      </c>
      <c r="F86" s="55" t="s">
        <v>45</v>
      </c>
      <c r="G86" s="114">
        <f>IF(FARM!$C$22=0,0,H86/buckwheat)</f>
        <v>2.0468778432973314</v>
      </c>
      <c r="H86" s="104">
        <f>B86*lube*SUM(H53:H85)</f>
        <v>204.68778432973315</v>
      </c>
      <c r="I86" s="108">
        <f>SUM(H86:H86)</f>
        <v>204.68778432973315</v>
      </c>
      <c r="O86" s="67" t="s">
        <v>947</v>
      </c>
      <c r="P86" s="216" t="s">
        <v>932</v>
      </c>
      <c r="Q86" s="216" t="s">
        <v>934</v>
      </c>
      <c r="R86" s="216" t="s">
        <v>76</v>
      </c>
    </row>
    <row r="87" spans="1:18" x14ac:dyDescent="0.3">
      <c r="A87" s="3" t="s">
        <v>67</v>
      </c>
      <c r="B87" s="643">
        <v>1</v>
      </c>
      <c r="C87" s="46" t="s">
        <v>45</v>
      </c>
      <c r="D87" s="46" t="s">
        <v>45</v>
      </c>
      <c r="E87" s="226" t="s">
        <v>45</v>
      </c>
      <c r="F87" s="55" t="s">
        <v>45</v>
      </c>
      <c r="G87" s="114">
        <f>IF(FARM!$C$22=0,0,H87/buckwheat)</f>
        <v>58.531396814318647</v>
      </c>
      <c r="H87" s="109">
        <f>IF(Data!D19=1, B87*BWf!J124*Data!D19, 0)</f>
        <v>5853.139681431865</v>
      </c>
      <c r="I87" s="66"/>
      <c r="O87" s="34" t="s">
        <v>762</v>
      </c>
      <c r="P87" s="922">
        <f>OSI!$J$77</f>
        <v>1</v>
      </c>
      <c r="Q87" s="922">
        <f>OSI!$J$83</f>
        <v>0</v>
      </c>
      <c r="R87" s="412">
        <f>SUM(P87:Q87)</f>
        <v>1</v>
      </c>
    </row>
    <row r="88" spans="1:18" x14ac:dyDescent="0.3">
      <c r="A88" s="3"/>
      <c r="B88" s="397">
        <v>0</v>
      </c>
      <c r="C88" s="46" t="s">
        <v>45</v>
      </c>
      <c r="D88" s="46" t="s">
        <v>45</v>
      </c>
      <c r="E88" s="226" t="s">
        <v>45</v>
      </c>
      <c r="F88" s="55" t="s">
        <v>45</v>
      </c>
      <c r="G88" s="272">
        <f>0</f>
        <v>0</v>
      </c>
      <c r="H88" s="109">
        <f>B88*G88*buckwheat</f>
        <v>0</v>
      </c>
      <c r="I88" s="108">
        <f>SUM(H87:H88)</f>
        <v>5853.139681431865</v>
      </c>
    </row>
    <row r="89" spans="1:18" x14ac:dyDescent="0.3">
      <c r="A89" s="3" t="s">
        <v>170</v>
      </c>
      <c r="B89" s="405">
        <f>IF(OSI!$K$52=0,0,1)</f>
        <v>0</v>
      </c>
      <c r="C89" s="46" t="s">
        <v>45</v>
      </c>
      <c r="D89" s="46" t="s">
        <v>45</v>
      </c>
      <c r="E89" s="226" t="s">
        <v>45</v>
      </c>
      <c r="F89" s="55" t="s">
        <v>45</v>
      </c>
      <c r="G89" s="114">
        <f>IF(FARM!$C$22=0,0,OSI!$J$52/buckwheat)</f>
        <v>0</v>
      </c>
      <c r="H89" s="109">
        <f>B89*G89*buckwheat</f>
        <v>0</v>
      </c>
      <c r="I89" s="108">
        <f>SUM(H89:H89)</f>
        <v>0</v>
      </c>
    </row>
    <row r="90" spans="1:18" x14ac:dyDescent="0.3">
      <c r="A90" s="3" t="s">
        <v>75</v>
      </c>
      <c r="B90" s="405">
        <f>IF(OSI!$K$53=0,0,1)</f>
        <v>1</v>
      </c>
      <c r="C90" s="46" t="s">
        <v>45</v>
      </c>
      <c r="D90" s="34" t="s">
        <v>45</v>
      </c>
      <c r="E90" s="226" t="s">
        <v>45</v>
      </c>
      <c r="F90" s="114">
        <f>G90</f>
        <v>3</v>
      </c>
      <c r="G90" s="114">
        <f>IF(FARM!$C$22=0,0,OSI!$J$53/buckwheat)</f>
        <v>3</v>
      </c>
      <c r="H90" s="109">
        <f>B90*G90*buckwheat</f>
        <v>300</v>
      </c>
    </row>
    <row r="91" spans="1:18" x14ac:dyDescent="0.3">
      <c r="A91" s="3"/>
      <c r="B91" s="397">
        <v>0</v>
      </c>
      <c r="C91" s="46" t="s">
        <v>45</v>
      </c>
      <c r="D91" s="34" t="s">
        <v>45</v>
      </c>
      <c r="E91" s="226" t="s">
        <v>45</v>
      </c>
      <c r="F91" s="68" t="s">
        <v>45</v>
      </c>
      <c r="G91" s="272">
        <f>0</f>
        <v>0</v>
      </c>
      <c r="H91" s="109">
        <f>B91*G91*buckwheat</f>
        <v>0</v>
      </c>
      <c r="I91" s="108">
        <f>SUM(H90:H91)</f>
        <v>300</v>
      </c>
    </row>
    <row r="92" spans="1:18" x14ac:dyDescent="0.3">
      <c r="A92" s="69" t="s">
        <v>173</v>
      </c>
      <c r="B92" s="69"/>
      <c r="C92" s="46"/>
      <c r="D92" s="34"/>
      <c r="E92" s="226"/>
      <c r="F92" s="114"/>
      <c r="G92" s="114"/>
      <c r="H92" s="109"/>
    </row>
    <row r="93" spans="1:18" x14ac:dyDescent="0.3">
      <c r="A93" s="856" t="s">
        <v>1504</v>
      </c>
      <c r="B93" s="405">
        <f>IF(Data!$F$75=0,0,1)</f>
        <v>1</v>
      </c>
      <c r="C93" s="46" t="s">
        <v>45</v>
      </c>
      <c r="D93" s="46" t="s">
        <v>45</v>
      </c>
      <c r="E93" s="226" t="s">
        <v>45</v>
      </c>
      <c r="F93" s="68" t="s">
        <v>45</v>
      </c>
      <c r="G93" s="676">
        <f>Data!$F$75</f>
        <v>1.5</v>
      </c>
      <c r="H93" s="109">
        <f>B93*G93*buckwheat</f>
        <v>150</v>
      </c>
      <c r="I93" s="108">
        <f>SUM(H93:H93)</f>
        <v>150</v>
      </c>
    </row>
    <row r="94" spans="1:18" x14ac:dyDescent="0.3">
      <c r="A94" s="856" t="s">
        <v>1510</v>
      </c>
      <c r="E94" s="17"/>
      <c r="H94" s="108"/>
    </row>
    <row r="95" spans="1:18" x14ac:dyDescent="0.3">
      <c r="A95" s="638" t="s">
        <v>1507</v>
      </c>
      <c r="B95" s="816">
        <f>IF(OSI!$C$63&gt;0,1,0)</f>
        <v>1</v>
      </c>
      <c r="C95" s="817">
        <f>IF(OSI!$C$63&gt;0,OSI!$C$63,Data!$G$108)</f>
        <v>4</v>
      </c>
      <c r="D95" s="34" t="s">
        <v>1496</v>
      </c>
      <c r="E95" s="34">
        <f>B95*C95</f>
        <v>4</v>
      </c>
      <c r="F95" s="676">
        <f>IF(OSI!$C$63&gt;0,OSI!$C$64,Data!$I$108)</f>
        <v>250</v>
      </c>
      <c r="G95" s="114">
        <f>(C95*F95)/crops</f>
        <v>2.5</v>
      </c>
      <c r="H95" s="109">
        <f>B95*G95*buckwheat</f>
        <v>250</v>
      </c>
    </row>
    <row r="96" spans="1:18" x14ac:dyDescent="0.3">
      <c r="A96" s="638" t="s">
        <v>1509</v>
      </c>
      <c r="B96" s="816">
        <f>IF(OSI!$D$63&gt;0,1,0)</f>
        <v>1</v>
      </c>
      <c r="C96" s="366">
        <f>IF(OSI!$D$63&gt;0,OSI!$D$63,Data!$G$109)</f>
        <v>1000</v>
      </c>
      <c r="D96" s="34" t="s">
        <v>1508</v>
      </c>
      <c r="E96" s="226">
        <f>B96*C96</f>
        <v>1000</v>
      </c>
      <c r="F96" s="367">
        <f>IF(OSI!$D$63&gt;0,OSI!$D$64,Data!$I$109)</f>
        <v>2.5</v>
      </c>
      <c r="G96" s="114">
        <f>(C96*F96)/crops</f>
        <v>6.25</v>
      </c>
      <c r="H96" s="109">
        <f>B96*G96*buckwheat</f>
        <v>625</v>
      </c>
      <c r="I96" s="108">
        <f>SUM(H94:H96)</f>
        <v>875</v>
      </c>
    </row>
    <row r="97" spans="1:15" x14ac:dyDescent="0.3">
      <c r="A97" s="856" t="s">
        <v>1499</v>
      </c>
      <c r="B97" s="405"/>
      <c r="C97" s="46"/>
      <c r="D97" s="34"/>
      <c r="E97" s="34"/>
      <c r="F97" s="55"/>
      <c r="G97" s="138"/>
      <c r="H97" s="110"/>
    </row>
    <row r="98" spans="1:15" x14ac:dyDescent="0.3">
      <c r="A98" s="638" t="s">
        <v>1511</v>
      </c>
      <c r="B98" s="816">
        <f>IF(OSI!$G$62&gt;0,1,0)</f>
        <v>1</v>
      </c>
      <c r="C98" s="816">
        <f>IF(OSI!$G$62&gt;0,OSI!$G$62,Data!$G$111)</f>
        <v>12</v>
      </c>
      <c r="D98" s="34" t="s">
        <v>1502</v>
      </c>
      <c r="E98" s="34">
        <f>B98*C98</f>
        <v>12</v>
      </c>
      <c r="F98" s="676">
        <f>IF(OSI!$G$62&gt;0,OSI!$G$63,Data!$I$111)</f>
        <v>75</v>
      </c>
      <c r="G98" s="114">
        <f>(C98*F98)/crops</f>
        <v>2.25</v>
      </c>
      <c r="H98" s="109">
        <f>B98*G98*buckwheat</f>
        <v>225</v>
      </c>
    </row>
    <row r="99" spans="1:15" x14ac:dyDescent="0.3">
      <c r="A99" s="638" t="s">
        <v>1500</v>
      </c>
      <c r="B99" s="816">
        <f>IF(OSI!$I$62&gt;0,1,0)</f>
        <v>1</v>
      </c>
      <c r="C99" s="816">
        <f>IF(OSI!$I$62&gt;0,OSI!$I$62,Data!$G$112)</f>
        <v>12</v>
      </c>
      <c r="D99" s="34" t="s">
        <v>1502</v>
      </c>
      <c r="E99" s="34">
        <f>B99*C99</f>
        <v>12</v>
      </c>
      <c r="F99" s="676">
        <f>IF(OSI!$I$62&gt;0,OSI!$I$63,Data!$I$112)</f>
        <v>75</v>
      </c>
      <c r="G99" s="114">
        <f>(C99*F99)/crops</f>
        <v>2.25</v>
      </c>
      <c r="H99" s="109">
        <f>B99*G99*buckwheat</f>
        <v>225</v>
      </c>
      <c r="I99" s="108">
        <f>SUM(H97:H99)</f>
        <v>450</v>
      </c>
    </row>
    <row r="100" spans="1:15" x14ac:dyDescent="0.3">
      <c r="A100" s="856" t="s">
        <v>1503</v>
      </c>
      <c r="B100" s="677">
        <f>limeapp</f>
        <v>0.2</v>
      </c>
      <c r="C100" s="46" t="s">
        <v>45</v>
      </c>
      <c r="D100" s="46" t="s">
        <v>45</v>
      </c>
      <c r="E100" s="226" t="s">
        <v>45</v>
      </c>
      <c r="F100" s="110">
        <f>Data!$E$97</f>
        <v>75</v>
      </c>
      <c r="G100" s="114">
        <f>B100*F100</f>
        <v>15</v>
      </c>
      <c r="H100" s="109">
        <f>G100*buckwheat</f>
        <v>1500</v>
      </c>
      <c r="I100" s="110">
        <f>SUM(H100:H100)</f>
        <v>1500</v>
      </c>
    </row>
    <row r="101" spans="1:15" x14ac:dyDescent="0.3">
      <c r="A101" s="70" t="s">
        <v>177</v>
      </c>
      <c r="B101" s="70"/>
      <c r="F101" s="114"/>
      <c r="G101" s="114"/>
      <c r="H101" s="110"/>
    </row>
    <row r="102" spans="1:15" x14ac:dyDescent="0.3">
      <c r="A102" s="22" t="s">
        <v>174</v>
      </c>
      <c r="B102" s="816">
        <f>IF(Data!$E$57&gt;0,1,0)</f>
        <v>1</v>
      </c>
      <c r="C102" s="34" t="s">
        <v>45</v>
      </c>
      <c r="D102" s="34" t="s">
        <v>81</v>
      </c>
      <c r="E102" s="226" t="s">
        <v>45</v>
      </c>
      <c r="F102" s="110">
        <f>Data!D61</f>
        <v>50</v>
      </c>
      <c r="G102" s="114">
        <f>IF(buckwheat&gt;0,H102/buckwheat,0)</f>
        <v>12.5</v>
      </c>
      <c r="H102" s="110">
        <f>B102*F102*buckwheat*Data!E57*Data!D19</f>
        <v>1250</v>
      </c>
    </row>
    <row r="103" spans="1:15" x14ac:dyDescent="0.3">
      <c r="A103" s="22" t="s">
        <v>224</v>
      </c>
      <c r="B103" s="1305">
        <f>IF(Data!$F$65&gt;0,1,0)</f>
        <v>0</v>
      </c>
      <c r="C103" s="34" t="s">
        <v>45</v>
      </c>
      <c r="D103" s="34" t="s">
        <v>225</v>
      </c>
      <c r="E103" s="226" t="s">
        <v>45</v>
      </c>
      <c r="F103" s="55" t="s">
        <v>45</v>
      </c>
      <c r="G103" s="1306">
        <f>Data!$F$65</f>
        <v>0</v>
      </c>
      <c r="H103" s="110">
        <f>B103*G103*buckwheat</f>
        <v>0</v>
      </c>
      <c r="I103" s="108">
        <f>SUM(H101:H103)</f>
        <v>1250</v>
      </c>
    </row>
    <row r="104" spans="1:15" x14ac:dyDescent="0.3">
      <c r="A104" s="665" t="s">
        <v>179</v>
      </c>
      <c r="B104" s="405"/>
      <c r="C104" s="47"/>
      <c r="D104" s="47"/>
      <c r="E104" s="647"/>
      <c r="F104" s="590"/>
      <c r="G104" s="465"/>
      <c r="H104" s="123"/>
      <c r="I104" s="50"/>
      <c r="J104" s="27"/>
      <c r="K104" s="1293" t="s">
        <v>2104</v>
      </c>
      <c r="L104" s="1293" t="s">
        <v>236</v>
      </c>
      <c r="M104" s="1293" t="s">
        <v>393</v>
      </c>
      <c r="N104" s="216"/>
      <c r="O104" s="216"/>
    </row>
    <row r="105" spans="1:15" x14ac:dyDescent="0.3">
      <c r="A105" s="639" t="s">
        <v>957</v>
      </c>
      <c r="B105" s="405">
        <f>IF(OS!$X$21="Dry",1,0)</f>
        <v>1</v>
      </c>
      <c r="C105" s="46" t="s">
        <v>45</v>
      </c>
      <c r="D105" s="46" t="s">
        <v>45</v>
      </c>
      <c r="E105" s="226" t="s">
        <v>45</v>
      </c>
      <c r="F105" s="55" t="s">
        <v>45</v>
      </c>
      <c r="G105" s="367">
        <f>Data!$I$72*Data!B237</f>
        <v>8.0282303981050962</v>
      </c>
      <c r="H105" s="110">
        <f>B105*G105*buckwheat</f>
        <v>802.82303981050961</v>
      </c>
      <c r="I105" s="50"/>
      <c r="K105" s="114">
        <f>Data!$I$72</f>
        <v>0.53521535987367308</v>
      </c>
      <c r="L105" s="24">
        <f>Data!B245</f>
        <v>34</v>
      </c>
      <c r="M105" s="98">
        <f>K105*L105</f>
        <v>18.197322235704885</v>
      </c>
    </row>
    <row r="106" spans="1:15" x14ac:dyDescent="0.3">
      <c r="A106" s="666" t="s">
        <v>247</v>
      </c>
      <c r="B106" s="405">
        <f>B105</f>
        <v>1</v>
      </c>
      <c r="C106" s="47" t="s">
        <v>45</v>
      </c>
      <c r="D106" s="48" t="s">
        <v>45</v>
      </c>
      <c r="E106" s="647" t="s">
        <v>45</v>
      </c>
      <c r="F106" s="118" t="s">
        <v>45</v>
      </c>
      <c r="G106" s="465">
        <f>Data!$I$72*(Data!B236-Data!B237)</f>
        <v>0</v>
      </c>
      <c r="H106" s="123">
        <f>B106*G106*buckwheat</f>
        <v>0</v>
      </c>
      <c r="I106" s="108">
        <f>SUM(H104:H106)</f>
        <v>802.82303981050961</v>
      </c>
    </row>
    <row r="107" spans="1:15" x14ac:dyDescent="0.3">
      <c r="A107" s="665" t="s">
        <v>2075</v>
      </c>
      <c r="E107" s="17"/>
    </row>
    <row r="108" spans="1:15" x14ac:dyDescent="0.3">
      <c r="A108" s="639" t="s">
        <v>2026</v>
      </c>
      <c r="B108" s="405">
        <f>IF(OSI!$J$92&gt;0,OSI!$J$92,0)</f>
        <v>0</v>
      </c>
      <c r="C108" s="643">
        <v>1</v>
      </c>
      <c r="D108" s="34" t="s">
        <v>1517</v>
      </c>
      <c r="E108" s="34">
        <f>B108*C108</f>
        <v>0</v>
      </c>
      <c r="F108" s="676">
        <f>OSI!$J$92</f>
        <v>0</v>
      </c>
      <c r="G108" s="114">
        <f>(C108*F108)/crops</f>
        <v>0</v>
      </c>
      <c r="H108" s="110">
        <f>B108*G108*buckwheat</f>
        <v>0</v>
      </c>
    </row>
    <row r="109" spans="1:15" x14ac:dyDescent="0.3">
      <c r="A109" s="639" t="s">
        <v>2027</v>
      </c>
      <c r="B109" s="405">
        <f>IF(OSI!$J$94&gt;0,OSI!$J$94,0)</f>
        <v>0</v>
      </c>
      <c r="C109" s="405">
        <f>OSI!$J$94</f>
        <v>0</v>
      </c>
      <c r="D109" s="34" t="s">
        <v>2028</v>
      </c>
      <c r="E109" s="34">
        <f>B109*C109</f>
        <v>0</v>
      </c>
      <c r="F109" s="367">
        <f>OSI!$J$95</f>
        <v>0</v>
      </c>
      <c r="G109" s="114">
        <f>(C109*F109)/crops</f>
        <v>0</v>
      </c>
      <c r="H109" s="110">
        <f>B109*G109*buckwheat</f>
        <v>0</v>
      </c>
      <c r="I109" s="108">
        <f>SUM(H107:H109)</f>
        <v>0</v>
      </c>
    </row>
    <row r="110" spans="1:15" x14ac:dyDescent="0.3">
      <c r="A110" s="856" t="s">
        <v>1518</v>
      </c>
      <c r="B110" s="644"/>
      <c r="C110" s="47"/>
      <c r="D110" s="48"/>
      <c r="E110" s="48"/>
      <c r="F110" s="118"/>
      <c r="G110" s="465"/>
      <c r="H110" s="124"/>
      <c r="I110" s="110"/>
      <c r="K110" s="34"/>
      <c r="N110" s="77"/>
    </row>
    <row r="111" spans="1:15" x14ac:dyDescent="0.3">
      <c r="A111" s="638" t="s">
        <v>1519</v>
      </c>
      <c r="B111" s="816">
        <f>IF(Data!$P$108&gt;0,1,0)</f>
        <v>1</v>
      </c>
      <c r="C111" s="862">
        <f>Data!$Q$108</f>
        <v>0.1</v>
      </c>
      <c r="D111" s="34" t="s">
        <v>128</v>
      </c>
      <c r="E111" s="228">
        <f>C111*buckwheat</f>
        <v>10</v>
      </c>
      <c r="F111" s="167">
        <f t="shared" ref="F111:F114" si="20">_wage_</f>
        <v>12.29</v>
      </c>
      <c r="G111" s="114">
        <f t="shared" ref="G111:G116" si="21">C111*F111</f>
        <v>1.2290000000000001</v>
      </c>
      <c r="H111" s="110">
        <f>B111*G111*buckwheat</f>
        <v>122.9</v>
      </c>
      <c r="I111" s="110"/>
      <c r="K111" s="34"/>
      <c r="N111" s="77"/>
    </row>
    <row r="112" spans="1:15" x14ac:dyDescent="0.3">
      <c r="A112" s="638" t="s">
        <v>1520</v>
      </c>
      <c r="B112" s="816">
        <f>IF(Data!$P$109&gt;0,1,0)</f>
        <v>1</v>
      </c>
      <c r="C112" s="862">
        <f>Data!$Q$109</f>
        <v>0.02</v>
      </c>
      <c r="D112" s="34" t="s">
        <v>128</v>
      </c>
      <c r="E112" s="228">
        <f>C112*buckwheat</f>
        <v>2</v>
      </c>
      <c r="F112" s="167">
        <f t="shared" si="20"/>
        <v>12.29</v>
      </c>
      <c r="G112" s="114">
        <f t="shared" si="21"/>
        <v>0.24579999999999999</v>
      </c>
      <c r="H112" s="110">
        <f>B112*G112*buckwheat</f>
        <v>24.58</v>
      </c>
      <c r="I112" s="110"/>
      <c r="K112" s="34"/>
      <c r="N112" s="77"/>
    </row>
    <row r="113" spans="1:14" x14ac:dyDescent="0.3">
      <c r="A113" s="638" t="s">
        <v>1521</v>
      </c>
      <c r="B113" s="816">
        <f>IF(Data!$P$110&gt;0,1,0)</f>
        <v>1</v>
      </c>
      <c r="C113" s="862">
        <f>Data!$Q$110</f>
        <v>0.45500000000000002</v>
      </c>
      <c r="D113" s="34" t="s">
        <v>128</v>
      </c>
      <c r="E113" s="228">
        <f>C113*buckwheat</f>
        <v>45.5</v>
      </c>
      <c r="F113" s="167">
        <f t="shared" si="20"/>
        <v>12.29</v>
      </c>
      <c r="G113" s="114">
        <f t="shared" si="21"/>
        <v>5.5919499999999998</v>
      </c>
      <c r="H113" s="110">
        <f>B113*G113*buckwheat</f>
        <v>559.19499999999994</v>
      </c>
      <c r="I113" s="110"/>
      <c r="K113" s="34"/>
      <c r="N113" s="77"/>
    </row>
    <row r="114" spans="1:14" x14ac:dyDescent="0.3">
      <c r="A114" s="638" t="s">
        <v>1522</v>
      </c>
      <c r="B114" s="816">
        <f>IF(Data!$P$111&gt;0,1,0)</f>
        <v>1</v>
      </c>
      <c r="C114" s="862">
        <f>Data!$Q$111</f>
        <v>0.32500000000000001</v>
      </c>
      <c r="D114" s="34" t="s">
        <v>128</v>
      </c>
      <c r="E114" s="228">
        <f>C114*buckwheat</f>
        <v>32.5</v>
      </c>
      <c r="F114" s="167">
        <f t="shared" si="20"/>
        <v>12.29</v>
      </c>
      <c r="G114" s="114">
        <f t="shared" si="21"/>
        <v>3.9942500000000001</v>
      </c>
      <c r="H114" s="110">
        <f>B114*G114*buckwheat</f>
        <v>399.42500000000001</v>
      </c>
      <c r="I114" s="110">
        <f>SUM(H110:H114)</f>
        <v>1106.0999999999999</v>
      </c>
      <c r="K114" s="34"/>
      <c r="N114" s="77"/>
    </row>
    <row r="115" spans="1:14" x14ac:dyDescent="0.3">
      <c r="A115" s="856" t="s">
        <v>1528</v>
      </c>
      <c r="B115" s="644"/>
      <c r="C115" s="862"/>
      <c r="D115" s="34"/>
      <c r="E115" s="228"/>
      <c r="F115" s="167"/>
      <c r="G115" s="114"/>
      <c r="H115" s="110"/>
      <c r="I115" s="110"/>
      <c r="K115" s="34"/>
      <c r="N115" s="77"/>
    </row>
    <row r="116" spans="1:14" x14ac:dyDescent="0.3">
      <c r="A116" s="638" t="s">
        <v>1530</v>
      </c>
      <c r="B116" s="816">
        <f>IF(Data!$P$113&gt;0,1,0)</f>
        <v>0</v>
      </c>
      <c r="C116" s="226">
        <f>Data!$Q$113</f>
        <v>0</v>
      </c>
      <c r="D116" s="34" t="s">
        <v>128</v>
      </c>
      <c r="E116" s="226">
        <f>C116*buckwheat</f>
        <v>0</v>
      </c>
      <c r="F116" s="167">
        <f>Data!$S$271</f>
        <v>45</v>
      </c>
      <c r="G116" s="110">
        <f t="shared" si="21"/>
        <v>0</v>
      </c>
      <c r="H116" s="110">
        <f t="shared" ref="H116:H122" si="22">B116*G116*buckwheat</f>
        <v>0</v>
      </c>
      <c r="I116" s="110">
        <f>SUM(H115:H116)</f>
        <v>0</v>
      </c>
      <c r="K116" s="34"/>
      <c r="N116" s="77"/>
    </row>
    <row r="117" spans="1:14" x14ac:dyDescent="0.3">
      <c r="A117" s="856" t="s">
        <v>1512</v>
      </c>
      <c r="B117" s="816">
        <f>Data!$G$113</f>
        <v>1</v>
      </c>
      <c r="C117" s="46" t="s">
        <v>45</v>
      </c>
      <c r="D117" s="46" t="s">
        <v>1517</v>
      </c>
      <c r="E117" s="46" t="s">
        <v>45</v>
      </c>
      <c r="F117" s="676">
        <f>Data!$I$113</f>
        <v>200</v>
      </c>
      <c r="G117" s="114">
        <f>F117/crops</f>
        <v>0.5</v>
      </c>
      <c r="H117" s="110">
        <f t="shared" si="22"/>
        <v>50</v>
      </c>
      <c r="I117" s="110"/>
      <c r="K117" s="34"/>
      <c r="N117" s="77"/>
    </row>
    <row r="118" spans="1:14" x14ac:dyDescent="0.3">
      <c r="A118" s="856" t="s">
        <v>1513</v>
      </c>
      <c r="B118" s="816">
        <f>Data!$G$114</f>
        <v>1</v>
      </c>
      <c r="C118" s="46" t="s">
        <v>45</v>
      </c>
      <c r="D118" s="46" t="s">
        <v>1517</v>
      </c>
      <c r="E118" s="46" t="s">
        <v>45</v>
      </c>
      <c r="F118" s="676">
        <f>Data!$I$114</f>
        <v>500</v>
      </c>
      <c r="G118" s="114">
        <f>F118/crops</f>
        <v>1.25</v>
      </c>
      <c r="H118" s="110">
        <f t="shared" si="22"/>
        <v>125</v>
      </c>
      <c r="I118" s="110"/>
      <c r="K118" s="34"/>
      <c r="N118" s="77"/>
    </row>
    <row r="119" spans="1:14" x14ac:dyDescent="0.3">
      <c r="A119" s="856" t="s">
        <v>1514</v>
      </c>
      <c r="B119" s="816">
        <f>Data!$G$115</f>
        <v>1</v>
      </c>
      <c r="C119" s="46" t="s">
        <v>45</v>
      </c>
      <c r="D119" s="46" t="s">
        <v>1517</v>
      </c>
      <c r="E119" s="46" t="s">
        <v>45</v>
      </c>
      <c r="F119" s="676">
        <f>Data!$I$115</f>
        <v>250</v>
      </c>
      <c r="G119" s="114">
        <f>F119/crops</f>
        <v>0.625</v>
      </c>
      <c r="H119" s="110">
        <f t="shared" si="22"/>
        <v>62.5</v>
      </c>
      <c r="I119" s="110">
        <f>SUM(H117:H119)</f>
        <v>237.5</v>
      </c>
      <c r="K119" s="34"/>
      <c r="N119" s="77"/>
    </row>
    <row r="120" spans="1:14" x14ac:dyDescent="0.3">
      <c r="A120" s="70" t="s">
        <v>180</v>
      </c>
      <c r="B120" s="405">
        <f>IF(othexp&gt;0,1,0)</f>
        <v>0</v>
      </c>
      <c r="C120" s="46" t="s">
        <v>45</v>
      </c>
      <c r="D120" s="46" t="s">
        <v>45</v>
      </c>
      <c r="E120" s="226" t="s">
        <v>45</v>
      </c>
      <c r="F120" s="55" t="s">
        <v>45</v>
      </c>
      <c r="G120" s="114">
        <f>othexp</f>
        <v>0</v>
      </c>
      <c r="H120" s="110">
        <f t="shared" si="22"/>
        <v>0</v>
      </c>
    </row>
    <row r="121" spans="1:14" x14ac:dyDescent="0.3">
      <c r="A121" s="22" t="s">
        <v>181</v>
      </c>
      <c r="B121" s="397">
        <v>0</v>
      </c>
      <c r="C121" s="46" t="s">
        <v>45</v>
      </c>
      <c r="D121" s="46" t="s">
        <v>45</v>
      </c>
      <c r="E121" s="226" t="s">
        <v>45</v>
      </c>
      <c r="F121" s="55" t="s">
        <v>45</v>
      </c>
      <c r="G121" s="272">
        <f>0</f>
        <v>0</v>
      </c>
      <c r="H121" s="110">
        <f t="shared" si="22"/>
        <v>0</v>
      </c>
      <c r="I121" s="110">
        <f>SUM(H120:H121)</f>
        <v>0</v>
      </c>
    </row>
    <row r="122" spans="1:14" x14ac:dyDescent="0.3">
      <c r="A122" s="3" t="s">
        <v>226</v>
      </c>
      <c r="B122" s="397">
        <v>0</v>
      </c>
      <c r="C122" s="46" t="s">
        <v>45</v>
      </c>
      <c r="D122" s="75" t="s">
        <v>45</v>
      </c>
      <c r="E122" s="226" t="s">
        <v>45</v>
      </c>
      <c r="F122" s="55" t="s">
        <v>45</v>
      </c>
      <c r="G122" s="272">
        <f>0</f>
        <v>0</v>
      </c>
      <c r="H122" s="110">
        <f t="shared" si="22"/>
        <v>0</v>
      </c>
      <c r="I122" s="110">
        <f>SUM(H122:H122)</f>
        <v>0</v>
      </c>
    </row>
    <row r="123" spans="1:14" x14ac:dyDescent="0.3">
      <c r="A123" s="3" t="s">
        <v>73</v>
      </c>
      <c r="B123" s="3"/>
      <c r="F123" s="114"/>
      <c r="G123" s="119">
        <f>SUM(G8:G122)</f>
        <v>459.30385602203052</v>
      </c>
      <c r="H123" s="111">
        <f>SUM(H8:H122)</f>
        <v>23938.132598491036</v>
      </c>
    </row>
    <row r="124" spans="1:14" x14ac:dyDescent="0.3">
      <c r="F124" s="114"/>
      <c r="G124" s="114"/>
      <c r="H124" s="109"/>
    </row>
    <row r="125" spans="1:14" ht="39" x14ac:dyDescent="0.3">
      <c r="A125" s="3" t="s">
        <v>69</v>
      </c>
      <c r="B125" s="3"/>
      <c r="C125" s="25" t="s">
        <v>70</v>
      </c>
      <c r="D125" s="25" t="s">
        <v>71</v>
      </c>
      <c r="E125" s="648"/>
      <c r="F125" s="114"/>
      <c r="G125" s="120" t="s">
        <v>1292</v>
      </c>
      <c r="H125" s="126" t="s">
        <v>72</v>
      </c>
    </row>
    <row r="126" spans="1:14" x14ac:dyDescent="0.3">
      <c r="A126" s="3"/>
      <c r="B126" s="3"/>
      <c r="C126" s="35">
        <f>_int_oper_</f>
        <v>4.7341710603787002E-2</v>
      </c>
      <c r="D126" s="34">
        <f>Data!$B$48</f>
        <v>7</v>
      </c>
      <c r="E126" s="226"/>
      <c r="F126" s="114"/>
      <c r="G126" s="104">
        <f>IF(buckwheat&gt;0,H126/buckwheat,0)</f>
        <v>6.6107541842582487</v>
      </c>
      <c r="H126" s="109">
        <f>C126*(D126/12)*(H123)</f>
        <v>661.07541842582486</v>
      </c>
    </row>
    <row r="127" spans="1:14" x14ac:dyDescent="0.3">
      <c r="F127" s="114"/>
      <c r="G127" s="103"/>
      <c r="H127" s="127"/>
    </row>
    <row r="128" spans="1:14" ht="14" thickBot="1" x14ac:dyDescent="0.4">
      <c r="A128" s="1" t="s">
        <v>74</v>
      </c>
      <c r="B128" s="1"/>
      <c r="F128" s="114"/>
      <c r="G128" s="121">
        <f>G123+G126</f>
        <v>465.91461020628878</v>
      </c>
      <c r="H128" s="128">
        <f>H123+H126</f>
        <v>24599.208016916862</v>
      </c>
    </row>
    <row r="129" spans="6:8" ht="13.5" thickTop="1" x14ac:dyDescent="0.3">
      <c r="F129" s="34"/>
      <c r="G129" s="34"/>
      <c r="H129" s="49"/>
    </row>
    <row r="130" spans="6:8" x14ac:dyDescent="0.3">
      <c r="F130" s="34"/>
      <c r="G130" s="34"/>
      <c r="H130" s="49"/>
    </row>
    <row r="131" spans="6:8" x14ac:dyDescent="0.3">
      <c r="F131" s="34"/>
      <c r="G131" s="34"/>
      <c r="H131" s="49"/>
    </row>
    <row r="132" spans="6:8" x14ac:dyDescent="0.3">
      <c r="F132" s="34"/>
      <c r="G132" s="34"/>
      <c r="H132" s="49"/>
    </row>
    <row r="133" spans="6:8" x14ac:dyDescent="0.3">
      <c r="F133" s="34"/>
      <c r="G133" s="34"/>
      <c r="H133" s="49"/>
    </row>
    <row r="134" spans="6:8" x14ac:dyDescent="0.3">
      <c r="F134" s="34"/>
      <c r="G134" s="34"/>
      <c r="H134" s="49"/>
    </row>
    <row r="135" spans="6:8" x14ac:dyDescent="0.3">
      <c r="F135" s="34"/>
      <c r="G135" s="34"/>
      <c r="H135" s="49"/>
    </row>
    <row r="136" spans="6:8" x14ac:dyDescent="0.3">
      <c r="F136" s="34"/>
      <c r="G136" s="34"/>
      <c r="H136" s="49"/>
    </row>
    <row r="137" spans="6:8" x14ac:dyDescent="0.3">
      <c r="F137" s="34"/>
      <c r="G137" s="34"/>
      <c r="H137" s="49"/>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14" x14ac:dyDescent="0.3">
      <c r="F273" s="34"/>
      <c r="G273" s="34"/>
      <c r="H273" s="34"/>
    </row>
    <row r="274" spans="6:14" x14ac:dyDescent="0.3">
      <c r="F274" s="34"/>
      <c r="G274" s="34"/>
      <c r="H274" s="34"/>
    </row>
    <row r="275" spans="6:14" x14ac:dyDescent="0.3">
      <c r="F275" s="34"/>
      <c r="G275" s="34"/>
      <c r="H275" s="34"/>
    </row>
    <row r="276" spans="6:14" x14ac:dyDescent="0.3">
      <c r="F276" s="34"/>
      <c r="G276" s="34"/>
      <c r="H276" s="34"/>
    </row>
    <row r="277" spans="6:14" x14ac:dyDescent="0.3">
      <c r="F277" s="34"/>
      <c r="G277" s="34"/>
      <c r="H277" s="34"/>
    </row>
    <row r="278" spans="6:14" x14ac:dyDescent="0.3">
      <c r="F278" s="34"/>
      <c r="G278" s="34"/>
      <c r="H278" s="34"/>
    </row>
    <row r="279" spans="6:14" x14ac:dyDescent="0.3">
      <c r="F279" s="34"/>
      <c r="G279" s="34"/>
      <c r="H279" s="34"/>
    </row>
    <row r="280" spans="6:14" x14ac:dyDescent="0.3">
      <c r="F280" s="34"/>
      <c r="G280" s="34"/>
      <c r="H280" s="34"/>
    </row>
    <row r="281" spans="6:14" x14ac:dyDescent="0.3">
      <c r="F281" s="34"/>
      <c r="G281" s="34"/>
      <c r="H281" s="34"/>
    </row>
    <row r="282" spans="6:14" x14ac:dyDescent="0.3">
      <c r="F282" s="34"/>
      <c r="G282" s="34"/>
      <c r="H282" s="34"/>
    </row>
    <row r="283" spans="6:14" x14ac:dyDescent="0.3">
      <c r="F283" s="34"/>
      <c r="G283" s="34"/>
      <c r="H283" s="34"/>
    </row>
    <row r="284" spans="6:14" x14ac:dyDescent="0.3">
      <c r="F284" s="34"/>
      <c r="G284" s="34"/>
      <c r="H284" s="34"/>
    </row>
    <row r="285" spans="6:14" x14ac:dyDescent="0.3">
      <c r="F285" s="34"/>
      <c r="G285" s="34"/>
      <c r="H285" s="34"/>
    </row>
    <row r="286" spans="6:14" x14ac:dyDescent="0.3">
      <c r="F286" s="34"/>
      <c r="G286" s="34"/>
      <c r="H286" s="34"/>
      <c r="N286" s="17">
        <f>(Bv!B30*Bv!E30+Bv!B31*Bv!E31+Bv!B32*Bv!E32+Bv!B34*Bv!E34+Bv!B35*Bv!E35+Bv!B38*Bv!E38)+(Ov!B30*Ov!E30+Ov!B31*Ov!E31+Ov!B32*Ov!E32+Ov!B34*Ov!E34+Ov!B35*Ov!E35+Ov!B38*Ov!E38)+(Rv!B30*Rv!E30+Rv!B31*Rv!E31+Rv!B32*Rv!E32+Rv!B34*Rv!E34+Rv!B35*Rv!E35+Rv!B38*Rv!E38)+(Wv!B30*Wv!E30+Wv!B31*Wv!E31+Wv!B32*Wv!E32+Wv!B34*Wv!E34+Wv!B35*Wv!E35+Wv!B37*Wv!E37+Wv!B38*Wv!E38)+(Tv!B30*Tv!E30+Tv!B31*Tv!E31+Tv!B32*Tv!E32+Tv!B34*Tv!E34+Tv!B35*Tv!E35+Tv!B37*Tv!E37+Tv!B38*Tv!E38)+(Sv!B30*Sv!E30+Sv!B31*Sv!E31+Sv!B32*Sv!E32+Sv!B34*Sv!E34+Sv!B35*Sv!E35+Sv!B37*Sv!E37+Sv!B38*Sv!E38)+(Pv!B26*Pv!E26+Pv!B27*Pv!E27+Pv!B28*Pv!E28+Pv!B29*Pv!E29+Pv!B30*Pv!E30+Pv!B33*Pv!E33+Pv!B31*Pv!E31)+(Pv!B26*Pv!E26+Pv!B27*Pv!E27+Pv!B28*Pv!E28+Pv!B29*Pv!E29+Pv!B30*Pv!E30+Pv!B33*Pv!E33+Pv!B31*Pv!E31)</f>
        <v>30.816640986132519</v>
      </c>
    </row>
    <row r="287" spans="6:14" x14ac:dyDescent="0.3">
      <c r="F287" s="34"/>
      <c r="G287" s="34"/>
      <c r="H287" s="34"/>
    </row>
    <row r="288" spans="6:14"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row>
    <row r="632" spans="6:8" x14ac:dyDescent="0.3">
      <c r="F632" s="34"/>
    </row>
    <row r="633" spans="6:8" x14ac:dyDescent="0.3">
      <c r="F633" s="34"/>
    </row>
    <row r="634" spans="6:8" x14ac:dyDescent="0.3">
      <c r="F634" s="34"/>
    </row>
    <row r="635" spans="6:8" x14ac:dyDescent="0.3">
      <c r="F635" s="34"/>
    </row>
    <row r="636" spans="6:8" x14ac:dyDescent="0.3">
      <c r="F636" s="34"/>
    </row>
    <row r="637" spans="6:8" x14ac:dyDescent="0.3">
      <c r="F637" s="34"/>
    </row>
    <row r="638" spans="6:8" x14ac:dyDescent="0.3">
      <c r="F638" s="34"/>
    </row>
    <row r="639" spans="6:8" x14ac:dyDescent="0.3">
      <c r="F639" s="34"/>
    </row>
    <row r="640" spans="6:8" x14ac:dyDescent="0.3">
      <c r="F640" s="34"/>
    </row>
    <row r="641" spans="6:6" x14ac:dyDescent="0.3">
      <c r="F641" s="34"/>
    </row>
    <row r="642" spans="6:6" x14ac:dyDescent="0.3">
      <c r="F642" s="34"/>
    </row>
    <row r="643" spans="6:6" x14ac:dyDescent="0.3">
      <c r="F643" s="34"/>
    </row>
    <row r="644" spans="6:6" x14ac:dyDescent="0.3">
      <c r="F644" s="34"/>
    </row>
    <row r="645" spans="6:6" x14ac:dyDescent="0.3">
      <c r="F645" s="34"/>
    </row>
    <row r="646" spans="6:6" x14ac:dyDescent="0.3">
      <c r="F646" s="34"/>
    </row>
    <row r="647" spans="6:6" x14ac:dyDescent="0.3">
      <c r="F647" s="34"/>
    </row>
    <row r="648" spans="6:6" x14ac:dyDescent="0.3">
      <c r="F648" s="34"/>
    </row>
    <row r="649" spans="6:6" x14ac:dyDescent="0.3">
      <c r="F649" s="34"/>
    </row>
    <row r="650" spans="6:6" x14ac:dyDescent="0.3">
      <c r="F650" s="34"/>
    </row>
    <row r="651" spans="6:6" x14ac:dyDescent="0.3">
      <c r="F651" s="34"/>
    </row>
    <row r="652" spans="6:6" x14ac:dyDescent="0.3">
      <c r="F652" s="34"/>
    </row>
  </sheetData>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31"/>
  <sheetViews>
    <sheetView workbookViewId="0">
      <pane ySplit="6" topLeftCell="A7" activePane="bottomLeft" state="frozen"/>
      <selection pane="bottomLeft" activeCell="D25" sqref="D25"/>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customWidth="1"/>
    <col min="12" max="13" width="9.6328125" style="17" customWidth="1"/>
    <col min="14" max="16384" width="9.08984375" style="17"/>
  </cols>
  <sheetData>
    <row r="1" spans="1:18" x14ac:dyDescent="0.3">
      <c r="A1" s="61" t="s">
        <v>146</v>
      </c>
      <c r="B1" s="17" t="str">
        <f>model</f>
        <v>ME Grain &amp; Pulse</v>
      </c>
    </row>
    <row r="3" spans="1:18" x14ac:dyDescent="0.3">
      <c r="A3" s="16" t="s">
        <v>2138</v>
      </c>
    </row>
    <row r="4" spans="1:18" x14ac:dyDescent="0.3">
      <c r="A4" s="16"/>
    </row>
    <row r="5" spans="1:18" x14ac:dyDescent="0.3">
      <c r="B5" s="8" t="s">
        <v>92</v>
      </c>
      <c r="C5" s="65">
        <f>buckwheat</f>
        <v>100</v>
      </c>
      <c r="D5" s="4" t="s">
        <v>93</v>
      </c>
      <c r="H5" s="28"/>
    </row>
    <row r="6" spans="1:18"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c r="N6" s="11"/>
    </row>
    <row r="7" spans="1:18" x14ac:dyDescent="0.3">
      <c r="A7" s="13"/>
      <c r="B7" s="29"/>
      <c r="C7" s="30"/>
      <c r="D7" s="31"/>
      <c r="E7" s="31"/>
      <c r="F7" s="18"/>
      <c r="G7" s="18"/>
      <c r="H7" s="32"/>
      <c r="I7" s="31"/>
      <c r="J7" s="31"/>
      <c r="K7" s="31"/>
      <c r="L7" s="31"/>
      <c r="M7" s="31"/>
    </row>
    <row r="8" spans="1:18" x14ac:dyDescent="0.3">
      <c r="A8" s="14" t="s">
        <v>3</v>
      </c>
      <c r="D8" s="110"/>
      <c r="E8" s="110"/>
      <c r="F8" s="110"/>
    </row>
    <row r="9" spans="1:18" x14ac:dyDescent="0.3">
      <c r="A9" s="664" t="str">
        <f>Data!A276</f>
        <v>Smaller tractor (75 hp) - SMALL SIZE</v>
      </c>
      <c r="B9" s="33">
        <f>Data!B276</f>
        <v>0</v>
      </c>
      <c r="C9" s="34" t="str">
        <f>Data!C276</f>
        <v>tractor</v>
      </c>
      <c r="D9" s="109">
        <f>Data!D276*Data!$H$19*CP!$H$5</f>
        <v>12417.117149282747</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c r="R9" s="34"/>
    </row>
    <row r="10" spans="1:18" ht="13.25" customHeight="1" x14ac:dyDescent="0.3">
      <c r="A10" s="664" t="str">
        <f>Data!A277</f>
        <v>Medium tractor (105 hp) - SMALL SIZE</v>
      </c>
      <c r="B10" s="33">
        <f>Data!B277</f>
        <v>0</v>
      </c>
      <c r="C10" s="34" t="str">
        <f>Data!C277</f>
        <v>tractor</v>
      </c>
      <c r="D10" s="109">
        <f>Data!D277*Data!$H$19*CP!$H$5</f>
        <v>22732.876011763798</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c r="R10" s="34"/>
    </row>
    <row r="11" spans="1:18" ht="13.25" customHeight="1" x14ac:dyDescent="0.3">
      <c r="A11" s="664" t="str">
        <f>Data!A278</f>
        <v>Medium/Large tractor (130 hp) - SMALL SIZE</v>
      </c>
      <c r="B11" s="33">
        <f>Data!B278</f>
        <v>0</v>
      </c>
      <c r="C11" s="34" t="str">
        <f>Data!C278</f>
        <v>tractor</v>
      </c>
      <c r="D11" s="109">
        <f>Data!D278*Data!$H$19*CP!$H$5</f>
        <v>26935.592585367187</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c r="R11" s="34"/>
    </row>
    <row r="12" spans="1:18" ht="13.25" customHeight="1" x14ac:dyDescent="0.3">
      <c r="A12" s="664" t="str">
        <f>Data!A279</f>
        <v>Large tractor (160 hp) - SMALL SIZE</v>
      </c>
      <c r="B12" s="33">
        <f>Data!B279</f>
        <v>0</v>
      </c>
      <c r="C12" s="34" t="str">
        <f>Data!C279</f>
        <v>tractor</v>
      </c>
      <c r="D12" s="109">
        <f>Data!D279*Data!$H$19*CP!$H$5</f>
        <v>36105.15601868368</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c r="R12" s="34"/>
    </row>
    <row r="13" spans="1:18" ht="13.25" customHeight="1" x14ac:dyDescent="0.3">
      <c r="A13" s="664" t="str">
        <f>Data!A280</f>
        <v>Large tractor (200 hp) - SMALL SIZE</v>
      </c>
      <c r="B13" s="33">
        <f>Data!B280</f>
        <v>0</v>
      </c>
      <c r="C13" s="34" t="str">
        <f>Data!C280</f>
        <v>tractor</v>
      </c>
      <c r="D13" s="109">
        <f>Data!D280*Data!$H$19*CP!$H$5</f>
        <v>44892.654308945312</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c r="R13" s="34"/>
    </row>
    <row r="14" spans="1:18" x14ac:dyDescent="0.3">
      <c r="A14" s="664" t="str">
        <f>Data!A282</f>
        <v>Smaller tractor (75 hp) - MEDIUM SIZE</v>
      </c>
      <c r="B14" s="33">
        <f>Data!B282</f>
        <v>0</v>
      </c>
      <c r="C14" s="34" t="str">
        <f>Data!C282</f>
        <v>tractor</v>
      </c>
      <c r="D14" s="109">
        <f>Data!D282*Data!$H$19</f>
        <v>12417.117149282747</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c r="R14" s="34"/>
    </row>
    <row r="15" spans="1:18" x14ac:dyDescent="0.3">
      <c r="A15" s="664" t="str">
        <f>Data!A283</f>
        <v>Medium tractor (105 hp) - MEDIUM SIZE</v>
      </c>
      <c r="B15" s="33">
        <f>Data!B283</f>
        <v>1</v>
      </c>
      <c r="C15" s="34" t="str">
        <f>Data!C283</f>
        <v>tractor</v>
      </c>
      <c r="D15" s="109">
        <f>Data!D283*Data!$H$19</f>
        <v>22732.876011763798</v>
      </c>
      <c r="E15" s="109">
        <f>D15*B15</f>
        <v>22732.876011763798</v>
      </c>
      <c r="F15" s="109">
        <f>IF(CP!K11=0,Data!I283*E15,CP!K11*B15)</f>
        <v>9775.1366850584327</v>
      </c>
      <c r="G15" s="60">
        <f>IF(CP!$G$11=0,Data!$F$283,CP!$G$11)</f>
        <v>40</v>
      </c>
      <c r="H15" s="109">
        <f>(E15*(_int_inv_m*(1+_int_inv_m)^G15)/((1+_int_inv_m)^G15-1))-(F15*_int_inv_m/((1+_int_inv_m)^G15-1))</f>
        <v>633.17601601643059</v>
      </c>
      <c r="I15" s="36">
        <f>IF(CP!I11=0,Data!H283*Data!$J$271,CP!I11/CP!E11)</f>
        <v>1.35E-2</v>
      </c>
      <c r="J15" s="109">
        <f>E15*I15</f>
        <v>306.89382615881124</v>
      </c>
      <c r="K15" s="36">
        <f t="shared" si="1"/>
        <v>6.7999999999999996E-3</v>
      </c>
      <c r="L15" s="109">
        <f>E15*K15</f>
        <v>154.58355687999381</v>
      </c>
      <c r="M15" s="109">
        <f>H15+J15+L15</f>
        <v>1094.6533990552357</v>
      </c>
      <c r="N15" s="34"/>
      <c r="O15" s="34"/>
      <c r="P15" s="34"/>
      <c r="Q15" s="34"/>
      <c r="R15" s="34"/>
    </row>
    <row r="16" spans="1:18" x14ac:dyDescent="0.3">
      <c r="A16" s="664" t="str">
        <f>Data!A284</f>
        <v>Medium/Large tractor (130 hp) - MEDIUM SIZE</v>
      </c>
      <c r="B16" s="33">
        <f>Data!B284</f>
        <v>0</v>
      </c>
      <c r="C16" s="34" t="str">
        <f>Data!C284</f>
        <v>tractor</v>
      </c>
      <c r="D16" s="109">
        <f>Data!D284*Data!$H$19</f>
        <v>26935.592585367187</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c r="R16" s="34"/>
    </row>
    <row r="17" spans="1:23" x14ac:dyDescent="0.3">
      <c r="A17" s="664" t="str">
        <f>Data!A285</f>
        <v>Large tractor (160 hp) - MEDIUM SIZE</v>
      </c>
      <c r="B17" s="33">
        <f>Data!B285</f>
        <v>1</v>
      </c>
      <c r="C17" s="34" t="str">
        <f>Data!C285</f>
        <v>tractor</v>
      </c>
      <c r="D17" s="109">
        <f>Data!D285*Data!$H$19</f>
        <v>36105.15601868368</v>
      </c>
      <c r="E17" s="109">
        <f>D17*B17</f>
        <v>36105.15601868368</v>
      </c>
      <c r="F17" s="109">
        <f>IF(CP!K13=0,Data!I285*E17,CP!K13*B17)</f>
        <v>13719.959287099799</v>
      </c>
      <c r="G17" s="60">
        <f>IF(CP!$G$13=0,Data!$F$285,CP!$G$13)</f>
        <v>30</v>
      </c>
      <c r="H17" s="109">
        <f>(E17*(_int_inv_m*(1+_int_inv_m)^G17)/((1+_int_inv_m)^G17-1))-(F17*_int_inv_m/((1+_int_inv_m)^G17-1))</f>
        <v>1219.1803968513268</v>
      </c>
      <c r="I17" s="36">
        <f>IF(CP!I13=0,Data!H285*Data!$J$271,CP!I13/CP!E13)</f>
        <v>1.6666666666666666E-2</v>
      </c>
      <c r="J17" s="109">
        <f>E17*I17</f>
        <v>601.75260031139464</v>
      </c>
      <c r="K17" s="36">
        <f t="shared" si="1"/>
        <v>6.7999999999999996E-3</v>
      </c>
      <c r="L17" s="109">
        <f>E17*K17</f>
        <v>245.51506092704901</v>
      </c>
      <c r="M17" s="109">
        <f>H17+J17+L17</f>
        <v>2066.4480580897703</v>
      </c>
      <c r="N17" s="34"/>
      <c r="O17" s="34"/>
      <c r="P17" s="34"/>
      <c r="Q17" s="34"/>
      <c r="R17" s="34"/>
    </row>
    <row r="18" spans="1:23" x14ac:dyDescent="0.3">
      <c r="A18" s="664" t="str">
        <f>Data!A286</f>
        <v>Large tractor (200 hp) - MEDIUM SIZE</v>
      </c>
      <c r="B18" s="33">
        <f>Data!B286</f>
        <v>0</v>
      </c>
      <c r="C18" s="34" t="str">
        <f>Data!C286</f>
        <v>tractor</v>
      </c>
      <c r="D18" s="109">
        <f>Data!D286*Data!$H$19</f>
        <v>44892.654308945312</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c r="R18" s="34"/>
    </row>
    <row r="19" spans="1:23" x14ac:dyDescent="0.3">
      <c r="A19" s="664" t="str">
        <f>Data!A288</f>
        <v>Smaller tractor (75 hp) - LARGE SIZE</v>
      </c>
      <c r="B19" s="33">
        <f>Data!B288</f>
        <v>0</v>
      </c>
      <c r="C19" s="34" t="str">
        <f>Data!C288</f>
        <v>tractor</v>
      </c>
      <c r="D19" s="109">
        <f>Data!D288*Data!$H$19</f>
        <v>12417.117149282747</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c r="R19" s="34"/>
    </row>
    <row r="20" spans="1:23" x14ac:dyDescent="0.3">
      <c r="A20" s="664" t="str">
        <f>Data!A289</f>
        <v>Medium tractor (105 hp) - LARGE SIZE</v>
      </c>
      <c r="B20" s="33">
        <f>Data!B289</f>
        <v>0</v>
      </c>
      <c r="C20" s="34" t="str">
        <f>Data!C289</f>
        <v>tractor</v>
      </c>
      <c r="D20" s="109">
        <f>Data!D289*Data!$H$19</f>
        <v>22732.876011763798</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c r="R20" s="34"/>
    </row>
    <row r="21" spans="1:23" x14ac:dyDescent="0.3">
      <c r="A21" s="664" t="str">
        <f>Data!A290</f>
        <v>Medium/Large tractor (130 hp) - LARGE SIZE</v>
      </c>
      <c r="B21" s="33">
        <f>Data!B290</f>
        <v>0</v>
      </c>
      <c r="C21" s="34" t="str">
        <f>Data!C290</f>
        <v>tractor</v>
      </c>
      <c r="D21" s="109">
        <f>Data!D290*Data!$H$19</f>
        <v>26935.592585367187</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c r="R21" s="34"/>
    </row>
    <row r="22" spans="1:23" x14ac:dyDescent="0.3">
      <c r="A22" s="664" t="str">
        <f>Data!A291</f>
        <v>Large tractor (160 hp) - LARGE SIZE</v>
      </c>
      <c r="B22" s="33">
        <f>Data!B291</f>
        <v>0</v>
      </c>
      <c r="C22" s="34" t="str">
        <f>Data!C291</f>
        <v>tractor</v>
      </c>
      <c r="D22" s="109">
        <f>Data!D291*Data!$H$19</f>
        <v>36105.15601868368</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c r="R22" s="34"/>
    </row>
    <row r="23" spans="1:23" x14ac:dyDescent="0.3">
      <c r="A23" s="664" t="str">
        <f>Data!A292</f>
        <v>Large tractor (200 hp) - LARGE SIZE</v>
      </c>
      <c r="B23" s="33">
        <f>Data!B292</f>
        <v>0</v>
      </c>
      <c r="C23" s="34" t="str">
        <f>Data!C292</f>
        <v>tractor</v>
      </c>
      <c r="D23" s="109">
        <f>Data!D292*Data!$H$19</f>
        <v>44892.654308945312</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c r="R23" s="34"/>
    </row>
    <row r="24" spans="1:23" x14ac:dyDescent="0.3">
      <c r="B24" s="33"/>
      <c r="C24" s="34"/>
      <c r="D24" s="109"/>
      <c r="E24" s="109"/>
      <c r="F24" s="109"/>
      <c r="G24" s="34"/>
      <c r="H24" s="109"/>
      <c r="I24" s="35"/>
      <c r="J24" s="109"/>
      <c r="K24" s="35"/>
      <c r="L24" s="109"/>
      <c r="M24" s="109"/>
      <c r="N24" s="32"/>
      <c r="O24" s="34"/>
      <c r="P24" s="34"/>
      <c r="Q24" s="34"/>
      <c r="R24" s="34"/>
      <c r="S24" s="34"/>
      <c r="T24" s="34"/>
      <c r="U24" s="34"/>
      <c r="V24" s="34"/>
      <c r="W24" s="34"/>
    </row>
    <row r="25" spans="1:23" x14ac:dyDescent="0.3">
      <c r="A25" s="14" t="s">
        <v>386</v>
      </c>
      <c r="D25" s="110"/>
      <c r="E25" s="110"/>
      <c r="F25" s="109"/>
      <c r="H25" s="109"/>
      <c r="J25" s="110"/>
      <c r="L25" s="110"/>
      <c r="M25" s="109"/>
    </row>
    <row r="26" spans="1:23" x14ac:dyDescent="0.3">
      <c r="A26" s="664" t="str">
        <f>Data!A297</f>
        <v>Bulk Body Truck(s) - SMALL SIZE</v>
      </c>
      <c r="B26" s="84">
        <f>Data!B297</f>
        <v>0</v>
      </c>
      <c r="C26" s="34" t="str">
        <f>Data!C297</f>
        <v>truck</v>
      </c>
      <c r="D26" s="109">
        <f>Data!D297*Data!$J$19*CP!$H$5</f>
        <v>6705.5853105935857</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23" x14ac:dyDescent="0.3">
      <c r="A27" s="664" t="str">
        <f>Data!A298</f>
        <v>Bulk Body Truck(s) - MEDIUM SIZE</v>
      </c>
      <c r="B27" s="84">
        <f>Data!B298</f>
        <v>3</v>
      </c>
      <c r="C27" s="34" t="str">
        <f>Data!C298</f>
        <v>truck</v>
      </c>
      <c r="D27" s="109">
        <f>Data!D298*Data!$J$19</f>
        <v>6705.5853105935857</v>
      </c>
      <c r="E27" s="109">
        <f t="shared" ref="E27:E32" si="14">D27*B27</f>
        <v>20116.755931780757</v>
      </c>
      <c r="F27" s="109">
        <f>IF(CP!K16=0,Data!I298*E27,CP!K16*B27)</f>
        <v>5230.3565422629972</v>
      </c>
      <c r="G27" s="60">
        <f>IF(CP!$G$16=0,Data!$F$298,CP!$G$16)</f>
        <v>40</v>
      </c>
      <c r="H27" s="109">
        <f>(E27*(_int_inv_m*(1+_int_inv_m)^G27)/((1+_int_inv_m)^G27-1))-(F27*_int_inv_m/((1+_int_inv_m)^G27-1))</f>
        <v>619.42419103714406</v>
      </c>
      <c r="I27" s="675">
        <f>IF(CP!I16=0,Data!H298*Data!$J$271,CP!I16/CP!E16)</f>
        <v>0.02</v>
      </c>
      <c r="J27" s="109">
        <f t="shared" ref="J27:J32" si="15">E27*I27</f>
        <v>402.33511863561517</v>
      </c>
      <c r="K27" s="36">
        <f>_tax_ins_</f>
        <v>6.7999999999999996E-3</v>
      </c>
      <c r="L27" s="109">
        <f t="shared" ref="L27:L32" si="16">E27*K27</f>
        <v>136.79394033610913</v>
      </c>
      <c r="M27" s="109">
        <f t="shared" ref="M27:M32" si="17">H27+J27+L27</f>
        <v>1158.5532500088684</v>
      </c>
      <c r="N27" s="34"/>
      <c r="O27" s="34"/>
      <c r="P27" s="34"/>
      <c r="Q27" s="34"/>
      <c r="R27" s="34"/>
    </row>
    <row r="28" spans="1:23" x14ac:dyDescent="0.3">
      <c r="A28" s="664" t="str">
        <f>Data!A299</f>
        <v>Bulk Body Truck(s) - LARGE SIZE</v>
      </c>
      <c r="B28" s="84">
        <f>Data!B299</f>
        <v>0</v>
      </c>
      <c r="C28" s="34" t="str">
        <f>Data!C299</f>
        <v>truck</v>
      </c>
      <c r="D28" s="109">
        <f>Data!D299*Data!$J$19</f>
        <v>6705.5853105935857</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23" x14ac:dyDescent="0.3">
      <c r="A29" s="664" t="str">
        <f>Data!A300</f>
        <v>Flat Bed Truck(s) - SMALL SIZE</v>
      </c>
      <c r="B29" s="84">
        <f>Data!B300</f>
        <v>0</v>
      </c>
      <c r="C29" s="34" t="str">
        <f>Data!C300</f>
        <v>truck</v>
      </c>
      <c r="D29" s="109">
        <f>Data!D300*Data!$J$19*CP!$H$5</f>
        <v>6705.5853105935857</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23" x14ac:dyDescent="0.3">
      <c r="A30" s="664" t="str">
        <f>Data!A301</f>
        <v>Flat Bed Truck(s) - MEDIUM SIZE</v>
      </c>
      <c r="B30" s="84">
        <f>Data!B301</f>
        <v>0</v>
      </c>
      <c r="C30" s="34" t="str">
        <f>Data!C301</f>
        <v>truck</v>
      </c>
      <c r="D30" s="109">
        <f>Data!D301*Data!$J$19</f>
        <v>6705.5853105935857</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23" x14ac:dyDescent="0.3">
      <c r="A31" s="664" t="str">
        <f>Data!A302</f>
        <v>Flat Bed Truck(s) - LARGE SIZE</v>
      </c>
      <c r="B31" s="84">
        <f>Data!B302</f>
        <v>0</v>
      </c>
      <c r="C31" s="34" t="str">
        <f>Data!C302</f>
        <v>truck</v>
      </c>
      <c r="D31" s="109">
        <f>Data!D302*Data!$J$19</f>
        <v>6705.5853105935857</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23" x14ac:dyDescent="0.3">
      <c r="A32" s="664" t="str">
        <f>Data!A303</f>
        <v>Semi Truck(s) - LARGE SIZE</v>
      </c>
      <c r="B32" s="84">
        <f>Data!B303</f>
        <v>0</v>
      </c>
      <c r="C32" s="34" t="str">
        <f>Data!C303</f>
        <v>truck</v>
      </c>
      <c r="D32" s="109">
        <f>Data!D303*Data!$J$19</f>
        <v>16237.768579831283</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23" x14ac:dyDescent="0.3">
      <c r="B33" s="33"/>
      <c r="C33" s="34"/>
      <c r="D33" s="109"/>
      <c r="E33" s="109"/>
      <c r="F33" s="109"/>
      <c r="G33" s="34"/>
      <c r="H33" s="109"/>
      <c r="I33" s="35"/>
      <c r="J33" s="109"/>
      <c r="K33" s="35"/>
      <c r="L33" s="32"/>
      <c r="M33" s="32"/>
      <c r="N33" s="32"/>
      <c r="O33" s="34"/>
      <c r="P33" s="34"/>
      <c r="Q33" s="34"/>
      <c r="R33" s="34"/>
      <c r="S33" s="34"/>
      <c r="T33" s="34"/>
      <c r="U33" s="34"/>
      <c r="V33" s="34"/>
      <c r="W33" s="34"/>
    </row>
    <row r="34" spans="1:23" x14ac:dyDescent="0.3">
      <c r="A34" s="14" t="s">
        <v>6</v>
      </c>
      <c r="B34" s="33"/>
      <c r="C34" s="34"/>
      <c r="D34" s="109"/>
      <c r="E34" s="109"/>
      <c r="F34" s="109"/>
      <c r="G34" s="34"/>
      <c r="H34" s="109"/>
      <c r="I34" s="35"/>
      <c r="J34" s="109"/>
      <c r="K34" s="35"/>
      <c r="L34" s="109"/>
      <c r="M34" s="109"/>
      <c r="N34" s="34"/>
      <c r="O34" s="34"/>
      <c r="P34" s="34"/>
      <c r="Q34" s="34"/>
      <c r="R34" s="34"/>
      <c r="S34" s="34"/>
      <c r="T34" s="34"/>
      <c r="U34" s="34"/>
      <c r="V34" s="34"/>
      <c r="W34" s="34"/>
    </row>
    <row r="35" spans="1:23" x14ac:dyDescent="0.3">
      <c r="A35" s="664" t="str">
        <f>Data!A310</f>
        <v>Moldboard Plow (9 ft) - SMALL SIZE</v>
      </c>
      <c r="B35" s="33">
        <f>Data!B310</f>
        <v>0</v>
      </c>
      <c r="C35" s="34" t="str">
        <f>Data!C310</f>
        <v>moldboard plow</v>
      </c>
      <c r="D35" s="109">
        <f>Data!D310*Data!$P$19*CP!$H$5</f>
        <v>5348.9120027679519</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49" si="19">_tax_ins_</f>
        <v>6.7999999999999996E-3</v>
      </c>
      <c r="L35" s="109">
        <f>E35*K35</f>
        <v>0</v>
      </c>
      <c r="M35" s="109">
        <f>H35+J35+L35</f>
        <v>0</v>
      </c>
      <c r="N35" s="34"/>
      <c r="O35" s="34"/>
      <c r="P35" s="34"/>
      <c r="Q35" s="34"/>
      <c r="R35" s="34"/>
    </row>
    <row r="36" spans="1:23" x14ac:dyDescent="0.3">
      <c r="A36" s="664" t="str">
        <f>Data!A311</f>
        <v>Moldboard Plow (9 ft) - MEDIUM SIZE</v>
      </c>
      <c r="B36" s="33">
        <f>Data!B311</f>
        <v>1</v>
      </c>
      <c r="C36" s="34" t="str">
        <f>Data!C311</f>
        <v>moldboard plow</v>
      </c>
      <c r="D36" s="109">
        <f>Data!D311*Data!$P$19</f>
        <v>5348.9120027679519</v>
      </c>
      <c r="E36" s="109">
        <f t="shared" ref="E36:E37" si="20">D36*B36</f>
        <v>5348.9120027679519</v>
      </c>
      <c r="F36" s="109">
        <f>IF(CP!$K$20=0,Data!I311*E36,CP!$K$20*B36)</f>
        <v>1765.1409609134241</v>
      </c>
      <c r="G36" s="60">
        <f>IF(CP!$G$20=0,Data!$F$311,CP!$G$20)</f>
        <v>40</v>
      </c>
      <c r="H36" s="109">
        <f>(E36*(_int_inv_m*(1+_int_inv_m)^G36)/((1+_int_inv_m)^G36-1))-(F36*_int_inv_m/((1+_int_inv_m)^G36-1))</f>
        <v>158.22858778527706</v>
      </c>
      <c r="I36" s="36">
        <f>IF(CP!$I$20=0,Data!H311*Data!$J$271,CP!$I$20/CP!$E$20)</f>
        <v>5.1710357142857148E-2</v>
      </c>
      <c r="J36" s="109">
        <f t="shared" ref="J36:J37" si="21">E36*I36</f>
        <v>276.59414998884608</v>
      </c>
      <c r="K36" s="36">
        <f t="shared" si="19"/>
        <v>6.7999999999999996E-3</v>
      </c>
      <c r="L36" s="109">
        <f t="shared" ref="L36:L37" si="22">E36*K36</f>
        <v>36.372601618822074</v>
      </c>
      <c r="M36" s="109">
        <f t="shared" ref="M36:M37" si="23">H36+J36+L36</f>
        <v>471.19533939294524</v>
      </c>
      <c r="N36" s="34"/>
      <c r="O36" s="34"/>
      <c r="P36" s="34"/>
      <c r="Q36" s="34"/>
      <c r="R36" s="34"/>
    </row>
    <row r="37" spans="1:23" x14ac:dyDescent="0.3">
      <c r="A37" s="664" t="str">
        <f>Data!A312</f>
        <v>Moldboard Plow (12 ft) - LARGE SIZE</v>
      </c>
      <c r="B37" s="33">
        <f>Data!B312</f>
        <v>0</v>
      </c>
      <c r="C37" s="34" t="str">
        <f>Data!C312</f>
        <v>moldboard plow</v>
      </c>
      <c r="D37" s="109">
        <f>Data!D312*Data!$P$19</f>
        <v>8023.3680041519283</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23" x14ac:dyDescent="0.3">
      <c r="A38" s="664" t="str">
        <f>Data!A313</f>
        <v>Chisel Plow (15 ft) - SMALL SIZE</v>
      </c>
      <c r="B38" s="33">
        <f>Data!B313</f>
        <v>0</v>
      </c>
      <c r="C38" s="34" t="str">
        <f>Data!C313</f>
        <v>chisel plow</v>
      </c>
      <c r="D38" s="109">
        <f>Data!D313*Data!$P$19*CP!$H$5</f>
        <v>3629.6188590211104</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si="19"/>
        <v>6.7999999999999996E-3</v>
      </c>
      <c r="L38" s="109">
        <f>E38*K38</f>
        <v>0</v>
      </c>
      <c r="M38" s="109">
        <f>H38+J38+L38</f>
        <v>0</v>
      </c>
      <c r="N38" s="34"/>
      <c r="O38" s="34"/>
      <c r="P38" s="34"/>
      <c r="Q38" s="34"/>
      <c r="R38" s="34"/>
    </row>
    <row r="39" spans="1:23" x14ac:dyDescent="0.3">
      <c r="A39" s="664" t="str">
        <f>Data!A314</f>
        <v>Chisel Plow (15 ft) - MEDIUM SIZE</v>
      </c>
      <c r="B39" s="33">
        <f>Data!B314</f>
        <v>1</v>
      </c>
      <c r="C39" s="34" t="str">
        <f>Data!C314</f>
        <v>chisel plow</v>
      </c>
      <c r="D39" s="109">
        <f>Data!D314*Data!$P$19</f>
        <v>3629.6188590211104</v>
      </c>
      <c r="E39" s="109">
        <f t="shared" ref="E39:E40" si="24">D39*B39</f>
        <v>3629.6188590211104</v>
      </c>
      <c r="F39" s="109">
        <f>IF(CP!$K$22=0,Data!I314*E39,CP!$K$22*B39)</f>
        <v>1197.7742234769664</v>
      </c>
      <c r="G39" s="60">
        <f>IF(CP!$G$22=0,Data!$F$314,CP!$G$22)</f>
        <v>40</v>
      </c>
      <c r="H39" s="109">
        <f>(E39*(_int_inv_m*(1+_int_inv_m)^G39)/((1+_int_inv_m)^G39-1))-(F39*_int_inv_m/((1+_int_inv_m)^G39-1))</f>
        <v>107.36939885429513</v>
      </c>
      <c r="I39" s="36">
        <f>IF(CP!$I$22=0,Data!H314*Data!$J$271,CP!$I$22/CP!$E$22)</f>
        <v>2.433684210526316E-2</v>
      </c>
      <c r="J39" s="109">
        <f t="shared" ref="J39:J40" si="25">E39*I39</f>
        <v>88.333461074282184</v>
      </c>
      <c r="K39" s="36">
        <f t="shared" si="19"/>
        <v>6.7999999999999996E-3</v>
      </c>
      <c r="L39" s="109">
        <f t="shared" ref="L39:L40" si="26">E39*K39</f>
        <v>24.681408241343551</v>
      </c>
      <c r="M39" s="109">
        <f t="shared" ref="M39:M40" si="27">H39+J39+L39</f>
        <v>220.38426816992086</v>
      </c>
      <c r="N39" s="34"/>
      <c r="O39" s="34"/>
      <c r="P39" s="34"/>
      <c r="Q39" s="34"/>
      <c r="R39" s="34"/>
    </row>
    <row r="40" spans="1:23" x14ac:dyDescent="0.3">
      <c r="A40" s="664" t="str">
        <f>Data!A315</f>
        <v>Chisel Plow (23 ft) - LARGE SIZE</v>
      </c>
      <c r="B40" s="33">
        <f>Data!B315</f>
        <v>0</v>
      </c>
      <c r="C40" s="34" t="str">
        <f>Data!C315</f>
        <v>chisel plow</v>
      </c>
      <c r="D40" s="109">
        <f>Data!D315*Data!$P$19</f>
        <v>6686.1400034599401</v>
      </c>
      <c r="E40" s="109">
        <f t="shared" si="24"/>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5"/>
        <v>0</v>
      </c>
      <c r="K40" s="36">
        <f t="shared" si="19"/>
        <v>6.7999999999999996E-3</v>
      </c>
      <c r="L40" s="109">
        <f t="shared" si="26"/>
        <v>0</v>
      </c>
      <c r="M40" s="109">
        <f t="shared" si="27"/>
        <v>0</v>
      </c>
      <c r="N40" s="34"/>
      <c r="O40" s="34"/>
      <c r="P40" s="34"/>
      <c r="Q40" s="34"/>
      <c r="R40" s="34"/>
    </row>
    <row r="41" spans="1:23" x14ac:dyDescent="0.3">
      <c r="A41" s="664" t="str">
        <f>Data!A316</f>
        <v>Disk Harrow (12 ft) - SMALL SIZE</v>
      </c>
      <c r="B41" s="33">
        <f>Data!B316</f>
        <v>0</v>
      </c>
      <c r="C41" s="34" t="str">
        <f>Data!C316</f>
        <v>disk harrow</v>
      </c>
      <c r="D41" s="109">
        <f>Data!D316*Data!$P$19*CP!$H$5</f>
        <v>3629.6188590211104</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19"/>
        <v>6.7999999999999996E-3</v>
      </c>
      <c r="L41" s="109">
        <f>E41*K41</f>
        <v>0</v>
      </c>
      <c r="M41" s="109">
        <f>H41+J41+L41</f>
        <v>0</v>
      </c>
    </row>
    <row r="42" spans="1:23" x14ac:dyDescent="0.3">
      <c r="A42" s="664" t="str">
        <f>Data!A317</f>
        <v>Disk Harrow (21 ft) - MEDIUM SIZE</v>
      </c>
      <c r="B42" s="33">
        <f>Data!B317</f>
        <v>1</v>
      </c>
      <c r="C42" s="34" t="str">
        <f>Data!C317</f>
        <v>disk harrow</v>
      </c>
      <c r="D42" s="109">
        <f>Data!D317*Data!$P$19</f>
        <v>7641.3028610970741</v>
      </c>
      <c r="E42" s="109">
        <f t="shared" ref="E42:E43" si="28">D42*B42</f>
        <v>7641.3028610970741</v>
      </c>
      <c r="F42" s="109">
        <f>IF(CP!K25=0,Data!I317*E42,CP!K25*B42)</f>
        <v>2292.3908583291222</v>
      </c>
      <c r="G42" s="60">
        <f>IF(CP!$G$25=0,Data!$F$317,CP!$G$25)</f>
        <v>40</v>
      </c>
      <c r="H42" s="109">
        <f>(E42*(_int_inv_m*(1+_int_inv_m)^G42)/((1+_int_inv_m)^G42-1))-(F42*_int_inv_m/((1+_int_inv_m)^G42-1))</f>
        <v>230.00340931385762</v>
      </c>
      <c r="I42" s="36">
        <f>IF(CP!I25=0,Data!H317*Data!$J$271,CP!I25/CP!E25)</f>
        <v>3.3605000000000003E-2</v>
      </c>
      <c r="J42" s="109">
        <f t="shared" ref="J42:J43" si="29">E42*I42</f>
        <v>256.7859826471672</v>
      </c>
      <c r="K42" s="36">
        <f t="shared" si="19"/>
        <v>6.7999999999999996E-3</v>
      </c>
      <c r="L42" s="109">
        <f t="shared" ref="L42:L43" si="30">E42*K42</f>
        <v>51.960859455460103</v>
      </c>
      <c r="M42" s="109">
        <f t="shared" ref="M42:M43" si="31">H42+J42+L42</f>
        <v>538.75025141648496</v>
      </c>
    </row>
    <row r="43" spans="1:23" x14ac:dyDescent="0.3">
      <c r="A43" s="664" t="str">
        <f>Data!A318</f>
        <v>Disk Harrow (30 ft) - LARGE SIZE</v>
      </c>
      <c r="B43" s="33">
        <f>Data!B318</f>
        <v>0</v>
      </c>
      <c r="C43" s="34" t="str">
        <f>Data!C318</f>
        <v>disk harrow</v>
      </c>
      <c r="D43" s="109">
        <f>Data!D318*Data!$P$19</f>
        <v>10506.791434008477</v>
      </c>
      <c r="E43" s="109">
        <f t="shared" si="28"/>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29"/>
        <v>0</v>
      </c>
      <c r="K43" s="36">
        <f t="shared" si="19"/>
        <v>6.7999999999999996E-3</v>
      </c>
      <c r="L43" s="109">
        <f t="shared" si="30"/>
        <v>0</v>
      </c>
      <c r="M43" s="109">
        <f t="shared" si="31"/>
        <v>0</v>
      </c>
    </row>
    <row r="44" spans="1:23" ht="13.25" customHeight="1" x14ac:dyDescent="0.3">
      <c r="A44" s="664" t="str">
        <f>Data!A319</f>
        <v>Soil Conditioner/Field Cultivator (18 ft) - SMALL SIZE</v>
      </c>
      <c r="B44" s="33">
        <f>Data!B319</f>
        <v>0</v>
      </c>
      <c r="C44" s="34" t="str">
        <f>Data!C319</f>
        <v>condit.</v>
      </c>
      <c r="D44" s="109">
        <f>Data!D319*Data!$P$19*CP!$H$5</f>
        <v>4966.8468597130986</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19"/>
        <v>6.7999999999999996E-3</v>
      </c>
      <c r="L44" s="109">
        <f>E44*K44</f>
        <v>0</v>
      </c>
      <c r="M44" s="109">
        <f>H44+J44+L44</f>
        <v>0</v>
      </c>
    </row>
    <row r="45" spans="1:23" ht="13.25" customHeight="1" x14ac:dyDescent="0.3">
      <c r="A45" s="664" t="str">
        <f>Data!A320</f>
        <v>Soil Conditioner/Field Cultivator (18 ft) - MEDIUM SIZE</v>
      </c>
      <c r="B45" s="33">
        <f>Data!B320</f>
        <v>1</v>
      </c>
      <c r="C45" s="34" t="str">
        <f>Data!C320</f>
        <v>condit.</v>
      </c>
      <c r="D45" s="109">
        <f>Data!D320*Data!$P$19</f>
        <v>4966.8468597130986</v>
      </c>
      <c r="E45" s="109">
        <f t="shared" ref="E45:E46" si="32">D45*B45</f>
        <v>4966.8468597130986</v>
      </c>
      <c r="F45" s="109">
        <f>IF(CP!$K$27=0,Data!I320*E45,CP!$K$27*B45)</f>
        <v>1490.0540579139295</v>
      </c>
      <c r="G45" s="60">
        <f>IF(CP!$G$27=0,Data!$F$320,CP!$G$27)</f>
        <v>40</v>
      </c>
      <c r="H45" s="109">
        <f>(E45*(_int_inv_m*(1+_int_inv_m)^G45)/((1+_int_inv_m)^G45-1))-(F45*_int_inv_m/((1+_int_inv_m)^G45-1))</f>
        <v>149.50221605400748</v>
      </c>
      <c r="I45" s="36">
        <f>IF(CP!$I$27=0,Data!H320*Data!$J$271,CP!$I$27/CP!$E$27)</f>
        <v>3.245E-2</v>
      </c>
      <c r="J45" s="109">
        <f t="shared" ref="J45:J46" si="33">E45*I45</f>
        <v>161.17418059769005</v>
      </c>
      <c r="K45" s="36">
        <f t="shared" si="19"/>
        <v>6.7999999999999996E-3</v>
      </c>
      <c r="L45" s="109">
        <f t="shared" ref="L45:L46" si="34">E45*K45</f>
        <v>33.774558646049066</v>
      </c>
      <c r="M45" s="109">
        <f t="shared" ref="M45:M46" si="35">H45+J45+L45</f>
        <v>344.45095529774659</v>
      </c>
    </row>
    <row r="46" spans="1:23" ht="13.25" customHeight="1" x14ac:dyDescent="0.3">
      <c r="A46" s="664" t="str">
        <f>Data!A321</f>
        <v>Soil Conditioner/Field Cultivator (18 ft) - LARGE SIZE</v>
      </c>
      <c r="B46" s="33">
        <f>Data!B321</f>
        <v>0</v>
      </c>
      <c r="C46" s="34" t="str">
        <f>Data!C321</f>
        <v>condit.</v>
      </c>
      <c r="D46" s="109">
        <f>Data!D321*Data!$P$19</f>
        <v>4966.8468597130986</v>
      </c>
      <c r="E46" s="109">
        <f t="shared" si="32"/>
        <v>0</v>
      </c>
      <c r="F46" s="109">
        <f>IF(CP!$K$27=0,Data!I321*E46,CP!$K$27*B46)</f>
        <v>0</v>
      </c>
      <c r="G46" s="60">
        <f>IF(CP!$G$27=0,Data!$F$321,CP!$G$27)</f>
        <v>40</v>
      </c>
      <c r="H46" s="109">
        <f>(E46*(_int_inv_l*(1+_int_inv_l)^G46)/((1+_int_inv_l)^G46-1))-(F46*_int_inv_l/((1+_int_inv_l)^G46-1))</f>
        <v>0</v>
      </c>
      <c r="I46" s="36">
        <f>IF(CP!$I$27=0,Data!H321*Data!$J$271,CP!$I$27/CP!$E$27)</f>
        <v>3.245E-2</v>
      </c>
      <c r="J46" s="109">
        <f t="shared" si="33"/>
        <v>0</v>
      </c>
      <c r="K46" s="36">
        <f t="shared" si="19"/>
        <v>6.7999999999999996E-3</v>
      </c>
      <c r="L46" s="109">
        <f t="shared" si="34"/>
        <v>0</v>
      </c>
      <c r="M46" s="109">
        <f t="shared" si="35"/>
        <v>0</v>
      </c>
    </row>
    <row r="47" spans="1:23" ht="13.25" customHeight="1" x14ac:dyDescent="0.3">
      <c r="A47" s="664" t="str">
        <f>Data!A325</f>
        <v>Tine-Harrow (i.e. Lely, 20-30 ft) - SMALL SIZE</v>
      </c>
      <c r="B47" s="33">
        <f>Data!B325</f>
        <v>0</v>
      </c>
      <c r="C47" s="90" t="str">
        <f>Data!C325</f>
        <v>tine-harrow</v>
      </c>
      <c r="D47" s="109">
        <f>Data!D325*Data!$P$19*CP!$H$5</f>
        <v>955.16285763713427</v>
      </c>
      <c r="E47" s="109">
        <f>D47*B47</f>
        <v>0</v>
      </c>
      <c r="F47" s="109">
        <f>IF(CP!$K$30=0,Data!I325*E47,CP!$K$30*B47)</f>
        <v>0</v>
      </c>
      <c r="G47" s="60">
        <f>IF(CP!$G$30=0,Data!$F$325,CP!$G$30)</f>
        <v>40</v>
      </c>
      <c r="H47" s="109">
        <f>(E47*(_int_inv_*(1+_int_inv_)^G47)/((1+_int_inv_)^G47-1))-(F47*_int_inv_/((1+_int_inv_)^G47-1))</f>
        <v>0</v>
      </c>
      <c r="I47" s="675">
        <f>IF(CP!$I$30=0,Data!H325*Data!$J$271,CP!$I$30/CP!$E$30)</f>
        <v>0.02</v>
      </c>
      <c r="J47" s="109">
        <f>E47*I47</f>
        <v>0</v>
      </c>
      <c r="K47" s="36">
        <f t="shared" si="19"/>
        <v>6.7999999999999996E-3</v>
      </c>
      <c r="L47" s="109">
        <f>E47*K47</f>
        <v>0</v>
      </c>
      <c r="M47" s="109">
        <f>H47+J47+L47</f>
        <v>0</v>
      </c>
    </row>
    <row r="48" spans="1:23" ht="13.25" customHeight="1" x14ac:dyDescent="0.3">
      <c r="A48" s="664" t="str">
        <f>Data!A326</f>
        <v>Tine-Harrow (i.e. Lely, 20-30 ft) - MEDIUM SIZE</v>
      </c>
      <c r="B48" s="33">
        <f>Data!B326*Sv!K35</f>
        <v>0</v>
      </c>
      <c r="C48" s="90" t="str">
        <f>Data!C326</f>
        <v>tine-harrow</v>
      </c>
      <c r="D48" s="109">
        <f>Data!D326*Data!$P$19</f>
        <v>955.16285763713427</v>
      </c>
      <c r="E48" s="109">
        <f t="shared" ref="E48:E49" si="36">D48*B48</f>
        <v>0</v>
      </c>
      <c r="F48" s="109">
        <f>IF(CP!$K$30=0,Data!I326*E48,CP!$K$30*B48)</f>
        <v>0</v>
      </c>
      <c r="G48" s="60">
        <f>IF(CP!$G$30=0,Data!$F$326,CP!$G$30)</f>
        <v>40</v>
      </c>
      <c r="H48" s="109">
        <f>(E48*(_int_inv_m*(1+_int_inv_m)^G48)/((1+_int_inv_m)^G48-1))-(F48*_int_inv_m/((1+_int_inv_m)^G48-1))</f>
        <v>0</v>
      </c>
      <c r="I48" s="675">
        <f>IF(CP!$I$30=0,Data!H326*Data!$J$271,CP!$I$30/CP!$E$30)</f>
        <v>0.02</v>
      </c>
      <c r="J48" s="109">
        <f t="shared" ref="J48:J49" si="37">E48*I48</f>
        <v>0</v>
      </c>
      <c r="K48" s="36">
        <f t="shared" si="19"/>
        <v>6.7999999999999996E-3</v>
      </c>
      <c r="L48" s="109">
        <f t="shared" ref="L48:L49" si="38">E48*K48</f>
        <v>0</v>
      </c>
      <c r="M48" s="109">
        <f t="shared" ref="M48:M49" si="39">H48+J48+L48</f>
        <v>0</v>
      </c>
    </row>
    <row r="49" spans="1:23" ht="13.25" customHeight="1" x14ac:dyDescent="0.3">
      <c r="A49" s="664" t="str">
        <f>Data!A327</f>
        <v>Tine-Harrow (i.e. Lely, 20-30 ft) - LARGE SIZE</v>
      </c>
      <c r="B49" s="33">
        <f>Data!B327</f>
        <v>0</v>
      </c>
      <c r="C49" s="90" t="str">
        <f>Data!C327</f>
        <v>tine-harrow</v>
      </c>
      <c r="D49" s="109">
        <f>Data!D327*Data!$P$19</f>
        <v>955.16285763713427</v>
      </c>
      <c r="E49" s="109">
        <f t="shared" si="36"/>
        <v>0</v>
      </c>
      <c r="F49" s="109">
        <f>IF(CP!$K$30=0,Data!I327*E49,CP!$K$30*B49)</f>
        <v>0</v>
      </c>
      <c r="G49" s="60">
        <f>IF(CP!$G$30=0,Data!$F$327,CP!$G$30)</f>
        <v>40</v>
      </c>
      <c r="H49" s="109">
        <f>(E49*(_int_inv_l*(1+_int_inv_l)^G49)/((1+_int_inv_l)^G49-1))-(F49*_int_inv_l/((1+_int_inv_l)^G49-1))</f>
        <v>0</v>
      </c>
      <c r="I49" s="675">
        <f>IF(CP!$I$30=0,Data!H327*Data!$J$271,CP!$I$30/CP!$E$30)</f>
        <v>0.02</v>
      </c>
      <c r="J49" s="109">
        <f t="shared" si="37"/>
        <v>0</v>
      </c>
      <c r="K49" s="36">
        <f t="shared" si="19"/>
        <v>6.7999999999999996E-3</v>
      </c>
      <c r="L49" s="109">
        <f t="shared" si="38"/>
        <v>0</v>
      </c>
      <c r="M49" s="109">
        <f t="shared" si="39"/>
        <v>0</v>
      </c>
    </row>
    <row r="50" spans="1:23" ht="12.65" customHeight="1" x14ac:dyDescent="0.3">
      <c r="B50" s="33"/>
      <c r="C50" s="34"/>
      <c r="D50" s="109"/>
      <c r="E50" s="109"/>
      <c r="F50" s="109" t="s">
        <v>124</v>
      </c>
      <c r="G50" s="34"/>
      <c r="H50" s="109"/>
      <c r="I50" s="35"/>
      <c r="J50" s="109"/>
      <c r="K50" s="36"/>
      <c r="L50" s="109"/>
      <c r="M50" s="109"/>
      <c r="N50" s="34"/>
      <c r="O50" s="34"/>
      <c r="P50" s="34"/>
      <c r="Q50" s="34"/>
      <c r="R50" s="34"/>
      <c r="S50" s="34"/>
      <c r="T50" s="34"/>
      <c r="U50" s="34"/>
      <c r="V50" s="34"/>
      <c r="W50" s="34"/>
    </row>
    <row r="51" spans="1:23" x14ac:dyDescent="0.3">
      <c r="A51" s="14" t="s">
        <v>4</v>
      </c>
      <c r="B51" s="33"/>
      <c r="C51" s="34"/>
      <c r="D51" s="109"/>
      <c r="E51" s="109"/>
      <c r="F51" s="109"/>
      <c r="G51" s="34"/>
      <c r="H51" s="109"/>
      <c r="I51" s="35"/>
      <c r="J51" s="109"/>
      <c r="K51" s="35"/>
      <c r="L51" s="32"/>
      <c r="M51" s="32"/>
      <c r="N51" s="34"/>
      <c r="O51" s="34"/>
      <c r="P51" s="34"/>
      <c r="Q51" s="34"/>
      <c r="R51" s="34"/>
      <c r="S51" s="34"/>
      <c r="T51" s="34"/>
      <c r="U51" s="34"/>
      <c r="V51" s="34"/>
      <c r="W51" s="34"/>
    </row>
    <row r="52" spans="1:23" x14ac:dyDescent="0.3">
      <c r="A52" s="6" t="str">
        <f>Data!A334</f>
        <v xml:space="preserve">Fertilizer Spreader </v>
      </c>
      <c r="B52" s="33">
        <f>Data!B334</f>
        <v>0</v>
      </c>
      <c r="C52" s="34" t="str">
        <f>Data!C334</f>
        <v>fert.spread</v>
      </c>
      <c r="D52" s="109">
        <f>Data!D334*Data!$N$19</f>
        <v>615.78927678810396</v>
      </c>
      <c r="E52" s="109">
        <f>D52*B52</f>
        <v>0</v>
      </c>
      <c r="F52" s="109">
        <f>Data!I334*E52</f>
        <v>0</v>
      </c>
      <c r="G52" s="60">
        <f>Data!F334</f>
        <v>10</v>
      </c>
      <c r="H52" s="109">
        <f t="shared" ref="H52" si="40">(E52*(_int_inv_*(1+_int_inv_)^G52)/((1+_int_inv_)^G52-1))-(F52*_int_inv_/((1+_int_inv_)^G52-1))</f>
        <v>0</v>
      </c>
      <c r="I52" s="37">
        <f>Data!H334*Data!$J$271</f>
        <v>4.4999999999999998E-2</v>
      </c>
      <c r="J52" s="109">
        <f>E52*I52</f>
        <v>0</v>
      </c>
      <c r="K52" s="36">
        <f t="shared" ref="K52:K61" si="41">_tax_ins_</f>
        <v>6.7999999999999996E-3</v>
      </c>
      <c r="L52" s="109">
        <f>E52*K52</f>
        <v>0</v>
      </c>
      <c r="M52" s="109">
        <f>H52+J52+L52</f>
        <v>0</v>
      </c>
    </row>
    <row r="53" spans="1:23" ht="13.25" customHeight="1" x14ac:dyDescent="0.3">
      <c r="A53" s="664" t="str">
        <f>Data!A335</f>
        <v>Spin Spreader (Chilean nitrate, 50 ft swath) - SMALL SIZE</v>
      </c>
      <c r="B53" s="33">
        <f>Data!B335</f>
        <v>0</v>
      </c>
      <c r="C53" s="34" t="str">
        <f>Data!C335</f>
        <v>spin spread</v>
      </c>
      <c r="D53" s="109">
        <f>Data!D335*Data!$N$19*CP!$H$5</f>
        <v>1228.0071392813711</v>
      </c>
      <c r="E53" s="109">
        <f>D53*B53</f>
        <v>0</v>
      </c>
      <c r="F53" s="109">
        <f>IF(CP!$K$32=0,Data!I335*E53,CP!$K$32*B53)</f>
        <v>0</v>
      </c>
      <c r="G53" s="60">
        <f>IF(CP!$G$32=0,Data!$F$335,CP!$G$32)</f>
        <v>40</v>
      </c>
      <c r="H53" s="109">
        <f>(E53*(_int_inv_*(1+_int_inv_)^G53)/((1+_int_inv_)^G53-1))-(F53*_int_inv_/((1+_int_inv_)^G53-1))</f>
        <v>0</v>
      </c>
      <c r="I53" s="675">
        <f>IF(CP!$I$32=0,Data!H335*Data!$J$271,CP!$I$32/CP!$E$32)</f>
        <v>0.02</v>
      </c>
      <c r="J53" s="109">
        <f>E53*I53</f>
        <v>0</v>
      </c>
      <c r="K53" s="36">
        <f t="shared" si="41"/>
        <v>6.7999999999999996E-3</v>
      </c>
      <c r="L53" s="109">
        <f>E53*K53</f>
        <v>0</v>
      </c>
      <c r="M53" s="109">
        <f>H53+J53+L53</f>
        <v>0</v>
      </c>
    </row>
    <row r="54" spans="1:23" ht="13.25" customHeight="1" x14ac:dyDescent="0.3">
      <c r="A54" s="664" t="str">
        <f>Data!A336</f>
        <v>Spin Spreader (Chilean nitrate, 50 ft swath) - MEDIUM SIZE</v>
      </c>
      <c r="B54" s="33">
        <f>Data!B336</f>
        <v>1</v>
      </c>
      <c r="C54" s="34" t="str">
        <f>Data!C336</f>
        <v>spin spread</v>
      </c>
      <c r="D54" s="109">
        <f>Data!D336*Data!$N$19</f>
        <v>1228.0071392813711</v>
      </c>
      <c r="E54" s="109">
        <f t="shared" ref="E54:E55" si="42">D54*B54</f>
        <v>1228.0071392813711</v>
      </c>
      <c r="F54" s="109">
        <f>IF(CP!$K$32=0,Data!I336*E54,CP!$K$32*B54)</f>
        <v>245.60142785627423</v>
      </c>
      <c r="G54" s="60">
        <f>IF(CP!$G$32=0,Data!$F$336,CP!$G$32)</f>
        <v>40</v>
      </c>
      <c r="H54" s="109">
        <f>(E54*(_int_inv_m*(1+_int_inv_m)^G54)/((1+_int_inv_m)^G54-1))-(F54*_int_inv_m/((1+_int_inv_m)^G54-1))</f>
        <v>39.085748430462409</v>
      </c>
      <c r="I54" s="675">
        <f>IF(CP!$I$32=0,Data!H336*Data!$J$271,CP!$I$32/CP!$E$32)</f>
        <v>0.02</v>
      </c>
      <c r="J54" s="109">
        <f t="shared" ref="J54:J55" si="43">E54*I54</f>
        <v>24.560142785627423</v>
      </c>
      <c r="K54" s="36">
        <f t="shared" si="41"/>
        <v>6.7999999999999996E-3</v>
      </c>
      <c r="L54" s="109">
        <f t="shared" ref="L54:L55" si="44">E54*K54</f>
        <v>8.3504485471133236</v>
      </c>
      <c r="M54" s="109">
        <f t="shared" ref="M54:M55" si="45">H54+J54+L54</f>
        <v>71.996339763203167</v>
      </c>
    </row>
    <row r="55" spans="1:23" ht="13.25" customHeight="1" x14ac:dyDescent="0.3">
      <c r="A55" s="664" t="str">
        <f>Data!A337</f>
        <v>Spin Spreader (Chilean nitrate, 50 ft swath) - LARGE SIZE</v>
      </c>
      <c r="B55" s="33">
        <f>Data!B337</f>
        <v>0</v>
      </c>
      <c r="C55" s="34" t="str">
        <f>Data!C337</f>
        <v>spin spread</v>
      </c>
      <c r="D55" s="109">
        <f>Data!D337*Data!$N$19</f>
        <v>1228.0071392813711</v>
      </c>
      <c r="E55" s="109">
        <f t="shared" si="42"/>
        <v>0</v>
      </c>
      <c r="F55" s="109">
        <f>IF(CP!$K$32=0,Data!I337*E55,CP!$K$32*B55)</f>
        <v>0</v>
      </c>
      <c r="G55" s="60">
        <f>IF(CP!$G$32=0,Data!$F$337,CP!$G$32)</f>
        <v>40</v>
      </c>
      <c r="H55" s="109">
        <f>(E55*(_int_inv_l*(1+_int_inv_l)^G55)/((1+_int_inv_l)^G55-1))-(F55*_int_inv_l/((1+_int_inv_l)^G55-1))</f>
        <v>0</v>
      </c>
      <c r="I55" s="675">
        <f>IF(CP!$I$32=0,Data!H337*Data!$J$271,CP!$I$32/CP!$E$32)</f>
        <v>0.02</v>
      </c>
      <c r="J55" s="109">
        <f t="shared" si="43"/>
        <v>0</v>
      </c>
      <c r="K55" s="36">
        <f t="shared" si="41"/>
        <v>6.7999999999999996E-3</v>
      </c>
      <c r="L55" s="109">
        <f t="shared" si="44"/>
        <v>0</v>
      </c>
      <c r="M55" s="109">
        <f t="shared" si="45"/>
        <v>0</v>
      </c>
    </row>
    <row r="56" spans="1:23" x14ac:dyDescent="0.3">
      <c r="A56" s="664" t="str">
        <f>Data!A338</f>
        <v>Manure Spreader - SMALL SIZE</v>
      </c>
      <c r="B56" s="33">
        <f>Data!B338</f>
        <v>0</v>
      </c>
      <c r="C56" s="34" t="str">
        <f>Data!C338</f>
        <v>man.spread</v>
      </c>
      <c r="D56" s="109">
        <f>Data!D338*Data!$N$19*CP!$H$5</f>
        <v>1900.657287009436</v>
      </c>
      <c r="E56" s="109">
        <f>D56*B56</f>
        <v>0</v>
      </c>
      <c r="F56" s="109">
        <f>IF(CP!$K$33=0,Data!I338*E56,CP!$K$33*B56)</f>
        <v>0</v>
      </c>
      <c r="G56" s="60">
        <f>IF(CP!$G$33=0,Data!$F$338,CP!$G$33)</f>
        <v>40</v>
      </c>
      <c r="H56" s="109">
        <f>(E56*(_int_inv_*(1+_int_inv_)^G56)/((1+_int_inv_)^G56-1))-(F56*_int_inv_/((1+_int_inv_)^G56-1))</f>
        <v>0</v>
      </c>
      <c r="I56" s="36">
        <f>IF(CP!$I$33=0,Data!H338*Data!$J$271,CP!$I$33/CP!$E$33)</f>
        <v>2.2825263157894699E-2</v>
      </c>
      <c r="J56" s="109">
        <f>E56*I56</f>
        <v>0</v>
      </c>
      <c r="K56" s="36">
        <f t="shared" si="41"/>
        <v>6.7999999999999996E-3</v>
      </c>
      <c r="L56" s="109">
        <f>E56*K56</f>
        <v>0</v>
      </c>
      <c r="M56" s="109">
        <f>H56+J56+L56</f>
        <v>0</v>
      </c>
    </row>
    <row r="57" spans="1:23" x14ac:dyDescent="0.3">
      <c r="A57" s="664" t="str">
        <f>Data!A339</f>
        <v>Manure Spreader - MEDIUM SIZE</v>
      </c>
      <c r="B57" s="33">
        <f>Data!B339</f>
        <v>1</v>
      </c>
      <c r="C57" s="34" t="str">
        <f>Data!C339</f>
        <v>man.spread</v>
      </c>
      <c r="D57" s="109">
        <f>Data!D339*Data!$N$19</f>
        <v>1900.657287009436</v>
      </c>
      <c r="E57" s="109">
        <f t="shared" ref="E57:E58" si="46">D57*B57</f>
        <v>1900.657287009436</v>
      </c>
      <c r="F57" s="109">
        <f>IF(CP!$K$33=0,Data!I339*E57,CP!$K$33*B57)</f>
        <v>475.164321752359</v>
      </c>
      <c r="G57" s="60">
        <f>IF(CP!$G$33=0,Data!$F$339,CP!$G$33)</f>
        <v>40</v>
      </c>
      <c r="H57" s="109">
        <f>(E57*(_int_inv_m*(1+_int_inv_m)^G57)/((1+_int_inv_m)^G57-1))-(F57*_int_inv_m/((1+_int_inv_m)^G57-1))</f>
        <v>58.852546766608981</v>
      </c>
      <c r="I57" s="36">
        <f>IF(CP!$I$33=0,Data!H339*Data!$J$271,CP!$I$33/CP!$E$33)</f>
        <v>2.2825263157894699E-2</v>
      </c>
      <c r="J57" s="109">
        <f t="shared" ref="J57:J58" si="47">E57*I57</f>
        <v>43.383002748960571</v>
      </c>
      <c r="K57" s="36">
        <f t="shared" si="41"/>
        <v>6.7999999999999996E-3</v>
      </c>
      <c r="L57" s="109">
        <f t="shared" ref="L57:L58" si="48">E57*K57</f>
        <v>12.924469551664163</v>
      </c>
      <c r="M57" s="109">
        <f t="shared" ref="M57:M58" si="49">H57+J57+L57</f>
        <v>115.1600190672337</v>
      </c>
    </row>
    <row r="58" spans="1:23" x14ac:dyDescent="0.3">
      <c r="A58" s="664" t="str">
        <f>Data!A340</f>
        <v>Manure Spreader - LARGE SIZE</v>
      </c>
      <c r="B58" s="33">
        <f>Data!B340</f>
        <v>0</v>
      </c>
      <c r="C58" s="34" t="str">
        <f>Data!C340</f>
        <v>man.spread</v>
      </c>
      <c r="D58" s="109">
        <f>Data!D340*Data!$N$19</f>
        <v>1900.657287009436</v>
      </c>
      <c r="E58" s="109">
        <f t="shared" si="46"/>
        <v>0</v>
      </c>
      <c r="F58" s="109">
        <f>IF(CP!$K$33=0,Data!I340*E58,CP!$K$33*B58)</f>
        <v>0</v>
      </c>
      <c r="G58" s="60">
        <f>IF(CP!$G$33=0,Data!$F$340,CP!$G$33)</f>
        <v>40</v>
      </c>
      <c r="H58" s="109">
        <f>(E58*(_int_inv_l*(1+_int_inv_l)^G58)/((1+_int_inv_l)^G58-1))-(F58*_int_inv_l/((1+_int_inv_l)^G58-1))</f>
        <v>0</v>
      </c>
      <c r="I58" s="36">
        <f>IF(CP!$I$33=0,Data!H340*Data!$J$271,CP!$I$33/CP!$E$33)</f>
        <v>2.2825263157894699E-2</v>
      </c>
      <c r="J58" s="109">
        <f t="shared" si="47"/>
        <v>0</v>
      </c>
      <c r="K58" s="36">
        <f t="shared" si="41"/>
        <v>6.7999999999999996E-3</v>
      </c>
      <c r="L58" s="109">
        <f t="shared" si="48"/>
        <v>0</v>
      </c>
      <c r="M58" s="109">
        <f t="shared" si="49"/>
        <v>0</v>
      </c>
    </row>
    <row r="59" spans="1:23" x14ac:dyDescent="0.3">
      <c r="A59" s="664" t="str">
        <f>Data!A343</f>
        <v>Grain Drill (Presswheel, 16 ft) - SMALL SIZE</v>
      </c>
      <c r="B59" s="33">
        <f>Data!B343</f>
        <v>0</v>
      </c>
      <c r="C59" s="34" t="str">
        <f>Data!C343</f>
        <v>grain drill</v>
      </c>
      <c r="D59" s="109">
        <f>Data!D343*Data!$AR$19*CP!$H$5</f>
        <v>4202.7165736033912</v>
      </c>
      <c r="E59" s="109">
        <f>D59*B59</f>
        <v>0</v>
      </c>
      <c r="F59" s="109">
        <f>IF(CP!K34=0,Data!I343*E59,CP!K34*B59)</f>
        <v>0</v>
      </c>
      <c r="G59" s="60">
        <f>IF(CP!$G$34=0,Data!$F$343,CP!$G$34)</f>
        <v>50</v>
      </c>
      <c r="H59" s="109">
        <f>(E59*(_int_inv_*(1+_int_inv_)^G59)/((1+_int_inv_)^G59-1))-(F59*_int_inv_/((1+_int_inv_)^G59-1))</f>
        <v>0</v>
      </c>
      <c r="I59" s="36">
        <f>IF(CP!I34=0,Data!H343*Data!$J$271,CP!I34/CP!E34)</f>
        <v>2.3830454545454544E-2</v>
      </c>
      <c r="J59" s="109">
        <f>E59*I59</f>
        <v>0</v>
      </c>
      <c r="K59" s="36">
        <f t="shared" si="41"/>
        <v>6.7999999999999996E-3</v>
      </c>
      <c r="L59" s="109">
        <f>E59*K59</f>
        <v>0</v>
      </c>
      <c r="M59" s="109">
        <f>H59+J59+L59</f>
        <v>0</v>
      </c>
      <c r="N59" s="34"/>
      <c r="O59" s="34"/>
      <c r="P59" s="34"/>
      <c r="Q59" s="34"/>
      <c r="R59" s="34"/>
      <c r="S59" s="34"/>
      <c r="T59" s="34"/>
      <c r="U59" s="34"/>
      <c r="V59" s="34"/>
      <c r="W59" s="34"/>
    </row>
    <row r="60" spans="1:23" x14ac:dyDescent="0.3">
      <c r="A60" s="664" t="str">
        <f>Data!A344</f>
        <v>Grain Drill (Presswheel, 25 ft) - MEDIUM SIZE</v>
      </c>
      <c r="B60" s="33">
        <f>Data!B344</f>
        <v>1</v>
      </c>
      <c r="C60" s="34" t="str">
        <f>Data!C344</f>
        <v>grain drill</v>
      </c>
      <c r="D60" s="109">
        <f>Data!D344*Data!$AR$19</f>
        <v>8596.4657187342091</v>
      </c>
      <c r="E60" s="109">
        <f t="shared" ref="E60:E61" si="50">D60*B60</f>
        <v>8596.4657187342091</v>
      </c>
      <c r="F60" s="109">
        <f>IF(CP!K35=0,Data!I344*E60,CP!K35*B60)</f>
        <v>3438.5862874936838</v>
      </c>
      <c r="G60" s="60">
        <f>IF(CP!$G$35=0,Data!$F$344,CP!$G$35)</f>
        <v>40</v>
      </c>
      <c r="H60" s="109">
        <f>(E60*(_int_inv_m*(1+_int_inv_m)^G60)/((1+_int_inv_m)^G60-1))-(F60*_int_inv_m/((1+_int_inv_m)^G60-1))</f>
        <v>243.89419940082215</v>
      </c>
      <c r="I60" s="36">
        <f>IF(CP!I35=0,Data!H344*Data!$J$271,CP!I35/CP!E35)</f>
        <v>2.3673333333333331E-2</v>
      </c>
      <c r="J60" s="109">
        <f t="shared" ref="J60:J61" si="51">E60*I60</f>
        <v>203.50699844816782</v>
      </c>
      <c r="K60" s="36">
        <f t="shared" si="41"/>
        <v>6.7999999999999996E-3</v>
      </c>
      <c r="L60" s="109">
        <f t="shared" ref="L60:L61" si="52">E60*K60</f>
        <v>58.45596688739262</v>
      </c>
      <c r="M60" s="109">
        <f t="shared" ref="M60:M61" si="53">H60+J60+L60</f>
        <v>505.85716473638257</v>
      </c>
      <c r="N60" s="34"/>
      <c r="O60" s="34"/>
      <c r="P60" s="34"/>
      <c r="Q60" s="34"/>
      <c r="R60" s="34"/>
      <c r="S60" s="34"/>
      <c r="T60" s="34"/>
      <c r="U60" s="34"/>
      <c r="V60" s="34"/>
      <c r="W60" s="34"/>
    </row>
    <row r="61" spans="1:23" x14ac:dyDescent="0.3">
      <c r="A61" s="664" t="str">
        <f>Data!A345</f>
        <v>Grain Drill (Presswheel, 30 ft) - LARGE SIZE</v>
      </c>
      <c r="B61" s="33">
        <f>Data!B345</f>
        <v>0</v>
      </c>
      <c r="C61" s="34" t="str">
        <f>Data!C345</f>
        <v>grain drill</v>
      </c>
      <c r="D61" s="109">
        <f>Data!D345*Data!$AR$19</f>
        <v>10888.85657706333</v>
      </c>
      <c r="E61" s="109">
        <f t="shared" si="50"/>
        <v>0</v>
      </c>
      <c r="F61" s="109">
        <f>IF(CP!K36=0,Data!I345*E61,CP!K36*B61)</f>
        <v>0</v>
      </c>
      <c r="G61" s="60">
        <f>IF(CP!$G$36=0,Data!$F$345,CP!$G$36)</f>
        <v>20</v>
      </c>
      <c r="H61" s="109">
        <f>(E61*(_int_inv_l*(1+_int_inv_l)^G61)/((1+_int_inv_l)^G61-1))-(F61*_int_inv_l/((1+_int_inv_l)^G61-1))</f>
        <v>0</v>
      </c>
      <c r="I61" s="36">
        <f>IF(CP!I36=0,Data!H345*Data!$J$271,CP!I36/CP!E36)</f>
        <v>2.714666666666667E-2</v>
      </c>
      <c r="J61" s="109">
        <f t="shared" si="51"/>
        <v>0</v>
      </c>
      <c r="K61" s="36">
        <f t="shared" si="41"/>
        <v>6.7999999999999996E-3</v>
      </c>
      <c r="L61" s="109">
        <f t="shared" si="52"/>
        <v>0</v>
      </c>
      <c r="M61" s="109">
        <f t="shared" si="53"/>
        <v>0</v>
      </c>
      <c r="N61" s="34"/>
      <c r="O61" s="34"/>
      <c r="P61" s="34"/>
      <c r="Q61" s="34"/>
      <c r="R61" s="34"/>
      <c r="S61" s="34"/>
      <c r="T61" s="34"/>
      <c r="U61" s="34"/>
      <c r="V61" s="34"/>
      <c r="W61" s="34"/>
    </row>
    <row r="62" spans="1:23" x14ac:dyDescent="0.3">
      <c r="B62" s="33"/>
      <c r="C62" s="34"/>
      <c r="D62" s="109"/>
      <c r="E62" s="109"/>
      <c r="F62" s="109"/>
      <c r="G62" s="34"/>
      <c r="H62" s="109"/>
      <c r="I62" s="35"/>
      <c r="J62" s="109"/>
      <c r="K62" s="35"/>
      <c r="L62" s="109"/>
      <c r="M62" s="109"/>
      <c r="N62" s="34"/>
      <c r="O62" s="34"/>
      <c r="P62" s="34"/>
      <c r="Q62" s="34"/>
      <c r="R62" s="34"/>
      <c r="S62" s="34"/>
      <c r="T62" s="34"/>
      <c r="U62" s="34"/>
      <c r="V62" s="34"/>
      <c r="W62" s="34"/>
    </row>
    <row r="63" spans="1:23" x14ac:dyDescent="0.3">
      <c r="A63" s="14" t="s">
        <v>7</v>
      </c>
      <c r="B63" s="33"/>
      <c r="C63" s="34"/>
      <c r="D63" s="109"/>
      <c r="E63" s="109"/>
      <c r="F63" s="109"/>
      <c r="G63" s="34"/>
      <c r="H63" s="109"/>
      <c r="I63" s="35"/>
      <c r="J63" s="109"/>
      <c r="K63" s="36"/>
      <c r="L63" s="109"/>
      <c r="M63" s="109"/>
      <c r="N63" s="34"/>
      <c r="O63" s="34"/>
      <c r="P63" s="34"/>
      <c r="Q63" s="34"/>
      <c r="R63" s="34"/>
      <c r="S63" s="34"/>
      <c r="T63" s="34"/>
      <c r="U63" s="34"/>
      <c r="V63" s="34"/>
      <c r="W63" s="34"/>
    </row>
    <row r="64" spans="1:23" ht="12.75" customHeight="1" x14ac:dyDescent="0.3">
      <c r="A64" s="6" t="str">
        <f>Data!A353</f>
        <v>Sprayer (Tractor Mounted Boom, 50 ft) - SMALL SIZE</v>
      </c>
      <c r="B64" s="33">
        <f>Data!B353</f>
        <v>0</v>
      </c>
      <c r="C64" s="34" t="str">
        <f>Data!C353</f>
        <v>sprayer</v>
      </c>
      <c r="D64" s="109">
        <f>Data!D353*Data!$P$19*CP!$H$5</f>
        <v>4011.6840020759641</v>
      </c>
      <c r="E64" s="109">
        <f>D64*B64</f>
        <v>0</v>
      </c>
      <c r="F64" s="109">
        <f>IF(CP!K38=0,Data!I353*E64,CP!K38*B64)</f>
        <v>0</v>
      </c>
      <c r="G64" s="34">
        <f>IF(CP!$G$38=0,Data!$F$353,CP!$G$38)</f>
        <v>40</v>
      </c>
      <c r="H64" s="109">
        <f>(E64*(_int_inv_*(1+_int_inv_)^G64)/((1+_int_inv_)^G64-1))-(F64*_int_inv_/((1+_int_inv_)^G64-1))</f>
        <v>0</v>
      </c>
      <c r="I64" s="37">
        <f>IF(CP!I38=0,Data!H353*Data!$J$271,CP!I38/CP!E38)</f>
        <v>4.4999999999999998E-2</v>
      </c>
      <c r="J64" s="109">
        <f>E64*I64</f>
        <v>0</v>
      </c>
      <c r="K64" s="36">
        <f>_tax_ins_</f>
        <v>6.7999999999999996E-3</v>
      </c>
      <c r="L64" s="109">
        <f>E64*K64</f>
        <v>0</v>
      </c>
      <c r="M64" s="109">
        <f>H64+J64+L64</f>
        <v>0</v>
      </c>
      <c r="N64" s="34"/>
      <c r="O64" s="34"/>
      <c r="P64" s="34"/>
      <c r="Q64" s="34"/>
      <c r="R64" s="34"/>
    </row>
    <row r="65" spans="1:23" ht="12.75" customHeight="1" x14ac:dyDescent="0.3">
      <c r="A65" s="6" t="str">
        <f>Data!A354</f>
        <v>Sprayer (Tractor Mounted Boom, 90 ft) - MEDIUM SIZE</v>
      </c>
      <c r="B65" s="33">
        <f>Data!B354</f>
        <v>0</v>
      </c>
      <c r="C65" s="34" t="str">
        <f>Data!C354</f>
        <v>sprayer</v>
      </c>
      <c r="D65" s="109">
        <f>Data!D354*Data!$P$19</f>
        <v>8596.4657187342091</v>
      </c>
      <c r="E65" s="109">
        <f t="shared" ref="E65:E66" si="54">D65*B65</f>
        <v>0</v>
      </c>
      <c r="F65" s="109">
        <f>IF(CP!K39=0,Data!I354*E65,CP!K39*B65)</f>
        <v>0</v>
      </c>
      <c r="G65" s="34">
        <f>IF(CP!$G$39=0,Data!$F$354,CP!$G$39)</f>
        <v>40</v>
      </c>
      <c r="H65" s="109">
        <f>(E65*(_int_inv_m*(1+_int_inv_m)^G65)/((1+_int_inv_m)^G65-1))-(F65*_int_inv_m/((1+_int_inv_m)^G65-1))</f>
        <v>0</v>
      </c>
      <c r="I65" s="37">
        <f>IF(CP!I39=0,Data!H354*Data!$J$271,CP!I39/CP!E39)</f>
        <v>4.4999999999999998E-2</v>
      </c>
      <c r="J65" s="109">
        <f t="shared" ref="J65:J66" si="55">E65*I65</f>
        <v>0</v>
      </c>
      <c r="K65" s="36">
        <f>_tax_ins_</f>
        <v>6.7999999999999996E-3</v>
      </c>
      <c r="L65" s="109">
        <f t="shared" ref="L65:L66" si="56">E65*K65</f>
        <v>0</v>
      </c>
      <c r="M65" s="109">
        <f t="shared" ref="M65:M66" si="57">H65+J65+L65</f>
        <v>0</v>
      </c>
      <c r="N65" s="34"/>
      <c r="O65" s="34"/>
      <c r="P65" s="34"/>
      <c r="Q65" s="34"/>
      <c r="R65" s="34"/>
    </row>
    <row r="66" spans="1:23" ht="12.75" customHeight="1" x14ac:dyDescent="0.3">
      <c r="A66" s="6" t="str">
        <f>Data!A355</f>
        <v>Sprayer (Self Propelled, 80 ft) - LARGE SIZE</v>
      </c>
      <c r="B66" s="33">
        <f>Data!B355</f>
        <v>0</v>
      </c>
      <c r="C66" s="34" t="str">
        <f>Data!C355</f>
        <v>sprayer</v>
      </c>
      <c r="D66" s="109">
        <f>Data!D355*Data!$P$19</f>
        <v>44701.621737417889</v>
      </c>
      <c r="E66" s="109">
        <f t="shared" si="54"/>
        <v>0</v>
      </c>
      <c r="F66" s="109">
        <f>IF(CP!K40=0,Data!I355*E66,CP!K40*B66)</f>
        <v>0</v>
      </c>
      <c r="G66" s="34">
        <f>IF(CP!$G$40=0,Data!$F$355,CP!$G$40)</f>
        <v>40</v>
      </c>
      <c r="H66" s="109">
        <f>(E66*(_int_inv_l*(1+_int_inv_l)^G66)/((1+_int_inv_l)^G66-1))-(F66*_int_inv_l/((1+_int_inv_l)^G66-1))</f>
        <v>0</v>
      </c>
      <c r="I66" s="37">
        <f>IF(CP!I40=0,Data!H355*Data!$J$271,CP!I40/CP!E40)</f>
        <v>4.4999999999999998E-2</v>
      </c>
      <c r="J66" s="109">
        <f t="shared" si="55"/>
        <v>0</v>
      </c>
      <c r="K66" s="36">
        <f>_tax_ins_</f>
        <v>6.7999999999999996E-3</v>
      </c>
      <c r="L66" s="109">
        <f t="shared" si="56"/>
        <v>0</v>
      </c>
      <c r="M66" s="109">
        <f t="shared" si="57"/>
        <v>0</v>
      </c>
      <c r="N66" s="34"/>
      <c r="O66" s="34"/>
      <c r="P66" s="34"/>
      <c r="Q66" s="34"/>
      <c r="R66" s="34"/>
    </row>
    <row r="67" spans="1:23" x14ac:dyDescent="0.3">
      <c r="B67" s="33"/>
      <c r="C67" s="34"/>
      <c r="D67" s="109"/>
      <c r="E67" s="109"/>
      <c r="F67" s="109"/>
      <c r="G67" s="34"/>
      <c r="H67" s="109"/>
      <c r="I67" s="675"/>
      <c r="J67" s="109"/>
      <c r="K67" s="36"/>
      <c r="L67" s="109"/>
      <c r="M67" s="109"/>
      <c r="N67" s="34"/>
      <c r="O67" s="34"/>
      <c r="P67" s="34"/>
      <c r="Q67" s="34"/>
      <c r="R67" s="34"/>
      <c r="S67" s="34"/>
      <c r="T67" s="34"/>
      <c r="U67" s="34"/>
      <c r="V67" s="34"/>
      <c r="W67" s="34"/>
    </row>
    <row r="68" spans="1:23" x14ac:dyDescent="0.3">
      <c r="A68" s="14" t="s">
        <v>9</v>
      </c>
      <c r="B68" s="33"/>
      <c r="C68" s="34"/>
      <c r="D68" s="109"/>
      <c r="E68" s="109"/>
      <c r="F68" s="109"/>
      <c r="G68" s="34"/>
      <c r="H68" s="109"/>
      <c r="I68" s="675"/>
      <c r="J68" s="109"/>
      <c r="K68" s="36"/>
      <c r="L68" s="109"/>
      <c r="M68" s="109"/>
      <c r="N68" s="34"/>
      <c r="O68" s="34"/>
      <c r="P68" s="34"/>
      <c r="Q68" s="34"/>
      <c r="R68" s="34"/>
      <c r="S68" s="34"/>
      <c r="T68" s="34"/>
      <c r="U68" s="34"/>
      <c r="V68" s="34"/>
      <c r="W68" s="34"/>
    </row>
    <row r="69" spans="1:23" x14ac:dyDescent="0.3">
      <c r="A69" s="19" t="str">
        <f>Data!A375</f>
        <v>Windrower for Buckwheat - SMALL SIZE</v>
      </c>
      <c r="B69" s="1304">
        <f>Data!B375</f>
        <v>0</v>
      </c>
      <c r="C69" s="34" t="str">
        <f>Data!C375</f>
        <v>windrowers</v>
      </c>
      <c r="D69" s="109">
        <f>Data!D375*CP!$H$5</f>
        <v>22000</v>
      </c>
      <c r="E69" s="109">
        <f>D69*B69</f>
        <v>0</v>
      </c>
      <c r="F69" s="109">
        <f>Data!I375*E69</f>
        <v>0</v>
      </c>
      <c r="G69" s="60">
        <f>Data!F375</f>
        <v>50</v>
      </c>
      <c r="H69" s="109">
        <f t="shared" ref="H69:H71" si="58">(E69*(_int_inv_*(1+_int_inv_)^G69)/((1+_int_inv_)^G69-1))-(F69*_int_inv_/((1+_int_inv_)^G69-1))</f>
        <v>0</v>
      </c>
      <c r="I69" s="164">
        <f>Data!H375*Data!$J$271</f>
        <v>2.8219081272084806E-2</v>
      </c>
      <c r="J69" s="109">
        <f>E69*I69</f>
        <v>0</v>
      </c>
      <c r="K69" s="36">
        <f t="shared" ref="K69:K80" si="59">_tax_ins_</f>
        <v>6.7999999999999996E-3</v>
      </c>
      <c r="L69" s="109">
        <f>E69*K69</f>
        <v>0</v>
      </c>
      <c r="M69" s="109">
        <f>H69+J69+L69</f>
        <v>0</v>
      </c>
    </row>
    <row r="70" spans="1:23" x14ac:dyDescent="0.3">
      <c r="A70" s="19" t="str">
        <f>Data!A376</f>
        <v>Windrower for Buckwheat - MEDIUM SIZE</v>
      </c>
      <c r="B70" s="1304">
        <f>Data!B376</f>
        <v>1</v>
      </c>
      <c r="C70" s="34" t="str">
        <f>Data!C376</f>
        <v>windrowers</v>
      </c>
      <c r="D70" s="109">
        <f>Data!D376</f>
        <v>22000</v>
      </c>
      <c r="E70" s="109">
        <f>D70*B70</f>
        <v>22000</v>
      </c>
      <c r="F70" s="109">
        <f>Data!I376*E70</f>
        <v>4180</v>
      </c>
      <c r="G70" s="60">
        <f>Data!F376</f>
        <v>40</v>
      </c>
      <c r="H70" s="109">
        <f t="shared" si="58"/>
        <v>445.85636311187915</v>
      </c>
      <c r="I70" s="164">
        <f>Data!H376*Data!$J$271</f>
        <v>2.8219081272084806E-2</v>
      </c>
      <c r="J70" s="109">
        <f>E70*I70</f>
        <v>620.81978798586579</v>
      </c>
      <c r="K70" s="36">
        <f t="shared" si="59"/>
        <v>6.7999999999999996E-3</v>
      </c>
      <c r="L70" s="109">
        <f>E70*K70</f>
        <v>149.6</v>
      </c>
      <c r="M70" s="109">
        <f>H70+J70+L70</f>
        <v>1216.2761510977448</v>
      </c>
    </row>
    <row r="71" spans="1:23" x14ac:dyDescent="0.3">
      <c r="A71" s="19" t="str">
        <f>Data!A377</f>
        <v>Windrower for Buckwheat - LARGE SIZE</v>
      </c>
      <c r="B71" s="1304">
        <f>Data!B377</f>
        <v>0</v>
      </c>
      <c r="C71" s="34" t="str">
        <f>Data!C377</f>
        <v>windrowers</v>
      </c>
      <c r="D71" s="109">
        <f>Data!D377</f>
        <v>180000</v>
      </c>
      <c r="E71" s="109">
        <f>D71*B71</f>
        <v>0</v>
      </c>
      <c r="F71" s="109">
        <f>Data!I377*E71</f>
        <v>0</v>
      </c>
      <c r="G71" s="60">
        <f>Data!F377</f>
        <v>20</v>
      </c>
      <c r="H71" s="109">
        <f t="shared" si="58"/>
        <v>0</v>
      </c>
      <c r="I71" s="164">
        <f>Data!H377*Data!$J$271</f>
        <v>2.8219081272084806E-2</v>
      </c>
      <c r="J71" s="109">
        <f>E71*I71</f>
        <v>0</v>
      </c>
      <c r="K71" s="36">
        <f t="shared" si="59"/>
        <v>6.7999999999999996E-3</v>
      </c>
      <c r="L71" s="109">
        <f>E71*K71</f>
        <v>0</v>
      </c>
      <c r="M71" s="109">
        <f>H71+J71+L71</f>
        <v>0</v>
      </c>
    </row>
    <row r="72" spans="1:23" x14ac:dyDescent="0.3">
      <c r="A72" s="664" t="str">
        <f>Data!A381</f>
        <v>Combine (IHC) - SMALL SIZE</v>
      </c>
      <c r="B72" s="33">
        <f>Data!B381</f>
        <v>0</v>
      </c>
      <c r="C72" s="34" t="str">
        <f>Data!C381</f>
        <v>combine</v>
      </c>
      <c r="D72" s="109">
        <f>Data!D381*Data!$AH$19*CP!$H$5</f>
        <v>27031.108871130902</v>
      </c>
      <c r="E72" s="109">
        <f>D72*B72</f>
        <v>0</v>
      </c>
      <c r="F72" s="109">
        <f>IF(CP!K48=0,Data!I381*E72,CP!K48*B72)</f>
        <v>0</v>
      </c>
      <c r="G72" s="60">
        <f>IF(CP!$G$48=0,Data!$F$381,CP!$G$48)</f>
        <v>50</v>
      </c>
      <c r="H72" s="109">
        <f>(E72*(_int_inv_*(1+_int_inv_)^G72)/((1+_int_inv_)^G72-1))-(F72*_int_inv_/((1+_int_inv_)^G72-1))</f>
        <v>0</v>
      </c>
      <c r="I72" s="37">
        <f>IF(CP!I48=0,Data!H381*Data!$J$271,CP!I48/CP!E48)</f>
        <v>2.8219081272084806E-2</v>
      </c>
      <c r="J72" s="109">
        <f>E72*I72</f>
        <v>0</v>
      </c>
      <c r="K72" s="36">
        <f t="shared" si="59"/>
        <v>6.7999999999999996E-3</v>
      </c>
      <c r="L72" s="109">
        <f>E72*K72</f>
        <v>0</v>
      </c>
      <c r="M72" s="109">
        <f>H72+J72+L72</f>
        <v>0</v>
      </c>
      <c r="N72" s="34"/>
      <c r="O72" s="34"/>
      <c r="P72" s="34"/>
      <c r="Q72" s="34"/>
      <c r="R72" s="34"/>
      <c r="S72" s="34"/>
      <c r="T72" s="34"/>
      <c r="U72" s="34"/>
      <c r="V72" s="34"/>
      <c r="W72" s="34"/>
    </row>
    <row r="73" spans="1:23" x14ac:dyDescent="0.3">
      <c r="A73" s="664" t="str">
        <f>Data!A382</f>
        <v>Combine (IHC) - MEDIUM SIZE</v>
      </c>
      <c r="B73" s="33">
        <f>Data!B382</f>
        <v>1</v>
      </c>
      <c r="C73" s="34" t="str">
        <f>Data!C382</f>
        <v>combine</v>
      </c>
      <c r="D73" s="109">
        <f>Data!D382*Data!$AH$19</f>
        <v>40546.663306696355</v>
      </c>
      <c r="E73" s="109">
        <f t="shared" ref="E73:E74" si="60">D73*B73</f>
        <v>40546.663306696355</v>
      </c>
      <c r="F73" s="109">
        <f>IF(CP!K49=0,Data!I382*E73,CP!K49*B73)</f>
        <v>7703.8660282723076</v>
      </c>
      <c r="G73" s="60">
        <f>IF(CP!$G$49=0,Data!$F$382,CP!$G$49)</f>
        <v>40</v>
      </c>
      <c r="H73" s="109">
        <f>(E73*(_int_inv_m*(1+_int_inv_m)^G73)/((1+_int_inv_m)^G73-1))-(F73*_int_inv_m/((1+_int_inv_m)^G73-1))</f>
        <v>1297.5523358525479</v>
      </c>
      <c r="I73" s="37">
        <f>IF(CP!I49=0,Data!H382*Data!$J$271,CP!I49/CP!E49)</f>
        <v>2.8219081272084806E-2</v>
      </c>
      <c r="J73" s="109">
        <f t="shared" ref="J73:J74" si="61">E73*I73</f>
        <v>1144.1895871635234</v>
      </c>
      <c r="K73" s="36">
        <f t="shared" si="59"/>
        <v>6.7999999999999996E-3</v>
      </c>
      <c r="L73" s="109">
        <f t="shared" ref="L73:L74" si="62">E73*K73</f>
        <v>275.71731048553522</v>
      </c>
      <c r="M73" s="109">
        <f t="shared" ref="M73:M74" si="63">H73+J73+L73</f>
        <v>2717.4592335016064</v>
      </c>
      <c r="N73" s="34"/>
      <c r="O73" s="34"/>
      <c r="P73" s="34"/>
      <c r="Q73" s="34"/>
      <c r="R73" s="34"/>
      <c r="S73" s="34"/>
      <c r="T73" s="34"/>
      <c r="U73" s="34"/>
      <c r="V73" s="34"/>
      <c r="W73" s="34"/>
    </row>
    <row r="74" spans="1:23" x14ac:dyDescent="0.3">
      <c r="A74" s="664" t="str">
        <f>Data!A383</f>
        <v>Combine (IHC) - LARGE SIZE</v>
      </c>
      <c r="B74" s="33">
        <f>Data!B383</f>
        <v>0</v>
      </c>
      <c r="C74" s="34" t="str">
        <f>Data!C383</f>
        <v>combine</v>
      </c>
      <c r="D74" s="109">
        <f>Data!D383*Data!$AH$19</f>
        <v>54062.217742261804</v>
      </c>
      <c r="E74" s="109">
        <f t="shared" si="60"/>
        <v>0</v>
      </c>
      <c r="F74" s="109">
        <f>IF(CP!K50=0,Data!I383*E74,CP!K50*B74)</f>
        <v>0</v>
      </c>
      <c r="G74" s="60">
        <f>IF(CP!$G$50=0,Data!$F$383,CP!$G$50)</f>
        <v>20</v>
      </c>
      <c r="H74" s="109">
        <f>(E74*(_int_inv_l*(1+_int_inv_l)^G74)/((1+_int_inv_l)^G74-1))-(F74*_int_inv_l/((1+_int_inv_l)^G74-1))</f>
        <v>0</v>
      </c>
      <c r="I74" s="37">
        <f>IF(CP!I50=0,Data!H383*Data!$J$271,CP!I50/CP!E50)</f>
        <v>2.8219081272084806E-2</v>
      </c>
      <c r="J74" s="109">
        <f t="shared" si="61"/>
        <v>0</v>
      </c>
      <c r="K74" s="36">
        <f t="shared" si="59"/>
        <v>6.7999999999999996E-3</v>
      </c>
      <c r="L74" s="109">
        <f t="shared" si="62"/>
        <v>0</v>
      </c>
      <c r="M74" s="109">
        <f t="shared" si="63"/>
        <v>0</v>
      </c>
      <c r="N74" s="34"/>
      <c r="O74" s="34"/>
      <c r="P74" s="34"/>
      <c r="Q74" s="34"/>
      <c r="R74" s="34"/>
      <c r="S74" s="34"/>
      <c r="T74" s="34"/>
      <c r="U74" s="34"/>
      <c r="V74" s="34"/>
      <c r="W74" s="34"/>
    </row>
    <row r="75" spans="1:23" ht="13.25" customHeight="1" x14ac:dyDescent="0.3">
      <c r="A75" s="664" t="str">
        <f>Data!A385</f>
        <v xml:space="preserve">     Combine small grain head (15 ft) - SMALL SIZE</v>
      </c>
      <c r="B75" s="33">
        <f>Data!B385</f>
        <v>0</v>
      </c>
      <c r="C75" s="34" t="str">
        <f>Data!C385</f>
        <v>sm.gr.hd.</v>
      </c>
      <c r="D75" s="109">
        <f>Data!D385*Data!$AJ$19*CP!$H$5</f>
        <v>7920.6460483648443</v>
      </c>
      <c r="E75" s="109">
        <f>D75*B75</f>
        <v>0</v>
      </c>
      <c r="F75" s="109">
        <f>IF(CP!K51=0,Data!I385*E75,CP!K51*B75)</f>
        <v>0</v>
      </c>
      <c r="G75" s="60">
        <f>IF(CP!$G$51=0,Data!$F$385,CP!$G$51)</f>
        <v>50</v>
      </c>
      <c r="H75" s="109">
        <f>(E75*(_int_inv_*(1+_int_inv_)^G75)/((1+_int_inv_)^G75-1))-(F75*_int_inv_/((1+_int_inv_)^G75-1))</f>
        <v>0</v>
      </c>
      <c r="I75" s="37">
        <f>IF(CP!I51=0,Data!H385*Data!$J$271,CP!I51/CP!E51)</f>
        <v>2.6278604651162791E-2</v>
      </c>
      <c r="J75" s="109">
        <f>E75*I75</f>
        <v>0</v>
      </c>
      <c r="K75" s="36">
        <f t="shared" si="59"/>
        <v>6.7999999999999996E-3</v>
      </c>
      <c r="L75" s="109">
        <f>E75*K75</f>
        <v>0</v>
      </c>
      <c r="M75" s="109">
        <f>H75+J75+L75</f>
        <v>0</v>
      </c>
      <c r="N75" s="34"/>
      <c r="O75" s="34"/>
      <c r="P75" s="34"/>
      <c r="Q75" s="34"/>
      <c r="R75" s="34"/>
      <c r="S75" s="34"/>
      <c r="T75" s="34"/>
      <c r="U75" s="34"/>
      <c r="V75" s="34"/>
    </row>
    <row r="76" spans="1:23" ht="13.25" customHeight="1" x14ac:dyDescent="0.3">
      <c r="A76" s="664" t="str">
        <f>Data!A386</f>
        <v xml:space="preserve">     Combine small grain head (15 ft) - MEDIUM SIZE</v>
      </c>
      <c r="B76" s="33">
        <f>Data!B386</f>
        <v>1</v>
      </c>
      <c r="C76" s="34" t="str">
        <f>Data!C386</f>
        <v>sm.gr.hd.</v>
      </c>
      <c r="D76" s="109">
        <f>Data!D386*Data!$AJ$19</f>
        <v>10560.861397819792</v>
      </c>
      <c r="E76" s="109">
        <f t="shared" ref="E76:E77" si="64">D76*B76</f>
        <v>10560.861397819792</v>
      </c>
      <c r="F76" s="109">
        <f>IF(CP!K52=0,Data!I386*E76,CP!K52*B76)</f>
        <v>2006.5636655857604</v>
      </c>
      <c r="G76" s="60">
        <f>IF(CP!$G$51=0,Data!$F$386,CP!$G$51)</f>
        <v>50</v>
      </c>
      <c r="H76" s="109">
        <f>(E76*(_int_inv_m*(1+_int_inv_m)^G76)/((1+_int_inv_m)^G76-1))-(F76*_int_inv_m/((1+_int_inv_m)^G76-1))</f>
        <v>297.0246132616071</v>
      </c>
      <c r="I76" s="37">
        <f>IF(CP!I52=0,Data!H386*Data!$J$271,CP!I52/CP!E52)</f>
        <v>2.6278604651162791E-2</v>
      </c>
      <c r="J76" s="109">
        <f t="shared" ref="J76:J77" si="65">E76*I76</f>
        <v>277.52470144903276</v>
      </c>
      <c r="K76" s="36">
        <f t="shared" si="59"/>
        <v>6.7999999999999996E-3</v>
      </c>
      <c r="L76" s="109">
        <f t="shared" ref="L76:L77" si="66">E76*K76</f>
        <v>71.813857505174582</v>
      </c>
      <c r="M76" s="109">
        <f t="shared" ref="M76:M77" si="67">H76+J76+L76</f>
        <v>646.36317221581453</v>
      </c>
      <c r="N76" s="34"/>
      <c r="O76" s="34"/>
      <c r="P76" s="34"/>
      <c r="Q76" s="34"/>
      <c r="R76" s="34"/>
      <c r="S76" s="34"/>
      <c r="T76" s="34"/>
      <c r="U76" s="34"/>
      <c r="V76" s="34"/>
    </row>
    <row r="77" spans="1:23" ht="13.25" customHeight="1" x14ac:dyDescent="0.3">
      <c r="A77" s="664" t="str">
        <f>Data!A387</f>
        <v xml:space="preserve">     Combine small grain head (20 ft) - LARGE SIZE</v>
      </c>
      <c r="B77" s="33">
        <f>Data!B387</f>
        <v>0</v>
      </c>
      <c r="C77" s="34" t="str">
        <f>Data!C387</f>
        <v>sm.gr.hd.</v>
      </c>
      <c r="D77" s="109">
        <f>Data!D387*Data!$AJ$19</f>
        <v>13753.679959951356</v>
      </c>
      <c r="E77" s="109">
        <f t="shared" si="64"/>
        <v>0</v>
      </c>
      <c r="F77" s="109">
        <f>IF(CP!K53=0,Data!I387*E77,CP!K53*B77)</f>
        <v>0</v>
      </c>
      <c r="G77" s="60">
        <f>IF(CP!$G$51=0,Data!$F$387,CP!$G$51)</f>
        <v>50</v>
      </c>
      <c r="H77" s="109">
        <f>(E77*(_int_inv_l*(1+_int_inv_l)^G77)/((1+_int_inv_l)^G77-1))-(F77*_int_inv_l/((1+_int_inv_l)^G77-1))</f>
        <v>0</v>
      </c>
      <c r="I77" s="37">
        <f>IF(CP!I53=0,Data!H387*Data!$J$271,CP!I53/CP!E53)</f>
        <v>2.6278604651162791E-2</v>
      </c>
      <c r="J77" s="109">
        <f t="shared" si="65"/>
        <v>0</v>
      </c>
      <c r="K77" s="36">
        <f t="shared" si="59"/>
        <v>6.7999999999999996E-3</v>
      </c>
      <c r="L77" s="109">
        <f t="shared" si="66"/>
        <v>0</v>
      </c>
      <c r="M77" s="109">
        <f t="shared" si="67"/>
        <v>0</v>
      </c>
      <c r="N77" s="34"/>
      <c r="O77" s="34"/>
      <c r="P77" s="34"/>
      <c r="Q77" s="34"/>
      <c r="R77" s="34"/>
      <c r="S77" s="34"/>
      <c r="T77" s="34"/>
      <c r="U77" s="34"/>
      <c r="V77" s="34"/>
    </row>
    <row r="78" spans="1:23" x14ac:dyDescent="0.3">
      <c r="A78" s="19" t="str">
        <f>Data!A378</f>
        <v xml:space="preserve">Raker </v>
      </c>
      <c r="B78" s="163">
        <f>Data!B378*Data!$B$35</f>
        <v>0</v>
      </c>
      <c r="C78" s="34" t="str">
        <f>Data!C378</f>
        <v>raker</v>
      </c>
      <c r="D78" s="109">
        <f>Data!D378*Data!$AF$19</f>
        <v>0</v>
      </c>
      <c r="E78" s="109">
        <f>D78*B78</f>
        <v>0</v>
      </c>
      <c r="F78" s="109">
        <f>Data!I378*E78</f>
        <v>0</v>
      </c>
      <c r="G78" s="60">
        <f>Data!F378</f>
        <v>50</v>
      </c>
      <c r="H78" s="109">
        <f t="shared" ref="H78:H80" si="68">(E78*(_int_inv_*(1+_int_inv_)^G78)/((1+_int_inv_)^G78-1))-(F78*_int_inv_/((1+_int_inv_)^G78-1))</f>
        <v>0</v>
      </c>
      <c r="I78" s="164">
        <f>Data!H378*Data!$J$271</f>
        <v>4.4999999999999998E-2</v>
      </c>
      <c r="J78" s="109">
        <f>E78*I78</f>
        <v>0</v>
      </c>
      <c r="K78" s="36">
        <f t="shared" si="59"/>
        <v>6.7999999999999996E-3</v>
      </c>
      <c r="L78" s="109">
        <f>E78*K78</f>
        <v>0</v>
      </c>
      <c r="M78" s="109">
        <f>H78+J78+L78</f>
        <v>0</v>
      </c>
    </row>
    <row r="79" spans="1:23" x14ac:dyDescent="0.3">
      <c r="A79" s="19" t="str">
        <f>Data!A379</f>
        <v>Baler (Round)</v>
      </c>
      <c r="B79" s="163">
        <f>Data!B379*Data!$B$35</f>
        <v>0</v>
      </c>
      <c r="C79" s="34" t="str">
        <f>Data!C379</f>
        <v>round baler</v>
      </c>
      <c r="D79" s="109">
        <f>Data!D379*Data!$AF$19</f>
        <v>0</v>
      </c>
      <c r="E79" s="109">
        <f>D79*B79</f>
        <v>0</v>
      </c>
      <c r="F79" s="109">
        <f>Data!I379*E79</f>
        <v>0</v>
      </c>
      <c r="G79" s="60">
        <f>Data!F379</f>
        <v>40</v>
      </c>
      <c r="H79" s="109">
        <f t="shared" si="68"/>
        <v>0</v>
      </c>
      <c r="I79" s="164">
        <f>Data!H379*Data!$J$271</f>
        <v>4.4999999999999998E-2</v>
      </c>
      <c r="J79" s="109">
        <f>E79*I79</f>
        <v>0</v>
      </c>
      <c r="K79" s="36">
        <f t="shared" si="59"/>
        <v>6.7999999999999996E-3</v>
      </c>
      <c r="L79" s="109">
        <f>E79*K79</f>
        <v>0</v>
      </c>
      <c r="M79" s="109">
        <f>H79+J79+L79</f>
        <v>0</v>
      </c>
    </row>
    <row r="80" spans="1:23" x14ac:dyDescent="0.3">
      <c r="A80" s="19" t="str">
        <f>Data!A380</f>
        <v>Baler (Square)</v>
      </c>
      <c r="B80" s="163">
        <f>Data!B380*Data!$B$35</f>
        <v>0</v>
      </c>
      <c r="C80" s="34" t="str">
        <f>Data!C380</f>
        <v>square baler</v>
      </c>
      <c r="D80" s="109">
        <f>Data!D380*Data!$AF$19</f>
        <v>0</v>
      </c>
      <c r="E80" s="109">
        <f>D80*B80</f>
        <v>0</v>
      </c>
      <c r="F80" s="109">
        <f>Data!I380*E80</f>
        <v>0</v>
      </c>
      <c r="G80" s="60">
        <f>Data!F380</f>
        <v>20</v>
      </c>
      <c r="H80" s="109">
        <f t="shared" si="68"/>
        <v>0</v>
      </c>
      <c r="I80" s="164">
        <f>Data!H380*Data!$J$271</f>
        <v>4.4999999999999998E-2</v>
      </c>
      <c r="J80" s="109">
        <f>E80*I80</f>
        <v>0</v>
      </c>
      <c r="K80" s="36">
        <f t="shared" si="59"/>
        <v>6.7999999999999996E-3</v>
      </c>
      <c r="L80" s="109">
        <f>E80*K80</f>
        <v>0</v>
      </c>
      <c r="M80" s="109">
        <f>H80+J80+L80</f>
        <v>0</v>
      </c>
    </row>
    <row r="81" spans="1:23" x14ac:dyDescent="0.3">
      <c r="A81" s="6"/>
      <c r="B81" s="33"/>
      <c r="C81" s="34"/>
      <c r="D81" s="109"/>
      <c r="E81" s="109"/>
      <c r="F81" s="109"/>
      <c r="G81" s="34"/>
      <c r="H81" s="109"/>
      <c r="I81" s="675"/>
      <c r="J81" s="109"/>
      <c r="K81" s="36"/>
      <c r="L81" s="109"/>
      <c r="M81" s="109"/>
      <c r="N81" s="34"/>
      <c r="O81" s="34"/>
      <c r="P81" s="34"/>
      <c r="Q81" s="34"/>
      <c r="R81" s="34"/>
      <c r="S81" s="34"/>
      <c r="T81" s="34"/>
      <c r="U81" s="34"/>
      <c r="V81" s="34"/>
      <c r="W81" s="34"/>
    </row>
    <row r="82" spans="1:23" x14ac:dyDescent="0.3">
      <c r="A82" s="14" t="s">
        <v>357</v>
      </c>
      <c r="B82" s="33"/>
      <c r="C82" s="34"/>
      <c r="D82" s="109"/>
      <c r="E82" s="109"/>
      <c r="F82" s="109"/>
      <c r="G82" s="34"/>
      <c r="H82" s="109"/>
      <c r="I82" s="675"/>
      <c r="J82" s="109"/>
      <c r="K82" s="36"/>
      <c r="L82" s="109"/>
      <c r="M82" s="109"/>
    </row>
    <row r="83" spans="1:23" x14ac:dyDescent="0.3">
      <c r="A83" s="664" t="str">
        <f>Data!A395</f>
        <v>Fuel Tanks - SMALL SIZE</v>
      </c>
      <c r="B83" s="33">
        <f>Data!B395</f>
        <v>0</v>
      </c>
      <c r="C83" s="34" t="str">
        <f>Data!C395</f>
        <v>fuel tank</v>
      </c>
      <c r="D83" s="109">
        <f>Data!D395*Data!$H$19*CP!$H$5</f>
        <v>23.948518966405668</v>
      </c>
      <c r="E83" s="109">
        <f>D83*B83</f>
        <v>0</v>
      </c>
      <c r="F83" s="109">
        <f>IF(CP!K58=0,Data!I395*E83,CP!K58*B83)</f>
        <v>0</v>
      </c>
      <c r="G83" s="60">
        <f>IF(CP!$G$58=0,Data!$F$395,CP!$G$58)</f>
        <v>50</v>
      </c>
      <c r="H83" s="104">
        <f t="shared" ref="H83:H84" si="69">(E83*(_int_inv_*(1+_int_inv_)^G83)/((1+_int_inv_)^G83-1))-(F83*_int_inv_/((1+_int_inv_)^G83-1))</f>
        <v>0</v>
      </c>
      <c r="I83" s="675">
        <f>IF(CP!I58=0,Data!H395*Data!$J$271,CP!I58/CP!E58)</f>
        <v>0.02</v>
      </c>
      <c r="J83" s="104">
        <f>E83*I83</f>
        <v>0</v>
      </c>
      <c r="K83" s="36">
        <f t="shared" ref="K83:K88" si="70">_tax_ins_</f>
        <v>6.7999999999999996E-3</v>
      </c>
      <c r="L83" s="104">
        <f>E83*K83</f>
        <v>0</v>
      </c>
      <c r="M83" s="109">
        <f>H83+J83+L83</f>
        <v>0</v>
      </c>
    </row>
    <row r="84" spans="1:23" x14ac:dyDescent="0.3">
      <c r="A84" s="664" t="str">
        <f>Data!A396</f>
        <v>Shop Tools - SMALL SIZE</v>
      </c>
      <c r="B84" s="33">
        <f>Data!B396</f>
        <v>0</v>
      </c>
      <c r="C84" s="34" t="str">
        <f>Data!C396</f>
        <v>shop tools</v>
      </c>
      <c r="D84" s="109">
        <f>Data!D396*Data!$H$19*CP!$H$5</f>
        <v>239.48518966405666</v>
      </c>
      <c r="E84" s="109">
        <f>D84*B84</f>
        <v>0</v>
      </c>
      <c r="F84" s="109">
        <f>IF(CP!K61=0,Data!I396*E84,CP!K61*B84)</f>
        <v>0</v>
      </c>
      <c r="G84" s="60">
        <f>IF(CP!$G$61=0,Data!$F$396,CP!$G$61)</f>
        <v>50</v>
      </c>
      <c r="H84" s="109">
        <f t="shared" si="69"/>
        <v>0</v>
      </c>
      <c r="I84" s="675">
        <f>IF(CP!I61=0,Data!H396*Data!$J$271,CP!I61/CP!E61)</f>
        <v>0.02</v>
      </c>
      <c r="J84" s="109">
        <f>E84*I84</f>
        <v>0</v>
      </c>
      <c r="K84" s="36">
        <f t="shared" si="70"/>
        <v>6.7999999999999996E-3</v>
      </c>
      <c r="L84" s="104">
        <f>E84*K84</f>
        <v>0</v>
      </c>
      <c r="M84" s="109">
        <f>H84+J84+L84</f>
        <v>0</v>
      </c>
    </row>
    <row r="85" spans="1:23" x14ac:dyDescent="0.3">
      <c r="A85" s="664" t="str">
        <f>Data!A397</f>
        <v>Fuel Tanks - MEDIUM SIZE</v>
      </c>
      <c r="B85" s="33">
        <f>Data!B397</f>
        <v>1</v>
      </c>
      <c r="C85" s="34" t="str">
        <f>Data!C397</f>
        <v>fuel tank</v>
      </c>
      <c r="D85" s="109">
        <f>Data!D397*Data!$H$19</f>
        <v>119.74259483202833</v>
      </c>
      <c r="E85" s="109">
        <f t="shared" ref="E85:E88" si="71">D85*B85</f>
        <v>119.74259483202833</v>
      </c>
      <c r="F85" s="109">
        <f>IF(CP!K59=0,Data!I397*E85,CP!K59*B85)</f>
        <v>41.909908191209915</v>
      </c>
      <c r="G85" s="60">
        <f>IF(CP!$G$59=0,Data!$F$397,CP!$G$59)</f>
        <v>40</v>
      </c>
      <c r="H85" s="109">
        <f>(E85*(_int_inv_m*(1+_int_inv_m)^G85)/((1+_int_inv_m)^G85-1))-(F85*_int_inv_m/((1+_int_inv_m)^G85-1))</f>
        <v>3.5007631015414127</v>
      </c>
      <c r="I85" s="675">
        <f>IF(CP!I59=0,Data!H397*Data!$J$271,CP!I59/CP!E59)</f>
        <v>0.02</v>
      </c>
      <c r="J85" s="104">
        <f t="shared" ref="J85:J88" si="72">E85*I85</f>
        <v>2.3948518966405667</v>
      </c>
      <c r="K85" s="36">
        <f t="shared" si="70"/>
        <v>6.7999999999999996E-3</v>
      </c>
      <c r="L85" s="104">
        <f t="shared" ref="L85:L88" si="73">E85*K85</f>
        <v>0.81424964485779261</v>
      </c>
      <c r="M85" s="109">
        <f t="shared" ref="M85:M88" si="74">H85+J85+L85</f>
        <v>6.7098646430397721</v>
      </c>
    </row>
    <row r="86" spans="1:23" x14ac:dyDescent="0.3">
      <c r="A86" s="664" t="str">
        <f>Data!A398</f>
        <v>Shop Tools - MEDIUM SIZE</v>
      </c>
      <c r="B86" s="33">
        <f>Data!B398</f>
        <v>1</v>
      </c>
      <c r="C86" s="34" t="str">
        <f>Data!C398</f>
        <v>shop tools</v>
      </c>
      <c r="D86" s="109">
        <f>Data!D398*Data!$H$19</f>
        <v>1197.4259483202834</v>
      </c>
      <c r="E86" s="109">
        <f t="shared" si="71"/>
        <v>1197.4259483202834</v>
      </c>
      <c r="F86" s="109">
        <f>IF(CP!K62=0,Data!I398*E86,CP!K62*B86)</f>
        <v>419.09908191209917</v>
      </c>
      <c r="G86" s="60">
        <f>IF(CP!$G$62=0,Data!$F$398,CP!$G$62)</f>
        <v>40</v>
      </c>
      <c r="H86" s="109">
        <f>(E86*(_int_inv_m*(1+_int_inv_m)^G86)/((1+_int_inv_m)^G86-1))-(F86*_int_inv_m/((1+_int_inv_m)^G86-1))</f>
        <v>35.007631015414134</v>
      </c>
      <c r="I86" s="675">
        <f>IF(CP!I62=0,Data!H398*Data!$J$271,CP!I62/CP!E62)</f>
        <v>0.02</v>
      </c>
      <c r="J86" s="109">
        <f t="shared" si="72"/>
        <v>23.948518966405668</v>
      </c>
      <c r="K86" s="36">
        <f t="shared" si="70"/>
        <v>6.7999999999999996E-3</v>
      </c>
      <c r="L86" s="104">
        <f t="shared" si="73"/>
        <v>8.1424964485779263</v>
      </c>
      <c r="M86" s="109">
        <f t="shared" si="74"/>
        <v>67.098646430397736</v>
      </c>
    </row>
    <row r="87" spans="1:23" x14ac:dyDescent="0.3">
      <c r="A87" s="664" t="str">
        <f>Data!A399</f>
        <v>Fuel Tanks - LARGE SIZE</v>
      </c>
      <c r="B87" s="33">
        <f>Data!B399</f>
        <v>0</v>
      </c>
      <c r="C87" s="34" t="str">
        <f>Data!C399</f>
        <v>fuel tank</v>
      </c>
      <c r="D87" s="109">
        <f>Data!D399*Data!$H$19</f>
        <v>239.48518966405666</v>
      </c>
      <c r="E87" s="109">
        <f t="shared" si="71"/>
        <v>0</v>
      </c>
      <c r="F87" s="109">
        <f>IF(CP!K60=0,Data!I399*E87,CP!K60*B87)</f>
        <v>0</v>
      </c>
      <c r="G87" s="60">
        <f>IF(CP!$G$60=0,Data!$F$399,CP!$G$60)</f>
        <v>20</v>
      </c>
      <c r="H87" s="109">
        <f>(E87*(_int_inv_l*(1+_int_inv_l)^G87)/((1+_int_inv_l)^G87-1))-(F87*_int_inv_l/((1+_int_inv_l)^G87-1))</f>
        <v>0</v>
      </c>
      <c r="I87" s="675">
        <f>IF(CP!I60=0,Data!H399*Data!$J$271,CP!I60/CP!E60)</f>
        <v>0.02</v>
      </c>
      <c r="J87" s="104">
        <f t="shared" si="72"/>
        <v>0</v>
      </c>
      <c r="K87" s="36">
        <f t="shared" si="70"/>
        <v>6.7999999999999996E-3</v>
      </c>
      <c r="L87" s="104">
        <f t="shared" si="73"/>
        <v>0</v>
      </c>
      <c r="M87" s="109">
        <f t="shared" si="74"/>
        <v>0</v>
      </c>
    </row>
    <row r="88" spans="1:23" x14ac:dyDescent="0.3">
      <c r="A88" s="664" t="str">
        <f>Data!A400</f>
        <v>Shop Tools - LARGE SIZE</v>
      </c>
      <c r="B88" s="33">
        <f>Data!B400</f>
        <v>0</v>
      </c>
      <c r="C88" s="34" t="str">
        <f>Data!C400</f>
        <v>shop tools</v>
      </c>
      <c r="D88" s="109">
        <f>Data!D400*Data!$H$19</f>
        <v>2394.8518966405668</v>
      </c>
      <c r="E88" s="109">
        <f t="shared" si="71"/>
        <v>0</v>
      </c>
      <c r="F88" s="109">
        <f>IF(CP!K63=0,Data!I400*E88,CP!K63*B88)</f>
        <v>0</v>
      </c>
      <c r="G88" s="60">
        <f>IF(CP!$G$63=0,Data!$F$400,CP!$G$63)</f>
        <v>20</v>
      </c>
      <c r="H88" s="109">
        <f>(E88*(_int_inv_l*(1+_int_inv_l)^G88)/((1+_int_inv_l)^G88-1))-(F88*_int_inv_l/((1+_int_inv_l)^G88-1))</f>
        <v>0</v>
      </c>
      <c r="I88" s="675">
        <f>IF(CP!I63=0,Data!H400*Data!$J$271,CP!I63/CP!E63)</f>
        <v>0.02</v>
      </c>
      <c r="J88" s="109">
        <f t="shared" si="72"/>
        <v>0</v>
      </c>
      <c r="K88" s="36">
        <f t="shared" si="70"/>
        <v>6.7999999999999996E-3</v>
      </c>
      <c r="L88" s="104">
        <f t="shared" si="73"/>
        <v>0</v>
      </c>
      <c r="M88" s="109">
        <f t="shared" si="74"/>
        <v>0</v>
      </c>
    </row>
    <row r="89" spans="1:23" x14ac:dyDescent="0.3">
      <c r="A89" s="6"/>
      <c r="B89" s="33"/>
      <c r="C89" s="34"/>
      <c r="D89" s="109"/>
      <c r="E89" s="109"/>
      <c r="F89" s="109"/>
      <c r="G89" s="34"/>
      <c r="H89" s="109"/>
      <c r="I89" s="35"/>
      <c r="J89" s="109"/>
      <c r="K89" s="36"/>
      <c r="L89" s="109"/>
      <c r="M89" s="109"/>
      <c r="N89" s="34"/>
      <c r="O89" s="34"/>
      <c r="P89" s="34"/>
      <c r="Q89" s="34"/>
      <c r="R89" s="34"/>
      <c r="S89" s="34"/>
      <c r="T89" s="34"/>
      <c r="U89" s="34"/>
      <c r="V89" s="34"/>
      <c r="W89" s="34"/>
    </row>
    <row r="90" spans="1:23" x14ac:dyDescent="0.3">
      <c r="A90" s="14" t="s">
        <v>1400</v>
      </c>
      <c r="B90" s="33"/>
      <c r="C90" s="34"/>
      <c r="D90" s="109"/>
      <c r="E90" s="109"/>
      <c r="F90" s="109"/>
      <c r="G90" s="34"/>
      <c r="H90" s="109"/>
      <c r="I90" s="35"/>
      <c r="J90" s="109"/>
      <c r="K90" s="36"/>
      <c r="L90" s="109"/>
      <c r="M90" s="109"/>
      <c r="N90" s="34"/>
      <c r="O90" s="34"/>
      <c r="P90" s="34"/>
      <c r="Q90" s="34"/>
      <c r="R90" s="34"/>
      <c r="S90" s="34"/>
      <c r="T90" s="34"/>
      <c r="U90" s="34"/>
      <c r="V90" s="34"/>
      <c r="W90" s="34"/>
    </row>
    <row r="91" spans="1:23" x14ac:dyDescent="0.3">
      <c r="A91" s="664" t="str">
        <f>Data!A417</f>
        <v>Grain Cleaner - SMALL SIZE</v>
      </c>
      <c r="B91" s="33">
        <f>Data!B417</f>
        <v>0</v>
      </c>
      <c r="C91" s="34" t="str">
        <f>Data!C417</f>
        <v>grain cleaner</v>
      </c>
      <c r="D91" s="109">
        <f>Data!D417*Data!$H$19*CP!$H$5</f>
        <v>4775.814288185672</v>
      </c>
      <c r="E91" s="109">
        <f t="shared" ref="E91:E93" si="75">D91*B91</f>
        <v>0</v>
      </c>
      <c r="F91" s="109">
        <f>IF(CP!K65=0,Data!I417*E91,CP!K65*B91)</f>
        <v>0</v>
      </c>
      <c r="G91" s="60">
        <f>IF(CP!$G$65=0,Data!$F$417,CP!$G$65)</f>
        <v>50</v>
      </c>
      <c r="H91" s="109">
        <f>(E91*(_int_inv_*(1+_int_inv_)^G91)/((1+_int_inv_)^G91-1))-(F91*_int_inv_/((1+_int_inv_)^G91-1))</f>
        <v>0</v>
      </c>
      <c r="I91" s="675">
        <f>IF(CP!I65=0,Data!H417*Data!$J$271,CP!I65/CP!E65)</f>
        <v>0.02</v>
      </c>
      <c r="J91" s="109">
        <f t="shared" ref="J91:J93" si="76">E91*I91</f>
        <v>0</v>
      </c>
      <c r="K91" s="36">
        <f>_tax_ins_</f>
        <v>6.7999999999999996E-3</v>
      </c>
      <c r="L91" s="104">
        <f t="shared" ref="L91:L93" si="77">E91*K91</f>
        <v>0</v>
      </c>
      <c r="M91" s="109">
        <f t="shared" ref="M91:M93" si="78">H91+J91+L91</f>
        <v>0</v>
      </c>
    </row>
    <row r="92" spans="1:23" x14ac:dyDescent="0.3">
      <c r="A92" s="664" t="str">
        <f>Data!A418</f>
        <v>Grain Cleaner - MEDIUM SIZE</v>
      </c>
      <c r="B92" s="33">
        <f>Data!B418</f>
        <v>1</v>
      </c>
      <c r="C92" s="34" t="str">
        <f>Data!C418</f>
        <v>grain cleaner</v>
      </c>
      <c r="D92" s="109">
        <f>Data!D418*Data!$H$19</f>
        <v>9551.628576371344</v>
      </c>
      <c r="E92" s="109">
        <f t="shared" si="75"/>
        <v>9551.628576371344</v>
      </c>
      <c r="F92" s="109">
        <f>IF(CP!K66=0,Data!I418*E92,CP!K66*B92)</f>
        <v>1814.8094295105554</v>
      </c>
      <c r="G92" s="60">
        <f>IF(CP!$G$66=0,Data!$F$418,CP!$G$66)</f>
        <v>40</v>
      </c>
      <c r="H92" s="109">
        <f>(E92*(_int_inv_m*(1+_int_inv_m)^G92)/((1+_int_inv_m)^G92-1))-(F92*_int_inv_m/((1+_int_inv_m)^G92-1))</f>
        <v>305.66603907009375</v>
      </c>
      <c r="I92" s="675">
        <f>IF(CP!I66=0,Data!H418*Data!$J$271,CP!I66/CP!E66)</f>
        <v>0.02</v>
      </c>
      <c r="J92" s="109">
        <f t="shared" si="76"/>
        <v>191.03257152742688</v>
      </c>
      <c r="K92" s="36">
        <f>_tax_ins_</f>
        <v>6.7999999999999996E-3</v>
      </c>
      <c r="L92" s="104">
        <f t="shared" si="77"/>
        <v>64.95107431932513</v>
      </c>
      <c r="M92" s="109">
        <f t="shared" si="78"/>
        <v>561.64968491684579</v>
      </c>
    </row>
    <row r="93" spans="1:23" x14ac:dyDescent="0.3">
      <c r="A93" s="664" t="str">
        <f>Data!A419</f>
        <v>Grain Cleaner - LARGE SIZE</v>
      </c>
      <c r="B93" s="33">
        <f>Data!B419</f>
        <v>0</v>
      </c>
      <c r="C93" s="34" t="str">
        <f>Data!C419</f>
        <v>grain cleaner</v>
      </c>
      <c r="D93" s="109">
        <f>Data!D419*Data!$H$19</f>
        <v>18625.67572392412</v>
      </c>
      <c r="E93" s="109">
        <f t="shared" si="75"/>
        <v>0</v>
      </c>
      <c r="F93" s="109">
        <f>IF(CP!K67=0,Data!I419*E93,CP!K67*B93)</f>
        <v>0</v>
      </c>
      <c r="G93" s="60">
        <f>IF(CP!$G$67=0,Data!$F$419,CP!$G$67)</f>
        <v>20</v>
      </c>
      <c r="H93" s="109">
        <f>(E93*(_int_inv_l*(1+_int_inv_l)^G93)/((1+_int_inv_l)^G93-1))-(F93*_int_inv_l/((1+_int_inv_l)^G93-1))</f>
        <v>0</v>
      </c>
      <c r="I93" s="675">
        <f>IF(CP!I67=0,Data!H419*Data!$J$271,CP!I67/CP!E67)</f>
        <v>0.02</v>
      </c>
      <c r="J93" s="109">
        <f t="shared" si="76"/>
        <v>0</v>
      </c>
      <c r="K93" s="36">
        <f>_tax_ins_</f>
        <v>6.7999999999999996E-3</v>
      </c>
      <c r="L93" s="104">
        <f t="shared" si="77"/>
        <v>0</v>
      </c>
      <c r="M93" s="109">
        <f t="shared" si="78"/>
        <v>0</v>
      </c>
    </row>
    <row r="94" spans="1:23" x14ac:dyDescent="0.3">
      <c r="A94" s="6"/>
      <c r="B94" s="33"/>
      <c r="C94" s="34"/>
      <c r="D94" s="109"/>
      <c r="E94" s="109"/>
      <c r="F94" s="109"/>
      <c r="G94" s="34"/>
      <c r="H94" s="109"/>
      <c r="I94" s="35"/>
      <c r="J94" s="109"/>
      <c r="K94" s="36"/>
      <c r="L94" s="109"/>
      <c r="M94" s="109"/>
      <c r="N94" s="34"/>
      <c r="O94" s="34"/>
      <c r="P94" s="34"/>
      <c r="Q94" s="34"/>
      <c r="R94" s="34"/>
      <c r="S94" s="34"/>
      <c r="T94" s="34"/>
      <c r="U94" s="34"/>
      <c r="V94" s="34"/>
      <c r="W94" s="34"/>
    </row>
    <row r="95" spans="1:23" x14ac:dyDescent="0.3">
      <c r="A95" s="863" t="s">
        <v>237</v>
      </c>
      <c r="B95" s="33"/>
      <c r="C95" s="350">
        <v>1</v>
      </c>
      <c r="D95" s="351" t="s">
        <v>949</v>
      </c>
      <c r="E95" s="352"/>
      <c r="F95" s="352"/>
      <c r="G95" s="354"/>
      <c r="H95" s="352"/>
      <c r="I95" s="360"/>
      <c r="J95" s="409"/>
      <c r="K95" s="36"/>
      <c r="L95" s="109"/>
      <c r="M95" s="109"/>
      <c r="N95" s="34"/>
      <c r="O95" s="34"/>
      <c r="P95" s="34"/>
      <c r="Q95" s="34"/>
      <c r="R95" s="34"/>
      <c r="S95" s="34"/>
      <c r="T95" s="34"/>
      <c r="U95" s="34"/>
      <c r="V95" s="34"/>
      <c r="W95" s="34"/>
    </row>
    <row r="96" spans="1:23" x14ac:dyDescent="0.3">
      <c r="A96" s="664" t="str">
        <f>Data!A423</f>
        <v>Grain Auger(s) - SMALL SIZE</v>
      </c>
      <c r="B96" s="163">
        <f>Data!B423</f>
        <v>0</v>
      </c>
      <c r="C96" s="34" t="str">
        <f>Data!C423</f>
        <v>auger</v>
      </c>
      <c r="D96" s="109">
        <f>Data!D423*Data!$AH$19*CP!$H$5</f>
        <v>955.16285763713427</v>
      </c>
      <c r="E96" s="109">
        <f>D96*B96</f>
        <v>0</v>
      </c>
      <c r="F96" s="109">
        <f>IF(CP!K69=0,Data!I423*E96,CP!K69*B96)</f>
        <v>0</v>
      </c>
      <c r="G96" s="60">
        <f>IF(CP!$G$69=0,Data!$F$423,CP!$G$69)</f>
        <v>50</v>
      </c>
      <c r="H96" s="109">
        <f>(E96*(_int_inv_*(1+_int_inv_)^G96)/((1+_int_inv_)^G96-1))-(F96*_int_inv_/((1+_int_inv_)^G96-1))</f>
        <v>0</v>
      </c>
      <c r="I96" s="675">
        <f>IF(CP!I69=0,Data!H423*Data!$J$271,CP!I69/CP!E69)</f>
        <v>0.02</v>
      </c>
      <c r="J96" s="109">
        <f>E96*I96</f>
        <v>0</v>
      </c>
      <c r="K96" s="36">
        <f t="shared" ref="K96:K105" si="79">_tax_ins_</f>
        <v>6.7999999999999996E-3</v>
      </c>
      <c r="L96" s="109">
        <f>E96*K96</f>
        <v>0</v>
      </c>
      <c r="M96" s="109">
        <f>H96+J96+L96</f>
        <v>0</v>
      </c>
      <c r="N96" s="34"/>
      <c r="O96" s="34"/>
      <c r="P96" s="34"/>
      <c r="Q96" s="34"/>
      <c r="R96" s="34"/>
      <c r="S96" s="34"/>
      <c r="T96" s="34"/>
      <c r="U96" s="34"/>
      <c r="V96" s="34"/>
      <c r="W96" s="34"/>
    </row>
    <row r="97" spans="1:23" x14ac:dyDescent="0.3">
      <c r="A97" s="664" t="str">
        <f>Data!A424</f>
        <v>Grain Auger(s) - MEDIUM SIZE</v>
      </c>
      <c r="B97" s="163">
        <f>Data!B424</f>
        <v>2</v>
      </c>
      <c r="C97" s="34" t="str">
        <f>Data!C424</f>
        <v>auger</v>
      </c>
      <c r="D97" s="109">
        <f>Data!D424*Data!$AH$19</f>
        <v>955.16285763713427</v>
      </c>
      <c r="E97" s="109">
        <f t="shared" ref="E97:E98" si="80">D97*B97</f>
        <v>1910.3257152742685</v>
      </c>
      <c r="F97" s="109">
        <f>IF(CP!K70=0,Data!I424*E97,CP!K70*B97)</f>
        <v>362.96188590211102</v>
      </c>
      <c r="G97" s="60">
        <f>IF(CP!$G$70=0,Data!$F$424,CP!$G$70)</f>
        <v>40</v>
      </c>
      <c r="H97" s="109">
        <f>(E97*(_int_inv_m*(1+_int_inv_m)^G97)/((1+_int_inv_m)^G97-1))-(F97*_int_inv_m/((1+_int_inv_m)^G97-1))</f>
        <v>61.133207814018739</v>
      </c>
      <c r="I97" s="675">
        <f>IF(CP!I70=0,Data!H424*Data!$J$271,CP!I70/CP!E70)</f>
        <v>0.02</v>
      </c>
      <c r="J97" s="109">
        <f t="shared" ref="J97:J98" si="81">E97*I97</f>
        <v>38.206514305485371</v>
      </c>
      <c r="K97" s="36">
        <f t="shared" si="79"/>
        <v>6.7999999999999996E-3</v>
      </c>
      <c r="L97" s="109">
        <f t="shared" ref="L97:L98" si="82">E97*K97</f>
        <v>12.990214863865026</v>
      </c>
      <c r="M97" s="109">
        <f t="shared" ref="M97:M98" si="83">H97+J97+L97</f>
        <v>112.32993698336912</v>
      </c>
      <c r="N97" s="34"/>
      <c r="O97" s="34"/>
      <c r="P97" s="34"/>
      <c r="Q97" s="34"/>
      <c r="R97" s="34"/>
      <c r="S97" s="34"/>
      <c r="T97" s="34"/>
      <c r="U97" s="34"/>
      <c r="V97" s="34"/>
      <c r="W97" s="34"/>
    </row>
    <row r="98" spans="1:23" x14ac:dyDescent="0.3">
      <c r="A98" s="664" t="str">
        <f>Data!A425</f>
        <v>Grain Auger(s) - LARGE SIZE</v>
      </c>
      <c r="B98" s="163">
        <f>Data!B425</f>
        <v>0</v>
      </c>
      <c r="C98" s="34" t="str">
        <f>Data!C425</f>
        <v>auger</v>
      </c>
      <c r="D98" s="109">
        <f>Data!D425*Data!$AH$19</f>
        <v>955.16285763713427</v>
      </c>
      <c r="E98" s="109">
        <f t="shared" si="80"/>
        <v>0</v>
      </c>
      <c r="F98" s="109">
        <f>IF(CP!K71=0,Data!I425*E98,CP!K71*B98)</f>
        <v>0</v>
      </c>
      <c r="G98" s="60">
        <f>IF(CP!$G$71=0,Data!$F$425,CP!$G$71)</f>
        <v>20</v>
      </c>
      <c r="H98" s="109">
        <f>(E98*(_int_inv_l*(1+_int_inv_l)^G98)/((1+_int_inv_l)^G98-1))-(F98*_int_inv_l/((1+_int_inv_l)^G98-1))</f>
        <v>0</v>
      </c>
      <c r="I98" s="675">
        <f>IF(CP!I71=0,Data!H425*Data!$J$271,CP!I71/CP!E71)</f>
        <v>0.02</v>
      </c>
      <c r="J98" s="109">
        <f t="shared" si="81"/>
        <v>0</v>
      </c>
      <c r="K98" s="36">
        <f t="shared" si="79"/>
        <v>6.7999999999999996E-3</v>
      </c>
      <c r="L98" s="109">
        <f t="shared" si="82"/>
        <v>0</v>
      </c>
      <c r="M98" s="109">
        <f t="shared" si="83"/>
        <v>0</v>
      </c>
      <c r="N98" s="34"/>
      <c r="O98" s="34"/>
      <c r="P98" s="34"/>
      <c r="Q98" s="34"/>
      <c r="R98" s="34"/>
      <c r="S98" s="34"/>
      <c r="T98" s="34"/>
      <c r="U98" s="34"/>
      <c r="V98" s="34"/>
      <c r="W98" s="34"/>
    </row>
    <row r="99" spans="1:23" x14ac:dyDescent="0.3">
      <c r="A99" s="6" t="str">
        <f>Data!A426</f>
        <v>Grain Roller</v>
      </c>
      <c r="B99" s="163">
        <f>Data!B426</f>
        <v>0</v>
      </c>
      <c r="C99" s="34" t="str">
        <f>Data!C426</f>
        <v>roller</v>
      </c>
      <c r="D99" s="109">
        <f>Data!D426*Data!$AN$19*C95</f>
        <v>461.84195759107797</v>
      </c>
      <c r="E99" s="109">
        <f>D99*B99</f>
        <v>0</v>
      </c>
      <c r="F99" s="109">
        <f>Data!I426*E99</f>
        <v>0</v>
      </c>
      <c r="G99" s="60">
        <f>Data!F426</f>
        <v>10</v>
      </c>
      <c r="H99" s="109">
        <f t="shared" ref="H99:H103" si="84">(E99*(_int_inv_*(1+_int_inv_)^G99)/((1+_int_inv_)^G99-1))-(F99*_int_inv_/((1+_int_inv_)^G99-1))</f>
        <v>0</v>
      </c>
      <c r="I99" s="36">
        <f>Data!H426*Data!$J$271</f>
        <v>0.02</v>
      </c>
      <c r="J99" s="109">
        <f>E99*I99</f>
        <v>0</v>
      </c>
      <c r="K99" s="36">
        <f t="shared" si="79"/>
        <v>6.7999999999999996E-3</v>
      </c>
      <c r="L99" s="109">
        <f>E99*K99</f>
        <v>0</v>
      </c>
      <c r="M99" s="109">
        <f>H99+J99+L99</f>
        <v>0</v>
      </c>
      <c r="N99" s="34"/>
      <c r="O99" s="34"/>
      <c r="P99" s="34"/>
      <c r="Q99" s="34"/>
      <c r="R99" s="34"/>
      <c r="S99" s="34"/>
      <c r="T99" s="34"/>
      <c r="U99" s="34"/>
      <c r="V99" s="34"/>
      <c r="W99" s="34"/>
    </row>
    <row r="100" spans="1:23" x14ac:dyDescent="0.3">
      <c r="A100" s="664" t="str">
        <f>Data!A473</f>
        <v>Grain Dryer (Buckwheat) - SMALL SIZE</v>
      </c>
      <c r="B100" s="649">
        <f>Data!B473</f>
        <v>0</v>
      </c>
      <c r="C100" s="34" t="str">
        <f>Data!C473</f>
        <v>dryer</v>
      </c>
      <c r="D100" s="109">
        <f>Data!D473*Data!$D$19*$C$95*CP!$H$5</f>
        <v>7521.8122569115903</v>
      </c>
      <c r="E100" s="109">
        <f>D100*B100</f>
        <v>0</v>
      </c>
      <c r="F100" s="109">
        <f>IF(CP!K72=0,Data!I467*E100,CP!K72*B100)</f>
        <v>0</v>
      </c>
      <c r="G100" s="60">
        <f>IF(CP!G72=0,Data!F473,CP!G72)</f>
        <v>10</v>
      </c>
      <c r="H100" s="109">
        <f t="shared" si="84"/>
        <v>0</v>
      </c>
      <c r="I100" s="675">
        <f>IF(CP!I72=0,Data!H473*Data!$J$271,CP!I72/CP!E72)</f>
        <v>0.02</v>
      </c>
      <c r="J100" s="109">
        <f>E100*I100</f>
        <v>0</v>
      </c>
      <c r="K100" s="36">
        <f t="shared" si="79"/>
        <v>6.7999999999999996E-3</v>
      </c>
      <c r="L100" s="109">
        <f>E100*K100</f>
        <v>0</v>
      </c>
      <c r="M100" s="109">
        <f>H100+J100+L100</f>
        <v>0</v>
      </c>
      <c r="N100" s="34"/>
      <c r="O100" s="34"/>
      <c r="P100" s="34"/>
      <c r="Q100" s="34"/>
      <c r="R100" s="34"/>
      <c r="S100" s="34"/>
      <c r="T100" s="34"/>
      <c r="U100" s="34"/>
      <c r="V100" s="34"/>
      <c r="W100" s="34"/>
    </row>
    <row r="101" spans="1:23" x14ac:dyDescent="0.3">
      <c r="A101" s="664" t="str">
        <f>Data!A474</f>
        <v>Grain Dryer (Buckwheat) - MEDIUM SIZE</v>
      </c>
      <c r="B101" s="649">
        <f>Data!B474</f>
        <v>0.25</v>
      </c>
      <c r="C101" s="34" t="str">
        <f>Data!C474</f>
        <v>dryer</v>
      </c>
      <c r="D101" s="109">
        <f>Data!D474*Data!$D$19*$C$95</f>
        <v>7521.8122569115903</v>
      </c>
      <c r="E101" s="109">
        <f>D101*B101</f>
        <v>1880.4530642278976</v>
      </c>
      <c r="F101" s="109">
        <f>IF(CP!K73=0,Data!I468*E101,CP!K73*B101)</f>
        <v>357.28608220330057</v>
      </c>
      <c r="G101" s="60">
        <f>IF(CP!G73=0,Data!F474,CP!G73)</f>
        <v>10</v>
      </c>
      <c r="H101" s="109">
        <f t="shared" si="84"/>
        <v>152.43853894838844</v>
      </c>
      <c r="I101" s="675">
        <f>IF(CP!I73=0,Data!H474*Data!$J$271,CP!I73/CP!E73)</f>
        <v>0.02</v>
      </c>
      <c r="J101" s="109">
        <f>E101*I101</f>
        <v>37.609061284557953</v>
      </c>
      <c r="K101" s="36">
        <f t="shared" si="79"/>
        <v>6.7999999999999996E-3</v>
      </c>
      <c r="L101" s="109">
        <f>E101*K101</f>
        <v>12.787080836749704</v>
      </c>
      <c r="M101" s="109">
        <f>H101+J101+L101</f>
        <v>202.8346810696961</v>
      </c>
      <c r="N101" s="34"/>
      <c r="O101" s="34"/>
      <c r="P101" s="34"/>
      <c r="Q101" s="34"/>
      <c r="R101" s="34"/>
      <c r="S101" s="34"/>
      <c r="T101" s="34"/>
      <c r="U101" s="34"/>
      <c r="V101" s="34"/>
      <c r="W101" s="34"/>
    </row>
    <row r="102" spans="1:23" x14ac:dyDescent="0.3">
      <c r="A102" s="664" t="str">
        <f>Data!A475</f>
        <v>Grain Dryer (Buckwheat) - LARGE SIZE</v>
      </c>
      <c r="B102" s="649">
        <f>Data!B475</f>
        <v>0</v>
      </c>
      <c r="C102" s="34" t="str">
        <f>Data!C475</f>
        <v>dryer</v>
      </c>
      <c r="D102" s="109">
        <f>Data!D475*Data!$D$19*$C$95</f>
        <v>7521.8122569115903</v>
      </c>
      <c r="E102" s="109">
        <f>D102*B102</f>
        <v>0</v>
      </c>
      <c r="F102" s="109">
        <f>IF(CP!K74=0,Data!I469*E102,CP!K74*B102)</f>
        <v>0</v>
      </c>
      <c r="G102" s="60">
        <f>IF(CP!G74=0,Data!F475,CP!G74)</f>
        <v>10</v>
      </c>
      <c r="H102" s="109">
        <f t="shared" si="84"/>
        <v>0</v>
      </c>
      <c r="I102" s="675">
        <f>IF(CP!I74=0,Data!H475*Data!$J$271,CP!I74/CP!E74)</f>
        <v>0.02</v>
      </c>
      <c r="J102" s="109">
        <f>E102*I102</f>
        <v>0</v>
      </c>
      <c r="K102" s="36">
        <f t="shared" si="79"/>
        <v>6.7999999999999996E-3</v>
      </c>
      <c r="L102" s="109">
        <f>E102*K102</f>
        <v>0</v>
      </c>
      <c r="M102" s="109">
        <f>H102+J102+L102</f>
        <v>0</v>
      </c>
      <c r="N102" s="34"/>
      <c r="O102" s="34"/>
      <c r="P102" s="34"/>
      <c r="Q102" s="34"/>
      <c r="R102" s="34"/>
      <c r="S102" s="34"/>
      <c r="T102" s="34"/>
      <c r="U102" s="34"/>
      <c r="V102" s="34"/>
      <c r="W102" s="34"/>
    </row>
    <row r="103" spans="1:23" x14ac:dyDescent="0.3">
      <c r="A103" s="664" t="str">
        <f>Data!A476</f>
        <v>Grain Bags (Buckwheat) - SMALL SIZE</v>
      </c>
      <c r="B103" s="1304">
        <f>Data!B476</f>
        <v>0</v>
      </c>
      <c r="C103" s="34" t="str">
        <f>Data!C476</f>
        <v>grain bag</v>
      </c>
      <c r="D103" s="109">
        <f>Data!D476*Data!$D$19*C95</f>
        <v>10</v>
      </c>
      <c r="E103" s="109">
        <f>D103*B103</f>
        <v>0</v>
      </c>
      <c r="F103" s="109">
        <f>IF(CP!K75=0,Data!I470*E103,CP!K75*B103)</f>
        <v>0</v>
      </c>
      <c r="G103" s="60">
        <f>IF(CP!$G$75=0,Data!$F$476,CP!$G$75)</f>
        <v>5</v>
      </c>
      <c r="H103" s="109">
        <f t="shared" si="84"/>
        <v>0</v>
      </c>
      <c r="I103" s="675">
        <f>IF(CP!I75=0,Data!H476*Data!$J$271,CP!I75/CP!E75)</f>
        <v>0</v>
      </c>
      <c r="J103" s="109">
        <f>E103*I103</f>
        <v>0</v>
      </c>
      <c r="K103" s="36">
        <f t="shared" si="79"/>
        <v>6.7999999999999996E-3</v>
      </c>
      <c r="L103" s="109">
        <f>E103*K103</f>
        <v>0</v>
      </c>
      <c r="M103" s="109">
        <f>H103+J103+L103</f>
        <v>0</v>
      </c>
      <c r="N103" s="34"/>
      <c r="O103" s="34"/>
      <c r="P103" s="34"/>
      <c r="Q103" s="34"/>
      <c r="R103" s="34"/>
      <c r="S103" s="34"/>
      <c r="T103" s="34"/>
      <c r="U103" s="34"/>
      <c r="V103" s="34"/>
      <c r="W103" s="34"/>
    </row>
    <row r="104" spans="1:23" x14ac:dyDescent="0.3">
      <c r="A104" s="664" t="str">
        <f>Data!A477</f>
        <v>Grain Bin (Buckwheat) - MEDIUM SIZE</v>
      </c>
      <c r="B104" s="1304">
        <f>Data!B477</f>
        <v>1</v>
      </c>
      <c r="C104" s="34" t="str">
        <f>Data!C477</f>
        <v>crop storage</v>
      </c>
      <c r="D104" s="109">
        <f>Data!D477*Data!$D$19*C95</f>
        <v>21106.2051928939</v>
      </c>
      <c r="E104" s="109">
        <f t="shared" ref="E104:E105" si="85">D104*B104</f>
        <v>21106.2051928939</v>
      </c>
      <c r="F104" s="109">
        <f>IF(CP!K76=0,Data!I471*E104,CP!K76*B104)</f>
        <v>7387.1718175128644</v>
      </c>
      <c r="G104" s="60">
        <f>IF(CP!$G$76=0,Data!$F$477,CP!$G$76)</f>
        <v>33</v>
      </c>
      <c r="H104" s="109">
        <f>(E104*(_int_inv_m*(1+_int_inv_m)^G104)/((1+_int_inv_m)^G104-1))-(F104*_int_inv_m/((1+_int_inv_m)^G104-1))</f>
        <v>687.94464629638969</v>
      </c>
      <c r="I104" s="675">
        <f>IF(CP!I76=0,Data!H477*Data!$J$271,CP!I76/CP!E76)</f>
        <v>0.01</v>
      </c>
      <c r="J104" s="109">
        <f t="shared" ref="J104:J105" si="86">E104*I104</f>
        <v>211.06205192893901</v>
      </c>
      <c r="K104" s="36">
        <f t="shared" si="79"/>
        <v>6.7999999999999996E-3</v>
      </c>
      <c r="L104" s="109">
        <f t="shared" ref="L104:L105" si="87">E104*K104</f>
        <v>143.5221953116785</v>
      </c>
      <c r="M104" s="109">
        <f t="shared" ref="M104:M105" si="88">H104+J104+L104</f>
        <v>1042.5288935370072</v>
      </c>
      <c r="N104" s="34"/>
      <c r="O104" s="34"/>
      <c r="P104" s="34"/>
      <c r="Q104" s="34"/>
      <c r="R104" s="34"/>
      <c r="S104" s="34"/>
      <c r="T104" s="34"/>
      <c r="U104" s="34"/>
      <c r="V104" s="34"/>
      <c r="W104" s="34"/>
    </row>
    <row r="105" spans="1:23" x14ac:dyDescent="0.3">
      <c r="A105" s="664" t="str">
        <f>Data!A478</f>
        <v>Grain Bin (Buckwheat) - LARGE SIZE</v>
      </c>
      <c r="B105" s="1304">
        <f>Data!B478</f>
        <v>0</v>
      </c>
      <c r="C105" s="34" t="str">
        <f>Data!C478</f>
        <v>crop storage</v>
      </c>
      <c r="D105" s="109">
        <f>Data!D478*Data!$D$19*C95</f>
        <v>36937.112722940503</v>
      </c>
      <c r="E105" s="109">
        <f t="shared" si="85"/>
        <v>0</v>
      </c>
      <c r="F105" s="109">
        <f>IF(CP!K77=0,Data!I472*E105,CP!K77*B105)</f>
        <v>0</v>
      </c>
      <c r="G105" s="60">
        <f>IF(CP!$G$77=0,Data!$F$478,CP!$G$77)</f>
        <v>33</v>
      </c>
      <c r="H105" s="109">
        <f>(E105*(_int_inv_l*(1+_int_inv_l)^G105)/((1+_int_inv_l)^G105-1))-(F105*_int_inv_l/((1+_int_inv_l)^G105-1))</f>
        <v>0</v>
      </c>
      <c r="I105" s="675">
        <f>IF(CP!I77=0,Data!H478*Data!$J$271,CP!I77/CP!E77)</f>
        <v>0.01</v>
      </c>
      <c r="J105" s="109">
        <f t="shared" si="86"/>
        <v>0</v>
      </c>
      <c r="K105" s="36">
        <f t="shared" si="79"/>
        <v>6.7999999999999996E-3</v>
      </c>
      <c r="L105" s="109">
        <f t="shared" si="87"/>
        <v>0</v>
      </c>
      <c r="M105" s="109">
        <f t="shared" si="88"/>
        <v>0</v>
      </c>
      <c r="N105" s="34"/>
      <c r="O105" s="34"/>
      <c r="P105" s="34"/>
      <c r="Q105" s="34"/>
      <c r="R105" s="34"/>
      <c r="S105" s="34"/>
      <c r="T105" s="34"/>
      <c r="U105" s="34"/>
      <c r="V105" s="34"/>
      <c r="W105" s="34"/>
    </row>
    <row r="106" spans="1:23" x14ac:dyDescent="0.3">
      <c r="A106" s="664"/>
      <c r="B106" s="33"/>
      <c r="C106" s="34"/>
      <c r="D106" s="109"/>
      <c r="E106" s="109"/>
      <c r="F106" s="109"/>
      <c r="G106" s="34"/>
      <c r="H106" s="109"/>
      <c r="I106" s="675"/>
      <c r="J106" s="109"/>
      <c r="K106" s="36"/>
      <c r="L106" s="109"/>
      <c r="M106" s="109"/>
      <c r="N106" s="34"/>
      <c r="O106" s="34"/>
      <c r="P106" s="34"/>
      <c r="Q106" s="34"/>
      <c r="R106" s="34"/>
      <c r="S106" s="34"/>
      <c r="T106" s="34"/>
      <c r="U106" s="34"/>
      <c r="V106" s="34"/>
      <c r="W106" s="34"/>
    </row>
    <row r="107" spans="1:23" x14ac:dyDescent="0.3">
      <c r="A107" s="863" t="s">
        <v>12</v>
      </c>
      <c r="B107" s="17"/>
      <c r="N107" s="34"/>
      <c r="O107" s="34"/>
      <c r="P107" s="34"/>
      <c r="Q107" s="34"/>
      <c r="R107" s="34"/>
      <c r="S107" s="34"/>
      <c r="T107" s="34"/>
      <c r="U107" s="34"/>
      <c r="V107" s="34"/>
      <c r="W107" s="34"/>
    </row>
    <row r="108" spans="1:23" x14ac:dyDescent="0.3">
      <c r="A108" s="664" t="str">
        <f>Data!A44</f>
        <v>Interest for investment (Small model)</v>
      </c>
      <c r="B108" s="84">
        <f>IF(Data!$C$39=1,Data!B98,0)</f>
        <v>0</v>
      </c>
      <c r="C108" s="869" t="str">
        <f>Data!H51</f>
        <v>acre(s)</v>
      </c>
      <c r="D108" s="109">
        <f>Data!$F$61</f>
        <v>1000</v>
      </c>
      <c r="E108" s="109">
        <f>D108*B108</f>
        <v>0</v>
      </c>
      <c r="F108" s="864" t="s">
        <v>45</v>
      </c>
      <c r="G108" s="865" t="s">
        <v>45</v>
      </c>
      <c r="H108" s="109">
        <f>E108*_int_inv_</f>
        <v>0</v>
      </c>
      <c r="I108" s="1307">
        <f>Data!$H$61*Data!$J$271</f>
        <v>0.01</v>
      </c>
      <c r="J108" s="109">
        <f>E108*I108</f>
        <v>0</v>
      </c>
      <c r="K108" s="36">
        <f>_tax_ins_</f>
        <v>6.7999999999999996E-3</v>
      </c>
      <c r="L108" s="109">
        <f>E108*K108</f>
        <v>0</v>
      </c>
      <c r="M108" s="109">
        <f>H108+J108+L108</f>
        <v>0</v>
      </c>
      <c r="N108" s="34"/>
      <c r="O108" s="34"/>
      <c r="P108" s="34"/>
      <c r="Q108" s="34"/>
      <c r="R108" s="34"/>
      <c r="S108" s="34"/>
      <c r="T108" s="34"/>
      <c r="U108" s="34"/>
      <c r="V108" s="34"/>
      <c r="W108" s="34"/>
    </row>
    <row r="109" spans="1:23" x14ac:dyDescent="0.3">
      <c r="A109" s="664" t="str">
        <f>Data!A45</f>
        <v>Interest for investment (Medium model)</v>
      </c>
      <c r="B109" s="33">
        <f>IF(Data!$C$40=1,Data!B98,0)</f>
        <v>75</v>
      </c>
      <c r="C109" s="868" t="str">
        <f>Data!H51</f>
        <v>acre(s)</v>
      </c>
      <c r="D109" s="109">
        <f>Data!$F$61</f>
        <v>1000</v>
      </c>
      <c r="E109" s="109">
        <f t="shared" ref="E109:E110" si="89">D109*B109</f>
        <v>75000</v>
      </c>
      <c r="F109" s="864" t="s">
        <v>45</v>
      </c>
      <c r="G109" s="865" t="s">
        <v>45</v>
      </c>
      <c r="H109" s="109">
        <f>E109*_int_inv_m</f>
        <v>1350</v>
      </c>
      <c r="I109" s="1307">
        <f>Data!$H$61*Data!$J$271</f>
        <v>0.01</v>
      </c>
      <c r="J109" s="109">
        <f t="shared" ref="J109:J110" si="90">E109*I109</f>
        <v>750</v>
      </c>
      <c r="K109" s="36">
        <f>_tax_ins_</f>
        <v>6.7999999999999996E-3</v>
      </c>
      <c r="L109" s="109">
        <f t="shared" ref="L109:L110" si="91">E109*K109</f>
        <v>510</v>
      </c>
      <c r="M109" s="109">
        <f t="shared" ref="M109:M110" si="92">H109+J109+L109</f>
        <v>2610</v>
      </c>
      <c r="N109" s="34"/>
      <c r="O109" s="34"/>
      <c r="P109" s="34"/>
      <c r="Q109" s="34"/>
      <c r="R109" s="34"/>
      <c r="S109" s="34"/>
      <c r="T109" s="34"/>
      <c r="U109" s="34"/>
      <c r="V109" s="34"/>
      <c r="W109" s="34"/>
    </row>
    <row r="110" spans="1:23" x14ac:dyDescent="0.3">
      <c r="A110" s="664" t="str">
        <f>Data!A46</f>
        <v>Interest for investment (Large model)</v>
      </c>
      <c r="B110" s="33">
        <f>IF(Data!$C$41=1,Data!B98,0)</f>
        <v>0</v>
      </c>
      <c r="C110" s="868" t="str">
        <f>Data!H51</f>
        <v>acre(s)</v>
      </c>
      <c r="D110" s="109">
        <f>Data!$F$61</f>
        <v>1000</v>
      </c>
      <c r="E110" s="109">
        <f t="shared" si="89"/>
        <v>0</v>
      </c>
      <c r="F110" s="864" t="s">
        <v>45</v>
      </c>
      <c r="G110" s="865" t="s">
        <v>45</v>
      </c>
      <c r="H110" s="109">
        <f>E110*_int_inv_l</f>
        <v>0</v>
      </c>
      <c r="I110" s="1307">
        <f>Data!$H$61*Data!$J$271</f>
        <v>0.01</v>
      </c>
      <c r="J110" s="109">
        <f t="shared" si="90"/>
        <v>0</v>
      </c>
      <c r="K110" s="36">
        <f>_tax_ins_</f>
        <v>6.7999999999999996E-3</v>
      </c>
      <c r="L110" s="109">
        <f t="shared" si="91"/>
        <v>0</v>
      </c>
      <c r="M110" s="109">
        <f t="shared" si="92"/>
        <v>0</v>
      </c>
      <c r="N110" s="34"/>
      <c r="O110" s="34"/>
      <c r="P110" s="34"/>
      <c r="Q110" s="34"/>
      <c r="R110" s="34"/>
      <c r="S110" s="34"/>
      <c r="T110" s="34"/>
      <c r="U110" s="34"/>
      <c r="V110" s="34"/>
      <c r="W110" s="34"/>
    </row>
    <row r="111" spans="1:23" x14ac:dyDescent="0.3">
      <c r="A111" s="93"/>
      <c r="B111" s="33"/>
      <c r="C111" s="34"/>
      <c r="D111" s="109"/>
      <c r="E111" s="109"/>
      <c r="F111" s="109"/>
      <c r="G111" s="38"/>
      <c r="H111" s="109"/>
      <c r="I111" s="35"/>
      <c r="J111" s="109"/>
      <c r="K111" s="36"/>
      <c r="L111" s="109"/>
      <c r="M111" s="109"/>
      <c r="N111" s="34"/>
      <c r="O111" s="34"/>
      <c r="P111" s="34"/>
      <c r="Q111" s="34"/>
      <c r="R111" s="34"/>
      <c r="S111" s="34"/>
      <c r="T111" s="34"/>
      <c r="U111" s="34"/>
      <c r="V111" s="34"/>
      <c r="W111" s="34"/>
    </row>
    <row r="112" spans="1:23" x14ac:dyDescent="0.3">
      <c r="A112" s="863" t="s">
        <v>1229</v>
      </c>
      <c r="B112" s="33"/>
      <c r="C112" s="34"/>
      <c r="D112" s="109"/>
      <c r="E112" s="109"/>
      <c r="F112" s="109"/>
      <c r="G112" s="34"/>
      <c r="H112" s="109"/>
      <c r="I112" s="35"/>
      <c r="J112" s="109"/>
      <c r="K112" s="36"/>
      <c r="L112" s="110"/>
      <c r="M112" s="109"/>
      <c r="N112" s="34"/>
      <c r="O112" s="34"/>
      <c r="P112" s="34"/>
      <c r="Q112" s="34"/>
      <c r="R112" s="34"/>
      <c r="S112" s="34"/>
      <c r="T112" s="34"/>
      <c r="U112" s="34"/>
      <c r="V112" s="34"/>
      <c r="W112" s="34"/>
    </row>
    <row r="113" spans="1:23" x14ac:dyDescent="0.3">
      <c r="A113" s="664" t="str">
        <f>Data!A495</f>
        <v>Shop/Loading Shed - SMALL SIZE</v>
      </c>
      <c r="B113" s="33">
        <f>Data!B495</f>
        <v>0</v>
      </c>
      <c r="C113" s="34" t="str">
        <f>Data!C495</f>
        <v>building</v>
      </c>
      <c r="D113" s="109">
        <f>Data!D495*Data!$H$19</f>
        <v>9551.628576371344</v>
      </c>
      <c r="E113" s="109">
        <f>D113*B113</f>
        <v>0</v>
      </c>
      <c r="F113" s="109">
        <f>IF(CP!K79=0,Data!I495*E113,CP!K79*B113)</f>
        <v>0</v>
      </c>
      <c r="G113" s="34">
        <f>IF(CP!$G$79=0,Data!$F$495,CP!$G$79)</f>
        <v>33</v>
      </c>
      <c r="H113" s="109">
        <f>(E113*(_int_inv_*(1+_int_inv_)^G113)/((1+_int_inv_)^G113-1))-(F113*_int_inv_/((1+_int_inv_)^G113-1))</f>
        <v>0</v>
      </c>
      <c r="I113" s="675">
        <f>IF(CP!I79=0,Data!H495*Data!$J$271,CP!I79/CP!E79)</f>
        <v>0.01</v>
      </c>
      <c r="J113" s="109">
        <f>E113*I113</f>
        <v>0</v>
      </c>
      <c r="K113" s="36">
        <f>_tax_ins_</f>
        <v>6.7999999999999996E-3</v>
      </c>
      <c r="L113" s="109">
        <f>E113*K113</f>
        <v>0</v>
      </c>
      <c r="M113" s="109">
        <f>H113+J113+L113</f>
        <v>0</v>
      </c>
    </row>
    <row r="114" spans="1:23" x14ac:dyDescent="0.3">
      <c r="A114" s="664" t="str">
        <f>Data!A496</f>
        <v>Shop/Loading Shed - MEDIUM SIZE</v>
      </c>
      <c r="B114" s="33">
        <f>Data!B496</f>
        <v>1</v>
      </c>
      <c r="C114" s="34" t="str">
        <f>Data!C496</f>
        <v>building</v>
      </c>
      <c r="D114" s="109">
        <f>Data!D496*Data!$H$19</f>
        <v>19103.257152742688</v>
      </c>
      <c r="E114" s="109">
        <f t="shared" ref="E114:E115" si="93">D114*B114</f>
        <v>19103.257152742688</v>
      </c>
      <c r="F114" s="109">
        <f>IF(CP!K80=0,Data!I496*E114,CP!K80*B114)</f>
        <v>14327.442864557015</v>
      </c>
      <c r="G114" s="34">
        <f>IF(CP!$G$80=0,Data!$F$496,CP!$G$80)</f>
        <v>33</v>
      </c>
      <c r="H114" s="109">
        <f>(E114*(_int_inv_m*(1+_int_inv_m)^G114)/((1+_int_inv_m)^G114-1))-(F114*_int_inv_m/((1+_int_inv_m)^G114-1))</f>
        <v>451.08981166712641</v>
      </c>
      <c r="I114" s="675">
        <f>IF(CP!I80=0,Data!H496*Data!$J$271,CP!I80/CP!E80)</f>
        <v>0.01</v>
      </c>
      <c r="J114" s="109">
        <f t="shared" ref="J114:J115" si="94">E114*I114</f>
        <v>191.03257152742688</v>
      </c>
      <c r="K114" s="36">
        <f>_tax_ins_</f>
        <v>6.7999999999999996E-3</v>
      </c>
      <c r="L114" s="109">
        <f t="shared" ref="L114:L115" si="95">E114*K114</f>
        <v>129.90214863865026</v>
      </c>
      <c r="M114" s="109">
        <f t="shared" ref="M114:M115" si="96">H114+J114+L114</f>
        <v>772.02453183320358</v>
      </c>
    </row>
    <row r="115" spans="1:23" x14ac:dyDescent="0.3">
      <c r="A115" s="664" t="str">
        <f>Data!A497</f>
        <v>Shop/Loading Shed - LARGE SIZE</v>
      </c>
      <c r="B115" s="33">
        <f>Data!B497</f>
        <v>0</v>
      </c>
      <c r="C115" s="34" t="str">
        <f>Data!C497</f>
        <v>building</v>
      </c>
      <c r="D115" s="109">
        <f>Data!D497*Data!$H$19</f>
        <v>38206.514305485376</v>
      </c>
      <c r="E115" s="109">
        <f t="shared" si="93"/>
        <v>0</v>
      </c>
      <c r="F115" s="109">
        <f>IF(CP!K81=0,Data!I497*E115,CP!K81*B115)</f>
        <v>0</v>
      </c>
      <c r="G115" s="34">
        <f>IF(CP!$G$81=0,Data!$F$497,CP!$G$81)</f>
        <v>33</v>
      </c>
      <c r="H115" s="109">
        <f>(E115*(_int_inv_l*(1+_int_inv_l)^G115)/((1+_int_inv_l)^G115-1))-(F115*_int_inv_l/((1+_int_inv_l)^G115-1))</f>
        <v>0</v>
      </c>
      <c r="I115" s="675">
        <f>IF(CP!I81=0,Data!H497*Data!$J$271,CP!I81/CP!E81)</f>
        <v>0.01</v>
      </c>
      <c r="J115" s="109">
        <f t="shared" si="94"/>
        <v>0</v>
      </c>
      <c r="K115" s="36">
        <f>_tax_ins_</f>
        <v>6.7999999999999996E-3</v>
      </c>
      <c r="L115" s="109">
        <f t="shared" si="95"/>
        <v>0</v>
      </c>
      <c r="M115" s="109">
        <f t="shared" si="96"/>
        <v>0</v>
      </c>
    </row>
    <row r="116" spans="1:23" x14ac:dyDescent="0.3">
      <c r="A116" s="6"/>
      <c r="B116" s="33"/>
      <c r="C116" s="34"/>
      <c r="D116" s="109"/>
      <c r="E116" s="109"/>
      <c r="F116" s="109"/>
      <c r="G116" s="34"/>
      <c r="H116" s="109"/>
      <c r="I116" s="35"/>
      <c r="J116" s="109"/>
      <c r="K116" s="36"/>
      <c r="L116" s="109"/>
      <c r="M116" s="109"/>
      <c r="N116" s="34"/>
      <c r="O116" s="34"/>
      <c r="P116" s="34"/>
      <c r="Q116" s="34"/>
      <c r="R116" s="34"/>
    </row>
    <row r="117" spans="1:23" ht="12.75" customHeight="1" x14ac:dyDescent="0.3">
      <c r="A117" s="14" t="s">
        <v>514</v>
      </c>
      <c r="B117" s="351" t="s">
        <v>1538</v>
      </c>
      <c r="C117" s="351"/>
      <c r="D117" s="351"/>
      <c r="E117" s="351"/>
      <c r="F117" s="351"/>
      <c r="G117" s="351"/>
      <c r="H117" s="112"/>
      <c r="I117" s="35"/>
      <c r="J117" s="109"/>
      <c r="K117" s="36"/>
      <c r="L117" s="109"/>
      <c r="M117" s="109"/>
      <c r="N117" s="34"/>
      <c r="O117" s="34"/>
      <c r="P117" s="34"/>
      <c r="Q117" s="34"/>
      <c r="R117" s="34"/>
      <c r="S117" s="34"/>
      <c r="T117" s="34"/>
      <c r="U117" s="34"/>
      <c r="V117" s="34"/>
    </row>
    <row r="118" spans="1:23" ht="12.75" customHeight="1" x14ac:dyDescent="0.3">
      <c r="A118" s="14" t="s">
        <v>515</v>
      </c>
      <c r="B118" s="351" t="s">
        <v>1539</v>
      </c>
      <c r="C118" s="351"/>
      <c r="D118" s="351"/>
      <c r="E118" s="351"/>
      <c r="F118" s="351"/>
      <c r="G118" s="351"/>
      <c r="H118" s="112"/>
      <c r="I118" s="35"/>
      <c r="J118" s="109"/>
      <c r="K118" s="36"/>
      <c r="L118" s="109"/>
      <c r="M118" s="109"/>
      <c r="N118" s="34"/>
      <c r="O118" s="34"/>
      <c r="P118" s="34"/>
      <c r="Q118" s="34"/>
      <c r="R118" s="34"/>
      <c r="S118" s="34"/>
      <c r="T118" s="34"/>
      <c r="U118" s="34"/>
      <c r="V118" s="34"/>
    </row>
    <row r="119" spans="1:23" x14ac:dyDescent="0.3">
      <c r="A119" s="6"/>
      <c r="B119" s="33"/>
      <c r="C119" s="34"/>
      <c r="D119" s="109"/>
      <c r="E119" s="109"/>
      <c r="F119" s="109"/>
      <c r="G119" s="34"/>
      <c r="H119" s="109"/>
      <c r="I119" s="35"/>
      <c r="J119" s="109"/>
      <c r="K119" s="36"/>
      <c r="L119" s="109"/>
      <c r="M119" s="109"/>
      <c r="N119" s="34"/>
      <c r="O119" s="34"/>
      <c r="P119" s="34"/>
      <c r="Q119" s="34"/>
      <c r="R119" s="34"/>
    </row>
    <row r="120" spans="1:23" x14ac:dyDescent="0.3">
      <c r="A120" s="14" t="s">
        <v>19</v>
      </c>
      <c r="B120" s="865" t="s">
        <v>45</v>
      </c>
      <c r="C120" s="864" t="s">
        <v>45</v>
      </c>
      <c r="D120" s="864" t="s">
        <v>45</v>
      </c>
      <c r="E120" s="864" t="s">
        <v>45</v>
      </c>
      <c r="F120" s="864" t="s">
        <v>45</v>
      </c>
      <c r="G120" s="865" t="s">
        <v>45</v>
      </c>
      <c r="H120" s="864" t="s">
        <v>45</v>
      </c>
      <c r="I120" s="865" t="s">
        <v>45</v>
      </c>
      <c r="J120" s="864" t="s">
        <v>45</v>
      </c>
      <c r="K120" s="865" t="s">
        <v>45</v>
      </c>
      <c r="L120" s="864" t="s">
        <v>45</v>
      </c>
      <c r="M120" s="864" t="s">
        <v>45</v>
      </c>
      <c r="N120" s="34"/>
      <c r="O120" s="34"/>
      <c r="P120" s="34"/>
      <c r="Q120" s="34"/>
      <c r="R120" s="34"/>
      <c r="S120" s="34"/>
      <c r="T120" s="34"/>
      <c r="U120" s="34"/>
      <c r="V120" s="34"/>
      <c r="W120" s="34"/>
    </row>
    <row r="121" spans="1:23" x14ac:dyDescent="0.3">
      <c r="A121" s="14"/>
      <c r="B121" s="33"/>
      <c r="C121" s="34"/>
      <c r="D121" s="109"/>
      <c r="E121" s="109"/>
      <c r="F121" s="109"/>
      <c r="G121" s="34"/>
      <c r="H121" s="109"/>
      <c r="I121" s="35"/>
      <c r="J121" s="109"/>
      <c r="K121" s="35"/>
      <c r="L121" s="110"/>
      <c r="M121" s="109"/>
      <c r="N121" s="34"/>
      <c r="O121" s="34"/>
      <c r="P121" s="34"/>
      <c r="Q121" s="34"/>
      <c r="R121" s="34"/>
      <c r="S121" s="34"/>
      <c r="T121" s="34"/>
      <c r="U121" s="34"/>
      <c r="V121" s="34"/>
      <c r="W121" s="34"/>
    </row>
    <row r="122" spans="1:23" x14ac:dyDescent="0.3">
      <c r="A122" s="14" t="s">
        <v>64</v>
      </c>
      <c r="B122" s="865" t="s">
        <v>45</v>
      </c>
      <c r="C122" s="864" t="s">
        <v>45</v>
      </c>
      <c r="D122" s="866">
        <v>0</v>
      </c>
      <c r="E122" s="866">
        <v>0</v>
      </c>
      <c r="F122" s="866">
        <v>0</v>
      </c>
      <c r="G122" s="247">
        <v>1</v>
      </c>
      <c r="H122" s="109">
        <f>(E122*(_int_inv_*(1+_int_inv_)^G122)/((1+_int_inv_)^G122-1))-(F122*_int_inv_/((1+_int_inv_)^G122-1))</f>
        <v>0</v>
      </c>
      <c r="I122" s="251">
        <v>0.01</v>
      </c>
      <c r="J122" s="109">
        <f>E122*I122</f>
        <v>0</v>
      </c>
      <c r="K122" s="36">
        <f>_tax_ins_</f>
        <v>6.7999999999999996E-3</v>
      </c>
      <c r="L122" s="109">
        <f>E122*K122</f>
        <v>0</v>
      </c>
      <c r="M122" s="109">
        <f>H122+J122+L122</f>
        <v>0</v>
      </c>
      <c r="N122" s="34"/>
      <c r="O122" s="34"/>
      <c r="P122" s="34"/>
      <c r="Q122" s="34"/>
      <c r="R122" s="34"/>
      <c r="S122" s="34"/>
      <c r="T122" s="34"/>
      <c r="U122" s="34"/>
      <c r="V122" s="34"/>
      <c r="W122" s="34"/>
    </row>
    <row r="123" spans="1:23" x14ac:dyDescent="0.3">
      <c r="B123" s="33"/>
      <c r="C123" s="34"/>
      <c r="D123" s="109"/>
      <c r="E123" s="109"/>
      <c r="F123" s="109"/>
      <c r="G123" s="34"/>
      <c r="H123" s="109"/>
      <c r="I123" s="35"/>
      <c r="J123" s="110"/>
      <c r="K123" s="35"/>
      <c r="L123" s="110"/>
      <c r="M123" s="109"/>
      <c r="N123" s="34"/>
      <c r="O123" s="34"/>
      <c r="P123" s="34"/>
      <c r="Q123" s="34"/>
      <c r="R123" s="34"/>
      <c r="S123" s="34"/>
      <c r="T123" s="34"/>
      <c r="U123" s="34"/>
      <c r="V123" s="34"/>
      <c r="W123" s="34"/>
    </row>
    <row r="124" spans="1:23" ht="13.5" x14ac:dyDescent="0.35">
      <c r="A124" s="1" t="s">
        <v>68</v>
      </c>
      <c r="B124" s="33"/>
      <c r="C124" s="34"/>
      <c r="D124" s="109"/>
      <c r="E124" s="109">
        <f>SUM(E7:E122)</f>
        <v>315243.16163903102</v>
      </c>
      <c r="F124" s="109">
        <f>SUM(F7:F122)</f>
        <v>78231.275415804208</v>
      </c>
      <c r="G124" s="34"/>
      <c r="H124" s="109">
        <f>SUM(H7:H122)</f>
        <v>8545.9306606492391</v>
      </c>
      <c r="I124" s="35"/>
      <c r="J124" s="109">
        <f>SUM(J7:J122)</f>
        <v>5853.139681431865</v>
      </c>
      <c r="K124" s="35"/>
      <c r="L124" s="109">
        <f>SUM(L7:L122)</f>
        <v>2143.6534991454109</v>
      </c>
      <c r="M124" s="109">
        <f>SUM(M7:M122)</f>
        <v>16542.723841226514</v>
      </c>
      <c r="N124" s="34"/>
      <c r="O124" s="34"/>
      <c r="P124" s="34"/>
      <c r="Q124" s="34"/>
      <c r="R124" s="34"/>
      <c r="S124" s="34"/>
      <c r="T124" s="34"/>
      <c r="U124" s="34"/>
      <c r="V124" s="34"/>
      <c r="W124" s="34"/>
    </row>
    <row r="125" spans="1:23" x14ac:dyDescent="0.3">
      <c r="B125" s="33"/>
      <c r="C125" s="34"/>
      <c r="D125" s="109"/>
      <c r="E125" s="109"/>
      <c r="F125" s="109"/>
      <c r="G125" s="34"/>
      <c r="H125" s="112"/>
      <c r="I125" s="35"/>
      <c r="J125" s="34"/>
      <c r="K125" s="35"/>
      <c r="L125" s="110"/>
      <c r="M125" s="109"/>
      <c r="N125" s="34"/>
      <c r="O125" s="34"/>
      <c r="P125" s="34"/>
      <c r="Q125" s="34"/>
      <c r="R125" s="34"/>
      <c r="S125" s="34"/>
      <c r="T125" s="34"/>
      <c r="U125" s="34"/>
      <c r="V125" s="34"/>
      <c r="W125" s="34"/>
    </row>
    <row r="126" spans="1:23" x14ac:dyDescent="0.3">
      <c r="B126" s="33"/>
      <c r="C126" s="34"/>
      <c r="D126" s="109"/>
      <c r="E126" s="109"/>
      <c r="F126" s="109"/>
      <c r="G126" s="34"/>
      <c r="H126" s="32"/>
      <c r="I126" s="35"/>
      <c r="J126" s="34"/>
      <c r="K126" s="35"/>
      <c r="L126" s="110"/>
      <c r="M126" s="109"/>
      <c r="N126" s="34"/>
      <c r="O126" s="34"/>
      <c r="P126" s="34"/>
      <c r="Q126" s="34"/>
      <c r="R126" s="34"/>
      <c r="S126" s="34"/>
      <c r="T126" s="34"/>
      <c r="U126" s="34"/>
      <c r="V126" s="34"/>
      <c r="W126" s="34"/>
    </row>
    <row r="127" spans="1:23" x14ac:dyDescent="0.3">
      <c r="B127" s="33"/>
      <c r="C127" s="34"/>
      <c r="D127" s="134" t="s">
        <v>136</v>
      </c>
      <c r="E127" s="109"/>
      <c r="F127" s="109"/>
      <c r="G127" s="34"/>
      <c r="H127" s="32"/>
      <c r="I127" s="35"/>
      <c r="J127" s="34"/>
      <c r="K127" s="35"/>
      <c r="L127" s="34"/>
      <c r="M127" s="32"/>
      <c r="N127" s="34"/>
      <c r="O127" s="34"/>
      <c r="P127" s="34"/>
      <c r="Q127" s="34"/>
      <c r="R127" s="34"/>
      <c r="S127" s="34"/>
      <c r="T127" s="34"/>
      <c r="U127" s="34"/>
      <c r="V127" s="34"/>
      <c r="W127" s="34"/>
    </row>
    <row r="128" spans="1:23" x14ac:dyDescent="0.3">
      <c r="B128" s="33"/>
      <c r="C128" s="34"/>
      <c r="D128" s="110" t="s">
        <v>2139</v>
      </c>
      <c r="E128" s="109">
        <f>SUM(E7:E106)</f>
        <v>221139.90448628835</v>
      </c>
      <c r="F128" s="109"/>
      <c r="G128" s="34"/>
      <c r="H128" s="32"/>
      <c r="I128" s="35"/>
      <c r="J128" s="34"/>
      <c r="K128" s="35"/>
      <c r="L128" s="34"/>
      <c r="M128" s="32"/>
      <c r="N128" s="34"/>
      <c r="O128" s="34"/>
      <c r="P128" s="34"/>
      <c r="Q128" s="34"/>
      <c r="R128" s="34"/>
      <c r="S128" s="34"/>
      <c r="T128" s="34"/>
      <c r="U128" s="34"/>
      <c r="V128" s="34"/>
      <c r="W128" s="34"/>
    </row>
    <row r="129" spans="2:23" x14ac:dyDescent="0.3">
      <c r="B129" s="33"/>
      <c r="C129" s="34"/>
      <c r="D129" s="110" t="s">
        <v>2140</v>
      </c>
      <c r="E129" s="109">
        <f>SUM(E108:E111)</f>
        <v>75000</v>
      </c>
      <c r="F129" s="109"/>
      <c r="G129" s="34"/>
      <c r="H129" s="32"/>
      <c r="I129" s="35"/>
      <c r="J129" s="34"/>
      <c r="K129" s="35"/>
      <c r="L129" s="34"/>
      <c r="M129" s="32"/>
      <c r="N129" s="34"/>
      <c r="O129" s="34"/>
      <c r="P129" s="34"/>
      <c r="Q129" s="34"/>
      <c r="R129" s="34"/>
      <c r="S129" s="34"/>
      <c r="T129" s="34"/>
      <c r="U129" s="34"/>
      <c r="V129" s="34"/>
      <c r="W129" s="34"/>
    </row>
    <row r="130" spans="2:23" x14ac:dyDescent="0.3">
      <c r="B130" s="33"/>
      <c r="C130" s="34"/>
      <c r="D130" s="127" t="s">
        <v>2141</v>
      </c>
      <c r="E130" s="111">
        <f>SUM(E113:E119)</f>
        <v>19103.257152742688</v>
      </c>
      <c r="F130" s="109"/>
      <c r="G130" s="34"/>
      <c r="H130" s="32"/>
      <c r="I130" s="34"/>
      <c r="J130" s="34"/>
      <c r="K130" s="35"/>
      <c r="L130" s="34"/>
      <c r="M130" s="32"/>
      <c r="N130" s="34"/>
      <c r="O130" s="34"/>
      <c r="P130" s="34"/>
      <c r="Q130" s="34"/>
      <c r="R130" s="34"/>
      <c r="S130" s="34"/>
      <c r="T130" s="34"/>
      <c r="U130" s="34"/>
      <c r="V130" s="34"/>
      <c r="W130" s="34"/>
    </row>
    <row r="131" spans="2:23" x14ac:dyDescent="0.3">
      <c r="B131" s="33"/>
      <c r="C131" s="34"/>
      <c r="D131" s="135" t="s">
        <v>2142</v>
      </c>
      <c r="E131" s="109">
        <f>SUM(E128:E130)</f>
        <v>315243.16163903102</v>
      </c>
      <c r="F131" s="109"/>
      <c r="G131" s="34"/>
      <c r="H131" s="32"/>
      <c r="I131" s="34"/>
      <c r="J131" s="34"/>
      <c r="K131" s="35"/>
      <c r="L131" s="34"/>
      <c r="M131" s="32"/>
      <c r="N131" s="34"/>
      <c r="O131" s="34"/>
      <c r="P131" s="34"/>
      <c r="Q131" s="34"/>
      <c r="R131" s="34"/>
      <c r="S131" s="34"/>
      <c r="T131" s="34"/>
      <c r="U131" s="34"/>
      <c r="V131" s="34"/>
      <c r="W131" s="34"/>
    </row>
    <row r="132" spans="2:23" x14ac:dyDescent="0.3">
      <c r="B132" s="33"/>
      <c r="C132" s="34"/>
      <c r="D132" s="32"/>
      <c r="E132" s="32"/>
      <c r="F132" s="32"/>
      <c r="G132" s="34"/>
      <c r="H132" s="32"/>
      <c r="I132" s="34"/>
      <c r="J132" s="34"/>
      <c r="K132" s="35"/>
      <c r="L132" s="34"/>
      <c r="M132" s="32"/>
      <c r="N132" s="34"/>
      <c r="O132" s="34"/>
      <c r="P132" s="34"/>
      <c r="Q132" s="34"/>
      <c r="R132" s="34"/>
      <c r="S132" s="34"/>
      <c r="T132" s="34"/>
      <c r="U132" s="34"/>
      <c r="V132" s="34"/>
      <c r="W132" s="34"/>
    </row>
    <row r="133" spans="2:23" x14ac:dyDescent="0.3">
      <c r="B133" s="33"/>
      <c r="C133" s="34"/>
      <c r="D133" s="32"/>
      <c r="E133" s="32"/>
      <c r="F133" s="32"/>
      <c r="G133" s="34"/>
      <c r="H133" s="32"/>
      <c r="I133" s="34"/>
      <c r="J133" s="34"/>
      <c r="K133" s="35"/>
      <c r="L133" s="34"/>
      <c r="M133" s="32"/>
      <c r="N133" s="34"/>
      <c r="O133" s="34"/>
      <c r="P133" s="34"/>
      <c r="Q133" s="34"/>
      <c r="R133" s="34"/>
      <c r="S133" s="34"/>
      <c r="T133" s="34"/>
      <c r="U133" s="34"/>
      <c r="V133" s="34"/>
      <c r="W133" s="34"/>
    </row>
    <row r="134" spans="2:23" x14ac:dyDescent="0.3">
      <c r="B134" s="33"/>
      <c r="C134" s="34"/>
      <c r="D134" s="32"/>
      <c r="E134" s="32"/>
      <c r="F134" s="32"/>
      <c r="G134" s="34"/>
      <c r="H134" s="32"/>
      <c r="I134" s="34"/>
      <c r="J134" s="34"/>
      <c r="K134" s="35"/>
      <c r="L134" s="34"/>
      <c r="M134" s="32"/>
      <c r="N134" s="34"/>
      <c r="O134" s="34"/>
      <c r="P134" s="34"/>
      <c r="Q134" s="34"/>
      <c r="R134" s="34"/>
      <c r="S134" s="34"/>
      <c r="T134" s="34"/>
      <c r="U134" s="34"/>
      <c r="V134" s="34"/>
      <c r="W134" s="34"/>
    </row>
    <row r="135" spans="2:23" x14ac:dyDescent="0.3">
      <c r="B135" s="33"/>
      <c r="C135" s="34"/>
      <c r="D135" s="32"/>
      <c r="E135" s="32"/>
      <c r="F135" s="32"/>
      <c r="G135" s="34"/>
      <c r="H135" s="32"/>
      <c r="I135" s="34"/>
      <c r="J135" s="34"/>
      <c r="K135" s="35"/>
      <c r="L135" s="34"/>
      <c r="M135" s="32"/>
      <c r="N135" s="34"/>
      <c r="O135" s="34"/>
      <c r="P135" s="34"/>
      <c r="Q135" s="34"/>
      <c r="R135" s="34"/>
      <c r="S135" s="34"/>
      <c r="T135" s="34"/>
      <c r="U135" s="34"/>
      <c r="V135" s="34"/>
      <c r="W135" s="34"/>
    </row>
    <row r="136" spans="2:23" x14ac:dyDescent="0.3">
      <c r="B136" s="33"/>
      <c r="C136" s="34"/>
      <c r="D136" s="32"/>
      <c r="E136" s="32"/>
      <c r="F136" s="32"/>
      <c r="G136" s="34"/>
      <c r="H136" s="32"/>
      <c r="I136" s="34"/>
      <c r="J136" s="34"/>
      <c r="K136" s="35"/>
      <c r="L136" s="34"/>
      <c r="M136" s="32"/>
      <c r="N136" s="34"/>
      <c r="O136" s="34"/>
      <c r="P136" s="34"/>
      <c r="Q136" s="34"/>
      <c r="R136" s="34"/>
      <c r="S136" s="34"/>
      <c r="T136" s="34"/>
      <c r="U136" s="34"/>
      <c r="V136" s="34"/>
      <c r="W136" s="34"/>
    </row>
    <row r="137" spans="2:23" x14ac:dyDescent="0.3">
      <c r="B137" s="33"/>
      <c r="C137" s="34"/>
      <c r="D137" s="32"/>
      <c r="E137" s="32"/>
      <c r="F137" s="32"/>
      <c r="G137" s="34"/>
      <c r="H137" s="32"/>
      <c r="I137" s="34"/>
      <c r="J137" s="34"/>
      <c r="K137" s="35"/>
      <c r="L137" s="34"/>
      <c r="M137" s="32"/>
      <c r="N137" s="34"/>
      <c r="O137" s="34"/>
      <c r="P137" s="34"/>
      <c r="Q137" s="34"/>
      <c r="R137" s="34"/>
      <c r="S137" s="34"/>
      <c r="T137" s="34"/>
      <c r="U137" s="34"/>
      <c r="V137" s="34"/>
      <c r="W137" s="34"/>
    </row>
    <row r="138" spans="2:23" x14ac:dyDescent="0.3">
      <c r="B138" s="33"/>
      <c r="C138" s="34"/>
      <c r="D138" s="32"/>
      <c r="E138" s="32"/>
      <c r="F138" s="32"/>
      <c r="G138" s="34"/>
      <c r="H138" s="32"/>
      <c r="I138" s="34"/>
      <c r="J138" s="34"/>
      <c r="K138" s="35"/>
      <c r="L138" s="34"/>
      <c r="M138" s="32"/>
      <c r="N138" s="34"/>
      <c r="O138" s="34"/>
      <c r="P138" s="34"/>
      <c r="Q138" s="34"/>
      <c r="R138" s="34"/>
      <c r="S138" s="34"/>
      <c r="T138" s="34"/>
      <c r="U138" s="34"/>
      <c r="V138" s="34"/>
      <c r="W138" s="34"/>
    </row>
    <row r="139" spans="2:23" x14ac:dyDescent="0.3">
      <c r="B139" s="33"/>
      <c r="C139" s="34"/>
      <c r="D139" s="32"/>
      <c r="E139" s="32"/>
      <c r="F139" s="32"/>
      <c r="G139" s="34"/>
      <c r="H139" s="32"/>
      <c r="I139" s="34"/>
      <c r="J139" s="34"/>
      <c r="K139" s="35"/>
      <c r="L139" s="34"/>
      <c r="M139" s="32"/>
      <c r="N139" s="34"/>
      <c r="O139" s="34"/>
      <c r="P139" s="34"/>
      <c r="Q139" s="34"/>
      <c r="R139" s="34"/>
      <c r="S139" s="34"/>
      <c r="T139" s="34"/>
      <c r="U139" s="34"/>
      <c r="V139" s="34"/>
      <c r="W139" s="34"/>
    </row>
    <row r="140" spans="2:23" x14ac:dyDescent="0.3">
      <c r="B140" s="33"/>
      <c r="C140" s="34"/>
      <c r="D140" s="32"/>
      <c r="E140" s="32"/>
      <c r="F140" s="32"/>
      <c r="G140" s="34"/>
      <c r="H140" s="32"/>
      <c r="I140" s="34"/>
      <c r="J140" s="34"/>
      <c r="K140" s="35"/>
      <c r="L140" s="34"/>
      <c r="M140" s="32"/>
      <c r="N140" s="34"/>
      <c r="O140" s="34"/>
      <c r="P140" s="34"/>
      <c r="Q140" s="34"/>
      <c r="R140" s="34"/>
      <c r="S140" s="34"/>
      <c r="T140" s="34"/>
      <c r="U140" s="34"/>
      <c r="V140" s="34"/>
      <c r="W140" s="34"/>
    </row>
    <row r="141" spans="2:23" x14ac:dyDescent="0.3">
      <c r="B141" s="33"/>
      <c r="C141" s="34"/>
      <c r="D141" s="32"/>
      <c r="E141" s="32"/>
      <c r="F141" s="32"/>
      <c r="G141" s="34"/>
      <c r="H141" s="32"/>
      <c r="I141" s="34"/>
      <c r="J141" s="34"/>
      <c r="K141" s="35"/>
      <c r="L141" s="34"/>
      <c r="M141" s="32"/>
      <c r="N141" s="34"/>
      <c r="O141" s="34"/>
      <c r="P141" s="34"/>
      <c r="Q141" s="34"/>
      <c r="R141" s="34"/>
      <c r="S141" s="34"/>
      <c r="T141" s="34"/>
      <c r="U141" s="34"/>
      <c r="V141" s="34"/>
      <c r="W141" s="34"/>
    </row>
    <row r="142" spans="2:23" x14ac:dyDescent="0.3">
      <c r="B142" s="33"/>
      <c r="C142" s="34"/>
      <c r="D142" s="32"/>
      <c r="E142" s="32"/>
      <c r="F142" s="32"/>
      <c r="G142" s="34"/>
      <c r="H142" s="32"/>
      <c r="I142" s="34"/>
      <c r="J142" s="34"/>
      <c r="K142" s="35"/>
      <c r="L142" s="34"/>
      <c r="M142" s="32"/>
      <c r="N142" s="34"/>
      <c r="O142" s="34"/>
      <c r="P142" s="34"/>
      <c r="Q142" s="34"/>
      <c r="R142" s="34"/>
      <c r="S142" s="34"/>
      <c r="T142" s="34"/>
      <c r="U142" s="34"/>
      <c r="V142" s="34"/>
      <c r="W142" s="34"/>
    </row>
    <row r="143" spans="2:23" x14ac:dyDescent="0.3">
      <c r="B143" s="33"/>
      <c r="C143" s="34"/>
      <c r="D143" s="32"/>
      <c r="E143" s="32"/>
      <c r="F143" s="32"/>
      <c r="G143" s="34"/>
      <c r="H143" s="32"/>
      <c r="I143" s="34"/>
      <c r="J143" s="34"/>
      <c r="K143" s="35"/>
      <c r="L143" s="34"/>
      <c r="M143" s="32"/>
      <c r="N143" s="34"/>
      <c r="O143" s="34"/>
      <c r="P143" s="34"/>
      <c r="Q143" s="34"/>
      <c r="R143" s="34"/>
      <c r="S143" s="34"/>
      <c r="T143" s="34"/>
      <c r="U143" s="34"/>
      <c r="V143" s="34"/>
      <c r="W143" s="34"/>
    </row>
    <row r="144" spans="2:23" x14ac:dyDescent="0.3">
      <c r="B144" s="33"/>
      <c r="C144" s="34"/>
      <c r="D144" s="32"/>
      <c r="E144" s="32"/>
      <c r="F144" s="32"/>
      <c r="G144" s="34"/>
      <c r="H144" s="32"/>
      <c r="I144" s="34"/>
      <c r="J144" s="34"/>
      <c r="K144" s="35"/>
      <c r="L144" s="34"/>
      <c r="M144" s="32"/>
      <c r="N144" s="34"/>
      <c r="O144" s="34"/>
      <c r="P144" s="34"/>
      <c r="Q144" s="34"/>
      <c r="R144" s="34"/>
      <c r="S144" s="34"/>
      <c r="T144" s="34"/>
      <c r="U144" s="34"/>
      <c r="V144" s="34"/>
      <c r="W144" s="34"/>
    </row>
    <row r="145" spans="2:23" x14ac:dyDescent="0.3">
      <c r="B145" s="33"/>
      <c r="C145" s="34"/>
      <c r="D145" s="32"/>
      <c r="E145" s="32"/>
      <c r="F145" s="32"/>
      <c r="G145" s="34"/>
      <c r="H145" s="32"/>
      <c r="I145" s="34"/>
      <c r="J145" s="34"/>
      <c r="K145" s="35"/>
      <c r="L145" s="34"/>
      <c r="M145" s="32"/>
      <c r="N145" s="34"/>
      <c r="O145" s="34"/>
      <c r="P145" s="34"/>
      <c r="Q145" s="34"/>
      <c r="R145" s="34"/>
      <c r="S145" s="34"/>
      <c r="T145" s="34"/>
      <c r="U145" s="34"/>
      <c r="V145" s="34"/>
      <c r="W145" s="34"/>
    </row>
    <row r="146" spans="2:23" x14ac:dyDescent="0.3">
      <c r="B146" s="33"/>
      <c r="C146" s="34"/>
      <c r="D146" s="32"/>
      <c r="E146" s="32"/>
      <c r="F146" s="32"/>
      <c r="G146" s="34"/>
      <c r="H146" s="32"/>
      <c r="I146" s="34"/>
      <c r="J146" s="34"/>
      <c r="K146" s="35"/>
      <c r="L146" s="34"/>
      <c r="M146" s="32"/>
      <c r="N146" s="34"/>
      <c r="O146" s="34"/>
      <c r="P146" s="34"/>
      <c r="Q146" s="34"/>
      <c r="R146" s="34"/>
      <c r="S146" s="34"/>
      <c r="T146" s="34"/>
      <c r="U146" s="34"/>
      <c r="V146" s="34"/>
      <c r="W146" s="34"/>
    </row>
    <row r="147" spans="2:23" x14ac:dyDescent="0.3">
      <c r="B147" s="33"/>
      <c r="C147" s="34"/>
      <c r="D147" s="32"/>
      <c r="E147" s="32"/>
      <c r="F147" s="32"/>
      <c r="G147" s="34"/>
      <c r="H147" s="32"/>
      <c r="I147" s="34"/>
      <c r="J147" s="34"/>
      <c r="K147" s="35"/>
      <c r="L147" s="34"/>
      <c r="M147" s="32"/>
      <c r="N147" s="34"/>
      <c r="O147" s="34"/>
      <c r="P147" s="34"/>
      <c r="Q147" s="34"/>
      <c r="R147" s="34"/>
      <c r="S147" s="34"/>
      <c r="T147" s="34"/>
      <c r="U147" s="34"/>
      <c r="V147" s="34"/>
      <c r="W147" s="34"/>
    </row>
    <row r="148" spans="2:23" x14ac:dyDescent="0.3">
      <c r="B148" s="33"/>
      <c r="C148" s="34"/>
      <c r="D148" s="32"/>
      <c r="E148" s="32"/>
      <c r="F148" s="32"/>
      <c r="G148" s="34"/>
      <c r="H148" s="32"/>
      <c r="I148" s="34"/>
      <c r="J148" s="34"/>
      <c r="K148" s="35"/>
      <c r="L148" s="34"/>
      <c r="M148" s="32"/>
      <c r="N148" s="34"/>
      <c r="O148" s="34"/>
      <c r="P148" s="34"/>
      <c r="Q148" s="34"/>
      <c r="R148" s="34"/>
      <c r="S148" s="34"/>
      <c r="T148" s="34"/>
      <c r="U148" s="34"/>
      <c r="V148" s="34"/>
      <c r="W148" s="34"/>
    </row>
    <row r="149" spans="2:23" x14ac:dyDescent="0.3">
      <c r="B149" s="33"/>
      <c r="C149" s="34"/>
      <c r="D149" s="32"/>
      <c r="E149" s="32"/>
      <c r="F149" s="32"/>
      <c r="G149" s="34"/>
      <c r="H149" s="32"/>
      <c r="I149" s="34"/>
      <c r="J149" s="34"/>
      <c r="K149" s="35"/>
      <c r="L149" s="34"/>
      <c r="M149" s="32"/>
      <c r="N149" s="34"/>
      <c r="O149" s="34"/>
      <c r="P149" s="34"/>
      <c r="Q149" s="34"/>
      <c r="R149" s="34"/>
      <c r="S149" s="34"/>
      <c r="T149" s="34"/>
      <c r="U149" s="34"/>
      <c r="V149" s="34"/>
      <c r="W149" s="34"/>
    </row>
    <row r="150" spans="2:23" x14ac:dyDescent="0.3">
      <c r="B150" s="33"/>
      <c r="C150" s="34"/>
      <c r="D150" s="32"/>
      <c r="E150" s="32"/>
      <c r="F150" s="32"/>
      <c r="G150" s="34"/>
      <c r="H150" s="32"/>
      <c r="I150" s="34"/>
      <c r="J150" s="34"/>
      <c r="K150" s="35"/>
      <c r="L150" s="34"/>
      <c r="M150" s="32"/>
      <c r="N150" s="34"/>
      <c r="O150" s="34"/>
      <c r="P150" s="34"/>
      <c r="Q150" s="34"/>
      <c r="R150" s="34"/>
      <c r="S150" s="34"/>
      <c r="T150" s="34"/>
      <c r="U150" s="34"/>
      <c r="V150" s="34"/>
      <c r="W150" s="34"/>
    </row>
    <row r="151" spans="2:23" x14ac:dyDescent="0.3">
      <c r="B151" s="33"/>
      <c r="C151" s="34"/>
      <c r="D151" s="32"/>
      <c r="E151" s="32"/>
      <c r="F151" s="32"/>
      <c r="G151" s="34"/>
      <c r="H151" s="32"/>
      <c r="I151" s="34"/>
      <c r="J151" s="34"/>
      <c r="K151" s="35"/>
      <c r="L151" s="34"/>
      <c r="M151" s="32"/>
      <c r="N151" s="34"/>
      <c r="O151" s="34"/>
      <c r="P151" s="34"/>
      <c r="Q151" s="34"/>
      <c r="R151" s="34"/>
      <c r="S151" s="34"/>
      <c r="T151" s="34"/>
      <c r="U151" s="34"/>
      <c r="V151" s="34"/>
      <c r="W151" s="34"/>
    </row>
    <row r="152" spans="2:23" x14ac:dyDescent="0.3">
      <c r="B152" s="33"/>
      <c r="C152" s="34"/>
      <c r="D152" s="32"/>
      <c r="E152" s="32"/>
      <c r="F152" s="32"/>
      <c r="G152" s="34"/>
      <c r="H152" s="32"/>
      <c r="I152" s="34"/>
      <c r="J152" s="34"/>
      <c r="K152" s="35"/>
      <c r="L152" s="34"/>
      <c r="M152" s="32"/>
      <c r="N152" s="34"/>
      <c r="O152" s="34"/>
      <c r="P152" s="34"/>
      <c r="Q152" s="34"/>
      <c r="R152" s="34"/>
      <c r="S152" s="34"/>
      <c r="T152" s="34"/>
      <c r="U152" s="34"/>
      <c r="V152" s="34"/>
      <c r="W152" s="34"/>
    </row>
    <row r="153" spans="2:23" x14ac:dyDescent="0.3">
      <c r="B153" s="33"/>
      <c r="C153" s="34"/>
      <c r="D153" s="32"/>
      <c r="E153" s="32"/>
      <c r="F153" s="32"/>
      <c r="G153" s="34"/>
      <c r="H153" s="32"/>
      <c r="I153" s="34"/>
      <c r="J153" s="34"/>
      <c r="K153" s="35"/>
      <c r="L153" s="34"/>
      <c r="M153" s="32"/>
      <c r="N153" s="34"/>
      <c r="O153" s="34"/>
      <c r="P153" s="34"/>
      <c r="Q153" s="34"/>
      <c r="R153" s="34"/>
      <c r="S153" s="34"/>
      <c r="T153" s="34"/>
      <c r="U153" s="34"/>
      <c r="V153" s="34"/>
      <c r="W153" s="34"/>
    </row>
    <row r="154" spans="2:23" x14ac:dyDescent="0.3">
      <c r="B154" s="33"/>
      <c r="C154" s="34"/>
      <c r="D154" s="32"/>
      <c r="E154" s="32"/>
      <c r="F154" s="32"/>
      <c r="G154" s="34"/>
      <c r="H154" s="32"/>
      <c r="I154" s="34"/>
      <c r="J154" s="34"/>
      <c r="K154" s="35"/>
      <c r="L154" s="34"/>
      <c r="M154" s="32"/>
      <c r="N154" s="34"/>
      <c r="O154" s="34"/>
      <c r="P154" s="34"/>
      <c r="Q154" s="34"/>
      <c r="R154" s="34"/>
      <c r="S154" s="34"/>
      <c r="T154" s="34"/>
      <c r="U154" s="34"/>
      <c r="V154" s="34"/>
      <c r="W154" s="34"/>
    </row>
    <row r="155" spans="2:23" x14ac:dyDescent="0.3">
      <c r="B155" s="33"/>
      <c r="C155" s="34"/>
      <c r="D155" s="32"/>
      <c r="E155" s="32"/>
      <c r="F155" s="32"/>
      <c r="G155" s="34"/>
      <c r="H155" s="32"/>
      <c r="I155" s="34"/>
      <c r="J155" s="34"/>
      <c r="K155" s="35"/>
      <c r="L155" s="34"/>
      <c r="M155" s="32"/>
      <c r="N155" s="34"/>
      <c r="O155" s="34"/>
      <c r="P155" s="34"/>
      <c r="Q155" s="34"/>
      <c r="R155" s="34"/>
      <c r="S155" s="34"/>
      <c r="T155" s="34"/>
      <c r="U155" s="34"/>
      <c r="V155" s="34"/>
      <c r="W155" s="34"/>
    </row>
    <row r="156" spans="2:23" x14ac:dyDescent="0.3">
      <c r="B156" s="33"/>
      <c r="C156" s="34"/>
      <c r="D156" s="32"/>
      <c r="E156" s="32"/>
      <c r="F156" s="32"/>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2"/>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2"/>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2"/>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2"/>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2"/>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2"/>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2"/>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2"/>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2"/>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2"/>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2"/>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2"/>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2"/>
      <c r="I204" s="34"/>
      <c r="J204" s="34"/>
      <c r="K204" s="35"/>
      <c r="L204" s="34"/>
      <c r="M204" s="32"/>
      <c r="N204" s="34"/>
      <c r="O204" s="34"/>
      <c r="P204" s="34"/>
      <c r="Q204" s="34"/>
      <c r="R204" s="34"/>
      <c r="S204" s="34"/>
      <c r="T204" s="34"/>
      <c r="U204" s="34"/>
      <c r="V204" s="34"/>
      <c r="W204" s="34"/>
    </row>
    <row r="205" spans="2:23" x14ac:dyDescent="0.3">
      <c r="B205" s="33"/>
      <c r="C205" s="34"/>
      <c r="D205" s="39"/>
      <c r="E205" s="39"/>
      <c r="F205" s="39"/>
      <c r="G205" s="34"/>
      <c r="H205" s="32"/>
      <c r="I205" s="34"/>
      <c r="J205" s="34"/>
      <c r="K205" s="35"/>
      <c r="L205" s="34"/>
      <c r="M205" s="32"/>
      <c r="N205" s="34"/>
      <c r="O205" s="34"/>
      <c r="P205" s="34"/>
      <c r="Q205" s="34"/>
      <c r="R205" s="34"/>
      <c r="S205" s="34"/>
      <c r="T205" s="34"/>
      <c r="U205" s="34"/>
      <c r="V205" s="34"/>
      <c r="W205" s="34"/>
    </row>
    <row r="206" spans="2:23" x14ac:dyDescent="0.3">
      <c r="B206" s="33"/>
      <c r="C206" s="34"/>
      <c r="D206" s="39"/>
      <c r="E206" s="39"/>
      <c r="F206" s="39"/>
      <c r="G206" s="34"/>
      <c r="H206" s="32"/>
      <c r="I206" s="34"/>
      <c r="J206" s="34"/>
      <c r="K206" s="35"/>
      <c r="L206" s="34"/>
      <c r="M206" s="32"/>
      <c r="N206" s="34"/>
      <c r="O206" s="34"/>
      <c r="P206" s="34"/>
      <c r="Q206" s="34"/>
      <c r="R206" s="34"/>
      <c r="S206" s="34"/>
      <c r="T206" s="34"/>
      <c r="U206" s="34"/>
      <c r="V206" s="34"/>
      <c r="W206" s="34"/>
    </row>
    <row r="207" spans="2:23" x14ac:dyDescent="0.3">
      <c r="B207" s="33"/>
      <c r="C207" s="34"/>
      <c r="D207" s="39"/>
      <c r="E207" s="39"/>
      <c r="F207" s="39"/>
      <c r="G207" s="34"/>
      <c r="H207" s="32"/>
      <c r="I207" s="34"/>
      <c r="J207" s="34"/>
      <c r="K207" s="35"/>
      <c r="L207" s="34"/>
      <c r="M207" s="32"/>
      <c r="N207" s="34"/>
      <c r="O207" s="34"/>
      <c r="P207" s="34"/>
      <c r="Q207" s="34"/>
      <c r="R207" s="34"/>
      <c r="S207" s="34"/>
      <c r="T207" s="34"/>
      <c r="U207" s="34"/>
      <c r="V207" s="34"/>
      <c r="W207" s="34"/>
    </row>
    <row r="208" spans="2:23" x14ac:dyDescent="0.3">
      <c r="B208" s="33"/>
      <c r="C208" s="34"/>
      <c r="D208" s="39"/>
      <c r="E208" s="39"/>
      <c r="F208" s="39"/>
      <c r="G208" s="34"/>
      <c r="H208" s="32"/>
      <c r="I208" s="34"/>
      <c r="J208" s="34"/>
      <c r="K208" s="35"/>
      <c r="L208" s="34"/>
      <c r="M208" s="32"/>
      <c r="N208" s="34"/>
      <c r="O208" s="34"/>
      <c r="P208" s="34"/>
      <c r="Q208" s="34"/>
      <c r="R208" s="34"/>
      <c r="S208" s="34"/>
      <c r="T208" s="34"/>
      <c r="U208" s="34"/>
      <c r="V208" s="34"/>
      <c r="W208" s="34"/>
    </row>
    <row r="209" spans="2:23" x14ac:dyDescent="0.3">
      <c r="B209" s="33"/>
      <c r="C209" s="34"/>
      <c r="D209" s="39"/>
      <c r="E209" s="39"/>
      <c r="F209" s="39"/>
      <c r="G209" s="34"/>
      <c r="H209" s="32"/>
      <c r="I209" s="34"/>
      <c r="J209" s="34"/>
      <c r="K209" s="35"/>
      <c r="L209" s="34"/>
      <c r="M209" s="32"/>
      <c r="N209" s="34"/>
      <c r="O209" s="34"/>
      <c r="P209" s="34"/>
      <c r="Q209" s="34"/>
      <c r="R209" s="34"/>
      <c r="S209" s="34"/>
      <c r="T209" s="34"/>
      <c r="U209" s="34"/>
      <c r="V209" s="34"/>
      <c r="W209" s="34"/>
    </row>
    <row r="210" spans="2:23" x14ac:dyDescent="0.3">
      <c r="B210" s="33"/>
      <c r="C210" s="34"/>
      <c r="D210" s="39"/>
      <c r="E210" s="39"/>
      <c r="F210" s="39"/>
      <c r="G210" s="34"/>
      <c r="H210" s="32"/>
      <c r="I210" s="34"/>
      <c r="J210" s="34"/>
      <c r="K210" s="35"/>
      <c r="L210" s="34"/>
      <c r="M210" s="32"/>
      <c r="N210" s="34"/>
      <c r="O210" s="34"/>
      <c r="P210" s="34"/>
      <c r="Q210" s="34"/>
      <c r="R210" s="34"/>
      <c r="S210" s="34"/>
      <c r="T210" s="34"/>
      <c r="U210" s="34"/>
      <c r="V210" s="34"/>
      <c r="W210" s="34"/>
    </row>
    <row r="211" spans="2:23" x14ac:dyDescent="0.3">
      <c r="B211" s="33"/>
      <c r="C211" s="34"/>
      <c r="D211" s="39"/>
      <c r="E211" s="39"/>
      <c r="F211" s="39"/>
      <c r="G211" s="34"/>
      <c r="H211" s="32"/>
      <c r="I211" s="34"/>
      <c r="J211" s="34"/>
      <c r="K211" s="35"/>
      <c r="L211" s="34"/>
      <c r="M211" s="32"/>
      <c r="N211" s="34"/>
      <c r="O211" s="34"/>
      <c r="P211" s="34"/>
      <c r="Q211" s="34"/>
      <c r="R211" s="34"/>
      <c r="S211" s="34"/>
      <c r="T211" s="34"/>
      <c r="U211" s="34"/>
      <c r="V211" s="34"/>
      <c r="W211" s="34"/>
    </row>
    <row r="212" spans="2:23" x14ac:dyDescent="0.3">
      <c r="B212" s="33"/>
      <c r="C212" s="34"/>
      <c r="D212" s="39"/>
      <c r="E212" s="39"/>
      <c r="F212" s="39"/>
      <c r="G212" s="34"/>
      <c r="H212" s="32"/>
      <c r="I212" s="34"/>
      <c r="J212" s="34"/>
      <c r="K212" s="35"/>
      <c r="L212" s="34"/>
      <c r="M212" s="32"/>
      <c r="N212" s="34"/>
      <c r="O212" s="34"/>
      <c r="P212" s="34"/>
      <c r="Q212" s="34"/>
      <c r="R212" s="34"/>
      <c r="S212" s="34"/>
      <c r="T212" s="34"/>
      <c r="U212" s="34"/>
      <c r="V212" s="34"/>
      <c r="W212" s="34"/>
    </row>
    <row r="213" spans="2:23" x14ac:dyDescent="0.3">
      <c r="B213" s="33"/>
      <c r="C213" s="34"/>
      <c r="D213" s="39"/>
      <c r="E213" s="39"/>
      <c r="F213" s="39"/>
      <c r="G213" s="34"/>
      <c r="H213" s="32"/>
      <c r="I213" s="34"/>
      <c r="J213" s="34"/>
      <c r="K213" s="35"/>
      <c r="L213" s="34"/>
      <c r="M213" s="32"/>
      <c r="N213" s="34"/>
      <c r="O213" s="34"/>
      <c r="P213" s="34"/>
      <c r="Q213" s="34"/>
      <c r="R213" s="34"/>
      <c r="S213" s="34"/>
      <c r="T213" s="34"/>
      <c r="U213" s="34"/>
      <c r="V213" s="34"/>
      <c r="W213" s="34"/>
    </row>
    <row r="214" spans="2:23" x14ac:dyDescent="0.3">
      <c r="B214" s="33"/>
      <c r="C214" s="34"/>
      <c r="D214" s="39"/>
      <c r="E214" s="39"/>
      <c r="F214" s="39"/>
      <c r="G214" s="34"/>
      <c r="H214" s="32"/>
      <c r="I214" s="34"/>
      <c r="J214" s="34"/>
      <c r="K214" s="35"/>
      <c r="L214" s="34"/>
      <c r="M214" s="32"/>
      <c r="N214" s="34"/>
      <c r="O214" s="34"/>
      <c r="P214" s="34"/>
      <c r="Q214" s="34"/>
      <c r="R214" s="34"/>
      <c r="S214" s="34"/>
      <c r="T214" s="34"/>
      <c r="U214" s="34"/>
      <c r="V214" s="34"/>
      <c r="W214" s="34"/>
    </row>
    <row r="215" spans="2:23" x14ac:dyDescent="0.3">
      <c r="B215" s="33"/>
      <c r="C215" s="34"/>
      <c r="D215" s="39"/>
      <c r="E215" s="39"/>
      <c r="F215" s="39"/>
      <c r="G215" s="34"/>
      <c r="H215" s="32"/>
      <c r="I215" s="34"/>
      <c r="J215" s="34"/>
      <c r="K215" s="35"/>
      <c r="L215" s="34"/>
      <c r="M215" s="32"/>
      <c r="N215" s="34"/>
      <c r="O215" s="34"/>
      <c r="P215" s="34"/>
      <c r="Q215" s="34"/>
      <c r="R215" s="34"/>
      <c r="S215" s="34"/>
      <c r="T215" s="34"/>
      <c r="U215" s="34"/>
      <c r="V215" s="34"/>
      <c r="W215" s="34"/>
    </row>
    <row r="216" spans="2:23" x14ac:dyDescent="0.3">
      <c r="B216" s="33"/>
      <c r="C216" s="34"/>
      <c r="D216" s="39"/>
      <c r="E216" s="39"/>
      <c r="F216" s="39"/>
      <c r="G216" s="34"/>
      <c r="H216" s="32"/>
      <c r="I216" s="34"/>
      <c r="J216" s="34"/>
      <c r="K216" s="35"/>
      <c r="L216" s="34"/>
      <c r="M216" s="32"/>
      <c r="N216" s="34"/>
      <c r="O216" s="34"/>
      <c r="P216" s="34"/>
      <c r="Q216" s="34"/>
      <c r="R216" s="34"/>
      <c r="S216" s="34"/>
      <c r="T216" s="34"/>
      <c r="U216" s="34"/>
      <c r="V216" s="34"/>
      <c r="W216" s="34"/>
    </row>
    <row r="217" spans="2:23" x14ac:dyDescent="0.3">
      <c r="B217" s="33"/>
      <c r="C217" s="34"/>
      <c r="D217" s="39"/>
      <c r="E217" s="39"/>
      <c r="F217" s="39"/>
      <c r="G217" s="34"/>
      <c r="H217" s="32"/>
      <c r="I217" s="34"/>
      <c r="J217" s="34"/>
      <c r="K217" s="35"/>
      <c r="L217" s="34"/>
      <c r="M217" s="32"/>
      <c r="N217" s="34"/>
      <c r="O217" s="34"/>
      <c r="P217" s="34"/>
      <c r="Q217" s="34"/>
      <c r="R217" s="34"/>
      <c r="S217" s="34"/>
      <c r="T217" s="34"/>
      <c r="U217" s="34"/>
      <c r="V217" s="34"/>
      <c r="W217" s="34"/>
    </row>
    <row r="218" spans="2:23" x14ac:dyDescent="0.3">
      <c r="B218" s="33"/>
      <c r="C218" s="34"/>
      <c r="D218" s="39"/>
      <c r="E218" s="39"/>
      <c r="F218" s="39"/>
      <c r="G218" s="34"/>
      <c r="H218" s="32"/>
      <c r="I218" s="34"/>
      <c r="J218" s="34"/>
      <c r="K218" s="35"/>
      <c r="L218" s="34"/>
      <c r="M218" s="32"/>
      <c r="N218" s="34"/>
      <c r="O218" s="34"/>
      <c r="P218" s="34"/>
      <c r="Q218" s="34"/>
      <c r="R218" s="34"/>
      <c r="S218" s="34"/>
      <c r="T218" s="34"/>
      <c r="U218" s="34"/>
      <c r="V218" s="34"/>
      <c r="W218" s="34"/>
    </row>
    <row r="219" spans="2:23" x14ac:dyDescent="0.3">
      <c r="B219" s="33"/>
      <c r="C219" s="34"/>
      <c r="D219" s="39"/>
      <c r="E219" s="39"/>
      <c r="F219" s="39"/>
      <c r="G219" s="34"/>
      <c r="H219" s="32"/>
      <c r="I219" s="34"/>
      <c r="J219" s="34"/>
      <c r="K219" s="35"/>
      <c r="L219" s="34"/>
      <c r="M219" s="32"/>
      <c r="N219" s="34"/>
      <c r="O219" s="34"/>
      <c r="P219" s="34"/>
      <c r="Q219" s="34"/>
      <c r="R219" s="34"/>
      <c r="S219" s="34"/>
      <c r="T219" s="34"/>
      <c r="U219" s="34"/>
      <c r="V219" s="34"/>
      <c r="W219" s="34"/>
    </row>
    <row r="220" spans="2:23" x14ac:dyDescent="0.3">
      <c r="B220" s="33"/>
      <c r="C220" s="34"/>
      <c r="D220" s="39"/>
      <c r="E220" s="39"/>
      <c r="F220" s="39"/>
      <c r="G220" s="34"/>
      <c r="H220" s="32"/>
      <c r="I220" s="34"/>
      <c r="J220" s="34"/>
      <c r="K220" s="35"/>
      <c r="L220" s="34"/>
      <c r="M220" s="32"/>
      <c r="N220" s="34"/>
      <c r="O220" s="34"/>
      <c r="P220" s="34"/>
      <c r="Q220" s="34"/>
      <c r="R220" s="34"/>
      <c r="S220" s="34"/>
      <c r="T220" s="34"/>
      <c r="U220" s="34"/>
      <c r="V220" s="34"/>
      <c r="W220" s="34"/>
    </row>
    <row r="221" spans="2:23" x14ac:dyDescent="0.3">
      <c r="B221" s="33"/>
      <c r="C221" s="34"/>
      <c r="D221" s="39"/>
      <c r="E221" s="39"/>
      <c r="F221" s="39"/>
      <c r="G221" s="34"/>
      <c r="H221" s="32"/>
      <c r="I221" s="34"/>
      <c r="J221" s="34"/>
      <c r="K221" s="35"/>
      <c r="L221" s="34"/>
      <c r="M221" s="32"/>
      <c r="N221" s="34"/>
      <c r="O221" s="34"/>
      <c r="P221" s="34"/>
      <c r="Q221" s="34"/>
      <c r="R221" s="34"/>
      <c r="S221" s="34"/>
      <c r="T221" s="34"/>
      <c r="U221" s="34"/>
      <c r="V221" s="34"/>
      <c r="W221" s="34"/>
    </row>
    <row r="222" spans="2:23" x14ac:dyDescent="0.3">
      <c r="B222" s="33"/>
      <c r="C222" s="34"/>
      <c r="D222" s="39"/>
      <c r="E222" s="39"/>
      <c r="F222" s="39"/>
      <c r="G222" s="34"/>
      <c r="H222" s="32"/>
      <c r="I222" s="34"/>
      <c r="J222" s="34"/>
      <c r="K222" s="35"/>
      <c r="L222" s="34"/>
      <c r="M222" s="32"/>
      <c r="N222" s="34"/>
      <c r="O222" s="34"/>
      <c r="P222" s="34"/>
      <c r="Q222" s="34"/>
      <c r="R222" s="34"/>
      <c r="S222" s="34"/>
      <c r="T222" s="34"/>
      <c r="U222" s="34"/>
      <c r="V222" s="34"/>
      <c r="W222" s="34"/>
    </row>
    <row r="223" spans="2:23" x14ac:dyDescent="0.3">
      <c r="B223" s="33"/>
      <c r="C223" s="34"/>
      <c r="D223" s="39"/>
      <c r="E223" s="39"/>
      <c r="F223" s="39"/>
      <c r="G223" s="34"/>
      <c r="H223" s="32"/>
      <c r="I223" s="34"/>
      <c r="J223" s="34"/>
      <c r="K223" s="35"/>
      <c r="L223" s="34"/>
      <c r="M223" s="32"/>
      <c r="N223" s="34"/>
      <c r="O223" s="34"/>
      <c r="P223" s="34"/>
      <c r="Q223" s="34"/>
      <c r="R223" s="34"/>
      <c r="S223" s="34"/>
      <c r="T223" s="34"/>
      <c r="U223" s="34"/>
      <c r="V223" s="34"/>
      <c r="W223" s="34"/>
    </row>
    <row r="224" spans="2:23" x14ac:dyDescent="0.3">
      <c r="B224" s="33"/>
      <c r="C224" s="34"/>
      <c r="D224" s="39"/>
      <c r="E224" s="39"/>
      <c r="F224" s="39"/>
      <c r="G224" s="34"/>
      <c r="H224" s="32"/>
      <c r="I224" s="34"/>
      <c r="J224" s="34"/>
      <c r="K224" s="35"/>
      <c r="L224" s="34"/>
      <c r="M224" s="32"/>
      <c r="N224" s="34"/>
      <c r="O224" s="34"/>
      <c r="P224" s="34"/>
      <c r="Q224" s="34"/>
      <c r="R224" s="34"/>
      <c r="S224" s="34"/>
      <c r="T224" s="34"/>
      <c r="U224" s="34"/>
      <c r="V224" s="34"/>
      <c r="W224" s="34"/>
    </row>
    <row r="225" spans="2:23" x14ac:dyDescent="0.3">
      <c r="B225" s="33"/>
      <c r="C225" s="34"/>
      <c r="D225" s="39"/>
      <c r="E225" s="39"/>
      <c r="F225" s="39"/>
      <c r="G225" s="34"/>
      <c r="H225" s="32"/>
      <c r="I225" s="34"/>
      <c r="J225" s="34"/>
      <c r="K225" s="35"/>
      <c r="L225" s="34"/>
      <c r="M225" s="32"/>
      <c r="N225" s="34"/>
      <c r="O225" s="34"/>
      <c r="P225" s="34"/>
      <c r="Q225" s="34"/>
      <c r="R225" s="34"/>
      <c r="S225" s="34"/>
      <c r="T225" s="34"/>
      <c r="U225" s="34"/>
      <c r="V225" s="34"/>
      <c r="W225" s="34"/>
    </row>
    <row r="226" spans="2:23" x14ac:dyDescent="0.3">
      <c r="B226" s="33"/>
      <c r="C226" s="34"/>
      <c r="D226" s="39"/>
      <c r="E226" s="39"/>
      <c r="F226" s="39"/>
      <c r="G226" s="34"/>
      <c r="H226" s="32"/>
      <c r="I226" s="34"/>
      <c r="J226" s="34"/>
      <c r="K226" s="35"/>
      <c r="L226" s="34"/>
      <c r="M226" s="32"/>
      <c r="N226" s="34"/>
      <c r="O226" s="34"/>
      <c r="P226" s="34"/>
      <c r="Q226" s="34"/>
      <c r="R226" s="34"/>
      <c r="S226" s="34"/>
      <c r="T226" s="34"/>
      <c r="U226" s="34"/>
      <c r="V226" s="34"/>
      <c r="W226" s="34"/>
    </row>
    <row r="227" spans="2:23" x14ac:dyDescent="0.3">
      <c r="B227" s="33"/>
      <c r="C227" s="34"/>
      <c r="D227" s="39"/>
      <c r="E227" s="39"/>
      <c r="F227" s="39"/>
      <c r="G227" s="34"/>
      <c r="H227" s="32"/>
      <c r="I227" s="34"/>
      <c r="J227" s="34"/>
      <c r="K227" s="35"/>
      <c r="L227" s="34"/>
      <c r="M227" s="32"/>
      <c r="N227" s="34"/>
      <c r="O227" s="34"/>
      <c r="P227" s="34"/>
      <c r="Q227" s="34"/>
      <c r="R227" s="34"/>
      <c r="S227" s="34"/>
      <c r="T227" s="34"/>
      <c r="U227" s="34"/>
      <c r="V227" s="34"/>
      <c r="W227" s="34"/>
    </row>
    <row r="228" spans="2:23" x14ac:dyDescent="0.3">
      <c r="B228" s="33"/>
      <c r="C228" s="34"/>
      <c r="D228" s="39"/>
      <c r="E228" s="39"/>
      <c r="F228" s="39"/>
      <c r="G228" s="34"/>
      <c r="H228" s="32"/>
      <c r="I228" s="34"/>
      <c r="J228" s="34"/>
      <c r="K228" s="35"/>
      <c r="L228" s="34"/>
      <c r="M228" s="32"/>
      <c r="N228" s="34"/>
      <c r="O228" s="34"/>
      <c r="P228" s="34"/>
      <c r="Q228" s="34"/>
      <c r="R228" s="34"/>
      <c r="S228" s="34"/>
      <c r="T228" s="34"/>
      <c r="U228" s="34"/>
      <c r="V228" s="34"/>
      <c r="W228" s="34"/>
    </row>
    <row r="229" spans="2:23" x14ac:dyDescent="0.3">
      <c r="B229" s="33"/>
      <c r="C229" s="34"/>
      <c r="D229" s="39"/>
      <c r="E229" s="39"/>
      <c r="F229" s="39"/>
      <c r="G229" s="34"/>
      <c r="H229" s="32"/>
      <c r="I229" s="34"/>
      <c r="J229" s="34"/>
      <c r="K229" s="35"/>
      <c r="L229" s="34"/>
      <c r="M229" s="32"/>
      <c r="N229" s="34"/>
      <c r="O229" s="34"/>
      <c r="P229" s="34"/>
      <c r="Q229" s="34"/>
      <c r="R229" s="34"/>
      <c r="S229" s="34"/>
      <c r="T229" s="34"/>
      <c r="U229" s="34"/>
      <c r="V229" s="34"/>
      <c r="W229" s="34"/>
    </row>
    <row r="230" spans="2:23" x14ac:dyDescent="0.3">
      <c r="B230" s="33"/>
      <c r="C230" s="34"/>
      <c r="D230" s="39"/>
      <c r="E230" s="39"/>
      <c r="F230" s="39"/>
      <c r="G230" s="34"/>
      <c r="H230" s="32"/>
      <c r="I230" s="34"/>
      <c r="J230" s="34"/>
      <c r="K230" s="35"/>
      <c r="L230" s="34"/>
      <c r="M230" s="32"/>
      <c r="N230" s="34"/>
      <c r="O230" s="34"/>
      <c r="P230" s="34"/>
      <c r="Q230" s="34"/>
      <c r="R230" s="34"/>
      <c r="S230" s="34"/>
      <c r="T230" s="34"/>
      <c r="U230" s="34"/>
      <c r="V230" s="34"/>
      <c r="W230" s="34"/>
    </row>
    <row r="231" spans="2:23" x14ac:dyDescent="0.3">
      <c r="B231" s="33"/>
      <c r="C231" s="34"/>
      <c r="D231" s="39"/>
      <c r="E231" s="39"/>
      <c r="F231" s="39"/>
      <c r="G231" s="34"/>
      <c r="H231" s="32"/>
      <c r="I231" s="34"/>
      <c r="J231" s="34"/>
      <c r="K231" s="35"/>
      <c r="L231" s="34"/>
      <c r="M231" s="32"/>
      <c r="N231" s="34"/>
      <c r="O231" s="34"/>
      <c r="P231" s="34"/>
      <c r="Q231" s="34"/>
      <c r="R231" s="34"/>
      <c r="S231" s="34"/>
      <c r="T231" s="34"/>
      <c r="U231" s="34"/>
      <c r="V231" s="34"/>
      <c r="W231" s="34"/>
    </row>
    <row r="232" spans="2:23" x14ac:dyDescent="0.3">
      <c r="B232" s="33"/>
      <c r="C232" s="34"/>
      <c r="D232" s="39"/>
      <c r="E232" s="39"/>
      <c r="F232" s="39"/>
      <c r="G232" s="34"/>
      <c r="H232" s="32"/>
      <c r="I232" s="34"/>
      <c r="J232" s="34"/>
      <c r="K232" s="35"/>
      <c r="L232" s="34"/>
      <c r="M232" s="32"/>
      <c r="N232" s="34"/>
      <c r="O232" s="34"/>
      <c r="P232" s="34"/>
      <c r="Q232" s="34"/>
      <c r="R232" s="34"/>
      <c r="S232" s="34"/>
      <c r="T232" s="34"/>
      <c r="U232" s="34"/>
      <c r="V232" s="34"/>
      <c r="W232" s="34"/>
    </row>
    <row r="233" spans="2:23" x14ac:dyDescent="0.3">
      <c r="B233" s="33"/>
      <c r="C233" s="34"/>
      <c r="D233" s="39"/>
      <c r="E233" s="39"/>
      <c r="F233" s="39"/>
      <c r="G233" s="34"/>
      <c r="H233" s="32"/>
      <c r="I233" s="34"/>
      <c r="J233" s="34"/>
      <c r="K233" s="35"/>
      <c r="L233" s="34"/>
      <c r="M233" s="32"/>
      <c r="N233" s="34"/>
      <c r="O233" s="34"/>
      <c r="P233" s="34"/>
      <c r="Q233" s="34"/>
      <c r="R233" s="34"/>
      <c r="S233" s="34"/>
      <c r="T233" s="34"/>
      <c r="U233" s="34"/>
      <c r="V233" s="34"/>
      <c r="W233" s="34"/>
    </row>
    <row r="234" spans="2:23" x14ac:dyDescent="0.3">
      <c r="B234" s="33"/>
      <c r="C234" s="34"/>
      <c r="D234" s="39"/>
      <c r="E234" s="39"/>
      <c r="F234" s="39"/>
      <c r="G234" s="34"/>
      <c r="H234" s="32"/>
      <c r="I234" s="34"/>
      <c r="J234" s="34"/>
      <c r="K234" s="35"/>
      <c r="L234" s="34"/>
      <c r="M234" s="32"/>
      <c r="N234" s="34"/>
      <c r="O234" s="34"/>
      <c r="P234" s="34"/>
      <c r="Q234" s="34"/>
      <c r="R234" s="34"/>
      <c r="S234" s="34"/>
      <c r="T234" s="34"/>
      <c r="U234" s="34"/>
      <c r="V234" s="34"/>
      <c r="W234" s="34"/>
    </row>
    <row r="235" spans="2:23" x14ac:dyDescent="0.3">
      <c r="B235" s="33"/>
      <c r="C235" s="34"/>
      <c r="D235" s="39"/>
      <c r="E235" s="39"/>
      <c r="F235" s="39"/>
      <c r="G235" s="34"/>
      <c r="H235" s="32"/>
      <c r="I235" s="34"/>
      <c r="J235" s="34"/>
      <c r="K235" s="35"/>
      <c r="L235" s="34"/>
      <c r="M235" s="32"/>
      <c r="N235" s="34"/>
      <c r="O235" s="34"/>
      <c r="P235" s="34"/>
      <c r="Q235" s="34"/>
      <c r="R235" s="34"/>
      <c r="S235" s="34"/>
      <c r="T235" s="34"/>
      <c r="U235" s="34"/>
      <c r="V235" s="34"/>
      <c r="W235" s="34"/>
    </row>
    <row r="236" spans="2:23" x14ac:dyDescent="0.3">
      <c r="B236" s="33"/>
      <c r="C236" s="34"/>
      <c r="D236" s="39"/>
      <c r="E236" s="39"/>
      <c r="F236" s="39"/>
      <c r="G236" s="34"/>
      <c r="H236" s="32"/>
      <c r="I236" s="34"/>
      <c r="J236" s="34"/>
      <c r="K236" s="35"/>
      <c r="L236" s="34"/>
      <c r="M236" s="32"/>
      <c r="N236" s="34"/>
      <c r="O236" s="34"/>
      <c r="P236" s="34"/>
      <c r="Q236" s="34"/>
      <c r="R236" s="34"/>
      <c r="S236" s="34"/>
      <c r="T236" s="34"/>
      <c r="U236" s="34"/>
      <c r="V236" s="34"/>
      <c r="W236" s="34"/>
    </row>
    <row r="237" spans="2:23" x14ac:dyDescent="0.3">
      <c r="B237" s="33"/>
      <c r="C237" s="34"/>
      <c r="D237" s="39"/>
      <c r="E237" s="39"/>
      <c r="F237" s="39"/>
      <c r="G237" s="34"/>
      <c r="H237" s="32"/>
      <c r="I237" s="34"/>
      <c r="J237" s="34"/>
      <c r="K237" s="35"/>
      <c r="L237" s="34"/>
      <c r="M237" s="32"/>
      <c r="N237" s="34"/>
      <c r="O237" s="34"/>
      <c r="P237" s="34"/>
      <c r="Q237" s="34"/>
      <c r="R237" s="34"/>
      <c r="S237" s="34"/>
      <c r="T237" s="34"/>
      <c r="U237" s="34"/>
      <c r="V237" s="34"/>
      <c r="W237" s="34"/>
    </row>
    <row r="238" spans="2:23" x14ac:dyDescent="0.3">
      <c r="B238" s="33"/>
      <c r="C238" s="34"/>
      <c r="D238" s="39"/>
      <c r="E238" s="39"/>
      <c r="F238" s="39"/>
      <c r="G238" s="34"/>
      <c r="H238" s="32"/>
      <c r="I238" s="34"/>
      <c r="J238" s="34"/>
      <c r="K238" s="35"/>
      <c r="L238" s="34"/>
      <c r="M238" s="32"/>
      <c r="N238" s="34"/>
      <c r="O238" s="34"/>
      <c r="P238" s="34"/>
      <c r="Q238" s="34"/>
      <c r="R238" s="34"/>
      <c r="S238" s="34"/>
      <c r="T238" s="34"/>
      <c r="U238" s="34"/>
      <c r="V238" s="34"/>
      <c r="W238" s="34"/>
    </row>
    <row r="239" spans="2:23" x14ac:dyDescent="0.3">
      <c r="B239" s="33"/>
      <c r="C239" s="34"/>
      <c r="D239" s="39"/>
      <c r="E239" s="39"/>
      <c r="F239" s="39"/>
      <c r="G239" s="34"/>
      <c r="H239" s="32"/>
      <c r="I239" s="34"/>
      <c r="J239" s="34"/>
      <c r="K239" s="35"/>
      <c r="L239" s="34"/>
      <c r="M239" s="32"/>
      <c r="N239" s="34"/>
      <c r="O239" s="34"/>
      <c r="P239" s="34"/>
      <c r="Q239" s="34"/>
      <c r="R239" s="34"/>
      <c r="S239" s="34"/>
      <c r="T239" s="34"/>
      <c r="U239" s="34"/>
      <c r="V239" s="34"/>
      <c r="W239" s="34"/>
    </row>
    <row r="240" spans="2:23" x14ac:dyDescent="0.3">
      <c r="B240" s="33"/>
      <c r="C240" s="34"/>
      <c r="D240" s="39"/>
      <c r="E240" s="39"/>
      <c r="F240" s="39"/>
      <c r="G240" s="34"/>
      <c r="H240" s="32"/>
      <c r="I240" s="34"/>
      <c r="J240" s="34"/>
      <c r="K240" s="35"/>
      <c r="L240" s="34"/>
      <c r="M240" s="32"/>
      <c r="N240" s="34"/>
      <c r="O240" s="34"/>
      <c r="P240" s="34"/>
      <c r="Q240" s="34"/>
      <c r="R240" s="34"/>
      <c r="S240" s="34"/>
      <c r="T240" s="34"/>
      <c r="U240" s="34"/>
      <c r="V240" s="34"/>
      <c r="W240" s="34"/>
    </row>
    <row r="241" spans="2:23" x14ac:dyDescent="0.3">
      <c r="B241" s="33"/>
      <c r="C241" s="34"/>
      <c r="D241" s="39"/>
      <c r="E241" s="39"/>
      <c r="F241" s="39"/>
      <c r="G241" s="34"/>
      <c r="H241" s="32"/>
      <c r="I241" s="34"/>
      <c r="J241" s="34"/>
      <c r="K241" s="35"/>
      <c r="L241" s="34"/>
      <c r="M241" s="32"/>
      <c r="N241" s="34"/>
      <c r="O241" s="34"/>
      <c r="P241" s="34"/>
      <c r="Q241" s="34"/>
      <c r="R241" s="34"/>
      <c r="S241" s="34"/>
      <c r="T241" s="34"/>
      <c r="U241" s="34"/>
      <c r="V241" s="34"/>
      <c r="W241" s="34"/>
    </row>
    <row r="242" spans="2:23" x14ac:dyDescent="0.3">
      <c r="B242" s="33"/>
      <c r="C242" s="34"/>
      <c r="D242" s="39"/>
      <c r="E242" s="39"/>
      <c r="F242" s="39"/>
      <c r="G242" s="34"/>
      <c r="H242" s="32"/>
      <c r="I242" s="34"/>
      <c r="J242" s="34"/>
      <c r="K242" s="35"/>
      <c r="L242" s="34"/>
      <c r="M242" s="32"/>
      <c r="N242" s="34"/>
      <c r="O242" s="34"/>
      <c r="P242" s="34"/>
      <c r="Q242" s="34"/>
      <c r="R242" s="34"/>
      <c r="S242" s="34"/>
      <c r="T242" s="34"/>
      <c r="U242" s="34"/>
      <c r="V242" s="34"/>
      <c r="W242" s="34"/>
    </row>
    <row r="243" spans="2:23" x14ac:dyDescent="0.3">
      <c r="B243" s="33"/>
      <c r="C243" s="34"/>
      <c r="D243" s="39"/>
      <c r="E243" s="39"/>
      <c r="F243" s="39"/>
      <c r="G243" s="34"/>
      <c r="H243" s="32"/>
      <c r="I243" s="34"/>
      <c r="J243" s="34"/>
      <c r="K243" s="35"/>
      <c r="L243" s="34"/>
      <c r="M243" s="32"/>
      <c r="N243" s="34"/>
      <c r="O243" s="34"/>
      <c r="P243" s="34"/>
      <c r="Q243" s="34"/>
      <c r="R243" s="34"/>
      <c r="S243" s="34"/>
      <c r="T243" s="34"/>
      <c r="U243" s="34"/>
      <c r="V243" s="34"/>
      <c r="W243" s="34"/>
    </row>
    <row r="244" spans="2:23" x14ac:dyDescent="0.3">
      <c r="B244" s="33"/>
      <c r="C244" s="34"/>
      <c r="D244" s="39"/>
      <c r="E244" s="39"/>
      <c r="F244" s="39"/>
      <c r="G244" s="34"/>
      <c r="H244" s="32"/>
      <c r="I244" s="34"/>
      <c r="J244" s="34"/>
      <c r="K244" s="35"/>
      <c r="L244" s="34"/>
      <c r="M244" s="32"/>
      <c r="N244" s="34"/>
      <c r="O244" s="34"/>
      <c r="P244" s="34"/>
      <c r="Q244" s="34"/>
      <c r="R244" s="34"/>
      <c r="S244" s="34"/>
      <c r="T244" s="34"/>
      <c r="U244" s="34"/>
      <c r="V244" s="34"/>
      <c r="W244" s="34"/>
    </row>
    <row r="245" spans="2:23" x14ac:dyDescent="0.3">
      <c r="B245" s="33"/>
      <c r="C245" s="34"/>
      <c r="D245" s="39"/>
      <c r="E245" s="39"/>
      <c r="F245" s="39"/>
      <c r="G245" s="34"/>
      <c r="H245" s="32"/>
      <c r="I245" s="34"/>
      <c r="J245" s="34"/>
      <c r="K245" s="35"/>
      <c r="L245" s="34"/>
      <c r="M245" s="32"/>
      <c r="N245" s="34"/>
      <c r="O245" s="34"/>
      <c r="P245" s="34"/>
      <c r="Q245" s="34"/>
      <c r="R245" s="34"/>
      <c r="S245" s="34"/>
      <c r="T245" s="34"/>
      <c r="U245" s="34"/>
      <c r="V245" s="34"/>
      <c r="W245" s="34"/>
    </row>
    <row r="246" spans="2:23" x14ac:dyDescent="0.3">
      <c r="B246" s="33"/>
      <c r="C246" s="34"/>
      <c r="D246" s="39"/>
      <c r="E246" s="39"/>
      <c r="F246" s="39"/>
      <c r="G246" s="34"/>
      <c r="H246" s="32"/>
      <c r="I246" s="34"/>
      <c r="J246" s="34"/>
      <c r="K246" s="35"/>
      <c r="L246" s="34"/>
      <c r="M246" s="32"/>
      <c r="N246" s="34"/>
      <c r="O246" s="34"/>
      <c r="P246" s="34"/>
      <c r="Q246" s="34"/>
      <c r="R246" s="34"/>
      <c r="S246" s="34"/>
      <c r="T246" s="34"/>
      <c r="U246" s="34"/>
      <c r="V246" s="34"/>
      <c r="W246" s="34"/>
    </row>
    <row r="247" spans="2:23" x14ac:dyDescent="0.3">
      <c r="B247" s="33"/>
      <c r="C247" s="34"/>
      <c r="D247" s="39"/>
      <c r="E247" s="39"/>
      <c r="F247" s="39"/>
      <c r="G247" s="34"/>
      <c r="H247" s="32"/>
      <c r="I247" s="34"/>
      <c r="J247" s="34"/>
      <c r="K247" s="35"/>
      <c r="L247" s="34"/>
      <c r="M247" s="32"/>
      <c r="N247" s="34"/>
      <c r="O247" s="34"/>
      <c r="P247" s="34"/>
      <c r="Q247" s="34"/>
      <c r="R247" s="34"/>
      <c r="S247" s="34"/>
      <c r="T247" s="34"/>
      <c r="U247" s="34"/>
      <c r="V247" s="34"/>
      <c r="W247" s="34"/>
    </row>
    <row r="248" spans="2:23" x14ac:dyDescent="0.3">
      <c r="B248" s="33"/>
      <c r="C248" s="34"/>
      <c r="D248" s="39"/>
      <c r="E248" s="39"/>
      <c r="F248" s="39"/>
      <c r="G248" s="34"/>
      <c r="H248" s="32"/>
      <c r="I248" s="34"/>
      <c r="J248" s="34"/>
      <c r="K248" s="35"/>
      <c r="L248" s="34"/>
      <c r="M248" s="32"/>
      <c r="N248" s="34"/>
      <c r="O248" s="34"/>
      <c r="P248" s="34"/>
      <c r="Q248" s="34"/>
      <c r="R248" s="34"/>
      <c r="S248" s="34"/>
      <c r="T248" s="34"/>
      <c r="U248" s="34"/>
      <c r="V248" s="34"/>
      <c r="W248" s="34"/>
    </row>
    <row r="249" spans="2:23" x14ac:dyDescent="0.3">
      <c r="B249" s="33"/>
      <c r="C249" s="34"/>
      <c r="D249" s="39"/>
      <c r="E249" s="39"/>
      <c r="F249" s="39"/>
      <c r="G249" s="34"/>
      <c r="H249" s="32"/>
      <c r="I249" s="34"/>
      <c r="J249" s="34"/>
      <c r="K249" s="35"/>
      <c r="L249" s="34"/>
      <c r="M249" s="32"/>
      <c r="N249" s="34"/>
      <c r="O249" s="34"/>
      <c r="P249" s="34"/>
      <c r="Q249" s="34"/>
      <c r="R249" s="34"/>
      <c r="S249" s="34"/>
      <c r="T249" s="34"/>
      <c r="U249" s="34"/>
      <c r="V249" s="34"/>
      <c r="W249" s="34"/>
    </row>
    <row r="250" spans="2:23" x14ac:dyDescent="0.3">
      <c r="B250" s="33"/>
      <c r="C250" s="34"/>
      <c r="D250" s="39"/>
      <c r="E250" s="39"/>
      <c r="F250" s="39"/>
      <c r="G250" s="34"/>
      <c r="H250" s="32"/>
      <c r="I250" s="34"/>
      <c r="J250" s="34"/>
      <c r="K250" s="35"/>
      <c r="L250" s="34"/>
      <c r="M250" s="32"/>
      <c r="N250" s="34"/>
      <c r="O250" s="34"/>
      <c r="P250" s="34"/>
      <c r="Q250" s="34"/>
      <c r="R250" s="34"/>
      <c r="S250" s="34"/>
      <c r="T250" s="34"/>
      <c r="U250" s="34"/>
      <c r="V250" s="34"/>
      <c r="W250" s="34"/>
    </row>
    <row r="251" spans="2:23" x14ac:dyDescent="0.3">
      <c r="B251" s="33"/>
      <c r="C251" s="34"/>
      <c r="D251" s="39"/>
      <c r="E251" s="39"/>
      <c r="F251" s="39"/>
      <c r="G251" s="34"/>
      <c r="H251" s="32"/>
      <c r="I251" s="34"/>
      <c r="J251" s="34"/>
      <c r="K251" s="35"/>
      <c r="L251" s="34"/>
      <c r="M251" s="32"/>
      <c r="N251" s="34"/>
      <c r="O251" s="34"/>
      <c r="P251" s="34"/>
      <c r="Q251" s="34"/>
      <c r="R251" s="34"/>
      <c r="S251" s="34"/>
      <c r="T251" s="34"/>
      <c r="U251" s="34"/>
      <c r="V251" s="34"/>
      <c r="W251" s="34"/>
    </row>
    <row r="252" spans="2:23" x14ac:dyDescent="0.3">
      <c r="B252" s="33"/>
      <c r="C252" s="34"/>
      <c r="D252" s="39"/>
      <c r="E252" s="39"/>
      <c r="F252" s="39"/>
      <c r="G252" s="34"/>
      <c r="H252" s="32"/>
      <c r="I252" s="34"/>
      <c r="J252" s="34"/>
      <c r="K252" s="35"/>
      <c r="L252" s="34"/>
      <c r="M252" s="32"/>
      <c r="N252" s="34"/>
      <c r="O252" s="34"/>
      <c r="P252" s="34"/>
      <c r="Q252" s="34"/>
      <c r="R252" s="34"/>
      <c r="S252" s="34"/>
      <c r="T252" s="34"/>
      <c r="U252" s="34"/>
      <c r="V252" s="34"/>
      <c r="W252" s="34"/>
    </row>
    <row r="253" spans="2:23" x14ac:dyDescent="0.3">
      <c r="B253" s="33"/>
      <c r="C253" s="34"/>
      <c r="D253" s="39"/>
      <c r="E253" s="39"/>
      <c r="F253" s="39"/>
      <c r="G253" s="34"/>
      <c r="H253" s="32"/>
      <c r="I253" s="34"/>
      <c r="J253" s="34"/>
      <c r="K253" s="35"/>
      <c r="L253" s="34"/>
      <c r="M253" s="32"/>
      <c r="N253" s="34"/>
      <c r="O253" s="34"/>
      <c r="P253" s="34"/>
      <c r="Q253" s="34"/>
      <c r="R253" s="34"/>
      <c r="S253" s="34"/>
      <c r="T253" s="34"/>
      <c r="U253" s="34"/>
      <c r="V253" s="34"/>
      <c r="W253" s="34"/>
    </row>
    <row r="254" spans="2:23" x14ac:dyDescent="0.3">
      <c r="B254" s="33"/>
      <c r="C254" s="34"/>
      <c r="D254" s="39"/>
      <c r="E254" s="39"/>
      <c r="F254" s="39"/>
      <c r="G254" s="34"/>
      <c r="H254" s="32"/>
      <c r="I254" s="34"/>
      <c r="J254" s="34"/>
      <c r="K254" s="35"/>
      <c r="L254" s="34"/>
      <c r="M254" s="32"/>
      <c r="N254" s="34"/>
      <c r="O254" s="34"/>
      <c r="P254" s="34"/>
      <c r="Q254" s="34"/>
      <c r="R254" s="34"/>
      <c r="S254" s="34"/>
      <c r="T254" s="34"/>
      <c r="U254" s="34"/>
      <c r="V254" s="34"/>
      <c r="W254" s="34"/>
    </row>
    <row r="255" spans="2:23" x14ac:dyDescent="0.3">
      <c r="B255" s="33"/>
      <c r="C255" s="34"/>
      <c r="D255" s="39"/>
      <c r="E255" s="39"/>
      <c r="F255" s="39"/>
      <c r="G255" s="34"/>
      <c r="H255" s="32"/>
      <c r="I255" s="34"/>
      <c r="J255" s="34"/>
      <c r="K255" s="35"/>
      <c r="L255" s="34"/>
      <c r="M255" s="32"/>
      <c r="N255" s="34"/>
      <c r="O255" s="34"/>
      <c r="P255" s="34"/>
      <c r="Q255" s="34"/>
      <c r="R255" s="34"/>
      <c r="S255" s="34"/>
      <c r="T255" s="34"/>
      <c r="U255" s="34"/>
      <c r="V255" s="34"/>
      <c r="W255" s="34"/>
    </row>
    <row r="256" spans="2:23" x14ac:dyDescent="0.3">
      <c r="B256" s="33"/>
      <c r="C256" s="34"/>
      <c r="D256" s="39"/>
      <c r="E256" s="39"/>
      <c r="F256" s="39"/>
      <c r="G256" s="34"/>
      <c r="H256" s="32"/>
      <c r="I256" s="34"/>
      <c r="J256" s="34"/>
      <c r="K256" s="35"/>
      <c r="L256" s="34"/>
      <c r="M256" s="32"/>
      <c r="N256" s="34"/>
      <c r="O256" s="34"/>
      <c r="P256" s="34"/>
      <c r="Q256" s="34"/>
      <c r="R256" s="34"/>
      <c r="S256" s="34"/>
      <c r="T256" s="34"/>
      <c r="U256" s="34"/>
      <c r="V256" s="34"/>
      <c r="W256" s="34"/>
    </row>
    <row r="257" spans="2:23" x14ac:dyDescent="0.3">
      <c r="B257" s="33"/>
      <c r="C257" s="34"/>
      <c r="D257" s="39"/>
      <c r="E257" s="39"/>
      <c r="F257" s="39"/>
      <c r="G257" s="34"/>
      <c r="H257" s="32"/>
      <c r="I257" s="34"/>
      <c r="J257" s="34"/>
      <c r="K257" s="35"/>
      <c r="L257" s="34"/>
      <c r="M257" s="32"/>
      <c r="N257" s="34"/>
      <c r="O257" s="34"/>
      <c r="P257" s="34"/>
      <c r="Q257" s="34"/>
      <c r="R257" s="34"/>
      <c r="S257" s="34"/>
      <c r="T257" s="34"/>
      <c r="U257" s="34"/>
      <c r="V257" s="34"/>
      <c r="W257" s="34"/>
    </row>
    <row r="258" spans="2:23" x14ac:dyDescent="0.3">
      <c r="B258" s="33"/>
      <c r="C258" s="34"/>
      <c r="D258" s="39"/>
      <c r="E258" s="39"/>
      <c r="F258" s="39"/>
      <c r="G258" s="34"/>
      <c r="H258" s="32"/>
      <c r="I258" s="34"/>
      <c r="J258" s="34"/>
      <c r="K258" s="35"/>
      <c r="L258" s="34"/>
      <c r="M258" s="32"/>
      <c r="N258" s="34"/>
      <c r="O258" s="34"/>
      <c r="P258" s="34"/>
      <c r="Q258" s="34"/>
      <c r="R258" s="34"/>
      <c r="S258" s="34"/>
      <c r="T258" s="34"/>
      <c r="U258" s="34"/>
      <c r="V258" s="34"/>
      <c r="W258" s="34"/>
    </row>
    <row r="259" spans="2:23" x14ac:dyDescent="0.3">
      <c r="B259" s="33"/>
      <c r="C259" s="34"/>
      <c r="D259" s="39"/>
      <c r="E259" s="39"/>
      <c r="F259" s="39"/>
      <c r="G259" s="34"/>
      <c r="H259" s="32"/>
      <c r="I259" s="34"/>
      <c r="J259" s="34"/>
      <c r="K259" s="35"/>
      <c r="L259" s="34"/>
      <c r="M259" s="32"/>
      <c r="N259" s="34"/>
      <c r="O259" s="34"/>
      <c r="P259" s="34"/>
      <c r="Q259" s="34"/>
      <c r="R259" s="34"/>
      <c r="S259" s="34"/>
      <c r="T259" s="34"/>
      <c r="U259" s="34"/>
      <c r="V259" s="34"/>
      <c r="W259" s="34"/>
    </row>
    <row r="260" spans="2:23" x14ac:dyDescent="0.3">
      <c r="B260" s="33"/>
      <c r="C260" s="34"/>
      <c r="D260" s="39"/>
      <c r="E260" s="39"/>
      <c r="F260" s="39"/>
      <c r="G260" s="34"/>
      <c r="H260" s="32"/>
      <c r="I260" s="34"/>
      <c r="J260" s="34"/>
      <c r="K260" s="35"/>
      <c r="L260" s="34"/>
      <c r="M260" s="32"/>
      <c r="N260" s="34"/>
      <c r="O260" s="34"/>
      <c r="P260" s="34"/>
      <c r="Q260" s="34"/>
      <c r="R260" s="34"/>
      <c r="S260" s="34"/>
      <c r="T260" s="34"/>
      <c r="U260" s="34"/>
      <c r="V260" s="34"/>
      <c r="W260" s="34"/>
    </row>
    <row r="261" spans="2:23" x14ac:dyDescent="0.3">
      <c r="B261" s="33"/>
      <c r="C261" s="34"/>
      <c r="D261" s="39"/>
      <c r="E261" s="39"/>
      <c r="F261" s="39"/>
      <c r="G261" s="34"/>
      <c r="H261" s="32"/>
      <c r="I261" s="34"/>
      <c r="J261" s="34"/>
      <c r="K261" s="35"/>
      <c r="L261" s="34"/>
      <c r="M261" s="32"/>
      <c r="N261" s="34"/>
      <c r="O261" s="34"/>
      <c r="P261" s="34"/>
      <c r="Q261" s="34"/>
      <c r="R261" s="34"/>
      <c r="S261" s="34"/>
      <c r="T261" s="34"/>
      <c r="U261" s="34"/>
      <c r="V261" s="34"/>
      <c r="W261" s="34"/>
    </row>
    <row r="262" spans="2:23" x14ac:dyDescent="0.3">
      <c r="B262" s="33"/>
      <c r="C262" s="34"/>
      <c r="D262" s="39"/>
      <c r="E262" s="39"/>
      <c r="F262" s="39"/>
      <c r="G262" s="34"/>
      <c r="H262" s="34"/>
      <c r="I262" s="34"/>
      <c r="J262" s="34"/>
      <c r="K262" s="35"/>
      <c r="L262" s="34"/>
      <c r="M262" s="32"/>
      <c r="N262" s="34"/>
      <c r="O262" s="34"/>
      <c r="P262" s="34"/>
      <c r="Q262" s="34"/>
      <c r="R262" s="34"/>
      <c r="S262" s="34"/>
      <c r="T262" s="34"/>
      <c r="U262" s="34"/>
      <c r="V262" s="34"/>
      <c r="W262" s="34"/>
    </row>
    <row r="263" spans="2:23" x14ac:dyDescent="0.3">
      <c r="B263" s="33"/>
      <c r="C263" s="34"/>
      <c r="D263" s="39"/>
      <c r="E263" s="39"/>
      <c r="F263" s="39"/>
      <c r="G263" s="34"/>
      <c r="H263" s="34"/>
      <c r="I263" s="34"/>
      <c r="J263" s="34"/>
      <c r="K263" s="35"/>
      <c r="L263" s="34"/>
      <c r="M263" s="32"/>
      <c r="N263" s="34"/>
      <c r="O263" s="34"/>
      <c r="P263" s="34"/>
      <c r="Q263" s="34"/>
      <c r="R263" s="34"/>
      <c r="S263" s="34"/>
      <c r="T263" s="34"/>
      <c r="U263" s="34"/>
      <c r="V263" s="34"/>
      <c r="W263" s="34"/>
    </row>
    <row r="264" spans="2:23" x14ac:dyDescent="0.3">
      <c r="B264" s="33"/>
      <c r="C264" s="34"/>
      <c r="D264" s="39"/>
      <c r="E264" s="39"/>
      <c r="F264" s="39"/>
      <c r="G264" s="34"/>
      <c r="H264" s="34"/>
      <c r="I264" s="34"/>
      <c r="J264" s="34"/>
      <c r="K264" s="35"/>
      <c r="L264" s="34"/>
      <c r="M264" s="32"/>
      <c r="N264" s="34"/>
      <c r="O264" s="34"/>
      <c r="P264" s="34"/>
      <c r="Q264" s="34"/>
      <c r="R264" s="34"/>
      <c r="S264" s="34"/>
      <c r="T264" s="34"/>
      <c r="U264" s="34"/>
      <c r="V264" s="34"/>
      <c r="W264" s="34"/>
    </row>
    <row r="265" spans="2:23" x14ac:dyDescent="0.3">
      <c r="B265" s="33"/>
      <c r="C265" s="34"/>
      <c r="D265" s="39"/>
      <c r="E265" s="39"/>
      <c r="F265" s="39"/>
      <c r="G265" s="34"/>
      <c r="H265" s="34"/>
      <c r="I265" s="34"/>
      <c r="J265" s="34"/>
      <c r="K265" s="35"/>
      <c r="L265" s="34"/>
      <c r="M265" s="32"/>
      <c r="N265" s="34"/>
      <c r="O265" s="34"/>
      <c r="P265" s="34"/>
      <c r="Q265" s="34"/>
      <c r="R265" s="34"/>
      <c r="S265" s="34"/>
      <c r="T265" s="34"/>
      <c r="U265" s="34"/>
      <c r="V265" s="34"/>
      <c r="W265" s="34"/>
    </row>
    <row r="266" spans="2:23" x14ac:dyDescent="0.3">
      <c r="B266" s="33"/>
      <c r="C266" s="34"/>
      <c r="D266" s="39"/>
      <c r="E266" s="39"/>
      <c r="F266" s="39"/>
      <c r="G266" s="34"/>
      <c r="H266" s="34"/>
      <c r="I266" s="34"/>
      <c r="J266" s="34"/>
      <c r="K266" s="35"/>
      <c r="L266" s="34"/>
      <c r="M266" s="32"/>
      <c r="N266" s="34"/>
      <c r="O266" s="34"/>
      <c r="P266" s="34"/>
      <c r="Q266" s="34"/>
      <c r="R266" s="34"/>
      <c r="S266" s="34"/>
      <c r="T266" s="34"/>
      <c r="U266" s="34"/>
      <c r="V266" s="34"/>
      <c r="W266" s="34"/>
    </row>
    <row r="267" spans="2:23" x14ac:dyDescent="0.3">
      <c r="B267" s="33"/>
      <c r="C267" s="34"/>
      <c r="D267" s="39"/>
      <c r="E267" s="39"/>
      <c r="F267" s="39"/>
      <c r="G267" s="34"/>
      <c r="H267" s="34"/>
      <c r="I267" s="34"/>
      <c r="J267" s="34"/>
      <c r="K267" s="35"/>
      <c r="L267" s="34"/>
      <c r="M267" s="32"/>
      <c r="N267" s="34"/>
      <c r="O267" s="34"/>
      <c r="P267" s="34"/>
      <c r="Q267" s="34"/>
      <c r="R267" s="34"/>
      <c r="S267" s="34"/>
      <c r="T267" s="34"/>
      <c r="U267" s="34"/>
      <c r="V267" s="34"/>
      <c r="W267" s="34"/>
    </row>
    <row r="268" spans="2:23" x14ac:dyDescent="0.3">
      <c r="B268" s="33"/>
      <c r="C268" s="34"/>
      <c r="D268" s="39"/>
      <c r="E268" s="39"/>
      <c r="F268" s="39"/>
      <c r="G268" s="34"/>
      <c r="H268" s="34"/>
      <c r="I268" s="34"/>
      <c r="J268" s="34"/>
      <c r="K268" s="35"/>
      <c r="L268" s="34"/>
      <c r="M268" s="32"/>
      <c r="N268" s="34"/>
      <c r="O268" s="34"/>
      <c r="P268" s="34"/>
      <c r="Q268" s="34"/>
      <c r="R268" s="34"/>
      <c r="S268" s="34"/>
      <c r="T268" s="34"/>
      <c r="U268" s="34"/>
      <c r="V268" s="34"/>
      <c r="W268" s="34"/>
    </row>
    <row r="269" spans="2:23" x14ac:dyDescent="0.3">
      <c r="B269" s="33"/>
      <c r="C269" s="34"/>
      <c r="D269" s="39"/>
      <c r="E269" s="39"/>
      <c r="F269" s="39"/>
      <c r="G269" s="34"/>
      <c r="H269" s="34"/>
      <c r="I269" s="34"/>
      <c r="J269" s="34"/>
      <c r="K269" s="35"/>
      <c r="L269" s="34"/>
      <c r="M269" s="32"/>
      <c r="N269" s="34"/>
      <c r="O269" s="34"/>
      <c r="P269" s="34"/>
      <c r="Q269" s="34"/>
      <c r="R269" s="34"/>
      <c r="S269" s="34"/>
      <c r="T269" s="34"/>
      <c r="U269" s="34"/>
      <c r="V269" s="34"/>
      <c r="W269" s="34"/>
    </row>
    <row r="270" spans="2:23" x14ac:dyDescent="0.3">
      <c r="B270" s="33"/>
      <c r="C270" s="34"/>
      <c r="D270" s="39"/>
      <c r="E270" s="39"/>
      <c r="F270" s="39"/>
      <c r="G270" s="34"/>
      <c r="H270" s="34"/>
      <c r="I270" s="34"/>
      <c r="J270" s="34"/>
      <c r="K270" s="35"/>
      <c r="L270" s="34"/>
      <c r="M270" s="32"/>
      <c r="N270" s="34"/>
      <c r="O270" s="34"/>
      <c r="P270" s="34"/>
      <c r="Q270" s="34"/>
      <c r="R270" s="34"/>
      <c r="S270" s="34"/>
      <c r="T270" s="34"/>
      <c r="U270" s="34"/>
      <c r="V270" s="34"/>
      <c r="W270" s="34"/>
    </row>
    <row r="271" spans="2:23" x14ac:dyDescent="0.3">
      <c r="B271" s="33"/>
      <c r="C271" s="34"/>
      <c r="D271" s="39"/>
      <c r="E271" s="39"/>
      <c r="F271" s="39"/>
      <c r="G271" s="34"/>
      <c r="H271" s="34"/>
      <c r="I271" s="34"/>
      <c r="J271" s="34"/>
      <c r="K271" s="35"/>
      <c r="L271" s="34"/>
      <c r="M271" s="32"/>
      <c r="N271" s="34"/>
      <c r="O271" s="34"/>
      <c r="P271" s="34"/>
      <c r="Q271" s="34"/>
      <c r="R271" s="34"/>
      <c r="S271" s="34"/>
      <c r="T271" s="34"/>
      <c r="U271" s="34"/>
      <c r="V271" s="34"/>
      <c r="W271" s="34"/>
    </row>
    <row r="272" spans="2:23" x14ac:dyDescent="0.3">
      <c r="B272" s="33"/>
      <c r="C272" s="34"/>
      <c r="D272" s="39"/>
      <c r="E272" s="39"/>
      <c r="F272" s="39"/>
      <c r="G272" s="34"/>
      <c r="H272" s="34"/>
      <c r="I272" s="34"/>
      <c r="J272" s="34"/>
      <c r="K272" s="35"/>
      <c r="L272" s="34"/>
      <c r="M272" s="32"/>
      <c r="N272" s="34"/>
      <c r="O272" s="34"/>
      <c r="P272" s="34"/>
      <c r="Q272" s="34"/>
      <c r="R272" s="34"/>
      <c r="S272" s="34"/>
      <c r="T272" s="34"/>
      <c r="U272" s="34"/>
      <c r="V272" s="34"/>
      <c r="W272" s="34"/>
    </row>
    <row r="273" spans="2:23" x14ac:dyDescent="0.3">
      <c r="B273" s="33"/>
      <c r="C273" s="34"/>
      <c r="D273" s="39"/>
      <c r="E273" s="39"/>
      <c r="F273" s="39"/>
      <c r="G273" s="34"/>
      <c r="H273" s="34"/>
      <c r="I273" s="34"/>
      <c r="J273" s="34"/>
      <c r="K273" s="35"/>
      <c r="L273" s="34"/>
      <c r="M273" s="32"/>
      <c r="N273" s="34"/>
      <c r="O273" s="34"/>
      <c r="P273" s="34"/>
      <c r="Q273" s="34"/>
      <c r="R273" s="34"/>
      <c r="S273" s="34"/>
      <c r="T273" s="34"/>
      <c r="U273" s="34"/>
      <c r="V273" s="34"/>
      <c r="W273" s="34"/>
    </row>
    <row r="274" spans="2:23" x14ac:dyDescent="0.3">
      <c r="B274" s="33"/>
      <c r="C274" s="34"/>
      <c r="D274" s="39"/>
      <c r="E274" s="39"/>
      <c r="F274" s="39"/>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2"/>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2"/>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2"/>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2"/>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2"/>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2"/>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2"/>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2"/>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2"/>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2"/>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2"/>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2"/>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2"/>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2"/>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2"/>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2"/>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2"/>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2"/>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2"/>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2"/>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2"/>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2"/>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2"/>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2"/>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2"/>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2"/>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2"/>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2"/>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2"/>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2"/>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2"/>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2"/>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2"/>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2"/>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2"/>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2"/>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2"/>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2"/>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2"/>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2"/>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2"/>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2"/>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2"/>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2"/>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2"/>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2"/>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2"/>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2"/>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2"/>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2"/>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2"/>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2"/>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2"/>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2"/>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2"/>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2"/>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2"/>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2"/>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2"/>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2"/>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2"/>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2"/>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2"/>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2"/>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2"/>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2"/>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2"/>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2"/>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2"/>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2"/>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B779" s="33"/>
      <c r="C779" s="34"/>
      <c r="D779" s="34"/>
      <c r="E779" s="34"/>
      <c r="F779" s="34"/>
      <c r="G779" s="34"/>
      <c r="H779" s="34"/>
      <c r="I779" s="34"/>
      <c r="J779" s="34"/>
      <c r="K779" s="35"/>
      <c r="L779" s="34"/>
      <c r="M779" s="34"/>
      <c r="N779" s="34"/>
      <c r="O779" s="34"/>
      <c r="P779" s="34"/>
      <c r="Q779" s="34"/>
      <c r="R779" s="34"/>
      <c r="S779" s="34"/>
      <c r="T779" s="34"/>
      <c r="U779" s="34"/>
      <c r="V779" s="34"/>
      <c r="W779" s="34"/>
    </row>
    <row r="780" spans="2:23" x14ac:dyDescent="0.3">
      <c r="B780" s="33"/>
      <c r="C780" s="34"/>
      <c r="D780" s="34"/>
      <c r="E780" s="34"/>
      <c r="F780" s="34"/>
      <c r="G780" s="34"/>
      <c r="H780" s="34"/>
      <c r="I780" s="34"/>
      <c r="J780" s="34"/>
      <c r="K780" s="35"/>
      <c r="L780" s="34"/>
      <c r="M780" s="34"/>
      <c r="N780" s="34"/>
      <c r="O780" s="34"/>
      <c r="P780" s="34"/>
      <c r="Q780" s="34"/>
      <c r="R780" s="34"/>
      <c r="S780" s="34"/>
      <c r="T780" s="34"/>
      <c r="U780" s="34"/>
      <c r="V780" s="34"/>
      <c r="W780" s="34"/>
    </row>
    <row r="781" spans="2:23" x14ac:dyDescent="0.3">
      <c r="B781" s="33"/>
      <c r="C781" s="34"/>
      <c r="D781" s="34"/>
      <c r="E781" s="34"/>
      <c r="F781" s="34"/>
      <c r="G781" s="34"/>
      <c r="H781" s="34"/>
      <c r="I781" s="34"/>
      <c r="J781" s="34"/>
      <c r="K781" s="35"/>
      <c r="L781" s="34"/>
      <c r="M781" s="34"/>
      <c r="N781" s="34"/>
      <c r="O781" s="34"/>
      <c r="P781" s="34"/>
      <c r="Q781" s="34"/>
      <c r="R781" s="34"/>
      <c r="S781" s="34"/>
      <c r="T781" s="34"/>
      <c r="U781" s="34"/>
      <c r="V781" s="34"/>
      <c r="W781" s="34"/>
    </row>
    <row r="782" spans="2:23" x14ac:dyDescent="0.3">
      <c r="B782" s="33"/>
      <c r="C782" s="34"/>
      <c r="D782" s="34"/>
      <c r="E782" s="34"/>
      <c r="F782" s="34"/>
      <c r="G782" s="34"/>
      <c r="H782" s="34"/>
      <c r="I782" s="34"/>
      <c r="J782" s="34"/>
      <c r="K782" s="35"/>
      <c r="L782" s="34"/>
      <c r="M782" s="34"/>
      <c r="N782" s="34"/>
      <c r="O782" s="34"/>
      <c r="P782" s="34"/>
      <c r="Q782" s="34"/>
      <c r="R782" s="34"/>
      <c r="S782" s="34"/>
      <c r="T782" s="34"/>
      <c r="U782" s="34"/>
      <c r="V782" s="34"/>
      <c r="W782" s="34"/>
    </row>
    <row r="783" spans="2:23" x14ac:dyDescent="0.3">
      <c r="B783" s="33"/>
      <c r="C783" s="34"/>
      <c r="D783" s="34"/>
      <c r="E783" s="34"/>
      <c r="F783" s="34"/>
      <c r="G783" s="34"/>
      <c r="H783" s="34"/>
      <c r="I783" s="34"/>
      <c r="J783" s="34"/>
      <c r="K783" s="35"/>
      <c r="L783" s="34"/>
      <c r="M783" s="34"/>
      <c r="N783" s="34"/>
      <c r="O783" s="34"/>
      <c r="P783" s="34"/>
      <c r="Q783" s="34"/>
      <c r="R783" s="34"/>
      <c r="S783" s="34"/>
      <c r="T783" s="34"/>
      <c r="U783" s="34"/>
      <c r="V783" s="34"/>
      <c r="W783" s="34"/>
    </row>
    <row r="784" spans="2:23" x14ac:dyDescent="0.3">
      <c r="B784" s="33"/>
      <c r="C784" s="34"/>
      <c r="D784" s="34"/>
      <c r="E784" s="34"/>
      <c r="F784" s="34"/>
      <c r="G784" s="34"/>
      <c r="H784" s="34"/>
      <c r="I784" s="34"/>
      <c r="J784" s="34"/>
      <c r="K784" s="35"/>
      <c r="L784" s="34"/>
      <c r="M784" s="34"/>
      <c r="N784" s="34"/>
      <c r="O784" s="34"/>
      <c r="P784" s="34"/>
      <c r="Q784" s="34"/>
      <c r="R784" s="34"/>
      <c r="S784" s="34"/>
      <c r="T784" s="34"/>
      <c r="U784" s="34"/>
      <c r="V784" s="34"/>
      <c r="W784" s="34"/>
    </row>
    <row r="785" spans="2:23" x14ac:dyDescent="0.3">
      <c r="B785" s="33"/>
      <c r="C785" s="34"/>
      <c r="D785" s="34"/>
      <c r="E785" s="34"/>
      <c r="F785" s="34"/>
      <c r="G785" s="34"/>
      <c r="H785" s="34"/>
      <c r="I785" s="34"/>
      <c r="J785" s="34"/>
      <c r="K785" s="35"/>
      <c r="L785" s="34"/>
      <c r="M785" s="34"/>
      <c r="N785" s="34"/>
      <c r="O785" s="34"/>
      <c r="P785" s="34"/>
      <c r="Q785" s="34"/>
      <c r="R785" s="34"/>
      <c r="S785" s="34"/>
      <c r="T785" s="34"/>
      <c r="U785" s="34"/>
      <c r="V785" s="34"/>
      <c r="W785" s="34"/>
    </row>
    <row r="786" spans="2:23" x14ac:dyDescent="0.3">
      <c r="B786" s="33"/>
      <c r="C786" s="34"/>
      <c r="D786" s="34"/>
      <c r="E786" s="34"/>
      <c r="F786" s="34"/>
      <c r="G786" s="34"/>
      <c r="H786" s="34"/>
      <c r="I786" s="34"/>
      <c r="J786" s="34"/>
      <c r="K786" s="35"/>
      <c r="L786" s="34"/>
      <c r="M786" s="34"/>
      <c r="N786" s="34"/>
      <c r="O786" s="34"/>
      <c r="P786" s="34"/>
      <c r="Q786" s="34"/>
      <c r="R786" s="34"/>
      <c r="S786" s="34"/>
      <c r="T786" s="34"/>
      <c r="U786" s="34"/>
      <c r="V786" s="34"/>
      <c r="W786" s="34"/>
    </row>
    <row r="787" spans="2:23" x14ac:dyDescent="0.3">
      <c r="B787" s="33"/>
      <c r="C787" s="34"/>
      <c r="D787" s="34"/>
      <c r="E787" s="34"/>
      <c r="F787" s="34"/>
      <c r="G787" s="34"/>
      <c r="H787" s="34"/>
      <c r="I787" s="34"/>
      <c r="J787" s="34"/>
      <c r="K787" s="35"/>
      <c r="L787" s="34"/>
      <c r="M787" s="34"/>
      <c r="N787" s="34"/>
      <c r="O787" s="34"/>
      <c r="P787" s="34"/>
      <c r="Q787" s="34"/>
      <c r="R787" s="34"/>
      <c r="S787" s="34"/>
      <c r="T787" s="34"/>
      <c r="U787" s="34"/>
      <c r="V787" s="34"/>
      <c r="W787" s="34"/>
    </row>
    <row r="788" spans="2:23" x14ac:dyDescent="0.3">
      <c r="B788" s="33"/>
      <c r="C788" s="34"/>
      <c r="D788" s="34"/>
      <c r="E788" s="34"/>
      <c r="F788" s="34"/>
      <c r="G788" s="34"/>
      <c r="H788" s="34"/>
      <c r="I788" s="34"/>
      <c r="J788" s="34"/>
      <c r="K788" s="35"/>
      <c r="L788" s="34"/>
      <c r="M788" s="34"/>
      <c r="N788" s="34"/>
      <c r="O788" s="34"/>
      <c r="P788" s="34"/>
      <c r="Q788" s="34"/>
      <c r="R788" s="34"/>
      <c r="S788" s="34"/>
      <c r="T788" s="34"/>
      <c r="U788" s="34"/>
      <c r="V788" s="34"/>
      <c r="W788" s="34"/>
    </row>
    <row r="789" spans="2:23" x14ac:dyDescent="0.3">
      <c r="B789" s="33"/>
      <c r="C789" s="34"/>
      <c r="D789" s="34"/>
      <c r="E789" s="34"/>
      <c r="F789" s="34"/>
      <c r="G789" s="34"/>
      <c r="H789" s="34"/>
      <c r="I789" s="34"/>
      <c r="J789" s="34"/>
      <c r="K789" s="35"/>
      <c r="L789" s="34"/>
      <c r="M789" s="34"/>
      <c r="N789" s="34"/>
      <c r="O789" s="34"/>
      <c r="P789" s="34"/>
      <c r="Q789" s="34"/>
      <c r="R789" s="34"/>
      <c r="S789" s="34"/>
      <c r="T789" s="34"/>
      <c r="U789" s="34"/>
      <c r="V789" s="34"/>
      <c r="W789" s="34"/>
    </row>
    <row r="790" spans="2:23" x14ac:dyDescent="0.3">
      <c r="B790" s="33"/>
      <c r="C790" s="34"/>
      <c r="D790" s="34"/>
      <c r="E790" s="34"/>
      <c r="F790" s="34"/>
      <c r="G790" s="34"/>
      <c r="H790" s="34"/>
      <c r="I790" s="34"/>
      <c r="J790" s="34"/>
      <c r="K790" s="35"/>
      <c r="L790" s="34"/>
      <c r="M790" s="34"/>
      <c r="N790" s="34"/>
      <c r="O790" s="34"/>
      <c r="P790" s="34"/>
      <c r="Q790" s="34"/>
      <c r="R790" s="34"/>
      <c r="S790" s="34"/>
      <c r="T790" s="34"/>
      <c r="U790" s="34"/>
      <c r="V790" s="34"/>
      <c r="W790" s="34"/>
    </row>
    <row r="791" spans="2:23" x14ac:dyDescent="0.3">
      <c r="B791" s="33"/>
      <c r="C791" s="34"/>
      <c r="D791" s="34"/>
      <c r="E791" s="34"/>
      <c r="F791" s="34"/>
      <c r="G791" s="34"/>
      <c r="H791" s="34"/>
      <c r="I791" s="34"/>
      <c r="J791" s="34"/>
      <c r="K791" s="35"/>
      <c r="L791" s="34"/>
      <c r="M791" s="34"/>
      <c r="N791" s="34"/>
      <c r="O791" s="34"/>
      <c r="P791" s="34"/>
      <c r="Q791" s="34"/>
      <c r="R791" s="34"/>
      <c r="S791" s="34"/>
      <c r="T791" s="34"/>
      <c r="U791" s="34"/>
      <c r="V791" s="34"/>
      <c r="W791" s="34"/>
    </row>
    <row r="792" spans="2:23" x14ac:dyDescent="0.3">
      <c r="B792" s="33"/>
      <c r="C792" s="34"/>
      <c r="D792" s="34"/>
      <c r="E792" s="34"/>
      <c r="F792" s="34"/>
      <c r="G792" s="34"/>
      <c r="H792" s="34"/>
      <c r="I792" s="34"/>
      <c r="J792" s="34"/>
      <c r="K792" s="35"/>
      <c r="L792" s="34"/>
      <c r="M792" s="34"/>
      <c r="N792" s="34"/>
      <c r="O792" s="34"/>
      <c r="P792" s="34"/>
      <c r="Q792" s="34"/>
      <c r="R792" s="34"/>
      <c r="S792" s="34"/>
      <c r="T792" s="34"/>
      <c r="U792" s="34"/>
      <c r="V792" s="34"/>
      <c r="W792" s="34"/>
    </row>
    <row r="793" spans="2:23" x14ac:dyDescent="0.3">
      <c r="B793" s="33"/>
      <c r="C793" s="34"/>
      <c r="D793" s="34"/>
      <c r="E793" s="34"/>
      <c r="F793" s="34"/>
      <c r="G793" s="34"/>
      <c r="H793" s="34"/>
      <c r="I793" s="34"/>
      <c r="J793" s="34"/>
      <c r="K793" s="35"/>
      <c r="L793" s="34"/>
      <c r="M793" s="34"/>
      <c r="N793" s="34"/>
      <c r="O793" s="34"/>
      <c r="P793" s="34"/>
      <c r="Q793" s="34"/>
      <c r="R793" s="34"/>
      <c r="S793" s="34"/>
      <c r="T793" s="34"/>
      <c r="U793" s="34"/>
      <c r="V793" s="34"/>
      <c r="W793" s="34"/>
    </row>
    <row r="794" spans="2:23" x14ac:dyDescent="0.3">
      <c r="B794" s="33"/>
      <c r="C794" s="34"/>
      <c r="D794" s="34"/>
      <c r="E794" s="34"/>
      <c r="F794" s="34"/>
      <c r="G794" s="34"/>
      <c r="H794" s="34"/>
      <c r="I794" s="34"/>
      <c r="J794" s="34"/>
      <c r="K794" s="35"/>
      <c r="L794" s="34"/>
      <c r="M794" s="34"/>
      <c r="N794" s="34"/>
      <c r="O794" s="34"/>
      <c r="P794" s="34"/>
      <c r="Q794" s="34"/>
      <c r="R794" s="34"/>
      <c r="S794" s="34"/>
      <c r="T794" s="34"/>
      <c r="U794" s="34"/>
      <c r="V794" s="34"/>
      <c r="W794" s="34"/>
    </row>
    <row r="795" spans="2:23" x14ac:dyDescent="0.3">
      <c r="B795" s="33"/>
      <c r="C795" s="34"/>
      <c r="D795" s="34"/>
      <c r="E795" s="34"/>
      <c r="F795" s="34"/>
      <c r="G795" s="34"/>
      <c r="H795" s="34"/>
      <c r="I795" s="34"/>
      <c r="J795" s="34"/>
      <c r="K795" s="35"/>
      <c r="L795" s="34"/>
      <c r="M795" s="34"/>
      <c r="N795" s="34"/>
      <c r="O795" s="34"/>
      <c r="P795" s="34"/>
      <c r="Q795" s="34"/>
      <c r="R795" s="34"/>
      <c r="S795" s="34"/>
      <c r="T795" s="34"/>
      <c r="U795" s="34"/>
      <c r="V795" s="34"/>
      <c r="W795" s="34"/>
    </row>
    <row r="796" spans="2:23" x14ac:dyDescent="0.3">
      <c r="B796" s="33"/>
      <c r="C796" s="34"/>
      <c r="D796" s="34"/>
      <c r="E796" s="34"/>
      <c r="F796" s="34"/>
      <c r="G796" s="34"/>
      <c r="H796" s="34"/>
      <c r="I796" s="34"/>
      <c r="J796" s="34"/>
      <c r="K796" s="35"/>
      <c r="L796" s="34"/>
      <c r="M796" s="34"/>
      <c r="N796" s="34"/>
      <c r="O796" s="34"/>
      <c r="P796" s="34"/>
      <c r="Q796" s="34"/>
      <c r="R796" s="34"/>
      <c r="S796" s="34"/>
      <c r="T796" s="34"/>
      <c r="U796" s="34"/>
      <c r="V796" s="34"/>
      <c r="W796" s="34"/>
    </row>
    <row r="797" spans="2:23" x14ac:dyDescent="0.3">
      <c r="B797" s="33"/>
      <c r="C797" s="34"/>
      <c r="D797" s="34"/>
      <c r="E797" s="34"/>
      <c r="F797" s="34"/>
      <c r="G797" s="34"/>
      <c r="H797" s="34"/>
      <c r="I797" s="34"/>
      <c r="J797" s="34"/>
      <c r="K797" s="35"/>
      <c r="L797" s="34"/>
      <c r="M797" s="34"/>
      <c r="N797" s="34"/>
      <c r="O797" s="34"/>
      <c r="P797" s="34"/>
      <c r="Q797" s="34"/>
      <c r="R797" s="34"/>
      <c r="S797" s="34"/>
      <c r="T797" s="34"/>
      <c r="U797" s="34"/>
      <c r="V797" s="34"/>
      <c r="W797" s="34"/>
    </row>
    <row r="798" spans="2:23" x14ac:dyDescent="0.3">
      <c r="B798" s="33"/>
      <c r="C798" s="34"/>
      <c r="D798" s="34"/>
      <c r="E798" s="34"/>
      <c r="F798" s="34"/>
      <c r="G798" s="34"/>
      <c r="H798" s="34"/>
      <c r="I798" s="34"/>
      <c r="J798" s="34"/>
      <c r="K798" s="35"/>
      <c r="L798" s="34"/>
      <c r="M798" s="34"/>
      <c r="N798" s="34"/>
      <c r="O798" s="34"/>
      <c r="P798" s="34"/>
      <c r="Q798" s="34"/>
      <c r="R798" s="34"/>
      <c r="S798" s="34"/>
      <c r="T798" s="34"/>
      <c r="U798" s="34"/>
      <c r="V798" s="34"/>
      <c r="W798" s="34"/>
    </row>
    <row r="799" spans="2:23" x14ac:dyDescent="0.3">
      <c r="B799" s="33"/>
      <c r="C799" s="34"/>
      <c r="D799" s="34"/>
      <c r="E799" s="34"/>
      <c r="F799" s="34"/>
      <c r="G799" s="34"/>
      <c r="H799" s="34"/>
      <c r="I799" s="34"/>
      <c r="J799" s="34"/>
      <c r="K799" s="35"/>
      <c r="L799" s="34"/>
      <c r="M799" s="34"/>
      <c r="N799" s="34"/>
      <c r="O799" s="34"/>
      <c r="P799" s="34"/>
      <c r="Q799" s="34"/>
      <c r="R799" s="34"/>
      <c r="S799" s="34"/>
      <c r="T799" s="34"/>
      <c r="U799" s="34"/>
      <c r="V799" s="34"/>
      <c r="W799" s="34"/>
    </row>
    <row r="800" spans="2:23" x14ac:dyDescent="0.3">
      <c r="B800" s="33"/>
      <c r="C800" s="34"/>
      <c r="D800" s="34"/>
      <c r="E800" s="34"/>
      <c r="F800" s="34"/>
      <c r="G800" s="34"/>
      <c r="H800" s="34"/>
      <c r="I800" s="34"/>
      <c r="J800" s="34"/>
      <c r="K800" s="35"/>
      <c r="L800" s="34"/>
      <c r="M800" s="34"/>
      <c r="N800" s="34"/>
      <c r="O800" s="34"/>
      <c r="P800" s="34"/>
      <c r="Q800" s="34"/>
      <c r="R800" s="34"/>
      <c r="S800" s="34"/>
      <c r="T800" s="34"/>
      <c r="U800" s="34"/>
      <c r="V800" s="34"/>
      <c r="W800" s="34"/>
    </row>
    <row r="801" spans="2:23" x14ac:dyDescent="0.3">
      <c r="B801" s="33"/>
      <c r="C801" s="34"/>
      <c r="D801" s="34"/>
      <c r="E801" s="34"/>
      <c r="F801" s="34"/>
      <c r="G801" s="34"/>
      <c r="H801" s="34"/>
      <c r="I801" s="34"/>
      <c r="J801" s="34"/>
      <c r="K801" s="35"/>
      <c r="L801" s="34"/>
      <c r="M801" s="34"/>
      <c r="N801" s="34"/>
      <c r="O801" s="34"/>
      <c r="P801" s="34"/>
      <c r="Q801" s="34"/>
      <c r="R801" s="34"/>
      <c r="S801" s="34"/>
      <c r="T801" s="34"/>
      <c r="U801" s="34"/>
      <c r="V801" s="34"/>
      <c r="W801" s="34"/>
    </row>
    <row r="802" spans="2:23" x14ac:dyDescent="0.3">
      <c r="B802" s="33"/>
      <c r="C802" s="34"/>
      <c r="D802" s="34"/>
      <c r="E802" s="34"/>
      <c r="F802" s="34"/>
      <c r="G802" s="34"/>
      <c r="H802" s="34"/>
      <c r="I802" s="34"/>
      <c r="J802" s="34"/>
      <c r="K802" s="35"/>
      <c r="L802" s="34"/>
      <c r="M802" s="34"/>
      <c r="N802" s="34"/>
      <c r="O802" s="34"/>
      <c r="P802" s="34"/>
      <c r="Q802" s="34"/>
      <c r="R802" s="34"/>
      <c r="S802" s="34"/>
      <c r="T802" s="34"/>
      <c r="U802" s="34"/>
      <c r="V802" s="34"/>
      <c r="W802" s="34"/>
    </row>
    <row r="803" spans="2:23" x14ac:dyDescent="0.3">
      <c r="B803" s="33"/>
      <c r="C803" s="34"/>
      <c r="D803" s="34"/>
      <c r="E803" s="34"/>
      <c r="F803" s="34"/>
      <c r="G803" s="34"/>
      <c r="H803" s="34"/>
      <c r="I803" s="34"/>
      <c r="J803" s="34"/>
      <c r="K803" s="35"/>
      <c r="L803" s="34"/>
      <c r="M803" s="34"/>
      <c r="N803" s="34"/>
      <c r="O803" s="34"/>
      <c r="P803" s="34"/>
      <c r="Q803" s="34"/>
      <c r="R803" s="34"/>
      <c r="S803" s="34"/>
      <c r="T803" s="34"/>
      <c r="U803" s="34"/>
      <c r="V803" s="34"/>
      <c r="W803" s="34"/>
    </row>
    <row r="804" spans="2:23" x14ac:dyDescent="0.3">
      <c r="B804" s="33"/>
      <c r="C804" s="34"/>
      <c r="D804" s="34"/>
      <c r="E804" s="34"/>
      <c r="F804" s="34"/>
      <c r="G804" s="34"/>
      <c r="H804" s="34"/>
      <c r="I804" s="34"/>
      <c r="J804" s="34"/>
      <c r="K804" s="35"/>
      <c r="L804" s="34"/>
      <c r="M804" s="34"/>
      <c r="N804" s="34"/>
      <c r="O804" s="34"/>
      <c r="P804" s="34"/>
      <c r="Q804" s="34"/>
      <c r="R804" s="34"/>
      <c r="S804" s="34"/>
      <c r="T804" s="34"/>
      <c r="U804" s="34"/>
      <c r="V804" s="34"/>
      <c r="W804" s="34"/>
    </row>
    <row r="805" spans="2:23" x14ac:dyDescent="0.3">
      <c r="B805" s="33"/>
      <c r="C805" s="34"/>
      <c r="D805" s="34"/>
      <c r="E805" s="34"/>
      <c r="F805" s="34"/>
      <c r="G805" s="34"/>
      <c r="H805" s="34"/>
      <c r="I805" s="34"/>
      <c r="J805" s="34"/>
      <c r="K805" s="35"/>
      <c r="L805" s="34"/>
      <c r="M805" s="34"/>
      <c r="N805" s="34"/>
      <c r="O805" s="34"/>
      <c r="P805" s="34"/>
      <c r="Q805" s="34"/>
      <c r="R805" s="34"/>
      <c r="S805" s="34"/>
      <c r="T805" s="34"/>
      <c r="U805" s="34"/>
      <c r="V805" s="34"/>
      <c r="W805" s="34"/>
    </row>
    <row r="806" spans="2:23" x14ac:dyDescent="0.3">
      <c r="B806" s="33"/>
      <c r="C806" s="34"/>
      <c r="D806" s="34"/>
      <c r="E806" s="34"/>
      <c r="F806" s="34"/>
      <c r="G806" s="34"/>
      <c r="H806" s="34"/>
      <c r="I806" s="34"/>
      <c r="J806" s="34"/>
      <c r="K806" s="35"/>
      <c r="L806" s="34"/>
      <c r="M806" s="34"/>
      <c r="N806" s="34"/>
      <c r="O806" s="34"/>
      <c r="P806" s="34"/>
      <c r="Q806" s="34"/>
      <c r="R806" s="34"/>
      <c r="S806" s="34"/>
      <c r="T806" s="34"/>
      <c r="U806" s="34"/>
      <c r="V806" s="34"/>
      <c r="W806" s="34"/>
    </row>
    <row r="807" spans="2:23" x14ac:dyDescent="0.3">
      <c r="B807" s="33"/>
      <c r="C807" s="34"/>
      <c r="D807" s="34"/>
      <c r="E807" s="34"/>
      <c r="F807" s="34"/>
      <c r="G807" s="34"/>
      <c r="H807" s="34"/>
      <c r="I807" s="34"/>
      <c r="J807" s="34"/>
      <c r="K807" s="35"/>
      <c r="L807" s="34"/>
      <c r="M807" s="34"/>
      <c r="N807" s="34"/>
      <c r="O807" s="34"/>
      <c r="P807" s="34"/>
      <c r="Q807" s="34"/>
      <c r="R807" s="34"/>
      <c r="S807" s="34"/>
      <c r="T807" s="34"/>
      <c r="U807" s="34"/>
      <c r="V807" s="34"/>
      <c r="W807" s="34"/>
    </row>
    <row r="808" spans="2:23" x14ac:dyDescent="0.3">
      <c r="B808" s="33"/>
      <c r="C808" s="34"/>
      <c r="D808" s="34"/>
      <c r="E808" s="34"/>
      <c r="F808" s="34"/>
      <c r="G808" s="34"/>
      <c r="H808" s="34"/>
      <c r="I808" s="34"/>
      <c r="J808" s="34"/>
      <c r="K808" s="35"/>
      <c r="L808" s="34"/>
      <c r="M808" s="34"/>
      <c r="N808" s="34"/>
      <c r="O808" s="34"/>
      <c r="P808" s="34"/>
      <c r="Q808" s="34"/>
      <c r="R808" s="34"/>
      <c r="S808" s="34"/>
      <c r="T808" s="34"/>
      <c r="U808" s="34"/>
      <c r="V808" s="34"/>
      <c r="W808" s="34"/>
    </row>
    <row r="809" spans="2:23" x14ac:dyDescent="0.3">
      <c r="B809" s="33"/>
      <c r="C809" s="34"/>
      <c r="D809" s="34"/>
      <c r="E809" s="34"/>
      <c r="F809" s="34"/>
      <c r="G809" s="34"/>
      <c r="H809" s="34"/>
      <c r="I809" s="34"/>
      <c r="J809" s="34"/>
      <c r="K809" s="35"/>
      <c r="L809" s="34"/>
      <c r="M809" s="34"/>
      <c r="N809" s="34"/>
      <c r="O809" s="34"/>
      <c r="P809" s="34"/>
      <c r="Q809" s="34"/>
      <c r="R809" s="34"/>
      <c r="S809" s="34"/>
      <c r="T809" s="34"/>
      <c r="U809" s="34"/>
      <c r="V809" s="34"/>
      <c r="W809" s="34"/>
    </row>
    <row r="810" spans="2:23" x14ac:dyDescent="0.3">
      <c r="B810" s="33"/>
      <c r="C810" s="34"/>
      <c r="D810" s="34"/>
      <c r="E810" s="34"/>
      <c r="F810" s="34"/>
      <c r="G810" s="34"/>
      <c r="H810" s="34"/>
      <c r="I810" s="34"/>
      <c r="J810" s="34"/>
      <c r="K810" s="35"/>
      <c r="L810" s="34"/>
      <c r="M810" s="34"/>
      <c r="N810" s="34"/>
      <c r="O810" s="34"/>
      <c r="P810" s="34"/>
      <c r="Q810" s="34"/>
      <c r="R810" s="34"/>
      <c r="S810" s="34"/>
      <c r="T810" s="34"/>
      <c r="U810" s="34"/>
      <c r="V810" s="34"/>
      <c r="W810" s="34"/>
    </row>
    <row r="811" spans="2:23" x14ac:dyDescent="0.3">
      <c r="B811" s="33"/>
      <c r="C811" s="34"/>
      <c r="D811" s="34"/>
      <c r="E811" s="34"/>
      <c r="F811" s="34"/>
      <c r="G811" s="34"/>
      <c r="H811" s="34"/>
      <c r="I811" s="34"/>
      <c r="J811" s="34"/>
      <c r="K811" s="35"/>
      <c r="L811" s="34"/>
      <c r="M811" s="34"/>
      <c r="N811" s="34"/>
      <c r="O811" s="34"/>
      <c r="P811" s="34"/>
      <c r="Q811" s="34"/>
      <c r="R811" s="34"/>
      <c r="S811" s="34"/>
      <c r="T811" s="34"/>
      <c r="U811" s="34"/>
      <c r="V811" s="34"/>
      <c r="W811" s="34"/>
    </row>
    <row r="812" spans="2:23" x14ac:dyDescent="0.3">
      <c r="B812" s="33"/>
      <c r="C812" s="34"/>
      <c r="D812" s="34"/>
      <c r="E812" s="34"/>
      <c r="F812" s="34"/>
      <c r="G812" s="34"/>
      <c r="H812" s="34"/>
      <c r="I812" s="34"/>
      <c r="J812" s="34"/>
      <c r="K812" s="35"/>
      <c r="L812" s="34"/>
      <c r="M812" s="34"/>
      <c r="N812" s="34"/>
      <c r="O812" s="34"/>
      <c r="P812" s="34"/>
      <c r="Q812" s="34"/>
      <c r="R812" s="34"/>
      <c r="S812" s="34"/>
      <c r="T812" s="34"/>
      <c r="U812" s="34"/>
      <c r="V812" s="34"/>
      <c r="W812" s="34"/>
    </row>
    <row r="813" spans="2:23" x14ac:dyDescent="0.3">
      <c r="B813" s="33"/>
      <c r="C813" s="34"/>
      <c r="D813" s="34"/>
      <c r="E813" s="34"/>
      <c r="F813" s="34"/>
      <c r="G813" s="34"/>
      <c r="H813" s="34"/>
      <c r="I813" s="34"/>
      <c r="J813" s="34"/>
      <c r="K813" s="35"/>
      <c r="L813" s="34"/>
      <c r="M813" s="34"/>
      <c r="N813" s="34"/>
      <c r="O813" s="34"/>
      <c r="P813" s="34"/>
      <c r="Q813" s="34"/>
      <c r="R813" s="34"/>
      <c r="S813" s="34"/>
      <c r="T813" s="34"/>
      <c r="U813" s="34"/>
      <c r="V813" s="34"/>
      <c r="W813" s="34"/>
    </row>
    <row r="814" spans="2:23" x14ac:dyDescent="0.3">
      <c r="B814" s="33"/>
      <c r="C814" s="34"/>
      <c r="D814" s="34"/>
      <c r="E814" s="34"/>
      <c r="F814" s="34"/>
      <c r="G814" s="34"/>
      <c r="H814" s="34"/>
      <c r="I814" s="34"/>
      <c r="J814" s="34"/>
      <c r="K814" s="35"/>
      <c r="L814" s="34"/>
      <c r="M814" s="34"/>
      <c r="N814" s="34"/>
      <c r="O814" s="34"/>
      <c r="P814" s="34"/>
      <c r="Q814" s="34"/>
      <c r="R814" s="34"/>
      <c r="S814" s="34"/>
      <c r="T814" s="34"/>
      <c r="U814" s="34"/>
      <c r="V814" s="34"/>
      <c r="W814" s="34"/>
    </row>
    <row r="815" spans="2:23" x14ac:dyDescent="0.3">
      <c r="B815" s="33"/>
      <c r="C815" s="34"/>
      <c r="D815" s="34"/>
      <c r="E815" s="34"/>
      <c r="F815" s="34"/>
      <c r="G815" s="34"/>
      <c r="H815" s="34"/>
      <c r="I815" s="34"/>
      <c r="J815" s="34"/>
      <c r="K815" s="35"/>
      <c r="L815" s="34"/>
      <c r="M815" s="34"/>
      <c r="N815" s="34"/>
      <c r="O815" s="34"/>
      <c r="P815" s="34"/>
      <c r="Q815" s="34"/>
      <c r="R815" s="34"/>
      <c r="S815" s="34"/>
      <c r="T815" s="34"/>
      <c r="U815" s="34"/>
      <c r="V815" s="34"/>
      <c r="W815" s="34"/>
    </row>
    <row r="816" spans="2:23" x14ac:dyDescent="0.3">
      <c r="B816" s="33"/>
      <c r="C816" s="34"/>
      <c r="D816" s="34"/>
      <c r="E816" s="34"/>
      <c r="F816" s="34"/>
      <c r="G816" s="34"/>
      <c r="H816" s="34"/>
      <c r="I816" s="34"/>
      <c r="J816" s="34"/>
      <c r="K816" s="35"/>
      <c r="L816" s="34"/>
      <c r="M816" s="34"/>
      <c r="N816" s="34"/>
      <c r="O816" s="34"/>
      <c r="P816" s="34"/>
      <c r="Q816" s="34"/>
      <c r="R816" s="34"/>
      <c r="S816" s="34"/>
      <c r="T816" s="34"/>
      <c r="U816" s="34"/>
      <c r="V816" s="34"/>
      <c r="W816" s="34"/>
    </row>
    <row r="817" spans="2:23" x14ac:dyDescent="0.3">
      <c r="B817" s="33"/>
      <c r="C817" s="34"/>
      <c r="D817" s="34"/>
      <c r="E817" s="34"/>
      <c r="F817" s="34"/>
      <c r="G817" s="34"/>
      <c r="H817" s="34"/>
      <c r="I817" s="34"/>
      <c r="J817" s="34"/>
      <c r="K817" s="35"/>
      <c r="L817" s="34"/>
      <c r="M817" s="34"/>
      <c r="N817" s="34"/>
      <c r="O817" s="34"/>
      <c r="P817" s="34"/>
      <c r="Q817" s="34"/>
      <c r="R817" s="34"/>
      <c r="S817" s="34"/>
      <c r="T817" s="34"/>
      <c r="U817" s="34"/>
      <c r="V817" s="34"/>
      <c r="W817" s="34"/>
    </row>
    <row r="818" spans="2:23" x14ac:dyDescent="0.3">
      <c r="B818" s="33"/>
      <c r="C818" s="34"/>
      <c r="D818" s="34"/>
      <c r="E818" s="34"/>
      <c r="F818" s="34"/>
      <c r="G818" s="34"/>
      <c r="H818" s="34"/>
      <c r="I818" s="34"/>
      <c r="J818" s="34"/>
      <c r="K818" s="35"/>
      <c r="L818" s="34"/>
      <c r="M818" s="34"/>
      <c r="N818" s="34"/>
      <c r="O818" s="34"/>
      <c r="P818" s="34"/>
      <c r="Q818" s="34"/>
      <c r="R818" s="34"/>
      <c r="S818" s="34"/>
      <c r="T818" s="34"/>
      <c r="U818" s="34"/>
      <c r="V818" s="34"/>
      <c r="W818" s="34"/>
    </row>
    <row r="819" spans="2:23" x14ac:dyDescent="0.3">
      <c r="B819" s="33"/>
      <c r="C819" s="34"/>
      <c r="D819" s="34"/>
      <c r="E819" s="34"/>
      <c r="F819" s="34"/>
      <c r="G819" s="34"/>
      <c r="H819" s="34"/>
      <c r="I819" s="34"/>
      <c r="J819" s="34"/>
      <c r="K819" s="35"/>
      <c r="L819" s="34"/>
      <c r="M819" s="34"/>
      <c r="N819" s="34"/>
      <c r="O819" s="34"/>
      <c r="P819" s="34"/>
      <c r="Q819" s="34"/>
      <c r="R819" s="34"/>
      <c r="S819" s="34"/>
      <c r="T819" s="34"/>
      <c r="U819" s="34"/>
      <c r="V819" s="34"/>
      <c r="W819" s="34"/>
    </row>
    <row r="820" spans="2:23" x14ac:dyDescent="0.3">
      <c r="B820" s="33"/>
      <c r="C820" s="34"/>
      <c r="D820" s="34"/>
      <c r="E820" s="34"/>
      <c r="F820" s="34"/>
      <c r="G820" s="34"/>
      <c r="H820" s="34"/>
      <c r="I820" s="34"/>
      <c r="J820" s="34"/>
      <c r="K820" s="35"/>
      <c r="L820" s="34"/>
      <c r="M820" s="34"/>
      <c r="N820" s="34"/>
      <c r="O820" s="34"/>
      <c r="P820" s="34"/>
      <c r="Q820" s="34"/>
      <c r="R820" s="34"/>
      <c r="S820" s="34"/>
      <c r="T820" s="34"/>
      <c r="U820" s="34"/>
      <c r="V820" s="34"/>
      <c r="W820" s="34"/>
    </row>
    <row r="821" spans="2:23" x14ac:dyDescent="0.3">
      <c r="B821" s="33"/>
      <c r="C821" s="34"/>
      <c r="D821" s="34"/>
      <c r="E821" s="34"/>
      <c r="F821" s="34"/>
      <c r="G821" s="34"/>
      <c r="H821" s="34"/>
      <c r="I821" s="34"/>
      <c r="J821" s="34"/>
      <c r="K821" s="35"/>
      <c r="L821" s="34"/>
      <c r="M821" s="34"/>
      <c r="N821" s="34"/>
      <c r="O821" s="34"/>
      <c r="P821" s="34"/>
      <c r="Q821" s="34"/>
      <c r="R821" s="34"/>
      <c r="S821" s="34"/>
      <c r="T821" s="34"/>
      <c r="U821" s="34"/>
      <c r="V821" s="34"/>
      <c r="W821" s="34"/>
    </row>
    <row r="822" spans="2:23" x14ac:dyDescent="0.3">
      <c r="B822" s="33"/>
      <c r="C822" s="34"/>
      <c r="D822" s="34"/>
      <c r="E822" s="34"/>
      <c r="F822" s="34"/>
      <c r="G822" s="34"/>
      <c r="H822" s="34"/>
      <c r="I822" s="34"/>
      <c r="J822" s="34"/>
      <c r="K822" s="35"/>
      <c r="L822" s="34"/>
      <c r="M822" s="34"/>
      <c r="N822" s="34"/>
      <c r="O822" s="34"/>
      <c r="P822" s="34"/>
      <c r="Q822" s="34"/>
      <c r="R822" s="34"/>
      <c r="S822" s="34"/>
      <c r="T822" s="34"/>
      <c r="U822" s="34"/>
      <c r="V822" s="34"/>
      <c r="W822" s="34"/>
    </row>
    <row r="823" spans="2:23" x14ac:dyDescent="0.3">
      <c r="B823" s="33"/>
      <c r="C823" s="34"/>
      <c r="D823" s="34"/>
      <c r="E823" s="34"/>
      <c r="F823" s="34"/>
      <c r="G823" s="34"/>
      <c r="H823" s="34"/>
      <c r="I823" s="34"/>
      <c r="J823" s="34"/>
      <c r="K823" s="35"/>
      <c r="L823" s="34"/>
      <c r="M823" s="34"/>
      <c r="N823" s="34"/>
      <c r="O823" s="34"/>
      <c r="P823" s="34"/>
      <c r="Q823" s="34"/>
      <c r="R823" s="34"/>
      <c r="S823" s="34"/>
      <c r="T823" s="34"/>
      <c r="U823" s="34"/>
      <c r="V823" s="34"/>
      <c r="W823" s="34"/>
    </row>
    <row r="824" spans="2:23" x14ac:dyDescent="0.3">
      <c r="B824" s="33"/>
      <c r="C824" s="34"/>
      <c r="D824" s="34"/>
      <c r="E824" s="34"/>
      <c r="F824" s="34"/>
      <c r="G824" s="34"/>
      <c r="H824" s="34"/>
      <c r="I824" s="34"/>
      <c r="J824" s="34"/>
      <c r="K824" s="35"/>
      <c r="L824" s="34"/>
      <c r="M824" s="34"/>
      <c r="N824" s="34"/>
      <c r="O824" s="34"/>
      <c r="P824" s="34"/>
      <c r="Q824" s="34"/>
      <c r="R824" s="34"/>
      <c r="S824" s="34"/>
      <c r="T824" s="34"/>
      <c r="U824" s="34"/>
      <c r="V824" s="34"/>
      <c r="W824" s="34"/>
    </row>
    <row r="825" spans="2:23" x14ac:dyDescent="0.3">
      <c r="B825" s="33"/>
      <c r="C825" s="34"/>
      <c r="D825" s="34"/>
      <c r="E825" s="34"/>
      <c r="F825" s="34"/>
      <c r="G825" s="34"/>
      <c r="H825" s="34"/>
      <c r="I825" s="34"/>
      <c r="J825" s="34"/>
      <c r="K825" s="35"/>
      <c r="L825" s="34"/>
      <c r="M825" s="34"/>
      <c r="N825" s="34"/>
      <c r="O825" s="34"/>
      <c r="P825" s="34"/>
      <c r="Q825" s="34"/>
      <c r="R825" s="34"/>
      <c r="S825" s="34"/>
      <c r="T825" s="34"/>
      <c r="U825" s="34"/>
      <c r="V825" s="34"/>
      <c r="W825" s="34"/>
    </row>
    <row r="826" spans="2:23" x14ac:dyDescent="0.3">
      <c r="B826" s="33"/>
      <c r="C826" s="34"/>
      <c r="D826" s="34"/>
      <c r="E826" s="34"/>
      <c r="F826" s="34"/>
      <c r="G826" s="34"/>
      <c r="H826" s="34"/>
      <c r="I826" s="34"/>
      <c r="J826" s="34"/>
      <c r="K826" s="35"/>
      <c r="L826" s="34"/>
      <c r="M826" s="34"/>
      <c r="N826" s="34"/>
      <c r="O826" s="34"/>
      <c r="P826" s="34"/>
      <c r="Q826" s="34"/>
      <c r="R826" s="34"/>
      <c r="S826" s="34"/>
      <c r="T826" s="34"/>
      <c r="U826" s="34"/>
      <c r="V826" s="34"/>
      <c r="W826" s="34"/>
    </row>
    <row r="827" spans="2:23" x14ac:dyDescent="0.3">
      <c r="B827" s="33"/>
      <c r="C827" s="34"/>
      <c r="D827" s="34"/>
      <c r="E827" s="34"/>
      <c r="F827" s="34"/>
      <c r="G827" s="34"/>
      <c r="H827" s="34"/>
      <c r="I827" s="34"/>
      <c r="J827" s="34"/>
      <c r="K827" s="35"/>
      <c r="L827" s="34"/>
      <c r="M827" s="34"/>
      <c r="N827" s="34"/>
      <c r="O827" s="34"/>
      <c r="P827" s="34"/>
      <c r="Q827" s="34"/>
      <c r="R827" s="34"/>
      <c r="S827" s="34"/>
      <c r="T827" s="34"/>
      <c r="U827" s="34"/>
      <c r="V827" s="34"/>
      <c r="W827" s="34"/>
    </row>
    <row r="828" spans="2:23" x14ac:dyDescent="0.3">
      <c r="B828" s="33"/>
      <c r="C828" s="34"/>
      <c r="D828" s="34"/>
      <c r="E828" s="34"/>
      <c r="F828" s="34"/>
      <c r="G828" s="34"/>
      <c r="H828" s="34"/>
      <c r="I828" s="34"/>
      <c r="J828" s="34"/>
      <c r="K828" s="35"/>
      <c r="L828" s="34"/>
      <c r="M828" s="34"/>
      <c r="N828" s="34"/>
      <c r="O828" s="34"/>
      <c r="P828" s="34"/>
      <c r="Q828" s="34"/>
      <c r="R828" s="34"/>
      <c r="S828" s="34"/>
      <c r="T828" s="34"/>
      <c r="U828" s="34"/>
      <c r="V828" s="34"/>
      <c r="W828" s="34"/>
    </row>
    <row r="829" spans="2:23" x14ac:dyDescent="0.3">
      <c r="B829" s="33"/>
      <c r="C829" s="34"/>
      <c r="D829" s="34"/>
      <c r="E829" s="34"/>
      <c r="F829" s="34"/>
      <c r="G829" s="34"/>
      <c r="H829" s="34"/>
      <c r="I829" s="34"/>
      <c r="J829" s="34"/>
      <c r="K829" s="35"/>
      <c r="L829" s="34"/>
      <c r="M829" s="34"/>
      <c r="N829" s="34"/>
      <c r="O829" s="34"/>
      <c r="P829" s="34"/>
      <c r="Q829" s="34"/>
      <c r="R829" s="34"/>
      <c r="S829" s="34"/>
      <c r="T829" s="34"/>
      <c r="U829" s="34"/>
      <c r="V829" s="34"/>
      <c r="W829" s="34"/>
    </row>
    <row r="830" spans="2:23" x14ac:dyDescent="0.3">
      <c r="B830" s="33"/>
      <c r="C830" s="34"/>
      <c r="D830" s="34"/>
      <c r="E830" s="34"/>
      <c r="F830" s="34"/>
      <c r="G830" s="34"/>
      <c r="H830" s="34"/>
      <c r="I830" s="34"/>
      <c r="J830" s="34"/>
      <c r="K830" s="35"/>
      <c r="L830" s="34"/>
      <c r="M830" s="34"/>
      <c r="N830" s="34"/>
      <c r="O830" s="34"/>
      <c r="P830" s="34"/>
      <c r="Q830" s="34"/>
      <c r="R830" s="34"/>
      <c r="S830" s="34"/>
      <c r="T830" s="34"/>
      <c r="U830" s="34"/>
      <c r="V830" s="34"/>
      <c r="W830" s="34"/>
    </row>
    <row r="831" spans="2:23" x14ac:dyDescent="0.3">
      <c r="B831" s="33"/>
      <c r="C831" s="34"/>
      <c r="D831" s="34"/>
      <c r="E831" s="34"/>
      <c r="F831" s="34"/>
      <c r="G831" s="34"/>
      <c r="H831" s="34"/>
      <c r="I831" s="34"/>
      <c r="J831" s="34"/>
      <c r="K831" s="35"/>
      <c r="L831" s="34"/>
      <c r="M831" s="34"/>
      <c r="N831" s="34"/>
      <c r="O831" s="34"/>
      <c r="P831" s="34"/>
      <c r="Q831" s="34"/>
      <c r="R831" s="34"/>
      <c r="S831" s="34"/>
      <c r="T831" s="34"/>
      <c r="U831" s="34"/>
      <c r="V831" s="34"/>
      <c r="W831" s="34"/>
    </row>
    <row r="832" spans="2:23" x14ac:dyDescent="0.3">
      <c r="B832" s="33"/>
      <c r="C832" s="34"/>
      <c r="D832" s="34"/>
      <c r="E832" s="34"/>
      <c r="F832" s="34"/>
      <c r="G832" s="34"/>
      <c r="H832" s="34"/>
      <c r="I832" s="34"/>
      <c r="J832" s="34"/>
      <c r="K832" s="35"/>
      <c r="L832" s="34"/>
      <c r="M832" s="34"/>
      <c r="N832" s="34"/>
      <c r="O832" s="34"/>
      <c r="P832" s="34"/>
      <c r="Q832" s="34"/>
      <c r="R832" s="34"/>
      <c r="S832" s="34"/>
      <c r="T832" s="34"/>
      <c r="U832" s="34"/>
      <c r="V832" s="34"/>
      <c r="W832" s="34"/>
    </row>
    <row r="833" spans="2:23" x14ac:dyDescent="0.3">
      <c r="B833" s="33"/>
      <c r="C833" s="34"/>
      <c r="D833" s="34"/>
      <c r="E833" s="34"/>
      <c r="F833" s="34"/>
      <c r="G833" s="34"/>
      <c r="H833" s="34"/>
      <c r="I833" s="34"/>
      <c r="J833" s="34"/>
      <c r="K833" s="35"/>
      <c r="L833" s="34"/>
      <c r="M833" s="34"/>
      <c r="N833" s="34"/>
      <c r="O833" s="34"/>
      <c r="P833" s="34"/>
      <c r="Q833" s="34"/>
      <c r="R833" s="34"/>
      <c r="S833" s="34"/>
      <c r="T833" s="34"/>
      <c r="U833" s="34"/>
      <c r="V833" s="34"/>
      <c r="W833" s="34"/>
    </row>
    <row r="834" spans="2:23" x14ac:dyDescent="0.3">
      <c r="B834" s="33"/>
      <c r="C834" s="34"/>
      <c r="D834" s="34"/>
      <c r="E834" s="34"/>
      <c r="F834" s="34"/>
      <c r="G834" s="34"/>
      <c r="H834" s="34"/>
      <c r="I834" s="34"/>
      <c r="J834" s="34"/>
      <c r="K834" s="35"/>
      <c r="L834" s="34"/>
      <c r="M834" s="34"/>
      <c r="N834" s="34"/>
      <c r="O834" s="34"/>
      <c r="P834" s="34"/>
      <c r="Q834" s="34"/>
      <c r="R834" s="34"/>
      <c r="S834" s="34"/>
      <c r="T834" s="34"/>
      <c r="U834" s="34"/>
      <c r="V834" s="34"/>
      <c r="W834" s="34"/>
    </row>
    <row r="835" spans="2:23" x14ac:dyDescent="0.3">
      <c r="B835" s="33"/>
      <c r="C835" s="34"/>
      <c r="D835" s="34"/>
      <c r="E835" s="34"/>
      <c r="F835" s="34"/>
      <c r="G835" s="34"/>
      <c r="H835" s="34"/>
      <c r="I835" s="34"/>
      <c r="J835" s="34"/>
      <c r="K835" s="35"/>
      <c r="L835" s="34"/>
      <c r="M835" s="34"/>
      <c r="N835" s="34"/>
      <c r="O835" s="34"/>
      <c r="P835" s="34"/>
      <c r="Q835" s="34"/>
      <c r="R835" s="34"/>
      <c r="S835" s="34"/>
      <c r="T835" s="34"/>
      <c r="U835" s="34"/>
      <c r="V835" s="34"/>
      <c r="W835" s="34"/>
    </row>
    <row r="836" spans="2:23" x14ac:dyDescent="0.3">
      <c r="B836" s="33"/>
      <c r="C836" s="34"/>
      <c r="D836" s="34"/>
      <c r="E836" s="34"/>
      <c r="F836" s="34"/>
      <c r="G836" s="34"/>
      <c r="H836" s="34"/>
      <c r="I836" s="34"/>
      <c r="J836" s="34"/>
      <c r="K836" s="35"/>
      <c r="L836" s="34"/>
      <c r="M836" s="34"/>
      <c r="N836" s="34"/>
      <c r="O836" s="34"/>
      <c r="P836" s="34"/>
      <c r="Q836" s="34"/>
      <c r="R836" s="34"/>
      <c r="S836" s="34"/>
      <c r="T836" s="34"/>
      <c r="U836" s="34"/>
      <c r="V836" s="34"/>
      <c r="W836" s="34"/>
    </row>
    <row r="837" spans="2:23" x14ac:dyDescent="0.3">
      <c r="B837" s="33"/>
      <c r="C837" s="34"/>
      <c r="D837" s="34"/>
      <c r="E837" s="34"/>
      <c r="F837" s="34"/>
      <c r="G837" s="34"/>
      <c r="H837" s="34"/>
      <c r="I837" s="34"/>
      <c r="J837" s="34"/>
      <c r="K837" s="35"/>
      <c r="L837" s="34"/>
      <c r="M837" s="34"/>
      <c r="N837" s="34"/>
      <c r="O837" s="34"/>
      <c r="P837" s="34"/>
      <c r="Q837" s="34"/>
      <c r="R837" s="34"/>
      <c r="S837" s="34"/>
      <c r="T837" s="34"/>
      <c r="U837" s="34"/>
      <c r="V837" s="34"/>
      <c r="W837" s="34"/>
    </row>
    <row r="838" spans="2:23" x14ac:dyDescent="0.3">
      <c r="B838" s="33"/>
      <c r="C838" s="34"/>
      <c r="D838" s="34"/>
      <c r="E838" s="34"/>
      <c r="F838" s="34"/>
      <c r="G838" s="34"/>
      <c r="H838" s="34"/>
      <c r="I838" s="34"/>
      <c r="J838" s="34"/>
      <c r="K838" s="35"/>
      <c r="L838" s="34"/>
      <c r="M838" s="34"/>
      <c r="N838" s="34"/>
      <c r="O838" s="34"/>
      <c r="P838" s="34"/>
      <c r="Q838" s="34"/>
      <c r="R838" s="34"/>
      <c r="S838" s="34"/>
      <c r="T838" s="34"/>
      <c r="U838" s="34"/>
      <c r="V838" s="34"/>
      <c r="W838" s="34"/>
    </row>
    <row r="839" spans="2:23" x14ac:dyDescent="0.3">
      <c r="B839" s="33"/>
      <c r="C839" s="34"/>
      <c r="D839" s="34"/>
      <c r="E839" s="34"/>
      <c r="F839" s="34"/>
      <c r="G839" s="34"/>
      <c r="H839" s="34"/>
      <c r="I839" s="34"/>
      <c r="J839" s="34"/>
      <c r="K839" s="35"/>
      <c r="L839" s="34"/>
      <c r="M839" s="34"/>
      <c r="N839" s="34"/>
      <c r="O839" s="34"/>
      <c r="P839" s="34"/>
      <c r="Q839" s="34"/>
      <c r="R839" s="34"/>
      <c r="S839" s="34"/>
      <c r="T839" s="34"/>
      <c r="U839" s="34"/>
      <c r="V839" s="34"/>
      <c r="W839" s="34"/>
    </row>
    <row r="840" spans="2:23" x14ac:dyDescent="0.3">
      <c r="B840" s="33"/>
      <c r="C840" s="34"/>
      <c r="D840" s="34"/>
      <c r="E840" s="34"/>
      <c r="F840" s="34"/>
      <c r="G840" s="34"/>
      <c r="H840" s="34"/>
      <c r="I840" s="34"/>
      <c r="J840" s="34"/>
      <c r="K840" s="35"/>
      <c r="L840" s="34"/>
      <c r="M840" s="34"/>
      <c r="N840" s="34"/>
      <c r="O840" s="34"/>
      <c r="P840" s="34"/>
      <c r="Q840" s="34"/>
      <c r="R840" s="34"/>
      <c r="S840" s="34"/>
      <c r="T840" s="34"/>
      <c r="U840" s="34"/>
      <c r="V840" s="34"/>
      <c r="W840" s="34"/>
    </row>
    <row r="841" spans="2:23" x14ac:dyDescent="0.3">
      <c r="B841" s="33"/>
      <c r="C841" s="34"/>
      <c r="D841" s="34"/>
      <c r="E841" s="34"/>
      <c r="F841" s="34"/>
      <c r="G841" s="34"/>
      <c r="H841" s="34"/>
      <c r="I841" s="34"/>
      <c r="J841" s="34"/>
      <c r="K841" s="35"/>
      <c r="L841" s="34"/>
      <c r="M841" s="34"/>
      <c r="N841" s="34"/>
      <c r="O841" s="34"/>
      <c r="P841" s="34"/>
      <c r="Q841" s="34"/>
      <c r="R841" s="34"/>
      <c r="S841" s="34"/>
      <c r="T841" s="34"/>
      <c r="U841" s="34"/>
      <c r="V841" s="34"/>
      <c r="W841" s="34"/>
    </row>
    <row r="842" spans="2:23" x14ac:dyDescent="0.3">
      <c r="B842" s="33"/>
      <c r="C842" s="34"/>
      <c r="D842" s="34"/>
      <c r="E842" s="34"/>
      <c r="F842" s="34"/>
      <c r="G842" s="34"/>
      <c r="H842" s="34"/>
      <c r="I842" s="34"/>
      <c r="J842" s="34"/>
      <c r="K842" s="35"/>
      <c r="L842" s="34"/>
      <c r="M842" s="34"/>
      <c r="N842" s="34"/>
      <c r="O842" s="34"/>
      <c r="P842" s="34"/>
      <c r="Q842" s="34"/>
      <c r="R842" s="34"/>
      <c r="S842" s="34"/>
      <c r="T842" s="34"/>
      <c r="U842" s="34"/>
      <c r="V842" s="34"/>
      <c r="W842" s="34"/>
    </row>
    <row r="843" spans="2:23" x14ac:dyDescent="0.3">
      <c r="B843" s="33"/>
      <c r="C843" s="34"/>
      <c r="D843" s="34"/>
      <c r="E843" s="34"/>
      <c r="F843" s="34"/>
      <c r="G843" s="34"/>
      <c r="H843" s="34"/>
      <c r="I843" s="34"/>
      <c r="J843" s="34"/>
      <c r="K843" s="35"/>
      <c r="L843" s="34"/>
      <c r="M843" s="34"/>
      <c r="N843" s="34"/>
      <c r="O843" s="34"/>
      <c r="P843" s="34"/>
      <c r="Q843" s="34"/>
      <c r="R843" s="34"/>
      <c r="S843" s="34"/>
      <c r="T843" s="34"/>
      <c r="U843" s="34"/>
      <c r="V843" s="34"/>
      <c r="W843" s="34"/>
    </row>
    <row r="844" spans="2:23" x14ac:dyDescent="0.3">
      <c r="B844" s="33"/>
      <c r="C844" s="34"/>
      <c r="D844" s="34"/>
      <c r="E844" s="34"/>
      <c r="F844" s="34"/>
      <c r="G844" s="34"/>
      <c r="H844" s="34"/>
      <c r="I844" s="34"/>
      <c r="J844" s="34"/>
      <c r="K844" s="35"/>
      <c r="L844" s="34"/>
      <c r="M844" s="34"/>
      <c r="N844" s="34"/>
      <c r="O844" s="34"/>
      <c r="P844" s="34"/>
      <c r="Q844" s="34"/>
      <c r="R844" s="34"/>
      <c r="S844" s="34"/>
      <c r="T844" s="34"/>
      <c r="U844" s="34"/>
      <c r="V844" s="34"/>
      <c r="W844" s="34"/>
    </row>
    <row r="845" spans="2:23" x14ac:dyDescent="0.3">
      <c r="B845" s="33"/>
      <c r="C845" s="34"/>
      <c r="D845" s="34"/>
      <c r="E845" s="34"/>
      <c r="F845" s="34"/>
      <c r="G845" s="34"/>
      <c r="H845" s="34"/>
      <c r="I845" s="34"/>
      <c r="J845" s="34"/>
      <c r="K845" s="35"/>
      <c r="L845" s="34"/>
      <c r="M845" s="34"/>
      <c r="N845" s="34"/>
      <c r="O845" s="34"/>
      <c r="P845" s="34"/>
      <c r="Q845" s="34"/>
      <c r="R845" s="34"/>
      <c r="S845" s="34"/>
      <c r="T845" s="34"/>
      <c r="U845" s="34"/>
      <c r="V845" s="34"/>
      <c r="W845" s="34"/>
    </row>
    <row r="846" spans="2:23" x14ac:dyDescent="0.3">
      <c r="B846" s="33"/>
      <c r="C846" s="34"/>
      <c r="D846" s="34"/>
      <c r="E846" s="34"/>
      <c r="F846" s="34"/>
      <c r="G846" s="34"/>
      <c r="H846" s="34"/>
      <c r="I846" s="34"/>
      <c r="J846" s="34"/>
      <c r="K846" s="35"/>
      <c r="L846" s="34"/>
      <c r="M846" s="34"/>
      <c r="N846" s="34"/>
      <c r="O846" s="34"/>
      <c r="P846" s="34"/>
      <c r="Q846" s="34"/>
      <c r="R846" s="34"/>
      <c r="S846" s="34"/>
      <c r="T846" s="34"/>
      <c r="U846" s="34"/>
      <c r="V846" s="34"/>
      <c r="W846" s="34"/>
    </row>
    <row r="847" spans="2:23" x14ac:dyDescent="0.3">
      <c r="B847" s="33"/>
      <c r="C847" s="34"/>
      <c r="D847" s="34"/>
      <c r="E847" s="34"/>
      <c r="F847" s="34"/>
      <c r="G847" s="34"/>
      <c r="H847" s="34"/>
      <c r="I847" s="34"/>
      <c r="J847" s="34"/>
      <c r="K847" s="35"/>
      <c r="L847" s="34"/>
      <c r="M847" s="34"/>
      <c r="N847" s="34"/>
      <c r="O847" s="34"/>
      <c r="P847" s="34"/>
      <c r="Q847" s="34"/>
      <c r="R847" s="34"/>
      <c r="S847" s="34"/>
      <c r="T847" s="34"/>
      <c r="U847" s="34"/>
      <c r="V847" s="34"/>
      <c r="W847" s="34"/>
    </row>
    <row r="848" spans="2:23" x14ac:dyDescent="0.3">
      <c r="B848" s="33"/>
      <c r="C848" s="34"/>
      <c r="D848" s="34"/>
      <c r="E848" s="34"/>
      <c r="F848" s="34"/>
      <c r="G848" s="34"/>
      <c r="H848" s="34"/>
      <c r="I848" s="34"/>
      <c r="J848" s="34"/>
      <c r="K848" s="35"/>
      <c r="L848" s="34"/>
      <c r="M848" s="34"/>
      <c r="N848" s="34"/>
      <c r="O848" s="34"/>
      <c r="P848" s="34"/>
      <c r="Q848" s="34"/>
      <c r="R848" s="34"/>
      <c r="S848" s="34"/>
      <c r="T848" s="34"/>
      <c r="U848" s="34"/>
      <c r="V848" s="34"/>
      <c r="W848" s="34"/>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row r="1222" spans="11:11" x14ac:dyDescent="0.3">
      <c r="K1222" s="40"/>
    </row>
    <row r="1223" spans="11:11" x14ac:dyDescent="0.3">
      <c r="K1223" s="40"/>
    </row>
    <row r="1224" spans="11:11" x14ac:dyDescent="0.3">
      <c r="K1224" s="40"/>
    </row>
    <row r="1225" spans="11:11" x14ac:dyDescent="0.3">
      <c r="K1225" s="40"/>
    </row>
    <row r="1226" spans="11:11" x14ac:dyDescent="0.3">
      <c r="K1226" s="40"/>
    </row>
    <row r="1227" spans="11:11" x14ac:dyDescent="0.3">
      <c r="K1227" s="40"/>
    </row>
    <row r="1228" spans="11:11" x14ac:dyDescent="0.3">
      <c r="K1228" s="40"/>
    </row>
    <row r="1229" spans="11:11" x14ac:dyDescent="0.3">
      <c r="K1229" s="40"/>
    </row>
    <row r="1230" spans="11:11" x14ac:dyDescent="0.3">
      <c r="K1230" s="40"/>
    </row>
    <row r="1231" spans="11:11" x14ac:dyDescent="0.3">
      <c r="K1231" s="40"/>
    </row>
  </sheetData>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51"/>
  <sheetViews>
    <sheetView workbookViewId="0">
      <pane ySplit="7" topLeftCell="A8" activePane="bottomLeft" state="frozen"/>
      <selection pane="bottomLeft" activeCell="G19" sqref="G19"/>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9" x14ac:dyDescent="0.3">
      <c r="A1" s="61" t="s">
        <v>146</v>
      </c>
      <c r="B1" s="17" t="str">
        <f>model</f>
        <v>ME Grain &amp; Pulse</v>
      </c>
      <c r="E1" s="598" t="s">
        <v>106</v>
      </c>
      <c r="F1" s="55" t="s">
        <v>182</v>
      </c>
      <c r="G1" s="55" t="s">
        <v>108</v>
      </c>
    </row>
    <row r="2" spans="1:9" x14ac:dyDescent="0.3">
      <c r="E2" s="598" t="s">
        <v>104</v>
      </c>
      <c r="F2" s="26">
        <f>Data!B132</f>
        <v>282.5</v>
      </c>
      <c r="G2" s="24">
        <f>F2/$F$4</f>
        <v>1</v>
      </c>
    </row>
    <row r="3" spans="1:9" x14ac:dyDescent="0.3">
      <c r="B3" s="4"/>
      <c r="E3" s="598" t="s">
        <v>1142</v>
      </c>
      <c r="F3" s="41">
        <f>(Data!B244*Data!K66)/100</f>
        <v>0</v>
      </c>
      <c r="G3" s="57">
        <f>F3/$F$4</f>
        <v>0</v>
      </c>
    </row>
    <row r="4" spans="1:9" x14ac:dyDescent="0.3">
      <c r="A4" s="7" t="s">
        <v>1203</v>
      </c>
      <c r="B4" s="8" t="s">
        <v>92</v>
      </c>
      <c r="C4" s="65">
        <f>peas</f>
        <v>0</v>
      </c>
      <c r="D4" s="4" t="s">
        <v>93</v>
      </c>
      <c r="F4" s="26">
        <f>SUM(F2:F3)</f>
        <v>282.5</v>
      </c>
      <c r="G4" s="24">
        <f>SUM(G2:G3)</f>
        <v>1</v>
      </c>
    </row>
    <row r="6" spans="1:9" ht="13.5" x14ac:dyDescent="0.35">
      <c r="A6" s="5" t="s">
        <v>0</v>
      </c>
    </row>
    <row r="7" spans="1:9" s="27" customFormat="1" ht="26" x14ac:dyDescent="0.3">
      <c r="A7" s="41"/>
      <c r="B7" s="391" t="s">
        <v>919</v>
      </c>
      <c r="C7" s="42" t="s">
        <v>21</v>
      </c>
      <c r="D7" s="42" t="s">
        <v>22</v>
      </c>
      <c r="E7" s="646" t="s">
        <v>900</v>
      </c>
      <c r="F7" s="42" t="s">
        <v>23</v>
      </c>
      <c r="G7" s="42" t="s">
        <v>24</v>
      </c>
      <c r="H7" s="42" t="s">
        <v>65</v>
      </c>
    </row>
    <row r="8" spans="1:9" x14ac:dyDescent="0.3">
      <c r="A8" s="3" t="s">
        <v>13</v>
      </c>
      <c r="B8" s="3"/>
    </row>
    <row r="9" spans="1:9" x14ac:dyDescent="0.3">
      <c r="A9" s="638" t="s">
        <v>1204</v>
      </c>
      <c r="B9" s="405">
        <f>IF(INPUT!$K$17&gt;0,1,0)</f>
        <v>1</v>
      </c>
      <c r="C9" s="816">
        <f>INPUT!$K$17</f>
        <v>200</v>
      </c>
      <c r="D9" s="34" t="s">
        <v>126</v>
      </c>
      <c r="E9" s="226">
        <f>C9*peas</f>
        <v>0</v>
      </c>
      <c r="F9" s="371">
        <f>INPUT!K18</f>
        <v>0.64</v>
      </c>
      <c r="G9" s="114">
        <f>C9*F9</f>
        <v>128</v>
      </c>
      <c r="H9" s="109">
        <f>B9*G9*peas</f>
        <v>0</v>
      </c>
    </row>
    <row r="10" spans="1:9" x14ac:dyDescent="0.3">
      <c r="A10" s="638" t="s">
        <v>1293</v>
      </c>
      <c r="B10" s="405">
        <f>INPUT!$K$24</f>
        <v>1</v>
      </c>
      <c r="C10" s="907">
        <f>IF(INPUT!$K$25="$ / 100-lb trt.",INPUT!$K$27,INPUT!$K$26)</f>
        <v>5</v>
      </c>
      <c r="D10" s="34" t="str">
        <f>IF(Pv!B10=1,INPUT!$K$25,"n/a")</f>
        <v>$ / 100-lb trt.</v>
      </c>
      <c r="E10" s="226" t="str">
        <f>IF(INPUT!$K$25="$ / 100-lb trt.","n/a",C10*peas)</f>
        <v>n/a</v>
      </c>
      <c r="F10" s="114" t="str">
        <f>IF(INPUT!$K$25="$ / 100-lb trt.","n/a",INPUT!$K$27)</f>
        <v>n/a</v>
      </c>
      <c r="G10" s="114">
        <f>IF(INPUT!$K$25="$ / 100-lb trt.",C10*(C9/100),C10*F10)</f>
        <v>10</v>
      </c>
      <c r="H10" s="109">
        <f>B10*G10*peas</f>
        <v>0</v>
      </c>
      <c r="I10" s="108">
        <f>SUM(H8:H10)</f>
        <v>0</v>
      </c>
    </row>
    <row r="11" spans="1:9" x14ac:dyDescent="0.3">
      <c r="A11" s="3" t="s">
        <v>1</v>
      </c>
      <c r="B11" s="3"/>
      <c r="C11" s="46"/>
      <c r="D11" s="34"/>
      <c r="E11" s="226"/>
      <c r="F11" s="167"/>
      <c r="G11" s="114"/>
      <c r="H11" s="109"/>
    </row>
    <row r="12" spans="1:9" x14ac:dyDescent="0.3">
      <c r="A12" s="638" t="str">
        <f>IF(INPUT!$K$29="Chicken Manure", "Chicken Manure", "None")</f>
        <v>None</v>
      </c>
      <c r="B12" s="405">
        <f>IF(INPUT!$K$29="Chicken Manure",1,0)</f>
        <v>0</v>
      </c>
      <c r="C12" s="816">
        <f>IF(INPUT!$K$29="Chicken Manure",INPUT!$K$32,0)</f>
        <v>0</v>
      </c>
      <c r="D12" s="34" t="str">
        <f>IF(INPUT!$K$29="Chicken Manure",INPUT!$K$31,"ton")</f>
        <v>ton</v>
      </c>
      <c r="E12" s="226">
        <f>C12*peas</f>
        <v>0</v>
      </c>
      <c r="F12" s="901">
        <f>IF(INPUT!$K$29="Chicken Manure",INPUT!$K$33,0)</f>
        <v>0</v>
      </c>
      <c r="G12" s="110">
        <f>C12*F12</f>
        <v>0</v>
      </c>
      <c r="H12" s="109">
        <f>B12*G12*peas</f>
        <v>0</v>
      </c>
    </row>
    <row r="13" spans="1:9" x14ac:dyDescent="0.3">
      <c r="A13" s="638" t="str">
        <f>IF(INPUT!$K$35="Chilean Nitrate", "Chilean Nitrate", "None")</f>
        <v>None</v>
      </c>
      <c r="B13" s="405">
        <f>IF(INPUT!$K$35="Chilean Nitrate",1,0)</f>
        <v>0</v>
      </c>
      <c r="C13" s="816">
        <f>IF(INPUT!$K$35="Chicken Manure",INPUT!$K$38,0)</f>
        <v>0</v>
      </c>
      <c r="D13" s="34" t="str">
        <f>IF(INPUT!$K$35="Chilean Nitrate",INPUT!$K$37,"lb")</f>
        <v>lb</v>
      </c>
      <c r="E13" s="226">
        <f>C13*peas</f>
        <v>0</v>
      </c>
      <c r="F13" s="901">
        <f>IF(INPUT!$K$35="Chicken Manure",INPUT!$K$39,0)</f>
        <v>0</v>
      </c>
      <c r="G13" s="110">
        <f>C13*F13</f>
        <v>0</v>
      </c>
      <c r="H13" s="109">
        <f>B13*G13*peas</f>
        <v>0</v>
      </c>
      <c r="I13" s="108">
        <f>SUM(H11:H13)</f>
        <v>0</v>
      </c>
    </row>
    <row r="14" spans="1:9" x14ac:dyDescent="0.3">
      <c r="A14" s="638" t="s">
        <v>2</v>
      </c>
      <c r="B14" s="405">
        <f>INPUT!$K$41</f>
        <v>0</v>
      </c>
      <c r="C14" s="369">
        <f>INPUT!$K$43/INPUT!$K$44</f>
        <v>0.2</v>
      </c>
      <c r="D14" s="34" t="str">
        <f>INPUT!$K$42</f>
        <v>ton</v>
      </c>
      <c r="E14" s="226">
        <f>C14*peas</f>
        <v>0</v>
      </c>
      <c r="F14" s="109">
        <f>INPUT!$K$45</f>
        <v>38.260869565217398</v>
      </c>
      <c r="G14" s="114">
        <f>C14*F14</f>
        <v>7.6521739130434803</v>
      </c>
      <c r="H14" s="109">
        <f>B14*G14*peas</f>
        <v>0</v>
      </c>
      <c r="I14" s="108">
        <f>SUM(H14:H14)</f>
        <v>0</v>
      </c>
    </row>
    <row r="15" spans="1:9" x14ac:dyDescent="0.3">
      <c r="A15" s="3" t="s">
        <v>1476</v>
      </c>
      <c r="B15" s="3"/>
      <c r="C15" s="46"/>
      <c r="D15" s="34"/>
      <c r="E15" s="226"/>
      <c r="F15" s="104"/>
      <c r="G15" s="114"/>
      <c r="H15" s="109"/>
    </row>
    <row r="16" spans="1:9" x14ac:dyDescent="0.3">
      <c r="A16" s="638" t="s">
        <v>1577</v>
      </c>
      <c r="B16" s="405">
        <f>IF(INPUT!$K$47=1,1,0)</f>
        <v>0</v>
      </c>
      <c r="C16" s="816">
        <f>INPUT!$K$49</f>
        <v>0</v>
      </c>
      <c r="D16" s="34" t="str">
        <f>INPUT!$K$48</f>
        <v>lb</v>
      </c>
      <c r="E16" s="226">
        <f t="shared" ref="E16:E18" si="0">C16*peas</f>
        <v>0</v>
      </c>
      <c r="F16" s="900">
        <f>INPUT!$K$50</f>
        <v>0</v>
      </c>
      <c r="G16" s="110">
        <f>C16*F16</f>
        <v>0</v>
      </c>
      <c r="H16" s="109">
        <f t="shared" ref="H16:H18" si="1">B16*G16*peas</f>
        <v>0</v>
      </c>
    </row>
    <row r="17" spans="1:12" x14ac:dyDescent="0.3">
      <c r="A17" s="6" t="s">
        <v>1477</v>
      </c>
      <c r="B17" s="397">
        <v>0</v>
      </c>
      <c r="C17" s="273">
        <v>0</v>
      </c>
      <c r="D17" s="34" t="s">
        <v>220</v>
      </c>
      <c r="E17" s="226">
        <f t="shared" si="0"/>
        <v>0</v>
      </c>
      <c r="F17" s="252">
        <v>0</v>
      </c>
      <c r="G17" s="110">
        <f>C17*F17</f>
        <v>0</v>
      </c>
      <c r="H17" s="109">
        <f t="shared" si="1"/>
        <v>0</v>
      </c>
    </row>
    <row r="18" spans="1:12" x14ac:dyDescent="0.3">
      <c r="A18" s="6" t="s">
        <v>1479</v>
      </c>
      <c r="B18" s="397">
        <v>0</v>
      </c>
      <c r="C18" s="273">
        <v>0</v>
      </c>
      <c r="D18" s="34" t="s">
        <v>220</v>
      </c>
      <c r="E18" s="226">
        <f t="shared" si="0"/>
        <v>0</v>
      </c>
      <c r="F18" s="252">
        <v>0</v>
      </c>
      <c r="G18" s="110">
        <f>C18*F18</f>
        <v>0</v>
      </c>
      <c r="H18" s="109">
        <f t="shared" si="1"/>
        <v>0</v>
      </c>
      <c r="I18" s="108">
        <f>SUM(H15:H18)</f>
        <v>0</v>
      </c>
    </row>
    <row r="19" spans="1:12" x14ac:dyDescent="0.3">
      <c r="A19" s="3" t="s">
        <v>14</v>
      </c>
      <c r="B19" s="3"/>
      <c r="C19" s="46"/>
      <c r="D19" s="34"/>
      <c r="E19" s="226"/>
      <c r="F19" s="104"/>
      <c r="G19" s="114"/>
      <c r="H19" s="109"/>
    </row>
    <row r="20" spans="1:12" x14ac:dyDescent="0.3">
      <c r="A20" s="22" t="s">
        <v>332</v>
      </c>
      <c r="B20" s="22"/>
      <c r="C20" s="46"/>
      <c r="D20" s="34"/>
      <c r="E20" s="226"/>
      <c r="F20" s="104"/>
      <c r="G20" s="114"/>
      <c r="H20" s="109"/>
    </row>
    <row r="21" spans="1:12" x14ac:dyDescent="0.3">
      <c r="A21" s="639" t="s">
        <v>1903</v>
      </c>
      <c r="B21" s="405">
        <f>IF(OS!$AA$7="Moldboard Plow",OS!AB7,0)</f>
        <v>0</v>
      </c>
      <c r="C21" s="156">
        <f>IF(OSI!$K$8&gt;0,(1/OSI!$K$8),Data!$H$579)</f>
        <v>0.23980815347721804</v>
      </c>
      <c r="D21" s="34" t="s">
        <v>128</v>
      </c>
      <c r="E21" s="226">
        <f t="shared" ref="E21" si="2">C21*peas</f>
        <v>0</v>
      </c>
      <c r="F21" s="167">
        <f>_wage_</f>
        <v>12.29</v>
      </c>
      <c r="G21" s="114">
        <f>C21*F21</f>
        <v>2.9472422062350097</v>
      </c>
      <c r="H21" s="109">
        <f t="shared" ref="H21" si="3">B21*G21*peas</f>
        <v>0</v>
      </c>
    </row>
    <row r="22" spans="1:12" x14ac:dyDescent="0.3">
      <c r="A22" s="639" t="s">
        <v>468</v>
      </c>
      <c r="B22" s="405">
        <f>IF(OS!$AA$8="Spr.Sld.Man.",OS!AB8,0)</f>
        <v>0</v>
      </c>
      <c r="C22" s="156">
        <f>IF(OSI!$K$9&gt;0,(1/OSI!$K$9),Data!$H$585)</f>
        <v>0.25</v>
      </c>
      <c r="D22" s="34" t="s">
        <v>128</v>
      </c>
      <c r="E22" s="226">
        <f t="shared" ref="E22:E41" si="4">C22*peas</f>
        <v>0</v>
      </c>
      <c r="F22" s="167">
        <f>_wage_</f>
        <v>12.29</v>
      </c>
      <c r="G22" s="114">
        <f>C22*F22</f>
        <v>3.0724999999999998</v>
      </c>
      <c r="H22" s="109">
        <f t="shared" ref="H22:H41" si="5">B22*G22*peas</f>
        <v>0</v>
      </c>
    </row>
    <row r="23" spans="1:12" x14ac:dyDescent="0.3">
      <c r="A23" s="640" t="s">
        <v>1427</v>
      </c>
      <c r="B23" s="405">
        <f>IF(OS!$AA$9="Chisel Plow",OS!AB9,0)</f>
        <v>1</v>
      </c>
      <c r="C23" s="156">
        <f>IF(OSI!$K$10&gt;0,(1/OSI!$K$10),Data!$H$580)</f>
        <v>0.11764705882352899</v>
      </c>
      <c r="D23" s="34" t="s">
        <v>128</v>
      </c>
      <c r="E23" s="226">
        <f t="shared" si="4"/>
        <v>0</v>
      </c>
      <c r="F23" s="167">
        <f>_wage_</f>
        <v>12.29</v>
      </c>
      <c r="G23" s="114">
        <f>C23*F23</f>
        <v>1.4458823529411713</v>
      </c>
      <c r="H23" s="109">
        <f t="shared" si="5"/>
        <v>0</v>
      </c>
    </row>
    <row r="24" spans="1:12" x14ac:dyDescent="0.3">
      <c r="A24" s="638" t="s">
        <v>485</v>
      </c>
      <c r="B24" s="405">
        <f>IF(OS!$AA$10="Disk Harrow",OS!AB10,0)</f>
        <v>1</v>
      </c>
      <c r="C24" s="645">
        <f>IF(OSI!$K$11&gt;0,(1/OSI!$K$11),Data!$H$581)</f>
        <v>8.1833060556464804E-2</v>
      </c>
      <c r="D24" s="34" t="s">
        <v>128</v>
      </c>
      <c r="E24" s="226">
        <f t="shared" si="4"/>
        <v>0</v>
      </c>
      <c r="F24" s="167">
        <f t="shared" ref="F24:F43" si="6">_wage_</f>
        <v>12.29</v>
      </c>
      <c r="G24" s="114">
        <f t="shared" ref="G24:G37" si="7">C24*F24</f>
        <v>1.0057283142389524</v>
      </c>
      <c r="H24" s="109">
        <f t="shared" si="5"/>
        <v>0</v>
      </c>
    </row>
    <row r="25" spans="1:12" ht="13.5" thickBot="1" x14ac:dyDescent="0.35">
      <c r="A25" s="639" t="s">
        <v>333</v>
      </c>
      <c r="B25" s="405">
        <f>IF(OS!$AA$11="Finish Harrow",OS!AB11,0)</f>
        <v>1</v>
      </c>
      <c r="C25" s="645">
        <f>IF(OSI!$K$12&gt;0,(1/OSI!$K$12),Data!$H$589)</f>
        <v>7.7041602465331302E-2</v>
      </c>
      <c r="D25" s="34" t="s">
        <v>128</v>
      </c>
      <c r="E25" s="226">
        <f t="shared" si="4"/>
        <v>0</v>
      </c>
      <c r="F25" s="104">
        <f t="shared" si="6"/>
        <v>12.29</v>
      </c>
      <c r="G25" s="114">
        <f t="shared" si="7"/>
        <v>0.94684129429892161</v>
      </c>
      <c r="H25" s="109">
        <f t="shared" si="5"/>
        <v>0</v>
      </c>
      <c r="I25" s="216" t="s">
        <v>2166</v>
      </c>
      <c r="K25" s="914" t="s">
        <v>1627</v>
      </c>
      <c r="L25" s="55"/>
    </row>
    <row r="26" spans="1:12" ht="13.5" thickBot="1" x14ac:dyDescent="0.35">
      <c r="A26" s="639" t="s">
        <v>334</v>
      </c>
      <c r="B26" s="405">
        <f>IF(OS!$AA$12="Grain Drill",OS!AB12,0)</f>
        <v>1</v>
      </c>
      <c r="C26" s="156">
        <f>IF(OSI!$K$13&gt;0,(1/OSI!$K$14),Data!$H$594)</f>
        <v>7.7041602465331302E-2</v>
      </c>
      <c r="D26" s="34" t="s">
        <v>128</v>
      </c>
      <c r="E26" s="226">
        <f>C26*peas</f>
        <v>0</v>
      </c>
      <c r="F26" s="104">
        <f t="shared" si="6"/>
        <v>12.29</v>
      </c>
      <c r="G26" s="114">
        <f>C26*F26</f>
        <v>0.94684129429892161</v>
      </c>
      <c r="H26" s="109">
        <f>B26*G26*peas</f>
        <v>0</v>
      </c>
      <c r="I26" s="216" t="s">
        <v>1627</v>
      </c>
      <c r="K26" s="56" t="s">
        <v>1630</v>
      </c>
      <c r="L26" s="913" t="s">
        <v>1625</v>
      </c>
    </row>
    <row r="27" spans="1:12" ht="13.5" thickBot="1" x14ac:dyDescent="0.35">
      <c r="A27" s="639" t="s">
        <v>2218</v>
      </c>
      <c r="B27" s="405">
        <f>IF(OS!$AA$13="Tine Harrow",OS!AB13,0)</f>
        <v>1</v>
      </c>
      <c r="C27" s="645">
        <f>IF(OSI!$K$14&gt;0,(1/OSI!$K$14),Data!$H$591)</f>
        <v>7.7041602465331302E-2</v>
      </c>
      <c r="D27" s="34" t="s">
        <v>128</v>
      </c>
      <c r="E27" s="226">
        <f t="shared" si="4"/>
        <v>0</v>
      </c>
      <c r="F27" s="104">
        <f t="shared" si="6"/>
        <v>12.29</v>
      </c>
      <c r="G27" s="114">
        <f t="shared" si="7"/>
        <v>0.94684129429892161</v>
      </c>
      <c r="H27" s="109">
        <f t="shared" si="5"/>
        <v>0</v>
      </c>
      <c r="I27" s="643">
        <v>2</v>
      </c>
      <c r="J27" s="668" t="s">
        <v>2217</v>
      </c>
      <c r="K27" s="55">
        <f>IF(OS!$AA$13="None",0,1)</f>
        <v>1</v>
      </c>
      <c r="L27" s="1331">
        <f>OS!AB13</f>
        <v>1</v>
      </c>
    </row>
    <row r="28" spans="1:12" x14ac:dyDescent="0.3">
      <c r="A28" s="22" t="s">
        <v>315</v>
      </c>
      <c r="B28" s="397">
        <v>0</v>
      </c>
      <c r="C28" s="156">
        <f>Data!H582</f>
        <v>0.48</v>
      </c>
      <c r="D28" s="34" t="s">
        <v>128</v>
      </c>
      <c r="E28" s="226">
        <f t="shared" si="4"/>
        <v>0</v>
      </c>
      <c r="F28" s="167">
        <f t="shared" si="6"/>
        <v>12.29</v>
      </c>
      <c r="G28" s="114">
        <f t="shared" si="7"/>
        <v>5.8991999999999996</v>
      </c>
      <c r="H28" s="109">
        <f t="shared" si="5"/>
        <v>0</v>
      </c>
    </row>
    <row r="29" spans="1:12" ht="13.5" thickBot="1" x14ac:dyDescent="0.35">
      <c r="A29" s="22" t="s">
        <v>338</v>
      </c>
      <c r="B29" s="397">
        <v>0</v>
      </c>
      <c r="C29" s="156">
        <f>Data!H592</f>
        <v>9.8335351450666228E-2</v>
      </c>
      <c r="D29" s="34" t="s">
        <v>128</v>
      </c>
      <c r="E29" s="226">
        <f t="shared" si="4"/>
        <v>0</v>
      </c>
      <c r="F29" s="167">
        <f t="shared" si="6"/>
        <v>12.29</v>
      </c>
      <c r="G29" s="114">
        <f t="shared" si="7"/>
        <v>1.2085414693286878</v>
      </c>
      <c r="H29" s="109">
        <f t="shared" si="5"/>
        <v>0</v>
      </c>
      <c r="K29" s="914" t="s">
        <v>1627</v>
      </c>
    </row>
    <row r="30" spans="1:12" ht="13.5" thickBot="1" x14ac:dyDescent="0.35">
      <c r="A30" s="22" t="s">
        <v>1284</v>
      </c>
      <c r="B30" s="397">
        <v>0</v>
      </c>
      <c r="C30" s="156">
        <f>Data!H595</f>
        <v>0.3933414058026653</v>
      </c>
      <c r="D30" s="34" t="s">
        <v>128</v>
      </c>
      <c r="E30" s="226">
        <f t="shared" si="4"/>
        <v>0</v>
      </c>
      <c r="F30" s="167">
        <f t="shared" si="6"/>
        <v>12.29</v>
      </c>
      <c r="G30" s="114">
        <f t="shared" si="7"/>
        <v>4.8341658773147564</v>
      </c>
      <c r="H30" s="109">
        <f t="shared" si="5"/>
        <v>0</v>
      </c>
      <c r="K30" s="56" t="s">
        <v>1630</v>
      </c>
      <c r="L30" s="913" t="s">
        <v>1625</v>
      </c>
    </row>
    <row r="31" spans="1:12" ht="13.5" thickBot="1" x14ac:dyDescent="0.35">
      <c r="A31" s="639" t="s">
        <v>340</v>
      </c>
      <c r="B31" s="405">
        <f>IF(OS!$AA$14="Cultivate",OS!AB14,0)</f>
        <v>2</v>
      </c>
      <c r="C31" s="645">
        <f>IF(OSI!$K$15&gt;0,(1/OSI!$K$15),Data!$H$606)</f>
        <v>6.4724919093851099E-2</v>
      </c>
      <c r="D31" s="34" t="s">
        <v>128</v>
      </c>
      <c r="E31" s="226">
        <f>C31*peas</f>
        <v>0</v>
      </c>
      <c r="F31" s="167">
        <f t="shared" si="6"/>
        <v>12.29</v>
      </c>
      <c r="G31" s="114">
        <f>C31*F31</f>
        <v>0.79546925566342996</v>
      </c>
      <c r="H31" s="109">
        <f>B31*G31*peas</f>
        <v>0</v>
      </c>
      <c r="J31" s="668" t="s">
        <v>1607</v>
      </c>
      <c r="K31" s="55">
        <f>IF(OS!$AA$14="None",0,1)</f>
        <v>1</v>
      </c>
      <c r="L31" s="1331">
        <f>OS!AB14</f>
        <v>2</v>
      </c>
    </row>
    <row r="32" spans="1:12" x14ac:dyDescent="0.3">
      <c r="A32" s="639" t="s">
        <v>1626</v>
      </c>
      <c r="B32" s="405">
        <f>IF(OS!$AA$15="Spr.Chilean N",OS!AB15,0)</f>
        <v>0</v>
      </c>
      <c r="C32" s="645">
        <f>IF(OSI!$K$16&gt;0,(1/OSI!$K$16),Data!$H$584)</f>
        <v>9.2929292929292903E-2</v>
      </c>
      <c r="D32" s="34" t="s">
        <v>128</v>
      </c>
      <c r="E32" s="226">
        <f>C32*peas</f>
        <v>0</v>
      </c>
      <c r="F32" s="167">
        <f t="shared" si="6"/>
        <v>12.29</v>
      </c>
      <c r="G32" s="114">
        <f>C32*F32</f>
        <v>1.1421010101010096</v>
      </c>
      <c r="H32" s="109">
        <f>B32*G32*peas</f>
        <v>0</v>
      </c>
    </row>
    <row r="33" spans="1:21" x14ac:dyDescent="0.3">
      <c r="A33" s="22" t="s">
        <v>304</v>
      </c>
      <c r="B33" s="397">
        <v>0</v>
      </c>
      <c r="C33" s="156">
        <f>Data!H600</f>
        <v>0.11851851851851852</v>
      </c>
      <c r="D33" s="34" t="s">
        <v>128</v>
      </c>
      <c r="E33" s="226">
        <f t="shared" si="4"/>
        <v>0</v>
      </c>
      <c r="F33" s="167">
        <f t="shared" si="6"/>
        <v>12.29</v>
      </c>
      <c r="G33" s="114">
        <f t="shared" si="7"/>
        <v>1.4565925925925924</v>
      </c>
      <c r="H33" s="109">
        <f t="shared" si="5"/>
        <v>0</v>
      </c>
    </row>
    <row r="34" spans="1:21" x14ac:dyDescent="0.3">
      <c r="A34" s="639" t="s">
        <v>1628</v>
      </c>
      <c r="B34" s="405">
        <f>IF(OS!$AA$16="Spray Fung.",OS!AB16,0)</f>
        <v>0</v>
      </c>
      <c r="C34" s="156">
        <f>IF(OSI!$K$17&gt;0,(1/OSI!$K$17),Data!$H$601)</f>
        <v>2.169668040789759E-2</v>
      </c>
      <c r="D34" s="34" t="s">
        <v>128</v>
      </c>
      <c r="E34" s="226">
        <f>C34*peas</f>
        <v>0</v>
      </c>
      <c r="F34" s="167">
        <f t="shared" si="6"/>
        <v>12.29</v>
      </c>
      <c r="G34" s="114">
        <f>C34*F34</f>
        <v>0.26665220221306135</v>
      </c>
      <c r="H34" s="109">
        <f>B34*G34*peas</f>
        <v>0</v>
      </c>
    </row>
    <row r="35" spans="1:21" x14ac:dyDescent="0.3">
      <c r="A35" s="639" t="s">
        <v>1283</v>
      </c>
      <c r="B35" s="405">
        <f>IF(OS!$AA$18="Combine",OS!AB18,0)</f>
        <v>1</v>
      </c>
      <c r="C35" s="156">
        <f>IF(OSI!$K$19&gt;0,(1/OSI!$K$19),Data!$H$614)</f>
        <v>0.33333333333333298</v>
      </c>
      <c r="D35" s="34" t="s">
        <v>128</v>
      </c>
      <c r="E35" s="226">
        <f t="shared" si="4"/>
        <v>0</v>
      </c>
      <c r="F35" s="167">
        <f t="shared" si="6"/>
        <v>12.29</v>
      </c>
      <c r="G35" s="114">
        <f t="shared" si="7"/>
        <v>4.0966666666666622</v>
      </c>
      <c r="H35" s="109">
        <f t="shared" si="5"/>
        <v>0</v>
      </c>
    </row>
    <row r="36" spans="1:21" x14ac:dyDescent="0.3">
      <c r="A36" s="666" t="s">
        <v>1022</v>
      </c>
      <c r="B36" s="397">
        <v>0</v>
      </c>
      <c r="C36" s="47">
        <f>Data!$H$617*Data!$F$244</f>
        <v>0</v>
      </c>
      <c r="D36" s="48" t="s">
        <v>115</v>
      </c>
      <c r="E36" s="647">
        <f t="shared" si="4"/>
        <v>0</v>
      </c>
      <c r="F36" s="118">
        <f>_wage_</f>
        <v>12.29</v>
      </c>
      <c r="G36" s="465">
        <f>C36*F36</f>
        <v>0</v>
      </c>
      <c r="H36" s="123">
        <f t="shared" si="5"/>
        <v>0</v>
      </c>
    </row>
    <row r="37" spans="1:21" x14ac:dyDescent="0.3">
      <c r="A37" s="639" t="s">
        <v>2088</v>
      </c>
      <c r="B37" s="405">
        <f>IF(OS!$AA$19="Truck",OS!AB19,0)</f>
        <v>1</v>
      </c>
      <c r="C37" s="156">
        <f>IF(OSI!$K$20&gt;0,(1/OSI!$K$20),Data!$H$640)</f>
        <v>7.8140079844169097E-2</v>
      </c>
      <c r="D37" s="34" t="s">
        <v>128</v>
      </c>
      <c r="E37" s="226">
        <f t="shared" si="4"/>
        <v>0</v>
      </c>
      <c r="F37" s="167">
        <f t="shared" si="6"/>
        <v>12.29</v>
      </c>
      <c r="G37" s="114">
        <f t="shared" si="7"/>
        <v>0.96034158128483815</v>
      </c>
      <c r="H37" s="109">
        <f t="shared" si="5"/>
        <v>0</v>
      </c>
    </row>
    <row r="38" spans="1:21" x14ac:dyDescent="0.3">
      <c r="A38" s="666" t="s">
        <v>1022</v>
      </c>
      <c r="B38" s="405">
        <f>B37</f>
        <v>1</v>
      </c>
      <c r="C38" s="47">
        <f>Data!$H$641*Data!$F$244</f>
        <v>0</v>
      </c>
      <c r="D38" s="48" t="s">
        <v>115</v>
      </c>
      <c r="E38" s="647">
        <f t="shared" si="4"/>
        <v>0</v>
      </c>
      <c r="F38" s="118">
        <f>_wage_</f>
        <v>12.29</v>
      </c>
      <c r="G38" s="465">
        <f>C38*F38</f>
        <v>0</v>
      </c>
      <c r="H38" s="123">
        <f t="shared" si="5"/>
        <v>0</v>
      </c>
    </row>
    <row r="39" spans="1:21" x14ac:dyDescent="0.3">
      <c r="A39" s="639" t="s">
        <v>1435</v>
      </c>
      <c r="B39" s="832"/>
      <c r="C39" s="47"/>
      <c r="D39" s="48"/>
      <c r="E39" s="647"/>
      <c r="F39" s="118"/>
      <c r="G39" s="465"/>
      <c r="H39" s="123"/>
    </row>
    <row r="40" spans="1:21" x14ac:dyDescent="0.3">
      <c r="A40" s="638" t="s">
        <v>1436</v>
      </c>
      <c r="B40" s="405">
        <f>IF(OS!$AA$20="Clean",OS!AB20,0)</f>
        <v>1</v>
      </c>
      <c r="C40" s="156">
        <f>IF(OSI!$K$21&gt;0,(1/OSI!$K$21),Data!$H$675)</f>
        <v>1.02</v>
      </c>
      <c r="D40" s="34" t="s">
        <v>128</v>
      </c>
      <c r="E40" s="226">
        <f t="shared" si="4"/>
        <v>0</v>
      </c>
      <c r="F40" s="167">
        <f t="shared" ref="F40" si="8">_wage_</f>
        <v>12.29</v>
      </c>
      <c r="G40" s="114">
        <f t="shared" ref="G40" si="9">C40*F40</f>
        <v>12.5358</v>
      </c>
      <c r="H40" s="109">
        <f t="shared" si="5"/>
        <v>0</v>
      </c>
    </row>
    <row r="41" spans="1:21" x14ac:dyDescent="0.3">
      <c r="A41" s="666" t="s">
        <v>1022</v>
      </c>
      <c r="B41" s="405">
        <f>B40</f>
        <v>1</v>
      </c>
      <c r="C41" s="47">
        <f>Data!H676*Data!$F$244</f>
        <v>0</v>
      </c>
      <c r="D41" s="48" t="s">
        <v>115</v>
      </c>
      <c r="E41" s="647">
        <f t="shared" si="4"/>
        <v>0</v>
      </c>
      <c r="F41" s="118">
        <f>_wage_</f>
        <v>12.29</v>
      </c>
      <c r="G41" s="465">
        <f>C41*F41</f>
        <v>0</v>
      </c>
      <c r="H41" s="123">
        <f t="shared" si="5"/>
        <v>0</v>
      </c>
      <c r="L41" s="4" t="s">
        <v>1077</v>
      </c>
    </row>
    <row r="42" spans="1:21" x14ac:dyDescent="0.3">
      <c r="A42" s="639" t="s">
        <v>1147</v>
      </c>
      <c r="B42" s="22"/>
      <c r="C42" s="46"/>
      <c r="D42" s="34"/>
      <c r="E42" s="226"/>
      <c r="F42" s="90"/>
      <c r="G42" s="114"/>
      <c r="H42" s="109"/>
      <c r="J42" s="588">
        <f>OSI!$E$69</f>
        <v>30000</v>
      </c>
      <c r="K42" s="17" t="s">
        <v>220</v>
      </c>
      <c r="L42" s="17">
        <f>J42/2000</f>
        <v>15</v>
      </c>
      <c r="M42" s="17" t="s">
        <v>26</v>
      </c>
      <c r="N42" s="588">
        <f>OSI!$C$69</f>
        <v>500</v>
      </c>
      <c r="O42" s="17" t="s">
        <v>931</v>
      </c>
      <c r="P42" s="93" t="s">
        <v>944</v>
      </c>
      <c r="Q42" s="93"/>
      <c r="S42" s="588">
        <f>N42*Data!$K$66</f>
        <v>30000</v>
      </c>
      <c r="T42" s="17" t="s">
        <v>220</v>
      </c>
      <c r="U42" s="589">
        <f>S42/J42</f>
        <v>1</v>
      </c>
    </row>
    <row r="43" spans="1:21" x14ac:dyDescent="0.3">
      <c r="A43" s="638" t="s">
        <v>1146</v>
      </c>
      <c r="B43" s="405">
        <f>IF(OS!$AA$21="Dry",OS!AB21,0)</f>
        <v>1</v>
      </c>
      <c r="C43" s="369">
        <f>IF(OSI!$K$22&gt;0,(1/OSI!$K$22),Data!$H$695)</f>
        <v>0.34683696197121799</v>
      </c>
      <c r="D43" s="34" t="s">
        <v>115</v>
      </c>
      <c r="E43" s="226">
        <f>C43*peas</f>
        <v>0</v>
      </c>
      <c r="F43" s="167">
        <f t="shared" si="6"/>
        <v>12.29</v>
      </c>
      <c r="G43" s="114">
        <f>C43*F43</f>
        <v>4.2626262626262692</v>
      </c>
      <c r="H43" s="110">
        <f>B43*G43*peas*G3</f>
        <v>0</v>
      </c>
      <c r="I43" s="108"/>
      <c r="J43" s="588">
        <f>OSI!$E$70</f>
        <v>180</v>
      </c>
      <c r="K43" s="17" t="s">
        <v>220</v>
      </c>
      <c r="L43" s="17">
        <f>J43/2000</f>
        <v>0.09</v>
      </c>
      <c r="M43" s="17" t="s">
        <v>26</v>
      </c>
      <c r="N43" s="588">
        <f>OSI!$C$70</f>
        <v>3</v>
      </c>
      <c r="O43" s="17" t="s">
        <v>931</v>
      </c>
      <c r="P43" s="93" t="s">
        <v>945</v>
      </c>
      <c r="Q43" s="93"/>
      <c r="S43" s="588">
        <f>N43*Data!$K$66</f>
        <v>180</v>
      </c>
      <c r="T43" s="17" t="s">
        <v>220</v>
      </c>
      <c r="U43" s="589">
        <f>S43/J43</f>
        <v>1</v>
      </c>
    </row>
    <row r="44" spans="1:21" x14ac:dyDescent="0.3">
      <c r="A44" s="666" t="s">
        <v>1022</v>
      </c>
      <c r="B44" s="405">
        <f>B43</f>
        <v>1</v>
      </c>
      <c r="C44" s="47">
        <f>C43*Data!$F$244</f>
        <v>0</v>
      </c>
      <c r="D44" s="48" t="s">
        <v>115</v>
      </c>
      <c r="E44" s="647">
        <f t="shared" ref="E44" si="10">C44*peas</f>
        <v>0</v>
      </c>
      <c r="F44" s="118">
        <f>_wage_</f>
        <v>12.29</v>
      </c>
      <c r="G44" s="465">
        <f>C44*F44</f>
        <v>0</v>
      </c>
      <c r="H44" s="123">
        <f>B44*G44*peas</f>
        <v>0</v>
      </c>
      <c r="I44" s="108">
        <f>SUM(H20:H45)</f>
        <v>0</v>
      </c>
    </row>
    <row r="45" spans="1:21" x14ac:dyDescent="0.3">
      <c r="A45" s="1258" t="s">
        <v>2095</v>
      </c>
      <c r="Q45" s="216" t="s">
        <v>933</v>
      </c>
      <c r="R45" s="216" t="s">
        <v>933</v>
      </c>
      <c r="S45" s="216" t="s">
        <v>2047</v>
      </c>
      <c r="T45" s="216" t="s">
        <v>2050</v>
      </c>
    </row>
    <row r="46" spans="1:21" x14ac:dyDescent="0.3">
      <c r="A46" s="638" t="s">
        <v>938</v>
      </c>
      <c r="H46" s="98"/>
      <c r="J46" s="67" t="s">
        <v>932</v>
      </c>
      <c r="K46" s="216" t="s">
        <v>946</v>
      </c>
      <c r="L46" s="89" t="s">
        <v>2046</v>
      </c>
      <c r="M46" s="89"/>
      <c r="N46" s="89" t="s">
        <v>2046</v>
      </c>
      <c r="O46" s="89"/>
      <c r="P46" s="216" t="s">
        <v>763</v>
      </c>
      <c r="Q46" s="216" t="s">
        <v>2042</v>
      </c>
      <c r="R46" s="216" t="s">
        <v>2043</v>
      </c>
      <c r="S46" s="216" t="s">
        <v>2048</v>
      </c>
      <c r="T46" s="216" t="s">
        <v>2051</v>
      </c>
    </row>
    <row r="47" spans="1:21" x14ac:dyDescent="0.3">
      <c r="A47" s="638" t="s">
        <v>939</v>
      </c>
      <c r="B47" s="405">
        <f>IF(OSI!$K$77&gt;0,1*$P$53,0)</f>
        <v>1</v>
      </c>
      <c r="C47" s="410">
        <f>IF(peas&gt;0,($T$47*((Data!$B$244*peas)/$N$42))/peas,0)</f>
        <v>0</v>
      </c>
      <c r="D47" s="34" t="s">
        <v>115</v>
      </c>
      <c r="E47" s="46">
        <f>C47*peas</f>
        <v>0</v>
      </c>
      <c r="F47" s="167">
        <f t="shared" ref="F47" si="11">_wage_</f>
        <v>12.29</v>
      </c>
      <c r="G47" s="114">
        <f t="shared" ref="G47:G48" si="12">C47*F47</f>
        <v>0</v>
      </c>
      <c r="H47" s="110">
        <f>B47*G47*peas</f>
        <v>0</v>
      </c>
      <c r="J47" s="55" t="s">
        <v>762</v>
      </c>
      <c r="K47" s="816">
        <f>B47</f>
        <v>1</v>
      </c>
      <c r="L47" s="168">
        <f>IF(peas&gt;0,(K47*(T47*_wage_)*((Data!$B$244*peas)/$N$42))/peas,0)</f>
        <v>0</v>
      </c>
      <c r="M47" s="22" t="s">
        <v>254</v>
      </c>
      <c r="N47" s="168">
        <f>(T47*_wage_)</f>
        <v>18.434999999999999</v>
      </c>
      <c r="O47" s="22" t="s">
        <v>935</v>
      </c>
      <c r="P47" s="816">
        <f>OSI!$G$69</f>
        <v>20</v>
      </c>
      <c r="Q47" s="816">
        <f>OSI!$G$72</f>
        <v>40</v>
      </c>
      <c r="R47" s="46">
        <f>(P47/Q47)</f>
        <v>0.5</v>
      </c>
      <c r="S47" s="226">
        <f>OSI!$G$73</f>
        <v>1</v>
      </c>
      <c r="T47" s="46">
        <f>SUM(R47:S47)</f>
        <v>1.5</v>
      </c>
    </row>
    <row r="48" spans="1:21" x14ac:dyDescent="0.3">
      <c r="A48" s="666" t="s">
        <v>2025</v>
      </c>
      <c r="B48" s="405">
        <f>IF(Data!$F$244=0,0,1*$P$53)</f>
        <v>0</v>
      </c>
      <c r="C48" s="593">
        <f>C47*Data!$F$244</f>
        <v>0</v>
      </c>
      <c r="D48" s="48" t="s">
        <v>115</v>
      </c>
      <c r="E48" s="47">
        <f>C48*peas</f>
        <v>0</v>
      </c>
      <c r="F48" s="118">
        <f>_wage_</f>
        <v>12.29</v>
      </c>
      <c r="G48" s="465">
        <f t="shared" si="12"/>
        <v>0</v>
      </c>
      <c r="H48" s="123">
        <f>B48*G48*peas</f>
        <v>0</v>
      </c>
      <c r="Q48" s="216" t="s">
        <v>933</v>
      </c>
      <c r="R48" s="216" t="s">
        <v>933</v>
      </c>
      <c r="S48" s="216" t="s">
        <v>2047</v>
      </c>
      <c r="T48" s="216" t="s">
        <v>2050</v>
      </c>
    </row>
    <row r="49" spans="1:20" x14ac:dyDescent="0.3">
      <c r="A49" s="638" t="s">
        <v>942</v>
      </c>
      <c r="B49" s="34"/>
      <c r="C49" s="34"/>
      <c r="D49" s="34"/>
      <c r="E49" s="226"/>
      <c r="F49" s="68"/>
      <c r="G49" s="114"/>
      <c r="H49" s="110"/>
      <c r="J49" s="67" t="s">
        <v>934</v>
      </c>
      <c r="K49" s="216" t="s">
        <v>946</v>
      </c>
      <c r="L49" s="89" t="s">
        <v>2046</v>
      </c>
      <c r="M49" s="89"/>
      <c r="N49" s="89" t="s">
        <v>2046</v>
      </c>
      <c r="O49" s="89"/>
      <c r="P49" s="216" t="s">
        <v>763</v>
      </c>
      <c r="Q49" s="216" t="s">
        <v>2042</v>
      </c>
      <c r="R49" s="216" t="s">
        <v>2043</v>
      </c>
      <c r="S49" s="216" t="s">
        <v>2048</v>
      </c>
      <c r="T49" s="216" t="s">
        <v>2051</v>
      </c>
    </row>
    <row r="50" spans="1:20" x14ac:dyDescent="0.3">
      <c r="A50" s="638" t="s">
        <v>939</v>
      </c>
      <c r="B50" s="405">
        <f>IF(OSI!$K$78&gt;0,1*$Q$53,0)</f>
        <v>0</v>
      </c>
      <c r="C50" s="410">
        <f>IF(peas&gt;0,($T$50*((Data!$B$244*peas)/$N$43))/peas,0)</f>
        <v>0</v>
      </c>
      <c r="D50" s="34" t="s">
        <v>115</v>
      </c>
      <c r="E50" s="46">
        <f>C50*peas</f>
        <v>0</v>
      </c>
      <c r="F50" s="167">
        <f t="shared" ref="F50" si="13">_wage_</f>
        <v>12.29</v>
      </c>
      <c r="G50" s="114">
        <f t="shared" ref="G50:G51" si="14">C50*F50</f>
        <v>0</v>
      </c>
      <c r="H50" s="110">
        <f>B50*G50*peas</f>
        <v>0</v>
      </c>
      <c r="J50" s="55" t="s">
        <v>762</v>
      </c>
      <c r="K50" s="816">
        <f>B50</f>
        <v>0</v>
      </c>
      <c r="L50" s="168">
        <f>IF(peas&gt;0,(K50*(T50*_wage_)*((Data!$B$244*peas)/$N$43))/peas,0)</f>
        <v>0</v>
      </c>
      <c r="M50" s="22" t="s">
        <v>254</v>
      </c>
      <c r="N50" s="168">
        <f>(T50*_wage_)</f>
        <v>30.724999999999998</v>
      </c>
      <c r="O50" s="22" t="s">
        <v>935</v>
      </c>
      <c r="P50" s="816">
        <f>OSI!$I$69</f>
        <v>20</v>
      </c>
      <c r="Q50" s="816">
        <f>OSI!$I$72</f>
        <v>40</v>
      </c>
      <c r="R50" s="46">
        <f>(P50/Q50)</f>
        <v>0.5</v>
      </c>
      <c r="S50" s="226">
        <f>OSI!$I$73</f>
        <v>2</v>
      </c>
      <c r="T50" s="46">
        <f>SUM(R50:S50)</f>
        <v>2.5</v>
      </c>
    </row>
    <row r="51" spans="1:20" x14ac:dyDescent="0.3">
      <c r="A51" s="666" t="s">
        <v>2025</v>
      </c>
      <c r="B51" s="405">
        <f>IF(Data!$F$244=0,0,1*$Q$53)</f>
        <v>0</v>
      </c>
      <c r="C51" s="593">
        <f>C50*Data!$F$244</f>
        <v>0</v>
      </c>
      <c r="D51" s="48" t="s">
        <v>115</v>
      </c>
      <c r="E51" s="47">
        <f>C51*peas</f>
        <v>0</v>
      </c>
      <c r="F51" s="118">
        <f>_wage_</f>
        <v>12.29</v>
      </c>
      <c r="G51" s="465">
        <f t="shared" si="14"/>
        <v>0</v>
      </c>
      <c r="H51" s="123">
        <f>B51*G51*peas</f>
        <v>0</v>
      </c>
      <c r="I51" s="108">
        <f>SUM(H46:H51)</f>
        <v>0</v>
      </c>
      <c r="J51" s="89"/>
      <c r="K51" s="89"/>
      <c r="L51" s="89"/>
      <c r="M51" s="216"/>
      <c r="N51" s="216"/>
      <c r="O51" s="216"/>
    </row>
    <row r="52" spans="1:20" x14ac:dyDescent="0.3">
      <c r="A52" s="3" t="s">
        <v>66</v>
      </c>
      <c r="B52" s="3"/>
      <c r="C52" s="46"/>
      <c r="D52" s="34"/>
      <c r="E52" s="226"/>
      <c r="F52" s="167"/>
      <c r="G52" s="114"/>
      <c r="H52" s="109"/>
      <c r="I52" s="99"/>
      <c r="O52" s="67" t="s">
        <v>947</v>
      </c>
      <c r="P52" s="216" t="s">
        <v>932</v>
      </c>
      <c r="Q52" s="216" t="s">
        <v>934</v>
      </c>
      <c r="R52" s="216" t="s">
        <v>76</v>
      </c>
    </row>
    <row r="53" spans="1:20" x14ac:dyDescent="0.3">
      <c r="A53" s="22" t="s">
        <v>332</v>
      </c>
      <c r="B53" s="22"/>
      <c r="C53" s="46"/>
      <c r="D53" s="34"/>
      <c r="E53" s="226"/>
      <c r="F53" s="167"/>
      <c r="G53" s="114"/>
      <c r="H53" s="109"/>
      <c r="I53" s="99"/>
      <c r="O53" s="34" t="s">
        <v>762</v>
      </c>
      <c r="P53" s="922">
        <f>OSI!$K$77</f>
        <v>1</v>
      </c>
      <c r="Q53" s="922">
        <f>OSI!$K$78</f>
        <v>0</v>
      </c>
      <c r="R53" s="412">
        <f>SUM(P53:Q53)</f>
        <v>1</v>
      </c>
    </row>
    <row r="54" spans="1:20" x14ac:dyDescent="0.3">
      <c r="A54" s="638" t="s">
        <v>1911</v>
      </c>
      <c r="B54" s="405">
        <f t="shared" ref="B54:B65" si="15">B21</f>
        <v>0</v>
      </c>
      <c r="C54" s="156">
        <f>IF(OSI!$K$28&gt;0,OSI!$K$28,Data!$R$579)</f>
        <v>1.32</v>
      </c>
      <c r="D54" s="34" t="s">
        <v>117</v>
      </c>
      <c r="E54" s="226">
        <f t="shared" ref="E54:E71" si="16">C54*peas</f>
        <v>0</v>
      </c>
      <c r="F54" s="167">
        <f>diesel_fuel</f>
        <v>2.56</v>
      </c>
      <c r="G54" s="114">
        <f>C54*F54</f>
        <v>3.3792000000000004</v>
      </c>
      <c r="H54" s="109">
        <f t="shared" ref="H54:H71" si="17">B54*G54*peas</f>
        <v>0</v>
      </c>
      <c r="K54" s="55"/>
    </row>
    <row r="55" spans="1:20" x14ac:dyDescent="0.3">
      <c r="A55" s="639" t="s">
        <v>468</v>
      </c>
      <c r="B55" s="405">
        <f t="shared" si="15"/>
        <v>0</v>
      </c>
      <c r="C55" s="156">
        <f>IF(OSI!$K$29&gt;0,OSI!$K$29,Data!$R$585)</f>
        <v>0.44023863292066601</v>
      </c>
      <c r="D55" s="34" t="s">
        <v>117</v>
      </c>
      <c r="E55" s="226">
        <f t="shared" si="16"/>
        <v>0</v>
      </c>
      <c r="F55" s="167">
        <f>diesel_fuel</f>
        <v>2.56</v>
      </c>
      <c r="G55" s="114">
        <f>C55*F55</f>
        <v>1.1270109002769051</v>
      </c>
      <c r="H55" s="109">
        <f t="shared" si="17"/>
        <v>0</v>
      </c>
      <c r="I55" s="99"/>
    </row>
    <row r="56" spans="1:20" x14ac:dyDescent="0.3">
      <c r="A56" s="640" t="s">
        <v>1427</v>
      </c>
      <c r="B56" s="405">
        <f t="shared" si="15"/>
        <v>1</v>
      </c>
      <c r="C56" s="156">
        <f>IF(OSI!$K$30&gt;0,OSI!$K$30,Data!$R$580)</f>
        <v>0.64</v>
      </c>
      <c r="D56" s="34" t="s">
        <v>117</v>
      </c>
      <c r="E56" s="226">
        <f t="shared" si="16"/>
        <v>0</v>
      </c>
      <c r="F56" s="167">
        <f>diesel_fuel</f>
        <v>2.56</v>
      </c>
      <c r="G56" s="114">
        <f>C56*F56</f>
        <v>1.6384000000000001</v>
      </c>
      <c r="H56" s="109">
        <f t="shared" si="17"/>
        <v>0</v>
      </c>
      <c r="I56" s="99"/>
    </row>
    <row r="57" spans="1:20" x14ac:dyDescent="0.3">
      <c r="A57" s="638" t="s">
        <v>485</v>
      </c>
      <c r="B57" s="405">
        <f t="shared" si="15"/>
        <v>1</v>
      </c>
      <c r="C57" s="156">
        <f>IF(OSI!$K$31&gt;0,OSI!$K$31,Data!$R$581)</f>
        <v>0.74</v>
      </c>
      <c r="D57" s="34" t="s">
        <v>117</v>
      </c>
      <c r="E57" s="226">
        <f t="shared" si="16"/>
        <v>0</v>
      </c>
      <c r="F57" s="167">
        <f t="shared" ref="F57:F76" si="18">diesel_fuel</f>
        <v>2.56</v>
      </c>
      <c r="G57" s="114">
        <f t="shared" ref="G57:G70" si="19">C57*F57</f>
        <v>1.8944000000000001</v>
      </c>
      <c r="H57" s="109">
        <f t="shared" si="17"/>
        <v>0</v>
      </c>
      <c r="I57" s="99"/>
    </row>
    <row r="58" spans="1:20" x14ac:dyDescent="0.3">
      <c r="A58" s="639" t="s">
        <v>333</v>
      </c>
      <c r="B58" s="405">
        <f t="shared" si="15"/>
        <v>1</v>
      </c>
      <c r="C58" s="156">
        <f>IF(OSI!$K$32&gt;0,OSI!$K$32,Data!$R$589)</f>
        <v>0.34</v>
      </c>
      <c r="D58" s="34" t="s">
        <v>117</v>
      </c>
      <c r="E58" s="226">
        <f t="shared" si="16"/>
        <v>0</v>
      </c>
      <c r="F58" s="104">
        <f t="shared" si="18"/>
        <v>2.56</v>
      </c>
      <c r="G58" s="114">
        <f t="shared" si="19"/>
        <v>0.87040000000000006</v>
      </c>
      <c r="H58" s="109">
        <f t="shared" si="17"/>
        <v>0</v>
      </c>
    </row>
    <row r="59" spans="1:20" x14ac:dyDescent="0.3">
      <c r="A59" s="639" t="s">
        <v>334</v>
      </c>
      <c r="B59" s="405">
        <f t="shared" si="15"/>
        <v>1</v>
      </c>
      <c r="C59" s="156">
        <f>IF(OSI!$K$33&gt;0,OSI!$K$33,Data!$R$594)</f>
        <v>0.61</v>
      </c>
      <c r="D59" s="34" t="s">
        <v>117</v>
      </c>
      <c r="E59" s="226">
        <f>C59*peas</f>
        <v>0</v>
      </c>
      <c r="F59" s="167">
        <f t="shared" si="18"/>
        <v>2.56</v>
      </c>
      <c r="G59" s="114">
        <f>C59*F59</f>
        <v>1.5616000000000001</v>
      </c>
      <c r="H59" s="109">
        <f>B59*G59*peas</f>
        <v>0</v>
      </c>
      <c r="K59" s="55"/>
      <c r="L59" s="55"/>
    </row>
    <row r="60" spans="1:20" x14ac:dyDescent="0.3">
      <c r="A60" s="639" t="s">
        <v>2218</v>
      </c>
      <c r="B60" s="405">
        <f t="shared" si="15"/>
        <v>1</v>
      </c>
      <c r="C60" s="156">
        <f>IF(OSI!$K$34&gt;0,OSI!$K$34,Data!$R$591)</f>
        <v>0.34</v>
      </c>
      <c r="D60" s="34" t="s">
        <v>117</v>
      </c>
      <c r="E60" s="226">
        <f t="shared" si="16"/>
        <v>0</v>
      </c>
      <c r="F60" s="104">
        <f t="shared" si="18"/>
        <v>2.56</v>
      </c>
      <c r="G60" s="114">
        <f t="shared" si="19"/>
        <v>0.87040000000000006</v>
      </c>
      <c r="H60" s="109">
        <f t="shared" si="17"/>
        <v>0</v>
      </c>
    </row>
    <row r="61" spans="1:20" x14ac:dyDescent="0.3">
      <c r="A61" s="22" t="s">
        <v>315</v>
      </c>
      <c r="B61" s="405">
        <f t="shared" si="15"/>
        <v>0</v>
      </c>
      <c r="C61" s="156">
        <f>Data!R582</f>
        <v>0.2</v>
      </c>
      <c r="D61" s="34" t="s">
        <v>117</v>
      </c>
      <c r="E61" s="226">
        <f t="shared" si="16"/>
        <v>0</v>
      </c>
      <c r="F61" s="167">
        <f t="shared" si="18"/>
        <v>2.56</v>
      </c>
      <c r="G61" s="114">
        <f t="shared" si="19"/>
        <v>0.51200000000000001</v>
      </c>
      <c r="H61" s="109">
        <f t="shared" si="17"/>
        <v>0</v>
      </c>
      <c r="I61" s="99"/>
    </row>
    <row r="62" spans="1:20" x14ac:dyDescent="0.3">
      <c r="A62" s="22" t="s">
        <v>338</v>
      </c>
      <c r="B62" s="405">
        <f t="shared" si="15"/>
        <v>0</v>
      </c>
      <c r="C62" s="156">
        <f>Data!R592</f>
        <v>0.83039215686274503</v>
      </c>
      <c r="D62" s="34" t="s">
        <v>117</v>
      </c>
      <c r="E62" s="226">
        <f t="shared" si="16"/>
        <v>0</v>
      </c>
      <c r="F62" s="167">
        <f t="shared" si="18"/>
        <v>2.56</v>
      </c>
      <c r="G62" s="114">
        <f t="shared" si="19"/>
        <v>2.1258039215686275</v>
      </c>
      <c r="H62" s="109">
        <f t="shared" si="17"/>
        <v>0</v>
      </c>
      <c r="I62" s="99"/>
    </row>
    <row r="63" spans="1:20" x14ac:dyDescent="0.3">
      <c r="A63" s="22" t="s">
        <v>339</v>
      </c>
      <c r="B63" s="405">
        <f t="shared" si="15"/>
        <v>0</v>
      </c>
      <c r="C63" s="156">
        <f>Data!R595</f>
        <v>0.34178571428571403</v>
      </c>
      <c r="D63" s="34" t="s">
        <v>117</v>
      </c>
      <c r="E63" s="226">
        <f t="shared" si="16"/>
        <v>0</v>
      </c>
      <c r="F63" s="167">
        <f t="shared" si="18"/>
        <v>2.56</v>
      </c>
      <c r="G63" s="114">
        <f t="shared" si="19"/>
        <v>0.87497142857142796</v>
      </c>
      <c r="H63" s="109">
        <f t="shared" si="17"/>
        <v>0</v>
      </c>
      <c r="I63" s="99"/>
    </row>
    <row r="64" spans="1:20" x14ac:dyDescent="0.3">
      <c r="A64" s="639" t="s">
        <v>340</v>
      </c>
      <c r="B64" s="405">
        <f t="shared" si="15"/>
        <v>2</v>
      </c>
      <c r="C64" s="156">
        <f>IF(OSI!$K$35&gt;0,OSI!$K$35,Data!$R$606)</f>
        <v>0.46</v>
      </c>
      <c r="D64" s="34" t="s">
        <v>117</v>
      </c>
      <c r="E64" s="226">
        <f>C64*peas</f>
        <v>0</v>
      </c>
      <c r="F64" s="167">
        <f t="shared" si="18"/>
        <v>2.56</v>
      </c>
      <c r="G64" s="114">
        <f>C64*F64</f>
        <v>1.1776</v>
      </c>
      <c r="H64" s="109">
        <f>B64*G64*peas</f>
        <v>0</v>
      </c>
      <c r="I64" s="99"/>
    </row>
    <row r="65" spans="1:21" x14ac:dyDescent="0.3">
      <c r="A65" s="639" t="s">
        <v>1626</v>
      </c>
      <c r="B65" s="405">
        <f t="shared" si="15"/>
        <v>0</v>
      </c>
      <c r="C65" s="156">
        <f>IF(OSI!$K$36&gt;0,OSI!$K$36,Data!$R$584)</f>
        <v>0.13183670241332501</v>
      </c>
      <c r="D65" s="34" t="s">
        <v>117</v>
      </c>
      <c r="E65" s="226">
        <f>C65*peas</f>
        <v>0</v>
      </c>
      <c r="F65" s="167">
        <f t="shared" si="18"/>
        <v>2.56</v>
      </c>
      <c r="G65" s="114">
        <f>C65*F65</f>
        <v>0.33750195817811202</v>
      </c>
      <c r="H65" s="109">
        <f>B65*G65*peas</f>
        <v>0</v>
      </c>
      <c r="I65" s="99"/>
    </row>
    <row r="66" spans="1:21" x14ac:dyDescent="0.3">
      <c r="A66" s="22" t="s">
        <v>304</v>
      </c>
      <c r="B66" s="405">
        <f t="shared" ref="B66" si="20">B33</f>
        <v>0</v>
      </c>
      <c r="C66" s="156">
        <f>Data!R600</f>
        <v>0.11981642612033799</v>
      </c>
      <c r="D66" s="34" t="s">
        <v>117</v>
      </c>
      <c r="E66" s="226">
        <f t="shared" si="16"/>
        <v>0</v>
      </c>
      <c r="F66" s="167">
        <f t="shared" si="18"/>
        <v>2.56</v>
      </c>
      <c r="G66" s="114">
        <f t="shared" si="19"/>
        <v>0.30673005086806526</v>
      </c>
      <c r="H66" s="109">
        <f t="shared" si="17"/>
        <v>0</v>
      </c>
      <c r="I66" s="99"/>
    </row>
    <row r="67" spans="1:21" x14ac:dyDescent="0.3">
      <c r="A67" s="639" t="s">
        <v>1628</v>
      </c>
      <c r="B67" s="405">
        <f>B34</f>
        <v>0</v>
      </c>
      <c r="C67" s="156">
        <f>IF(OSI!$K$37&gt;0,OSI!$K$37,Data!$R$601)</f>
        <v>0.12</v>
      </c>
      <c r="D67" s="34" t="s">
        <v>117</v>
      </c>
      <c r="E67" s="226">
        <f>C67*peas</f>
        <v>0</v>
      </c>
      <c r="F67" s="167">
        <f t="shared" si="18"/>
        <v>2.56</v>
      </c>
      <c r="G67" s="114">
        <f>C67*F67</f>
        <v>0.30719999999999997</v>
      </c>
      <c r="H67" s="109">
        <f>B67*G67*peas</f>
        <v>0</v>
      </c>
      <c r="I67" s="99"/>
    </row>
    <row r="68" spans="1:21" x14ac:dyDescent="0.3">
      <c r="A68" s="639" t="s">
        <v>1283</v>
      </c>
      <c r="B68" s="405">
        <f>B35</f>
        <v>1</v>
      </c>
      <c r="C68" s="156">
        <f>IF(OSI!$K$39&gt;0,OSI!$K$39,Data!$R$614)</f>
        <v>2</v>
      </c>
      <c r="D68" s="34" t="s">
        <v>117</v>
      </c>
      <c r="E68" s="226">
        <f t="shared" si="16"/>
        <v>0</v>
      </c>
      <c r="F68" s="167">
        <f t="shared" si="18"/>
        <v>2.56</v>
      </c>
      <c r="G68" s="114">
        <f t="shared" si="19"/>
        <v>5.12</v>
      </c>
      <c r="H68" s="109">
        <f t="shared" si="17"/>
        <v>0</v>
      </c>
      <c r="I68" s="99"/>
    </row>
    <row r="69" spans="1:21" x14ac:dyDescent="0.3">
      <c r="A69" s="666" t="s">
        <v>1022</v>
      </c>
      <c r="B69" s="405">
        <f>B36</f>
        <v>0</v>
      </c>
      <c r="C69" s="47">
        <f>Data!$R$617*Data!$F$244</f>
        <v>0</v>
      </c>
      <c r="D69" s="48" t="s">
        <v>117</v>
      </c>
      <c r="E69" s="647">
        <f t="shared" si="16"/>
        <v>0</v>
      </c>
      <c r="F69" s="118">
        <f>diesel_fuel</f>
        <v>2.56</v>
      </c>
      <c r="G69" s="465">
        <f>C69*F69</f>
        <v>0</v>
      </c>
      <c r="H69" s="123">
        <f t="shared" si="17"/>
        <v>0</v>
      </c>
      <c r="I69" s="99"/>
    </row>
    <row r="70" spans="1:21" x14ac:dyDescent="0.3">
      <c r="A70" s="639" t="s">
        <v>2088</v>
      </c>
      <c r="B70" s="405">
        <f>B37</f>
        <v>1</v>
      </c>
      <c r="C70" s="156">
        <f>IF(OSI!$K$40&gt;0,OSI!$K$40,Data!$R$640)</f>
        <v>0.15019536077863399</v>
      </c>
      <c r="D70" s="34" t="s">
        <v>117</v>
      </c>
      <c r="E70" s="226">
        <f t="shared" si="16"/>
        <v>0</v>
      </c>
      <c r="F70" s="167">
        <f t="shared" si="18"/>
        <v>2.56</v>
      </c>
      <c r="G70" s="114">
        <f t="shared" si="19"/>
        <v>0.38450012359330304</v>
      </c>
      <c r="H70" s="109">
        <f t="shared" si="17"/>
        <v>0</v>
      </c>
      <c r="I70" s="99"/>
    </row>
    <row r="71" spans="1:21" x14ac:dyDescent="0.3">
      <c r="A71" s="666" t="s">
        <v>1022</v>
      </c>
      <c r="B71" s="405">
        <f>B38</f>
        <v>1</v>
      </c>
      <c r="C71" s="47">
        <f>Data!$R$641*Data!$F$244</f>
        <v>0</v>
      </c>
      <c r="D71" s="48" t="s">
        <v>117</v>
      </c>
      <c r="E71" s="647">
        <f t="shared" si="16"/>
        <v>0</v>
      </c>
      <c r="F71" s="118">
        <f>diesel_fuel</f>
        <v>2.56</v>
      </c>
      <c r="G71" s="465">
        <f>C71*F71</f>
        <v>0</v>
      </c>
      <c r="H71" s="123">
        <f t="shared" si="17"/>
        <v>0</v>
      </c>
      <c r="I71" s="99"/>
    </row>
    <row r="72" spans="1:21" x14ac:dyDescent="0.3">
      <c r="A72" s="639" t="s">
        <v>1435</v>
      </c>
      <c r="B72" s="832"/>
      <c r="C72" s="47"/>
      <c r="D72" s="48"/>
      <c r="E72" s="647"/>
      <c r="F72" s="118"/>
      <c r="G72" s="465"/>
      <c r="H72" s="123"/>
      <c r="I72" s="99"/>
    </row>
    <row r="73" spans="1:21" x14ac:dyDescent="0.3">
      <c r="A73" s="638" t="s">
        <v>1436</v>
      </c>
      <c r="B73" s="405">
        <f>B40</f>
        <v>1</v>
      </c>
      <c r="C73" s="165">
        <f>IF(OSI!$K$41&gt;0,OSI!$K$41,Data!$R$675)</f>
        <v>0</v>
      </c>
      <c r="D73" s="34" t="s">
        <v>117</v>
      </c>
      <c r="E73" s="226">
        <f t="shared" ref="E73:E74" si="21">C73*peas</f>
        <v>0</v>
      </c>
      <c r="F73" s="167">
        <f t="shared" si="18"/>
        <v>2.56</v>
      </c>
      <c r="G73" s="114">
        <f t="shared" ref="G73" si="22">C73*F73</f>
        <v>0</v>
      </c>
      <c r="H73" s="109">
        <f t="shared" ref="H73:H74" si="23">B73*G73*peas</f>
        <v>0</v>
      </c>
      <c r="I73" s="99"/>
    </row>
    <row r="74" spans="1:21" x14ac:dyDescent="0.3">
      <c r="A74" s="666" t="s">
        <v>1022</v>
      </c>
      <c r="B74" s="405">
        <f>B41</f>
        <v>1</v>
      </c>
      <c r="C74" s="83">
        <f>Data!R676*Data!$F$244</f>
        <v>0</v>
      </c>
      <c r="D74" s="48" t="s">
        <v>117</v>
      </c>
      <c r="E74" s="647">
        <f t="shared" si="21"/>
        <v>0</v>
      </c>
      <c r="F74" s="118">
        <f>diesel_fuel</f>
        <v>2.56</v>
      </c>
      <c r="G74" s="465">
        <f>C74*F74</f>
        <v>0</v>
      </c>
      <c r="H74" s="123">
        <f t="shared" si="23"/>
        <v>0</v>
      </c>
      <c r="I74" s="99"/>
      <c r="L74" s="4" t="s">
        <v>1077</v>
      </c>
    </row>
    <row r="75" spans="1:21" x14ac:dyDescent="0.3">
      <c r="A75" s="639" t="s">
        <v>1147</v>
      </c>
      <c r="B75" s="46"/>
      <c r="C75" s="46"/>
      <c r="D75" s="34"/>
      <c r="E75" s="226"/>
      <c r="F75" s="90"/>
      <c r="G75" s="114"/>
      <c r="H75" s="109"/>
      <c r="I75" s="99"/>
      <c r="J75" s="588">
        <f>OSI!$E$69</f>
        <v>30000</v>
      </c>
      <c r="K75" s="17" t="s">
        <v>220</v>
      </c>
      <c r="L75" s="17">
        <f>J75/2000</f>
        <v>15</v>
      </c>
      <c r="M75" s="17" t="s">
        <v>26</v>
      </c>
      <c r="N75" s="588">
        <f>OSI!$C$69</f>
        <v>500</v>
      </c>
      <c r="O75" s="17" t="s">
        <v>931</v>
      </c>
      <c r="P75" s="93" t="s">
        <v>944</v>
      </c>
      <c r="Q75" s="93"/>
      <c r="S75" s="588">
        <f>N75*Data!$K$66</f>
        <v>30000</v>
      </c>
      <c r="T75" s="17" t="s">
        <v>220</v>
      </c>
      <c r="U75" s="589">
        <f>S75/J75</f>
        <v>1</v>
      </c>
    </row>
    <row r="76" spans="1:21" x14ac:dyDescent="0.3">
      <c r="A76" s="638" t="s">
        <v>1146</v>
      </c>
      <c r="B76" s="405">
        <f>B43</f>
        <v>1</v>
      </c>
      <c r="C76" s="816">
        <f>IF(OSI!$K$42&gt;0,OSI!$K$42,Data!$R$695)</f>
        <v>0</v>
      </c>
      <c r="D76" s="34" t="s">
        <v>116</v>
      </c>
      <c r="E76" s="226">
        <f>C76*peas</f>
        <v>0</v>
      </c>
      <c r="F76" s="167">
        <f t="shared" si="18"/>
        <v>2.56</v>
      </c>
      <c r="G76" s="114">
        <f>C76*F76</f>
        <v>0</v>
      </c>
      <c r="H76" s="110">
        <f>B76*G76*peas*G3</f>
        <v>0</v>
      </c>
      <c r="I76" s="108"/>
      <c r="J76" s="588">
        <f>OSI!$E$70</f>
        <v>180</v>
      </c>
      <c r="K76" s="17" t="s">
        <v>220</v>
      </c>
      <c r="L76" s="17">
        <f>J76/2000</f>
        <v>0.09</v>
      </c>
      <c r="M76" s="17" t="s">
        <v>26</v>
      </c>
      <c r="N76" s="588">
        <f>OSI!$C$70</f>
        <v>3</v>
      </c>
      <c r="O76" s="17" t="s">
        <v>931</v>
      </c>
      <c r="P76" s="93" t="s">
        <v>945</v>
      </c>
      <c r="Q76" s="93"/>
      <c r="S76" s="588">
        <f>N76*Data!$K$66</f>
        <v>180</v>
      </c>
      <c r="T76" s="17" t="s">
        <v>220</v>
      </c>
      <c r="U76" s="589">
        <f>S76/J76</f>
        <v>1</v>
      </c>
    </row>
    <row r="77" spans="1:21" x14ac:dyDescent="0.3">
      <c r="A77" s="666" t="s">
        <v>1022</v>
      </c>
      <c r="B77" s="405">
        <f>B44</f>
        <v>1</v>
      </c>
      <c r="C77" s="83">
        <f>C76*Data!$F$244</f>
        <v>0</v>
      </c>
      <c r="D77" s="48" t="s">
        <v>117</v>
      </c>
      <c r="E77" s="647">
        <f t="shared" ref="E77" si="24">C77*peas</f>
        <v>0</v>
      </c>
      <c r="F77" s="118">
        <f>diesel_fuel</f>
        <v>2.56</v>
      </c>
      <c r="G77" s="465">
        <f>C77*F77</f>
        <v>0</v>
      </c>
      <c r="H77" s="123">
        <f>B77*G77*peas</f>
        <v>0</v>
      </c>
      <c r="I77" s="108">
        <f>SUM(H53:H78)</f>
        <v>0</v>
      </c>
    </row>
    <row r="78" spans="1:21" x14ac:dyDescent="0.3">
      <c r="A78" s="1258" t="s">
        <v>2095</v>
      </c>
      <c r="Q78" s="216" t="s">
        <v>933</v>
      </c>
    </row>
    <row r="79" spans="1:21" x14ac:dyDescent="0.3">
      <c r="A79" s="638" t="s">
        <v>938</v>
      </c>
      <c r="H79" s="98"/>
      <c r="J79" s="67" t="s">
        <v>932</v>
      </c>
      <c r="K79" s="216" t="s">
        <v>946</v>
      </c>
      <c r="L79" s="89" t="s">
        <v>2044</v>
      </c>
      <c r="M79" s="89"/>
      <c r="N79" s="89" t="s">
        <v>2044</v>
      </c>
      <c r="O79" s="89"/>
      <c r="P79" s="216" t="s">
        <v>763</v>
      </c>
      <c r="Q79" s="216" t="s">
        <v>764</v>
      </c>
      <c r="R79" s="216" t="s">
        <v>119</v>
      </c>
    </row>
    <row r="80" spans="1:21" x14ac:dyDescent="0.3">
      <c r="A80" s="638" t="s">
        <v>939</v>
      </c>
      <c r="B80" s="405">
        <f>IF(OSI!$K$77&gt;0,1*$P$86,0)</f>
        <v>1</v>
      </c>
      <c r="C80" s="410">
        <f>IF(peas&gt;0,($R$80*((Data!$B$244*peas)/$N$75))/peas,0)</f>
        <v>0</v>
      </c>
      <c r="D80" s="34" t="s">
        <v>117</v>
      </c>
      <c r="E80" s="46">
        <f>C80*peas</f>
        <v>0</v>
      </c>
      <c r="F80" s="167">
        <f t="shared" ref="F80" si="25">diesel_fuel</f>
        <v>2.56</v>
      </c>
      <c r="G80" s="114">
        <f t="shared" ref="G80:G81" si="26">C80*F80</f>
        <v>0</v>
      </c>
      <c r="H80" s="110">
        <f>B80*G80*peas</f>
        <v>0</v>
      </c>
      <c r="J80" s="55" t="s">
        <v>762</v>
      </c>
      <c r="K80" s="816">
        <f>B80</f>
        <v>1</v>
      </c>
      <c r="L80" s="168">
        <f>IF(peas&gt;0,(K80*(R80*diesel_fuel)*((Data!$B$244*peas)/$N$75))/peas,0)</f>
        <v>0</v>
      </c>
      <c r="M80" s="22" t="s">
        <v>254</v>
      </c>
      <c r="N80" s="168">
        <f>(R80*diesel_fuel)</f>
        <v>3.4133333333333331</v>
      </c>
      <c r="O80" s="22" t="s">
        <v>935</v>
      </c>
      <c r="P80" s="816">
        <f>OSI!$G$69</f>
        <v>20</v>
      </c>
      <c r="Q80" s="816">
        <f>OSI!$G$70</f>
        <v>15</v>
      </c>
      <c r="R80" s="46">
        <f>(P80/Q80)*U75</f>
        <v>1.3333333333333333</v>
      </c>
    </row>
    <row r="81" spans="1:18" x14ac:dyDescent="0.3">
      <c r="A81" s="666" t="s">
        <v>2025</v>
      </c>
      <c r="B81" s="405">
        <f>IF(Data!$F$244=0,0,1*$P$86)</f>
        <v>0</v>
      </c>
      <c r="C81" s="593">
        <f>C80*Data!$F$244</f>
        <v>0</v>
      </c>
      <c r="D81" s="48" t="s">
        <v>117</v>
      </c>
      <c r="E81" s="47">
        <f>C81*peas</f>
        <v>0</v>
      </c>
      <c r="F81" s="118">
        <f>diesel_fuel</f>
        <v>2.56</v>
      </c>
      <c r="G81" s="465">
        <f t="shared" si="26"/>
        <v>0</v>
      </c>
      <c r="H81" s="123">
        <f>B81*G81*peas</f>
        <v>0</v>
      </c>
      <c r="Q81" s="216" t="s">
        <v>933</v>
      </c>
    </row>
    <row r="82" spans="1:18" x14ac:dyDescent="0.3">
      <c r="A82" s="638" t="s">
        <v>942</v>
      </c>
      <c r="B82" s="34"/>
      <c r="C82" s="34"/>
      <c r="D82" s="34"/>
      <c r="E82" s="226"/>
      <c r="F82" s="68"/>
      <c r="G82" s="114"/>
      <c r="H82" s="110"/>
      <c r="J82" s="67" t="s">
        <v>934</v>
      </c>
      <c r="K82" s="216" t="s">
        <v>946</v>
      </c>
      <c r="L82" s="89" t="s">
        <v>2044</v>
      </c>
      <c r="M82" s="89"/>
      <c r="N82" s="89" t="s">
        <v>2044</v>
      </c>
      <c r="O82" s="89"/>
      <c r="P82" s="216" t="s">
        <v>763</v>
      </c>
      <c r="Q82" s="216" t="s">
        <v>764</v>
      </c>
      <c r="R82" s="216" t="s">
        <v>119</v>
      </c>
    </row>
    <row r="83" spans="1:18" x14ac:dyDescent="0.3">
      <c r="A83" s="638" t="s">
        <v>939</v>
      </c>
      <c r="B83" s="405">
        <f>IF(OSI!$K$78&gt;0,1*$Q$86,0)</f>
        <v>0</v>
      </c>
      <c r="C83" s="410">
        <f>IF(peas&gt;0,($R$83*((Data!$B$244*peas)/$N$76))/peas,0)</f>
        <v>0</v>
      </c>
      <c r="D83" s="34" t="s">
        <v>117</v>
      </c>
      <c r="E83" s="46">
        <f>C83*peas</f>
        <v>0</v>
      </c>
      <c r="F83" s="167">
        <f t="shared" ref="F83" si="27">diesel_fuel</f>
        <v>2.56</v>
      </c>
      <c r="G83" s="114">
        <f t="shared" ref="G83:G84" si="28">C83*F83</f>
        <v>0</v>
      </c>
      <c r="H83" s="110">
        <f>B83*G83*peas</f>
        <v>0</v>
      </c>
      <c r="J83" s="55" t="s">
        <v>762</v>
      </c>
      <c r="K83" s="816">
        <f>B83</f>
        <v>0</v>
      </c>
      <c r="L83" s="168">
        <f>IF(peas&gt;0,(K83*(R83*diesel_fuel)*((Data!$B$244*peas)/$N$76))/peas,0)</f>
        <v>0</v>
      </c>
      <c r="M83" s="22" t="s">
        <v>254</v>
      </c>
      <c r="N83" s="168">
        <f>(R83*diesel_fuel)</f>
        <v>7.3142857142857149</v>
      </c>
      <c r="O83" s="22" t="s">
        <v>935</v>
      </c>
      <c r="P83" s="816">
        <f>OSI!$I$69</f>
        <v>20</v>
      </c>
      <c r="Q83" s="816">
        <f>OSI!$I$70</f>
        <v>7</v>
      </c>
      <c r="R83" s="46">
        <f>(P83/Q83)*U76</f>
        <v>2.8571428571428572</v>
      </c>
    </row>
    <row r="84" spans="1:18" x14ac:dyDescent="0.3">
      <c r="A84" s="666" t="s">
        <v>2025</v>
      </c>
      <c r="B84" s="405">
        <f>IF(Data!$F$244=0,0,1*$Q$86)</f>
        <v>0</v>
      </c>
      <c r="C84" s="593">
        <f>C83*Data!$F$244</f>
        <v>0</v>
      </c>
      <c r="D84" s="48" t="s">
        <v>117</v>
      </c>
      <c r="E84" s="47">
        <f>C84*peas</f>
        <v>0</v>
      </c>
      <c r="F84" s="118">
        <f>diesel_fuel</f>
        <v>2.56</v>
      </c>
      <c r="G84" s="465">
        <f t="shared" si="28"/>
        <v>0</v>
      </c>
      <c r="H84" s="123">
        <f>B84*G84*peas</f>
        <v>0</v>
      </c>
      <c r="I84" s="108">
        <f>SUM(H79:H84)</f>
        <v>0</v>
      </c>
      <c r="J84" s="89"/>
      <c r="K84" s="89"/>
      <c r="L84" s="89"/>
      <c r="M84" s="216"/>
      <c r="N84" s="216"/>
      <c r="O84" s="216"/>
    </row>
    <row r="85" spans="1:18" x14ac:dyDescent="0.3">
      <c r="A85" s="3" t="s">
        <v>20</v>
      </c>
      <c r="B85" s="405">
        <f>IF(OSI!$B$46=0,0,1)</f>
        <v>1</v>
      </c>
      <c r="C85" s="46" t="s">
        <v>45</v>
      </c>
      <c r="D85" s="46" t="s">
        <v>45</v>
      </c>
      <c r="E85" s="226" t="s">
        <v>45</v>
      </c>
      <c r="F85" s="55" t="s">
        <v>45</v>
      </c>
      <c r="G85" s="114">
        <f>IF(FARM!$C$23=0,0,H85/peas)</f>
        <v>0</v>
      </c>
      <c r="H85" s="104">
        <f>B85*lube*SUM(H53:H84)</f>
        <v>0</v>
      </c>
      <c r="I85" s="108">
        <f>SUM(H85:H85)</f>
        <v>0</v>
      </c>
      <c r="O85" s="67" t="s">
        <v>947</v>
      </c>
      <c r="P85" s="216" t="s">
        <v>932</v>
      </c>
      <c r="Q85" s="216" t="s">
        <v>934</v>
      </c>
      <c r="R85" s="216" t="s">
        <v>76</v>
      </c>
    </row>
    <row r="86" spans="1:18" x14ac:dyDescent="0.3">
      <c r="A86" s="3" t="s">
        <v>67</v>
      </c>
      <c r="B86" s="643">
        <v>1</v>
      </c>
      <c r="C86" s="46" t="s">
        <v>45</v>
      </c>
      <c r="D86" s="46" t="s">
        <v>45</v>
      </c>
      <c r="E86" s="226" t="s">
        <v>45</v>
      </c>
      <c r="F86" s="55" t="s">
        <v>45</v>
      </c>
      <c r="G86" s="114">
        <f>IF(FARM!$C$23=0,0,H86/peas)</f>
        <v>0</v>
      </c>
      <c r="H86" s="109">
        <f>IF(Data!D20=1, B86*Pf!J114*Data!D20, 0)</f>
        <v>0</v>
      </c>
      <c r="I86" s="66"/>
      <c r="O86" s="34" t="s">
        <v>762</v>
      </c>
      <c r="P86" s="922">
        <f>OSI!$K$77</f>
        <v>1</v>
      </c>
      <c r="Q86" s="922">
        <f>OSI!$K$83</f>
        <v>0</v>
      </c>
      <c r="R86" s="412">
        <f>SUM(P86:Q86)</f>
        <v>1</v>
      </c>
    </row>
    <row r="87" spans="1:18" x14ac:dyDescent="0.3">
      <c r="A87" s="3"/>
      <c r="B87" s="397">
        <v>0</v>
      </c>
      <c r="C87" s="46" t="s">
        <v>45</v>
      </c>
      <c r="D87" s="46" t="s">
        <v>45</v>
      </c>
      <c r="E87" s="226" t="s">
        <v>45</v>
      </c>
      <c r="F87" s="55" t="s">
        <v>45</v>
      </c>
      <c r="G87" s="272">
        <f>0</f>
        <v>0</v>
      </c>
      <c r="H87" s="109">
        <f>B87*G87*peas</f>
        <v>0</v>
      </c>
      <c r="I87" s="108">
        <f>SUM(H86:H87)</f>
        <v>0</v>
      </c>
    </row>
    <row r="88" spans="1:18" x14ac:dyDescent="0.3">
      <c r="A88" s="3" t="s">
        <v>170</v>
      </c>
      <c r="B88" s="405">
        <f>IF(OSI!$K$52=0,0,1)</f>
        <v>0</v>
      </c>
      <c r="C88" s="46" t="s">
        <v>45</v>
      </c>
      <c r="D88" s="46" t="s">
        <v>45</v>
      </c>
      <c r="E88" s="226" t="s">
        <v>45</v>
      </c>
      <c r="F88" s="55" t="s">
        <v>45</v>
      </c>
      <c r="G88" s="114">
        <f>IF(FARM!$C$23=0,0,OSI!$K$52/peas)</f>
        <v>0</v>
      </c>
      <c r="H88" s="109">
        <f>B88*G88*peas</f>
        <v>0</v>
      </c>
      <c r="I88" s="108">
        <f>SUM(H88:H88)</f>
        <v>0</v>
      </c>
    </row>
    <row r="89" spans="1:18" x14ac:dyDescent="0.3">
      <c r="A89" s="3" t="s">
        <v>75</v>
      </c>
      <c r="B89" s="405">
        <f>IF(OSI!$K$53=0,0,1)</f>
        <v>1</v>
      </c>
      <c r="C89" s="46" t="s">
        <v>45</v>
      </c>
      <c r="D89" s="34" t="s">
        <v>45</v>
      </c>
      <c r="E89" s="226" t="s">
        <v>45</v>
      </c>
      <c r="F89" s="114">
        <f>G89</f>
        <v>0</v>
      </c>
      <c r="G89" s="114">
        <f>IF(FARM!$C$23=0,0,OSI!$K$53/peas)</f>
        <v>0</v>
      </c>
      <c r="H89" s="109">
        <f>B89*G89*peas</f>
        <v>0</v>
      </c>
    </row>
    <row r="90" spans="1:18" x14ac:dyDescent="0.3">
      <c r="A90" s="3"/>
      <c r="B90" s="397">
        <v>0</v>
      </c>
      <c r="C90" s="46" t="s">
        <v>45</v>
      </c>
      <c r="D90" s="34" t="s">
        <v>45</v>
      </c>
      <c r="E90" s="226" t="s">
        <v>45</v>
      </c>
      <c r="F90" s="68" t="s">
        <v>45</v>
      </c>
      <c r="G90" s="272">
        <f>0</f>
        <v>0</v>
      </c>
      <c r="H90" s="109">
        <f>B90*G90*peas</f>
        <v>0</v>
      </c>
      <c r="I90" s="108">
        <f>SUM(H89:H90)</f>
        <v>0</v>
      </c>
    </row>
    <row r="91" spans="1:18" x14ac:dyDescent="0.3">
      <c r="A91" s="69" t="s">
        <v>173</v>
      </c>
      <c r="B91" s="69"/>
      <c r="C91" s="46"/>
      <c r="D91" s="34"/>
      <c r="E91" s="226"/>
      <c r="F91" s="114"/>
      <c r="G91" s="114"/>
      <c r="H91" s="109"/>
    </row>
    <row r="92" spans="1:18" x14ac:dyDescent="0.3">
      <c r="A92" s="856" t="s">
        <v>1504</v>
      </c>
      <c r="B92" s="405">
        <f>IF(Data!$F$75=0,0,1)</f>
        <v>1</v>
      </c>
      <c r="C92" s="46" t="s">
        <v>45</v>
      </c>
      <c r="D92" s="46" t="s">
        <v>45</v>
      </c>
      <c r="E92" s="226" t="s">
        <v>45</v>
      </c>
      <c r="F92" s="68" t="s">
        <v>45</v>
      </c>
      <c r="G92" s="676">
        <f>Data!$F$75</f>
        <v>1.5</v>
      </c>
      <c r="H92" s="109">
        <f>B92*G92*peas</f>
        <v>0</v>
      </c>
      <c r="I92" s="108">
        <f>SUM(H92:H92)</f>
        <v>0</v>
      </c>
    </row>
    <row r="93" spans="1:18" x14ac:dyDescent="0.3">
      <c r="A93" s="856" t="s">
        <v>1510</v>
      </c>
      <c r="E93" s="17"/>
    </row>
    <row r="94" spans="1:18" x14ac:dyDescent="0.3">
      <c r="A94" s="638" t="s">
        <v>1507</v>
      </c>
      <c r="B94" s="816">
        <f>IF(OSI!$C$63&gt;0,1,0)</f>
        <v>1</v>
      </c>
      <c r="C94" s="817">
        <f>IF(OSI!$C$63&gt;0,OSI!$C$63,Data!$G$108)</f>
        <v>4</v>
      </c>
      <c r="D94" s="34" t="s">
        <v>1496</v>
      </c>
      <c r="E94" s="34">
        <f>B94*C94</f>
        <v>4</v>
      </c>
      <c r="F94" s="676">
        <f>IF(OSI!$C$63&gt;0,OSI!$C$64,Data!$I$108)</f>
        <v>250</v>
      </c>
      <c r="G94" s="114">
        <f>(C94*F94)/crops</f>
        <v>2.5</v>
      </c>
      <c r="H94" s="109">
        <f>B94*G94*peas</f>
        <v>0</v>
      </c>
    </row>
    <row r="95" spans="1:18" x14ac:dyDescent="0.3">
      <c r="A95" s="638" t="s">
        <v>1509</v>
      </c>
      <c r="B95" s="816">
        <f>IF(OSI!$D$63&gt;0,1,0)</f>
        <v>1</v>
      </c>
      <c r="C95" s="366">
        <f>IF(OSI!$D$63&gt;0,OSI!$D$63,Data!$G$109)</f>
        <v>1000</v>
      </c>
      <c r="D95" s="34" t="s">
        <v>1508</v>
      </c>
      <c r="E95" s="226">
        <f>B95*C95</f>
        <v>1000</v>
      </c>
      <c r="F95" s="367">
        <f>IF(OSI!$D$63&gt;0,OSI!$D$64,Data!$I$109)</f>
        <v>2.5</v>
      </c>
      <c r="G95" s="114">
        <f>(C95*F95)/crops</f>
        <v>6.25</v>
      </c>
      <c r="H95" s="109">
        <f>B95*G95*peas</f>
        <v>0</v>
      </c>
      <c r="I95" s="108">
        <f>SUM(H93:H95)</f>
        <v>0</v>
      </c>
    </row>
    <row r="96" spans="1:18" x14ac:dyDescent="0.3">
      <c r="A96" s="856" t="s">
        <v>1499</v>
      </c>
      <c r="B96" s="405"/>
      <c r="C96" s="46"/>
      <c r="D96" s="34"/>
      <c r="E96" s="34"/>
      <c r="F96" s="55"/>
      <c r="G96" s="138"/>
      <c r="H96" s="110"/>
    </row>
    <row r="97" spans="1:15" x14ac:dyDescent="0.3">
      <c r="A97" s="638" t="s">
        <v>1511</v>
      </c>
      <c r="B97" s="816">
        <f>IF(OSI!$G$62&gt;0,1,0)</f>
        <v>1</v>
      </c>
      <c r="C97" s="816">
        <f>IF(OSI!$G$62&gt;0,OSI!$G$62,Data!$G$111)</f>
        <v>12</v>
      </c>
      <c r="D97" s="34" t="s">
        <v>1502</v>
      </c>
      <c r="E97" s="34">
        <f>B97*C97</f>
        <v>12</v>
      </c>
      <c r="F97" s="676">
        <f>IF(OSI!$G$62&gt;0,OSI!$G$63,Data!$I$111)</f>
        <v>75</v>
      </c>
      <c r="G97" s="114">
        <f>(C97*F97)/crops</f>
        <v>2.25</v>
      </c>
      <c r="H97" s="109">
        <f>B97*G97*peas</f>
        <v>0</v>
      </c>
    </row>
    <row r="98" spans="1:15" x14ac:dyDescent="0.3">
      <c r="A98" s="638" t="s">
        <v>1500</v>
      </c>
      <c r="B98" s="816">
        <f>IF(OSI!$I$62&gt;0,1,0)</f>
        <v>1</v>
      </c>
      <c r="C98" s="816">
        <f>IF(OSI!$I$62&gt;0,OSI!$I$62,Data!$G$112)</f>
        <v>12</v>
      </c>
      <c r="D98" s="34" t="s">
        <v>1502</v>
      </c>
      <c r="E98" s="34">
        <f>B98*C98</f>
        <v>12</v>
      </c>
      <c r="F98" s="676">
        <f>IF(OSI!$I$62&gt;0,OSI!$I$63,Data!$I$112)</f>
        <v>75</v>
      </c>
      <c r="G98" s="114">
        <f>(C98*F98)/crops</f>
        <v>2.25</v>
      </c>
      <c r="H98" s="109">
        <f>B98*G98*peas</f>
        <v>0</v>
      </c>
      <c r="I98" s="108">
        <f>SUM(H96:H98)</f>
        <v>0</v>
      </c>
    </row>
    <row r="99" spans="1:15" x14ac:dyDescent="0.3">
      <c r="A99" s="856" t="s">
        <v>1503</v>
      </c>
      <c r="B99" s="677">
        <f>limeapp</f>
        <v>0.2</v>
      </c>
      <c r="C99" s="46" t="s">
        <v>45</v>
      </c>
      <c r="D99" s="46" t="s">
        <v>45</v>
      </c>
      <c r="E99" s="226" t="s">
        <v>45</v>
      </c>
      <c r="F99" s="110">
        <f>Data!$E$97</f>
        <v>75</v>
      </c>
      <c r="G99" s="114">
        <f>B99*F99</f>
        <v>15</v>
      </c>
      <c r="H99" s="109">
        <f>G99*peas</f>
        <v>0</v>
      </c>
      <c r="I99" s="110">
        <f>SUM(H99:H99)</f>
        <v>0</v>
      </c>
    </row>
    <row r="100" spans="1:15" x14ac:dyDescent="0.3">
      <c r="A100" s="70" t="s">
        <v>177</v>
      </c>
      <c r="B100" s="70"/>
      <c r="F100" s="114"/>
      <c r="G100" s="114"/>
      <c r="H100" s="110"/>
    </row>
    <row r="101" spans="1:15" x14ac:dyDescent="0.3">
      <c r="A101" s="22" t="s">
        <v>174</v>
      </c>
      <c r="B101" s="816">
        <f>IF(Data!$E$57&gt;0,1,0)</f>
        <v>1</v>
      </c>
      <c r="C101" s="34" t="s">
        <v>45</v>
      </c>
      <c r="D101" s="34" t="s">
        <v>81</v>
      </c>
      <c r="E101" s="226" t="s">
        <v>45</v>
      </c>
      <c r="F101" s="110">
        <f>Data!D61</f>
        <v>50</v>
      </c>
      <c r="G101" s="114">
        <f>IF(peas&gt;0,H101/peas,0)</f>
        <v>0</v>
      </c>
      <c r="H101" s="110">
        <f>B101*F101*peas*Data!E57*Data!D20</f>
        <v>0</v>
      </c>
    </row>
    <row r="102" spans="1:15" x14ac:dyDescent="0.3">
      <c r="A102" s="22" t="s">
        <v>224</v>
      </c>
      <c r="B102" s="1305">
        <f>IF(Data!$F$65&gt;0,1,0)</f>
        <v>0</v>
      </c>
      <c r="C102" s="34" t="s">
        <v>45</v>
      </c>
      <c r="D102" s="34" t="s">
        <v>225</v>
      </c>
      <c r="E102" s="226" t="s">
        <v>45</v>
      </c>
      <c r="F102" s="55" t="s">
        <v>45</v>
      </c>
      <c r="G102" s="1306">
        <f>Data!$F$65</f>
        <v>0</v>
      </c>
      <c r="H102" s="110">
        <f>B102*G102*peas</f>
        <v>0</v>
      </c>
      <c r="I102" s="108">
        <f>SUM(H100:H102)</f>
        <v>0</v>
      </c>
    </row>
    <row r="103" spans="1:15" x14ac:dyDescent="0.3">
      <c r="A103" s="665" t="s">
        <v>179</v>
      </c>
      <c r="B103" s="405"/>
      <c r="C103" s="47"/>
      <c r="D103" s="47"/>
      <c r="E103" s="647"/>
      <c r="F103" s="590"/>
      <c r="G103" s="465"/>
      <c r="H103" s="123"/>
      <c r="I103" s="50"/>
      <c r="J103" s="27"/>
      <c r="K103" s="1293" t="s">
        <v>2104</v>
      </c>
      <c r="L103" s="1293" t="s">
        <v>236</v>
      </c>
      <c r="M103" s="1293" t="s">
        <v>393</v>
      </c>
      <c r="N103" s="216"/>
      <c r="O103" s="216"/>
    </row>
    <row r="104" spans="1:15" x14ac:dyDescent="0.3">
      <c r="A104" s="639" t="s">
        <v>957</v>
      </c>
      <c r="B104" s="405">
        <f>IF(OS!$AA$21="Dry",1,0)</f>
        <v>1</v>
      </c>
      <c r="C104" s="46" t="s">
        <v>45</v>
      </c>
      <c r="D104" s="46" t="s">
        <v>45</v>
      </c>
      <c r="E104" s="226" t="s">
        <v>45</v>
      </c>
      <c r="F104" s="55" t="s">
        <v>45</v>
      </c>
      <c r="G104" s="367">
        <f>Data!$I$72*Data!B245</f>
        <v>18.197322235704885</v>
      </c>
      <c r="H104" s="110">
        <f>B104*G104*peas</f>
        <v>0</v>
      </c>
      <c r="I104" s="50"/>
      <c r="K104" s="114">
        <f>Data!$I$72</f>
        <v>0.53521535987367308</v>
      </c>
      <c r="L104" s="24">
        <f>Data!B245</f>
        <v>34</v>
      </c>
      <c r="M104" s="98">
        <f>K104*L104</f>
        <v>18.197322235704885</v>
      </c>
    </row>
    <row r="105" spans="1:15" x14ac:dyDescent="0.3">
      <c r="A105" s="666" t="s">
        <v>247</v>
      </c>
      <c r="B105" s="405">
        <f>B104</f>
        <v>1</v>
      </c>
      <c r="C105" s="47" t="s">
        <v>45</v>
      </c>
      <c r="D105" s="48" t="s">
        <v>45</v>
      </c>
      <c r="E105" s="647" t="s">
        <v>45</v>
      </c>
      <c r="F105" s="118" t="s">
        <v>45</v>
      </c>
      <c r="G105" s="465">
        <f>Data!$I$72*(Data!B244-Data!B245)</f>
        <v>-18.197322235704885</v>
      </c>
      <c r="H105" s="123">
        <f>B105*G105*peas</f>
        <v>0</v>
      </c>
      <c r="I105" s="108">
        <f>SUM(H103:H105)</f>
        <v>0</v>
      </c>
    </row>
    <row r="106" spans="1:15" x14ac:dyDescent="0.3">
      <c r="A106" s="665" t="s">
        <v>2075</v>
      </c>
      <c r="E106" s="17"/>
    </row>
    <row r="107" spans="1:15" x14ac:dyDescent="0.3">
      <c r="A107" s="639" t="s">
        <v>2026</v>
      </c>
      <c r="B107" s="405">
        <f>IF(OSI!$K$92&gt;0,OSI!$K$92,0)</f>
        <v>0</v>
      </c>
      <c r="C107" s="643">
        <v>1</v>
      </c>
      <c r="D107" s="34" t="s">
        <v>1517</v>
      </c>
      <c r="E107" s="34">
        <f>B107*C107</f>
        <v>0</v>
      </c>
      <c r="F107" s="676">
        <f>OSI!$K$92</f>
        <v>0</v>
      </c>
      <c r="G107" s="114">
        <f>(C107*F107)/crops</f>
        <v>0</v>
      </c>
      <c r="H107" s="110">
        <f>B107*G107*peas</f>
        <v>0</v>
      </c>
    </row>
    <row r="108" spans="1:15" x14ac:dyDescent="0.3">
      <c r="A108" s="639" t="s">
        <v>2027</v>
      </c>
      <c r="B108" s="405">
        <f>IF(OSI!$K$94&gt;0,OSI!$K$94,0)</f>
        <v>0</v>
      </c>
      <c r="C108" s="405">
        <f>OSI!$K$94</f>
        <v>0</v>
      </c>
      <c r="D108" s="34" t="s">
        <v>2028</v>
      </c>
      <c r="E108" s="34">
        <f>B108*C108</f>
        <v>0</v>
      </c>
      <c r="F108" s="367">
        <f>OSI!$K$95</f>
        <v>0</v>
      </c>
      <c r="G108" s="114">
        <f>(C108*F108)/crops</f>
        <v>0</v>
      </c>
      <c r="H108" s="110">
        <f>B108*G108*peas</f>
        <v>0</v>
      </c>
      <c r="I108" s="108">
        <f>SUM(H106:H108)</f>
        <v>0</v>
      </c>
    </row>
    <row r="109" spans="1:15" x14ac:dyDescent="0.3">
      <c r="A109" s="856" t="s">
        <v>1518</v>
      </c>
      <c r="B109" s="644"/>
      <c r="C109" s="47"/>
      <c r="D109" s="48"/>
      <c r="E109" s="48"/>
      <c r="F109" s="118"/>
      <c r="G109" s="465"/>
      <c r="H109" s="124"/>
      <c r="I109" s="110"/>
      <c r="K109" s="34"/>
      <c r="N109" s="77"/>
    </row>
    <row r="110" spans="1:15" x14ac:dyDescent="0.3">
      <c r="A110" s="638" t="s">
        <v>1519</v>
      </c>
      <c r="B110" s="816">
        <f>IF(Data!$P$108&gt;0,1,0)</f>
        <v>1</v>
      </c>
      <c r="C110" s="862">
        <f>Data!$Q$108</f>
        <v>0.1</v>
      </c>
      <c r="D110" s="34" t="s">
        <v>128</v>
      </c>
      <c r="E110" s="228">
        <f>C110*peas</f>
        <v>0</v>
      </c>
      <c r="F110" s="167">
        <f t="shared" ref="F110:F113" si="29">_wage_</f>
        <v>12.29</v>
      </c>
      <c r="G110" s="114">
        <f t="shared" ref="G110:G115" si="30">C110*F110</f>
        <v>1.2290000000000001</v>
      </c>
      <c r="H110" s="110">
        <f>B110*G110*peas</f>
        <v>0</v>
      </c>
      <c r="I110" s="110"/>
      <c r="K110" s="34"/>
      <c r="N110" s="77"/>
    </row>
    <row r="111" spans="1:15" x14ac:dyDescent="0.3">
      <c r="A111" s="638" t="s">
        <v>1520</v>
      </c>
      <c r="B111" s="816">
        <f>IF(Data!$P$109&gt;0,1,0)</f>
        <v>1</v>
      </c>
      <c r="C111" s="862">
        <f>Data!$Q$109</f>
        <v>0.02</v>
      </c>
      <c r="D111" s="34" t="s">
        <v>128</v>
      </c>
      <c r="E111" s="228">
        <f>C111*peas</f>
        <v>0</v>
      </c>
      <c r="F111" s="167">
        <f t="shared" si="29"/>
        <v>12.29</v>
      </c>
      <c r="G111" s="114">
        <f t="shared" si="30"/>
        <v>0.24579999999999999</v>
      </c>
      <c r="H111" s="110">
        <f>B111*G111*peas</f>
        <v>0</v>
      </c>
      <c r="I111" s="110"/>
      <c r="K111" s="34"/>
      <c r="N111" s="77"/>
    </row>
    <row r="112" spans="1:15" x14ac:dyDescent="0.3">
      <c r="A112" s="638" t="s">
        <v>1521</v>
      </c>
      <c r="B112" s="816">
        <f>IF(Data!$P$110&gt;0,1,0)</f>
        <v>1</v>
      </c>
      <c r="C112" s="862">
        <f>Data!$Q$110</f>
        <v>0.45500000000000002</v>
      </c>
      <c r="D112" s="34" t="s">
        <v>128</v>
      </c>
      <c r="E112" s="228">
        <f>C112*peas</f>
        <v>0</v>
      </c>
      <c r="F112" s="167">
        <f t="shared" si="29"/>
        <v>12.29</v>
      </c>
      <c r="G112" s="114">
        <f t="shared" si="30"/>
        <v>5.5919499999999998</v>
      </c>
      <c r="H112" s="110">
        <f>B112*G112*peas</f>
        <v>0</v>
      </c>
      <c r="I112" s="110"/>
      <c r="K112" s="34"/>
      <c r="N112" s="77"/>
    </row>
    <row r="113" spans="1:14" x14ac:dyDescent="0.3">
      <c r="A113" s="638" t="s">
        <v>1522</v>
      </c>
      <c r="B113" s="816">
        <f>IF(Data!$P$111&gt;0,1,0)</f>
        <v>1</v>
      </c>
      <c r="C113" s="862">
        <f>Data!$Q$111</f>
        <v>0.32500000000000001</v>
      </c>
      <c r="D113" s="34" t="s">
        <v>128</v>
      </c>
      <c r="E113" s="228">
        <f>C113*peas</f>
        <v>0</v>
      </c>
      <c r="F113" s="167">
        <f t="shared" si="29"/>
        <v>12.29</v>
      </c>
      <c r="G113" s="114">
        <f t="shared" si="30"/>
        <v>3.9942500000000001</v>
      </c>
      <c r="H113" s="110">
        <f>B113*G113*peas</f>
        <v>0</v>
      </c>
      <c r="I113" s="110">
        <f>SUM(H109:H113)</f>
        <v>0</v>
      </c>
      <c r="K113" s="34"/>
      <c r="N113" s="77"/>
    </row>
    <row r="114" spans="1:14" x14ac:dyDescent="0.3">
      <c r="A114" s="856" t="s">
        <v>1528</v>
      </c>
      <c r="B114" s="644"/>
      <c r="C114" s="862"/>
      <c r="D114" s="34"/>
      <c r="E114" s="228"/>
      <c r="F114" s="167"/>
      <c r="G114" s="114"/>
      <c r="H114" s="110"/>
      <c r="I114" s="110"/>
      <c r="K114" s="34"/>
      <c r="N114" s="77"/>
    </row>
    <row r="115" spans="1:14" x14ac:dyDescent="0.3">
      <c r="A115" s="638" t="s">
        <v>1530</v>
      </c>
      <c r="B115" s="816">
        <f>IF(Data!$P$113&gt;0,1,0)</f>
        <v>0</v>
      </c>
      <c r="C115" s="226">
        <f>Data!$Q$113</f>
        <v>0</v>
      </c>
      <c r="D115" s="34" t="s">
        <v>128</v>
      </c>
      <c r="E115" s="226">
        <f>C115*peas</f>
        <v>0</v>
      </c>
      <c r="F115" s="167">
        <f>Data!$S$271</f>
        <v>45</v>
      </c>
      <c r="G115" s="110">
        <f t="shared" si="30"/>
        <v>0</v>
      </c>
      <c r="H115" s="110">
        <f t="shared" ref="H115:H121" si="31">B115*G115*peas</f>
        <v>0</v>
      </c>
      <c r="I115" s="110">
        <f>SUM(H114:H115)</f>
        <v>0</v>
      </c>
      <c r="K115" s="34"/>
      <c r="N115" s="77"/>
    </row>
    <row r="116" spans="1:14" x14ac:dyDescent="0.3">
      <c r="A116" s="856" t="s">
        <v>1512</v>
      </c>
      <c r="B116" s="816">
        <f>Data!$G$113</f>
        <v>1</v>
      </c>
      <c r="C116" s="46" t="s">
        <v>45</v>
      </c>
      <c r="D116" s="46" t="s">
        <v>1517</v>
      </c>
      <c r="E116" s="46" t="s">
        <v>45</v>
      </c>
      <c r="F116" s="676">
        <f>Data!$I$113</f>
        <v>200</v>
      </c>
      <c r="G116" s="114">
        <f>F116/crops</f>
        <v>0.5</v>
      </c>
      <c r="H116" s="110">
        <f t="shared" si="31"/>
        <v>0</v>
      </c>
      <c r="I116" s="110"/>
      <c r="K116" s="34"/>
      <c r="N116" s="77"/>
    </row>
    <row r="117" spans="1:14" x14ac:dyDescent="0.3">
      <c r="A117" s="856" t="s">
        <v>1513</v>
      </c>
      <c r="B117" s="816">
        <f>Data!$G$114</f>
        <v>1</v>
      </c>
      <c r="C117" s="46" t="s">
        <v>45</v>
      </c>
      <c r="D117" s="46" t="s">
        <v>1517</v>
      </c>
      <c r="E117" s="46" t="s">
        <v>45</v>
      </c>
      <c r="F117" s="676">
        <f>Data!$I$114</f>
        <v>500</v>
      </c>
      <c r="G117" s="114">
        <f>F117/crops</f>
        <v>1.25</v>
      </c>
      <c r="H117" s="110">
        <f t="shared" si="31"/>
        <v>0</v>
      </c>
      <c r="I117" s="110"/>
      <c r="K117" s="34"/>
      <c r="N117" s="77"/>
    </row>
    <row r="118" spans="1:14" x14ac:dyDescent="0.3">
      <c r="A118" s="856" t="s">
        <v>1514</v>
      </c>
      <c r="B118" s="816">
        <f>Data!$G$115</f>
        <v>1</v>
      </c>
      <c r="C118" s="46" t="s">
        <v>45</v>
      </c>
      <c r="D118" s="46" t="s">
        <v>1517</v>
      </c>
      <c r="E118" s="46" t="s">
        <v>45</v>
      </c>
      <c r="F118" s="676">
        <f>Data!$I$115</f>
        <v>250</v>
      </c>
      <c r="G118" s="114">
        <f>F118/crops</f>
        <v>0.625</v>
      </c>
      <c r="H118" s="110">
        <f t="shared" si="31"/>
        <v>0</v>
      </c>
      <c r="I118" s="110">
        <f>SUM(H116:H118)</f>
        <v>0</v>
      </c>
      <c r="K118" s="34"/>
      <c r="N118" s="77"/>
    </row>
    <row r="119" spans="1:14" x14ac:dyDescent="0.3">
      <c r="A119" s="70" t="s">
        <v>180</v>
      </c>
      <c r="B119" s="405">
        <f>IF(othexp&gt;0,1,0)</f>
        <v>0</v>
      </c>
      <c r="C119" s="46" t="s">
        <v>45</v>
      </c>
      <c r="D119" s="46" t="s">
        <v>45</v>
      </c>
      <c r="E119" s="226" t="s">
        <v>45</v>
      </c>
      <c r="F119" s="55" t="s">
        <v>45</v>
      </c>
      <c r="G119" s="114">
        <f>othexp</f>
        <v>0</v>
      </c>
      <c r="H119" s="110">
        <f t="shared" si="31"/>
        <v>0</v>
      </c>
    </row>
    <row r="120" spans="1:14" x14ac:dyDescent="0.3">
      <c r="A120" s="22" t="s">
        <v>181</v>
      </c>
      <c r="B120" s="397">
        <v>0</v>
      </c>
      <c r="C120" s="46" t="s">
        <v>45</v>
      </c>
      <c r="D120" s="46" t="s">
        <v>45</v>
      </c>
      <c r="E120" s="226" t="s">
        <v>45</v>
      </c>
      <c r="F120" s="55" t="s">
        <v>45</v>
      </c>
      <c r="G120" s="272">
        <f>0</f>
        <v>0</v>
      </c>
      <c r="H120" s="110">
        <f t="shared" si="31"/>
        <v>0</v>
      </c>
      <c r="I120" s="110">
        <f>SUM(H119:H120)</f>
        <v>0</v>
      </c>
    </row>
    <row r="121" spans="1:14" x14ac:dyDescent="0.3">
      <c r="A121" s="3" t="s">
        <v>226</v>
      </c>
      <c r="B121" s="397">
        <v>0</v>
      </c>
      <c r="C121" s="46" t="s">
        <v>45</v>
      </c>
      <c r="D121" s="75" t="s">
        <v>45</v>
      </c>
      <c r="E121" s="226" t="s">
        <v>45</v>
      </c>
      <c r="F121" s="55" t="s">
        <v>45</v>
      </c>
      <c r="G121" s="272">
        <f>0</f>
        <v>0</v>
      </c>
      <c r="H121" s="110">
        <f t="shared" si="31"/>
        <v>0</v>
      </c>
      <c r="I121" s="110">
        <f>SUM(H121:H121)</f>
        <v>0</v>
      </c>
    </row>
    <row r="122" spans="1:14" x14ac:dyDescent="0.3">
      <c r="A122" s="3" t="s">
        <v>73</v>
      </c>
      <c r="B122" s="3"/>
      <c r="F122" s="114"/>
      <c r="G122" s="119">
        <f>SUM(G8:G121)</f>
        <v>260.0959259702031</v>
      </c>
      <c r="H122" s="111">
        <f>SUM(H8:H121)</f>
        <v>0</v>
      </c>
    </row>
    <row r="123" spans="1:14" x14ac:dyDescent="0.3">
      <c r="F123" s="114"/>
      <c r="G123" s="114"/>
      <c r="H123" s="109"/>
    </row>
    <row r="124" spans="1:14" ht="39" x14ac:dyDescent="0.3">
      <c r="A124" s="3" t="s">
        <v>69</v>
      </c>
      <c r="B124" s="3"/>
      <c r="C124" s="25" t="s">
        <v>70</v>
      </c>
      <c r="D124" s="25" t="s">
        <v>71</v>
      </c>
      <c r="E124" s="648"/>
      <c r="F124" s="114"/>
      <c r="G124" s="120" t="s">
        <v>1292</v>
      </c>
      <c r="H124" s="126" t="s">
        <v>72</v>
      </c>
    </row>
    <row r="125" spans="1:14" x14ac:dyDescent="0.3">
      <c r="A125" s="3"/>
      <c r="B125" s="3"/>
      <c r="C125" s="35">
        <f>_int_oper_</f>
        <v>4.7341710603787002E-2</v>
      </c>
      <c r="D125" s="34">
        <f>Data!$B$48</f>
        <v>7</v>
      </c>
      <c r="E125" s="226"/>
      <c r="F125" s="114"/>
      <c r="G125" s="104">
        <f>IF(peas&gt;0,H125/peas,0)</f>
        <v>0</v>
      </c>
      <c r="H125" s="109">
        <f>C125*(D125/12)*(H122)</f>
        <v>0</v>
      </c>
    </row>
    <row r="126" spans="1:14" x14ac:dyDescent="0.3">
      <c r="F126" s="114"/>
      <c r="G126" s="103"/>
      <c r="H126" s="127"/>
    </row>
    <row r="127" spans="1:14" ht="14" thickBot="1" x14ac:dyDescent="0.4">
      <c r="A127" s="1" t="s">
        <v>74</v>
      </c>
      <c r="B127" s="1"/>
      <c r="F127" s="114"/>
      <c r="G127" s="121">
        <f>G122+G125</f>
        <v>260.0959259702031</v>
      </c>
      <c r="H127" s="128">
        <f>H122+H125</f>
        <v>0</v>
      </c>
    </row>
    <row r="128" spans="1:14" ht="13.5" thickTop="1" x14ac:dyDescent="0.3">
      <c r="F128" s="34"/>
      <c r="G128" s="34"/>
      <c r="H128" s="49"/>
    </row>
    <row r="129" spans="6:8" x14ac:dyDescent="0.3">
      <c r="F129" s="34"/>
      <c r="G129" s="34"/>
      <c r="H129" s="49"/>
    </row>
    <row r="130" spans="6:8" x14ac:dyDescent="0.3">
      <c r="F130" s="34"/>
      <c r="G130" s="34"/>
      <c r="H130" s="49"/>
    </row>
    <row r="131" spans="6:8" x14ac:dyDescent="0.3">
      <c r="F131" s="34"/>
      <c r="G131" s="34"/>
      <c r="H131" s="49"/>
    </row>
    <row r="132" spans="6:8" x14ac:dyDescent="0.3">
      <c r="F132" s="34"/>
      <c r="G132" s="34"/>
      <c r="H132" s="49"/>
    </row>
    <row r="133" spans="6:8" x14ac:dyDescent="0.3">
      <c r="F133" s="34"/>
      <c r="G133" s="34"/>
      <c r="H133" s="49"/>
    </row>
    <row r="134" spans="6:8" x14ac:dyDescent="0.3">
      <c r="F134" s="34"/>
      <c r="G134" s="34"/>
      <c r="H134" s="49"/>
    </row>
    <row r="135" spans="6:8" x14ac:dyDescent="0.3">
      <c r="F135" s="34"/>
      <c r="G135" s="34"/>
      <c r="H135" s="49"/>
    </row>
    <row r="136" spans="6:8" x14ac:dyDescent="0.3">
      <c r="F136" s="34"/>
      <c r="G136" s="34"/>
      <c r="H136" s="49"/>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14" x14ac:dyDescent="0.3">
      <c r="F273" s="34"/>
      <c r="G273" s="34"/>
      <c r="H273" s="34"/>
    </row>
    <row r="274" spans="6:14" x14ac:dyDescent="0.3">
      <c r="F274" s="34"/>
      <c r="G274" s="34"/>
      <c r="H274" s="34"/>
    </row>
    <row r="275" spans="6:14" x14ac:dyDescent="0.3">
      <c r="F275" s="34"/>
      <c r="G275" s="34"/>
      <c r="H275" s="34"/>
    </row>
    <row r="276" spans="6:14" x14ac:dyDescent="0.3">
      <c r="F276" s="34"/>
      <c r="G276" s="34"/>
      <c r="H276" s="34"/>
    </row>
    <row r="277" spans="6:14" x14ac:dyDescent="0.3">
      <c r="F277" s="34"/>
      <c r="G277" s="34"/>
      <c r="H277" s="34"/>
    </row>
    <row r="278" spans="6:14" x14ac:dyDescent="0.3">
      <c r="F278" s="34"/>
      <c r="G278" s="34"/>
      <c r="H278" s="34"/>
    </row>
    <row r="279" spans="6:14" x14ac:dyDescent="0.3">
      <c r="F279" s="34"/>
      <c r="G279" s="34"/>
      <c r="H279" s="34"/>
    </row>
    <row r="280" spans="6:14" x14ac:dyDescent="0.3">
      <c r="F280" s="34"/>
      <c r="G280" s="34"/>
      <c r="H280" s="34"/>
    </row>
    <row r="281" spans="6:14" x14ac:dyDescent="0.3">
      <c r="F281" s="34"/>
      <c r="G281" s="34"/>
      <c r="H281" s="34"/>
    </row>
    <row r="282" spans="6:14" x14ac:dyDescent="0.3">
      <c r="F282" s="34"/>
      <c r="G282" s="34"/>
      <c r="H282" s="34"/>
    </row>
    <row r="283" spans="6:14" x14ac:dyDescent="0.3">
      <c r="F283" s="34"/>
      <c r="G283" s="34"/>
      <c r="H283" s="34"/>
    </row>
    <row r="284" spans="6:14" x14ac:dyDescent="0.3">
      <c r="F284" s="34"/>
      <c r="G284" s="34"/>
      <c r="H284" s="34"/>
    </row>
    <row r="285" spans="6:14" x14ac:dyDescent="0.3">
      <c r="F285" s="34"/>
      <c r="G285" s="34"/>
      <c r="H285" s="34"/>
      <c r="N285" s="17">
        <f>(Bv!B30*Bv!E30+Bv!B31*Bv!E31+Bv!B32*Bv!E32+Bv!B34*Bv!E34+Bv!B35*Bv!E35+Bv!B38*Bv!E38)+(Ov!B30*Ov!E30+Ov!B31*Ov!E31+Ov!B32*Ov!E32+Ov!B34*Ov!E34+Ov!B35*Ov!E35+Ov!B38*Ov!E38)+(Rv!B30*Rv!E30+Rv!B31*Rv!E31+Rv!B32*Rv!E32+Rv!B34*Rv!E34+Rv!B35*Rv!E35+Rv!B38*Rv!E38)+(Wv!B30*Wv!E30+Wv!B31*Wv!E31+Wv!B32*Wv!E32+Wv!B34*Wv!E34+Wv!B35*Wv!E35+Wv!B37*Wv!E37+Wv!B38*Wv!E38)+(Tv!B30*Tv!E30+Tv!B31*Tv!E31+Tv!B32*Tv!E32+Tv!B34*Tv!E34+Tv!B35*Tv!E35+Tv!B37*Tv!E37+Tv!B38*Tv!E38)+(Sv!B30*Sv!E30+Sv!B31*Sv!E31+Sv!B32*Sv!E32+Sv!B34*Sv!E34+Sv!B35*Sv!E35+Sv!B37*Sv!E37+Sv!B38*Sv!E38)+(Pv!B26*Pv!E26+Pv!B27*Pv!E27+Pv!B28*Pv!E28+Pv!B29*Pv!E29+Pv!B30*Pv!E30+Pv!B33*Pv!E33+Pv!B31*Pv!E31)+(Pv!B26*Pv!E26+Pv!B27*Pv!E27+Pv!B28*Pv!E28+Pv!B29*Pv!E29+Pv!B30*Pv!E30+Pv!B33*Pv!E33+Pv!B31*Pv!E31)</f>
        <v>30.816640986132519</v>
      </c>
    </row>
    <row r="286" spans="6:14" x14ac:dyDescent="0.3">
      <c r="F286" s="34"/>
      <c r="G286" s="34"/>
      <c r="H286" s="34"/>
    </row>
    <row r="287" spans="6:14" x14ac:dyDescent="0.3">
      <c r="F287" s="34"/>
      <c r="G287" s="34"/>
      <c r="H287" s="34"/>
    </row>
    <row r="288" spans="6:14"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row>
    <row r="631" spans="6:8" x14ac:dyDescent="0.3">
      <c r="F631" s="34"/>
    </row>
    <row r="632" spans="6:8" x14ac:dyDescent="0.3">
      <c r="F632" s="34"/>
    </row>
    <row r="633" spans="6:8" x14ac:dyDescent="0.3">
      <c r="F633" s="34"/>
    </row>
    <row r="634" spans="6:8" x14ac:dyDescent="0.3">
      <c r="F634" s="34"/>
    </row>
    <row r="635" spans="6:8" x14ac:dyDescent="0.3">
      <c r="F635" s="34"/>
    </row>
    <row r="636" spans="6:8" x14ac:dyDescent="0.3">
      <c r="F636" s="34"/>
    </row>
    <row r="637" spans="6:8" x14ac:dyDescent="0.3">
      <c r="F637" s="34"/>
    </row>
    <row r="638" spans="6:8" x14ac:dyDescent="0.3">
      <c r="F638" s="34"/>
    </row>
    <row r="639" spans="6:8" x14ac:dyDescent="0.3">
      <c r="F639" s="34"/>
    </row>
    <row r="640" spans="6:8" x14ac:dyDescent="0.3">
      <c r="F640" s="34"/>
    </row>
    <row r="641" spans="6:6" x14ac:dyDescent="0.3">
      <c r="F641" s="34"/>
    </row>
    <row r="642" spans="6:6" x14ac:dyDescent="0.3">
      <c r="F642" s="34"/>
    </row>
    <row r="643" spans="6:6" x14ac:dyDescent="0.3">
      <c r="F643" s="34"/>
    </row>
    <row r="644" spans="6:6" x14ac:dyDescent="0.3">
      <c r="F644" s="34"/>
    </row>
    <row r="645" spans="6:6" x14ac:dyDescent="0.3">
      <c r="F645" s="34"/>
    </row>
    <row r="646" spans="6:6" x14ac:dyDescent="0.3">
      <c r="F646" s="34"/>
    </row>
    <row r="647" spans="6:6" x14ac:dyDescent="0.3">
      <c r="F647" s="34"/>
    </row>
    <row r="648" spans="6:6" x14ac:dyDescent="0.3">
      <c r="F648" s="34"/>
    </row>
    <row r="649" spans="6:6" x14ac:dyDescent="0.3">
      <c r="F649" s="34"/>
    </row>
    <row r="650" spans="6:6" x14ac:dyDescent="0.3">
      <c r="F650" s="34"/>
    </row>
    <row r="651" spans="6:6" x14ac:dyDescent="0.3">
      <c r="F651" s="34"/>
    </row>
  </sheetData>
  <pageMargins left="0.7" right="0.7" top="0.75" bottom="0.75" header="0.3" footer="0.3"/>
  <pageSetup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1"/>
  <sheetViews>
    <sheetView workbookViewId="0">
      <pane ySplit="6" topLeftCell="A7" activePane="bottomLeft" state="frozen"/>
      <selection pane="bottomLeft" activeCell="D31" sqref="D31"/>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17" x14ac:dyDescent="0.3">
      <c r="A1" s="61" t="s">
        <v>146</v>
      </c>
      <c r="B1" s="17" t="str">
        <f>model</f>
        <v>ME Grain &amp; Pulse</v>
      </c>
    </row>
    <row r="4" spans="1:17" x14ac:dyDescent="0.3">
      <c r="A4" s="16" t="s">
        <v>1205</v>
      </c>
      <c r="B4" s="8" t="s">
        <v>92</v>
      </c>
      <c r="C4" s="65">
        <f>peas</f>
        <v>0</v>
      </c>
      <c r="D4" s="4" t="s">
        <v>93</v>
      </c>
    </row>
    <row r="5" spans="1:17" x14ac:dyDescent="0.3">
      <c r="H5" s="28"/>
    </row>
    <row r="6" spans="1:17"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17" x14ac:dyDescent="0.3">
      <c r="A7" s="13"/>
      <c r="B7" s="29"/>
      <c r="C7" s="30"/>
      <c r="D7" s="31"/>
      <c r="E7" s="31"/>
      <c r="F7" s="18"/>
      <c r="G7" s="18"/>
      <c r="H7" s="32"/>
      <c r="I7" s="31"/>
      <c r="J7" s="31"/>
      <c r="K7" s="31"/>
      <c r="L7" s="31"/>
      <c r="M7" s="31"/>
    </row>
    <row r="8" spans="1:17" x14ac:dyDescent="0.3">
      <c r="A8" s="14" t="s">
        <v>3</v>
      </c>
    </row>
    <row r="9" spans="1:17" x14ac:dyDescent="0.3">
      <c r="A9" s="664" t="str">
        <f>Data!A276</f>
        <v>Smaller tractor (75 hp) - SMALL SIZE</v>
      </c>
      <c r="B9" s="33">
        <f>Data!B276</f>
        <v>0</v>
      </c>
      <c r="C9" s="34" t="str">
        <f>Data!C276</f>
        <v>tractor</v>
      </c>
      <c r="D9" s="109">
        <f>Data!D276*Data!$H$20*CP!$H$5</f>
        <v>0</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row>
    <row r="10" spans="1:17" ht="13.25" customHeight="1" x14ac:dyDescent="0.3">
      <c r="A10" s="664" t="str">
        <f>Data!A277</f>
        <v>Medium tractor (105 hp) - SMALL SIZE</v>
      </c>
      <c r="B10" s="33">
        <f>Data!B277</f>
        <v>0</v>
      </c>
      <c r="C10" s="34" t="str">
        <f>Data!C277</f>
        <v>tractor</v>
      </c>
      <c r="D10" s="109">
        <f>Data!D277*Data!$H$20*CP!$H$5</f>
        <v>0</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row>
    <row r="11" spans="1:17" ht="13.25" customHeight="1" x14ac:dyDescent="0.3">
      <c r="A11" s="664" t="str">
        <f>Data!A278</f>
        <v>Medium/Large tractor (130 hp) - SMALL SIZE</v>
      </c>
      <c r="B11" s="33">
        <f>Data!B278</f>
        <v>0</v>
      </c>
      <c r="C11" s="34" t="str">
        <f>Data!C278</f>
        <v>tractor</v>
      </c>
      <c r="D11" s="109">
        <f>Data!D278*Data!$H$20*CP!$H$5</f>
        <v>0</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row>
    <row r="12" spans="1:17" ht="13.25" customHeight="1" x14ac:dyDescent="0.3">
      <c r="A12" s="664" t="str">
        <f>Data!A279</f>
        <v>Large tractor (160 hp) - SMALL SIZE</v>
      </c>
      <c r="B12" s="33">
        <f>Data!B279</f>
        <v>0</v>
      </c>
      <c r="C12" s="34" t="str">
        <f>Data!C279</f>
        <v>tractor</v>
      </c>
      <c r="D12" s="109">
        <f>Data!D279*Data!$H$20*CP!$H$5</f>
        <v>0</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row>
    <row r="13" spans="1:17" ht="13.25" customHeight="1" x14ac:dyDescent="0.3">
      <c r="A13" s="664" t="str">
        <f>Data!A280</f>
        <v>Large tractor (200 hp) - SMALL SIZE</v>
      </c>
      <c r="B13" s="33">
        <f>Data!B280</f>
        <v>0</v>
      </c>
      <c r="C13" s="34" t="str">
        <f>Data!C280</f>
        <v>tractor</v>
      </c>
      <c r="D13" s="109">
        <f>Data!D280*Data!$H$20*CP!$H$5</f>
        <v>0</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row>
    <row r="14" spans="1:17" x14ac:dyDescent="0.3">
      <c r="A14" s="664" t="str">
        <f>Data!A282</f>
        <v>Smaller tractor (75 hp) - MEDIUM SIZE</v>
      </c>
      <c r="B14" s="33">
        <f>Data!B282</f>
        <v>0</v>
      </c>
      <c r="C14" s="34" t="str">
        <f>Data!C282</f>
        <v>tractor</v>
      </c>
      <c r="D14" s="109">
        <f>Data!D282*Data!$H$20</f>
        <v>0</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row>
    <row r="15" spans="1:17" x14ac:dyDescent="0.3">
      <c r="A15" s="664" t="str">
        <f>Data!A283</f>
        <v>Medium tractor (105 hp) - MEDIUM SIZE</v>
      </c>
      <c r="B15" s="33">
        <f>Data!B283</f>
        <v>1</v>
      </c>
      <c r="C15" s="34" t="str">
        <f>Data!C283</f>
        <v>tractor</v>
      </c>
      <c r="D15" s="109">
        <f>Data!D283*Data!$H$20</f>
        <v>0</v>
      </c>
      <c r="E15" s="109">
        <f>D15*B15</f>
        <v>0</v>
      </c>
      <c r="F15" s="109">
        <f>IF(CP!K11=0,Data!I283*E15,CP!K11*B15)</f>
        <v>0</v>
      </c>
      <c r="G15" s="60">
        <f>IF(CP!$G$11=0,Data!$F$283,CP!$G$11)</f>
        <v>40</v>
      </c>
      <c r="H15" s="109">
        <f>(E15*(_int_inv_m*(1+_int_inv_m)^G15)/((1+_int_inv_m)^G15-1))-(F15*_int_inv_m/((1+_int_inv_m)^G15-1))</f>
        <v>0</v>
      </c>
      <c r="I15" s="36">
        <f>IF(CP!I11=0,Data!H283*Data!$J$271,CP!I11/CP!E11)</f>
        <v>1.35E-2</v>
      </c>
      <c r="J15" s="109">
        <f>E15*I15</f>
        <v>0</v>
      </c>
      <c r="K15" s="36">
        <f t="shared" si="1"/>
        <v>6.7999999999999996E-3</v>
      </c>
      <c r="L15" s="109">
        <f>E15*K15</f>
        <v>0</v>
      </c>
      <c r="M15" s="109">
        <f>H15+J15+L15</f>
        <v>0</v>
      </c>
      <c r="N15" s="34"/>
      <c r="O15" s="34"/>
      <c r="P15" s="34"/>
      <c r="Q15" s="34"/>
    </row>
    <row r="16" spans="1:17" x14ac:dyDescent="0.3">
      <c r="A16" s="664" t="str">
        <f>Data!A284</f>
        <v>Medium/Large tractor (130 hp) - MEDIUM SIZE</v>
      </c>
      <c r="B16" s="33">
        <f>Data!B284</f>
        <v>0</v>
      </c>
      <c r="C16" s="34" t="str">
        <f>Data!C284</f>
        <v>tractor</v>
      </c>
      <c r="D16" s="109">
        <f>Data!D284*Data!$H$20</f>
        <v>0</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row>
    <row r="17" spans="1:18" x14ac:dyDescent="0.3">
      <c r="A17" s="664" t="str">
        <f>Data!A285</f>
        <v>Large tractor (160 hp) - MEDIUM SIZE</v>
      </c>
      <c r="B17" s="33">
        <f>Data!B285</f>
        <v>1</v>
      </c>
      <c r="C17" s="34" t="str">
        <f>Data!C285</f>
        <v>tractor</v>
      </c>
      <c r="D17" s="109">
        <f>Data!D285*Data!$H$20</f>
        <v>0</v>
      </c>
      <c r="E17" s="109">
        <f>D17*B17</f>
        <v>0</v>
      </c>
      <c r="F17" s="109">
        <f>IF(CP!K13=0,Data!I285*E17,CP!K13*B17)</f>
        <v>0</v>
      </c>
      <c r="G17" s="60">
        <f>IF(CP!$G$13=0,Data!$F$285,CP!$G$13)</f>
        <v>30</v>
      </c>
      <c r="H17" s="109">
        <f>(E17*(_int_inv_m*(1+_int_inv_m)^G17)/((1+_int_inv_m)^G17-1))-(F17*_int_inv_m/((1+_int_inv_m)^G17-1))</f>
        <v>0</v>
      </c>
      <c r="I17" s="36">
        <f>IF(CP!I13=0,Data!H285*Data!$J$271,CP!I13/CP!E13)</f>
        <v>1.6666666666666666E-2</v>
      </c>
      <c r="J17" s="109">
        <f>E17*I17</f>
        <v>0</v>
      </c>
      <c r="K17" s="36">
        <f t="shared" si="1"/>
        <v>6.7999999999999996E-3</v>
      </c>
      <c r="L17" s="109">
        <f>E17*K17</f>
        <v>0</v>
      </c>
      <c r="M17" s="109">
        <f>H17+J17+L17</f>
        <v>0</v>
      </c>
      <c r="N17" s="34"/>
      <c r="O17" s="34"/>
      <c r="P17" s="34"/>
      <c r="Q17" s="34"/>
    </row>
    <row r="18" spans="1:18" x14ac:dyDescent="0.3">
      <c r="A18" s="664" t="str">
        <f>Data!A286</f>
        <v>Large tractor (200 hp) - MEDIUM SIZE</v>
      </c>
      <c r="B18" s="33">
        <f>Data!B286</f>
        <v>0</v>
      </c>
      <c r="C18" s="34" t="str">
        <f>Data!C286</f>
        <v>tractor</v>
      </c>
      <c r="D18" s="109">
        <f>Data!D286*Data!$H$20</f>
        <v>0</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row>
    <row r="19" spans="1:18" x14ac:dyDescent="0.3">
      <c r="A19" s="664" t="str">
        <f>Data!A288</f>
        <v>Smaller tractor (75 hp) - LARGE SIZE</v>
      </c>
      <c r="B19" s="33">
        <f>Data!B288</f>
        <v>0</v>
      </c>
      <c r="C19" s="34" t="str">
        <f>Data!C288</f>
        <v>tractor</v>
      </c>
      <c r="D19" s="109">
        <f>Data!D288*Data!$H$20</f>
        <v>0</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row>
    <row r="20" spans="1:18" x14ac:dyDescent="0.3">
      <c r="A20" s="664" t="str">
        <f>Data!A289</f>
        <v>Medium tractor (105 hp) - LARGE SIZE</v>
      </c>
      <c r="B20" s="33">
        <f>Data!B289</f>
        <v>0</v>
      </c>
      <c r="C20" s="34" t="str">
        <f>Data!C289</f>
        <v>tractor</v>
      </c>
      <c r="D20" s="109">
        <f>Data!D289*Data!$H$20</f>
        <v>0</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row>
    <row r="21" spans="1:18" x14ac:dyDescent="0.3">
      <c r="A21" s="664" t="str">
        <f>Data!A290</f>
        <v>Medium/Large tractor (130 hp) - LARGE SIZE</v>
      </c>
      <c r="B21" s="33">
        <f>Data!B290</f>
        <v>0</v>
      </c>
      <c r="C21" s="34" t="str">
        <f>Data!C290</f>
        <v>tractor</v>
      </c>
      <c r="D21" s="109">
        <f>Data!D290*Data!$H$20</f>
        <v>0</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row>
    <row r="22" spans="1:18" x14ac:dyDescent="0.3">
      <c r="A22" s="664" t="str">
        <f>Data!A291</f>
        <v>Large tractor (160 hp) - LARGE SIZE</v>
      </c>
      <c r="B22" s="33">
        <f>Data!B291</f>
        <v>0</v>
      </c>
      <c r="C22" s="34" t="str">
        <f>Data!C291</f>
        <v>tractor</v>
      </c>
      <c r="D22" s="109">
        <f>Data!D291*Data!$H$20</f>
        <v>0</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row>
    <row r="23" spans="1:18" x14ac:dyDescent="0.3">
      <c r="A23" s="664" t="str">
        <f>Data!A292</f>
        <v>Large tractor (200 hp) - LARGE SIZE</v>
      </c>
      <c r="B23" s="33">
        <f>Data!B292</f>
        <v>0</v>
      </c>
      <c r="C23" s="34" t="str">
        <f>Data!C292</f>
        <v>tractor</v>
      </c>
      <c r="D23" s="109">
        <f>Data!D292*Data!$H$20</f>
        <v>0</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row>
    <row r="24" spans="1:18" x14ac:dyDescent="0.3">
      <c r="B24" s="33"/>
      <c r="C24" s="34"/>
      <c r="D24" s="109"/>
      <c r="E24" s="109"/>
      <c r="F24" s="109"/>
      <c r="G24" s="34"/>
      <c r="H24" s="112"/>
      <c r="I24" s="35"/>
      <c r="J24" s="109"/>
      <c r="K24" s="35"/>
      <c r="L24" s="109"/>
      <c r="M24" s="109"/>
      <c r="N24" s="32"/>
      <c r="O24" s="34"/>
      <c r="P24" s="34"/>
    </row>
    <row r="25" spans="1:18" x14ac:dyDescent="0.3">
      <c r="A25" s="14" t="s">
        <v>35</v>
      </c>
      <c r="D25" s="110"/>
      <c r="E25" s="110"/>
      <c r="F25" s="109"/>
      <c r="H25" s="112"/>
      <c r="J25" s="110"/>
      <c r="L25" s="110"/>
      <c r="M25" s="109"/>
    </row>
    <row r="26" spans="1:18" x14ac:dyDescent="0.3">
      <c r="A26" s="664" t="str">
        <f>Data!A297</f>
        <v>Bulk Body Truck(s) - SMALL SIZE</v>
      </c>
      <c r="B26" s="84">
        <f>Data!B297</f>
        <v>0</v>
      </c>
      <c r="C26" s="34" t="str">
        <f>Data!C297</f>
        <v>truck</v>
      </c>
      <c r="D26" s="109">
        <f>Data!D297*Data!$J$20*CP!$H$5</f>
        <v>0</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18" x14ac:dyDescent="0.3">
      <c r="A27" s="664" t="str">
        <f>Data!A298</f>
        <v>Bulk Body Truck(s) - MEDIUM SIZE</v>
      </c>
      <c r="B27" s="84">
        <f>Data!B298</f>
        <v>3</v>
      </c>
      <c r="C27" s="34" t="str">
        <f>Data!C298</f>
        <v>truck</v>
      </c>
      <c r="D27" s="109">
        <f>Data!D298*Data!$J$20</f>
        <v>0</v>
      </c>
      <c r="E27" s="109">
        <f t="shared" ref="E27:E32" si="14">D27*B27</f>
        <v>0</v>
      </c>
      <c r="F27" s="109">
        <f>IF(CP!K16=0,Data!I298*E27,CP!K16*B27)</f>
        <v>0</v>
      </c>
      <c r="G27" s="60">
        <f>IF(CP!$G$16=0,Data!$F$298,CP!$G$16)</f>
        <v>40</v>
      </c>
      <c r="H27" s="109">
        <f>(E27*(_int_inv_m*(1+_int_inv_m)^G27)/((1+_int_inv_m)^G27-1))-(F27*_int_inv_m/((1+_int_inv_m)^G27-1))</f>
        <v>0</v>
      </c>
      <c r="I27" s="675">
        <f>IF(CP!I16=0,Data!H298*Data!$J$271,CP!I16/CP!E16)</f>
        <v>0.02</v>
      </c>
      <c r="J27" s="109">
        <f t="shared" ref="J27:J32" si="15">E27*I27</f>
        <v>0</v>
      </c>
      <c r="K27" s="36">
        <f>_tax_ins_</f>
        <v>6.7999999999999996E-3</v>
      </c>
      <c r="L27" s="109">
        <f t="shared" ref="L27:L32" si="16">E27*K27</f>
        <v>0</v>
      </c>
      <c r="M27" s="109">
        <f t="shared" ref="M27:M32" si="17">H27+J27+L27</f>
        <v>0</v>
      </c>
      <c r="N27" s="34"/>
      <c r="O27" s="34"/>
      <c r="P27" s="34"/>
      <c r="Q27" s="34"/>
      <c r="R27" s="34"/>
    </row>
    <row r="28" spans="1:18" x14ac:dyDescent="0.3">
      <c r="A28" s="664" t="str">
        <f>Data!A299</f>
        <v>Bulk Body Truck(s) - LARGE SIZE</v>
      </c>
      <c r="B28" s="84">
        <f>Data!B299</f>
        <v>0</v>
      </c>
      <c r="C28" s="34" t="str">
        <f>Data!C299</f>
        <v>truck</v>
      </c>
      <c r="D28" s="109">
        <f>Data!D299*Data!$J$20</f>
        <v>0</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18" x14ac:dyDescent="0.3">
      <c r="A29" s="664" t="str">
        <f>Data!A300</f>
        <v>Flat Bed Truck(s) - SMALL SIZE</v>
      </c>
      <c r="B29" s="84">
        <f>Data!B300</f>
        <v>0</v>
      </c>
      <c r="C29" s="34" t="str">
        <f>Data!C300</f>
        <v>truck</v>
      </c>
      <c r="D29" s="109">
        <f>Data!D300*Data!$J$20*CP!$H$5</f>
        <v>0</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18" x14ac:dyDescent="0.3">
      <c r="A30" s="664" t="str">
        <f>Data!A301</f>
        <v>Flat Bed Truck(s) - MEDIUM SIZE</v>
      </c>
      <c r="B30" s="84">
        <f>Data!B301</f>
        <v>0</v>
      </c>
      <c r="C30" s="34" t="str">
        <f>Data!C301</f>
        <v>truck</v>
      </c>
      <c r="D30" s="109">
        <f>Data!D301*Data!$J$20</f>
        <v>0</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18" x14ac:dyDescent="0.3">
      <c r="A31" s="664" t="str">
        <f>Data!A302</f>
        <v>Flat Bed Truck(s) - LARGE SIZE</v>
      </c>
      <c r="B31" s="84">
        <f>Data!B302</f>
        <v>0</v>
      </c>
      <c r="C31" s="34" t="str">
        <f>Data!C302</f>
        <v>truck</v>
      </c>
      <c r="D31" s="109">
        <f>Data!D302*Data!$J$20</f>
        <v>0</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18" x14ac:dyDescent="0.3">
      <c r="A32" s="664" t="str">
        <f>Data!A303</f>
        <v>Semi Truck(s) - LARGE SIZE</v>
      </c>
      <c r="B32" s="84">
        <f>Data!B303</f>
        <v>0</v>
      </c>
      <c r="C32" s="34" t="str">
        <f>Data!C303</f>
        <v>truck</v>
      </c>
      <c r="D32" s="109">
        <f>Data!D303*Data!$J$20</f>
        <v>0</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18" x14ac:dyDescent="0.3">
      <c r="B33" s="33"/>
      <c r="C33" s="34"/>
      <c r="D33" s="109"/>
      <c r="E33" s="109"/>
      <c r="F33" s="109"/>
      <c r="G33" s="34"/>
      <c r="H33" s="112"/>
      <c r="I33" s="35"/>
      <c r="J33" s="109"/>
      <c r="K33" s="35"/>
      <c r="L33" s="109"/>
      <c r="M33" s="109"/>
      <c r="N33" s="32"/>
      <c r="O33" s="34"/>
      <c r="P33" s="34"/>
    </row>
    <row r="34" spans="1:18" x14ac:dyDescent="0.3">
      <c r="A34" s="14" t="s">
        <v>6</v>
      </c>
      <c r="B34" s="33"/>
      <c r="C34" s="34"/>
      <c r="D34" s="109"/>
      <c r="E34" s="109"/>
      <c r="F34" s="109"/>
      <c r="G34" s="34"/>
      <c r="H34" s="112"/>
      <c r="I34" s="35"/>
      <c r="J34" s="109"/>
      <c r="K34" s="35"/>
      <c r="L34" s="109"/>
      <c r="M34" s="109"/>
      <c r="N34" s="34"/>
      <c r="O34" s="34"/>
      <c r="P34" s="34"/>
    </row>
    <row r="35" spans="1:18" x14ac:dyDescent="0.3">
      <c r="A35" s="664" t="str">
        <f>Data!A310</f>
        <v>Moldboard Plow (9 ft) - SMALL SIZE</v>
      </c>
      <c r="B35" s="33">
        <f>Data!B310</f>
        <v>0</v>
      </c>
      <c r="C35" s="34" t="str">
        <f>Data!C310</f>
        <v>moldboard plow</v>
      </c>
      <c r="D35" s="109">
        <f>Data!D310*Data!$P$20*CP!$H$5</f>
        <v>0</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18" x14ac:dyDescent="0.3">
      <c r="A36" s="664" t="str">
        <f>Data!A311</f>
        <v>Moldboard Plow (9 ft) - MEDIUM SIZE</v>
      </c>
      <c r="B36" s="33">
        <f>Data!B311</f>
        <v>1</v>
      </c>
      <c r="C36" s="34" t="str">
        <f>Data!C311</f>
        <v>moldboard plow</v>
      </c>
      <c r="D36" s="109">
        <f>Data!D311*Data!$P$20</f>
        <v>0</v>
      </c>
      <c r="E36" s="109">
        <f t="shared" ref="E36:E37" si="20">D36*B36</f>
        <v>0</v>
      </c>
      <c r="F36" s="109">
        <f>IF(CP!$K$20=0,Data!I311*E36,CP!$K$20*B36)</f>
        <v>0</v>
      </c>
      <c r="G36" s="60">
        <f>IF(CP!$G$20=0,Data!$F$311,CP!$G$20)</f>
        <v>40</v>
      </c>
      <c r="H36" s="109">
        <f>(E36*(_int_inv_m*(1+_int_inv_m)^G36)/((1+_int_inv_m)^G36-1))-(F36*_int_inv_m/((1+_int_inv_m)^G36-1))</f>
        <v>0</v>
      </c>
      <c r="I36" s="36">
        <f>IF(CP!$I$20=0,Data!H311*Data!$J$271,CP!$I$20/CP!$E$20)</f>
        <v>5.1710357142857148E-2</v>
      </c>
      <c r="J36" s="109">
        <f t="shared" ref="J36:J37" si="21">E36*I36</f>
        <v>0</v>
      </c>
      <c r="K36" s="36">
        <f t="shared" si="19"/>
        <v>6.7999999999999996E-3</v>
      </c>
      <c r="L36" s="109">
        <f t="shared" ref="L36:L37" si="22">E36*K36</f>
        <v>0</v>
      </c>
      <c r="M36" s="109">
        <f t="shared" ref="M36:M37" si="23">H36+J36+L36</f>
        <v>0</v>
      </c>
      <c r="N36" s="34"/>
      <c r="O36" s="34"/>
      <c r="P36" s="34"/>
      <c r="Q36" s="34"/>
      <c r="R36" s="34"/>
    </row>
    <row r="37" spans="1:18" x14ac:dyDescent="0.3">
      <c r="A37" s="664" t="str">
        <f>Data!A312</f>
        <v>Moldboard Plow (12 ft) - LARGE SIZE</v>
      </c>
      <c r="B37" s="33">
        <f>Data!B312</f>
        <v>0</v>
      </c>
      <c r="C37" s="34" t="str">
        <f>Data!C312</f>
        <v>moldboard plow</v>
      </c>
      <c r="D37" s="109">
        <f>Data!D312*Data!$P$20</f>
        <v>0</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18" x14ac:dyDescent="0.3">
      <c r="A38" s="664" t="str">
        <f>Data!A313</f>
        <v>Chisel Plow (15 ft) - SMALL SIZE</v>
      </c>
      <c r="B38" s="33">
        <f>Data!B313</f>
        <v>0</v>
      </c>
      <c r="C38" s="34" t="str">
        <f>Data!C313</f>
        <v>chisel plow</v>
      </c>
      <c r="D38" s="109">
        <f>Data!D313*Data!$P$20*CP!$H$5</f>
        <v>0</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52" si="24">_tax_ins_</f>
        <v>6.7999999999999996E-3</v>
      </c>
      <c r="L38" s="109">
        <f>E38*K38</f>
        <v>0</v>
      </c>
      <c r="M38" s="109">
        <f>H38+J38+L38</f>
        <v>0</v>
      </c>
      <c r="N38" s="34"/>
      <c r="O38" s="34"/>
      <c r="P38" s="34"/>
      <c r="Q38" s="34"/>
      <c r="R38" s="34"/>
    </row>
    <row r="39" spans="1:18" x14ac:dyDescent="0.3">
      <c r="A39" s="664" t="str">
        <f>Data!A314</f>
        <v>Chisel Plow (15 ft) - MEDIUM SIZE</v>
      </c>
      <c r="B39" s="33">
        <f>Data!B314</f>
        <v>1</v>
      </c>
      <c r="C39" s="34" t="str">
        <f>Data!C314</f>
        <v>chisel plow</v>
      </c>
      <c r="D39" s="109">
        <f>Data!D314*Data!$P$20</f>
        <v>0</v>
      </c>
      <c r="E39" s="109">
        <f t="shared" ref="E39:E40" si="25">D39*B39</f>
        <v>0</v>
      </c>
      <c r="F39" s="109">
        <f>IF(CP!$K$22=0,Data!I314*E39,CP!$K$22*B39)</f>
        <v>0</v>
      </c>
      <c r="G39" s="60">
        <f>IF(CP!$G$22=0,Data!$F$314,CP!$G$22)</f>
        <v>40</v>
      </c>
      <c r="H39" s="109">
        <f>(E39*(_int_inv_m*(1+_int_inv_m)^G39)/((1+_int_inv_m)^G39-1))-(F39*_int_inv_m/((1+_int_inv_m)^G39-1))</f>
        <v>0</v>
      </c>
      <c r="I39" s="36">
        <f>IF(CP!$I$22=0,Data!H314*Data!$J$271,CP!$I$22/CP!$E$22)</f>
        <v>2.433684210526316E-2</v>
      </c>
      <c r="J39" s="109">
        <f t="shared" ref="J39:J40" si="26">E39*I39</f>
        <v>0</v>
      </c>
      <c r="K39" s="36">
        <f t="shared" si="24"/>
        <v>6.7999999999999996E-3</v>
      </c>
      <c r="L39" s="109">
        <f t="shared" ref="L39:L40" si="27">E39*K39</f>
        <v>0</v>
      </c>
      <c r="M39" s="109">
        <f t="shared" ref="M39:M40" si="28">H39+J39+L39</f>
        <v>0</v>
      </c>
      <c r="N39" s="34"/>
      <c r="O39" s="34"/>
      <c r="P39" s="34"/>
      <c r="Q39" s="34"/>
      <c r="R39" s="34"/>
    </row>
    <row r="40" spans="1:18" x14ac:dyDescent="0.3">
      <c r="A40" s="664" t="str">
        <f>Data!A315</f>
        <v>Chisel Plow (23 ft) - LARGE SIZE</v>
      </c>
      <c r="B40" s="33">
        <f>Data!B315</f>
        <v>0</v>
      </c>
      <c r="C40" s="34" t="str">
        <f>Data!C315</f>
        <v>chisel plow</v>
      </c>
      <c r="D40" s="109">
        <f>Data!D315*Data!$P$20</f>
        <v>0</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18" x14ac:dyDescent="0.3">
      <c r="A41" s="664" t="str">
        <f>Data!A316</f>
        <v>Disk Harrow (12 ft) - SMALL SIZE</v>
      </c>
      <c r="B41" s="33">
        <f>Data!B316</f>
        <v>0</v>
      </c>
      <c r="C41" s="34" t="str">
        <f>Data!C316</f>
        <v>disk harrow</v>
      </c>
      <c r="D41" s="109">
        <f>Data!D316*Data!$P$20*CP!$H$5</f>
        <v>0</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18" x14ac:dyDescent="0.3">
      <c r="A42" s="664" t="str">
        <f>Data!A317</f>
        <v>Disk Harrow (21 ft) - MEDIUM SIZE</v>
      </c>
      <c r="B42" s="33">
        <f>Data!B317</f>
        <v>1</v>
      </c>
      <c r="C42" s="34" t="str">
        <f>Data!C317</f>
        <v>disk harrow</v>
      </c>
      <c r="D42" s="109">
        <f>Data!D317*Data!$P$20</f>
        <v>0</v>
      </c>
      <c r="E42" s="109">
        <f t="shared" ref="E42:E43" si="29">D42*B42</f>
        <v>0</v>
      </c>
      <c r="F42" s="109">
        <f>IF(CP!K25=0,Data!I317*E42,CP!K25*B42)</f>
        <v>0</v>
      </c>
      <c r="G42" s="60">
        <f>IF(CP!$G$25=0,Data!$F$317,CP!$G$25)</f>
        <v>40</v>
      </c>
      <c r="H42" s="109">
        <f>(E42*(_int_inv_m*(1+_int_inv_m)^G42)/((1+_int_inv_m)^G42-1))-(F42*_int_inv_m/((1+_int_inv_m)^G42-1))</f>
        <v>0</v>
      </c>
      <c r="I42" s="36">
        <f>IF(CP!I25=0,Data!H317*Data!$J$271,CP!I25/CP!E25)</f>
        <v>3.3605000000000003E-2</v>
      </c>
      <c r="J42" s="109">
        <f t="shared" ref="J42:J43" si="30">E42*I42</f>
        <v>0</v>
      </c>
      <c r="K42" s="36">
        <f t="shared" si="24"/>
        <v>6.7999999999999996E-3</v>
      </c>
      <c r="L42" s="109">
        <f t="shared" ref="L42:L43" si="31">E42*K42</f>
        <v>0</v>
      </c>
      <c r="M42" s="109">
        <f t="shared" ref="M42:M43" si="32">H42+J42+L42</f>
        <v>0</v>
      </c>
    </row>
    <row r="43" spans="1:18" x14ac:dyDescent="0.3">
      <c r="A43" s="664" t="str">
        <f>Data!A318</f>
        <v>Disk Harrow (30 ft) - LARGE SIZE</v>
      </c>
      <c r="B43" s="33">
        <f>Data!B318</f>
        <v>0</v>
      </c>
      <c r="C43" s="34" t="str">
        <f>Data!C318</f>
        <v>disk harrow</v>
      </c>
      <c r="D43" s="109">
        <f>Data!D318*Data!$P$20</f>
        <v>0</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18" ht="13.25" customHeight="1" x14ac:dyDescent="0.3">
      <c r="A44" s="664" t="str">
        <f>Data!A319</f>
        <v>Soil Conditioner/Field Cultivator (18 ft) - SMALL SIZE</v>
      </c>
      <c r="B44" s="33">
        <f>Data!B319</f>
        <v>0</v>
      </c>
      <c r="C44" s="34" t="str">
        <f>Data!C319</f>
        <v>condit.</v>
      </c>
      <c r="D44" s="109">
        <f>Data!D319*Data!$P$20*CP!$H$5</f>
        <v>0</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18" ht="13.25" customHeight="1" x14ac:dyDescent="0.3">
      <c r="A45" s="664" t="str">
        <f>Data!A320</f>
        <v>Soil Conditioner/Field Cultivator (18 ft) - MEDIUM SIZE</v>
      </c>
      <c r="B45" s="33">
        <f>Data!B320</f>
        <v>1</v>
      </c>
      <c r="C45" s="34" t="str">
        <f>Data!C320</f>
        <v>condit.</v>
      </c>
      <c r="D45" s="109">
        <f>Data!D320*Data!$P$20</f>
        <v>0</v>
      </c>
      <c r="E45" s="109">
        <f t="shared" ref="E45:E46" si="33">D45*B45</f>
        <v>0</v>
      </c>
      <c r="F45" s="109">
        <f>IF(CP!$K$27=0,Data!I320*E45,CP!$K$27*B45)</f>
        <v>0</v>
      </c>
      <c r="G45" s="60">
        <f>IF(CP!$G$27=0,Data!$F$320,CP!$G$27)</f>
        <v>40</v>
      </c>
      <c r="H45" s="109">
        <f>(E45*(_int_inv_m*(1+_int_inv_m)^G45)/((1+_int_inv_m)^G45-1))-(F45*_int_inv_m/((1+_int_inv_m)^G45-1))</f>
        <v>0</v>
      </c>
      <c r="I45" s="36">
        <f>IF(CP!$I$27=0,Data!H320*Data!$J$271,CP!$I$27/CP!$E$27)</f>
        <v>3.245E-2</v>
      </c>
      <c r="J45" s="109">
        <f t="shared" ref="J45:J46" si="34">E45*I45</f>
        <v>0</v>
      </c>
      <c r="K45" s="36">
        <f t="shared" si="24"/>
        <v>6.7999999999999996E-3</v>
      </c>
      <c r="L45" s="109">
        <f t="shared" ref="L45:L46" si="35">E45*K45</f>
        <v>0</v>
      </c>
      <c r="M45" s="109">
        <f t="shared" ref="M45:M46" si="36">H45+J45+L45</f>
        <v>0</v>
      </c>
    </row>
    <row r="46" spans="1:18" ht="13.25" customHeight="1" x14ac:dyDescent="0.3">
      <c r="A46" s="664" t="str">
        <f>Data!A321</f>
        <v>Soil Conditioner/Field Cultivator (18 ft) - LARGE SIZE</v>
      </c>
      <c r="B46" s="33">
        <f>Data!B321</f>
        <v>0</v>
      </c>
      <c r="C46" s="34" t="str">
        <f>Data!C321</f>
        <v>condit.</v>
      </c>
      <c r="D46" s="109">
        <f>Data!D321*Data!$P$20</f>
        <v>0</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18" ht="13.25" customHeight="1" x14ac:dyDescent="0.3">
      <c r="A47" s="664" t="str">
        <f>Data!A322</f>
        <v>Cultivators - 6 row (15 ft) - SMALL SIZE</v>
      </c>
      <c r="B47" s="33">
        <f>Data!B322</f>
        <v>0</v>
      </c>
      <c r="C47" s="34" t="str">
        <f>Data!C322</f>
        <v>cultivator</v>
      </c>
      <c r="D47" s="109">
        <f>Data!D322*Data!$D$20*CP!$H$5</f>
        <v>0</v>
      </c>
      <c r="E47" s="109">
        <f>D47*B47</f>
        <v>0</v>
      </c>
      <c r="F47" s="109">
        <f>IF(CP!$K$28=0,Data!I322*E47,CP!$K$28*B47)</f>
        <v>0</v>
      </c>
      <c r="G47" s="60">
        <f>IF(CP!$G$28=0,Data!$F$322,CP!$G$28)</f>
        <v>50</v>
      </c>
      <c r="H47" s="109">
        <f>(E47*(_int_inv_*(1+_int_inv_)^G47)/((1+_int_inv_)^G47-1))-(F47*_int_inv_/((1+_int_inv_)^G47-1))</f>
        <v>0</v>
      </c>
      <c r="I47" s="675">
        <f>IF(CP!$I$28=0,Data!H322*Data!$J$271,CP!$I$28/CP!$E$28)</f>
        <v>2.3395714285714287E-2</v>
      </c>
      <c r="J47" s="109">
        <f>E47*I47</f>
        <v>0</v>
      </c>
      <c r="K47" s="36">
        <f t="shared" si="24"/>
        <v>6.7999999999999996E-3</v>
      </c>
      <c r="L47" s="109">
        <f>E47*K47</f>
        <v>0</v>
      </c>
      <c r="M47" s="109">
        <f>H47+J47+L47</f>
        <v>0</v>
      </c>
      <c r="O47" s="820"/>
    </row>
    <row r="48" spans="1:18" ht="13.25" customHeight="1" x14ac:dyDescent="0.3">
      <c r="A48" s="664" t="str">
        <f>Data!A323</f>
        <v>Cultivators - 12 row (30 ft) - MEDIUM SIZE</v>
      </c>
      <c r="B48" s="33">
        <f>Data!B323</f>
        <v>1</v>
      </c>
      <c r="C48" s="34" t="str">
        <f>Data!C323</f>
        <v>cultivator</v>
      </c>
      <c r="D48" s="109">
        <f>Data!D323*Data!$D$20</f>
        <v>0</v>
      </c>
      <c r="E48" s="109">
        <f t="shared" ref="E48:E49" si="37">D48*B48</f>
        <v>0</v>
      </c>
      <c r="F48" s="109">
        <f>IF(CP!$K$29=0,Data!I323*E48,CP!$K$29*B48)</f>
        <v>0</v>
      </c>
      <c r="G48" s="60">
        <f>IF(CP!$G$29=0,Data!$F$323,CP!$G$29)</f>
        <v>40</v>
      </c>
      <c r="H48" s="109">
        <f>(E48*(_int_inv_m*(1+_int_inv_m)^G48)/((1+_int_inv_m)^G48-1))-(F48*_int_inv_m/((1+_int_inv_m)^G48-1))</f>
        <v>0</v>
      </c>
      <c r="I48" s="675">
        <f>IF(CP!$I$29=0,Data!H323*Data!$J$271,CP!$I$29/CP!$E$29)</f>
        <v>2.3395714285714287E-2</v>
      </c>
      <c r="J48" s="109">
        <f t="shared" ref="J48:J49" si="38">E48*I48</f>
        <v>0</v>
      </c>
      <c r="K48" s="36">
        <f t="shared" si="24"/>
        <v>6.7999999999999996E-3</v>
      </c>
      <c r="L48" s="109">
        <f t="shared" ref="L48:L49" si="39">E48*K48</f>
        <v>0</v>
      </c>
      <c r="M48" s="109">
        <f t="shared" ref="M48:M49" si="40">H48+J48+L48</f>
        <v>0</v>
      </c>
      <c r="O48" s="820"/>
    </row>
    <row r="49" spans="1:23" ht="13.25" customHeight="1" x14ac:dyDescent="0.3">
      <c r="A49" s="664" t="str">
        <f>Data!A324</f>
        <v>Cultivators - 12 row (30 ft) - LARGE SIZE</v>
      </c>
      <c r="B49" s="33">
        <f>Data!B324</f>
        <v>0</v>
      </c>
      <c r="C49" s="34" t="str">
        <f>Data!C324</f>
        <v>cultivator</v>
      </c>
      <c r="D49" s="109">
        <f>Data!D324*Data!$D$20</f>
        <v>0</v>
      </c>
      <c r="E49" s="109">
        <f t="shared" si="37"/>
        <v>0</v>
      </c>
      <c r="F49" s="109">
        <f>IF(CP!$K$29=0,Data!I324*E49,CP!$K$29*B49)</f>
        <v>0</v>
      </c>
      <c r="G49" s="60">
        <f>IF(CP!$G$29=0,Data!$F$324,CP!$G$29)</f>
        <v>40</v>
      </c>
      <c r="H49" s="109">
        <f>(E49*(_int_inv_l*(1+_int_inv_l)^G49)/((1+_int_inv_l)^G49-1))-(F49*_int_inv_l/((1+_int_inv_l)^G49-1))</f>
        <v>0</v>
      </c>
      <c r="I49" s="675">
        <f>IF(CP!$I$29=0,Data!H324*Data!$J$271,CP!$I$29/CP!$E$29)</f>
        <v>2.3395714285714287E-2</v>
      </c>
      <c r="J49" s="109">
        <f t="shared" si="38"/>
        <v>0</v>
      </c>
      <c r="K49" s="36">
        <f t="shared" si="24"/>
        <v>6.7999999999999996E-3</v>
      </c>
      <c r="L49" s="109">
        <f t="shared" si="39"/>
        <v>0</v>
      </c>
      <c r="M49" s="109">
        <f t="shared" si="40"/>
        <v>0</v>
      </c>
      <c r="O49" s="820"/>
    </row>
    <row r="50" spans="1:23" ht="13.25" customHeight="1" x14ac:dyDescent="0.3">
      <c r="A50" s="664" t="str">
        <f>Data!A325</f>
        <v>Tine-Harrow (i.e. Lely, 20-30 ft) - SMALL SIZE</v>
      </c>
      <c r="B50" s="33">
        <f>Data!B325</f>
        <v>0</v>
      </c>
      <c r="C50" s="90" t="str">
        <f>Data!C325</f>
        <v>tine-harrow</v>
      </c>
      <c r="D50" s="109">
        <f>Data!D325*Data!$P$20*CP!$H$5</f>
        <v>0</v>
      </c>
      <c r="E50" s="109">
        <f>D50*B50</f>
        <v>0</v>
      </c>
      <c r="F50" s="109">
        <f>IF(CP!$K$30=0,Data!I325*E50,CP!$K$30*B50)</f>
        <v>0</v>
      </c>
      <c r="G50" s="60">
        <f>IF(CP!$G$30=0,Data!$F$325,CP!$G$30)</f>
        <v>40</v>
      </c>
      <c r="H50" s="109">
        <f>(E50*(_int_inv_*(1+_int_inv_)^G50)/((1+_int_inv_)^G50-1))-(F50*_int_inv_/((1+_int_inv_)^G50-1))</f>
        <v>0</v>
      </c>
      <c r="I50" s="675">
        <f>IF(CP!$I$30=0,Data!H325*Data!$J$271,CP!$I$30/CP!$E$30)</f>
        <v>0.02</v>
      </c>
      <c r="J50" s="109">
        <f>E50*I50</f>
        <v>0</v>
      </c>
      <c r="K50" s="36">
        <f t="shared" si="24"/>
        <v>6.7999999999999996E-3</v>
      </c>
      <c r="L50" s="109">
        <f>E50*K50</f>
        <v>0</v>
      </c>
      <c r="M50" s="109">
        <f>H50+J50+L50</f>
        <v>0</v>
      </c>
    </row>
    <row r="51" spans="1:23" ht="13.25" customHeight="1" x14ac:dyDescent="0.3">
      <c r="A51" s="664" t="str">
        <f>Data!A326</f>
        <v>Tine-Harrow (i.e. Lely, 20-30 ft) - MEDIUM SIZE</v>
      </c>
      <c r="B51" s="33">
        <f>Data!B326</f>
        <v>1</v>
      </c>
      <c r="C51" s="90" t="str">
        <f>Data!C326</f>
        <v>tine-harrow</v>
      </c>
      <c r="D51" s="109">
        <f>Data!D326*Data!$P$20</f>
        <v>0</v>
      </c>
      <c r="E51" s="109">
        <f t="shared" ref="E51:E52" si="41">D51*B51</f>
        <v>0</v>
      </c>
      <c r="F51" s="109">
        <f>IF(CP!$K$30=0,Data!I326*E51,CP!$K$30*B51)</f>
        <v>0</v>
      </c>
      <c r="G51" s="60">
        <f>IF(CP!$G$30=0,Data!$F$326,CP!$G$30)</f>
        <v>40</v>
      </c>
      <c r="H51" s="109">
        <f>(E51*(_int_inv_m*(1+_int_inv_m)^G51)/((1+_int_inv_m)^G51-1))-(F51*_int_inv_m/((1+_int_inv_m)^G51-1))</f>
        <v>0</v>
      </c>
      <c r="I51" s="675">
        <f>IF(CP!$I$30=0,Data!H326*Data!$J$271,CP!$I$30/CP!$E$30)</f>
        <v>0.02</v>
      </c>
      <c r="J51" s="109">
        <f t="shared" ref="J51:J52" si="42">E51*I51</f>
        <v>0</v>
      </c>
      <c r="K51" s="36">
        <f t="shared" si="24"/>
        <v>6.7999999999999996E-3</v>
      </c>
      <c r="L51" s="109">
        <f t="shared" ref="L51:L52" si="43">E51*K51</f>
        <v>0</v>
      </c>
      <c r="M51" s="109">
        <f t="shared" ref="M51:M52" si="44">H51+J51+L51</f>
        <v>0</v>
      </c>
    </row>
    <row r="52" spans="1:23" ht="13.25" customHeight="1" x14ac:dyDescent="0.3">
      <c r="A52" s="664" t="str">
        <f>Data!A327</f>
        <v>Tine-Harrow (i.e. Lely, 20-30 ft) - LARGE SIZE</v>
      </c>
      <c r="B52" s="33">
        <f>Data!B327</f>
        <v>0</v>
      </c>
      <c r="C52" s="90" t="str">
        <f>Data!C327</f>
        <v>tine-harrow</v>
      </c>
      <c r="D52" s="109">
        <f>Data!D327*Data!$P$20</f>
        <v>0</v>
      </c>
      <c r="E52" s="109">
        <f t="shared" si="41"/>
        <v>0</v>
      </c>
      <c r="F52" s="109">
        <f>IF(CP!$K$30=0,Data!I327*E52,CP!$K$30*B52)</f>
        <v>0</v>
      </c>
      <c r="G52" s="60">
        <f>IF(CP!$G$30=0,Data!$F$327,CP!$G$30)</f>
        <v>40</v>
      </c>
      <c r="H52" s="109">
        <f>(E52*(_int_inv_l*(1+_int_inv_l)^G52)/((1+_int_inv_l)^G52-1))-(F52*_int_inv_l/((1+_int_inv_l)^G52-1))</f>
        <v>0</v>
      </c>
      <c r="I52" s="675">
        <f>IF(CP!$I$30=0,Data!H327*Data!$J$271,CP!$I$30/CP!$E$30)</f>
        <v>0.02</v>
      </c>
      <c r="J52" s="109">
        <f t="shared" si="42"/>
        <v>0</v>
      </c>
      <c r="K52" s="36">
        <f t="shared" si="24"/>
        <v>6.7999999999999996E-3</v>
      </c>
      <c r="L52" s="109">
        <f t="shared" si="43"/>
        <v>0</v>
      </c>
      <c r="M52" s="109">
        <f t="shared" si="44"/>
        <v>0</v>
      </c>
    </row>
    <row r="53" spans="1:23" x14ac:dyDescent="0.3">
      <c r="B53" s="33"/>
      <c r="C53" s="34"/>
      <c r="D53" s="109"/>
      <c r="E53" s="109"/>
      <c r="F53" s="109" t="s">
        <v>124</v>
      </c>
      <c r="G53" s="34"/>
      <c r="H53" s="112"/>
      <c r="I53" s="35"/>
      <c r="J53" s="109"/>
      <c r="K53" s="36"/>
      <c r="L53" s="109"/>
      <c r="M53" s="109"/>
      <c r="N53" s="34"/>
      <c r="O53" s="34"/>
      <c r="P53" s="34"/>
    </row>
    <row r="54" spans="1:23" x14ac:dyDescent="0.3">
      <c r="A54" s="14" t="s">
        <v>4</v>
      </c>
      <c r="B54" s="33"/>
      <c r="C54" s="34"/>
      <c r="D54" s="109"/>
      <c r="E54" s="109"/>
      <c r="F54" s="109"/>
      <c r="G54" s="34"/>
      <c r="H54" s="112"/>
      <c r="I54" s="35"/>
      <c r="J54" s="109"/>
      <c r="K54" s="35"/>
      <c r="L54" s="109"/>
      <c r="M54" s="109"/>
      <c r="N54" s="34"/>
      <c r="O54" s="34"/>
      <c r="P54" s="34"/>
    </row>
    <row r="55" spans="1:23" x14ac:dyDescent="0.3">
      <c r="A55" s="664" t="str">
        <f>Data!A343</f>
        <v>Grain Drill (Presswheel, 16 ft) - SMALL SIZE</v>
      </c>
      <c r="B55" s="33">
        <f>Data!B343</f>
        <v>0</v>
      </c>
      <c r="C55" s="34" t="str">
        <f>Data!C343</f>
        <v>grain drill</v>
      </c>
      <c r="D55" s="109">
        <f>Data!D343*Data!$AR$20*CP!$H$5</f>
        <v>0</v>
      </c>
      <c r="E55" s="109">
        <f>D55*B55</f>
        <v>0</v>
      </c>
      <c r="F55" s="109">
        <f>IF(CP!K34=0,Data!I343*E55,CP!K34*B55)</f>
        <v>0</v>
      </c>
      <c r="G55" s="60">
        <f>IF(CP!$G$34=0,Data!$F$343,CP!$G$34)</f>
        <v>50</v>
      </c>
      <c r="H55" s="109">
        <f>(E55*(_int_inv_*(1+_int_inv_)^G55)/((1+_int_inv_)^G55-1))-(F55*_int_inv_/((1+_int_inv_)^G55-1))</f>
        <v>0</v>
      </c>
      <c r="I55" s="36">
        <f>IF(CP!I34=0,Data!H343*Data!$J$271,CP!I34/CP!E34)</f>
        <v>2.3830454545454544E-2</v>
      </c>
      <c r="J55" s="109">
        <f>E55*I55</f>
        <v>0</v>
      </c>
      <c r="K55" s="36">
        <f>_tax_ins_</f>
        <v>6.7999999999999996E-3</v>
      </c>
      <c r="L55" s="109">
        <f>E55*K55</f>
        <v>0</v>
      </c>
      <c r="M55" s="109">
        <f>H55+J55+L55</f>
        <v>0</v>
      </c>
      <c r="N55" s="34"/>
      <c r="O55" s="34"/>
      <c r="P55" s="34"/>
      <c r="Q55" s="34"/>
      <c r="R55" s="34"/>
      <c r="S55" s="34"/>
      <c r="T55" s="34"/>
      <c r="U55" s="34"/>
      <c r="V55" s="34"/>
      <c r="W55" s="34"/>
    </row>
    <row r="56" spans="1:23" x14ac:dyDescent="0.3">
      <c r="A56" s="664" t="str">
        <f>Data!A344</f>
        <v>Grain Drill (Presswheel, 25 ft) - MEDIUM SIZE</v>
      </c>
      <c r="B56" s="33">
        <f>Data!B344</f>
        <v>1</v>
      </c>
      <c r="C56" s="34" t="str">
        <f>Data!C344</f>
        <v>grain drill</v>
      </c>
      <c r="D56" s="109">
        <f>Data!D344*Data!$AR$20</f>
        <v>0</v>
      </c>
      <c r="E56" s="109">
        <f t="shared" ref="E56:E57" si="45">D56*B56</f>
        <v>0</v>
      </c>
      <c r="F56" s="109">
        <f>IF(CP!K35=0,Data!I344*E56,CP!K35*B56)</f>
        <v>0</v>
      </c>
      <c r="G56" s="60">
        <f>IF(CP!$G$35=0,Data!$F$344,CP!$G$35)</f>
        <v>40</v>
      </c>
      <c r="H56" s="109">
        <f>(E56*(_int_inv_m*(1+_int_inv_m)^G56)/((1+_int_inv_m)^G56-1))-(F56*_int_inv_m/((1+_int_inv_m)^G56-1))</f>
        <v>0</v>
      </c>
      <c r="I56" s="36">
        <f>IF(CP!I35=0,Data!H344*Data!$J$271,CP!I35/CP!E35)</f>
        <v>2.3673333333333331E-2</v>
      </c>
      <c r="J56" s="109">
        <f t="shared" ref="J56:J57" si="46">E56*I56</f>
        <v>0</v>
      </c>
      <c r="K56" s="36">
        <f>_tax_ins_</f>
        <v>6.7999999999999996E-3</v>
      </c>
      <c r="L56" s="109">
        <f t="shared" ref="L56:L57" si="47">E56*K56</f>
        <v>0</v>
      </c>
      <c r="M56" s="109">
        <f t="shared" ref="M56:M57" si="48">H56+J56+L56</f>
        <v>0</v>
      </c>
      <c r="N56" s="34"/>
      <c r="O56" s="34"/>
      <c r="P56" s="34"/>
      <c r="Q56" s="34"/>
      <c r="R56" s="34"/>
      <c r="S56" s="34"/>
      <c r="T56" s="34"/>
      <c r="U56" s="34"/>
      <c r="V56" s="34"/>
      <c r="W56" s="34"/>
    </row>
    <row r="57" spans="1:23" x14ac:dyDescent="0.3">
      <c r="A57" s="664" t="str">
        <f>Data!A345</f>
        <v>Grain Drill (Presswheel, 30 ft) - LARGE SIZE</v>
      </c>
      <c r="B57" s="33">
        <f>Data!B345</f>
        <v>0</v>
      </c>
      <c r="C57" s="34" t="str">
        <f>Data!C345</f>
        <v>grain drill</v>
      </c>
      <c r="D57" s="109">
        <f>Data!D345*Data!$AR$20</f>
        <v>0</v>
      </c>
      <c r="E57" s="109">
        <f t="shared" si="45"/>
        <v>0</v>
      </c>
      <c r="F57" s="109">
        <f>IF(CP!K36=0,Data!I345*E57,CP!K36*B57)</f>
        <v>0</v>
      </c>
      <c r="G57" s="60">
        <f>IF(CP!$G$36=0,Data!$F$345,CP!$G$36)</f>
        <v>20</v>
      </c>
      <c r="H57" s="109">
        <f>(E57*(_int_inv_l*(1+_int_inv_l)^G57)/((1+_int_inv_l)^G57-1))-(F57*_int_inv_l/((1+_int_inv_l)^G57-1))</f>
        <v>0</v>
      </c>
      <c r="I57" s="36">
        <f>IF(CP!I36=0,Data!H345*Data!$J$271,CP!I36/CP!E36)</f>
        <v>2.714666666666667E-2</v>
      </c>
      <c r="J57" s="109">
        <f t="shared" si="46"/>
        <v>0</v>
      </c>
      <c r="K57" s="36">
        <f>_tax_ins_</f>
        <v>6.7999999999999996E-3</v>
      </c>
      <c r="L57" s="109">
        <f t="shared" si="47"/>
        <v>0</v>
      </c>
      <c r="M57" s="109">
        <f t="shared" si="48"/>
        <v>0</v>
      </c>
      <c r="N57" s="34"/>
      <c r="O57" s="34"/>
      <c r="P57" s="34"/>
      <c r="Q57" s="34"/>
      <c r="R57" s="34"/>
      <c r="S57" s="34"/>
      <c r="T57" s="34"/>
      <c r="U57" s="34"/>
      <c r="V57" s="34"/>
      <c r="W57" s="34"/>
    </row>
    <row r="58" spans="1:23" x14ac:dyDescent="0.3">
      <c r="A58" s="664" t="str">
        <f>Data!A348</f>
        <v xml:space="preserve">Soybean Planter </v>
      </c>
      <c r="B58" s="163">
        <f>Data!B348</f>
        <v>0</v>
      </c>
      <c r="C58" s="34" t="str">
        <f>Data!C348</f>
        <v>planter</v>
      </c>
      <c r="D58" s="109">
        <f>Data!D348*Data!$D$20</f>
        <v>0</v>
      </c>
      <c r="E58" s="109">
        <f>D58*B58</f>
        <v>0</v>
      </c>
      <c r="F58" s="109">
        <f>Data!I348*E58</f>
        <v>0</v>
      </c>
      <c r="G58" s="34">
        <f>Data!F348</f>
        <v>10</v>
      </c>
      <c r="H58" s="109">
        <f>(E58*(_int_inv_*(1+_int_inv_)^G58)/((1+_int_inv_)^G58-1))-(F58*_int_inv_/((1+_int_inv_)^G58-1))</f>
        <v>0</v>
      </c>
      <c r="I58" s="37">
        <f>Data!H348*Data!$J$271</f>
        <v>4.4999999999999998E-2</v>
      </c>
      <c r="J58" s="109">
        <f>E58*I58</f>
        <v>0</v>
      </c>
      <c r="K58" s="36">
        <f>_tax_ins_</f>
        <v>6.7999999999999996E-3</v>
      </c>
      <c r="L58" s="109">
        <f>E58*K58</f>
        <v>0</v>
      </c>
      <c r="M58" s="109">
        <f>H58+J58+L58</f>
        <v>0</v>
      </c>
      <c r="N58" s="34"/>
      <c r="O58" s="34"/>
      <c r="P58" s="34"/>
    </row>
    <row r="59" spans="1:23" x14ac:dyDescent="0.3">
      <c r="B59" s="33"/>
      <c r="C59" s="34"/>
      <c r="D59" s="109"/>
      <c r="E59" s="109"/>
      <c r="F59" s="109"/>
      <c r="G59" s="34"/>
      <c r="H59" s="112"/>
      <c r="I59" s="35"/>
      <c r="J59" s="109"/>
      <c r="K59" s="35"/>
      <c r="L59" s="109"/>
      <c r="M59" s="109"/>
      <c r="N59" s="34"/>
      <c r="O59" s="34"/>
      <c r="P59" s="34"/>
    </row>
    <row r="60" spans="1:23" x14ac:dyDescent="0.3">
      <c r="A60" s="14" t="s">
        <v>7</v>
      </c>
      <c r="B60" s="33"/>
      <c r="C60" s="34"/>
      <c r="D60" s="109"/>
      <c r="E60" s="109"/>
      <c r="F60" s="109"/>
      <c r="G60" s="34"/>
      <c r="H60" s="112"/>
      <c r="I60" s="35"/>
      <c r="J60" s="109"/>
      <c r="K60" s="36"/>
      <c r="L60" s="109"/>
      <c r="M60" s="109"/>
      <c r="N60" s="34"/>
      <c r="O60" s="34"/>
      <c r="P60" s="34"/>
    </row>
    <row r="61" spans="1:23" ht="12.75" customHeight="1" x14ac:dyDescent="0.3">
      <c r="A61" s="6" t="str">
        <f>Data!A353</f>
        <v>Sprayer (Tractor Mounted Boom, 50 ft) - SMALL SIZE</v>
      </c>
      <c r="B61" s="33">
        <f>Data!B353</f>
        <v>0</v>
      </c>
      <c r="C61" s="34" t="str">
        <f>Data!C353</f>
        <v>sprayer</v>
      </c>
      <c r="D61" s="109">
        <f>Data!D353*Data!$P$20*CP!$H$5</f>
        <v>0</v>
      </c>
      <c r="E61" s="109">
        <f>D61*B61</f>
        <v>0</v>
      </c>
      <c r="F61" s="109">
        <f>IF(CP!K38=0,Data!I353*E61,CP!K38*B61)</f>
        <v>0</v>
      </c>
      <c r="G61" s="34">
        <f>IF(CP!$G$38=0,Data!$F$353,CP!$G$38)</f>
        <v>40</v>
      </c>
      <c r="H61" s="109">
        <f>(E61*(_int_inv_*(1+_int_inv_)^G61)/((1+_int_inv_)^G61-1))-(F61*_int_inv_/((1+_int_inv_)^G61-1))</f>
        <v>0</v>
      </c>
      <c r="I61" s="37">
        <f>IF(CP!I38=0,Data!H353*Data!$J$271,CP!I38/CP!E38)</f>
        <v>4.4999999999999998E-2</v>
      </c>
      <c r="J61" s="109">
        <f>E61*I61</f>
        <v>0</v>
      </c>
      <c r="K61" s="36">
        <f>_tax_ins_</f>
        <v>6.7999999999999996E-3</v>
      </c>
      <c r="L61" s="109">
        <f>E61*K61</f>
        <v>0</v>
      </c>
      <c r="M61" s="109">
        <f>H61+J61+L61</f>
        <v>0</v>
      </c>
      <c r="N61" s="34"/>
      <c r="O61" s="34"/>
      <c r="P61" s="34"/>
      <c r="Q61" s="34"/>
      <c r="R61" s="34"/>
      <c r="S61" s="34"/>
      <c r="T61" s="34"/>
      <c r="U61" s="34"/>
    </row>
    <row r="62" spans="1:23" ht="12.75" customHeight="1" x14ac:dyDescent="0.3">
      <c r="A62" s="6" t="str">
        <f>Data!A354</f>
        <v>Sprayer (Tractor Mounted Boom, 90 ft) - MEDIUM SIZE</v>
      </c>
      <c r="B62" s="33">
        <f>Data!B354</f>
        <v>0</v>
      </c>
      <c r="C62" s="34" t="str">
        <f>Data!C354</f>
        <v>sprayer</v>
      </c>
      <c r="D62" s="109">
        <f>Data!D354*Data!$P$20</f>
        <v>0</v>
      </c>
      <c r="E62" s="109">
        <f t="shared" ref="E62:E63" si="49">D62*B62</f>
        <v>0</v>
      </c>
      <c r="F62" s="109">
        <f>IF(CP!K39=0,Data!I354*E62,CP!K39*B62)</f>
        <v>0</v>
      </c>
      <c r="G62" s="34">
        <f>IF(CP!$G$39=0,Data!$F$354,CP!$G$39)</f>
        <v>40</v>
      </c>
      <c r="H62" s="109">
        <f>(E62*(_int_inv_m*(1+_int_inv_m)^G62)/((1+_int_inv_m)^G62-1))-(F62*_int_inv_m/((1+_int_inv_m)^G62-1))</f>
        <v>0</v>
      </c>
      <c r="I62" s="37">
        <f>IF(CP!I39=0,Data!H354*Data!$J$271,CP!I39/CP!E39)</f>
        <v>4.4999999999999998E-2</v>
      </c>
      <c r="J62" s="109">
        <f t="shared" ref="J62:J63" si="50">E62*I62</f>
        <v>0</v>
      </c>
      <c r="K62" s="36">
        <f>_tax_ins_</f>
        <v>6.7999999999999996E-3</v>
      </c>
      <c r="L62" s="109">
        <f t="shared" ref="L62:L63" si="51">E62*K62</f>
        <v>0</v>
      </c>
      <c r="M62" s="109">
        <f t="shared" ref="M62:M63" si="52">H62+J62+L62</f>
        <v>0</v>
      </c>
      <c r="N62" s="34"/>
      <c r="O62" s="34"/>
      <c r="P62" s="34"/>
      <c r="Q62" s="34"/>
      <c r="R62" s="34"/>
      <c r="S62" s="34"/>
      <c r="T62" s="34"/>
      <c r="U62" s="34"/>
    </row>
    <row r="63" spans="1:23" ht="12.75" customHeight="1" x14ac:dyDescent="0.3">
      <c r="A63" s="6" t="str">
        <f>Data!A355</f>
        <v>Sprayer (Self Propelled, 80 ft) - LARGE SIZE</v>
      </c>
      <c r="B63" s="33">
        <f>Data!B355</f>
        <v>0</v>
      </c>
      <c r="C63" s="34" t="str">
        <f>Data!C355</f>
        <v>sprayer</v>
      </c>
      <c r="D63" s="109">
        <f>Data!D355*Data!$P$20</f>
        <v>0</v>
      </c>
      <c r="E63" s="109">
        <f t="shared" si="49"/>
        <v>0</v>
      </c>
      <c r="F63" s="109">
        <f>IF(CP!K40=0,Data!I355*E63,CP!K40*B63)</f>
        <v>0</v>
      </c>
      <c r="G63" s="34">
        <f>IF(CP!$G$40=0,Data!$F$355,CP!$G$40)</f>
        <v>40</v>
      </c>
      <c r="H63" s="109">
        <f>(E63*(_int_inv_l*(1+_int_inv_l)^G63)/((1+_int_inv_l)^G63-1))-(F63*_int_inv_l/((1+_int_inv_l)^G63-1))</f>
        <v>0</v>
      </c>
      <c r="I63" s="37">
        <f>IF(CP!I40=0,Data!H355*Data!$J$271,CP!I40/CP!E40)</f>
        <v>4.4999999999999998E-2</v>
      </c>
      <c r="J63" s="109">
        <f t="shared" si="50"/>
        <v>0</v>
      </c>
      <c r="K63" s="36">
        <f>_tax_ins_</f>
        <v>6.7999999999999996E-3</v>
      </c>
      <c r="L63" s="109">
        <f t="shared" si="51"/>
        <v>0</v>
      </c>
      <c r="M63" s="109">
        <f t="shared" si="52"/>
        <v>0</v>
      </c>
      <c r="N63" s="34"/>
      <c r="O63" s="34"/>
      <c r="P63" s="34"/>
      <c r="Q63" s="34"/>
      <c r="R63" s="34"/>
      <c r="S63" s="34"/>
      <c r="T63" s="34"/>
      <c r="U63" s="34"/>
    </row>
    <row r="64" spans="1:23" x14ac:dyDescent="0.3">
      <c r="B64" s="33"/>
      <c r="C64" s="34"/>
      <c r="D64" s="109"/>
      <c r="E64" s="109"/>
      <c r="F64" s="109"/>
      <c r="G64" s="34"/>
      <c r="H64" s="112"/>
      <c r="I64" s="35"/>
      <c r="J64" s="109"/>
      <c r="K64" s="36"/>
      <c r="L64" s="109"/>
      <c r="M64" s="109"/>
      <c r="N64" s="34"/>
      <c r="O64" s="34"/>
      <c r="P64" s="34"/>
    </row>
    <row r="65" spans="1:22" x14ac:dyDescent="0.3">
      <c r="A65" s="14" t="s">
        <v>9</v>
      </c>
      <c r="B65" s="33"/>
      <c r="C65" s="34"/>
      <c r="D65" s="109"/>
      <c r="E65" s="109"/>
      <c r="F65" s="109"/>
      <c r="G65" s="34"/>
      <c r="H65" s="112"/>
      <c r="I65" s="35"/>
      <c r="J65" s="109"/>
      <c r="K65" s="36"/>
      <c r="L65" s="109"/>
      <c r="M65" s="109"/>
      <c r="N65" s="34"/>
      <c r="O65" s="34"/>
      <c r="P65" s="34"/>
    </row>
    <row r="66" spans="1:22" x14ac:dyDescent="0.3">
      <c r="A66" s="664" t="str">
        <f>Data!A381</f>
        <v>Combine (IHC) - SMALL SIZE</v>
      </c>
      <c r="B66" s="33">
        <f>Data!B381</f>
        <v>0</v>
      </c>
      <c r="C66" s="34" t="str">
        <f>Data!C381</f>
        <v>combine</v>
      </c>
      <c r="D66" s="109">
        <f>Data!D381*Data!$AH$20*CP!$H$5</f>
        <v>0</v>
      </c>
      <c r="E66" s="109">
        <f>D66*B66</f>
        <v>0</v>
      </c>
      <c r="F66" s="109">
        <f>IF(CP!K48=0,Data!I381*E66,CP!K48*B66)</f>
        <v>0</v>
      </c>
      <c r="G66" s="60">
        <f>IF(CP!$G$48=0,Data!$F$381,CP!$G$48)</f>
        <v>50</v>
      </c>
      <c r="H66" s="109">
        <f>(E66*(_int_inv_*(1+_int_inv_)^G66)/((1+_int_inv_)^G66-1))-(F66*_int_inv_/((1+_int_inv_)^G66-1))</f>
        <v>0</v>
      </c>
      <c r="I66" s="37">
        <f>IF(CP!I48=0,Data!H381*Data!$J$271,CP!I48/CP!E48)</f>
        <v>2.8219081272084806E-2</v>
      </c>
      <c r="J66" s="109">
        <f>E66*I66</f>
        <v>0</v>
      </c>
      <c r="K66" s="36">
        <f t="shared" ref="K66:K71" si="53">_tax_ins_</f>
        <v>6.7999999999999996E-3</v>
      </c>
      <c r="L66" s="109">
        <f>E66*K66</f>
        <v>0</v>
      </c>
      <c r="M66" s="109">
        <f>H66+J66+L66</f>
        <v>0</v>
      </c>
      <c r="N66" s="34"/>
      <c r="O66" s="34"/>
      <c r="P66" s="34"/>
      <c r="Q66" s="34"/>
      <c r="R66" s="34"/>
      <c r="S66" s="34"/>
      <c r="T66" s="34"/>
      <c r="U66" s="34"/>
      <c r="V66" s="34"/>
    </row>
    <row r="67" spans="1:22" x14ac:dyDescent="0.3">
      <c r="A67" s="664" t="str">
        <f>Data!A382</f>
        <v>Combine (IHC) - MEDIUM SIZE</v>
      </c>
      <c r="B67" s="33">
        <f>Data!B382</f>
        <v>1</v>
      </c>
      <c r="C67" s="34" t="str">
        <f>Data!C382</f>
        <v>combine</v>
      </c>
      <c r="D67" s="109">
        <f>Data!D382*Data!$AH$20</f>
        <v>0</v>
      </c>
      <c r="E67" s="109">
        <f t="shared" ref="E67:E68" si="54">D67*B67</f>
        <v>0</v>
      </c>
      <c r="F67" s="109">
        <f>IF(CP!K49=0,Data!I382*E67,CP!K49*B67)</f>
        <v>0</v>
      </c>
      <c r="G67" s="60">
        <f>IF(CP!$G$49=0,Data!$F$382,CP!$G$49)</f>
        <v>40</v>
      </c>
      <c r="H67" s="109">
        <f>(E67*(_int_inv_m*(1+_int_inv_m)^G67)/((1+_int_inv_m)^G67-1))-(F67*_int_inv_m/((1+_int_inv_m)^G67-1))</f>
        <v>0</v>
      </c>
      <c r="I67" s="37">
        <f>IF(CP!I49=0,Data!H382*Data!$J$271,CP!I49/CP!E49)</f>
        <v>2.8219081272084806E-2</v>
      </c>
      <c r="J67" s="109">
        <f t="shared" ref="J67:J68" si="55">E67*I67</f>
        <v>0</v>
      </c>
      <c r="K67" s="36">
        <f t="shared" si="53"/>
        <v>6.7999999999999996E-3</v>
      </c>
      <c r="L67" s="109">
        <f t="shared" ref="L67:L68" si="56">E67*K67</f>
        <v>0</v>
      </c>
      <c r="M67" s="109">
        <f t="shared" ref="M67:M68" si="57">H67+J67+L67</f>
        <v>0</v>
      </c>
      <c r="N67" s="34"/>
      <c r="O67" s="34"/>
      <c r="P67" s="34"/>
      <c r="Q67" s="34"/>
      <c r="R67" s="34"/>
      <c r="S67" s="34"/>
      <c r="T67" s="34"/>
      <c r="U67" s="34"/>
      <c r="V67" s="34"/>
    </row>
    <row r="68" spans="1:22" x14ac:dyDescent="0.3">
      <c r="A68" s="664" t="str">
        <f>Data!A383</f>
        <v>Combine (IHC) - LARGE SIZE</v>
      </c>
      <c r="B68" s="33">
        <f>Data!B383</f>
        <v>0</v>
      </c>
      <c r="C68" s="34" t="str">
        <f>Data!C383</f>
        <v>combine</v>
      </c>
      <c r="D68" s="109">
        <f>Data!D383*Data!$AH$20</f>
        <v>0</v>
      </c>
      <c r="E68" s="109">
        <f t="shared" si="54"/>
        <v>0</v>
      </c>
      <c r="F68" s="109">
        <f>IF(CP!K50=0,Data!I383*E68,CP!K50*B68)</f>
        <v>0</v>
      </c>
      <c r="G68" s="60">
        <f>IF(CP!$G$50=0,Data!$F$383,CP!$G$50)</f>
        <v>20</v>
      </c>
      <c r="H68" s="109">
        <f>(E68*(_int_inv_l*(1+_int_inv_l)^G68)/((1+_int_inv_l)^G68-1))-(F68*_int_inv_l/((1+_int_inv_l)^G68-1))</f>
        <v>0</v>
      </c>
      <c r="I68" s="37">
        <f>IF(CP!I50=0,Data!H383*Data!$J$271,CP!I50/CP!E50)</f>
        <v>2.8219081272084806E-2</v>
      </c>
      <c r="J68" s="109">
        <f t="shared" si="55"/>
        <v>0</v>
      </c>
      <c r="K68" s="36">
        <f t="shared" si="53"/>
        <v>6.7999999999999996E-3</v>
      </c>
      <c r="L68" s="109">
        <f t="shared" si="56"/>
        <v>0</v>
      </c>
      <c r="M68" s="109">
        <f t="shared" si="57"/>
        <v>0</v>
      </c>
      <c r="N68" s="34"/>
      <c r="O68" s="34"/>
      <c r="P68" s="34"/>
      <c r="Q68" s="34"/>
      <c r="R68" s="34"/>
      <c r="S68" s="34"/>
      <c r="T68" s="34"/>
      <c r="U68" s="34"/>
      <c r="V68" s="34"/>
    </row>
    <row r="69" spans="1:22" x14ac:dyDescent="0.3">
      <c r="A69" s="664" t="str">
        <f>Data!A388</f>
        <v xml:space="preserve">     Combine soybean head (15 ft) - SMALL SIZE</v>
      </c>
      <c r="B69" s="33">
        <f>Data!B388</f>
        <v>0</v>
      </c>
      <c r="C69" s="34" t="str">
        <f>Data!C388</f>
        <v>soy hd.</v>
      </c>
      <c r="D69" s="109">
        <f>Data!D388*Data!$AL$20*CP!$H$5</f>
        <v>0</v>
      </c>
      <c r="E69" s="109">
        <f>D69*B69</f>
        <v>0</v>
      </c>
      <c r="F69" s="109">
        <f>IF(CP!K54=0,Data!I388*E69,CP!K54*B69)</f>
        <v>0</v>
      </c>
      <c r="G69" s="60">
        <f>IF(CP!$G$54=0,Data!$F$388,CP!$G$54)</f>
        <v>50</v>
      </c>
      <c r="H69" s="109">
        <f>(E69*(_int_inv_*(1+_int_inv_)^G69)/((1+_int_inv_)^G69-1))-(F69*_int_inv_/((1+_int_inv_)^G69-1))</f>
        <v>0</v>
      </c>
      <c r="I69" s="37">
        <f>IF(CP!I54=0,Data!H388*Data!$J$271,CP!I54/CP!E54)</f>
        <v>2.6278604651162791E-2</v>
      </c>
      <c r="J69" s="109">
        <f>E69*I69</f>
        <v>0</v>
      </c>
      <c r="K69" s="36">
        <f t="shared" si="53"/>
        <v>6.7999999999999996E-3</v>
      </c>
      <c r="L69" s="109">
        <f>E69*K69</f>
        <v>0</v>
      </c>
      <c r="M69" s="109">
        <f>H69+J69+L69</f>
        <v>0</v>
      </c>
      <c r="N69" s="34"/>
      <c r="O69" s="34"/>
      <c r="P69" s="34"/>
      <c r="Q69" s="34"/>
      <c r="R69" s="34"/>
      <c r="S69" s="34"/>
      <c r="T69" s="34"/>
      <c r="U69" s="34"/>
      <c r="V69" s="34"/>
    </row>
    <row r="70" spans="1:22" x14ac:dyDescent="0.3">
      <c r="A70" s="664" t="str">
        <f>Data!A389</f>
        <v xml:space="preserve">     Combine soybean head (15 ft) - MEDIUM SIZE</v>
      </c>
      <c r="B70" s="33">
        <f>Data!B389</f>
        <v>1</v>
      </c>
      <c r="C70" s="34" t="str">
        <f>Data!C389</f>
        <v>soy hd.</v>
      </c>
      <c r="D70" s="109">
        <f>Data!D389*Data!$AL$20</f>
        <v>0</v>
      </c>
      <c r="E70" s="109">
        <f t="shared" ref="E70:E71" si="58">D70*B70</f>
        <v>0</v>
      </c>
      <c r="F70" s="109">
        <f>IF(CP!K55=0,Data!I389*E70,CP!K55*B70)</f>
        <v>0</v>
      </c>
      <c r="G70" s="60">
        <f>IF(CP!$G$55=0,Data!$F$389,CP!$G$55)</f>
        <v>40</v>
      </c>
      <c r="H70" s="109">
        <f>(E70*(_int_inv_m*(1+_int_inv_m)^G70)/((1+_int_inv_m)^G70-1))-(F70*_int_inv_m/((1+_int_inv_m)^G70-1))</f>
        <v>0</v>
      </c>
      <c r="I70" s="37">
        <f>IF(CP!I55=0,Data!H389*Data!$J$271,CP!I55/CP!E55)</f>
        <v>2.6278604651162791E-2</v>
      </c>
      <c r="J70" s="109">
        <f t="shared" ref="J70:J71" si="59">E70*I70</f>
        <v>0</v>
      </c>
      <c r="K70" s="36">
        <f t="shared" si="53"/>
        <v>6.7999999999999996E-3</v>
      </c>
      <c r="L70" s="109">
        <f t="shared" ref="L70:L71" si="60">E70*K70</f>
        <v>0</v>
      </c>
      <c r="M70" s="109">
        <f t="shared" ref="M70:M71" si="61">H70+J70+L70</f>
        <v>0</v>
      </c>
      <c r="N70" s="34"/>
      <c r="O70" s="34"/>
      <c r="P70" s="34"/>
      <c r="Q70" s="34"/>
      <c r="R70" s="34"/>
      <c r="S70" s="34"/>
      <c r="T70" s="34"/>
      <c r="U70" s="34"/>
      <c r="V70" s="34"/>
    </row>
    <row r="71" spans="1:22" x14ac:dyDescent="0.3">
      <c r="A71" s="664" t="str">
        <f>Data!A390</f>
        <v xml:space="preserve">     Combine soybean head (20 ft) - LARGE SIZE</v>
      </c>
      <c r="B71" s="33">
        <f>Data!B390</f>
        <v>0</v>
      </c>
      <c r="C71" s="34" t="str">
        <f>Data!C390</f>
        <v>soy hd.</v>
      </c>
      <c r="D71" s="109">
        <f>Data!D390*Data!$AL$20</f>
        <v>0</v>
      </c>
      <c r="E71" s="109">
        <f t="shared" si="58"/>
        <v>0</v>
      </c>
      <c r="F71" s="109">
        <f>IF(CP!K56=0,Data!I390*E71,CP!K56*B71)</f>
        <v>0</v>
      </c>
      <c r="G71" s="60">
        <f>IF(CP!$G$56=0,Data!$F$390,CP!$G$56)</f>
        <v>20</v>
      </c>
      <c r="H71" s="109">
        <f>(E71*(_int_inv_l*(1+_int_inv_l)^G71)/((1+_int_inv_l)^G71-1))-(F71*_int_inv_l/((1+_int_inv_l)^G71-1))</f>
        <v>0</v>
      </c>
      <c r="I71" s="37">
        <f>IF(CP!I56=0,Data!H390*Data!$J$271,CP!I56/CP!E56)</f>
        <v>2.6278604651162791E-2</v>
      </c>
      <c r="J71" s="109">
        <f t="shared" si="59"/>
        <v>0</v>
      </c>
      <c r="K71" s="36">
        <f t="shared" si="53"/>
        <v>6.7999999999999996E-3</v>
      </c>
      <c r="L71" s="109">
        <f t="shared" si="60"/>
        <v>0</v>
      </c>
      <c r="M71" s="109">
        <f t="shared" si="61"/>
        <v>0</v>
      </c>
      <c r="N71" s="34"/>
      <c r="O71" s="34"/>
      <c r="P71" s="34"/>
      <c r="Q71" s="34"/>
      <c r="R71" s="34"/>
      <c r="S71" s="34"/>
      <c r="T71" s="34"/>
      <c r="U71" s="34"/>
      <c r="V71" s="34"/>
    </row>
    <row r="72" spans="1:22" x14ac:dyDescent="0.3">
      <c r="A72" s="6"/>
      <c r="B72" s="33"/>
      <c r="C72" s="34"/>
      <c r="D72" s="109"/>
      <c r="E72" s="109"/>
      <c r="F72" s="109"/>
      <c r="G72" s="60"/>
      <c r="H72" s="112"/>
      <c r="I72" s="35"/>
      <c r="J72" s="109"/>
      <c r="K72" s="36"/>
      <c r="L72" s="109"/>
      <c r="M72" s="109"/>
      <c r="N72" s="34"/>
      <c r="O72" s="34"/>
      <c r="P72" s="34"/>
      <c r="Q72" s="34"/>
      <c r="R72" s="34"/>
      <c r="S72" s="34"/>
      <c r="T72" s="34"/>
      <c r="U72" s="34"/>
      <c r="V72" s="34"/>
    </row>
    <row r="73" spans="1:22" x14ac:dyDescent="0.3">
      <c r="A73" s="14" t="s">
        <v>357</v>
      </c>
      <c r="B73" s="33"/>
      <c r="C73" s="34"/>
      <c r="D73" s="109"/>
      <c r="E73" s="109"/>
      <c r="F73" s="109"/>
      <c r="G73" s="34"/>
      <c r="H73" s="112"/>
      <c r="I73" s="35"/>
      <c r="J73" s="109"/>
      <c r="K73" s="36"/>
      <c r="L73" s="109"/>
      <c r="M73" s="109"/>
    </row>
    <row r="74" spans="1:22" x14ac:dyDescent="0.3">
      <c r="A74" s="664" t="str">
        <f>Data!A395</f>
        <v>Fuel Tanks - SMALL SIZE</v>
      </c>
      <c r="B74" s="33">
        <f>Data!B395</f>
        <v>0</v>
      </c>
      <c r="C74" s="34" t="str">
        <f>Data!C395</f>
        <v>fuel tank</v>
      </c>
      <c r="D74" s="109">
        <f>Data!D395*Data!$H$20*CP!$H$5</f>
        <v>0</v>
      </c>
      <c r="E74" s="109">
        <f>D74*B74</f>
        <v>0</v>
      </c>
      <c r="F74" s="109">
        <f>IF(CP!K58=0,Data!I395*E74,CP!K58*B74)</f>
        <v>0</v>
      </c>
      <c r="G74" s="60">
        <f>IF(CP!$G$58=0,Data!$F$395,CP!$G$58)</f>
        <v>50</v>
      </c>
      <c r="H74" s="104">
        <f t="shared" ref="H74:H75" si="62">(E74*(_int_inv_*(1+_int_inv_)^G74)/((1+_int_inv_)^G74-1))-(F74*_int_inv_/((1+_int_inv_)^G74-1))</f>
        <v>0</v>
      </c>
      <c r="I74" s="35">
        <f>IF(CP!I58=0,Data!H395*Data!$J$271,CP!I58/CP!E58)</f>
        <v>0.02</v>
      </c>
      <c r="J74" s="104">
        <f>E74*I74</f>
        <v>0</v>
      </c>
      <c r="K74" s="36">
        <f t="shared" ref="K74:K79" si="63">_tax_ins_</f>
        <v>6.7999999999999996E-3</v>
      </c>
      <c r="L74" s="104">
        <f>E74*K74</f>
        <v>0</v>
      </c>
      <c r="M74" s="109">
        <f>H74+J74+L74</f>
        <v>0</v>
      </c>
    </row>
    <row r="75" spans="1:22" x14ac:dyDescent="0.3">
      <c r="A75" s="664" t="str">
        <f>Data!A396</f>
        <v>Shop Tools - SMALL SIZE</v>
      </c>
      <c r="B75" s="33">
        <f>Data!B396</f>
        <v>0</v>
      </c>
      <c r="C75" s="34" t="str">
        <f>Data!C396</f>
        <v>shop tools</v>
      </c>
      <c r="D75" s="109">
        <f>Data!D396*Data!$H$20*CP!$H$5</f>
        <v>0</v>
      </c>
      <c r="E75" s="109">
        <f>D75*B75</f>
        <v>0</v>
      </c>
      <c r="F75" s="109">
        <f>IF(CP!K61=0,Data!I396*E75,CP!K61*B75)</f>
        <v>0</v>
      </c>
      <c r="G75" s="60">
        <f>IF(CP!$G$61=0,Data!$F$396,CP!$G$61)</f>
        <v>50</v>
      </c>
      <c r="H75" s="109">
        <f t="shared" si="62"/>
        <v>0</v>
      </c>
      <c r="I75" s="35">
        <f>IF(CP!I61=0,Data!H396*Data!$J$271,CP!I61/CP!E61)</f>
        <v>0.02</v>
      </c>
      <c r="J75" s="109">
        <f>E75*I75</f>
        <v>0</v>
      </c>
      <c r="K75" s="36">
        <f t="shared" si="63"/>
        <v>6.7999999999999996E-3</v>
      </c>
      <c r="L75" s="104">
        <f>E75*K75</f>
        <v>0</v>
      </c>
      <c r="M75" s="109">
        <f>H75+J75+L75</f>
        <v>0</v>
      </c>
    </row>
    <row r="76" spans="1:22" x14ac:dyDescent="0.3">
      <c r="A76" s="664" t="str">
        <f>Data!A397</f>
        <v>Fuel Tanks - MEDIUM SIZE</v>
      </c>
      <c r="B76" s="33">
        <f>Data!B397</f>
        <v>1</v>
      </c>
      <c r="C76" s="34" t="str">
        <f>Data!C397</f>
        <v>fuel tank</v>
      </c>
      <c r="D76" s="109">
        <f>Data!D397*Data!$H$20</f>
        <v>0</v>
      </c>
      <c r="E76" s="109">
        <f t="shared" ref="E76:E79" si="64">D76*B76</f>
        <v>0</v>
      </c>
      <c r="F76" s="109">
        <f>IF(CP!K59=0,Data!I397*E76,CP!K59*B76)</f>
        <v>0</v>
      </c>
      <c r="G76" s="60">
        <f>IF(CP!$G$59=0,Data!$F$397,CP!$G$59)</f>
        <v>40</v>
      </c>
      <c r="H76" s="109">
        <f>(E76*(_int_inv_m*(1+_int_inv_m)^G76)/((1+_int_inv_m)^G76-1))-(F76*_int_inv_m/((1+_int_inv_m)^G76-1))</f>
        <v>0</v>
      </c>
      <c r="I76" s="35">
        <f>IF(CP!I59=0,Data!H397*Data!$J$271,CP!I59/CP!E59)</f>
        <v>0.02</v>
      </c>
      <c r="J76" s="104">
        <f t="shared" ref="J76:J79" si="65">E76*I76</f>
        <v>0</v>
      </c>
      <c r="K76" s="36">
        <f t="shared" si="63"/>
        <v>6.7999999999999996E-3</v>
      </c>
      <c r="L76" s="104">
        <f t="shared" ref="L76:L79" si="66">E76*K76</f>
        <v>0</v>
      </c>
      <c r="M76" s="109">
        <f t="shared" ref="M76:M79" si="67">H76+J76+L76</f>
        <v>0</v>
      </c>
    </row>
    <row r="77" spans="1:22" x14ac:dyDescent="0.3">
      <c r="A77" s="664" t="str">
        <f>Data!A398</f>
        <v>Shop Tools - MEDIUM SIZE</v>
      </c>
      <c r="B77" s="33">
        <f>Data!B398</f>
        <v>1</v>
      </c>
      <c r="C77" s="34" t="str">
        <f>Data!C398</f>
        <v>shop tools</v>
      </c>
      <c r="D77" s="109">
        <f>Data!D398*Data!$H$20</f>
        <v>0</v>
      </c>
      <c r="E77" s="109">
        <f t="shared" si="64"/>
        <v>0</v>
      </c>
      <c r="F77" s="109">
        <f>IF(CP!K62=0,Data!I398*E77,CP!K62*B77)</f>
        <v>0</v>
      </c>
      <c r="G77" s="60">
        <f>IF(CP!$G$62=0,Data!$F$398,CP!$G$62)</f>
        <v>40</v>
      </c>
      <c r="H77" s="109">
        <f>(E77*(_int_inv_m*(1+_int_inv_m)^G77)/((1+_int_inv_m)^G77-1))-(F77*_int_inv_m/((1+_int_inv_m)^G77-1))</f>
        <v>0</v>
      </c>
      <c r="I77" s="35">
        <f>IF(CP!I62=0,Data!H398*Data!$J$271,CP!I62/CP!E62)</f>
        <v>0.02</v>
      </c>
      <c r="J77" s="109">
        <f t="shared" si="65"/>
        <v>0</v>
      </c>
      <c r="K77" s="36">
        <f t="shared" si="63"/>
        <v>6.7999999999999996E-3</v>
      </c>
      <c r="L77" s="104">
        <f t="shared" si="66"/>
        <v>0</v>
      </c>
      <c r="M77" s="109">
        <f t="shared" si="67"/>
        <v>0</v>
      </c>
    </row>
    <row r="78" spans="1:22" x14ac:dyDescent="0.3">
      <c r="A78" s="664" t="str">
        <f>Data!A399</f>
        <v>Fuel Tanks - LARGE SIZE</v>
      </c>
      <c r="B78" s="33">
        <f>Data!B399</f>
        <v>0</v>
      </c>
      <c r="C78" s="34" t="str">
        <f>Data!C399</f>
        <v>fuel tank</v>
      </c>
      <c r="D78" s="109">
        <f>Data!D399*Data!$H$20</f>
        <v>0</v>
      </c>
      <c r="E78" s="109">
        <f t="shared" si="64"/>
        <v>0</v>
      </c>
      <c r="F78" s="109">
        <f>IF(CP!K60=0,Data!I399*E78,CP!K60*B78)</f>
        <v>0</v>
      </c>
      <c r="G78" s="60">
        <f>IF(CP!$G$60=0,Data!$F$399,CP!$G$60)</f>
        <v>20</v>
      </c>
      <c r="H78" s="109">
        <f>(E78*(_int_inv_l*(1+_int_inv_l)^G78)/((1+_int_inv_l)^G78-1))-(F78*_int_inv_l/((1+_int_inv_l)^G78-1))</f>
        <v>0</v>
      </c>
      <c r="I78" s="35">
        <f>IF(CP!I60=0,Data!H399*Data!$J$271,CP!I60/CP!E60)</f>
        <v>0.02</v>
      </c>
      <c r="J78" s="104">
        <f t="shared" si="65"/>
        <v>0</v>
      </c>
      <c r="K78" s="36">
        <f t="shared" si="63"/>
        <v>6.7999999999999996E-3</v>
      </c>
      <c r="L78" s="104">
        <f t="shared" si="66"/>
        <v>0</v>
      </c>
      <c r="M78" s="109">
        <f t="shared" si="67"/>
        <v>0</v>
      </c>
    </row>
    <row r="79" spans="1:22" x14ac:dyDescent="0.3">
      <c r="A79" s="664" t="str">
        <f>Data!A400</f>
        <v>Shop Tools - LARGE SIZE</v>
      </c>
      <c r="B79" s="33">
        <f>Data!B400</f>
        <v>0</v>
      </c>
      <c r="C79" s="34" t="str">
        <f>Data!C400</f>
        <v>shop tools</v>
      </c>
      <c r="D79" s="109">
        <f>Data!D400*Data!$H$20</f>
        <v>0</v>
      </c>
      <c r="E79" s="109">
        <f t="shared" si="64"/>
        <v>0</v>
      </c>
      <c r="F79" s="109">
        <f>IF(CP!K63=0,Data!I400*E79,CP!K63*B79)</f>
        <v>0</v>
      </c>
      <c r="G79" s="60">
        <f>IF(CP!$G$63=0,Data!$F$400,CP!$G$63)</f>
        <v>20</v>
      </c>
      <c r="H79" s="109">
        <f>(E79*(_int_inv_l*(1+_int_inv_l)^G79)/((1+_int_inv_l)^G79-1))-(F79*_int_inv_l/((1+_int_inv_l)^G79-1))</f>
        <v>0</v>
      </c>
      <c r="I79" s="35">
        <f>IF(CP!I63=0,Data!H400*Data!$J$271,CP!I63/CP!E63)</f>
        <v>0.02</v>
      </c>
      <c r="J79" s="109">
        <f t="shared" si="65"/>
        <v>0</v>
      </c>
      <c r="K79" s="36">
        <f t="shared" si="63"/>
        <v>6.7999999999999996E-3</v>
      </c>
      <c r="L79" s="104">
        <f t="shared" si="66"/>
        <v>0</v>
      </c>
      <c r="M79" s="109">
        <f t="shared" si="67"/>
        <v>0</v>
      </c>
    </row>
    <row r="80" spans="1:22" x14ac:dyDescent="0.3">
      <c r="A80" s="6"/>
      <c r="B80" s="33"/>
      <c r="C80" s="34"/>
      <c r="D80" s="109"/>
      <c r="E80" s="109"/>
      <c r="F80" s="109"/>
      <c r="G80" s="34"/>
      <c r="H80" s="112"/>
      <c r="I80" s="35"/>
      <c r="J80" s="109"/>
      <c r="K80" s="36"/>
      <c r="L80" s="109"/>
      <c r="M80" s="109"/>
      <c r="N80" s="34"/>
      <c r="O80" s="34"/>
      <c r="P80" s="34"/>
      <c r="Q80" s="34"/>
      <c r="R80" s="34"/>
      <c r="S80" s="34"/>
      <c r="T80" s="34"/>
      <c r="U80" s="34"/>
      <c r="V80" s="34"/>
    </row>
    <row r="81" spans="1:23" x14ac:dyDescent="0.3">
      <c r="A81" s="14" t="s">
        <v>1400</v>
      </c>
      <c r="B81" s="33"/>
      <c r="C81" s="34"/>
      <c r="D81" s="109"/>
      <c r="E81" s="109"/>
      <c r="F81" s="109"/>
      <c r="G81" s="34"/>
      <c r="H81" s="109"/>
      <c r="I81" s="35"/>
      <c r="J81" s="109"/>
      <c r="K81" s="36"/>
      <c r="L81" s="109"/>
      <c r="M81" s="109"/>
      <c r="N81" s="34"/>
      <c r="O81" s="34"/>
      <c r="P81" s="34"/>
      <c r="Q81" s="34"/>
      <c r="R81" s="34"/>
      <c r="S81" s="34"/>
      <c r="T81" s="34"/>
      <c r="U81" s="34"/>
      <c r="V81" s="34"/>
      <c r="W81" s="34"/>
    </row>
    <row r="82" spans="1:23" x14ac:dyDescent="0.3">
      <c r="A82" s="664" t="str">
        <f>Data!A417</f>
        <v>Grain Cleaner - SMALL SIZE</v>
      </c>
      <c r="B82" s="33">
        <f>Data!B417</f>
        <v>0</v>
      </c>
      <c r="C82" s="34" t="str">
        <f>Data!C417</f>
        <v>grain cleaner</v>
      </c>
      <c r="D82" s="109">
        <f>Data!D417*Data!$H$20*CP!$H$5</f>
        <v>0</v>
      </c>
      <c r="E82" s="109">
        <f t="shared" ref="E82" si="68">D82*B82</f>
        <v>0</v>
      </c>
      <c r="F82" s="109">
        <f>IF(CP!K65=0,Data!I417*E82,CP!K65*B82)</f>
        <v>0</v>
      </c>
      <c r="G82" s="60">
        <f>IF(CP!$G$65=0,Data!$F$417,CP!$G$65)</f>
        <v>50</v>
      </c>
      <c r="H82" s="109">
        <f>(E82*(_int_inv_*(1+_int_inv_)^G82)/((1+_int_inv_)^G82-1))-(F82*_int_inv_/((1+_int_inv_)^G82-1))</f>
        <v>0</v>
      </c>
      <c r="I82" s="675">
        <f>IF(CP!I65=0,Data!H417*Data!$J$271,CP!I65/CP!E65)</f>
        <v>0.02</v>
      </c>
      <c r="J82" s="109">
        <f t="shared" ref="J82" si="69">E82*I82</f>
        <v>0</v>
      </c>
      <c r="K82" s="36">
        <f>_tax_ins_</f>
        <v>6.7999999999999996E-3</v>
      </c>
      <c r="L82" s="104">
        <f t="shared" ref="L82" si="70">E82*K82</f>
        <v>0</v>
      </c>
      <c r="M82" s="109">
        <f t="shared" ref="M82" si="71">H82+J82+L82</f>
        <v>0</v>
      </c>
    </row>
    <row r="83" spans="1:23" x14ac:dyDescent="0.3">
      <c r="A83" s="664" t="str">
        <f>Data!A418</f>
        <v>Grain Cleaner - MEDIUM SIZE</v>
      </c>
      <c r="B83" s="33">
        <f>Data!B418</f>
        <v>1</v>
      </c>
      <c r="C83" s="34" t="str">
        <f>Data!C418</f>
        <v>grain cleaner</v>
      </c>
      <c r="D83" s="109">
        <f>Data!D418*Data!$H$20</f>
        <v>0</v>
      </c>
      <c r="E83" s="109">
        <f t="shared" ref="E83:E84" si="72">D83*B83</f>
        <v>0</v>
      </c>
      <c r="F83" s="109">
        <f>IF(CP!K66=0,Data!I418*E83,CP!K66*B83)</f>
        <v>0</v>
      </c>
      <c r="G83" s="60">
        <f>IF(CP!$G$66=0,Data!$F$418,CP!$G$66)</f>
        <v>40</v>
      </c>
      <c r="H83" s="109">
        <f>(E83*(_int_inv_m*(1+_int_inv_m)^G83)/((1+_int_inv_m)^G83-1))-(F83*_int_inv_m/((1+_int_inv_m)^G83-1))</f>
        <v>0</v>
      </c>
      <c r="I83" s="675">
        <f>IF(CP!I66=0,Data!H418*Data!$J$271,CP!I66/CP!E66)</f>
        <v>0.02</v>
      </c>
      <c r="J83" s="109">
        <f t="shared" ref="J83:J84" si="73">E83*I83</f>
        <v>0</v>
      </c>
      <c r="K83" s="36">
        <f>_tax_ins_</f>
        <v>6.7999999999999996E-3</v>
      </c>
      <c r="L83" s="104">
        <f t="shared" ref="L83:L84" si="74">E83*K83</f>
        <v>0</v>
      </c>
      <c r="M83" s="109">
        <f t="shared" ref="M83:M84" si="75">H83+J83+L83</f>
        <v>0</v>
      </c>
    </row>
    <row r="84" spans="1:23" x14ac:dyDescent="0.3">
      <c r="A84" s="664" t="str">
        <f>Data!A419</f>
        <v>Grain Cleaner - LARGE SIZE</v>
      </c>
      <c r="B84" s="33">
        <f>Data!B419</f>
        <v>0</v>
      </c>
      <c r="C84" s="34" t="str">
        <f>Data!C419</f>
        <v>grain cleaner</v>
      </c>
      <c r="D84" s="109">
        <f>Data!D419*Data!$H$20</f>
        <v>0</v>
      </c>
      <c r="E84" s="109">
        <f t="shared" si="72"/>
        <v>0</v>
      </c>
      <c r="F84" s="109">
        <f>IF(CP!K67=0,Data!I419*E84,CP!K67*B84)</f>
        <v>0</v>
      </c>
      <c r="G84" s="60">
        <f>IF(CP!$G$67=0,Data!$F$419,CP!$G$67)</f>
        <v>20</v>
      </c>
      <c r="H84" s="109">
        <f>(E84*(_int_inv_l*(1+_int_inv_l)^G84)/((1+_int_inv_l)^G84-1))-(F84*_int_inv_l/((1+_int_inv_l)^G84-1))</f>
        <v>0</v>
      </c>
      <c r="I84" s="675">
        <f>IF(CP!I67=0,Data!H419*Data!$J$271,CP!I67/CP!E67)</f>
        <v>0.02</v>
      </c>
      <c r="J84" s="109">
        <f t="shared" si="73"/>
        <v>0</v>
      </c>
      <c r="K84" s="36">
        <f>_tax_ins_</f>
        <v>6.7999999999999996E-3</v>
      </c>
      <c r="L84" s="104">
        <f t="shared" si="74"/>
        <v>0</v>
      </c>
      <c r="M84" s="109">
        <f t="shared" si="75"/>
        <v>0</v>
      </c>
    </row>
    <row r="85" spans="1:23" x14ac:dyDescent="0.3">
      <c r="A85" s="6"/>
      <c r="B85" s="33"/>
      <c r="C85" s="34"/>
      <c r="D85" s="109"/>
      <c r="E85" s="109"/>
      <c r="F85" s="109"/>
      <c r="G85" s="34"/>
      <c r="H85" s="112"/>
      <c r="I85" s="35"/>
      <c r="J85" s="109"/>
      <c r="K85" s="36"/>
      <c r="L85" s="109"/>
      <c r="M85" s="109"/>
      <c r="N85" s="34"/>
      <c r="O85" s="34"/>
      <c r="P85" s="34"/>
      <c r="Q85" s="34"/>
      <c r="R85" s="34"/>
      <c r="S85" s="34"/>
      <c r="T85" s="34"/>
      <c r="U85" s="34"/>
      <c r="V85" s="34"/>
    </row>
    <row r="86" spans="1:23" x14ac:dyDescent="0.3">
      <c r="A86" s="14" t="s">
        <v>237</v>
      </c>
      <c r="B86" s="33"/>
      <c r="C86" s="350">
        <v>1</v>
      </c>
      <c r="D86" s="351" t="s">
        <v>949</v>
      </c>
      <c r="E86" s="352"/>
      <c r="F86" s="352"/>
      <c r="G86" s="354"/>
      <c r="H86" s="352"/>
      <c r="I86" s="360"/>
      <c r="J86" s="409"/>
      <c r="K86" s="36"/>
      <c r="L86" s="109"/>
      <c r="M86" s="109"/>
      <c r="N86" s="34"/>
      <c r="O86" s="34"/>
      <c r="P86" s="34"/>
      <c r="Q86" s="34"/>
      <c r="R86" s="34"/>
      <c r="S86" s="34"/>
      <c r="T86" s="34"/>
      <c r="U86" s="34"/>
      <c r="V86" s="34"/>
      <c r="W86" s="34"/>
    </row>
    <row r="87" spans="1:23" x14ac:dyDescent="0.3">
      <c r="A87" s="664" t="str">
        <f>Data!A423</f>
        <v>Grain Auger(s) - SMALL SIZE</v>
      </c>
      <c r="B87" s="163">
        <f>Data!B423</f>
        <v>0</v>
      </c>
      <c r="C87" s="34" t="str">
        <f>Data!C423</f>
        <v>auger</v>
      </c>
      <c r="D87" s="109">
        <f>Data!D423*Data!$AH$20*CP!$H$5</f>
        <v>0</v>
      </c>
      <c r="E87" s="109">
        <f>D87*B87</f>
        <v>0</v>
      </c>
      <c r="F87" s="109">
        <f>IF(CP!K69=0,Data!I423*E87,CP!K69*B87)</f>
        <v>0</v>
      </c>
      <c r="G87" s="60">
        <f>IF(CP!$G$69=0,Data!$F$423,CP!$G$69)</f>
        <v>50</v>
      </c>
      <c r="H87" s="109">
        <f>(E87*(_int_inv_*(1+_int_inv_)^G87)/((1+_int_inv_)^G87-1))-(F87*_int_inv_/((1+_int_inv_)^G87-1))</f>
        <v>0</v>
      </c>
      <c r="I87" s="35">
        <f>IF(CP!I69=0,Data!H423*Data!$J$271,CP!I69/CP!E69)</f>
        <v>0.02</v>
      </c>
      <c r="J87" s="109">
        <f>E87*I87</f>
        <v>0</v>
      </c>
      <c r="K87" s="36">
        <f t="shared" ref="K87:K95" si="76">_tax_ins_</f>
        <v>6.7999999999999996E-3</v>
      </c>
      <c r="L87" s="109">
        <f>E87*K87</f>
        <v>0</v>
      </c>
      <c r="M87" s="109">
        <f>H87+J87+L87</f>
        <v>0</v>
      </c>
      <c r="N87" s="34"/>
      <c r="O87" s="34"/>
      <c r="P87" s="34"/>
      <c r="Q87" s="34"/>
      <c r="R87" s="34"/>
      <c r="S87" s="34"/>
      <c r="T87" s="34"/>
      <c r="U87" s="34"/>
      <c r="V87" s="34"/>
      <c r="W87" s="34"/>
    </row>
    <row r="88" spans="1:23" x14ac:dyDescent="0.3">
      <c r="A88" s="664" t="str">
        <f>Data!A424</f>
        <v>Grain Auger(s) - MEDIUM SIZE</v>
      </c>
      <c r="B88" s="163">
        <f>Data!B424</f>
        <v>2</v>
      </c>
      <c r="C88" s="34" t="str">
        <f>Data!C424</f>
        <v>auger</v>
      </c>
      <c r="D88" s="109">
        <f>Data!D424*Data!$AH$20</f>
        <v>0</v>
      </c>
      <c r="E88" s="109">
        <f t="shared" ref="E88:E89" si="77">D88*B88</f>
        <v>0</v>
      </c>
      <c r="F88" s="109">
        <f>IF(CP!K70=0,Data!I424*E88,CP!K70*B88)</f>
        <v>0</v>
      </c>
      <c r="G88" s="60">
        <f>IF(CP!$G$70=0,Data!$F$424,CP!$G$70)</f>
        <v>40</v>
      </c>
      <c r="H88" s="109">
        <f>(E88*(_int_inv_m*(1+_int_inv_m)^G88)/((1+_int_inv_m)^G88-1))-(F88*_int_inv_m/((1+_int_inv_m)^G88-1))</f>
        <v>0</v>
      </c>
      <c r="I88" s="35">
        <f>IF(CP!I70=0,Data!H424*Data!$J$271,CP!I70/CP!E70)</f>
        <v>0.02</v>
      </c>
      <c r="J88" s="109">
        <f t="shared" ref="J88:J89" si="78">E88*I88</f>
        <v>0</v>
      </c>
      <c r="K88" s="36">
        <f t="shared" si="76"/>
        <v>6.7999999999999996E-3</v>
      </c>
      <c r="L88" s="109">
        <f t="shared" ref="L88:L89" si="79">E88*K88</f>
        <v>0</v>
      </c>
      <c r="M88" s="109">
        <f t="shared" ref="M88:M89" si="80">H88+J88+L88</f>
        <v>0</v>
      </c>
      <c r="N88" s="34"/>
      <c r="O88" s="34"/>
      <c r="P88" s="34"/>
      <c r="Q88" s="34"/>
      <c r="R88" s="34"/>
      <c r="S88" s="34"/>
      <c r="T88" s="34"/>
      <c r="U88" s="34"/>
      <c r="V88" s="34"/>
      <c r="W88" s="34"/>
    </row>
    <row r="89" spans="1:23" x14ac:dyDescent="0.3">
      <c r="A89" s="664" t="str">
        <f>Data!A425</f>
        <v>Grain Auger(s) - LARGE SIZE</v>
      </c>
      <c r="B89" s="163">
        <f>Data!B425</f>
        <v>0</v>
      </c>
      <c r="C89" s="34" t="str">
        <f>Data!C425</f>
        <v>auger</v>
      </c>
      <c r="D89" s="109">
        <f>Data!D425*Data!$AH$20</f>
        <v>0</v>
      </c>
      <c r="E89" s="109">
        <f t="shared" si="77"/>
        <v>0</v>
      </c>
      <c r="F89" s="109">
        <f>IF(CP!K71=0,Data!I425*E89,CP!K71*B89)</f>
        <v>0</v>
      </c>
      <c r="G89" s="60">
        <f>IF(CP!$G$71=0,Data!$F$425,CP!$G$71)</f>
        <v>20</v>
      </c>
      <c r="H89" s="109">
        <f>(E89*(_int_inv_l*(1+_int_inv_l)^G89)/((1+_int_inv_l)^G89-1))-(F89*_int_inv_l/((1+_int_inv_l)^G89-1))</f>
        <v>0</v>
      </c>
      <c r="I89" s="35">
        <f>IF(CP!I71=0,Data!H425*Data!$J$271,CP!I71/CP!E71)</f>
        <v>0.02</v>
      </c>
      <c r="J89" s="109">
        <f t="shared" si="78"/>
        <v>0</v>
      </c>
      <c r="K89" s="36">
        <f t="shared" si="76"/>
        <v>6.7999999999999996E-3</v>
      </c>
      <c r="L89" s="109">
        <f t="shared" si="79"/>
        <v>0</v>
      </c>
      <c r="M89" s="109">
        <f t="shared" si="80"/>
        <v>0</v>
      </c>
      <c r="N89" s="34"/>
      <c r="O89" s="34"/>
      <c r="P89" s="34"/>
      <c r="Q89" s="34"/>
      <c r="R89" s="34"/>
      <c r="S89" s="34"/>
      <c r="T89" s="34"/>
      <c r="U89" s="34"/>
      <c r="V89" s="34"/>
      <c r="W89" s="34"/>
    </row>
    <row r="90" spans="1:23" x14ac:dyDescent="0.3">
      <c r="A90" s="664" t="str">
        <f>Data!A479</f>
        <v>Grain Dryer (Peas) - SMALL SIZE</v>
      </c>
      <c r="B90" s="649">
        <f>Data!B479</f>
        <v>0</v>
      </c>
      <c r="C90" s="34" t="str">
        <f>Data!C479</f>
        <v>dryer</v>
      </c>
      <c r="D90" s="109">
        <f>Data!D479*Data!$D$20*$C$86*CP!$H$5</f>
        <v>0</v>
      </c>
      <c r="E90" s="109">
        <f>D90*B90</f>
        <v>0</v>
      </c>
      <c r="F90" s="109">
        <f>IF(CP!K72=0,Data!I479*E90,CP!K72*B90)</f>
        <v>0</v>
      </c>
      <c r="G90" s="34">
        <f>IF(CP!G72=0,Data!F479,CP!G72)</f>
        <v>10</v>
      </c>
      <c r="H90" s="109">
        <f t="shared" ref="H90" si="81">(E90*(_int_inv_*(1+_int_inv_)^G90)/((1+_int_inv_)^G90-1))-(F90*_int_inv_/((1+_int_inv_)^G90-1))</f>
        <v>0</v>
      </c>
      <c r="I90" s="35">
        <f>IF(CP!I72=0,Data!H479*Data!$J$271,CP!I72/CP!E72)</f>
        <v>0.02</v>
      </c>
      <c r="J90" s="109">
        <f>E90*I90</f>
        <v>0</v>
      </c>
      <c r="K90" s="36">
        <f t="shared" si="76"/>
        <v>6.7999999999999996E-3</v>
      </c>
      <c r="L90" s="109">
        <f>E90*K90</f>
        <v>0</v>
      </c>
      <c r="M90" s="109">
        <f>H90+J90+L90</f>
        <v>0</v>
      </c>
      <c r="N90" s="34"/>
      <c r="O90" s="34"/>
      <c r="P90" s="34"/>
      <c r="Q90" s="34"/>
      <c r="R90" s="34"/>
      <c r="S90" s="34"/>
      <c r="T90" s="34"/>
      <c r="U90" s="34"/>
      <c r="V90" s="34"/>
      <c r="W90" s="34"/>
    </row>
    <row r="91" spans="1:23" x14ac:dyDescent="0.3">
      <c r="A91" s="664" t="str">
        <f>Data!A480</f>
        <v>Grain Dryer (Peas) - MEDIUM SIZE</v>
      </c>
      <c r="B91" s="649">
        <f>Data!B480</f>
        <v>0</v>
      </c>
      <c r="C91" s="34" t="str">
        <f>Data!C480</f>
        <v>dryer</v>
      </c>
      <c r="D91" s="109">
        <f>Data!D480*Data!$D$20*$C$86</f>
        <v>0</v>
      </c>
      <c r="E91" s="109">
        <f>D91*B91</f>
        <v>0</v>
      </c>
      <c r="F91" s="109">
        <f>IF(CP!K73=0,Data!I480*E91,CP!K73*B91)</f>
        <v>0</v>
      </c>
      <c r="G91" s="34">
        <f>IF(CP!G73=0,Data!F480,CP!G73)</f>
        <v>10</v>
      </c>
      <c r="H91" s="109">
        <f t="shared" ref="H91:H92" si="82">(E91*(_int_inv_*(1+_int_inv_)^G91)/((1+_int_inv_)^G91-1))-(F91*_int_inv_/((1+_int_inv_)^G91-1))</f>
        <v>0</v>
      </c>
      <c r="I91" s="35">
        <f>IF(CP!I73=0,Data!H480*Data!$J$271,CP!I73/CP!E73)</f>
        <v>0.02</v>
      </c>
      <c r="J91" s="109">
        <f>E91*I91</f>
        <v>0</v>
      </c>
      <c r="K91" s="36">
        <f t="shared" si="76"/>
        <v>6.7999999999999996E-3</v>
      </c>
      <c r="L91" s="109">
        <f>E91*K91</f>
        <v>0</v>
      </c>
      <c r="M91" s="109">
        <f>H91+J91+L91</f>
        <v>0</v>
      </c>
      <c r="N91" s="34"/>
      <c r="O91" s="34"/>
      <c r="P91" s="34"/>
      <c r="Q91" s="34"/>
      <c r="R91" s="34"/>
      <c r="S91" s="34"/>
      <c r="T91" s="34"/>
      <c r="U91" s="34"/>
      <c r="V91" s="34"/>
      <c r="W91" s="34"/>
    </row>
    <row r="92" spans="1:23" x14ac:dyDescent="0.3">
      <c r="A92" s="664" t="str">
        <f>Data!A481</f>
        <v>Grain Dryer (Peas) - LARGE SIZE</v>
      </c>
      <c r="B92" s="649">
        <f>Data!B481</f>
        <v>0</v>
      </c>
      <c r="C92" s="34" t="str">
        <f>Data!C481</f>
        <v>dryer</v>
      </c>
      <c r="D92" s="109">
        <f>Data!D481*Data!$D$20*$C$86</f>
        <v>0</v>
      </c>
      <c r="E92" s="109">
        <f>D92*B92</f>
        <v>0</v>
      </c>
      <c r="F92" s="109">
        <f>IF(CP!K74=0,Data!I481*E92,CP!K74*B92)</f>
        <v>0</v>
      </c>
      <c r="G92" s="34">
        <f>IF(CP!G74=0,Data!F481,CP!G74)</f>
        <v>10</v>
      </c>
      <c r="H92" s="109">
        <f t="shared" si="82"/>
        <v>0</v>
      </c>
      <c r="I92" s="35">
        <f>IF(CP!I74=0,Data!H481*Data!$J$271,CP!I74/CP!E74)</f>
        <v>0.02</v>
      </c>
      <c r="J92" s="109">
        <f>E92*I92</f>
        <v>0</v>
      </c>
      <c r="K92" s="36">
        <f t="shared" si="76"/>
        <v>6.7999999999999996E-3</v>
      </c>
      <c r="L92" s="109">
        <f>E92*K92</f>
        <v>0</v>
      </c>
      <c r="M92" s="109">
        <f>H92+J92+L92</f>
        <v>0</v>
      </c>
      <c r="N92" s="34"/>
      <c r="O92" s="34"/>
      <c r="P92" s="34"/>
      <c r="Q92" s="34"/>
      <c r="R92" s="34"/>
      <c r="S92" s="34"/>
      <c r="T92" s="34"/>
      <c r="U92" s="34"/>
      <c r="V92" s="34"/>
      <c r="W92" s="34"/>
    </row>
    <row r="93" spans="1:23" x14ac:dyDescent="0.3">
      <c r="A93" s="664" t="str">
        <f>Data!A482</f>
        <v>Grain Bags (Peas) - SMALL SIZE</v>
      </c>
      <c r="B93" s="974">
        <f>Data!B482</f>
        <v>0</v>
      </c>
      <c r="C93" s="34" t="str">
        <f>Data!C482</f>
        <v>grain bag</v>
      </c>
      <c r="D93" s="109">
        <f>Data!D482*Data!$D$20*C86</f>
        <v>0</v>
      </c>
      <c r="E93" s="109">
        <f>D93*B93</f>
        <v>0</v>
      </c>
      <c r="F93" s="109">
        <f>IF(CP!K75=0,Data!I482*E93,CP!K75*B93)</f>
        <v>0</v>
      </c>
      <c r="G93" s="34">
        <f>IF(CP!$G$75=0,Data!$F$482,CP!$G$75)</f>
        <v>5</v>
      </c>
      <c r="H93" s="109">
        <f>(E93*(_int_inv_*(1+_int_inv_)^G93)/((1+_int_inv_)^G93-1))-(F93*_int_inv_/((1+_int_inv_)^G93-1))</f>
        <v>0</v>
      </c>
      <c r="I93" s="35">
        <f>IF(CP!I75=0,Data!H482*Data!$J$271,CP!I75/CP!E75)</f>
        <v>0</v>
      </c>
      <c r="J93" s="109">
        <f>E93*I93</f>
        <v>0</v>
      </c>
      <c r="K93" s="36">
        <f t="shared" si="76"/>
        <v>6.7999999999999996E-3</v>
      </c>
      <c r="L93" s="109">
        <f>E93*K93</f>
        <v>0</v>
      </c>
      <c r="M93" s="109">
        <f>H93+J93+L93</f>
        <v>0</v>
      </c>
      <c r="N93" s="34"/>
      <c r="O93" s="34"/>
      <c r="P93" s="34"/>
      <c r="Q93" s="34"/>
      <c r="R93" s="34"/>
      <c r="S93" s="34"/>
      <c r="T93" s="34"/>
      <c r="U93" s="34"/>
      <c r="V93" s="34"/>
      <c r="W93" s="34"/>
    </row>
    <row r="94" spans="1:23" x14ac:dyDescent="0.3">
      <c r="A94" s="664" t="str">
        <f>Data!A483</f>
        <v>Grain Bin (Peas) - MEDIUM SIZE</v>
      </c>
      <c r="B94" s="163">
        <f>Data!B483</f>
        <v>1</v>
      </c>
      <c r="C94" s="34" t="str">
        <f>Data!C483</f>
        <v>crop storage</v>
      </c>
      <c r="D94" s="109">
        <f>Data!D483*Data!$D$20*C86</f>
        <v>0</v>
      </c>
      <c r="E94" s="109">
        <f t="shared" ref="E94:E95" si="83">D94*B94</f>
        <v>0</v>
      </c>
      <c r="F94" s="109">
        <f>IF(CP!K76=0,Data!I483*E94,CP!K76*B94)</f>
        <v>0</v>
      </c>
      <c r="G94" s="34">
        <f>IF(CP!$G$76=0,Data!$F$483,CP!$G$76)</f>
        <v>33</v>
      </c>
      <c r="H94" s="109">
        <f>(E94*(_int_inv_m*(1+_int_inv_m)^G94)/((1+_int_inv_m)^G94-1))-(F94*_int_inv_m/((1+_int_inv_m)^G94-1))</f>
        <v>0</v>
      </c>
      <c r="I94" s="35">
        <f>IF(CP!I76=0,Data!H483*Data!$J$271,CP!I76/CP!E76)</f>
        <v>0.01</v>
      </c>
      <c r="J94" s="109">
        <f t="shared" ref="J94:J95" si="84">E94*I94</f>
        <v>0</v>
      </c>
      <c r="K94" s="36">
        <f t="shared" si="76"/>
        <v>6.7999999999999996E-3</v>
      </c>
      <c r="L94" s="109">
        <f t="shared" ref="L94:L95" si="85">E94*K94</f>
        <v>0</v>
      </c>
      <c r="M94" s="109">
        <f t="shared" ref="M94:M95" si="86">H94+J94+L94</f>
        <v>0</v>
      </c>
      <c r="N94" s="34"/>
      <c r="O94" s="34"/>
      <c r="P94" s="34"/>
      <c r="Q94" s="34"/>
      <c r="R94" s="34"/>
      <c r="S94" s="34"/>
      <c r="T94" s="34"/>
      <c r="U94" s="34"/>
      <c r="V94" s="34"/>
      <c r="W94" s="34"/>
    </row>
    <row r="95" spans="1:23" x14ac:dyDescent="0.3">
      <c r="A95" s="664" t="str">
        <f>Data!A484</f>
        <v>Grain Bin (Peas) - LARGE SIZE</v>
      </c>
      <c r="B95" s="163">
        <f>Data!B484</f>
        <v>0</v>
      </c>
      <c r="C95" s="34" t="str">
        <f>Data!C484</f>
        <v>crop storage</v>
      </c>
      <c r="D95" s="109">
        <f>Data!D484*Data!$D$20*C86</f>
        <v>0</v>
      </c>
      <c r="E95" s="109">
        <f t="shared" si="83"/>
        <v>0</v>
      </c>
      <c r="F95" s="109">
        <f>IF(CP!K77=0,Data!I484*E95,CP!K77*B95)</f>
        <v>0</v>
      </c>
      <c r="G95" s="34">
        <f>IF(CP!$G$77=0,Data!$F$484,CP!$G$77)</f>
        <v>33</v>
      </c>
      <c r="H95" s="109">
        <f>(E95*(_int_inv_l*(1+_int_inv_l)^G95)/((1+_int_inv_l)^G95-1))-(F95*_int_inv_l/((1+_int_inv_l)^G95-1))</f>
        <v>0</v>
      </c>
      <c r="I95" s="35">
        <f>IF(CP!I77=0,Data!H484*Data!$J$271,CP!I77/CP!E77)</f>
        <v>0.01</v>
      </c>
      <c r="J95" s="109">
        <f t="shared" si="84"/>
        <v>0</v>
      </c>
      <c r="K95" s="36">
        <f t="shared" si="76"/>
        <v>6.7999999999999996E-3</v>
      </c>
      <c r="L95" s="109">
        <f t="shared" si="85"/>
        <v>0</v>
      </c>
      <c r="M95" s="109">
        <f t="shared" si="86"/>
        <v>0</v>
      </c>
      <c r="N95" s="34"/>
      <c r="O95" s="34"/>
      <c r="P95" s="34"/>
      <c r="Q95" s="34"/>
      <c r="R95" s="34"/>
      <c r="S95" s="34"/>
      <c r="T95" s="34"/>
      <c r="U95" s="34"/>
      <c r="V95" s="34"/>
      <c r="W95" s="34"/>
    </row>
    <row r="96" spans="1:23" x14ac:dyDescent="0.3">
      <c r="A96" s="6"/>
      <c r="B96" s="33"/>
      <c r="C96" s="34"/>
      <c r="D96" s="109"/>
      <c r="E96" s="109"/>
      <c r="F96" s="109"/>
      <c r="G96" s="34"/>
      <c r="H96" s="112"/>
      <c r="I96" s="35"/>
      <c r="J96" s="109"/>
      <c r="K96" s="36"/>
      <c r="L96" s="109"/>
      <c r="M96" s="109"/>
      <c r="N96" s="34"/>
      <c r="O96" s="34"/>
      <c r="P96" s="34"/>
      <c r="Q96" s="34"/>
      <c r="R96" s="34"/>
      <c r="S96" s="34"/>
      <c r="T96" s="34"/>
      <c r="U96" s="34"/>
      <c r="V96" s="34"/>
    </row>
    <row r="97" spans="1:22" x14ac:dyDescent="0.3">
      <c r="A97" s="863" t="s">
        <v>12</v>
      </c>
      <c r="B97" s="17"/>
      <c r="N97" s="34"/>
      <c r="O97" s="34"/>
      <c r="P97" s="34"/>
    </row>
    <row r="98" spans="1:22" x14ac:dyDescent="0.3">
      <c r="A98" s="664" t="str">
        <f>Data!A44</f>
        <v>Interest for investment (Small model)</v>
      </c>
      <c r="B98" s="84">
        <f>IF(Data!$C$39=1,Data!B104,0)</f>
        <v>0</v>
      </c>
      <c r="C98" s="870" t="str">
        <f>Data!H51</f>
        <v>acre(s)</v>
      </c>
      <c r="D98" s="109">
        <f>Data!$F$61</f>
        <v>1000</v>
      </c>
      <c r="E98" s="109">
        <f>D98*B98</f>
        <v>0</v>
      </c>
      <c r="F98" s="864" t="s">
        <v>45</v>
      </c>
      <c r="G98" s="865" t="s">
        <v>45</v>
      </c>
      <c r="H98" s="109">
        <f>E98*_int_inv_</f>
        <v>0</v>
      </c>
      <c r="I98" s="1307">
        <f>Data!$H$61*Data!$J$271</f>
        <v>0.01</v>
      </c>
      <c r="J98" s="109">
        <f>E98*I98</f>
        <v>0</v>
      </c>
      <c r="K98" s="36">
        <f>_tax_ins_</f>
        <v>6.7999999999999996E-3</v>
      </c>
      <c r="L98" s="109">
        <f>E98*K98</f>
        <v>0</v>
      </c>
      <c r="M98" s="109">
        <f>H98+J98+L98</f>
        <v>0</v>
      </c>
      <c r="N98" s="34"/>
      <c r="O98" s="34"/>
      <c r="P98" s="34"/>
    </row>
    <row r="99" spans="1:22" x14ac:dyDescent="0.3">
      <c r="A99" s="664" t="str">
        <f>Data!A45</f>
        <v>Interest for investment (Medium model)</v>
      </c>
      <c r="B99" s="33">
        <f>IF(Data!$C$40=1,Data!B104,0)</f>
        <v>0</v>
      </c>
      <c r="C99" s="870">
        <f>Data!H52</f>
        <v>0</v>
      </c>
      <c r="D99" s="109">
        <f>Data!$F$61</f>
        <v>1000</v>
      </c>
      <c r="E99" s="109">
        <f t="shared" ref="E99:E100" si="87">D99*B99</f>
        <v>0</v>
      </c>
      <c r="F99" s="864" t="s">
        <v>45</v>
      </c>
      <c r="G99" s="865" t="s">
        <v>45</v>
      </c>
      <c r="H99" s="109">
        <f>E99*_int_inv_m</f>
        <v>0</v>
      </c>
      <c r="I99" s="1307">
        <f>Data!$H$61*Data!$J$271</f>
        <v>0.01</v>
      </c>
      <c r="J99" s="109">
        <f t="shared" ref="J99:J100" si="88">E99*I99</f>
        <v>0</v>
      </c>
      <c r="K99" s="36">
        <f>_tax_ins_</f>
        <v>6.7999999999999996E-3</v>
      </c>
      <c r="L99" s="109">
        <f t="shared" ref="L99:L100" si="89">E99*K99</f>
        <v>0</v>
      </c>
      <c r="M99" s="109">
        <f t="shared" ref="M99:M100" si="90">H99+J99+L99</f>
        <v>0</v>
      </c>
      <c r="N99" s="34"/>
      <c r="O99" s="34"/>
      <c r="P99" s="34"/>
    </row>
    <row r="100" spans="1:22" x14ac:dyDescent="0.3">
      <c r="A100" s="664" t="str">
        <f>Data!A46</f>
        <v>Interest for investment (Large model)</v>
      </c>
      <c r="B100" s="33">
        <f>IF(Data!$C$41=1,Data!B104,0)</f>
        <v>0</v>
      </c>
      <c r="C100" s="870">
        <f>Data!H53</f>
        <v>0</v>
      </c>
      <c r="D100" s="109">
        <f>Data!$F$61</f>
        <v>1000</v>
      </c>
      <c r="E100" s="109">
        <f t="shared" si="87"/>
        <v>0</v>
      </c>
      <c r="F100" s="864" t="s">
        <v>45</v>
      </c>
      <c r="G100" s="865" t="s">
        <v>45</v>
      </c>
      <c r="H100" s="109">
        <f>E100*_int_inv_l</f>
        <v>0</v>
      </c>
      <c r="I100" s="1307">
        <f>Data!$H$61*Data!$J$271</f>
        <v>0.01</v>
      </c>
      <c r="J100" s="109">
        <f t="shared" si="88"/>
        <v>0</v>
      </c>
      <c r="K100" s="36">
        <f>_tax_ins_</f>
        <v>6.7999999999999996E-3</v>
      </c>
      <c r="L100" s="109">
        <f t="shared" si="89"/>
        <v>0</v>
      </c>
      <c r="M100" s="109">
        <f t="shared" si="90"/>
        <v>0</v>
      </c>
      <c r="N100" s="34"/>
      <c r="O100" s="34"/>
      <c r="P100" s="34"/>
    </row>
    <row r="101" spans="1:22" x14ac:dyDescent="0.3">
      <c r="A101" s="93"/>
      <c r="B101" s="33"/>
      <c r="C101" s="34"/>
      <c r="D101" s="109"/>
      <c r="E101" s="109"/>
      <c r="F101" s="109"/>
      <c r="G101" s="38"/>
      <c r="H101" s="112"/>
      <c r="I101" s="35"/>
      <c r="J101" s="109"/>
      <c r="K101" s="36"/>
      <c r="L101" s="109"/>
      <c r="M101" s="109"/>
      <c r="N101" s="34"/>
      <c r="O101" s="34"/>
      <c r="P101" s="34"/>
    </row>
    <row r="102" spans="1:22" x14ac:dyDescent="0.3">
      <c r="A102" s="863" t="s">
        <v>1229</v>
      </c>
      <c r="B102" s="33"/>
      <c r="C102" s="34"/>
      <c r="D102" s="109"/>
      <c r="E102" s="109"/>
      <c r="F102" s="109"/>
      <c r="G102" s="34"/>
      <c r="H102" s="112"/>
      <c r="I102" s="35"/>
      <c r="J102" s="109"/>
      <c r="K102" s="36"/>
      <c r="L102" s="110"/>
      <c r="M102" s="109"/>
      <c r="N102" s="34"/>
      <c r="O102" s="34"/>
      <c r="P102" s="34"/>
    </row>
    <row r="103" spans="1:22" x14ac:dyDescent="0.3">
      <c r="A103" s="664" t="str">
        <f>Data!A495</f>
        <v>Shop/Loading Shed - SMALL SIZE</v>
      </c>
      <c r="B103" s="33">
        <f>Data!B495</f>
        <v>0</v>
      </c>
      <c r="C103" s="34" t="str">
        <f>Data!C495</f>
        <v>building</v>
      </c>
      <c r="D103" s="109">
        <f>Data!D495*Data!$H$20</f>
        <v>0</v>
      </c>
      <c r="E103" s="109">
        <f>D103*B103</f>
        <v>0</v>
      </c>
      <c r="F103" s="109">
        <f>IF(CP!K79=0,Data!I495*E103,CP!K79*B103)</f>
        <v>0</v>
      </c>
      <c r="G103" s="34">
        <f>IF(CP!$G$79=0,Data!$F$495,CP!$G$79)</f>
        <v>33</v>
      </c>
      <c r="H103" s="109">
        <f>(E103*(_int_inv_*(1+_int_inv_)^G103)/((1+_int_inv_)^G103-1))-(F103*_int_inv_/((1+_int_inv_)^G103-1))</f>
        <v>0</v>
      </c>
      <c r="I103" s="35">
        <f>IF(CP!I79=0,Data!H495*Data!$J$271,CP!I79/CP!E79)</f>
        <v>0.01</v>
      </c>
      <c r="J103" s="109">
        <f>E103*I103</f>
        <v>0</v>
      </c>
      <c r="K103" s="36">
        <f>_tax_ins_</f>
        <v>6.7999999999999996E-3</v>
      </c>
      <c r="L103" s="109">
        <f>E103*K103</f>
        <v>0</v>
      </c>
      <c r="M103" s="109">
        <f>H103+J103+L103</f>
        <v>0</v>
      </c>
      <c r="N103" s="34"/>
    </row>
    <row r="104" spans="1:22" x14ac:dyDescent="0.3">
      <c r="A104" s="664" t="str">
        <f>Data!A496</f>
        <v>Shop/Loading Shed - MEDIUM SIZE</v>
      </c>
      <c r="B104" s="33">
        <f>Data!B496</f>
        <v>1</v>
      </c>
      <c r="C104" s="34" t="str">
        <f>Data!C496</f>
        <v>building</v>
      </c>
      <c r="D104" s="109">
        <f>Data!D496*Data!$H$20</f>
        <v>0</v>
      </c>
      <c r="E104" s="109">
        <f t="shared" ref="E104:E105" si="91">D104*B104</f>
        <v>0</v>
      </c>
      <c r="F104" s="109">
        <f>IF(CP!K80=0,Data!I496*E104,CP!K80*B104)</f>
        <v>0</v>
      </c>
      <c r="G104" s="34">
        <f>IF(CP!$G$80=0,Data!$F$496,CP!$G$80)</f>
        <v>33</v>
      </c>
      <c r="H104" s="109">
        <f>(E104*(_int_inv_m*(1+_int_inv_m)^G104)/((1+_int_inv_m)^G104-1))-(F104*_int_inv_m/((1+_int_inv_m)^G104-1))</f>
        <v>0</v>
      </c>
      <c r="I104" s="35">
        <f>IF(CP!I80=0,Data!H496*Data!$J$271,CP!I80/CP!E80)</f>
        <v>0.01</v>
      </c>
      <c r="J104" s="109">
        <f t="shared" ref="J104:J105" si="92">E104*I104</f>
        <v>0</v>
      </c>
      <c r="K104" s="36">
        <f>_tax_ins_</f>
        <v>6.7999999999999996E-3</v>
      </c>
      <c r="L104" s="109">
        <f t="shared" ref="L104:L105" si="93">E104*K104</f>
        <v>0</v>
      </c>
      <c r="M104" s="109">
        <f t="shared" ref="M104:M105" si="94">H104+J104+L104</f>
        <v>0</v>
      </c>
      <c r="N104" s="34"/>
    </row>
    <row r="105" spans="1:22" x14ac:dyDescent="0.3">
      <c r="A105" s="664" t="str">
        <f>Data!A497</f>
        <v>Shop/Loading Shed - LARGE SIZE</v>
      </c>
      <c r="B105" s="33">
        <f>Data!B497</f>
        <v>0</v>
      </c>
      <c r="C105" s="34" t="str">
        <f>Data!C497</f>
        <v>building</v>
      </c>
      <c r="D105" s="109">
        <f>Data!D497*Data!$H$20</f>
        <v>0</v>
      </c>
      <c r="E105" s="109">
        <f t="shared" si="91"/>
        <v>0</v>
      </c>
      <c r="F105" s="109">
        <f>IF(CP!K81=0,Data!I497*E105,CP!K81*B105)</f>
        <v>0</v>
      </c>
      <c r="G105" s="34">
        <f>IF(CP!$G$81=0,Data!$F$497,CP!$G$81)</f>
        <v>33</v>
      </c>
      <c r="H105" s="109">
        <f>(E105*(_int_inv_l*(1+_int_inv_l)^G105)/((1+_int_inv_l)^G105-1))-(F105*_int_inv_l/((1+_int_inv_l)^G105-1))</f>
        <v>0</v>
      </c>
      <c r="I105" s="35">
        <f>IF(CP!I81=0,Data!H497*Data!$J$271,CP!I81/CP!E81)</f>
        <v>0.01</v>
      </c>
      <c r="J105" s="109">
        <f t="shared" si="92"/>
        <v>0</v>
      </c>
      <c r="K105" s="36">
        <f>_tax_ins_</f>
        <v>6.7999999999999996E-3</v>
      </c>
      <c r="L105" s="109">
        <f t="shared" si="93"/>
        <v>0</v>
      </c>
      <c r="M105" s="109">
        <f t="shared" si="94"/>
        <v>0</v>
      </c>
      <c r="N105" s="34"/>
    </row>
    <row r="106" spans="1:22" x14ac:dyDescent="0.3">
      <c r="B106" s="33"/>
      <c r="C106" s="34"/>
      <c r="D106" s="109"/>
      <c r="E106" s="109"/>
      <c r="F106" s="109"/>
      <c r="G106" s="34"/>
      <c r="H106" s="112"/>
      <c r="I106" s="35"/>
      <c r="J106" s="109"/>
      <c r="K106" s="36"/>
      <c r="L106" s="110"/>
      <c r="M106" s="109"/>
      <c r="N106" s="34"/>
      <c r="O106" s="34"/>
      <c r="P106" s="34"/>
    </row>
    <row r="107" spans="1:22" ht="12.75" customHeight="1" x14ac:dyDescent="0.3">
      <c r="A107" s="14" t="s">
        <v>514</v>
      </c>
      <c r="B107" s="351" t="s">
        <v>1538</v>
      </c>
      <c r="C107" s="351"/>
      <c r="D107" s="351"/>
      <c r="E107" s="351"/>
      <c r="F107" s="351"/>
      <c r="G107" s="351"/>
      <c r="H107" s="112"/>
      <c r="I107" s="35"/>
      <c r="J107" s="109"/>
      <c r="K107" s="36"/>
      <c r="L107" s="109"/>
      <c r="M107" s="109"/>
      <c r="N107" s="34"/>
      <c r="O107" s="34"/>
      <c r="P107" s="34"/>
      <c r="Q107" s="34"/>
      <c r="R107" s="34"/>
      <c r="S107" s="34"/>
      <c r="T107" s="34"/>
      <c r="U107" s="34"/>
      <c r="V107" s="34"/>
    </row>
    <row r="108" spans="1:22" ht="12.75" customHeight="1" x14ac:dyDescent="0.3">
      <c r="A108" s="14" t="s">
        <v>515</v>
      </c>
      <c r="B108" s="351" t="s">
        <v>1539</v>
      </c>
      <c r="C108" s="351"/>
      <c r="D108" s="351"/>
      <c r="E108" s="351"/>
      <c r="F108" s="351"/>
      <c r="G108" s="351"/>
      <c r="H108" s="112"/>
      <c r="I108" s="35"/>
      <c r="J108" s="109"/>
      <c r="K108" s="36"/>
      <c r="L108" s="109"/>
      <c r="M108" s="109"/>
      <c r="N108" s="34"/>
      <c r="O108" s="34"/>
      <c r="P108" s="34"/>
      <c r="Q108" s="34"/>
      <c r="R108" s="34"/>
      <c r="S108" s="34"/>
      <c r="T108" s="34"/>
      <c r="U108" s="34"/>
      <c r="V108" s="34"/>
    </row>
    <row r="109" spans="1:22" x14ac:dyDescent="0.3">
      <c r="B109" s="33"/>
      <c r="C109" s="34"/>
      <c r="D109" s="109"/>
      <c r="E109" s="109"/>
      <c r="F109" s="109"/>
      <c r="G109" s="34"/>
      <c r="H109" s="109"/>
      <c r="I109" s="35"/>
      <c r="J109" s="109"/>
      <c r="K109" s="36"/>
      <c r="L109" s="109"/>
      <c r="M109" s="109"/>
      <c r="N109" s="34"/>
      <c r="O109" s="34"/>
      <c r="P109" s="34"/>
    </row>
    <row r="110" spans="1:22" x14ac:dyDescent="0.3">
      <c r="A110" s="14" t="s">
        <v>19</v>
      </c>
      <c r="B110" s="865" t="s">
        <v>45</v>
      </c>
      <c r="C110" s="864" t="s">
        <v>45</v>
      </c>
      <c r="D110" s="864" t="s">
        <v>45</v>
      </c>
      <c r="E110" s="864" t="s">
        <v>45</v>
      </c>
      <c r="F110" s="864" t="s">
        <v>45</v>
      </c>
      <c r="G110" s="865" t="s">
        <v>45</v>
      </c>
      <c r="H110" s="864" t="s">
        <v>45</v>
      </c>
      <c r="I110" s="865" t="s">
        <v>45</v>
      </c>
      <c r="J110" s="864" t="s">
        <v>45</v>
      </c>
      <c r="K110" s="865" t="s">
        <v>45</v>
      </c>
      <c r="L110" s="864" t="s">
        <v>45</v>
      </c>
      <c r="M110" s="864" t="s">
        <v>45</v>
      </c>
      <c r="N110" s="34"/>
      <c r="O110" s="34"/>
      <c r="P110" s="34"/>
    </row>
    <row r="111" spans="1:22" x14ac:dyDescent="0.3">
      <c r="A111" s="14"/>
      <c r="B111" s="33"/>
      <c r="C111" s="34"/>
      <c r="D111" s="109"/>
      <c r="E111" s="109"/>
      <c r="F111" s="109"/>
      <c r="G111" s="34"/>
      <c r="H111" s="112"/>
      <c r="I111" s="35"/>
      <c r="J111" s="109"/>
      <c r="K111" s="35"/>
      <c r="L111" s="110"/>
      <c r="M111" s="109"/>
      <c r="N111" s="34"/>
      <c r="O111" s="34"/>
      <c r="P111" s="34"/>
    </row>
    <row r="112" spans="1:22" x14ac:dyDescent="0.3">
      <c r="A112" s="14" t="s">
        <v>64</v>
      </c>
      <c r="B112" s="865" t="s">
        <v>45</v>
      </c>
      <c r="C112" s="864" t="s">
        <v>45</v>
      </c>
      <c r="D112" s="866">
        <v>0</v>
      </c>
      <c r="E112" s="866">
        <v>0</v>
      </c>
      <c r="F112" s="866">
        <v>0</v>
      </c>
      <c r="G112" s="247">
        <v>1</v>
      </c>
      <c r="H112" s="112">
        <f>(E112*(_int_inv_*(1+_int_inv_)^G112)/((1+_int_inv_)^G112-1))-(F112*_int_inv_/((1+_int_inv_)^G112-1))</f>
        <v>0</v>
      </c>
      <c r="I112" s="251">
        <v>0.01</v>
      </c>
      <c r="J112" s="109">
        <f>E112*I112</f>
        <v>0</v>
      </c>
      <c r="K112" s="36">
        <f>_tax_ins_</f>
        <v>6.7999999999999996E-3</v>
      </c>
      <c r="L112" s="109">
        <f>E112*K112</f>
        <v>0</v>
      </c>
      <c r="M112" s="109">
        <f>H112+J112+L112</f>
        <v>0</v>
      </c>
      <c r="N112" s="34"/>
      <c r="O112" s="34"/>
      <c r="P112" s="34"/>
    </row>
    <row r="113" spans="1:16" x14ac:dyDescent="0.3">
      <c r="B113" s="33"/>
      <c r="C113" s="34"/>
      <c r="D113" s="109"/>
      <c r="E113" s="109"/>
      <c r="F113" s="109"/>
      <c r="G113" s="34"/>
      <c r="H113" s="112"/>
      <c r="I113" s="35"/>
      <c r="J113" s="110"/>
      <c r="K113" s="35"/>
      <c r="L113" s="110"/>
      <c r="M113" s="109"/>
      <c r="N113" s="34"/>
      <c r="O113" s="34"/>
      <c r="P113" s="34"/>
    </row>
    <row r="114" spans="1:16" ht="13.5" x14ac:dyDescent="0.35">
      <c r="A114" s="1" t="s">
        <v>68</v>
      </c>
      <c r="B114" s="33"/>
      <c r="C114" s="34"/>
      <c r="D114" s="109"/>
      <c r="E114" s="109">
        <f>SUM(E7:E112)</f>
        <v>0</v>
      </c>
      <c r="F114" s="109">
        <f>SUM(F7:F112)</f>
        <v>0</v>
      </c>
      <c r="G114" s="34"/>
      <c r="H114" s="112">
        <f>SUM(H7:H112)</f>
        <v>0</v>
      </c>
      <c r="I114" s="35"/>
      <c r="J114" s="109">
        <f>SUM(J7:J112)</f>
        <v>0</v>
      </c>
      <c r="K114" s="35"/>
      <c r="L114" s="109">
        <f>SUM(L7:L112)</f>
        <v>0</v>
      </c>
      <c r="M114" s="109">
        <f>SUM(M7:M112)</f>
        <v>0</v>
      </c>
      <c r="N114" s="34"/>
      <c r="O114" s="34"/>
      <c r="P114" s="34"/>
    </row>
    <row r="115" spans="1:16" x14ac:dyDescent="0.3">
      <c r="B115" s="33"/>
      <c r="C115" s="34"/>
      <c r="D115" s="32"/>
      <c r="E115" s="32"/>
      <c r="F115" s="32"/>
      <c r="G115" s="34"/>
      <c r="H115" s="32"/>
      <c r="I115" s="35"/>
      <c r="J115" s="110"/>
      <c r="K115" s="35"/>
      <c r="L115" s="34"/>
      <c r="M115" s="32"/>
      <c r="N115" s="34"/>
      <c r="O115" s="34"/>
      <c r="P115" s="34"/>
    </row>
    <row r="116" spans="1:16" x14ac:dyDescent="0.3">
      <c r="B116" s="33"/>
      <c r="C116" s="34"/>
      <c r="D116" s="32"/>
      <c r="E116" s="32"/>
      <c r="F116" s="32"/>
      <c r="G116" s="34"/>
      <c r="H116" s="32"/>
      <c r="I116" s="35"/>
      <c r="J116" s="34"/>
      <c r="K116" s="35"/>
      <c r="L116" s="34"/>
      <c r="M116" s="32"/>
      <c r="N116" s="34"/>
      <c r="O116" s="34"/>
      <c r="P116" s="34"/>
    </row>
    <row r="117" spans="1:16" x14ac:dyDescent="0.3">
      <c r="B117" s="33"/>
      <c r="C117" s="34"/>
      <c r="D117" s="8" t="s">
        <v>136</v>
      </c>
      <c r="E117" s="32"/>
      <c r="F117" s="32"/>
      <c r="G117" s="34"/>
      <c r="H117" s="32"/>
      <c r="I117" s="35"/>
      <c r="J117" s="34"/>
      <c r="K117" s="35"/>
      <c r="L117" s="34"/>
      <c r="M117" s="32"/>
      <c r="N117" s="34"/>
      <c r="O117" s="34"/>
      <c r="P117" s="34"/>
    </row>
    <row r="118" spans="1:16" x14ac:dyDescent="0.3">
      <c r="B118" s="33"/>
      <c r="C118" s="34"/>
      <c r="D118" s="55" t="s">
        <v>1824</v>
      </c>
      <c r="E118" s="112">
        <f>SUM(E7:E96)</f>
        <v>0</v>
      </c>
      <c r="F118" s="32"/>
      <c r="G118" s="34"/>
      <c r="H118" s="32"/>
      <c r="I118" s="35"/>
      <c r="J118" s="34"/>
      <c r="K118" s="35"/>
      <c r="L118" s="34"/>
      <c r="M118" s="32"/>
      <c r="N118" s="34"/>
      <c r="O118" s="34"/>
      <c r="P118" s="34"/>
    </row>
    <row r="119" spans="1:16" x14ac:dyDescent="0.3">
      <c r="B119" s="33"/>
      <c r="C119" s="34"/>
      <c r="D119" s="55" t="s">
        <v>1825</v>
      </c>
      <c r="E119" s="112">
        <f>SUM(E98:E101)</f>
        <v>0</v>
      </c>
      <c r="F119" s="32"/>
      <c r="G119" s="34"/>
      <c r="H119" s="32"/>
      <c r="I119" s="35"/>
      <c r="J119" s="34"/>
      <c r="K119" s="35"/>
      <c r="L119" s="34"/>
      <c r="M119" s="32"/>
      <c r="N119" s="34"/>
      <c r="O119" s="34"/>
      <c r="P119" s="34"/>
    </row>
    <row r="120" spans="1:16" x14ac:dyDescent="0.3">
      <c r="B120" s="33"/>
      <c r="C120" s="34"/>
      <c r="D120" s="62" t="s">
        <v>1826</v>
      </c>
      <c r="E120" s="113">
        <f>SUM(E103:E106)</f>
        <v>0</v>
      </c>
      <c r="F120" s="32"/>
      <c r="G120" s="34"/>
      <c r="H120" s="32"/>
      <c r="I120" s="34"/>
      <c r="J120" s="34"/>
      <c r="K120" s="35"/>
      <c r="L120" s="34"/>
      <c r="M120" s="32"/>
      <c r="N120" s="34"/>
      <c r="O120" s="34"/>
      <c r="P120" s="34"/>
    </row>
    <row r="121" spans="1:16" x14ac:dyDescent="0.3">
      <c r="B121" s="33"/>
      <c r="C121" s="34"/>
      <c r="D121" s="61" t="s">
        <v>1827</v>
      </c>
      <c r="E121" s="112">
        <f>SUM(E118:E120)</f>
        <v>0</v>
      </c>
      <c r="F121" s="32"/>
      <c r="G121" s="34"/>
      <c r="H121" s="32"/>
      <c r="I121" s="34"/>
      <c r="J121" s="34"/>
      <c r="K121" s="35"/>
      <c r="L121" s="34"/>
      <c r="M121" s="32"/>
      <c r="N121" s="34"/>
      <c r="O121" s="34"/>
      <c r="P121" s="34"/>
    </row>
    <row r="122" spans="1:16" x14ac:dyDescent="0.3">
      <c r="B122" s="33"/>
      <c r="C122" s="34"/>
      <c r="D122" s="32"/>
      <c r="E122" s="32"/>
      <c r="F122" s="32"/>
      <c r="G122" s="34"/>
      <c r="H122" s="32"/>
      <c r="I122" s="34"/>
      <c r="J122" s="34"/>
      <c r="K122" s="35"/>
      <c r="L122" s="34"/>
      <c r="M122" s="32"/>
      <c r="N122" s="34"/>
      <c r="O122" s="34"/>
      <c r="P122" s="34"/>
    </row>
    <row r="123" spans="1:16" x14ac:dyDescent="0.3">
      <c r="B123" s="33"/>
      <c r="C123" s="34"/>
      <c r="D123" s="32"/>
      <c r="E123" s="32"/>
      <c r="F123" s="32"/>
      <c r="G123" s="34"/>
      <c r="H123" s="32"/>
      <c r="I123" s="34"/>
      <c r="J123" s="34"/>
      <c r="K123" s="35"/>
      <c r="L123" s="34"/>
      <c r="M123" s="32"/>
      <c r="N123" s="34"/>
      <c r="O123" s="34"/>
      <c r="P123" s="34"/>
    </row>
    <row r="124" spans="1:16" x14ac:dyDescent="0.3">
      <c r="B124" s="33"/>
      <c r="C124" s="34"/>
      <c r="D124" s="32"/>
      <c r="E124" s="32"/>
      <c r="F124" s="32"/>
      <c r="G124" s="34"/>
      <c r="H124" s="32"/>
      <c r="I124" s="34"/>
      <c r="J124" s="34"/>
      <c r="K124" s="35"/>
      <c r="L124" s="34"/>
      <c r="M124" s="32"/>
      <c r="N124" s="34"/>
      <c r="O124" s="34"/>
      <c r="P124" s="34"/>
    </row>
    <row r="125" spans="1:16" x14ac:dyDescent="0.3">
      <c r="B125" s="33"/>
      <c r="C125" s="34"/>
      <c r="D125" s="32"/>
      <c r="E125" s="32"/>
      <c r="F125" s="32"/>
      <c r="G125" s="34"/>
      <c r="H125" s="32"/>
      <c r="I125" s="34"/>
      <c r="J125" s="34"/>
      <c r="K125" s="35"/>
      <c r="L125" s="34"/>
      <c r="M125" s="32"/>
      <c r="N125" s="34"/>
      <c r="O125" s="34"/>
      <c r="P125" s="34"/>
    </row>
    <row r="126" spans="1:16" x14ac:dyDescent="0.3">
      <c r="B126" s="33"/>
      <c r="C126" s="34"/>
      <c r="D126" s="32"/>
      <c r="E126" s="32"/>
      <c r="F126" s="32"/>
      <c r="G126" s="34"/>
      <c r="H126" s="32"/>
      <c r="I126" s="34"/>
      <c r="J126" s="34"/>
      <c r="K126" s="35"/>
      <c r="L126" s="34"/>
      <c r="M126" s="32"/>
      <c r="N126" s="34"/>
      <c r="O126" s="34"/>
      <c r="P126" s="34"/>
    </row>
    <row r="127" spans="1:16" x14ac:dyDescent="0.3">
      <c r="B127" s="33"/>
      <c r="C127" s="34"/>
      <c r="D127" s="32"/>
      <c r="E127" s="32"/>
      <c r="F127" s="32"/>
      <c r="G127" s="34"/>
      <c r="H127" s="32"/>
      <c r="I127" s="34"/>
      <c r="J127" s="34"/>
      <c r="K127" s="35"/>
      <c r="L127" s="34"/>
      <c r="M127" s="32"/>
      <c r="N127" s="34"/>
      <c r="O127" s="34"/>
      <c r="P127" s="34"/>
    </row>
    <row r="128" spans="1:16" x14ac:dyDescent="0.3">
      <c r="B128" s="33"/>
      <c r="C128" s="34"/>
      <c r="D128" s="32"/>
      <c r="E128" s="32"/>
      <c r="F128" s="32"/>
      <c r="G128" s="34"/>
      <c r="H128" s="32"/>
      <c r="I128" s="34"/>
      <c r="J128" s="34"/>
      <c r="K128" s="35"/>
      <c r="L128" s="34"/>
      <c r="M128" s="32"/>
      <c r="N128" s="34"/>
      <c r="O128" s="34"/>
      <c r="P128" s="34"/>
    </row>
    <row r="129" spans="2:16" x14ac:dyDescent="0.3">
      <c r="B129" s="33"/>
      <c r="C129" s="34"/>
      <c r="D129" s="32"/>
      <c r="E129" s="32"/>
      <c r="F129" s="32"/>
      <c r="G129" s="34"/>
      <c r="H129" s="32"/>
      <c r="I129" s="34"/>
      <c r="J129" s="34"/>
      <c r="K129" s="35"/>
      <c r="L129" s="34"/>
      <c r="M129" s="32"/>
      <c r="N129" s="34"/>
      <c r="O129" s="34"/>
      <c r="P129" s="34"/>
    </row>
    <row r="130" spans="2:16" x14ac:dyDescent="0.3">
      <c r="B130" s="33"/>
      <c r="C130" s="34"/>
      <c r="D130" s="32"/>
      <c r="E130" s="32"/>
      <c r="F130" s="32"/>
      <c r="G130" s="34"/>
      <c r="H130" s="32"/>
      <c r="I130" s="34"/>
      <c r="J130" s="34"/>
      <c r="K130" s="35"/>
      <c r="L130" s="34"/>
      <c r="M130" s="32"/>
      <c r="N130" s="34"/>
      <c r="O130" s="34"/>
      <c r="P130" s="34"/>
    </row>
    <row r="131" spans="2:16" x14ac:dyDescent="0.3">
      <c r="B131" s="33"/>
      <c r="C131" s="34"/>
      <c r="D131" s="32"/>
      <c r="E131" s="32"/>
      <c r="F131" s="32"/>
      <c r="G131" s="34"/>
      <c r="H131" s="32"/>
      <c r="I131" s="34"/>
      <c r="J131" s="34"/>
      <c r="K131" s="35"/>
      <c r="L131" s="34"/>
      <c r="M131" s="32"/>
      <c r="N131" s="34"/>
      <c r="O131" s="34"/>
      <c r="P131" s="34"/>
    </row>
    <row r="132" spans="2:16" x14ac:dyDescent="0.3">
      <c r="B132" s="33"/>
      <c r="C132" s="34"/>
      <c r="D132" s="32"/>
      <c r="E132" s="32"/>
      <c r="F132" s="32"/>
      <c r="G132" s="34"/>
      <c r="H132" s="32"/>
      <c r="I132" s="34"/>
      <c r="J132" s="34"/>
      <c r="K132" s="35"/>
      <c r="L132" s="34"/>
      <c r="M132" s="32"/>
      <c r="N132" s="34"/>
      <c r="O132" s="34"/>
      <c r="P132" s="34"/>
    </row>
    <row r="133" spans="2:16" x14ac:dyDescent="0.3">
      <c r="B133" s="33"/>
      <c r="C133" s="34"/>
      <c r="D133" s="32"/>
      <c r="E133" s="32"/>
      <c r="F133" s="32"/>
      <c r="G133" s="34"/>
      <c r="H133" s="32"/>
      <c r="I133" s="34"/>
      <c r="J133" s="34"/>
      <c r="K133" s="35"/>
      <c r="L133" s="34"/>
      <c r="M133" s="32"/>
      <c r="N133" s="34"/>
      <c r="O133" s="34"/>
      <c r="P133" s="34"/>
    </row>
    <row r="134" spans="2:16" x14ac:dyDescent="0.3">
      <c r="B134" s="33"/>
      <c r="C134" s="34"/>
      <c r="D134" s="32"/>
      <c r="E134" s="32"/>
      <c r="F134" s="32"/>
      <c r="G134" s="34"/>
      <c r="H134" s="32"/>
      <c r="I134" s="34"/>
      <c r="J134" s="34"/>
      <c r="K134" s="35"/>
      <c r="L134" s="34"/>
      <c r="M134" s="32"/>
      <c r="N134" s="34"/>
      <c r="O134" s="34"/>
      <c r="P134" s="34"/>
    </row>
    <row r="135" spans="2:16" x14ac:dyDescent="0.3">
      <c r="B135" s="33"/>
      <c r="C135" s="34"/>
      <c r="D135" s="32"/>
      <c r="E135" s="32"/>
      <c r="F135" s="32"/>
      <c r="G135" s="34"/>
      <c r="H135" s="32"/>
      <c r="I135" s="34"/>
      <c r="J135" s="34"/>
      <c r="K135" s="35"/>
      <c r="L135" s="34"/>
      <c r="M135" s="32"/>
      <c r="N135" s="34"/>
      <c r="O135" s="34"/>
      <c r="P135" s="34"/>
    </row>
    <row r="136" spans="2:16" x14ac:dyDescent="0.3">
      <c r="B136" s="33"/>
      <c r="C136" s="34"/>
      <c r="D136" s="32"/>
      <c r="E136" s="32"/>
      <c r="F136" s="32"/>
      <c r="G136" s="34"/>
      <c r="H136" s="32"/>
      <c r="I136" s="34"/>
      <c r="J136" s="34"/>
      <c r="K136" s="35"/>
      <c r="L136" s="34"/>
      <c r="M136" s="32"/>
      <c r="N136" s="34"/>
      <c r="O136" s="34"/>
      <c r="P136" s="34"/>
    </row>
    <row r="137" spans="2:16" x14ac:dyDescent="0.3">
      <c r="B137" s="33"/>
      <c r="C137" s="34"/>
      <c r="D137" s="32"/>
      <c r="E137" s="32"/>
      <c r="F137" s="32"/>
      <c r="G137" s="34"/>
      <c r="H137" s="32"/>
      <c r="I137" s="34"/>
      <c r="J137" s="34"/>
      <c r="K137" s="35"/>
      <c r="L137" s="34"/>
      <c r="M137" s="32"/>
      <c r="N137" s="34"/>
      <c r="O137" s="34"/>
      <c r="P137" s="34"/>
    </row>
    <row r="138" spans="2:16" x14ac:dyDescent="0.3">
      <c r="B138" s="33"/>
      <c r="C138" s="34"/>
      <c r="D138" s="32"/>
      <c r="E138" s="32"/>
      <c r="F138" s="32"/>
      <c r="G138" s="34"/>
      <c r="H138" s="32"/>
      <c r="I138" s="34"/>
      <c r="J138" s="34"/>
      <c r="K138" s="35"/>
      <c r="L138" s="34"/>
      <c r="M138" s="32"/>
      <c r="N138" s="34"/>
      <c r="O138" s="34"/>
      <c r="P138" s="34"/>
    </row>
    <row r="139" spans="2:16" x14ac:dyDescent="0.3">
      <c r="B139" s="33"/>
      <c r="C139" s="34"/>
      <c r="D139" s="32"/>
      <c r="E139" s="32"/>
      <c r="F139" s="32"/>
      <c r="G139" s="34"/>
      <c r="H139" s="32"/>
      <c r="I139" s="34"/>
      <c r="J139" s="34"/>
      <c r="K139" s="35"/>
      <c r="L139" s="34"/>
      <c r="M139" s="32"/>
      <c r="N139" s="34"/>
      <c r="O139" s="34"/>
      <c r="P139" s="34"/>
    </row>
    <row r="140" spans="2:16" x14ac:dyDescent="0.3">
      <c r="B140" s="33"/>
      <c r="C140" s="34"/>
      <c r="D140" s="32"/>
      <c r="E140" s="32"/>
      <c r="F140" s="32"/>
      <c r="G140" s="34"/>
      <c r="H140" s="32"/>
      <c r="I140" s="34"/>
      <c r="J140" s="34"/>
      <c r="K140" s="35"/>
      <c r="L140" s="34"/>
      <c r="M140" s="32"/>
      <c r="N140" s="34"/>
      <c r="O140" s="34"/>
      <c r="P140" s="34"/>
    </row>
    <row r="141" spans="2:16" x14ac:dyDescent="0.3">
      <c r="B141" s="33"/>
      <c r="C141" s="34"/>
      <c r="D141" s="32"/>
      <c r="E141" s="32"/>
      <c r="F141" s="32"/>
      <c r="G141" s="34"/>
      <c r="H141" s="32"/>
      <c r="I141" s="34"/>
      <c r="J141" s="34"/>
      <c r="K141" s="35"/>
      <c r="L141" s="34"/>
      <c r="M141" s="32"/>
      <c r="N141" s="34"/>
      <c r="O141" s="34"/>
      <c r="P141" s="34"/>
    </row>
    <row r="142" spans="2:16" x14ac:dyDescent="0.3">
      <c r="B142" s="33"/>
      <c r="C142" s="34"/>
      <c r="D142" s="32"/>
      <c r="E142" s="32"/>
      <c r="F142" s="32"/>
      <c r="G142" s="34"/>
      <c r="H142" s="32"/>
      <c r="I142" s="34"/>
      <c r="J142" s="34"/>
      <c r="K142" s="35"/>
      <c r="L142" s="34"/>
      <c r="M142" s="32"/>
      <c r="N142" s="34"/>
      <c r="O142" s="34"/>
      <c r="P142" s="34"/>
    </row>
    <row r="143" spans="2:16" x14ac:dyDescent="0.3">
      <c r="B143" s="33"/>
      <c r="C143" s="34"/>
      <c r="D143" s="32"/>
      <c r="E143" s="32"/>
      <c r="F143" s="32"/>
      <c r="G143" s="34"/>
      <c r="H143" s="32"/>
      <c r="I143" s="34"/>
      <c r="J143" s="34"/>
      <c r="K143" s="35"/>
      <c r="L143" s="34"/>
      <c r="M143" s="32"/>
      <c r="N143" s="34"/>
      <c r="O143" s="34"/>
      <c r="P143" s="34"/>
    </row>
    <row r="144" spans="2:16" x14ac:dyDescent="0.3">
      <c r="B144" s="33"/>
      <c r="C144" s="34"/>
      <c r="D144" s="32"/>
      <c r="E144" s="32"/>
      <c r="F144" s="32"/>
      <c r="G144" s="34"/>
      <c r="H144" s="32"/>
      <c r="I144" s="34"/>
      <c r="J144" s="34"/>
      <c r="K144" s="35"/>
      <c r="L144" s="34"/>
      <c r="M144" s="32"/>
      <c r="N144" s="34"/>
      <c r="O144" s="34"/>
      <c r="P144" s="34"/>
    </row>
    <row r="145" spans="2:16" x14ac:dyDescent="0.3">
      <c r="B145" s="33"/>
      <c r="C145" s="34"/>
      <c r="D145" s="32"/>
      <c r="E145" s="32"/>
      <c r="F145" s="32"/>
      <c r="G145" s="34"/>
      <c r="H145" s="32"/>
      <c r="I145" s="34"/>
      <c r="J145" s="34"/>
      <c r="K145" s="35"/>
      <c r="L145" s="34"/>
      <c r="M145" s="32"/>
      <c r="N145" s="34"/>
      <c r="O145" s="34"/>
      <c r="P145" s="34"/>
    </row>
    <row r="146" spans="2:16" x14ac:dyDescent="0.3">
      <c r="B146" s="33"/>
      <c r="C146" s="34"/>
      <c r="D146" s="32"/>
      <c r="E146" s="32"/>
      <c r="F146" s="32"/>
      <c r="G146" s="34"/>
      <c r="H146" s="32"/>
      <c r="I146" s="34"/>
      <c r="J146" s="34"/>
      <c r="K146" s="35"/>
      <c r="L146" s="34"/>
      <c r="M146" s="32"/>
      <c r="N146" s="34"/>
      <c r="O146" s="34"/>
      <c r="P146" s="34"/>
    </row>
    <row r="147" spans="2:16" x14ac:dyDescent="0.3">
      <c r="B147" s="33"/>
      <c r="C147" s="34"/>
      <c r="D147" s="39"/>
      <c r="E147" s="39"/>
      <c r="F147" s="39"/>
      <c r="G147" s="34"/>
      <c r="H147" s="32"/>
      <c r="I147" s="34"/>
      <c r="J147" s="34"/>
      <c r="K147" s="35"/>
      <c r="L147" s="34"/>
      <c r="M147" s="32"/>
      <c r="N147" s="34"/>
      <c r="O147" s="34"/>
      <c r="P147" s="34"/>
    </row>
    <row r="148" spans="2:16" x14ac:dyDescent="0.3">
      <c r="B148" s="33"/>
      <c r="C148" s="34"/>
      <c r="D148" s="39"/>
      <c r="E148" s="39"/>
      <c r="F148" s="39"/>
      <c r="G148" s="34"/>
      <c r="H148" s="32"/>
      <c r="I148" s="34"/>
      <c r="J148" s="34"/>
      <c r="K148" s="35"/>
      <c r="L148" s="34"/>
      <c r="M148" s="32"/>
      <c r="N148" s="34"/>
      <c r="O148" s="34"/>
      <c r="P148" s="34"/>
    </row>
    <row r="149" spans="2:16" x14ac:dyDescent="0.3">
      <c r="B149" s="33"/>
      <c r="C149" s="34"/>
      <c r="D149" s="39"/>
      <c r="E149" s="39"/>
      <c r="F149" s="39"/>
      <c r="G149" s="34"/>
      <c r="H149" s="32"/>
      <c r="I149" s="34"/>
      <c r="J149" s="34"/>
      <c r="K149" s="35"/>
      <c r="L149" s="34"/>
      <c r="M149" s="32"/>
      <c r="N149" s="34"/>
      <c r="O149" s="34"/>
      <c r="P149" s="34"/>
    </row>
    <row r="150" spans="2:16" x14ac:dyDescent="0.3">
      <c r="B150" s="33"/>
      <c r="C150" s="34"/>
      <c r="D150" s="39"/>
      <c r="E150" s="39"/>
      <c r="F150" s="39"/>
      <c r="G150" s="34"/>
      <c r="H150" s="32"/>
      <c r="I150" s="34"/>
      <c r="J150" s="34"/>
      <c r="K150" s="35"/>
      <c r="L150" s="34"/>
      <c r="M150" s="32"/>
      <c r="N150" s="34"/>
      <c r="O150" s="34"/>
      <c r="P150" s="34"/>
    </row>
    <row r="151" spans="2:16" x14ac:dyDescent="0.3">
      <c r="B151" s="33"/>
      <c r="C151" s="34"/>
      <c r="D151" s="39"/>
      <c r="E151" s="39"/>
      <c r="F151" s="39"/>
      <c r="G151" s="34"/>
      <c r="H151" s="32"/>
      <c r="I151" s="34"/>
      <c r="J151" s="34"/>
      <c r="K151" s="35"/>
      <c r="L151" s="34"/>
      <c r="M151" s="32"/>
      <c r="N151" s="34"/>
      <c r="O151" s="34"/>
      <c r="P151" s="34"/>
    </row>
    <row r="152" spans="2:16" x14ac:dyDescent="0.3">
      <c r="B152" s="33"/>
      <c r="C152" s="34"/>
      <c r="D152" s="39"/>
      <c r="E152" s="39"/>
      <c r="F152" s="39"/>
      <c r="G152" s="34"/>
      <c r="H152" s="32"/>
      <c r="I152" s="34"/>
      <c r="J152" s="34"/>
      <c r="K152" s="35"/>
      <c r="L152" s="34"/>
      <c r="M152" s="32"/>
      <c r="N152" s="34"/>
      <c r="O152" s="34"/>
      <c r="P152" s="34"/>
    </row>
    <row r="153" spans="2:16" x14ac:dyDescent="0.3">
      <c r="B153" s="33"/>
      <c r="C153" s="34"/>
      <c r="D153" s="39"/>
      <c r="E153" s="39"/>
      <c r="F153" s="39"/>
      <c r="G153" s="34"/>
      <c r="H153" s="32"/>
      <c r="I153" s="34"/>
      <c r="J153" s="34"/>
      <c r="K153" s="35"/>
      <c r="L153" s="34"/>
      <c r="M153" s="32"/>
      <c r="N153" s="34"/>
      <c r="O153" s="34"/>
      <c r="P153" s="34"/>
    </row>
    <row r="154" spans="2:16" x14ac:dyDescent="0.3">
      <c r="B154" s="33"/>
      <c r="C154" s="34"/>
      <c r="D154" s="39"/>
      <c r="E154" s="39"/>
      <c r="F154" s="39"/>
      <c r="G154" s="34"/>
      <c r="H154" s="32"/>
      <c r="I154" s="34"/>
      <c r="J154" s="34"/>
      <c r="K154" s="35"/>
      <c r="L154" s="34"/>
      <c r="M154" s="32"/>
      <c r="N154" s="34"/>
      <c r="O154" s="34"/>
      <c r="P154" s="34"/>
    </row>
    <row r="155" spans="2:16" x14ac:dyDescent="0.3">
      <c r="B155" s="33"/>
      <c r="C155" s="34"/>
      <c r="D155" s="39"/>
      <c r="E155" s="39"/>
      <c r="F155" s="39"/>
      <c r="G155" s="34"/>
      <c r="H155" s="32"/>
      <c r="I155" s="34"/>
      <c r="J155" s="34"/>
      <c r="K155" s="35"/>
      <c r="L155" s="34"/>
      <c r="M155" s="32"/>
      <c r="N155" s="34"/>
      <c r="O155" s="34"/>
      <c r="P155" s="34"/>
    </row>
    <row r="156" spans="2:16" x14ac:dyDescent="0.3">
      <c r="B156" s="33"/>
      <c r="C156" s="34"/>
      <c r="D156" s="39"/>
      <c r="E156" s="39"/>
      <c r="F156" s="39"/>
      <c r="G156" s="34"/>
      <c r="H156" s="32"/>
      <c r="I156" s="34"/>
      <c r="J156" s="34"/>
      <c r="K156" s="35"/>
      <c r="L156" s="34"/>
      <c r="M156" s="32"/>
      <c r="N156" s="34"/>
      <c r="O156" s="34"/>
      <c r="P156" s="34"/>
    </row>
    <row r="157" spans="2:16" x14ac:dyDescent="0.3">
      <c r="B157" s="33"/>
      <c r="C157" s="34"/>
      <c r="D157" s="39"/>
      <c r="E157" s="39"/>
      <c r="F157" s="39"/>
      <c r="G157" s="34"/>
      <c r="H157" s="32"/>
      <c r="I157" s="34"/>
      <c r="J157" s="34"/>
      <c r="K157" s="35"/>
      <c r="L157" s="34"/>
      <c r="M157" s="32"/>
      <c r="N157" s="34"/>
      <c r="O157" s="34"/>
      <c r="P157" s="34"/>
    </row>
    <row r="158" spans="2:16" x14ac:dyDescent="0.3">
      <c r="B158" s="33"/>
      <c r="C158" s="34"/>
      <c r="D158" s="39"/>
      <c r="E158" s="39"/>
      <c r="F158" s="39"/>
      <c r="G158" s="34"/>
      <c r="H158" s="32"/>
      <c r="I158" s="34"/>
      <c r="J158" s="34"/>
      <c r="K158" s="35"/>
      <c r="L158" s="34"/>
      <c r="M158" s="32"/>
      <c r="N158" s="34"/>
      <c r="O158" s="34"/>
      <c r="P158" s="34"/>
    </row>
    <row r="159" spans="2:16" x14ac:dyDescent="0.3">
      <c r="B159" s="33"/>
      <c r="C159" s="34"/>
      <c r="D159" s="39"/>
      <c r="E159" s="39"/>
      <c r="F159" s="39"/>
      <c r="G159" s="34"/>
      <c r="H159" s="32"/>
      <c r="I159" s="34"/>
      <c r="J159" s="34"/>
      <c r="K159" s="35"/>
      <c r="L159" s="34"/>
      <c r="M159" s="32"/>
      <c r="N159" s="34"/>
      <c r="O159" s="34"/>
      <c r="P159" s="34"/>
    </row>
    <row r="160" spans="2:16" x14ac:dyDescent="0.3">
      <c r="B160" s="33"/>
      <c r="C160" s="34"/>
      <c r="D160" s="39"/>
      <c r="E160" s="39"/>
      <c r="F160" s="39"/>
      <c r="G160" s="34"/>
      <c r="H160" s="32"/>
      <c r="I160" s="34"/>
      <c r="J160" s="34"/>
      <c r="K160" s="35"/>
      <c r="L160" s="34"/>
      <c r="M160" s="32"/>
      <c r="N160" s="34"/>
      <c r="O160" s="34"/>
      <c r="P160" s="34"/>
    </row>
    <row r="161" spans="2:16" x14ac:dyDescent="0.3">
      <c r="B161" s="33"/>
      <c r="C161" s="34"/>
      <c r="D161" s="39"/>
      <c r="E161" s="39"/>
      <c r="F161" s="39"/>
      <c r="G161" s="34"/>
      <c r="H161" s="32"/>
      <c r="I161" s="34"/>
      <c r="J161" s="34"/>
      <c r="K161" s="35"/>
      <c r="L161" s="34"/>
      <c r="M161" s="32"/>
      <c r="N161" s="34"/>
      <c r="O161" s="34"/>
      <c r="P161" s="34"/>
    </row>
    <row r="162" spans="2:16" x14ac:dyDescent="0.3">
      <c r="B162" s="33"/>
      <c r="C162" s="34"/>
      <c r="D162" s="39"/>
      <c r="E162" s="39"/>
      <c r="F162" s="39"/>
      <c r="G162" s="34"/>
      <c r="H162" s="32"/>
      <c r="I162" s="34"/>
      <c r="J162" s="34"/>
      <c r="K162" s="35"/>
      <c r="L162" s="34"/>
      <c r="M162" s="32"/>
      <c r="N162" s="34"/>
      <c r="O162" s="34"/>
      <c r="P162" s="34"/>
    </row>
    <row r="163" spans="2:16" x14ac:dyDescent="0.3">
      <c r="B163" s="33"/>
      <c r="C163" s="34"/>
      <c r="D163" s="39"/>
      <c r="E163" s="39"/>
      <c r="F163" s="39"/>
      <c r="G163" s="34"/>
      <c r="H163" s="32"/>
      <c r="I163" s="34"/>
      <c r="J163" s="34"/>
      <c r="K163" s="35"/>
      <c r="L163" s="34"/>
      <c r="M163" s="32"/>
      <c r="N163" s="34"/>
      <c r="O163" s="34"/>
      <c r="P163" s="34"/>
    </row>
    <row r="164" spans="2:16" x14ac:dyDescent="0.3">
      <c r="B164" s="33"/>
      <c r="C164" s="34"/>
      <c r="D164" s="39"/>
      <c r="E164" s="39"/>
      <c r="F164" s="39"/>
      <c r="G164" s="34"/>
      <c r="H164" s="32"/>
      <c r="I164" s="34"/>
      <c r="J164" s="34"/>
      <c r="K164" s="35"/>
      <c r="L164" s="34"/>
      <c r="M164" s="32"/>
      <c r="N164" s="34"/>
      <c r="O164" s="34"/>
      <c r="P164" s="34"/>
    </row>
    <row r="165" spans="2:16" x14ac:dyDescent="0.3">
      <c r="B165" s="33"/>
      <c r="C165" s="34"/>
      <c r="D165" s="39"/>
      <c r="E165" s="39"/>
      <c r="F165" s="39"/>
      <c r="G165" s="34"/>
      <c r="H165" s="32"/>
      <c r="I165" s="34"/>
      <c r="J165" s="34"/>
      <c r="K165" s="35"/>
      <c r="L165" s="34"/>
      <c r="M165" s="32"/>
      <c r="N165" s="34"/>
      <c r="O165" s="34"/>
      <c r="P165" s="34"/>
    </row>
    <row r="166" spans="2:16" x14ac:dyDescent="0.3">
      <c r="B166" s="33"/>
      <c r="C166" s="34"/>
      <c r="D166" s="39"/>
      <c r="E166" s="39"/>
      <c r="F166" s="39"/>
      <c r="G166" s="34"/>
      <c r="H166" s="32"/>
      <c r="I166" s="34"/>
      <c r="J166" s="34"/>
      <c r="K166" s="35"/>
      <c r="L166" s="34"/>
      <c r="M166" s="32"/>
      <c r="N166" s="34"/>
      <c r="O166" s="34"/>
      <c r="P166" s="34"/>
    </row>
    <row r="167" spans="2:16" x14ac:dyDescent="0.3">
      <c r="B167" s="33"/>
      <c r="C167" s="34"/>
      <c r="D167" s="39"/>
      <c r="E167" s="39"/>
      <c r="F167" s="39"/>
      <c r="G167" s="34"/>
      <c r="H167" s="32"/>
      <c r="I167" s="34"/>
      <c r="J167" s="34"/>
      <c r="K167" s="35"/>
      <c r="L167" s="34"/>
      <c r="M167" s="32"/>
      <c r="N167" s="34"/>
      <c r="O167" s="34"/>
      <c r="P167" s="34"/>
    </row>
    <row r="168" spans="2:16" x14ac:dyDescent="0.3">
      <c r="B168" s="33"/>
      <c r="C168" s="34"/>
      <c r="D168" s="39"/>
      <c r="E168" s="39"/>
      <c r="F168" s="39"/>
      <c r="G168" s="34"/>
      <c r="H168" s="32"/>
      <c r="I168" s="34"/>
      <c r="J168" s="34"/>
      <c r="K168" s="35"/>
      <c r="L168" s="34"/>
      <c r="M168" s="32"/>
      <c r="N168" s="34"/>
      <c r="O168" s="34"/>
      <c r="P168" s="34"/>
    </row>
    <row r="169" spans="2:16" x14ac:dyDescent="0.3">
      <c r="B169" s="33"/>
      <c r="C169" s="34"/>
      <c r="D169" s="39"/>
      <c r="E169" s="39"/>
      <c r="F169" s="39"/>
      <c r="G169" s="34"/>
      <c r="H169" s="32"/>
      <c r="I169" s="34"/>
      <c r="J169" s="34"/>
      <c r="K169" s="35"/>
      <c r="L169" s="34"/>
      <c r="M169" s="32"/>
      <c r="N169" s="34"/>
      <c r="O169" s="34"/>
      <c r="P169" s="34"/>
    </row>
    <row r="170" spans="2:16" x14ac:dyDescent="0.3">
      <c r="B170" s="33"/>
      <c r="C170" s="34"/>
      <c r="D170" s="39"/>
      <c r="E170" s="39"/>
      <c r="F170" s="39"/>
      <c r="G170" s="34"/>
      <c r="H170" s="32"/>
      <c r="I170" s="34"/>
      <c r="J170" s="34"/>
      <c r="K170" s="35"/>
      <c r="L170" s="34"/>
      <c r="M170" s="32"/>
      <c r="N170" s="34"/>
      <c r="O170" s="34"/>
      <c r="P170" s="34"/>
    </row>
    <row r="171" spans="2:16" x14ac:dyDescent="0.3">
      <c r="B171" s="33"/>
      <c r="C171" s="34"/>
      <c r="D171" s="39"/>
      <c r="E171" s="39"/>
      <c r="F171" s="39"/>
      <c r="G171" s="34"/>
      <c r="H171" s="32"/>
      <c r="I171" s="34"/>
      <c r="J171" s="34"/>
      <c r="K171" s="35"/>
      <c r="L171" s="34"/>
      <c r="M171" s="32"/>
      <c r="N171" s="34"/>
      <c r="O171" s="34"/>
      <c r="P171" s="34"/>
    </row>
    <row r="172" spans="2:16" x14ac:dyDescent="0.3">
      <c r="B172" s="33"/>
      <c r="C172" s="34"/>
      <c r="D172" s="39"/>
      <c r="E172" s="39"/>
      <c r="F172" s="39"/>
      <c r="G172" s="34"/>
      <c r="H172" s="32"/>
      <c r="I172" s="34"/>
      <c r="J172" s="34"/>
      <c r="K172" s="35"/>
      <c r="L172" s="34"/>
      <c r="M172" s="32"/>
      <c r="N172" s="34"/>
      <c r="O172" s="34"/>
      <c r="P172" s="34"/>
    </row>
    <row r="173" spans="2:16" x14ac:dyDescent="0.3">
      <c r="B173" s="33"/>
      <c r="C173" s="34"/>
      <c r="D173" s="39"/>
      <c r="E173" s="39"/>
      <c r="F173" s="39"/>
      <c r="G173" s="34"/>
      <c r="H173" s="32"/>
      <c r="I173" s="34"/>
      <c r="J173" s="34"/>
      <c r="K173" s="35"/>
      <c r="L173" s="34"/>
      <c r="M173" s="32"/>
      <c r="N173" s="34"/>
      <c r="O173" s="34"/>
      <c r="P173" s="34"/>
    </row>
    <row r="174" spans="2:16" x14ac:dyDescent="0.3">
      <c r="B174" s="33"/>
      <c r="C174" s="34"/>
      <c r="D174" s="39"/>
      <c r="E174" s="39"/>
      <c r="F174" s="39"/>
      <c r="G174" s="34"/>
      <c r="H174" s="32"/>
      <c r="I174" s="34"/>
      <c r="J174" s="34"/>
      <c r="K174" s="35"/>
      <c r="L174" s="34"/>
      <c r="M174" s="32"/>
      <c r="N174" s="34"/>
      <c r="O174" s="34"/>
      <c r="P174" s="34"/>
    </row>
    <row r="175" spans="2:16" x14ac:dyDescent="0.3">
      <c r="B175" s="33"/>
      <c r="C175" s="34"/>
      <c r="D175" s="39"/>
      <c r="E175" s="39"/>
      <c r="F175" s="39"/>
      <c r="G175" s="34"/>
      <c r="H175" s="32"/>
      <c r="I175" s="34"/>
      <c r="J175" s="34"/>
      <c r="K175" s="35"/>
      <c r="L175" s="34"/>
      <c r="M175" s="32"/>
      <c r="N175" s="34"/>
      <c r="O175" s="34"/>
      <c r="P175" s="34"/>
    </row>
    <row r="176" spans="2:16" x14ac:dyDescent="0.3">
      <c r="B176" s="33"/>
      <c r="C176" s="34"/>
      <c r="D176" s="39"/>
      <c r="E176" s="39"/>
      <c r="F176" s="39"/>
      <c r="G176" s="34"/>
      <c r="H176" s="32"/>
      <c r="I176" s="34"/>
      <c r="J176" s="34"/>
      <c r="K176" s="35"/>
      <c r="L176" s="34"/>
      <c r="M176" s="32"/>
      <c r="N176" s="34"/>
      <c r="O176" s="34"/>
      <c r="P176" s="34"/>
    </row>
    <row r="177" spans="2:16" x14ac:dyDescent="0.3">
      <c r="B177" s="33"/>
      <c r="C177" s="34"/>
      <c r="D177" s="39"/>
      <c r="E177" s="39"/>
      <c r="F177" s="39"/>
      <c r="G177" s="34"/>
      <c r="H177" s="32"/>
      <c r="I177" s="34"/>
      <c r="J177" s="34"/>
      <c r="K177" s="35"/>
      <c r="L177" s="34"/>
      <c r="M177" s="32"/>
      <c r="N177" s="34"/>
      <c r="O177" s="34"/>
      <c r="P177" s="34"/>
    </row>
    <row r="178" spans="2:16" x14ac:dyDescent="0.3">
      <c r="B178" s="33"/>
      <c r="C178" s="34"/>
      <c r="D178" s="39"/>
      <c r="E178" s="39"/>
      <c r="F178" s="39"/>
      <c r="G178" s="34"/>
      <c r="H178" s="32"/>
      <c r="I178" s="34"/>
      <c r="J178" s="34"/>
      <c r="K178" s="35"/>
      <c r="L178" s="34"/>
      <c r="M178" s="32"/>
      <c r="N178" s="34"/>
      <c r="O178" s="34"/>
      <c r="P178" s="34"/>
    </row>
    <row r="179" spans="2:16" x14ac:dyDescent="0.3">
      <c r="B179" s="33"/>
      <c r="C179" s="34"/>
      <c r="D179" s="39"/>
      <c r="E179" s="39"/>
      <c r="F179" s="39"/>
      <c r="G179" s="34"/>
      <c r="H179" s="32"/>
      <c r="I179" s="34"/>
      <c r="J179" s="34"/>
      <c r="K179" s="35"/>
      <c r="L179" s="34"/>
      <c r="M179" s="32"/>
      <c r="N179" s="34"/>
      <c r="O179" s="34"/>
      <c r="P179" s="34"/>
    </row>
    <row r="180" spans="2:16" x14ac:dyDescent="0.3">
      <c r="B180" s="33"/>
      <c r="C180" s="34"/>
      <c r="D180" s="39"/>
      <c r="E180" s="39"/>
      <c r="F180" s="39"/>
      <c r="G180" s="34"/>
      <c r="H180" s="32"/>
      <c r="I180" s="34"/>
      <c r="J180" s="34"/>
      <c r="K180" s="35"/>
      <c r="L180" s="34"/>
      <c r="M180" s="32"/>
      <c r="N180" s="34"/>
      <c r="O180" s="34"/>
      <c r="P180" s="34"/>
    </row>
    <row r="181" spans="2:16" x14ac:dyDescent="0.3">
      <c r="B181" s="33"/>
      <c r="C181" s="34"/>
      <c r="D181" s="39"/>
      <c r="E181" s="39"/>
      <c r="F181" s="39"/>
      <c r="G181" s="34"/>
      <c r="H181" s="32"/>
      <c r="I181" s="34"/>
      <c r="J181" s="34"/>
      <c r="K181" s="35"/>
      <c r="L181" s="34"/>
      <c r="M181" s="32"/>
      <c r="N181" s="34"/>
      <c r="O181" s="34"/>
      <c r="P181" s="34"/>
    </row>
    <row r="182" spans="2:16" x14ac:dyDescent="0.3">
      <c r="B182" s="33"/>
      <c r="C182" s="34"/>
      <c r="D182" s="39"/>
      <c r="E182" s="39"/>
      <c r="F182" s="39"/>
      <c r="G182" s="34"/>
      <c r="H182" s="32"/>
      <c r="I182" s="34"/>
      <c r="J182" s="34"/>
      <c r="K182" s="35"/>
      <c r="L182" s="34"/>
      <c r="M182" s="32"/>
      <c r="N182" s="34"/>
      <c r="O182" s="34"/>
      <c r="P182" s="34"/>
    </row>
    <row r="183" spans="2:16" x14ac:dyDescent="0.3">
      <c r="B183" s="33"/>
      <c r="C183" s="34"/>
      <c r="D183" s="39"/>
      <c r="E183" s="39"/>
      <c r="F183" s="39"/>
      <c r="G183" s="34"/>
      <c r="H183" s="32"/>
      <c r="I183" s="34"/>
      <c r="J183" s="34"/>
      <c r="K183" s="35"/>
      <c r="L183" s="34"/>
      <c r="M183" s="32"/>
      <c r="N183" s="34"/>
      <c r="O183" s="34"/>
      <c r="P183" s="34"/>
    </row>
    <row r="184" spans="2:16" x14ac:dyDescent="0.3">
      <c r="B184" s="33"/>
      <c r="C184" s="34"/>
      <c r="D184" s="39"/>
      <c r="E184" s="39"/>
      <c r="F184" s="39"/>
      <c r="G184" s="34"/>
      <c r="H184" s="32"/>
      <c r="I184" s="34"/>
      <c r="J184" s="34"/>
      <c r="K184" s="35"/>
      <c r="L184" s="34"/>
      <c r="M184" s="32"/>
      <c r="N184" s="34"/>
      <c r="O184" s="34"/>
      <c r="P184" s="34"/>
    </row>
    <row r="185" spans="2:16" x14ac:dyDescent="0.3">
      <c r="B185" s="33"/>
      <c r="C185" s="34"/>
      <c r="D185" s="39"/>
      <c r="E185" s="39"/>
      <c r="F185" s="39"/>
      <c r="G185" s="34"/>
      <c r="H185" s="32"/>
      <c r="I185" s="34"/>
      <c r="J185" s="34"/>
      <c r="K185" s="35"/>
      <c r="L185" s="34"/>
      <c r="M185" s="32"/>
      <c r="N185" s="34"/>
      <c r="O185" s="34"/>
      <c r="P185" s="34"/>
    </row>
    <row r="186" spans="2:16" x14ac:dyDescent="0.3">
      <c r="B186" s="33"/>
      <c r="C186" s="34"/>
      <c r="D186" s="39"/>
      <c r="E186" s="39"/>
      <c r="F186" s="39"/>
      <c r="G186" s="34"/>
      <c r="H186" s="32"/>
      <c r="I186" s="34"/>
      <c r="J186" s="34"/>
      <c r="K186" s="35"/>
      <c r="L186" s="34"/>
      <c r="M186" s="32"/>
      <c r="N186" s="34"/>
      <c r="O186" s="34"/>
      <c r="P186" s="34"/>
    </row>
    <row r="187" spans="2:16" x14ac:dyDescent="0.3">
      <c r="B187" s="33"/>
      <c r="C187" s="34"/>
      <c r="D187" s="39"/>
      <c r="E187" s="39"/>
      <c r="F187" s="39"/>
      <c r="G187" s="34"/>
      <c r="H187" s="32"/>
      <c r="I187" s="34"/>
      <c r="J187" s="34"/>
      <c r="K187" s="35"/>
      <c r="L187" s="34"/>
      <c r="M187" s="32"/>
      <c r="N187" s="34"/>
      <c r="O187" s="34"/>
      <c r="P187" s="34"/>
    </row>
    <row r="188" spans="2:16" x14ac:dyDescent="0.3">
      <c r="B188" s="33"/>
      <c r="C188" s="34"/>
      <c r="D188" s="39"/>
      <c r="E188" s="39"/>
      <c r="F188" s="39"/>
      <c r="G188" s="34"/>
      <c r="H188" s="32"/>
      <c r="I188" s="34"/>
      <c r="J188" s="34"/>
      <c r="K188" s="35"/>
      <c r="L188" s="34"/>
      <c r="M188" s="32"/>
      <c r="N188" s="34"/>
      <c r="O188" s="34"/>
      <c r="P188" s="34"/>
    </row>
    <row r="189" spans="2:16" x14ac:dyDescent="0.3">
      <c r="B189" s="33"/>
      <c r="C189" s="34"/>
      <c r="D189" s="39"/>
      <c r="E189" s="39"/>
      <c r="F189" s="39"/>
      <c r="G189" s="34"/>
      <c r="H189" s="32"/>
      <c r="I189" s="34"/>
      <c r="J189" s="34"/>
      <c r="K189" s="35"/>
      <c r="L189" s="34"/>
      <c r="M189" s="32"/>
      <c r="N189" s="34"/>
      <c r="O189" s="34"/>
      <c r="P189" s="34"/>
    </row>
    <row r="190" spans="2:16" x14ac:dyDescent="0.3">
      <c r="B190" s="33"/>
      <c r="C190" s="34"/>
      <c r="D190" s="39"/>
      <c r="E190" s="39"/>
      <c r="F190" s="39"/>
      <c r="G190" s="34"/>
      <c r="H190" s="32"/>
      <c r="I190" s="34"/>
      <c r="J190" s="34"/>
      <c r="K190" s="35"/>
      <c r="L190" s="34"/>
      <c r="M190" s="32"/>
      <c r="N190" s="34"/>
      <c r="O190" s="34"/>
      <c r="P190" s="34"/>
    </row>
    <row r="191" spans="2:16" x14ac:dyDescent="0.3">
      <c r="B191" s="33"/>
      <c r="C191" s="34"/>
      <c r="D191" s="39"/>
      <c r="E191" s="39"/>
      <c r="F191" s="39"/>
      <c r="G191" s="34"/>
      <c r="H191" s="32"/>
      <c r="I191" s="34"/>
      <c r="J191" s="34"/>
      <c r="K191" s="35"/>
      <c r="L191" s="34"/>
      <c r="M191" s="32"/>
      <c r="N191" s="34"/>
      <c r="O191" s="34"/>
      <c r="P191" s="34"/>
    </row>
    <row r="192" spans="2:16" x14ac:dyDescent="0.3">
      <c r="B192" s="33"/>
      <c r="C192" s="34"/>
      <c r="D192" s="39"/>
      <c r="E192" s="39"/>
      <c r="F192" s="39"/>
      <c r="G192" s="34"/>
      <c r="H192" s="32"/>
      <c r="I192" s="34"/>
      <c r="J192" s="34"/>
      <c r="K192" s="35"/>
      <c r="L192" s="34"/>
      <c r="M192" s="32"/>
      <c r="N192" s="34"/>
      <c r="O192" s="34"/>
      <c r="P192" s="34"/>
    </row>
    <row r="193" spans="2:16" x14ac:dyDescent="0.3">
      <c r="B193" s="33"/>
      <c r="C193" s="34"/>
      <c r="D193" s="39"/>
      <c r="E193" s="39"/>
      <c r="F193" s="39"/>
      <c r="G193" s="34"/>
      <c r="H193" s="32"/>
      <c r="I193" s="34"/>
      <c r="J193" s="34"/>
      <c r="K193" s="35"/>
      <c r="L193" s="34"/>
      <c r="M193" s="32"/>
      <c r="N193" s="34"/>
      <c r="O193" s="34"/>
      <c r="P193" s="34"/>
    </row>
    <row r="194" spans="2:16" x14ac:dyDescent="0.3">
      <c r="B194" s="33"/>
      <c r="C194" s="34"/>
      <c r="D194" s="39"/>
      <c r="E194" s="39"/>
      <c r="F194" s="39"/>
      <c r="G194" s="34"/>
      <c r="H194" s="32"/>
      <c r="I194" s="34"/>
      <c r="J194" s="34"/>
      <c r="K194" s="35"/>
      <c r="L194" s="34"/>
      <c r="M194" s="32"/>
      <c r="N194" s="34"/>
      <c r="O194" s="34"/>
      <c r="P194" s="34"/>
    </row>
    <row r="195" spans="2:16" x14ac:dyDescent="0.3">
      <c r="B195" s="33"/>
      <c r="C195" s="34"/>
      <c r="D195" s="39"/>
      <c r="E195" s="39"/>
      <c r="F195" s="39"/>
      <c r="G195" s="34"/>
      <c r="H195" s="32"/>
      <c r="I195" s="34"/>
      <c r="J195" s="34"/>
      <c r="K195" s="35"/>
      <c r="L195" s="34"/>
      <c r="M195" s="32"/>
      <c r="N195" s="34"/>
      <c r="O195" s="34"/>
      <c r="P195" s="34"/>
    </row>
    <row r="196" spans="2:16" x14ac:dyDescent="0.3">
      <c r="B196" s="33"/>
      <c r="C196" s="34"/>
      <c r="D196" s="39"/>
      <c r="E196" s="39"/>
      <c r="F196" s="39"/>
      <c r="G196" s="34"/>
      <c r="H196" s="32"/>
      <c r="I196" s="34"/>
      <c r="J196" s="34"/>
      <c r="K196" s="35"/>
      <c r="L196" s="34"/>
      <c r="M196" s="32"/>
      <c r="N196" s="34"/>
      <c r="O196" s="34"/>
      <c r="P196" s="34"/>
    </row>
    <row r="197" spans="2:16" x14ac:dyDescent="0.3">
      <c r="B197" s="33"/>
      <c r="C197" s="34"/>
      <c r="D197" s="39"/>
      <c r="E197" s="39"/>
      <c r="F197" s="39"/>
      <c r="G197" s="34"/>
      <c r="H197" s="32"/>
      <c r="I197" s="34"/>
      <c r="J197" s="34"/>
      <c r="K197" s="35"/>
      <c r="L197" s="34"/>
      <c r="M197" s="32"/>
      <c r="N197" s="34"/>
      <c r="O197" s="34"/>
      <c r="P197" s="34"/>
    </row>
    <row r="198" spans="2:16" x14ac:dyDescent="0.3">
      <c r="B198" s="33"/>
      <c r="C198" s="34"/>
      <c r="D198" s="39"/>
      <c r="E198" s="39"/>
      <c r="F198" s="39"/>
      <c r="G198" s="34"/>
      <c r="H198" s="32"/>
      <c r="I198" s="34"/>
      <c r="J198" s="34"/>
      <c r="K198" s="35"/>
      <c r="L198" s="34"/>
      <c r="M198" s="32"/>
      <c r="N198" s="34"/>
      <c r="O198" s="34"/>
      <c r="P198" s="34"/>
    </row>
    <row r="199" spans="2:16" x14ac:dyDescent="0.3">
      <c r="B199" s="33"/>
      <c r="C199" s="34"/>
      <c r="D199" s="39"/>
      <c r="E199" s="39"/>
      <c r="F199" s="39"/>
      <c r="G199" s="34"/>
      <c r="H199" s="32"/>
      <c r="I199" s="34"/>
      <c r="J199" s="34"/>
      <c r="K199" s="35"/>
      <c r="L199" s="34"/>
      <c r="M199" s="32"/>
      <c r="N199" s="34"/>
      <c r="O199" s="34"/>
      <c r="P199" s="34"/>
    </row>
    <row r="200" spans="2:16" x14ac:dyDescent="0.3">
      <c r="B200" s="33"/>
      <c r="C200" s="34"/>
      <c r="D200" s="39"/>
      <c r="E200" s="39"/>
      <c r="F200" s="39"/>
      <c r="G200" s="34"/>
      <c r="H200" s="32"/>
      <c r="I200" s="34"/>
      <c r="J200" s="34"/>
      <c r="K200" s="35"/>
      <c r="L200" s="34"/>
      <c r="M200" s="32"/>
      <c r="N200" s="34"/>
      <c r="O200" s="34"/>
      <c r="P200" s="34"/>
    </row>
    <row r="201" spans="2:16" x14ac:dyDescent="0.3">
      <c r="B201" s="33"/>
      <c r="C201" s="34"/>
      <c r="D201" s="39"/>
      <c r="E201" s="39"/>
      <c r="F201" s="39"/>
      <c r="G201" s="34"/>
      <c r="H201" s="32"/>
      <c r="I201" s="34"/>
      <c r="J201" s="34"/>
      <c r="K201" s="35"/>
      <c r="L201" s="34"/>
      <c r="M201" s="32"/>
      <c r="N201" s="34"/>
      <c r="O201" s="34"/>
      <c r="P201" s="34"/>
    </row>
    <row r="202" spans="2:16" x14ac:dyDescent="0.3">
      <c r="B202" s="33"/>
      <c r="C202" s="34"/>
      <c r="D202" s="39"/>
      <c r="E202" s="39"/>
      <c r="F202" s="39"/>
      <c r="G202" s="34"/>
      <c r="H202" s="32"/>
      <c r="I202" s="34"/>
      <c r="J202" s="34"/>
      <c r="K202" s="35"/>
      <c r="L202" s="34"/>
      <c r="M202" s="32"/>
      <c r="N202" s="34"/>
      <c r="O202" s="34"/>
      <c r="P202" s="34"/>
    </row>
    <row r="203" spans="2:16" x14ac:dyDescent="0.3">
      <c r="B203" s="33"/>
      <c r="C203" s="34"/>
      <c r="D203" s="39"/>
      <c r="E203" s="39"/>
      <c r="F203" s="39"/>
      <c r="G203" s="34"/>
      <c r="H203" s="32"/>
      <c r="I203" s="34"/>
      <c r="J203" s="34"/>
      <c r="K203" s="35"/>
      <c r="L203" s="34"/>
      <c r="M203" s="32"/>
      <c r="N203" s="34"/>
      <c r="O203" s="34"/>
      <c r="P203" s="34"/>
    </row>
    <row r="204" spans="2:16" x14ac:dyDescent="0.3">
      <c r="B204" s="33"/>
      <c r="C204" s="34"/>
      <c r="D204" s="39"/>
      <c r="E204" s="39"/>
      <c r="F204" s="39"/>
      <c r="G204" s="34"/>
      <c r="H204" s="32"/>
      <c r="I204" s="34"/>
      <c r="J204" s="34"/>
      <c r="K204" s="35"/>
      <c r="L204" s="34"/>
      <c r="M204" s="32"/>
      <c r="N204" s="34"/>
      <c r="O204" s="34"/>
      <c r="P204" s="34"/>
    </row>
    <row r="205" spans="2:16" x14ac:dyDescent="0.3">
      <c r="B205" s="33"/>
      <c r="C205" s="34"/>
      <c r="D205" s="39"/>
      <c r="E205" s="39"/>
      <c r="F205" s="39"/>
      <c r="G205" s="34"/>
      <c r="H205" s="32"/>
      <c r="I205" s="34"/>
      <c r="J205" s="34"/>
      <c r="K205" s="35"/>
      <c r="L205" s="34"/>
      <c r="M205" s="32"/>
      <c r="N205" s="34"/>
      <c r="O205" s="34"/>
      <c r="P205" s="34"/>
    </row>
    <row r="206" spans="2:16" x14ac:dyDescent="0.3">
      <c r="B206" s="33"/>
      <c r="C206" s="34"/>
      <c r="D206" s="39"/>
      <c r="E206" s="39"/>
      <c r="F206" s="39"/>
      <c r="G206" s="34"/>
      <c r="H206" s="32"/>
      <c r="I206" s="34"/>
      <c r="J206" s="34"/>
      <c r="K206" s="35"/>
      <c r="L206" s="34"/>
      <c r="M206" s="32"/>
      <c r="N206" s="34"/>
      <c r="O206" s="34"/>
      <c r="P206" s="34"/>
    </row>
    <row r="207" spans="2:16" x14ac:dyDescent="0.3">
      <c r="B207" s="33"/>
      <c r="C207" s="34"/>
      <c r="D207" s="39"/>
      <c r="E207" s="39"/>
      <c r="F207" s="39"/>
      <c r="G207" s="34"/>
      <c r="H207" s="32"/>
      <c r="I207" s="34"/>
      <c r="J207" s="34"/>
      <c r="K207" s="35"/>
      <c r="L207" s="34"/>
      <c r="M207" s="32"/>
      <c r="N207" s="34"/>
      <c r="O207" s="34"/>
      <c r="P207" s="34"/>
    </row>
    <row r="208" spans="2:16" x14ac:dyDescent="0.3">
      <c r="B208" s="33"/>
      <c r="C208" s="34"/>
      <c r="D208" s="39"/>
      <c r="E208" s="39"/>
      <c r="F208" s="39"/>
      <c r="G208" s="34"/>
      <c r="H208" s="32"/>
      <c r="I208" s="34"/>
      <c r="J208" s="34"/>
      <c r="K208" s="35"/>
      <c r="L208" s="34"/>
      <c r="M208" s="32"/>
      <c r="N208" s="34"/>
      <c r="O208" s="34"/>
      <c r="P208" s="34"/>
    </row>
    <row r="209" spans="2:16" x14ac:dyDescent="0.3">
      <c r="B209" s="33"/>
      <c r="C209" s="34"/>
      <c r="D209" s="39"/>
      <c r="E209" s="39"/>
      <c r="F209" s="39"/>
      <c r="G209" s="34"/>
      <c r="H209" s="32"/>
      <c r="I209" s="34"/>
      <c r="J209" s="34"/>
      <c r="K209" s="35"/>
      <c r="L209" s="34"/>
      <c r="M209" s="32"/>
      <c r="N209" s="34"/>
      <c r="O209" s="34"/>
      <c r="P209" s="34"/>
    </row>
    <row r="210" spans="2:16" x14ac:dyDescent="0.3">
      <c r="B210" s="33"/>
      <c r="C210" s="34"/>
      <c r="D210" s="39"/>
      <c r="E210" s="39"/>
      <c r="F210" s="39"/>
      <c r="G210" s="34"/>
      <c r="H210" s="32"/>
      <c r="I210" s="34"/>
      <c r="J210" s="34"/>
      <c r="K210" s="35"/>
      <c r="L210" s="34"/>
      <c r="M210" s="32"/>
      <c r="N210" s="34"/>
      <c r="O210" s="34"/>
      <c r="P210" s="34"/>
    </row>
    <row r="211" spans="2:16" x14ac:dyDescent="0.3">
      <c r="B211" s="33"/>
      <c r="C211" s="34"/>
      <c r="D211" s="39"/>
      <c r="E211" s="39"/>
      <c r="F211" s="39"/>
      <c r="G211" s="34"/>
      <c r="H211" s="32"/>
      <c r="I211" s="34"/>
      <c r="J211" s="34"/>
      <c r="K211" s="35"/>
      <c r="L211" s="34"/>
      <c r="M211" s="32"/>
      <c r="N211" s="34"/>
      <c r="O211" s="34"/>
      <c r="P211" s="34"/>
    </row>
    <row r="212" spans="2:16" x14ac:dyDescent="0.3">
      <c r="B212" s="33"/>
      <c r="C212" s="34"/>
      <c r="D212" s="39"/>
      <c r="E212" s="39"/>
      <c r="F212" s="39"/>
      <c r="G212" s="34"/>
      <c r="H212" s="32"/>
      <c r="I212" s="34"/>
      <c r="J212" s="34"/>
      <c r="K212" s="35"/>
      <c r="L212" s="34"/>
      <c r="M212" s="32"/>
      <c r="N212" s="34"/>
      <c r="O212" s="34"/>
      <c r="P212" s="34"/>
    </row>
    <row r="213" spans="2:16" x14ac:dyDescent="0.3">
      <c r="B213" s="33"/>
      <c r="C213" s="34"/>
      <c r="D213" s="39"/>
      <c r="E213" s="39"/>
      <c r="F213" s="39"/>
      <c r="G213" s="34"/>
      <c r="H213" s="32"/>
      <c r="I213" s="34"/>
      <c r="J213" s="34"/>
      <c r="K213" s="35"/>
      <c r="L213" s="34"/>
      <c r="M213" s="32"/>
      <c r="N213" s="34"/>
      <c r="O213" s="34"/>
      <c r="P213" s="34"/>
    </row>
    <row r="214" spans="2:16" x14ac:dyDescent="0.3">
      <c r="B214" s="33"/>
      <c r="C214" s="34"/>
      <c r="D214" s="39"/>
      <c r="E214" s="39"/>
      <c r="F214" s="39"/>
      <c r="G214" s="34"/>
      <c r="H214" s="32"/>
      <c r="I214" s="34"/>
      <c r="J214" s="34"/>
      <c r="K214" s="35"/>
      <c r="L214" s="34"/>
      <c r="M214" s="32"/>
      <c r="N214" s="34"/>
      <c r="O214" s="34"/>
      <c r="P214" s="34"/>
    </row>
    <row r="215" spans="2:16" x14ac:dyDescent="0.3">
      <c r="B215" s="33"/>
      <c r="C215" s="34"/>
      <c r="D215" s="39"/>
      <c r="E215" s="39"/>
      <c r="F215" s="39"/>
      <c r="G215" s="34"/>
      <c r="H215" s="32"/>
      <c r="I215" s="34"/>
      <c r="J215" s="34"/>
      <c r="K215" s="35"/>
      <c r="L215" s="34"/>
      <c r="M215" s="32"/>
      <c r="N215" s="34"/>
      <c r="O215" s="34"/>
      <c r="P215" s="34"/>
    </row>
    <row r="216" spans="2:16" x14ac:dyDescent="0.3">
      <c r="B216" s="33"/>
      <c r="C216" s="34"/>
      <c r="D216" s="39"/>
      <c r="E216" s="39"/>
      <c r="F216" s="39"/>
      <c r="G216" s="34"/>
      <c r="H216" s="32"/>
      <c r="I216" s="34"/>
      <c r="J216" s="34"/>
      <c r="K216" s="35"/>
      <c r="L216" s="34"/>
      <c r="M216" s="32"/>
      <c r="N216" s="34"/>
      <c r="O216" s="34"/>
      <c r="P216" s="34"/>
    </row>
    <row r="217" spans="2:16" x14ac:dyDescent="0.3">
      <c r="B217" s="33"/>
      <c r="C217" s="34"/>
      <c r="D217" s="39"/>
      <c r="E217" s="39"/>
      <c r="F217" s="39"/>
      <c r="G217" s="34"/>
      <c r="H217" s="32"/>
      <c r="I217" s="34"/>
      <c r="J217" s="34"/>
      <c r="K217" s="35"/>
      <c r="L217" s="34"/>
      <c r="M217" s="32"/>
      <c r="N217" s="34"/>
      <c r="O217" s="34"/>
      <c r="P217" s="34"/>
    </row>
    <row r="218" spans="2:16" x14ac:dyDescent="0.3">
      <c r="B218" s="33"/>
      <c r="C218" s="34"/>
      <c r="D218" s="39"/>
      <c r="E218" s="39"/>
      <c r="F218" s="39"/>
      <c r="G218" s="34"/>
      <c r="H218" s="32"/>
      <c r="I218" s="34"/>
      <c r="J218" s="34"/>
      <c r="K218" s="35"/>
      <c r="L218" s="34"/>
      <c r="M218" s="32"/>
      <c r="N218" s="34"/>
      <c r="O218" s="34"/>
      <c r="P218" s="34"/>
    </row>
    <row r="219" spans="2:16" x14ac:dyDescent="0.3">
      <c r="B219" s="33"/>
      <c r="C219" s="34"/>
      <c r="D219" s="39"/>
      <c r="E219" s="39"/>
      <c r="F219" s="39"/>
      <c r="G219" s="34"/>
      <c r="H219" s="32"/>
      <c r="I219" s="34"/>
      <c r="J219" s="34"/>
      <c r="K219" s="35"/>
      <c r="L219" s="34"/>
      <c r="M219" s="32"/>
      <c r="N219" s="34"/>
      <c r="O219" s="34"/>
      <c r="P219" s="34"/>
    </row>
    <row r="220" spans="2:16" x14ac:dyDescent="0.3">
      <c r="B220" s="33"/>
      <c r="C220" s="34"/>
      <c r="D220" s="39"/>
      <c r="E220" s="39"/>
      <c r="F220" s="39"/>
      <c r="G220" s="34"/>
      <c r="H220" s="32"/>
      <c r="I220" s="34"/>
      <c r="J220" s="34"/>
      <c r="K220" s="35"/>
      <c r="L220" s="34"/>
      <c r="M220" s="32"/>
      <c r="N220" s="34"/>
      <c r="O220" s="34"/>
      <c r="P220" s="34"/>
    </row>
    <row r="221" spans="2:16" x14ac:dyDescent="0.3">
      <c r="B221" s="33"/>
      <c r="C221" s="34"/>
      <c r="D221" s="39"/>
      <c r="E221" s="39"/>
      <c r="F221" s="39"/>
      <c r="G221" s="34"/>
      <c r="H221" s="32"/>
      <c r="I221" s="34"/>
      <c r="J221" s="34"/>
      <c r="K221" s="35"/>
      <c r="L221" s="34"/>
      <c r="M221" s="32"/>
      <c r="N221" s="34"/>
      <c r="O221" s="34"/>
      <c r="P221" s="34"/>
    </row>
    <row r="222" spans="2:16" x14ac:dyDescent="0.3">
      <c r="B222" s="33"/>
      <c r="C222" s="34"/>
      <c r="D222" s="39"/>
      <c r="E222" s="39"/>
      <c r="F222" s="39"/>
      <c r="G222" s="34"/>
      <c r="H222" s="32"/>
      <c r="I222" s="34"/>
      <c r="J222" s="34"/>
      <c r="K222" s="35"/>
      <c r="L222" s="34"/>
      <c r="M222" s="32"/>
      <c r="N222" s="34"/>
      <c r="O222" s="34"/>
      <c r="P222" s="34"/>
    </row>
    <row r="223" spans="2:16" x14ac:dyDescent="0.3">
      <c r="B223" s="33"/>
      <c r="C223" s="34"/>
      <c r="D223" s="39"/>
      <c r="E223" s="39"/>
      <c r="F223" s="39"/>
      <c r="G223" s="34"/>
      <c r="H223" s="32"/>
      <c r="I223" s="34"/>
      <c r="J223" s="34"/>
      <c r="K223" s="35"/>
      <c r="L223" s="34"/>
      <c r="M223" s="32"/>
      <c r="N223" s="34"/>
      <c r="O223" s="34"/>
      <c r="P223" s="34"/>
    </row>
    <row r="224" spans="2:16" x14ac:dyDescent="0.3">
      <c r="B224" s="33"/>
      <c r="C224" s="34"/>
      <c r="D224" s="39"/>
      <c r="E224" s="39"/>
      <c r="F224" s="39"/>
      <c r="G224" s="34"/>
      <c r="H224" s="32"/>
      <c r="I224" s="34"/>
      <c r="J224" s="34"/>
      <c r="K224" s="35"/>
      <c r="L224" s="34"/>
      <c r="M224" s="32"/>
      <c r="N224" s="34"/>
      <c r="O224" s="34"/>
      <c r="P224" s="34"/>
    </row>
    <row r="225" spans="2:16" x14ac:dyDescent="0.3">
      <c r="B225" s="33"/>
      <c r="C225" s="34"/>
      <c r="D225" s="39"/>
      <c r="E225" s="39"/>
      <c r="F225" s="39"/>
      <c r="G225" s="34"/>
      <c r="H225" s="32"/>
      <c r="I225" s="34"/>
      <c r="J225" s="34"/>
      <c r="K225" s="35"/>
      <c r="L225" s="34"/>
      <c r="M225" s="32"/>
      <c r="N225" s="34"/>
      <c r="O225" s="34"/>
      <c r="P225" s="34"/>
    </row>
    <row r="226" spans="2:16" x14ac:dyDescent="0.3">
      <c r="B226" s="33"/>
      <c r="C226" s="34"/>
      <c r="D226" s="39"/>
      <c r="E226" s="39"/>
      <c r="F226" s="39"/>
      <c r="G226" s="34"/>
      <c r="H226" s="32"/>
      <c r="I226" s="34"/>
      <c r="J226" s="34"/>
      <c r="K226" s="35"/>
      <c r="L226" s="34"/>
      <c r="M226" s="32"/>
      <c r="N226" s="34"/>
      <c r="O226" s="34"/>
      <c r="P226" s="34"/>
    </row>
    <row r="227" spans="2:16" x14ac:dyDescent="0.3">
      <c r="B227" s="33"/>
      <c r="C227" s="34"/>
      <c r="D227" s="39"/>
      <c r="E227" s="39"/>
      <c r="F227" s="39"/>
      <c r="G227" s="34"/>
      <c r="H227" s="32"/>
      <c r="I227" s="34"/>
      <c r="J227" s="34"/>
      <c r="K227" s="35"/>
      <c r="L227" s="34"/>
      <c r="M227" s="32"/>
      <c r="N227" s="34"/>
      <c r="O227" s="34"/>
      <c r="P227" s="34"/>
    </row>
    <row r="228" spans="2:16" x14ac:dyDescent="0.3">
      <c r="B228" s="33"/>
      <c r="C228" s="34"/>
      <c r="D228" s="39"/>
      <c r="E228" s="39"/>
      <c r="F228" s="39"/>
      <c r="G228" s="34"/>
      <c r="H228" s="32"/>
      <c r="I228" s="34"/>
      <c r="J228" s="34"/>
      <c r="K228" s="35"/>
      <c r="L228" s="34"/>
      <c r="M228" s="32"/>
      <c r="N228" s="34"/>
      <c r="O228" s="34"/>
      <c r="P228" s="34"/>
    </row>
    <row r="229" spans="2:16" x14ac:dyDescent="0.3">
      <c r="B229" s="33"/>
      <c r="C229" s="34"/>
      <c r="D229" s="39"/>
      <c r="E229" s="39"/>
      <c r="F229" s="39"/>
      <c r="G229" s="34"/>
      <c r="H229" s="32"/>
      <c r="I229" s="34"/>
      <c r="J229" s="34"/>
      <c r="K229" s="35"/>
      <c r="L229" s="34"/>
      <c r="M229" s="32"/>
      <c r="N229" s="34"/>
      <c r="O229" s="34"/>
      <c r="P229" s="34"/>
    </row>
    <row r="230" spans="2:16" x14ac:dyDescent="0.3">
      <c r="B230" s="33"/>
      <c r="C230" s="34"/>
      <c r="D230" s="39"/>
      <c r="E230" s="39"/>
      <c r="F230" s="39"/>
      <c r="G230" s="34"/>
      <c r="H230" s="32"/>
      <c r="I230" s="34"/>
      <c r="J230" s="34"/>
      <c r="K230" s="35"/>
      <c r="L230" s="34"/>
      <c r="M230" s="32"/>
      <c r="N230" s="34"/>
      <c r="O230" s="34"/>
      <c r="P230" s="34"/>
    </row>
    <row r="231" spans="2:16" x14ac:dyDescent="0.3">
      <c r="B231" s="33"/>
      <c r="C231" s="34"/>
      <c r="D231" s="39"/>
      <c r="E231" s="39"/>
      <c r="F231" s="39"/>
      <c r="G231" s="34"/>
      <c r="H231" s="32"/>
      <c r="I231" s="34"/>
      <c r="J231" s="34"/>
      <c r="K231" s="35"/>
      <c r="L231" s="34"/>
      <c r="M231" s="32"/>
      <c r="N231" s="34"/>
      <c r="O231" s="34"/>
      <c r="P231" s="34"/>
    </row>
    <row r="232" spans="2:16" x14ac:dyDescent="0.3">
      <c r="B232" s="33"/>
      <c r="C232" s="34"/>
      <c r="D232" s="39"/>
      <c r="E232" s="39"/>
      <c r="F232" s="39"/>
      <c r="G232" s="34"/>
      <c r="H232" s="32"/>
      <c r="I232" s="34"/>
      <c r="J232" s="34"/>
      <c r="K232" s="35"/>
      <c r="L232" s="34"/>
      <c r="M232" s="32"/>
      <c r="N232" s="34"/>
      <c r="O232" s="34"/>
      <c r="P232" s="34"/>
    </row>
    <row r="233" spans="2:16" x14ac:dyDescent="0.3">
      <c r="B233" s="33"/>
      <c r="C233" s="34"/>
      <c r="D233" s="39"/>
      <c r="E233" s="39"/>
      <c r="F233" s="39"/>
      <c r="G233" s="34"/>
      <c r="H233" s="32"/>
      <c r="I233" s="34"/>
      <c r="J233" s="34"/>
      <c r="K233" s="35"/>
      <c r="L233" s="34"/>
      <c r="M233" s="32"/>
      <c r="N233" s="34"/>
      <c r="O233" s="34"/>
      <c r="P233" s="34"/>
    </row>
    <row r="234" spans="2:16" x14ac:dyDescent="0.3">
      <c r="B234" s="33"/>
      <c r="C234" s="34"/>
      <c r="D234" s="39"/>
      <c r="E234" s="39"/>
      <c r="F234" s="39"/>
      <c r="G234" s="34"/>
      <c r="H234" s="32"/>
      <c r="I234" s="34"/>
      <c r="J234" s="34"/>
      <c r="K234" s="35"/>
      <c r="L234" s="34"/>
      <c r="M234" s="32"/>
      <c r="N234" s="34"/>
      <c r="O234" s="34"/>
      <c r="P234" s="34"/>
    </row>
    <row r="235" spans="2:16" x14ac:dyDescent="0.3">
      <c r="B235" s="33"/>
      <c r="C235" s="34"/>
      <c r="D235" s="39"/>
      <c r="E235" s="39"/>
      <c r="F235" s="39"/>
      <c r="G235" s="34"/>
      <c r="H235" s="32"/>
      <c r="I235" s="34"/>
      <c r="J235" s="34"/>
      <c r="K235" s="35"/>
      <c r="L235" s="34"/>
      <c r="M235" s="32"/>
      <c r="N235" s="34"/>
      <c r="O235" s="34"/>
      <c r="P235" s="34"/>
    </row>
    <row r="236" spans="2:16" x14ac:dyDescent="0.3">
      <c r="B236" s="33"/>
      <c r="C236" s="34"/>
      <c r="D236" s="39"/>
      <c r="E236" s="39"/>
      <c r="F236" s="39"/>
      <c r="G236" s="34"/>
      <c r="H236" s="32"/>
      <c r="I236" s="34"/>
      <c r="J236" s="34"/>
      <c r="K236" s="35"/>
      <c r="L236" s="34"/>
      <c r="M236" s="32"/>
      <c r="N236" s="34"/>
      <c r="O236" s="34"/>
      <c r="P236" s="34"/>
    </row>
    <row r="237" spans="2:16" x14ac:dyDescent="0.3">
      <c r="B237" s="33"/>
      <c r="C237" s="34"/>
      <c r="D237" s="39"/>
      <c r="E237" s="39"/>
      <c r="F237" s="39"/>
      <c r="G237" s="34"/>
      <c r="H237" s="32"/>
      <c r="I237" s="34"/>
      <c r="J237" s="34"/>
      <c r="K237" s="35"/>
      <c r="L237" s="34"/>
      <c r="M237" s="32"/>
      <c r="N237" s="34"/>
      <c r="O237" s="34"/>
      <c r="P237" s="34"/>
    </row>
    <row r="238" spans="2:16" x14ac:dyDescent="0.3">
      <c r="B238" s="33"/>
      <c r="C238" s="34"/>
      <c r="D238" s="39"/>
      <c r="E238" s="39"/>
      <c r="F238" s="39"/>
      <c r="G238" s="34"/>
      <c r="H238" s="32"/>
      <c r="I238" s="34"/>
      <c r="J238" s="34"/>
      <c r="K238" s="35"/>
      <c r="L238" s="34"/>
      <c r="M238" s="32"/>
      <c r="N238" s="34"/>
      <c r="O238" s="34"/>
      <c r="P238" s="34"/>
    </row>
    <row r="239" spans="2:16" x14ac:dyDescent="0.3">
      <c r="B239" s="33"/>
      <c r="C239" s="34"/>
      <c r="D239" s="39"/>
      <c r="E239" s="39"/>
      <c r="F239" s="39"/>
      <c r="G239" s="34"/>
      <c r="H239" s="32"/>
      <c r="I239" s="34"/>
      <c r="J239" s="34"/>
      <c r="K239" s="35"/>
      <c r="L239" s="34"/>
      <c r="M239" s="32"/>
      <c r="N239" s="34"/>
      <c r="O239" s="34"/>
      <c r="P239" s="34"/>
    </row>
    <row r="240" spans="2:16" x14ac:dyDescent="0.3">
      <c r="B240" s="33"/>
      <c r="C240" s="34"/>
      <c r="D240" s="39"/>
      <c r="E240" s="39"/>
      <c r="F240" s="39"/>
      <c r="G240" s="34"/>
      <c r="H240" s="32"/>
      <c r="I240" s="34"/>
      <c r="J240" s="34"/>
      <c r="K240" s="35"/>
      <c r="L240" s="34"/>
      <c r="M240" s="32"/>
      <c r="N240" s="34"/>
      <c r="O240" s="34"/>
      <c r="P240" s="34"/>
    </row>
    <row r="241" spans="2:16" x14ac:dyDescent="0.3">
      <c r="B241" s="33"/>
      <c r="C241" s="34"/>
      <c r="D241" s="39"/>
      <c r="E241" s="39"/>
      <c r="F241" s="39"/>
      <c r="G241" s="34"/>
      <c r="H241" s="32"/>
      <c r="I241" s="34"/>
      <c r="J241" s="34"/>
      <c r="K241" s="35"/>
      <c r="L241" s="34"/>
      <c r="M241" s="32"/>
      <c r="N241" s="34"/>
      <c r="O241" s="34"/>
      <c r="P241" s="34"/>
    </row>
    <row r="242" spans="2:16" x14ac:dyDescent="0.3">
      <c r="B242" s="33"/>
      <c r="C242" s="34"/>
      <c r="D242" s="39"/>
      <c r="E242" s="39"/>
      <c r="F242" s="39"/>
      <c r="G242" s="34"/>
      <c r="H242" s="32"/>
      <c r="I242" s="34"/>
      <c r="J242" s="34"/>
      <c r="K242" s="35"/>
      <c r="L242" s="34"/>
      <c r="M242" s="32"/>
      <c r="N242" s="34"/>
      <c r="O242" s="34"/>
      <c r="P242" s="34"/>
    </row>
    <row r="243" spans="2:16" x14ac:dyDescent="0.3">
      <c r="B243" s="33"/>
      <c r="C243" s="34"/>
      <c r="D243" s="39"/>
      <c r="E243" s="39"/>
      <c r="F243" s="39"/>
      <c r="G243" s="34"/>
      <c r="H243" s="32"/>
      <c r="I243" s="34"/>
      <c r="J243" s="34"/>
      <c r="K243" s="35"/>
      <c r="L243" s="34"/>
      <c r="M243" s="32"/>
      <c r="N243" s="34"/>
      <c r="O243" s="34"/>
      <c r="P243" s="34"/>
    </row>
    <row r="244" spans="2:16" x14ac:dyDescent="0.3">
      <c r="B244" s="33"/>
      <c r="C244" s="34"/>
      <c r="D244" s="39"/>
      <c r="E244" s="39"/>
      <c r="F244" s="39"/>
      <c r="G244" s="34"/>
      <c r="H244" s="32"/>
      <c r="I244" s="34"/>
      <c r="J244" s="34"/>
      <c r="K244" s="35"/>
      <c r="L244" s="34"/>
      <c r="M244" s="32"/>
      <c r="N244" s="34"/>
      <c r="O244" s="34"/>
      <c r="P244" s="34"/>
    </row>
    <row r="245" spans="2:16" x14ac:dyDescent="0.3">
      <c r="B245" s="33"/>
      <c r="C245" s="34"/>
      <c r="D245" s="39"/>
      <c r="E245" s="39"/>
      <c r="F245" s="39"/>
      <c r="G245" s="34"/>
      <c r="H245" s="32"/>
      <c r="I245" s="34"/>
      <c r="J245" s="34"/>
      <c r="K245" s="35"/>
      <c r="L245" s="34"/>
      <c r="M245" s="32"/>
      <c r="N245" s="34"/>
      <c r="O245" s="34"/>
      <c r="P245" s="34"/>
    </row>
    <row r="246" spans="2:16" x14ac:dyDescent="0.3">
      <c r="B246" s="33"/>
      <c r="C246" s="34"/>
      <c r="D246" s="39"/>
      <c r="E246" s="39"/>
      <c r="F246" s="39"/>
      <c r="G246" s="34"/>
      <c r="H246" s="32"/>
      <c r="I246" s="34"/>
      <c r="J246" s="34"/>
      <c r="K246" s="35"/>
      <c r="L246" s="34"/>
      <c r="M246" s="32"/>
      <c r="N246" s="34"/>
      <c r="O246" s="34"/>
      <c r="P246" s="34"/>
    </row>
    <row r="247" spans="2:16" x14ac:dyDescent="0.3">
      <c r="B247" s="33"/>
      <c r="C247" s="34"/>
      <c r="D247" s="39"/>
      <c r="E247" s="39"/>
      <c r="F247" s="39"/>
      <c r="G247" s="34"/>
      <c r="H247" s="32"/>
      <c r="I247" s="34"/>
      <c r="J247" s="34"/>
      <c r="K247" s="35"/>
      <c r="L247" s="34"/>
      <c r="M247" s="32"/>
      <c r="N247" s="34"/>
      <c r="O247" s="34"/>
      <c r="P247" s="34"/>
    </row>
    <row r="248" spans="2:16" x14ac:dyDescent="0.3">
      <c r="B248" s="33"/>
      <c r="C248" s="34"/>
      <c r="D248" s="39"/>
      <c r="E248" s="39"/>
      <c r="F248" s="39"/>
      <c r="G248" s="34"/>
      <c r="H248" s="32"/>
      <c r="I248" s="34"/>
      <c r="J248" s="34"/>
      <c r="K248" s="35"/>
      <c r="L248" s="34"/>
      <c r="M248" s="32"/>
      <c r="N248" s="34"/>
      <c r="O248" s="34"/>
      <c r="P248" s="34"/>
    </row>
    <row r="249" spans="2:16" x14ac:dyDescent="0.3">
      <c r="B249" s="33"/>
      <c r="C249" s="34"/>
      <c r="D249" s="39"/>
      <c r="E249" s="39"/>
      <c r="F249" s="39"/>
      <c r="G249" s="34"/>
      <c r="H249" s="32"/>
      <c r="I249" s="34"/>
      <c r="J249" s="34"/>
      <c r="K249" s="35"/>
      <c r="L249" s="34"/>
      <c r="M249" s="32"/>
      <c r="N249" s="34"/>
      <c r="O249" s="34"/>
      <c r="P249" s="34"/>
    </row>
    <row r="250" spans="2:16" x14ac:dyDescent="0.3">
      <c r="B250" s="33"/>
      <c r="C250" s="34"/>
      <c r="D250" s="39"/>
      <c r="E250" s="39"/>
      <c r="F250" s="39"/>
      <c r="G250" s="34"/>
      <c r="H250" s="32"/>
      <c r="I250" s="34"/>
      <c r="J250" s="34"/>
      <c r="K250" s="35"/>
      <c r="L250" s="34"/>
      <c r="M250" s="32"/>
      <c r="N250" s="34"/>
      <c r="O250" s="34"/>
      <c r="P250" s="34"/>
    </row>
    <row r="251" spans="2:16" x14ac:dyDescent="0.3">
      <c r="B251" s="33"/>
      <c r="C251" s="34"/>
      <c r="D251" s="39"/>
      <c r="E251" s="39"/>
      <c r="F251" s="39"/>
      <c r="G251" s="34"/>
      <c r="H251" s="32"/>
      <c r="I251" s="34"/>
      <c r="J251" s="34"/>
      <c r="K251" s="35"/>
      <c r="L251" s="34"/>
      <c r="M251" s="32"/>
      <c r="N251" s="34"/>
      <c r="O251" s="34"/>
      <c r="P251" s="34"/>
    </row>
    <row r="252" spans="2:16" x14ac:dyDescent="0.3">
      <c r="B252" s="33"/>
      <c r="C252" s="34"/>
      <c r="D252" s="39"/>
      <c r="E252" s="39"/>
      <c r="F252" s="39"/>
      <c r="G252" s="34"/>
      <c r="H252" s="34"/>
      <c r="I252" s="34"/>
      <c r="J252" s="34"/>
      <c r="K252" s="35"/>
      <c r="L252" s="34"/>
      <c r="M252" s="32"/>
      <c r="N252" s="34"/>
      <c r="O252" s="34"/>
      <c r="P252" s="34"/>
    </row>
    <row r="253" spans="2:16" x14ac:dyDescent="0.3">
      <c r="B253" s="33"/>
      <c r="C253" s="34"/>
      <c r="D253" s="39"/>
      <c r="E253" s="39"/>
      <c r="F253" s="39"/>
      <c r="G253" s="34"/>
      <c r="H253" s="34"/>
      <c r="I253" s="34"/>
      <c r="J253" s="34"/>
      <c r="K253" s="35"/>
      <c r="L253" s="34"/>
      <c r="M253" s="32"/>
      <c r="N253" s="34"/>
      <c r="O253" s="34"/>
      <c r="P253" s="34"/>
    </row>
    <row r="254" spans="2:16" x14ac:dyDescent="0.3">
      <c r="B254" s="33"/>
      <c r="C254" s="34"/>
      <c r="D254" s="39"/>
      <c r="E254" s="39"/>
      <c r="F254" s="39"/>
      <c r="G254" s="34"/>
      <c r="H254" s="34"/>
      <c r="I254" s="34"/>
      <c r="J254" s="34"/>
      <c r="K254" s="35"/>
      <c r="L254" s="34"/>
      <c r="M254" s="32"/>
      <c r="N254" s="34"/>
      <c r="O254" s="34"/>
      <c r="P254" s="34"/>
    </row>
    <row r="255" spans="2:16" x14ac:dyDescent="0.3">
      <c r="B255" s="33"/>
      <c r="C255" s="34"/>
      <c r="D255" s="39"/>
      <c r="E255" s="39"/>
      <c r="F255" s="39"/>
      <c r="G255" s="34"/>
      <c r="H255" s="34"/>
      <c r="I255" s="34"/>
      <c r="J255" s="34"/>
      <c r="K255" s="35"/>
      <c r="L255" s="34"/>
      <c r="M255" s="32"/>
      <c r="N255" s="34"/>
      <c r="O255" s="34"/>
      <c r="P255" s="34"/>
    </row>
    <row r="256" spans="2:16" x14ac:dyDescent="0.3">
      <c r="B256" s="33"/>
      <c r="C256" s="34"/>
      <c r="D256" s="39"/>
      <c r="E256" s="39"/>
      <c r="F256" s="39"/>
      <c r="G256" s="34"/>
      <c r="H256" s="34"/>
      <c r="I256" s="34"/>
      <c r="J256" s="34"/>
      <c r="K256" s="35"/>
      <c r="L256" s="34"/>
      <c r="M256" s="32"/>
      <c r="N256" s="34"/>
      <c r="O256" s="34"/>
      <c r="P256" s="34"/>
    </row>
    <row r="257" spans="2:16" x14ac:dyDescent="0.3">
      <c r="B257" s="33"/>
      <c r="C257" s="34"/>
      <c r="D257" s="39"/>
      <c r="E257" s="39"/>
      <c r="F257" s="39"/>
      <c r="G257" s="34"/>
      <c r="H257" s="34"/>
      <c r="I257" s="34"/>
      <c r="J257" s="34"/>
      <c r="K257" s="35"/>
      <c r="L257" s="34"/>
      <c r="M257" s="32"/>
      <c r="N257" s="34"/>
      <c r="O257" s="34"/>
      <c r="P257" s="34"/>
    </row>
    <row r="258" spans="2:16" x14ac:dyDescent="0.3">
      <c r="B258" s="33"/>
      <c r="C258" s="34"/>
      <c r="D258" s="39"/>
      <c r="E258" s="39"/>
      <c r="F258" s="39"/>
      <c r="G258" s="34"/>
      <c r="H258" s="34"/>
      <c r="I258" s="34"/>
      <c r="J258" s="34"/>
      <c r="K258" s="35"/>
      <c r="L258" s="34"/>
      <c r="M258" s="32"/>
      <c r="N258" s="34"/>
      <c r="O258" s="34"/>
      <c r="P258" s="34"/>
    </row>
    <row r="259" spans="2:16" x14ac:dyDescent="0.3">
      <c r="B259" s="33"/>
      <c r="C259" s="34"/>
      <c r="D259" s="39"/>
      <c r="E259" s="39"/>
      <c r="F259" s="39"/>
      <c r="G259" s="34"/>
      <c r="H259" s="34"/>
      <c r="I259" s="34"/>
      <c r="J259" s="34"/>
      <c r="K259" s="35"/>
      <c r="L259" s="34"/>
      <c r="M259" s="32"/>
      <c r="N259" s="34"/>
      <c r="O259" s="34"/>
      <c r="P259" s="34"/>
    </row>
    <row r="260" spans="2:16" x14ac:dyDescent="0.3">
      <c r="B260" s="33"/>
      <c r="C260" s="34"/>
      <c r="D260" s="39"/>
      <c r="E260" s="39"/>
      <c r="F260" s="39"/>
      <c r="G260" s="34"/>
      <c r="H260" s="34"/>
      <c r="I260" s="34"/>
      <c r="J260" s="34"/>
      <c r="K260" s="35"/>
      <c r="L260" s="34"/>
      <c r="M260" s="32"/>
      <c r="N260" s="34"/>
      <c r="O260" s="34"/>
      <c r="P260" s="34"/>
    </row>
    <row r="261" spans="2:16" x14ac:dyDescent="0.3">
      <c r="B261" s="33"/>
      <c r="C261" s="34"/>
      <c r="D261" s="39"/>
      <c r="E261" s="39"/>
      <c r="F261" s="39"/>
      <c r="G261" s="34"/>
      <c r="H261" s="34"/>
      <c r="I261" s="34"/>
      <c r="J261" s="34"/>
      <c r="K261" s="35"/>
      <c r="L261" s="34"/>
      <c r="M261" s="32"/>
      <c r="N261" s="34"/>
      <c r="O261" s="34"/>
      <c r="P261" s="34"/>
    </row>
    <row r="262" spans="2:16" x14ac:dyDescent="0.3">
      <c r="B262" s="33"/>
      <c r="C262" s="34"/>
      <c r="D262" s="39"/>
      <c r="E262" s="39"/>
      <c r="F262" s="39"/>
      <c r="G262" s="34"/>
      <c r="H262" s="34"/>
      <c r="I262" s="34"/>
      <c r="J262" s="34"/>
      <c r="K262" s="35"/>
      <c r="L262" s="34"/>
      <c r="M262" s="32"/>
      <c r="N262" s="34"/>
      <c r="O262" s="34"/>
      <c r="P262" s="34"/>
    </row>
    <row r="263" spans="2:16" x14ac:dyDescent="0.3">
      <c r="B263" s="33"/>
      <c r="C263" s="34"/>
      <c r="D263" s="39"/>
      <c r="E263" s="39"/>
      <c r="F263" s="39"/>
      <c r="G263" s="34"/>
      <c r="H263" s="34"/>
      <c r="I263" s="34"/>
      <c r="J263" s="34"/>
      <c r="K263" s="35"/>
      <c r="L263" s="34"/>
      <c r="M263" s="32"/>
      <c r="N263" s="34"/>
      <c r="O263" s="34"/>
      <c r="P263" s="34"/>
    </row>
    <row r="264" spans="2:16" x14ac:dyDescent="0.3">
      <c r="B264" s="33"/>
      <c r="C264" s="34"/>
      <c r="D264" s="39"/>
      <c r="E264" s="39"/>
      <c r="F264" s="39"/>
      <c r="G264" s="34"/>
      <c r="H264" s="34"/>
      <c r="I264" s="34"/>
      <c r="J264" s="34"/>
      <c r="K264" s="35"/>
      <c r="L264" s="34"/>
      <c r="M264" s="32"/>
      <c r="N264" s="34"/>
      <c r="O264" s="34"/>
      <c r="P264" s="34"/>
    </row>
    <row r="265" spans="2:16" x14ac:dyDescent="0.3">
      <c r="B265" s="33"/>
      <c r="C265" s="34"/>
      <c r="D265" s="34"/>
      <c r="E265" s="34"/>
      <c r="F265" s="34"/>
      <c r="G265" s="34"/>
      <c r="H265" s="34"/>
      <c r="I265" s="34"/>
      <c r="J265" s="34"/>
      <c r="K265" s="35"/>
      <c r="L265" s="34"/>
      <c r="M265" s="32"/>
      <c r="N265" s="34"/>
      <c r="O265" s="34"/>
      <c r="P265" s="34"/>
    </row>
    <row r="266" spans="2:16" x14ac:dyDescent="0.3">
      <c r="B266" s="33"/>
      <c r="C266" s="34"/>
      <c r="D266" s="34"/>
      <c r="E266" s="34"/>
      <c r="F266" s="34"/>
      <c r="G266" s="34"/>
      <c r="H266" s="34"/>
      <c r="I266" s="34"/>
      <c r="J266" s="34"/>
      <c r="K266" s="35"/>
      <c r="L266" s="34"/>
      <c r="M266" s="32"/>
      <c r="N266" s="34"/>
      <c r="O266" s="34"/>
      <c r="P266" s="34"/>
    </row>
    <row r="267" spans="2:16" x14ac:dyDescent="0.3">
      <c r="B267" s="33"/>
      <c r="C267" s="34"/>
      <c r="D267" s="34"/>
      <c r="E267" s="34"/>
      <c r="F267" s="34"/>
      <c r="G267" s="34"/>
      <c r="H267" s="34"/>
      <c r="I267" s="34"/>
      <c r="J267" s="34"/>
      <c r="K267" s="35"/>
      <c r="L267" s="34"/>
      <c r="M267" s="32"/>
      <c r="N267" s="34"/>
      <c r="O267" s="34"/>
      <c r="P267" s="34"/>
    </row>
    <row r="268" spans="2:16" x14ac:dyDescent="0.3">
      <c r="B268" s="33"/>
      <c r="C268" s="34"/>
      <c r="D268" s="34"/>
      <c r="E268" s="34"/>
      <c r="F268" s="34"/>
      <c r="G268" s="34"/>
      <c r="H268" s="34"/>
      <c r="I268" s="34"/>
      <c r="J268" s="34"/>
      <c r="K268" s="35"/>
      <c r="L268" s="34"/>
      <c r="M268" s="32"/>
      <c r="N268" s="34"/>
      <c r="O268" s="34"/>
      <c r="P268" s="34"/>
    </row>
    <row r="269" spans="2:16" x14ac:dyDescent="0.3">
      <c r="B269" s="33"/>
      <c r="C269" s="34"/>
      <c r="D269" s="34"/>
      <c r="E269" s="34"/>
      <c r="F269" s="34"/>
      <c r="G269" s="34"/>
      <c r="H269" s="34"/>
      <c r="I269" s="34"/>
      <c r="J269" s="34"/>
      <c r="K269" s="35"/>
      <c r="L269" s="34"/>
      <c r="M269" s="32"/>
      <c r="N269" s="34"/>
      <c r="O269" s="34"/>
      <c r="P269" s="34"/>
    </row>
    <row r="270" spans="2:16" x14ac:dyDescent="0.3">
      <c r="B270" s="33"/>
      <c r="C270" s="34"/>
      <c r="D270" s="34"/>
      <c r="E270" s="34"/>
      <c r="F270" s="34"/>
      <c r="G270" s="34"/>
      <c r="H270" s="34"/>
      <c r="I270" s="34"/>
      <c r="J270" s="34"/>
      <c r="K270" s="35"/>
      <c r="L270" s="34"/>
      <c r="M270" s="32"/>
      <c r="N270" s="34"/>
      <c r="O270" s="34"/>
      <c r="P270" s="34"/>
    </row>
    <row r="271" spans="2:16" x14ac:dyDescent="0.3">
      <c r="B271" s="33"/>
      <c r="C271" s="34"/>
      <c r="D271" s="34"/>
      <c r="E271" s="34"/>
      <c r="F271" s="34"/>
      <c r="G271" s="34"/>
      <c r="H271" s="34"/>
      <c r="I271" s="34"/>
      <c r="J271" s="34"/>
      <c r="K271" s="35"/>
      <c r="L271" s="34"/>
      <c r="M271" s="32"/>
      <c r="N271" s="34"/>
      <c r="O271" s="34"/>
      <c r="P271" s="34"/>
    </row>
    <row r="272" spans="2:16" x14ac:dyDescent="0.3">
      <c r="B272" s="33"/>
      <c r="C272" s="34"/>
      <c r="D272" s="34"/>
      <c r="E272" s="34"/>
      <c r="F272" s="34"/>
      <c r="G272" s="34"/>
      <c r="H272" s="34"/>
      <c r="I272" s="34"/>
      <c r="J272" s="34"/>
      <c r="K272" s="35"/>
      <c r="L272" s="34"/>
      <c r="M272" s="32"/>
      <c r="N272" s="34"/>
      <c r="O272" s="34"/>
      <c r="P272" s="34"/>
    </row>
    <row r="273" spans="2:16" x14ac:dyDescent="0.3">
      <c r="B273" s="33"/>
      <c r="C273" s="34"/>
      <c r="D273" s="34"/>
      <c r="E273" s="34"/>
      <c r="F273" s="34"/>
      <c r="G273" s="34"/>
      <c r="H273" s="34"/>
      <c r="I273" s="34"/>
      <c r="J273" s="34"/>
      <c r="K273" s="35"/>
      <c r="L273" s="34"/>
      <c r="M273" s="32"/>
      <c r="N273" s="34"/>
      <c r="O273" s="34"/>
      <c r="P273" s="34"/>
    </row>
    <row r="274" spans="2:16" x14ac:dyDescent="0.3">
      <c r="B274" s="33"/>
      <c r="C274" s="34"/>
      <c r="D274" s="34"/>
      <c r="E274" s="34"/>
      <c r="F274" s="34"/>
      <c r="G274" s="34"/>
      <c r="H274" s="34"/>
      <c r="I274" s="34"/>
      <c r="J274" s="34"/>
      <c r="K274" s="35"/>
      <c r="L274" s="34"/>
      <c r="M274" s="32"/>
      <c r="N274" s="34"/>
      <c r="O274" s="34"/>
      <c r="P274" s="34"/>
    </row>
    <row r="275" spans="2:16" x14ac:dyDescent="0.3">
      <c r="B275" s="33"/>
      <c r="C275" s="34"/>
      <c r="D275" s="34"/>
      <c r="E275" s="34"/>
      <c r="F275" s="34"/>
      <c r="G275" s="34"/>
      <c r="H275" s="34"/>
      <c r="I275" s="34"/>
      <c r="J275" s="34"/>
      <c r="K275" s="35"/>
      <c r="L275" s="34"/>
      <c r="M275" s="32"/>
      <c r="N275" s="34"/>
      <c r="O275" s="34"/>
      <c r="P275" s="34"/>
    </row>
    <row r="276" spans="2:16" x14ac:dyDescent="0.3">
      <c r="B276" s="33"/>
      <c r="C276" s="34"/>
      <c r="D276" s="34"/>
      <c r="E276" s="34"/>
      <c r="F276" s="34"/>
      <c r="G276" s="34"/>
      <c r="H276" s="34"/>
      <c r="I276" s="34"/>
      <c r="J276" s="34"/>
      <c r="K276" s="35"/>
      <c r="L276" s="34"/>
      <c r="M276" s="32"/>
      <c r="N276" s="34"/>
      <c r="O276" s="34"/>
      <c r="P276" s="34"/>
    </row>
    <row r="277" spans="2:16" x14ac:dyDescent="0.3">
      <c r="B277" s="33"/>
      <c r="C277" s="34"/>
      <c r="D277" s="34"/>
      <c r="E277" s="34"/>
      <c r="F277" s="34"/>
      <c r="G277" s="34"/>
      <c r="H277" s="34"/>
      <c r="I277" s="34"/>
      <c r="J277" s="34"/>
      <c r="K277" s="35"/>
      <c r="L277" s="34"/>
      <c r="M277" s="32"/>
      <c r="N277" s="34"/>
      <c r="O277" s="34"/>
      <c r="P277" s="34"/>
    </row>
    <row r="278" spans="2:16" x14ac:dyDescent="0.3">
      <c r="B278" s="33"/>
      <c r="C278" s="34"/>
      <c r="D278" s="34"/>
      <c r="E278" s="34"/>
      <c r="F278" s="34"/>
      <c r="G278" s="34"/>
      <c r="H278" s="34"/>
      <c r="I278" s="34"/>
      <c r="J278" s="34"/>
      <c r="K278" s="35"/>
      <c r="L278" s="34"/>
      <c r="M278" s="32"/>
      <c r="N278" s="34"/>
      <c r="O278" s="34"/>
      <c r="P278" s="34"/>
    </row>
    <row r="279" spans="2:16" x14ac:dyDescent="0.3">
      <c r="B279" s="33"/>
      <c r="C279" s="34"/>
      <c r="D279" s="34"/>
      <c r="E279" s="34"/>
      <c r="F279" s="34"/>
      <c r="G279" s="34"/>
      <c r="H279" s="34"/>
      <c r="I279" s="34"/>
      <c r="J279" s="34"/>
      <c r="K279" s="35"/>
      <c r="L279" s="34"/>
      <c r="M279" s="32"/>
      <c r="N279" s="34"/>
      <c r="O279" s="34"/>
      <c r="P279" s="34"/>
    </row>
    <row r="280" spans="2:16" x14ac:dyDescent="0.3">
      <c r="B280" s="33"/>
      <c r="C280" s="34"/>
      <c r="D280" s="34"/>
      <c r="E280" s="34"/>
      <c r="F280" s="34"/>
      <c r="G280" s="34"/>
      <c r="H280" s="34"/>
      <c r="I280" s="34"/>
      <c r="J280" s="34"/>
      <c r="K280" s="35"/>
      <c r="L280" s="34"/>
      <c r="M280" s="32"/>
      <c r="N280" s="34"/>
      <c r="O280" s="34"/>
      <c r="P280" s="34"/>
    </row>
    <row r="281" spans="2:16" x14ac:dyDescent="0.3">
      <c r="B281" s="33"/>
      <c r="C281" s="34"/>
      <c r="D281" s="34"/>
      <c r="E281" s="34"/>
      <c r="F281" s="34"/>
      <c r="G281" s="34"/>
      <c r="H281" s="34"/>
      <c r="I281" s="34"/>
      <c r="J281" s="34"/>
      <c r="K281" s="35"/>
      <c r="L281" s="34"/>
      <c r="M281" s="32"/>
      <c r="N281" s="34"/>
      <c r="O281" s="34"/>
      <c r="P281" s="34"/>
    </row>
    <row r="282" spans="2:16" x14ac:dyDescent="0.3">
      <c r="B282" s="33"/>
      <c r="C282" s="34"/>
      <c r="D282" s="34"/>
      <c r="E282" s="34"/>
      <c r="F282" s="34"/>
      <c r="G282" s="34"/>
      <c r="H282" s="34"/>
      <c r="I282" s="34"/>
      <c r="J282" s="34"/>
      <c r="K282" s="35"/>
      <c r="L282" s="34"/>
      <c r="M282" s="32"/>
      <c r="N282" s="34"/>
      <c r="O282" s="34"/>
      <c r="P282" s="34"/>
    </row>
    <row r="283" spans="2:16" x14ac:dyDescent="0.3">
      <c r="B283" s="33"/>
      <c r="C283" s="34"/>
      <c r="D283" s="34"/>
      <c r="E283" s="34"/>
      <c r="F283" s="34"/>
      <c r="G283" s="34"/>
      <c r="H283" s="34"/>
      <c r="I283" s="34"/>
      <c r="J283" s="34"/>
      <c r="K283" s="35"/>
      <c r="L283" s="34"/>
      <c r="M283" s="32"/>
      <c r="N283" s="34"/>
      <c r="O283" s="34"/>
      <c r="P283" s="34"/>
    </row>
    <row r="284" spans="2:16" x14ac:dyDescent="0.3">
      <c r="B284" s="33"/>
      <c r="C284" s="34"/>
      <c r="D284" s="34"/>
      <c r="E284" s="34"/>
      <c r="F284" s="34"/>
      <c r="G284" s="34"/>
      <c r="H284" s="34"/>
      <c r="I284" s="34"/>
      <c r="J284" s="34"/>
      <c r="K284" s="35"/>
      <c r="L284" s="34"/>
      <c r="M284" s="32"/>
      <c r="N284" s="34"/>
      <c r="O284" s="34"/>
      <c r="P284" s="34"/>
    </row>
    <row r="285" spans="2:16" x14ac:dyDescent="0.3">
      <c r="B285" s="33"/>
      <c r="C285" s="34"/>
      <c r="D285" s="34"/>
      <c r="E285" s="34"/>
      <c r="F285" s="34"/>
      <c r="G285" s="34"/>
      <c r="H285" s="34"/>
      <c r="I285" s="34"/>
      <c r="J285" s="34"/>
      <c r="K285" s="35"/>
      <c r="L285" s="34"/>
      <c r="M285" s="32"/>
      <c r="N285" s="34"/>
      <c r="O285" s="34"/>
      <c r="P285" s="34"/>
    </row>
    <row r="286" spans="2:16" x14ac:dyDescent="0.3">
      <c r="B286" s="33"/>
      <c r="C286" s="34"/>
      <c r="D286" s="34"/>
      <c r="E286" s="34"/>
      <c r="F286" s="34"/>
      <c r="G286" s="34"/>
      <c r="H286" s="34"/>
      <c r="I286" s="34"/>
      <c r="J286" s="34"/>
      <c r="K286" s="35"/>
      <c r="L286" s="34"/>
      <c r="M286" s="32"/>
      <c r="N286" s="34"/>
      <c r="O286" s="34"/>
      <c r="P286" s="34"/>
    </row>
    <row r="287" spans="2:16" x14ac:dyDescent="0.3">
      <c r="B287" s="33"/>
      <c r="C287" s="34"/>
      <c r="D287" s="34"/>
      <c r="E287" s="34"/>
      <c r="F287" s="34"/>
      <c r="G287" s="34"/>
      <c r="H287" s="34"/>
      <c r="I287" s="34"/>
      <c r="J287" s="34"/>
      <c r="K287" s="35"/>
      <c r="L287" s="34"/>
      <c r="M287" s="32"/>
      <c r="N287" s="34"/>
      <c r="O287" s="34"/>
      <c r="P287" s="34"/>
    </row>
    <row r="288" spans="2:16" x14ac:dyDescent="0.3">
      <c r="B288" s="33"/>
      <c r="C288" s="34"/>
      <c r="D288" s="34"/>
      <c r="E288" s="34"/>
      <c r="F288" s="34"/>
      <c r="G288" s="34"/>
      <c r="H288" s="34"/>
      <c r="I288" s="34"/>
      <c r="J288" s="34"/>
      <c r="K288" s="35"/>
      <c r="L288" s="34"/>
      <c r="M288" s="32"/>
      <c r="N288" s="34"/>
      <c r="O288" s="34"/>
      <c r="P288" s="34"/>
    </row>
    <row r="289" spans="2:16" x14ac:dyDescent="0.3">
      <c r="B289" s="33"/>
      <c r="C289" s="34"/>
      <c r="D289" s="34"/>
      <c r="E289" s="34"/>
      <c r="F289" s="34"/>
      <c r="G289" s="34"/>
      <c r="H289" s="34"/>
      <c r="I289" s="34"/>
      <c r="J289" s="34"/>
      <c r="K289" s="35"/>
      <c r="L289" s="34"/>
      <c r="M289" s="32"/>
      <c r="N289" s="34"/>
      <c r="O289" s="34"/>
      <c r="P289" s="34"/>
    </row>
    <row r="290" spans="2:16" x14ac:dyDescent="0.3">
      <c r="B290" s="33"/>
      <c r="C290" s="34"/>
      <c r="D290" s="34"/>
      <c r="E290" s="34"/>
      <c r="F290" s="34"/>
      <c r="G290" s="34"/>
      <c r="H290" s="34"/>
      <c r="I290" s="34"/>
      <c r="J290" s="34"/>
      <c r="K290" s="35"/>
      <c r="L290" s="34"/>
      <c r="M290" s="32"/>
      <c r="N290" s="34"/>
      <c r="O290" s="34"/>
      <c r="P290" s="34"/>
    </row>
    <row r="291" spans="2:16" x14ac:dyDescent="0.3">
      <c r="B291" s="33"/>
      <c r="C291" s="34"/>
      <c r="D291" s="34"/>
      <c r="E291" s="34"/>
      <c r="F291" s="34"/>
      <c r="G291" s="34"/>
      <c r="H291" s="34"/>
      <c r="I291" s="34"/>
      <c r="J291" s="34"/>
      <c r="K291" s="35"/>
      <c r="L291" s="34"/>
      <c r="M291" s="32"/>
      <c r="N291" s="34"/>
      <c r="O291" s="34"/>
      <c r="P291" s="34"/>
    </row>
    <row r="292" spans="2:16" x14ac:dyDescent="0.3">
      <c r="B292" s="33"/>
      <c r="C292" s="34"/>
      <c r="D292" s="34"/>
      <c r="E292" s="34"/>
      <c r="F292" s="34"/>
      <c r="G292" s="34"/>
      <c r="H292" s="34"/>
      <c r="I292" s="34"/>
      <c r="J292" s="34"/>
      <c r="K292" s="35"/>
      <c r="L292" s="34"/>
      <c r="M292" s="32"/>
      <c r="N292" s="34"/>
      <c r="O292" s="34"/>
      <c r="P292" s="34"/>
    </row>
    <row r="293" spans="2:16" x14ac:dyDescent="0.3">
      <c r="B293" s="33"/>
      <c r="C293" s="34"/>
      <c r="D293" s="34"/>
      <c r="E293" s="34"/>
      <c r="F293" s="34"/>
      <c r="G293" s="34"/>
      <c r="H293" s="34"/>
      <c r="I293" s="34"/>
      <c r="J293" s="34"/>
      <c r="K293" s="35"/>
      <c r="L293" s="34"/>
      <c r="M293" s="32"/>
      <c r="N293" s="34"/>
      <c r="O293" s="34"/>
      <c r="P293" s="34"/>
    </row>
    <row r="294" spans="2:16" x14ac:dyDescent="0.3">
      <c r="B294" s="33"/>
      <c r="C294" s="34"/>
      <c r="D294" s="34"/>
      <c r="E294" s="34"/>
      <c r="F294" s="34"/>
      <c r="G294" s="34"/>
      <c r="H294" s="34"/>
      <c r="I294" s="34"/>
      <c r="J294" s="34"/>
      <c r="K294" s="35"/>
      <c r="L294" s="34"/>
      <c r="M294" s="32"/>
      <c r="N294" s="34"/>
      <c r="O294" s="34"/>
      <c r="P294" s="34"/>
    </row>
    <row r="295" spans="2:16" x14ac:dyDescent="0.3">
      <c r="B295" s="33"/>
      <c r="C295" s="34"/>
      <c r="D295" s="34"/>
      <c r="E295" s="34"/>
      <c r="F295" s="34"/>
      <c r="G295" s="34"/>
      <c r="H295" s="34"/>
      <c r="I295" s="34"/>
      <c r="J295" s="34"/>
      <c r="K295" s="35"/>
      <c r="L295" s="34"/>
      <c r="M295" s="32"/>
      <c r="N295" s="34"/>
      <c r="O295" s="34"/>
      <c r="P295" s="34"/>
    </row>
    <row r="296" spans="2:16" x14ac:dyDescent="0.3">
      <c r="B296" s="33"/>
      <c r="C296" s="34"/>
      <c r="D296" s="34"/>
      <c r="E296" s="34"/>
      <c r="F296" s="34"/>
      <c r="G296" s="34"/>
      <c r="H296" s="34"/>
      <c r="I296" s="34"/>
      <c r="J296" s="34"/>
      <c r="K296" s="35"/>
      <c r="L296" s="34"/>
      <c r="M296" s="32"/>
      <c r="N296" s="34"/>
      <c r="O296" s="34"/>
      <c r="P296" s="34"/>
    </row>
    <row r="297" spans="2:16" x14ac:dyDescent="0.3">
      <c r="B297" s="33"/>
      <c r="C297" s="34"/>
      <c r="D297" s="34"/>
      <c r="E297" s="34"/>
      <c r="F297" s="34"/>
      <c r="G297" s="34"/>
      <c r="H297" s="34"/>
      <c r="I297" s="34"/>
      <c r="J297" s="34"/>
      <c r="K297" s="35"/>
      <c r="L297" s="34"/>
      <c r="M297" s="32"/>
      <c r="N297" s="34"/>
      <c r="O297" s="34"/>
      <c r="P297" s="34"/>
    </row>
    <row r="298" spans="2:16" x14ac:dyDescent="0.3">
      <c r="B298" s="33"/>
      <c r="C298" s="34"/>
      <c r="D298" s="34"/>
      <c r="E298" s="34"/>
      <c r="F298" s="34"/>
      <c r="G298" s="34"/>
      <c r="H298" s="34"/>
      <c r="I298" s="34"/>
      <c r="J298" s="34"/>
      <c r="K298" s="35"/>
      <c r="L298" s="34"/>
      <c r="M298" s="32"/>
      <c r="N298" s="34"/>
      <c r="O298" s="34"/>
      <c r="P298" s="34"/>
    </row>
    <row r="299" spans="2:16" x14ac:dyDescent="0.3">
      <c r="B299" s="33"/>
      <c r="C299" s="34"/>
      <c r="D299" s="34"/>
      <c r="E299" s="34"/>
      <c r="F299" s="34"/>
      <c r="G299" s="34"/>
      <c r="H299" s="34"/>
      <c r="I299" s="34"/>
      <c r="J299" s="34"/>
      <c r="K299" s="35"/>
      <c r="L299" s="34"/>
      <c r="M299" s="32"/>
      <c r="N299" s="34"/>
      <c r="O299" s="34"/>
      <c r="P299" s="34"/>
    </row>
    <row r="300" spans="2:16" x14ac:dyDescent="0.3">
      <c r="B300" s="33"/>
      <c r="C300" s="34"/>
      <c r="D300" s="34"/>
      <c r="E300" s="34"/>
      <c r="F300" s="34"/>
      <c r="G300" s="34"/>
      <c r="H300" s="34"/>
      <c r="I300" s="34"/>
      <c r="J300" s="34"/>
      <c r="K300" s="35"/>
      <c r="L300" s="34"/>
      <c r="M300" s="32"/>
      <c r="N300" s="34"/>
      <c r="O300" s="34"/>
      <c r="P300" s="34"/>
    </row>
    <row r="301" spans="2:16" x14ac:dyDescent="0.3">
      <c r="B301" s="33"/>
      <c r="C301" s="34"/>
      <c r="D301" s="34"/>
      <c r="E301" s="34"/>
      <c r="F301" s="34"/>
      <c r="G301" s="34"/>
      <c r="H301" s="34"/>
      <c r="I301" s="34"/>
      <c r="J301" s="34"/>
      <c r="K301" s="35"/>
      <c r="L301" s="34"/>
      <c r="M301" s="32"/>
      <c r="N301" s="34"/>
      <c r="O301" s="34"/>
      <c r="P301" s="34"/>
    </row>
    <row r="302" spans="2:16" x14ac:dyDescent="0.3">
      <c r="B302" s="33"/>
      <c r="C302" s="34"/>
      <c r="D302" s="34"/>
      <c r="E302" s="34"/>
      <c r="F302" s="34"/>
      <c r="G302" s="34"/>
      <c r="H302" s="34"/>
      <c r="I302" s="34"/>
      <c r="J302" s="34"/>
      <c r="K302" s="35"/>
      <c r="L302" s="34"/>
      <c r="M302" s="32"/>
      <c r="N302" s="34"/>
      <c r="O302" s="34"/>
      <c r="P302" s="34"/>
    </row>
    <row r="303" spans="2:16" x14ac:dyDescent="0.3">
      <c r="B303" s="33"/>
      <c r="C303" s="34"/>
      <c r="D303" s="34"/>
      <c r="E303" s="34"/>
      <c r="F303" s="34"/>
      <c r="G303" s="34"/>
      <c r="H303" s="34"/>
      <c r="I303" s="34"/>
      <c r="J303" s="34"/>
      <c r="K303" s="35"/>
      <c r="L303" s="34"/>
      <c r="M303" s="32"/>
      <c r="N303" s="34"/>
      <c r="O303" s="34"/>
      <c r="P303" s="34"/>
    </row>
    <row r="304" spans="2:16" x14ac:dyDescent="0.3">
      <c r="B304" s="33"/>
      <c r="C304" s="34"/>
      <c r="D304" s="34"/>
      <c r="E304" s="34"/>
      <c r="F304" s="34"/>
      <c r="G304" s="34"/>
      <c r="H304" s="34"/>
      <c r="I304" s="34"/>
      <c r="J304" s="34"/>
      <c r="K304" s="35"/>
      <c r="L304" s="34"/>
      <c r="M304" s="32"/>
      <c r="N304" s="34"/>
      <c r="O304" s="34"/>
      <c r="P304" s="34"/>
    </row>
    <row r="305" spans="2:16" x14ac:dyDescent="0.3">
      <c r="B305" s="33"/>
      <c r="C305" s="34"/>
      <c r="D305" s="34"/>
      <c r="E305" s="34"/>
      <c r="F305" s="34"/>
      <c r="G305" s="34"/>
      <c r="H305" s="34"/>
      <c r="I305" s="34"/>
      <c r="J305" s="34"/>
      <c r="K305" s="35"/>
      <c r="L305" s="34"/>
      <c r="M305" s="32"/>
      <c r="N305" s="34"/>
      <c r="O305" s="34"/>
      <c r="P305" s="34"/>
    </row>
    <row r="306" spans="2:16" x14ac:dyDescent="0.3">
      <c r="B306" s="33"/>
      <c r="C306" s="34"/>
      <c r="D306" s="34"/>
      <c r="E306" s="34"/>
      <c r="F306" s="34"/>
      <c r="G306" s="34"/>
      <c r="H306" s="34"/>
      <c r="I306" s="34"/>
      <c r="J306" s="34"/>
      <c r="K306" s="35"/>
      <c r="L306" s="34"/>
      <c r="M306" s="32"/>
      <c r="N306" s="34"/>
      <c r="O306" s="34"/>
      <c r="P306" s="34"/>
    </row>
    <row r="307" spans="2:16" x14ac:dyDescent="0.3">
      <c r="B307" s="33"/>
      <c r="C307" s="34"/>
      <c r="D307" s="34"/>
      <c r="E307" s="34"/>
      <c r="F307" s="34"/>
      <c r="G307" s="34"/>
      <c r="H307" s="34"/>
      <c r="I307" s="34"/>
      <c r="J307" s="34"/>
      <c r="K307" s="35"/>
      <c r="L307" s="34"/>
      <c r="M307" s="32"/>
      <c r="N307" s="34"/>
      <c r="O307" s="34"/>
      <c r="P307" s="34"/>
    </row>
    <row r="308" spans="2:16" x14ac:dyDescent="0.3">
      <c r="B308" s="33"/>
      <c r="C308" s="34"/>
      <c r="D308" s="34"/>
      <c r="E308" s="34"/>
      <c r="F308" s="34"/>
      <c r="G308" s="34"/>
      <c r="H308" s="34"/>
      <c r="I308" s="34"/>
      <c r="J308" s="34"/>
      <c r="K308" s="35"/>
      <c r="L308" s="34"/>
      <c r="M308" s="32"/>
      <c r="N308" s="34"/>
      <c r="O308" s="34"/>
      <c r="P308" s="34"/>
    </row>
    <row r="309" spans="2:16" x14ac:dyDescent="0.3">
      <c r="B309" s="33"/>
      <c r="C309" s="34"/>
      <c r="D309" s="34"/>
      <c r="E309" s="34"/>
      <c r="F309" s="34"/>
      <c r="G309" s="34"/>
      <c r="H309" s="34"/>
      <c r="I309" s="34"/>
      <c r="J309" s="34"/>
      <c r="K309" s="35"/>
      <c r="L309" s="34"/>
      <c r="M309" s="32"/>
      <c r="N309" s="34"/>
      <c r="O309" s="34"/>
      <c r="P309" s="34"/>
    </row>
    <row r="310" spans="2:16" x14ac:dyDescent="0.3">
      <c r="B310" s="33"/>
      <c r="C310" s="34"/>
      <c r="D310" s="34"/>
      <c r="E310" s="34"/>
      <c r="F310" s="34"/>
      <c r="G310" s="34"/>
      <c r="H310" s="34"/>
      <c r="I310" s="34"/>
      <c r="J310" s="34"/>
      <c r="K310" s="35"/>
      <c r="L310" s="34"/>
      <c r="M310" s="32"/>
      <c r="N310" s="34"/>
      <c r="O310" s="34"/>
      <c r="P310" s="34"/>
    </row>
    <row r="311" spans="2:16" x14ac:dyDescent="0.3">
      <c r="B311" s="33"/>
      <c r="C311" s="34"/>
      <c r="D311" s="34"/>
      <c r="E311" s="34"/>
      <c r="F311" s="34"/>
      <c r="G311" s="34"/>
      <c r="H311" s="34"/>
      <c r="I311" s="34"/>
      <c r="J311" s="34"/>
      <c r="K311" s="35"/>
      <c r="L311" s="34"/>
      <c r="M311" s="32"/>
      <c r="N311" s="34"/>
      <c r="O311" s="34"/>
      <c r="P311" s="34"/>
    </row>
    <row r="312" spans="2:16" x14ac:dyDescent="0.3">
      <c r="B312" s="33"/>
      <c r="C312" s="34"/>
      <c r="D312" s="34"/>
      <c r="E312" s="34"/>
      <c r="F312" s="34"/>
      <c r="G312" s="34"/>
      <c r="H312" s="34"/>
      <c r="I312" s="34"/>
      <c r="J312" s="34"/>
      <c r="K312" s="35"/>
      <c r="L312" s="34"/>
      <c r="M312" s="32"/>
      <c r="N312" s="34"/>
      <c r="O312" s="34"/>
      <c r="P312" s="34"/>
    </row>
    <row r="313" spans="2:16" x14ac:dyDescent="0.3">
      <c r="B313" s="33"/>
      <c r="C313" s="34"/>
      <c r="D313" s="34"/>
      <c r="E313" s="34"/>
      <c r="F313" s="34"/>
      <c r="G313" s="34"/>
      <c r="H313" s="34"/>
      <c r="I313" s="34"/>
      <c r="J313" s="34"/>
      <c r="K313" s="35"/>
      <c r="L313" s="34"/>
      <c r="M313" s="32"/>
      <c r="N313" s="34"/>
      <c r="O313" s="34"/>
      <c r="P313" s="34"/>
    </row>
    <row r="314" spans="2:16" x14ac:dyDescent="0.3">
      <c r="B314" s="33"/>
      <c r="C314" s="34"/>
      <c r="D314" s="34"/>
      <c r="E314" s="34"/>
      <c r="F314" s="34"/>
      <c r="G314" s="34"/>
      <c r="H314" s="34"/>
      <c r="I314" s="34"/>
      <c r="J314" s="34"/>
      <c r="K314" s="35"/>
      <c r="L314" s="34"/>
      <c r="M314" s="32"/>
      <c r="N314" s="34"/>
      <c r="O314" s="34"/>
      <c r="P314" s="34"/>
    </row>
    <row r="315" spans="2:16" x14ac:dyDescent="0.3">
      <c r="B315" s="33"/>
      <c r="C315" s="34"/>
      <c r="D315" s="34"/>
      <c r="E315" s="34"/>
      <c r="F315" s="34"/>
      <c r="G315" s="34"/>
      <c r="H315" s="34"/>
      <c r="I315" s="34"/>
      <c r="J315" s="34"/>
      <c r="K315" s="35"/>
      <c r="L315" s="34"/>
      <c r="M315" s="32"/>
      <c r="N315" s="34"/>
      <c r="O315" s="34"/>
      <c r="P315" s="34"/>
    </row>
    <row r="316" spans="2:16" x14ac:dyDescent="0.3">
      <c r="B316" s="33"/>
      <c r="C316" s="34"/>
      <c r="D316" s="34"/>
      <c r="E316" s="34"/>
      <c r="F316" s="34"/>
      <c r="G316" s="34"/>
      <c r="H316" s="34"/>
      <c r="I316" s="34"/>
      <c r="J316" s="34"/>
      <c r="K316" s="35"/>
      <c r="L316" s="34"/>
      <c r="M316" s="32"/>
      <c r="N316" s="34"/>
      <c r="O316" s="34"/>
      <c r="P316" s="34"/>
    </row>
    <row r="317" spans="2:16" x14ac:dyDescent="0.3">
      <c r="B317" s="33"/>
      <c r="C317" s="34"/>
      <c r="D317" s="34"/>
      <c r="E317" s="34"/>
      <c r="F317" s="34"/>
      <c r="G317" s="34"/>
      <c r="H317" s="34"/>
      <c r="I317" s="34"/>
      <c r="J317" s="34"/>
      <c r="K317" s="35"/>
      <c r="L317" s="34"/>
      <c r="M317" s="32"/>
      <c r="N317" s="34"/>
      <c r="O317" s="34"/>
      <c r="P317" s="34"/>
    </row>
    <row r="318" spans="2:16" x14ac:dyDescent="0.3">
      <c r="B318" s="33"/>
      <c r="C318" s="34"/>
      <c r="D318" s="34"/>
      <c r="E318" s="34"/>
      <c r="F318" s="34"/>
      <c r="G318" s="34"/>
      <c r="H318" s="34"/>
      <c r="I318" s="34"/>
      <c r="J318" s="34"/>
      <c r="K318" s="35"/>
      <c r="L318" s="34"/>
      <c r="M318" s="32"/>
      <c r="N318" s="34"/>
      <c r="O318" s="34"/>
      <c r="P318" s="34"/>
    </row>
    <row r="319" spans="2:16" x14ac:dyDescent="0.3">
      <c r="B319" s="33"/>
      <c r="C319" s="34"/>
      <c r="D319" s="34"/>
      <c r="E319" s="34"/>
      <c r="F319" s="34"/>
      <c r="G319" s="34"/>
      <c r="H319" s="34"/>
      <c r="I319" s="34"/>
      <c r="J319" s="34"/>
      <c r="K319" s="35"/>
      <c r="L319" s="34"/>
      <c r="M319" s="32"/>
      <c r="N319" s="34"/>
      <c r="O319" s="34"/>
      <c r="P319" s="34"/>
    </row>
    <row r="320" spans="2:16" x14ac:dyDescent="0.3">
      <c r="B320" s="33"/>
      <c r="C320" s="34"/>
      <c r="D320" s="34"/>
      <c r="E320" s="34"/>
      <c r="F320" s="34"/>
      <c r="G320" s="34"/>
      <c r="H320" s="34"/>
      <c r="I320" s="34"/>
      <c r="J320" s="34"/>
      <c r="K320" s="35"/>
      <c r="L320" s="34"/>
      <c r="M320" s="32"/>
      <c r="N320" s="34"/>
      <c r="O320" s="34"/>
      <c r="P320" s="34"/>
    </row>
    <row r="321" spans="2:16" x14ac:dyDescent="0.3">
      <c r="B321" s="33"/>
      <c r="C321" s="34"/>
      <c r="D321" s="34"/>
      <c r="E321" s="34"/>
      <c r="F321" s="34"/>
      <c r="G321" s="34"/>
      <c r="H321" s="34"/>
      <c r="I321" s="34"/>
      <c r="J321" s="34"/>
      <c r="K321" s="35"/>
      <c r="L321" s="34"/>
      <c r="M321" s="32"/>
      <c r="N321" s="34"/>
      <c r="O321" s="34"/>
      <c r="P321" s="34"/>
    </row>
    <row r="322" spans="2:16" x14ac:dyDescent="0.3">
      <c r="B322" s="33"/>
      <c r="C322" s="34"/>
      <c r="D322" s="34"/>
      <c r="E322" s="34"/>
      <c r="F322" s="34"/>
      <c r="G322" s="34"/>
      <c r="H322" s="34"/>
      <c r="I322" s="34"/>
      <c r="J322" s="34"/>
      <c r="K322" s="35"/>
      <c r="L322" s="34"/>
      <c r="M322" s="32"/>
      <c r="N322" s="34"/>
      <c r="O322" s="34"/>
      <c r="P322" s="34"/>
    </row>
    <row r="323" spans="2:16" x14ac:dyDescent="0.3">
      <c r="B323" s="33"/>
      <c r="C323" s="34"/>
      <c r="D323" s="34"/>
      <c r="E323" s="34"/>
      <c r="F323" s="34"/>
      <c r="G323" s="34"/>
      <c r="H323" s="34"/>
      <c r="I323" s="34"/>
      <c r="J323" s="34"/>
      <c r="K323" s="35"/>
      <c r="L323" s="34"/>
      <c r="M323" s="32"/>
      <c r="N323" s="34"/>
      <c r="O323" s="34"/>
      <c r="P323" s="34"/>
    </row>
    <row r="324" spans="2:16" x14ac:dyDescent="0.3">
      <c r="B324" s="33"/>
      <c r="C324" s="34"/>
      <c r="D324" s="34"/>
      <c r="E324" s="34"/>
      <c r="F324" s="34"/>
      <c r="G324" s="34"/>
      <c r="H324" s="34"/>
      <c r="I324" s="34"/>
      <c r="J324" s="34"/>
      <c r="K324" s="35"/>
      <c r="L324" s="34"/>
      <c r="M324" s="32"/>
      <c r="N324" s="34"/>
      <c r="O324" s="34"/>
      <c r="P324" s="34"/>
    </row>
    <row r="325" spans="2:16" x14ac:dyDescent="0.3">
      <c r="B325" s="33"/>
      <c r="C325" s="34"/>
      <c r="D325" s="34"/>
      <c r="E325" s="34"/>
      <c r="F325" s="34"/>
      <c r="G325" s="34"/>
      <c r="H325" s="34"/>
      <c r="I325" s="34"/>
      <c r="J325" s="34"/>
      <c r="K325" s="35"/>
      <c r="L325" s="34"/>
      <c r="M325" s="32"/>
      <c r="N325" s="34"/>
      <c r="O325" s="34"/>
      <c r="P325" s="34"/>
    </row>
    <row r="326" spans="2:16" x14ac:dyDescent="0.3">
      <c r="B326" s="33"/>
      <c r="C326" s="34"/>
      <c r="D326" s="34"/>
      <c r="E326" s="34"/>
      <c r="F326" s="34"/>
      <c r="G326" s="34"/>
      <c r="H326" s="34"/>
      <c r="I326" s="34"/>
      <c r="J326" s="34"/>
      <c r="K326" s="35"/>
      <c r="L326" s="34"/>
      <c r="M326" s="32"/>
      <c r="N326" s="34"/>
      <c r="O326" s="34"/>
      <c r="P326" s="34"/>
    </row>
    <row r="327" spans="2:16" x14ac:dyDescent="0.3">
      <c r="B327" s="33"/>
      <c r="C327" s="34"/>
      <c r="D327" s="34"/>
      <c r="E327" s="34"/>
      <c r="F327" s="34"/>
      <c r="G327" s="34"/>
      <c r="H327" s="34"/>
      <c r="I327" s="34"/>
      <c r="J327" s="34"/>
      <c r="K327" s="35"/>
      <c r="L327" s="34"/>
      <c r="M327" s="32"/>
      <c r="N327" s="34"/>
      <c r="O327" s="34"/>
      <c r="P327" s="34"/>
    </row>
    <row r="328" spans="2:16" x14ac:dyDescent="0.3">
      <c r="B328" s="33"/>
      <c r="C328" s="34"/>
      <c r="D328" s="34"/>
      <c r="E328" s="34"/>
      <c r="F328" s="34"/>
      <c r="G328" s="34"/>
      <c r="H328" s="34"/>
      <c r="I328" s="34"/>
      <c r="J328" s="34"/>
      <c r="K328" s="35"/>
      <c r="L328" s="34"/>
      <c r="M328" s="32"/>
      <c r="N328" s="34"/>
      <c r="O328" s="34"/>
      <c r="P328" s="34"/>
    </row>
    <row r="329" spans="2:16" x14ac:dyDescent="0.3">
      <c r="B329" s="33"/>
      <c r="C329" s="34"/>
      <c r="D329" s="34"/>
      <c r="E329" s="34"/>
      <c r="F329" s="34"/>
      <c r="G329" s="34"/>
      <c r="H329" s="34"/>
      <c r="I329" s="34"/>
      <c r="J329" s="34"/>
      <c r="K329" s="35"/>
      <c r="L329" s="34"/>
      <c r="M329" s="32"/>
      <c r="N329" s="34"/>
      <c r="O329" s="34"/>
      <c r="P329" s="34"/>
    </row>
    <row r="330" spans="2:16" x14ac:dyDescent="0.3">
      <c r="B330" s="33"/>
      <c r="C330" s="34"/>
      <c r="D330" s="34"/>
      <c r="E330" s="34"/>
      <c r="F330" s="34"/>
      <c r="G330" s="34"/>
      <c r="H330" s="34"/>
      <c r="I330" s="34"/>
      <c r="J330" s="34"/>
      <c r="K330" s="35"/>
      <c r="L330" s="34"/>
      <c r="M330" s="32"/>
      <c r="N330" s="34"/>
      <c r="O330" s="34"/>
      <c r="P330" s="34"/>
    </row>
    <row r="331" spans="2:16" x14ac:dyDescent="0.3">
      <c r="B331" s="33"/>
      <c r="C331" s="34"/>
      <c r="D331" s="34"/>
      <c r="E331" s="34"/>
      <c r="F331" s="34"/>
      <c r="G331" s="34"/>
      <c r="H331" s="34"/>
      <c r="I331" s="34"/>
      <c r="J331" s="34"/>
      <c r="K331" s="35"/>
      <c r="L331" s="34"/>
      <c r="M331" s="32"/>
      <c r="N331" s="34"/>
      <c r="O331" s="34"/>
      <c r="P331" s="34"/>
    </row>
    <row r="332" spans="2:16" x14ac:dyDescent="0.3">
      <c r="B332" s="33"/>
      <c r="C332" s="34"/>
      <c r="D332" s="34"/>
      <c r="E332" s="34"/>
      <c r="F332" s="34"/>
      <c r="G332" s="34"/>
      <c r="H332" s="34"/>
      <c r="I332" s="34"/>
      <c r="J332" s="34"/>
      <c r="K332" s="35"/>
      <c r="L332" s="34"/>
      <c r="M332" s="32"/>
      <c r="N332" s="34"/>
      <c r="O332" s="34"/>
      <c r="P332" s="34"/>
    </row>
    <row r="333" spans="2:16" x14ac:dyDescent="0.3">
      <c r="B333" s="33"/>
      <c r="C333" s="34"/>
      <c r="D333" s="34"/>
      <c r="E333" s="34"/>
      <c r="F333" s="34"/>
      <c r="G333" s="34"/>
      <c r="H333" s="34"/>
      <c r="I333" s="34"/>
      <c r="J333" s="34"/>
      <c r="K333" s="35"/>
      <c r="L333" s="34"/>
      <c r="M333" s="32"/>
      <c r="N333" s="34"/>
      <c r="O333" s="34"/>
      <c r="P333" s="34"/>
    </row>
    <row r="334" spans="2:16" x14ac:dyDescent="0.3">
      <c r="B334" s="33"/>
      <c r="C334" s="34"/>
      <c r="D334" s="34"/>
      <c r="E334" s="34"/>
      <c r="F334" s="34"/>
      <c r="G334" s="34"/>
      <c r="H334" s="34"/>
      <c r="I334" s="34"/>
      <c r="J334" s="34"/>
      <c r="K334" s="35"/>
      <c r="L334" s="34"/>
      <c r="M334" s="32"/>
      <c r="N334" s="34"/>
      <c r="O334" s="34"/>
      <c r="P334" s="34"/>
    </row>
    <row r="335" spans="2:16" x14ac:dyDescent="0.3">
      <c r="B335" s="33"/>
      <c r="C335" s="34"/>
      <c r="D335" s="34"/>
      <c r="E335" s="34"/>
      <c r="F335" s="34"/>
      <c r="G335" s="34"/>
      <c r="H335" s="34"/>
      <c r="I335" s="34"/>
      <c r="J335" s="34"/>
      <c r="K335" s="35"/>
      <c r="L335" s="34"/>
      <c r="M335" s="32"/>
      <c r="N335" s="34"/>
      <c r="O335" s="34"/>
      <c r="P335" s="34"/>
    </row>
    <row r="336" spans="2:16" x14ac:dyDescent="0.3">
      <c r="B336" s="33"/>
      <c r="C336" s="34"/>
      <c r="D336" s="34"/>
      <c r="E336" s="34"/>
      <c r="F336" s="34"/>
      <c r="G336" s="34"/>
      <c r="H336" s="34"/>
      <c r="I336" s="34"/>
      <c r="J336" s="34"/>
      <c r="K336" s="35"/>
      <c r="L336" s="34"/>
      <c r="M336" s="32"/>
      <c r="N336" s="34"/>
      <c r="O336" s="34"/>
      <c r="P336" s="34"/>
    </row>
    <row r="337" spans="2:16" x14ac:dyDescent="0.3">
      <c r="B337" s="33"/>
      <c r="C337" s="34"/>
      <c r="D337" s="34"/>
      <c r="E337" s="34"/>
      <c r="F337" s="34"/>
      <c r="G337" s="34"/>
      <c r="H337" s="34"/>
      <c r="I337" s="34"/>
      <c r="J337" s="34"/>
      <c r="K337" s="35"/>
      <c r="L337" s="34"/>
      <c r="M337" s="32"/>
      <c r="N337" s="34"/>
      <c r="O337" s="34"/>
      <c r="P337" s="34"/>
    </row>
    <row r="338" spans="2:16" x14ac:dyDescent="0.3">
      <c r="B338" s="33"/>
      <c r="C338" s="34"/>
      <c r="D338" s="34"/>
      <c r="E338" s="34"/>
      <c r="F338" s="34"/>
      <c r="G338" s="34"/>
      <c r="H338" s="34"/>
      <c r="I338" s="34"/>
      <c r="J338" s="34"/>
      <c r="K338" s="35"/>
      <c r="L338" s="34"/>
      <c r="M338" s="32"/>
      <c r="N338" s="34"/>
      <c r="O338" s="34"/>
      <c r="P338" s="34"/>
    </row>
    <row r="339" spans="2:16" x14ac:dyDescent="0.3">
      <c r="B339" s="33"/>
      <c r="C339" s="34"/>
      <c r="D339" s="34"/>
      <c r="E339" s="34"/>
      <c r="F339" s="34"/>
      <c r="G339" s="34"/>
      <c r="H339" s="34"/>
      <c r="I339" s="34"/>
      <c r="J339" s="34"/>
      <c r="K339" s="35"/>
      <c r="L339" s="34"/>
      <c r="M339" s="32"/>
      <c r="N339" s="34"/>
      <c r="O339" s="34"/>
      <c r="P339" s="34"/>
    </row>
    <row r="340" spans="2:16" x14ac:dyDescent="0.3">
      <c r="B340" s="33"/>
      <c r="C340" s="34"/>
      <c r="D340" s="34"/>
      <c r="E340" s="34"/>
      <c r="F340" s="34"/>
      <c r="G340" s="34"/>
      <c r="H340" s="34"/>
      <c r="I340" s="34"/>
      <c r="J340" s="34"/>
      <c r="K340" s="35"/>
      <c r="L340" s="34"/>
      <c r="M340" s="32"/>
      <c r="N340" s="34"/>
      <c r="O340" s="34"/>
      <c r="P340" s="34"/>
    </row>
    <row r="341" spans="2:16" x14ac:dyDescent="0.3">
      <c r="B341" s="33"/>
      <c r="C341" s="34"/>
      <c r="D341" s="34"/>
      <c r="E341" s="34"/>
      <c r="F341" s="34"/>
      <c r="G341" s="34"/>
      <c r="H341" s="34"/>
      <c r="I341" s="34"/>
      <c r="J341" s="34"/>
      <c r="K341" s="35"/>
      <c r="L341" s="34"/>
      <c r="M341" s="32"/>
      <c r="N341" s="34"/>
      <c r="O341" s="34"/>
      <c r="P341" s="34"/>
    </row>
    <row r="342" spans="2:16" x14ac:dyDescent="0.3">
      <c r="B342" s="33"/>
      <c r="C342" s="34"/>
      <c r="D342" s="34"/>
      <c r="E342" s="34"/>
      <c r="F342" s="34"/>
      <c r="G342" s="34"/>
      <c r="H342" s="34"/>
      <c r="I342" s="34"/>
      <c r="J342" s="34"/>
      <c r="K342" s="35"/>
      <c r="L342" s="34"/>
      <c r="M342" s="32"/>
      <c r="N342" s="34"/>
      <c r="O342" s="34"/>
      <c r="P342" s="34"/>
    </row>
    <row r="343" spans="2:16" x14ac:dyDescent="0.3">
      <c r="B343" s="33"/>
      <c r="C343" s="34"/>
      <c r="D343" s="34"/>
      <c r="E343" s="34"/>
      <c r="F343" s="34"/>
      <c r="G343" s="34"/>
      <c r="H343" s="34"/>
      <c r="I343" s="34"/>
      <c r="J343" s="34"/>
      <c r="K343" s="35"/>
      <c r="L343" s="34"/>
      <c r="M343" s="32"/>
      <c r="N343" s="34"/>
      <c r="O343" s="34"/>
      <c r="P343" s="34"/>
    </row>
    <row r="344" spans="2:16" x14ac:dyDescent="0.3">
      <c r="B344" s="33"/>
      <c r="C344" s="34"/>
      <c r="D344" s="34"/>
      <c r="E344" s="34"/>
      <c r="F344" s="34"/>
      <c r="G344" s="34"/>
      <c r="H344" s="34"/>
      <c r="I344" s="34"/>
      <c r="J344" s="34"/>
      <c r="K344" s="35"/>
      <c r="L344" s="34"/>
      <c r="M344" s="32"/>
      <c r="N344" s="34"/>
      <c r="O344" s="34"/>
      <c r="P344" s="34"/>
    </row>
    <row r="345" spans="2:16" x14ac:dyDescent="0.3">
      <c r="B345" s="33"/>
      <c r="C345" s="34"/>
      <c r="D345" s="34"/>
      <c r="E345" s="34"/>
      <c r="F345" s="34"/>
      <c r="G345" s="34"/>
      <c r="H345" s="34"/>
      <c r="I345" s="34"/>
      <c r="J345" s="34"/>
      <c r="K345" s="35"/>
      <c r="L345" s="34"/>
      <c r="M345" s="32"/>
      <c r="N345" s="34"/>
      <c r="O345" s="34"/>
      <c r="P345" s="34"/>
    </row>
    <row r="346" spans="2:16" x14ac:dyDescent="0.3">
      <c r="B346" s="33"/>
      <c r="C346" s="34"/>
      <c r="D346" s="34"/>
      <c r="E346" s="34"/>
      <c r="F346" s="34"/>
      <c r="G346" s="34"/>
      <c r="H346" s="34"/>
      <c r="I346" s="34"/>
      <c r="J346" s="34"/>
      <c r="K346" s="35"/>
      <c r="L346" s="34"/>
      <c r="M346" s="32"/>
      <c r="N346" s="34"/>
      <c r="O346" s="34"/>
      <c r="P346" s="34"/>
    </row>
    <row r="347" spans="2:16" x14ac:dyDescent="0.3">
      <c r="B347" s="33"/>
      <c r="C347" s="34"/>
      <c r="D347" s="34"/>
      <c r="E347" s="34"/>
      <c r="F347" s="34"/>
      <c r="G347" s="34"/>
      <c r="H347" s="34"/>
      <c r="I347" s="34"/>
      <c r="J347" s="34"/>
      <c r="K347" s="35"/>
      <c r="L347" s="34"/>
      <c r="M347" s="32"/>
      <c r="N347" s="34"/>
      <c r="O347" s="34"/>
      <c r="P347" s="34"/>
    </row>
    <row r="348" spans="2:16" x14ac:dyDescent="0.3">
      <c r="B348" s="33"/>
      <c r="C348" s="34"/>
      <c r="D348" s="34"/>
      <c r="E348" s="34"/>
      <c r="F348" s="34"/>
      <c r="G348" s="34"/>
      <c r="H348" s="34"/>
      <c r="I348" s="34"/>
      <c r="J348" s="34"/>
      <c r="K348" s="35"/>
      <c r="L348" s="34"/>
      <c r="M348" s="32"/>
      <c r="N348" s="34"/>
      <c r="O348" s="34"/>
      <c r="P348" s="34"/>
    </row>
    <row r="349" spans="2:16" x14ac:dyDescent="0.3">
      <c r="B349" s="33"/>
      <c r="C349" s="34"/>
      <c r="D349" s="34"/>
      <c r="E349" s="34"/>
      <c r="F349" s="34"/>
      <c r="G349" s="34"/>
      <c r="H349" s="34"/>
      <c r="I349" s="34"/>
      <c r="J349" s="34"/>
      <c r="K349" s="35"/>
      <c r="L349" s="34"/>
      <c r="M349" s="32"/>
      <c r="N349" s="34"/>
      <c r="O349" s="34"/>
      <c r="P349" s="34"/>
    </row>
    <row r="350" spans="2:16" x14ac:dyDescent="0.3">
      <c r="B350" s="33"/>
      <c r="C350" s="34"/>
      <c r="D350" s="34"/>
      <c r="E350" s="34"/>
      <c r="F350" s="34"/>
      <c r="G350" s="34"/>
      <c r="H350" s="34"/>
      <c r="I350" s="34"/>
      <c r="J350" s="34"/>
      <c r="K350" s="35"/>
      <c r="L350" s="34"/>
      <c r="M350" s="32"/>
      <c r="N350" s="34"/>
      <c r="O350" s="34"/>
      <c r="P350" s="34"/>
    </row>
    <row r="351" spans="2:16" x14ac:dyDescent="0.3">
      <c r="B351" s="33"/>
      <c r="C351" s="34"/>
      <c r="D351" s="34"/>
      <c r="E351" s="34"/>
      <c r="F351" s="34"/>
      <c r="G351" s="34"/>
      <c r="H351" s="34"/>
      <c r="I351" s="34"/>
      <c r="J351" s="34"/>
      <c r="K351" s="35"/>
      <c r="L351" s="34"/>
      <c r="M351" s="32"/>
      <c r="N351" s="34"/>
      <c r="O351" s="34"/>
      <c r="P351" s="34"/>
    </row>
    <row r="352" spans="2:16" x14ac:dyDescent="0.3">
      <c r="B352" s="33"/>
      <c r="C352" s="34"/>
      <c r="D352" s="34"/>
      <c r="E352" s="34"/>
      <c r="F352" s="34"/>
      <c r="G352" s="34"/>
      <c r="H352" s="34"/>
      <c r="I352" s="34"/>
      <c r="J352" s="34"/>
      <c r="K352" s="35"/>
      <c r="L352" s="34"/>
      <c r="M352" s="32"/>
      <c r="N352" s="34"/>
      <c r="O352" s="34"/>
      <c r="P352" s="34"/>
    </row>
    <row r="353" spans="2:16" x14ac:dyDescent="0.3">
      <c r="B353" s="33"/>
      <c r="C353" s="34"/>
      <c r="D353" s="34"/>
      <c r="E353" s="34"/>
      <c r="F353" s="34"/>
      <c r="G353" s="34"/>
      <c r="H353" s="34"/>
      <c r="I353" s="34"/>
      <c r="J353" s="34"/>
      <c r="K353" s="35"/>
      <c r="L353" s="34"/>
      <c r="M353" s="32"/>
      <c r="N353" s="34"/>
      <c r="O353" s="34"/>
      <c r="P353" s="34"/>
    </row>
    <row r="354" spans="2:16" x14ac:dyDescent="0.3">
      <c r="B354" s="33"/>
      <c r="C354" s="34"/>
      <c r="D354" s="34"/>
      <c r="E354" s="34"/>
      <c r="F354" s="34"/>
      <c r="G354" s="34"/>
      <c r="H354" s="34"/>
      <c r="I354" s="34"/>
      <c r="J354" s="34"/>
      <c r="K354" s="35"/>
      <c r="L354" s="34"/>
      <c r="M354" s="32"/>
      <c r="N354" s="34"/>
      <c r="O354" s="34"/>
      <c r="P354" s="34"/>
    </row>
    <row r="355" spans="2:16" x14ac:dyDescent="0.3">
      <c r="B355" s="33"/>
      <c r="C355" s="34"/>
      <c r="D355" s="34"/>
      <c r="E355" s="34"/>
      <c r="F355" s="34"/>
      <c r="G355" s="34"/>
      <c r="H355" s="34"/>
      <c r="I355" s="34"/>
      <c r="J355" s="34"/>
      <c r="K355" s="35"/>
      <c r="L355" s="34"/>
      <c r="M355" s="32"/>
      <c r="N355" s="34"/>
      <c r="O355" s="34"/>
      <c r="P355" s="34"/>
    </row>
    <row r="356" spans="2:16" x14ac:dyDescent="0.3">
      <c r="B356" s="33"/>
      <c r="C356" s="34"/>
      <c r="D356" s="34"/>
      <c r="E356" s="34"/>
      <c r="F356" s="34"/>
      <c r="G356" s="34"/>
      <c r="H356" s="34"/>
      <c r="I356" s="34"/>
      <c r="J356" s="34"/>
      <c r="K356" s="35"/>
      <c r="L356" s="34"/>
      <c r="M356" s="32"/>
      <c r="N356" s="34"/>
      <c r="O356" s="34"/>
      <c r="P356" s="34"/>
    </row>
    <row r="357" spans="2:16" x14ac:dyDescent="0.3">
      <c r="B357" s="33"/>
      <c r="C357" s="34"/>
      <c r="D357" s="34"/>
      <c r="E357" s="34"/>
      <c r="F357" s="34"/>
      <c r="G357" s="34"/>
      <c r="H357" s="34"/>
      <c r="I357" s="34"/>
      <c r="J357" s="34"/>
      <c r="K357" s="35"/>
      <c r="L357" s="34"/>
      <c r="M357" s="32"/>
      <c r="N357" s="34"/>
      <c r="O357" s="34"/>
      <c r="P357" s="34"/>
    </row>
    <row r="358" spans="2:16" x14ac:dyDescent="0.3">
      <c r="B358" s="33"/>
      <c r="C358" s="34"/>
      <c r="D358" s="34"/>
      <c r="E358" s="34"/>
      <c r="F358" s="34"/>
      <c r="G358" s="34"/>
      <c r="H358" s="34"/>
      <c r="I358" s="34"/>
      <c r="J358" s="34"/>
      <c r="K358" s="35"/>
      <c r="L358" s="34"/>
      <c r="M358" s="32"/>
      <c r="N358" s="34"/>
      <c r="O358" s="34"/>
      <c r="P358" s="34"/>
    </row>
    <row r="359" spans="2:16" x14ac:dyDescent="0.3">
      <c r="B359" s="33"/>
      <c r="C359" s="34"/>
      <c r="D359" s="34"/>
      <c r="E359" s="34"/>
      <c r="F359" s="34"/>
      <c r="G359" s="34"/>
      <c r="H359" s="34"/>
      <c r="I359" s="34"/>
      <c r="J359" s="34"/>
      <c r="K359" s="35"/>
      <c r="L359" s="34"/>
      <c r="M359" s="32"/>
      <c r="N359" s="34"/>
      <c r="O359" s="34"/>
      <c r="P359" s="34"/>
    </row>
    <row r="360" spans="2:16" x14ac:dyDescent="0.3">
      <c r="B360" s="33"/>
      <c r="C360" s="34"/>
      <c r="D360" s="34"/>
      <c r="E360" s="34"/>
      <c r="F360" s="34"/>
      <c r="G360" s="34"/>
      <c r="H360" s="34"/>
      <c r="I360" s="34"/>
      <c r="J360" s="34"/>
      <c r="K360" s="35"/>
      <c r="L360" s="34"/>
      <c r="M360" s="32"/>
      <c r="N360" s="34"/>
      <c r="O360" s="34"/>
      <c r="P360" s="34"/>
    </row>
    <row r="361" spans="2:16" x14ac:dyDescent="0.3">
      <c r="B361" s="33"/>
      <c r="C361" s="34"/>
      <c r="D361" s="34"/>
      <c r="E361" s="34"/>
      <c r="F361" s="34"/>
      <c r="G361" s="34"/>
      <c r="H361" s="34"/>
      <c r="I361" s="34"/>
      <c r="J361" s="34"/>
      <c r="K361" s="35"/>
      <c r="L361" s="34"/>
      <c r="M361" s="32"/>
      <c r="N361" s="34"/>
      <c r="O361" s="34"/>
      <c r="P361" s="34"/>
    </row>
    <row r="362" spans="2:16" x14ac:dyDescent="0.3">
      <c r="B362" s="33"/>
      <c r="C362" s="34"/>
      <c r="D362" s="34"/>
      <c r="E362" s="34"/>
      <c r="F362" s="34"/>
      <c r="G362" s="34"/>
      <c r="H362" s="34"/>
      <c r="I362" s="34"/>
      <c r="J362" s="34"/>
      <c r="K362" s="35"/>
      <c r="L362" s="34"/>
      <c r="M362" s="32"/>
      <c r="N362" s="34"/>
      <c r="O362" s="34"/>
      <c r="P362" s="34"/>
    </row>
    <row r="363" spans="2:16" x14ac:dyDescent="0.3">
      <c r="B363" s="33"/>
      <c r="C363" s="34"/>
      <c r="D363" s="34"/>
      <c r="E363" s="34"/>
      <c r="F363" s="34"/>
      <c r="G363" s="34"/>
      <c r="H363" s="34"/>
      <c r="I363" s="34"/>
      <c r="J363" s="34"/>
      <c r="K363" s="35"/>
      <c r="L363" s="34"/>
      <c r="M363" s="32"/>
      <c r="N363" s="34"/>
      <c r="O363" s="34"/>
      <c r="P363" s="34"/>
    </row>
    <row r="364" spans="2:16" x14ac:dyDescent="0.3">
      <c r="B364" s="33"/>
      <c r="C364" s="34"/>
      <c r="D364" s="34"/>
      <c r="E364" s="34"/>
      <c r="F364" s="34"/>
      <c r="G364" s="34"/>
      <c r="H364" s="34"/>
      <c r="I364" s="34"/>
      <c r="J364" s="34"/>
      <c r="K364" s="35"/>
      <c r="L364" s="34"/>
      <c r="M364" s="32"/>
      <c r="N364" s="34"/>
      <c r="O364" s="34"/>
      <c r="P364" s="34"/>
    </row>
    <row r="365" spans="2:16" x14ac:dyDescent="0.3">
      <c r="B365" s="33"/>
      <c r="C365" s="34"/>
      <c r="D365" s="34"/>
      <c r="E365" s="34"/>
      <c r="F365" s="34"/>
      <c r="G365" s="34"/>
      <c r="H365" s="34"/>
      <c r="I365" s="34"/>
      <c r="J365" s="34"/>
      <c r="K365" s="35"/>
      <c r="L365" s="34"/>
      <c r="M365" s="32"/>
      <c r="N365" s="34"/>
      <c r="O365" s="34"/>
      <c r="P365" s="34"/>
    </row>
    <row r="366" spans="2:16" x14ac:dyDescent="0.3">
      <c r="B366" s="33"/>
      <c r="C366" s="34"/>
      <c r="D366" s="34"/>
      <c r="E366" s="34"/>
      <c r="F366" s="34"/>
      <c r="G366" s="34"/>
      <c r="H366" s="34"/>
      <c r="I366" s="34"/>
      <c r="J366" s="34"/>
      <c r="K366" s="35"/>
      <c r="L366" s="34"/>
      <c r="M366" s="32"/>
      <c r="N366" s="34"/>
      <c r="O366" s="34"/>
      <c r="P366" s="34"/>
    </row>
    <row r="367" spans="2:16" x14ac:dyDescent="0.3">
      <c r="B367" s="33"/>
      <c r="C367" s="34"/>
      <c r="D367" s="34"/>
      <c r="E367" s="34"/>
      <c r="F367" s="34"/>
      <c r="G367" s="34"/>
      <c r="H367" s="34"/>
      <c r="I367" s="34"/>
      <c r="J367" s="34"/>
      <c r="K367" s="35"/>
      <c r="L367" s="34"/>
      <c r="M367" s="32"/>
      <c r="N367" s="34"/>
      <c r="O367" s="34"/>
      <c r="P367" s="34"/>
    </row>
    <row r="368" spans="2:16" x14ac:dyDescent="0.3">
      <c r="B368" s="33"/>
      <c r="C368" s="34"/>
      <c r="D368" s="34"/>
      <c r="E368" s="34"/>
      <c r="F368" s="34"/>
      <c r="G368" s="34"/>
      <c r="H368" s="34"/>
      <c r="I368" s="34"/>
      <c r="J368" s="34"/>
      <c r="K368" s="35"/>
      <c r="L368" s="34"/>
      <c r="M368" s="32"/>
      <c r="N368" s="34"/>
      <c r="O368" s="34"/>
      <c r="P368" s="34"/>
    </row>
    <row r="369" spans="2:16" x14ac:dyDescent="0.3">
      <c r="B369" s="33"/>
      <c r="C369" s="34"/>
      <c r="D369" s="34"/>
      <c r="E369" s="34"/>
      <c r="F369" s="34"/>
      <c r="G369" s="34"/>
      <c r="H369" s="34"/>
      <c r="I369" s="34"/>
      <c r="J369" s="34"/>
      <c r="K369" s="35"/>
      <c r="L369" s="34"/>
      <c r="M369" s="32"/>
      <c r="N369" s="34"/>
      <c r="O369" s="34"/>
      <c r="P369" s="34"/>
    </row>
    <row r="370" spans="2:16" x14ac:dyDescent="0.3">
      <c r="B370" s="33"/>
      <c r="C370" s="34"/>
      <c r="D370" s="34"/>
      <c r="E370" s="34"/>
      <c r="F370" s="34"/>
      <c r="G370" s="34"/>
      <c r="H370" s="34"/>
      <c r="I370" s="34"/>
      <c r="J370" s="34"/>
      <c r="K370" s="35"/>
      <c r="L370" s="34"/>
      <c r="M370" s="32"/>
      <c r="N370" s="34"/>
      <c r="O370" s="34"/>
      <c r="P370" s="34"/>
    </row>
    <row r="371" spans="2:16" x14ac:dyDescent="0.3">
      <c r="B371" s="33"/>
      <c r="C371" s="34"/>
      <c r="D371" s="34"/>
      <c r="E371" s="34"/>
      <c r="F371" s="34"/>
      <c r="G371" s="34"/>
      <c r="H371" s="34"/>
      <c r="I371" s="34"/>
      <c r="J371" s="34"/>
      <c r="K371" s="35"/>
      <c r="L371" s="34"/>
      <c r="M371" s="32"/>
      <c r="N371" s="34"/>
      <c r="O371" s="34"/>
      <c r="P371" s="34"/>
    </row>
    <row r="372" spans="2:16" x14ac:dyDescent="0.3">
      <c r="B372" s="33"/>
      <c r="C372" s="34"/>
      <c r="D372" s="34"/>
      <c r="E372" s="34"/>
      <c r="F372" s="34"/>
      <c r="G372" s="34"/>
      <c r="H372" s="34"/>
      <c r="I372" s="34"/>
      <c r="J372" s="34"/>
      <c r="K372" s="35"/>
      <c r="L372" s="34"/>
      <c r="M372" s="32"/>
      <c r="N372" s="34"/>
      <c r="O372" s="34"/>
      <c r="P372" s="34"/>
    </row>
    <row r="373" spans="2:16" x14ac:dyDescent="0.3">
      <c r="B373" s="33"/>
      <c r="C373" s="34"/>
      <c r="D373" s="34"/>
      <c r="E373" s="34"/>
      <c r="F373" s="34"/>
      <c r="G373" s="34"/>
      <c r="H373" s="34"/>
      <c r="I373" s="34"/>
      <c r="J373" s="34"/>
      <c r="K373" s="35"/>
      <c r="L373" s="34"/>
      <c r="M373" s="32"/>
      <c r="N373" s="34"/>
      <c r="O373" s="34"/>
      <c r="P373" s="34"/>
    </row>
    <row r="374" spans="2:16" x14ac:dyDescent="0.3">
      <c r="B374" s="33"/>
      <c r="C374" s="34"/>
      <c r="D374" s="34"/>
      <c r="E374" s="34"/>
      <c r="F374" s="34"/>
      <c r="G374" s="34"/>
      <c r="H374" s="34"/>
      <c r="I374" s="34"/>
      <c r="J374" s="34"/>
      <c r="K374" s="35"/>
      <c r="L374" s="34"/>
      <c r="M374" s="32"/>
      <c r="N374" s="34"/>
      <c r="O374" s="34"/>
      <c r="P374" s="34"/>
    </row>
    <row r="375" spans="2:16" x14ac:dyDescent="0.3">
      <c r="B375" s="33"/>
      <c r="C375" s="34"/>
      <c r="D375" s="34"/>
      <c r="E375" s="34"/>
      <c r="F375" s="34"/>
      <c r="G375" s="34"/>
      <c r="H375" s="34"/>
      <c r="I375" s="34"/>
      <c r="J375" s="34"/>
      <c r="K375" s="35"/>
      <c r="L375" s="34"/>
      <c r="M375" s="32"/>
      <c r="N375" s="34"/>
      <c r="O375" s="34"/>
      <c r="P375" s="34"/>
    </row>
    <row r="376" spans="2:16" x14ac:dyDescent="0.3">
      <c r="B376" s="33"/>
      <c r="C376" s="34"/>
      <c r="D376" s="34"/>
      <c r="E376" s="34"/>
      <c r="F376" s="34"/>
      <c r="G376" s="34"/>
      <c r="H376" s="34"/>
      <c r="I376" s="34"/>
      <c r="J376" s="34"/>
      <c r="K376" s="35"/>
      <c r="L376" s="34"/>
      <c r="M376" s="32"/>
      <c r="N376" s="34"/>
      <c r="O376" s="34"/>
      <c r="P376" s="34"/>
    </row>
    <row r="377" spans="2:16" x14ac:dyDescent="0.3">
      <c r="B377" s="33"/>
      <c r="C377" s="34"/>
      <c r="D377" s="34"/>
      <c r="E377" s="34"/>
      <c r="F377" s="34"/>
      <c r="G377" s="34"/>
      <c r="H377" s="34"/>
      <c r="I377" s="34"/>
      <c r="J377" s="34"/>
      <c r="K377" s="35"/>
      <c r="L377" s="34"/>
      <c r="M377" s="32"/>
      <c r="N377" s="34"/>
      <c r="O377" s="34"/>
      <c r="P377" s="34"/>
    </row>
    <row r="378" spans="2:16" x14ac:dyDescent="0.3">
      <c r="B378" s="33"/>
      <c r="C378" s="34"/>
      <c r="D378" s="34"/>
      <c r="E378" s="34"/>
      <c r="F378" s="34"/>
      <c r="G378" s="34"/>
      <c r="H378" s="34"/>
      <c r="I378" s="34"/>
      <c r="J378" s="34"/>
      <c r="K378" s="35"/>
      <c r="L378" s="34"/>
      <c r="M378" s="32"/>
      <c r="N378" s="34"/>
      <c r="O378" s="34"/>
      <c r="P378" s="34"/>
    </row>
    <row r="379" spans="2:16" x14ac:dyDescent="0.3">
      <c r="B379" s="33"/>
      <c r="C379" s="34"/>
      <c r="D379" s="34"/>
      <c r="E379" s="34"/>
      <c r="F379" s="34"/>
      <c r="G379" s="34"/>
      <c r="H379" s="34"/>
      <c r="I379" s="34"/>
      <c r="J379" s="34"/>
      <c r="K379" s="35"/>
      <c r="L379" s="34"/>
      <c r="M379" s="32"/>
      <c r="N379" s="34"/>
      <c r="O379" s="34"/>
      <c r="P379" s="34"/>
    </row>
    <row r="380" spans="2:16" x14ac:dyDescent="0.3">
      <c r="B380" s="33"/>
      <c r="C380" s="34"/>
      <c r="D380" s="34"/>
      <c r="E380" s="34"/>
      <c r="F380" s="34"/>
      <c r="G380" s="34"/>
      <c r="H380" s="34"/>
      <c r="I380" s="34"/>
      <c r="J380" s="34"/>
      <c r="K380" s="35"/>
      <c r="L380" s="34"/>
      <c r="M380" s="32"/>
      <c r="N380" s="34"/>
      <c r="O380" s="34"/>
      <c r="P380" s="34"/>
    </row>
    <row r="381" spans="2:16" x14ac:dyDescent="0.3">
      <c r="B381" s="33"/>
      <c r="C381" s="34"/>
      <c r="D381" s="34"/>
      <c r="E381" s="34"/>
      <c r="F381" s="34"/>
      <c r="G381" s="34"/>
      <c r="H381" s="34"/>
      <c r="I381" s="34"/>
      <c r="J381" s="34"/>
      <c r="K381" s="35"/>
      <c r="L381" s="34"/>
      <c r="M381" s="32"/>
      <c r="N381" s="34"/>
      <c r="O381" s="34"/>
      <c r="P381" s="34"/>
    </row>
    <row r="382" spans="2:16" x14ac:dyDescent="0.3">
      <c r="B382" s="33"/>
      <c r="C382" s="34"/>
      <c r="D382" s="34"/>
      <c r="E382" s="34"/>
      <c r="F382" s="34"/>
      <c r="G382" s="34"/>
      <c r="H382" s="34"/>
      <c r="I382" s="34"/>
      <c r="J382" s="34"/>
      <c r="K382" s="35"/>
      <c r="L382" s="34"/>
      <c r="M382" s="32"/>
      <c r="N382" s="34"/>
      <c r="O382" s="34"/>
      <c r="P382" s="34"/>
    </row>
    <row r="383" spans="2:16" x14ac:dyDescent="0.3">
      <c r="B383" s="33"/>
      <c r="C383" s="34"/>
      <c r="D383" s="34"/>
      <c r="E383" s="34"/>
      <c r="F383" s="34"/>
      <c r="G383" s="34"/>
      <c r="H383" s="34"/>
      <c r="I383" s="34"/>
      <c r="J383" s="34"/>
      <c r="K383" s="35"/>
      <c r="L383" s="34"/>
      <c r="M383" s="32"/>
      <c r="N383" s="34"/>
      <c r="O383" s="34"/>
      <c r="P383" s="34"/>
    </row>
    <row r="384" spans="2:16" x14ac:dyDescent="0.3">
      <c r="B384" s="33"/>
      <c r="C384" s="34"/>
      <c r="D384" s="34"/>
      <c r="E384" s="34"/>
      <c r="F384" s="34"/>
      <c r="G384" s="34"/>
      <c r="H384" s="34"/>
      <c r="I384" s="34"/>
      <c r="J384" s="34"/>
      <c r="K384" s="35"/>
      <c r="L384" s="34"/>
      <c r="M384" s="32"/>
      <c r="N384" s="34"/>
      <c r="O384" s="34"/>
      <c r="P384" s="34"/>
    </row>
    <row r="385" spans="2:16" x14ac:dyDescent="0.3">
      <c r="B385" s="33"/>
      <c r="C385" s="34"/>
      <c r="D385" s="34"/>
      <c r="E385" s="34"/>
      <c r="F385" s="34"/>
      <c r="G385" s="34"/>
      <c r="H385" s="34"/>
      <c r="I385" s="34"/>
      <c r="J385" s="34"/>
      <c r="K385" s="35"/>
      <c r="L385" s="34"/>
      <c r="M385" s="32"/>
      <c r="N385" s="34"/>
      <c r="O385" s="34"/>
      <c r="P385" s="34"/>
    </row>
    <row r="386" spans="2:16" x14ac:dyDescent="0.3">
      <c r="B386" s="33"/>
      <c r="C386" s="34"/>
      <c r="D386" s="34"/>
      <c r="E386" s="34"/>
      <c r="F386" s="34"/>
      <c r="G386" s="34"/>
      <c r="H386" s="34"/>
      <c r="I386" s="34"/>
      <c r="J386" s="34"/>
      <c r="K386" s="35"/>
      <c r="L386" s="34"/>
      <c r="M386" s="32"/>
      <c r="N386" s="34"/>
      <c r="O386" s="34"/>
      <c r="P386" s="34"/>
    </row>
    <row r="387" spans="2:16" x14ac:dyDescent="0.3">
      <c r="B387" s="33"/>
      <c r="C387" s="34"/>
      <c r="D387" s="34"/>
      <c r="E387" s="34"/>
      <c r="F387" s="34"/>
      <c r="G387" s="34"/>
      <c r="H387" s="34"/>
      <c r="I387" s="34"/>
      <c r="J387" s="34"/>
      <c r="K387" s="35"/>
      <c r="L387" s="34"/>
      <c r="M387" s="32"/>
      <c r="N387" s="34"/>
      <c r="O387" s="34"/>
      <c r="P387" s="34"/>
    </row>
    <row r="388" spans="2:16" x14ac:dyDescent="0.3">
      <c r="B388" s="33"/>
      <c r="C388" s="34"/>
      <c r="D388" s="34"/>
      <c r="E388" s="34"/>
      <c r="F388" s="34"/>
      <c r="G388" s="34"/>
      <c r="H388" s="34"/>
      <c r="I388" s="34"/>
      <c r="J388" s="34"/>
      <c r="K388" s="35"/>
      <c r="L388" s="34"/>
      <c r="M388" s="32"/>
      <c r="N388" s="34"/>
      <c r="O388" s="34"/>
      <c r="P388" s="34"/>
    </row>
    <row r="389" spans="2:16" x14ac:dyDescent="0.3">
      <c r="B389" s="33"/>
      <c r="C389" s="34"/>
      <c r="D389" s="34"/>
      <c r="E389" s="34"/>
      <c r="F389" s="34"/>
      <c r="G389" s="34"/>
      <c r="H389" s="34"/>
      <c r="I389" s="34"/>
      <c r="J389" s="34"/>
      <c r="K389" s="35"/>
      <c r="L389" s="34"/>
      <c r="M389" s="32"/>
      <c r="N389" s="34"/>
      <c r="O389" s="34"/>
      <c r="P389" s="34"/>
    </row>
    <row r="390" spans="2:16" x14ac:dyDescent="0.3">
      <c r="B390" s="33"/>
      <c r="C390" s="34"/>
      <c r="D390" s="34"/>
      <c r="E390" s="34"/>
      <c r="F390" s="34"/>
      <c r="G390" s="34"/>
      <c r="H390" s="34"/>
      <c r="I390" s="34"/>
      <c r="J390" s="34"/>
      <c r="K390" s="35"/>
      <c r="L390" s="34"/>
      <c r="M390" s="32"/>
      <c r="N390" s="34"/>
      <c r="O390" s="34"/>
      <c r="P390" s="34"/>
    </row>
    <row r="391" spans="2:16" x14ac:dyDescent="0.3">
      <c r="B391" s="33"/>
      <c r="C391" s="34"/>
      <c r="D391" s="34"/>
      <c r="E391" s="34"/>
      <c r="F391" s="34"/>
      <c r="G391" s="34"/>
      <c r="H391" s="34"/>
      <c r="I391" s="34"/>
      <c r="J391" s="34"/>
      <c r="K391" s="35"/>
      <c r="L391" s="34"/>
      <c r="M391" s="32"/>
      <c r="N391" s="34"/>
      <c r="O391" s="34"/>
      <c r="P391" s="34"/>
    </row>
    <row r="392" spans="2:16" x14ac:dyDescent="0.3">
      <c r="B392" s="33"/>
      <c r="C392" s="34"/>
      <c r="D392" s="34"/>
      <c r="E392" s="34"/>
      <c r="F392" s="34"/>
      <c r="G392" s="34"/>
      <c r="H392" s="34"/>
      <c r="I392" s="34"/>
      <c r="J392" s="34"/>
      <c r="K392" s="35"/>
      <c r="L392" s="34"/>
      <c r="M392" s="32"/>
      <c r="N392" s="34"/>
      <c r="O392" s="34"/>
      <c r="P392" s="34"/>
    </row>
    <row r="393" spans="2:16" x14ac:dyDescent="0.3">
      <c r="B393" s="33"/>
      <c r="C393" s="34"/>
      <c r="D393" s="34"/>
      <c r="E393" s="34"/>
      <c r="F393" s="34"/>
      <c r="G393" s="34"/>
      <c r="H393" s="34"/>
      <c r="I393" s="34"/>
      <c r="J393" s="34"/>
      <c r="K393" s="35"/>
      <c r="L393" s="34"/>
      <c r="M393" s="32"/>
      <c r="N393" s="34"/>
      <c r="O393" s="34"/>
      <c r="P393" s="34"/>
    </row>
    <row r="394" spans="2:16" x14ac:dyDescent="0.3">
      <c r="B394" s="33"/>
      <c r="C394" s="34"/>
      <c r="D394" s="34"/>
      <c r="E394" s="34"/>
      <c r="F394" s="34"/>
      <c r="G394" s="34"/>
      <c r="H394" s="34"/>
      <c r="I394" s="34"/>
      <c r="J394" s="34"/>
      <c r="K394" s="35"/>
      <c r="L394" s="34"/>
      <c r="M394" s="32"/>
      <c r="N394" s="34"/>
      <c r="O394" s="34"/>
      <c r="P394" s="34"/>
    </row>
    <row r="395" spans="2:16" x14ac:dyDescent="0.3">
      <c r="B395" s="33"/>
      <c r="C395" s="34"/>
      <c r="D395" s="34"/>
      <c r="E395" s="34"/>
      <c r="F395" s="34"/>
      <c r="G395" s="34"/>
      <c r="H395" s="34"/>
      <c r="I395" s="34"/>
      <c r="J395" s="34"/>
      <c r="K395" s="35"/>
      <c r="L395" s="34"/>
      <c r="M395" s="32"/>
      <c r="N395" s="34"/>
      <c r="O395" s="34"/>
      <c r="P395" s="34"/>
    </row>
    <row r="396" spans="2:16" x14ac:dyDescent="0.3">
      <c r="B396" s="33"/>
      <c r="C396" s="34"/>
      <c r="D396" s="34"/>
      <c r="E396" s="34"/>
      <c r="F396" s="34"/>
      <c r="G396" s="34"/>
      <c r="H396" s="34"/>
      <c r="I396" s="34"/>
      <c r="J396" s="34"/>
      <c r="K396" s="35"/>
      <c r="L396" s="34"/>
      <c r="M396" s="32"/>
      <c r="N396" s="34"/>
      <c r="O396" s="34"/>
      <c r="P396" s="34"/>
    </row>
    <row r="397" spans="2:16" x14ac:dyDescent="0.3">
      <c r="B397" s="33"/>
      <c r="C397" s="34"/>
      <c r="D397" s="34"/>
      <c r="E397" s="34"/>
      <c r="F397" s="34"/>
      <c r="G397" s="34"/>
      <c r="H397" s="34"/>
      <c r="I397" s="34"/>
      <c r="J397" s="34"/>
      <c r="K397" s="35"/>
      <c r="L397" s="34"/>
      <c r="M397" s="32"/>
      <c r="N397" s="34"/>
      <c r="O397" s="34"/>
      <c r="P397" s="34"/>
    </row>
    <row r="398" spans="2:16" x14ac:dyDescent="0.3">
      <c r="B398" s="33"/>
      <c r="C398" s="34"/>
      <c r="D398" s="34"/>
      <c r="E398" s="34"/>
      <c r="F398" s="34"/>
      <c r="G398" s="34"/>
      <c r="H398" s="34"/>
      <c r="I398" s="34"/>
      <c r="J398" s="34"/>
      <c r="K398" s="35"/>
      <c r="L398" s="34"/>
      <c r="M398" s="32"/>
      <c r="N398" s="34"/>
      <c r="O398" s="34"/>
      <c r="P398" s="34"/>
    </row>
    <row r="399" spans="2:16" x14ac:dyDescent="0.3">
      <c r="B399" s="33"/>
      <c r="C399" s="34"/>
      <c r="D399" s="34"/>
      <c r="E399" s="34"/>
      <c r="F399" s="34"/>
      <c r="G399" s="34"/>
      <c r="H399" s="34"/>
      <c r="I399" s="34"/>
      <c r="J399" s="34"/>
      <c r="K399" s="35"/>
      <c r="L399" s="34"/>
      <c r="M399" s="32"/>
      <c r="N399" s="34"/>
      <c r="O399" s="34"/>
      <c r="P399" s="34"/>
    </row>
    <row r="400" spans="2:16" x14ac:dyDescent="0.3">
      <c r="B400" s="33"/>
      <c r="C400" s="34"/>
      <c r="D400" s="34"/>
      <c r="E400" s="34"/>
      <c r="F400" s="34"/>
      <c r="G400" s="34"/>
      <c r="H400" s="34"/>
      <c r="I400" s="34"/>
      <c r="J400" s="34"/>
      <c r="K400" s="35"/>
      <c r="L400" s="34"/>
      <c r="M400" s="32"/>
      <c r="N400" s="34"/>
      <c r="O400" s="34"/>
      <c r="P400" s="34"/>
    </row>
    <row r="401" spans="2:16" x14ac:dyDescent="0.3">
      <c r="B401" s="33"/>
      <c r="C401" s="34"/>
      <c r="D401" s="34"/>
      <c r="E401" s="34"/>
      <c r="F401" s="34"/>
      <c r="G401" s="34"/>
      <c r="H401" s="34"/>
      <c r="I401" s="34"/>
      <c r="J401" s="34"/>
      <c r="K401" s="35"/>
      <c r="L401" s="34"/>
      <c r="M401" s="32"/>
      <c r="N401" s="34"/>
      <c r="O401" s="34"/>
      <c r="P401" s="34"/>
    </row>
    <row r="402" spans="2:16" x14ac:dyDescent="0.3">
      <c r="B402" s="33"/>
      <c r="C402" s="34"/>
      <c r="D402" s="34"/>
      <c r="E402" s="34"/>
      <c r="F402" s="34"/>
      <c r="G402" s="34"/>
      <c r="H402" s="34"/>
      <c r="I402" s="34"/>
      <c r="J402" s="34"/>
      <c r="K402" s="35"/>
      <c r="L402" s="34"/>
      <c r="M402" s="32"/>
      <c r="N402" s="34"/>
      <c r="O402" s="34"/>
      <c r="P402" s="34"/>
    </row>
    <row r="403" spans="2:16" x14ac:dyDescent="0.3">
      <c r="B403" s="33"/>
      <c r="C403" s="34"/>
      <c r="D403" s="34"/>
      <c r="E403" s="34"/>
      <c r="F403" s="34"/>
      <c r="G403" s="34"/>
      <c r="H403" s="34"/>
      <c r="I403" s="34"/>
      <c r="J403" s="34"/>
      <c r="K403" s="35"/>
      <c r="L403" s="34"/>
      <c r="M403" s="32"/>
      <c r="N403" s="34"/>
      <c r="O403" s="34"/>
      <c r="P403" s="34"/>
    </row>
    <row r="404" spans="2:16" x14ac:dyDescent="0.3">
      <c r="B404" s="33"/>
      <c r="C404" s="34"/>
      <c r="D404" s="34"/>
      <c r="E404" s="34"/>
      <c r="F404" s="34"/>
      <c r="G404" s="34"/>
      <c r="H404" s="34"/>
      <c r="I404" s="34"/>
      <c r="J404" s="34"/>
      <c r="K404" s="35"/>
      <c r="L404" s="34"/>
      <c r="M404" s="32"/>
      <c r="N404" s="34"/>
      <c r="O404" s="34"/>
      <c r="P404" s="34"/>
    </row>
    <row r="405" spans="2:16" x14ac:dyDescent="0.3">
      <c r="B405" s="33"/>
      <c r="C405" s="34"/>
      <c r="D405" s="34"/>
      <c r="E405" s="34"/>
      <c r="F405" s="34"/>
      <c r="G405" s="34"/>
      <c r="H405" s="34"/>
      <c r="I405" s="34"/>
      <c r="J405" s="34"/>
      <c r="K405" s="35"/>
      <c r="L405" s="34"/>
      <c r="M405" s="32"/>
      <c r="N405" s="34"/>
      <c r="O405" s="34"/>
      <c r="P405" s="34"/>
    </row>
    <row r="406" spans="2:16" x14ac:dyDescent="0.3">
      <c r="B406" s="33"/>
      <c r="C406" s="34"/>
      <c r="D406" s="34"/>
      <c r="E406" s="34"/>
      <c r="F406" s="34"/>
      <c r="G406" s="34"/>
      <c r="H406" s="34"/>
      <c r="I406" s="34"/>
      <c r="J406" s="34"/>
      <c r="K406" s="35"/>
      <c r="L406" s="34"/>
      <c r="M406" s="32"/>
      <c r="N406" s="34"/>
      <c r="O406" s="34"/>
      <c r="P406" s="34"/>
    </row>
    <row r="407" spans="2:16" x14ac:dyDescent="0.3">
      <c r="B407" s="33"/>
      <c r="C407" s="34"/>
      <c r="D407" s="34"/>
      <c r="E407" s="34"/>
      <c r="F407" s="34"/>
      <c r="G407" s="34"/>
      <c r="H407" s="34"/>
      <c r="I407" s="34"/>
      <c r="J407" s="34"/>
      <c r="K407" s="35"/>
      <c r="L407" s="34"/>
      <c r="M407" s="32"/>
      <c r="N407" s="34"/>
      <c r="O407" s="34"/>
      <c r="P407" s="34"/>
    </row>
    <row r="408" spans="2:16" x14ac:dyDescent="0.3">
      <c r="B408" s="33"/>
      <c r="C408" s="34"/>
      <c r="D408" s="34"/>
      <c r="E408" s="34"/>
      <c r="F408" s="34"/>
      <c r="G408" s="34"/>
      <c r="H408" s="34"/>
      <c r="I408" s="34"/>
      <c r="J408" s="34"/>
      <c r="K408" s="35"/>
      <c r="L408" s="34"/>
      <c r="M408" s="32"/>
      <c r="N408" s="34"/>
      <c r="O408" s="34"/>
      <c r="P408" s="34"/>
    </row>
    <row r="409" spans="2:16" x14ac:dyDescent="0.3">
      <c r="B409" s="33"/>
      <c r="C409" s="34"/>
      <c r="D409" s="34"/>
      <c r="E409" s="34"/>
      <c r="F409" s="34"/>
      <c r="G409" s="34"/>
      <c r="H409" s="34"/>
      <c r="I409" s="34"/>
      <c r="J409" s="34"/>
      <c r="K409" s="35"/>
      <c r="L409" s="34"/>
      <c r="M409" s="32"/>
      <c r="N409" s="34"/>
      <c r="O409" s="34"/>
      <c r="P409" s="34"/>
    </row>
    <row r="410" spans="2:16" x14ac:dyDescent="0.3">
      <c r="B410" s="33"/>
      <c r="C410" s="34"/>
      <c r="D410" s="34"/>
      <c r="E410" s="34"/>
      <c r="F410" s="34"/>
      <c r="G410" s="34"/>
      <c r="H410" s="34"/>
      <c r="I410" s="34"/>
      <c r="J410" s="34"/>
      <c r="K410" s="35"/>
      <c r="L410" s="34"/>
      <c r="M410" s="32"/>
      <c r="N410" s="34"/>
      <c r="O410" s="34"/>
      <c r="P410" s="34"/>
    </row>
    <row r="411" spans="2:16" x14ac:dyDescent="0.3">
      <c r="B411" s="33"/>
      <c r="C411" s="34"/>
      <c r="D411" s="34"/>
      <c r="E411" s="34"/>
      <c r="F411" s="34"/>
      <c r="G411" s="34"/>
      <c r="H411" s="34"/>
      <c r="I411" s="34"/>
      <c r="J411" s="34"/>
      <c r="K411" s="35"/>
      <c r="L411" s="34"/>
      <c r="M411" s="32"/>
      <c r="N411" s="34"/>
      <c r="O411" s="34"/>
      <c r="P411" s="34"/>
    </row>
    <row r="412" spans="2:16" x14ac:dyDescent="0.3">
      <c r="B412" s="33"/>
      <c r="C412" s="34"/>
      <c r="D412" s="34"/>
      <c r="E412" s="34"/>
      <c r="F412" s="34"/>
      <c r="G412" s="34"/>
      <c r="H412" s="34"/>
      <c r="I412" s="34"/>
      <c r="J412" s="34"/>
      <c r="K412" s="35"/>
      <c r="L412" s="34"/>
      <c r="M412" s="32"/>
      <c r="N412" s="34"/>
      <c r="O412" s="34"/>
      <c r="P412" s="34"/>
    </row>
    <row r="413" spans="2:16" x14ac:dyDescent="0.3">
      <c r="B413" s="33"/>
      <c r="C413" s="34"/>
      <c r="D413" s="34"/>
      <c r="E413" s="34"/>
      <c r="F413" s="34"/>
      <c r="G413" s="34"/>
      <c r="H413" s="34"/>
      <c r="I413" s="34"/>
      <c r="J413" s="34"/>
      <c r="K413" s="35"/>
      <c r="L413" s="34"/>
      <c r="M413" s="32"/>
      <c r="N413" s="34"/>
      <c r="O413" s="34"/>
      <c r="P413" s="34"/>
    </row>
    <row r="414" spans="2:16" x14ac:dyDescent="0.3">
      <c r="B414" s="33"/>
      <c r="C414" s="34"/>
      <c r="D414" s="34"/>
      <c r="E414" s="34"/>
      <c r="F414" s="34"/>
      <c r="G414" s="34"/>
      <c r="H414" s="34"/>
      <c r="I414" s="34"/>
      <c r="J414" s="34"/>
      <c r="K414" s="35"/>
      <c r="L414" s="34"/>
      <c r="M414" s="32"/>
      <c r="N414" s="34"/>
      <c r="O414" s="34"/>
      <c r="P414" s="34"/>
    </row>
    <row r="415" spans="2:16" x14ac:dyDescent="0.3">
      <c r="B415" s="33"/>
      <c r="C415" s="34"/>
      <c r="D415" s="34"/>
      <c r="E415" s="34"/>
      <c r="F415" s="34"/>
      <c r="G415" s="34"/>
      <c r="H415" s="34"/>
      <c r="I415" s="34"/>
      <c r="J415" s="34"/>
      <c r="K415" s="35"/>
      <c r="L415" s="34"/>
      <c r="M415" s="32"/>
      <c r="N415" s="34"/>
      <c r="O415" s="34"/>
      <c r="P415" s="34"/>
    </row>
    <row r="416" spans="2:16" x14ac:dyDescent="0.3">
      <c r="B416" s="33"/>
      <c r="C416" s="34"/>
      <c r="D416" s="34"/>
      <c r="E416" s="34"/>
      <c r="F416" s="34"/>
      <c r="G416" s="34"/>
      <c r="H416" s="34"/>
      <c r="I416" s="34"/>
      <c r="J416" s="34"/>
      <c r="K416" s="35"/>
      <c r="L416" s="34"/>
      <c r="M416" s="32"/>
      <c r="N416" s="34"/>
      <c r="O416" s="34"/>
      <c r="P416" s="34"/>
    </row>
    <row r="417" spans="2:16" x14ac:dyDescent="0.3">
      <c r="B417" s="33"/>
      <c r="C417" s="34"/>
      <c r="D417" s="34"/>
      <c r="E417" s="34"/>
      <c r="F417" s="34"/>
      <c r="G417" s="34"/>
      <c r="H417" s="34"/>
      <c r="I417" s="34"/>
      <c r="J417" s="34"/>
      <c r="K417" s="35"/>
      <c r="L417" s="34"/>
      <c r="M417" s="32"/>
      <c r="N417" s="34"/>
      <c r="O417" s="34"/>
      <c r="P417" s="34"/>
    </row>
    <row r="418" spans="2:16" x14ac:dyDescent="0.3">
      <c r="B418" s="33"/>
      <c r="C418" s="34"/>
      <c r="D418" s="34"/>
      <c r="E418" s="34"/>
      <c r="F418" s="34"/>
      <c r="G418" s="34"/>
      <c r="H418" s="34"/>
      <c r="I418" s="34"/>
      <c r="J418" s="34"/>
      <c r="K418" s="35"/>
      <c r="L418" s="34"/>
      <c r="M418" s="32"/>
      <c r="N418" s="34"/>
      <c r="O418" s="34"/>
      <c r="P418" s="34"/>
    </row>
    <row r="419" spans="2:16" x14ac:dyDescent="0.3">
      <c r="B419" s="33"/>
      <c r="C419" s="34"/>
      <c r="D419" s="34"/>
      <c r="E419" s="34"/>
      <c r="F419" s="34"/>
      <c r="G419" s="34"/>
      <c r="H419" s="34"/>
      <c r="I419" s="34"/>
      <c r="J419" s="34"/>
      <c r="K419" s="35"/>
      <c r="L419" s="34"/>
      <c r="M419" s="32"/>
      <c r="N419" s="34"/>
      <c r="O419" s="34"/>
      <c r="P419" s="34"/>
    </row>
    <row r="420" spans="2:16" x14ac:dyDescent="0.3">
      <c r="B420" s="33"/>
      <c r="C420" s="34"/>
      <c r="D420" s="34"/>
      <c r="E420" s="34"/>
      <c r="F420" s="34"/>
      <c r="G420" s="34"/>
      <c r="H420" s="34"/>
      <c r="I420" s="34"/>
      <c r="J420" s="34"/>
      <c r="K420" s="35"/>
      <c r="L420" s="34"/>
      <c r="M420" s="32"/>
      <c r="N420" s="34"/>
      <c r="O420" s="34"/>
      <c r="P420" s="34"/>
    </row>
    <row r="421" spans="2:16" x14ac:dyDescent="0.3">
      <c r="B421" s="33"/>
      <c r="C421" s="34"/>
      <c r="D421" s="34"/>
      <c r="E421" s="34"/>
      <c r="F421" s="34"/>
      <c r="G421" s="34"/>
      <c r="H421" s="34"/>
      <c r="I421" s="34"/>
      <c r="J421" s="34"/>
      <c r="K421" s="35"/>
      <c r="L421" s="34"/>
      <c r="M421" s="32"/>
      <c r="N421" s="34"/>
      <c r="O421" s="34"/>
      <c r="P421" s="34"/>
    </row>
    <row r="422" spans="2:16" x14ac:dyDescent="0.3">
      <c r="B422" s="33"/>
      <c r="C422" s="34"/>
      <c r="D422" s="34"/>
      <c r="E422" s="34"/>
      <c r="F422" s="34"/>
      <c r="G422" s="34"/>
      <c r="H422" s="34"/>
      <c r="I422" s="34"/>
      <c r="J422" s="34"/>
      <c r="K422" s="35"/>
      <c r="L422" s="34"/>
      <c r="M422" s="32"/>
      <c r="N422" s="34"/>
      <c r="O422" s="34"/>
      <c r="P422" s="34"/>
    </row>
    <row r="423" spans="2:16" x14ac:dyDescent="0.3">
      <c r="B423" s="33"/>
      <c r="C423" s="34"/>
      <c r="D423" s="34"/>
      <c r="E423" s="34"/>
      <c r="F423" s="34"/>
      <c r="G423" s="34"/>
      <c r="H423" s="34"/>
      <c r="I423" s="34"/>
      <c r="J423" s="34"/>
      <c r="K423" s="35"/>
      <c r="L423" s="34"/>
      <c r="M423" s="32"/>
      <c r="N423" s="34"/>
      <c r="O423" s="34"/>
      <c r="P423" s="34"/>
    </row>
    <row r="424" spans="2:16" x14ac:dyDescent="0.3">
      <c r="B424" s="33"/>
      <c r="C424" s="34"/>
      <c r="D424" s="34"/>
      <c r="E424" s="34"/>
      <c r="F424" s="34"/>
      <c r="G424" s="34"/>
      <c r="H424" s="34"/>
      <c r="I424" s="34"/>
      <c r="J424" s="34"/>
      <c r="K424" s="35"/>
      <c r="L424" s="34"/>
      <c r="M424" s="32"/>
      <c r="N424" s="34"/>
      <c r="O424" s="34"/>
      <c r="P424" s="34"/>
    </row>
    <row r="425" spans="2:16" x14ac:dyDescent="0.3">
      <c r="B425" s="33"/>
      <c r="C425" s="34"/>
      <c r="D425" s="34"/>
      <c r="E425" s="34"/>
      <c r="F425" s="34"/>
      <c r="G425" s="34"/>
      <c r="H425" s="34"/>
      <c r="I425" s="34"/>
      <c r="J425" s="34"/>
      <c r="K425" s="35"/>
      <c r="L425" s="34"/>
      <c r="M425" s="32"/>
      <c r="N425" s="34"/>
      <c r="O425" s="34"/>
      <c r="P425" s="34"/>
    </row>
    <row r="426" spans="2:16" x14ac:dyDescent="0.3">
      <c r="B426" s="33"/>
      <c r="C426" s="34"/>
      <c r="D426" s="34"/>
      <c r="E426" s="34"/>
      <c r="F426" s="34"/>
      <c r="G426" s="34"/>
      <c r="H426" s="34"/>
      <c r="I426" s="34"/>
      <c r="J426" s="34"/>
      <c r="K426" s="35"/>
      <c r="L426" s="34"/>
      <c r="M426" s="32"/>
      <c r="N426" s="34"/>
      <c r="O426" s="34"/>
      <c r="P426" s="34"/>
    </row>
    <row r="427" spans="2:16" x14ac:dyDescent="0.3">
      <c r="B427" s="33"/>
      <c r="C427" s="34"/>
      <c r="D427" s="34"/>
      <c r="E427" s="34"/>
      <c r="F427" s="34"/>
      <c r="G427" s="34"/>
      <c r="H427" s="34"/>
      <c r="I427" s="34"/>
      <c r="J427" s="34"/>
      <c r="K427" s="35"/>
      <c r="L427" s="34"/>
      <c r="M427" s="32"/>
      <c r="N427" s="34"/>
      <c r="O427" s="34"/>
      <c r="P427" s="34"/>
    </row>
    <row r="428" spans="2:16" x14ac:dyDescent="0.3">
      <c r="B428" s="33"/>
      <c r="C428" s="34"/>
      <c r="D428" s="34"/>
      <c r="E428" s="34"/>
      <c r="F428" s="34"/>
      <c r="G428" s="34"/>
      <c r="H428" s="34"/>
      <c r="I428" s="34"/>
      <c r="J428" s="34"/>
      <c r="K428" s="35"/>
      <c r="L428" s="34"/>
      <c r="M428" s="32"/>
      <c r="N428" s="34"/>
      <c r="O428" s="34"/>
      <c r="P428" s="34"/>
    </row>
    <row r="429" spans="2:16" x14ac:dyDescent="0.3">
      <c r="B429" s="33"/>
      <c r="C429" s="34"/>
      <c r="D429" s="34"/>
      <c r="E429" s="34"/>
      <c r="F429" s="34"/>
      <c r="G429" s="34"/>
      <c r="H429" s="34"/>
      <c r="I429" s="34"/>
      <c r="J429" s="34"/>
      <c r="K429" s="35"/>
      <c r="L429" s="34"/>
      <c r="M429" s="32"/>
      <c r="N429" s="34"/>
      <c r="O429" s="34"/>
      <c r="P429" s="34"/>
    </row>
    <row r="430" spans="2:16" x14ac:dyDescent="0.3">
      <c r="B430" s="33"/>
      <c r="C430" s="34"/>
      <c r="D430" s="34"/>
      <c r="E430" s="34"/>
      <c r="F430" s="34"/>
      <c r="G430" s="34"/>
      <c r="H430" s="34"/>
      <c r="I430" s="34"/>
      <c r="J430" s="34"/>
      <c r="K430" s="35"/>
      <c r="L430" s="34"/>
      <c r="M430" s="32"/>
      <c r="N430" s="34"/>
      <c r="O430" s="34"/>
      <c r="P430" s="34"/>
    </row>
    <row r="431" spans="2:16" x14ac:dyDescent="0.3">
      <c r="B431" s="33"/>
      <c r="C431" s="34"/>
      <c r="D431" s="34"/>
      <c r="E431" s="34"/>
      <c r="F431" s="34"/>
      <c r="G431" s="34"/>
      <c r="H431" s="34"/>
      <c r="I431" s="34"/>
      <c r="J431" s="34"/>
      <c r="K431" s="35"/>
      <c r="L431" s="34"/>
      <c r="M431" s="32"/>
      <c r="N431" s="34"/>
      <c r="O431" s="34"/>
      <c r="P431" s="34"/>
    </row>
    <row r="432" spans="2:16" x14ac:dyDescent="0.3">
      <c r="B432" s="33"/>
      <c r="C432" s="34"/>
      <c r="D432" s="34"/>
      <c r="E432" s="34"/>
      <c r="F432" s="34"/>
      <c r="G432" s="34"/>
      <c r="H432" s="34"/>
      <c r="I432" s="34"/>
      <c r="J432" s="34"/>
      <c r="K432" s="35"/>
      <c r="L432" s="34"/>
      <c r="M432" s="32"/>
      <c r="N432" s="34"/>
      <c r="O432" s="34"/>
      <c r="P432" s="34"/>
    </row>
    <row r="433" spans="2:16" x14ac:dyDescent="0.3">
      <c r="B433" s="33"/>
      <c r="C433" s="34"/>
      <c r="D433" s="34"/>
      <c r="E433" s="34"/>
      <c r="F433" s="34"/>
      <c r="G433" s="34"/>
      <c r="H433" s="34"/>
      <c r="I433" s="34"/>
      <c r="J433" s="34"/>
      <c r="K433" s="35"/>
      <c r="L433" s="34"/>
      <c r="M433" s="32"/>
      <c r="N433" s="34"/>
      <c r="O433" s="34"/>
      <c r="P433" s="34"/>
    </row>
    <row r="434" spans="2:16" x14ac:dyDescent="0.3">
      <c r="B434" s="33"/>
      <c r="C434" s="34"/>
      <c r="D434" s="34"/>
      <c r="E434" s="34"/>
      <c r="F434" s="34"/>
      <c r="G434" s="34"/>
      <c r="H434" s="34"/>
      <c r="I434" s="34"/>
      <c r="J434" s="34"/>
      <c r="K434" s="35"/>
      <c r="L434" s="34"/>
      <c r="M434" s="32"/>
      <c r="N434" s="34"/>
      <c r="O434" s="34"/>
      <c r="P434" s="34"/>
    </row>
    <row r="435" spans="2:16" x14ac:dyDescent="0.3">
      <c r="B435" s="33"/>
      <c r="C435" s="34"/>
      <c r="D435" s="34"/>
      <c r="E435" s="34"/>
      <c r="F435" s="34"/>
      <c r="G435" s="34"/>
      <c r="H435" s="34"/>
      <c r="I435" s="34"/>
      <c r="J435" s="34"/>
      <c r="K435" s="35"/>
      <c r="L435" s="34"/>
      <c r="M435" s="32"/>
      <c r="N435" s="34"/>
      <c r="O435" s="34"/>
      <c r="P435" s="34"/>
    </row>
    <row r="436" spans="2:16" x14ac:dyDescent="0.3">
      <c r="B436" s="33"/>
      <c r="C436" s="34"/>
      <c r="D436" s="34"/>
      <c r="E436" s="34"/>
      <c r="F436" s="34"/>
      <c r="G436" s="34"/>
      <c r="H436" s="34"/>
      <c r="I436" s="34"/>
      <c r="J436" s="34"/>
      <c r="K436" s="35"/>
      <c r="L436" s="34"/>
      <c r="M436" s="32"/>
      <c r="N436" s="34"/>
      <c r="O436" s="34"/>
      <c r="P436" s="34"/>
    </row>
    <row r="437" spans="2:16" x14ac:dyDescent="0.3">
      <c r="B437" s="33"/>
      <c r="C437" s="34"/>
      <c r="D437" s="34"/>
      <c r="E437" s="34"/>
      <c r="F437" s="34"/>
      <c r="G437" s="34"/>
      <c r="H437" s="34"/>
      <c r="I437" s="34"/>
      <c r="J437" s="34"/>
      <c r="K437" s="35"/>
      <c r="L437" s="34"/>
      <c r="M437" s="32"/>
      <c r="N437" s="34"/>
      <c r="O437" s="34"/>
      <c r="P437" s="34"/>
    </row>
    <row r="438" spans="2:16" x14ac:dyDescent="0.3">
      <c r="B438" s="33"/>
      <c r="C438" s="34"/>
      <c r="D438" s="34"/>
      <c r="E438" s="34"/>
      <c r="F438" s="34"/>
      <c r="G438" s="34"/>
      <c r="H438" s="34"/>
      <c r="I438" s="34"/>
      <c r="J438" s="34"/>
      <c r="K438" s="35"/>
      <c r="L438" s="34"/>
      <c r="M438" s="32"/>
      <c r="N438" s="34"/>
      <c r="O438" s="34"/>
      <c r="P438" s="34"/>
    </row>
    <row r="439" spans="2:16" x14ac:dyDescent="0.3">
      <c r="B439" s="33"/>
      <c r="C439" s="34"/>
      <c r="D439" s="34"/>
      <c r="E439" s="34"/>
      <c r="F439" s="34"/>
      <c r="G439" s="34"/>
      <c r="H439" s="34"/>
      <c r="I439" s="34"/>
      <c r="J439" s="34"/>
      <c r="K439" s="35"/>
      <c r="L439" s="34"/>
      <c r="M439" s="32"/>
      <c r="N439" s="34"/>
      <c r="O439" s="34"/>
      <c r="P439" s="34"/>
    </row>
    <row r="440" spans="2:16" x14ac:dyDescent="0.3">
      <c r="B440" s="33"/>
      <c r="C440" s="34"/>
      <c r="D440" s="34"/>
      <c r="E440" s="34"/>
      <c r="F440" s="34"/>
      <c r="G440" s="34"/>
      <c r="H440" s="34"/>
      <c r="I440" s="34"/>
      <c r="J440" s="34"/>
      <c r="K440" s="35"/>
      <c r="L440" s="34"/>
      <c r="M440" s="32"/>
      <c r="N440" s="34"/>
      <c r="O440" s="34"/>
      <c r="P440" s="34"/>
    </row>
    <row r="441" spans="2:16" x14ac:dyDescent="0.3">
      <c r="B441" s="33"/>
      <c r="C441" s="34"/>
      <c r="D441" s="34"/>
      <c r="E441" s="34"/>
      <c r="F441" s="34"/>
      <c r="G441" s="34"/>
      <c r="H441" s="34"/>
      <c r="I441" s="34"/>
      <c r="J441" s="34"/>
      <c r="K441" s="35"/>
      <c r="L441" s="34"/>
      <c r="M441" s="32"/>
      <c r="N441" s="34"/>
      <c r="O441" s="34"/>
      <c r="P441" s="34"/>
    </row>
    <row r="442" spans="2:16" x14ac:dyDescent="0.3">
      <c r="B442" s="33"/>
      <c r="C442" s="34"/>
      <c r="D442" s="34"/>
      <c r="E442" s="34"/>
      <c r="F442" s="34"/>
      <c r="G442" s="34"/>
      <c r="H442" s="34"/>
      <c r="I442" s="34"/>
      <c r="J442" s="34"/>
      <c r="K442" s="35"/>
      <c r="L442" s="34"/>
      <c r="M442" s="32"/>
      <c r="N442" s="34"/>
      <c r="O442" s="34"/>
      <c r="P442" s="34"/>
    </row>
    <row r="443" spans="2:16" x14ac:dyDescent="0.3">
      <c r="B443" s="33"/>
      <c r="C443" s="34"/>
      <c r="D443" s="34"/>
      <c r="E443" s="34"/>
      <c r="F443" s="34"/>
      <c r="G443" s="34"/>
      <c r="H443" s="34"/>
      <c r="I443" s="34"/>
      <c r="J443" s="34"/>
      <c r="K443" s="35"/>
      <c r="L443" s="34"/>
      <c r="M443" s="32"/>
      <c r="N443" s="34"/>
      <c r="O443" s="34"/>
      <c r="P443" s="34"/>
    </row>
    <row r="444" spans="2:16" x14ac:dyDescent="0.3">
      <c r="B444" s="33"/>
      <c r="C444" s="34"/>
      <c r="D444" s="34"/>
      <c r="E444" s="34"/>
      <c r="F444" s="34"/>
      <c r="G444" s="34"/>
      <c r="H444" s="34"/>
      <c r="I444" s="34"/>
      <c r="J444" s="34"/>
      <c r="K444" s="35"/>
      <c r="L444" s="34"/>
      <c r="M444" s="32"/>
      <c r="N444" s="34"/>
      <c r="O444" s="34"/>
      <c r="P444" s="34"/>
    </row>
    <row r="445" spans="2:16" x14ac:dyDescent="0.3">
      <c r="B445" s="33"/>
      <c r="C445" s="34"/>
      <c r="D445" s="34"/>
      <c r="E445" s="34"/>
      <c r="F445" s="34"/>
      <c r="G445" s="34"/>
      <c r="H445" s="34"/>
      <c r="I445" s="34"/>
      <c r="J445" s="34"/>
      <c r="K445" s="35"/>
      <c r="L445" s="34"/>
      <c r="M445" s="32"/>
      <c r="N445" s="34"/>
      <c r="O445" s="34"/>
      <c r="P445" s="34"/>
    </row>
    <row r="446" spans="2:16" x14ac:dyDescent="0.3">
      <c r="B446" s="33"/>
      <c r="C446" s="34"/>
      <c r="D446" s="34"/>
      <c r="E446" s="34"/>
      <c r="F446" s="34"/>
      <c r="G446" s="34"/>
      <c r="H446" s="34"/>
      <c r="I446" s="34"/>
      <c r="J446" s="34"/>
      <c r="K446" s="35"/>
      <c r="L446" s="34"/>
      <c r="M446" s="32"/>
      <c r="N446" s="34"/>
      <c r="O446" s="34"/>
      <c r="P446" s="34"/>
    </row>
    <row r="447" spans="2:16" x14ac:dyDescent="0.3">
      <c r="B447" s="33"/>
      <c r="C447" s="34"/>
      <c r="D447" s="34"/>
      <c r="E447" s="34"/>
      <c r="F447" s="34"/>
      <c r="G447" s="34"/>
      <c r="H447" s="34"/>
      <c r="I447" s="34"/>
      <c r="J447" s="34"/>
      <c r="K447" s="35"/>
      <c r="L447" s="34"/>
      <c r="M447" s="32"/>
      <c r="N447" s="34"/>
      <c r="O447" s="34"/>
      <c r="P447" s="34"/>
    </row>
    <row r="448" spans="2:16" x14ac:dyDescent="0.3">
      <c r="B448" s="33"/>
      <c r="C448" s="34"/>
      <c r="D448" s="34"/>
      <c r="E448" s="34"/>
      <c r="F448" s="34"/>
      <c r="G448" s="34"/>
      <c r="H448" s="34"/>
      <c r="I448" s="34"/>
      <c r="J448" s="34"/>
      <c r="K448" s="35"/>
      <c r="L448" s="34"/>
      <c r="M448" s="32"/>
      <c r="N448" s="34"/>
      <c r="O448" s="34"/>
      <c r="P448" s="34"/>
    </row>
    <row r="449" spans="2:16" x14ac:dyDescent="0.3">
      <c r="B449" s="33"/>
      <c r="C449" s="34"/>
      <c r="D449" s="34"/>
      <c r="E449" s="34"/>
      <c r="F449" s="34"/>
      <c r="G449" s="34"/>
      <c r="H449" s="34"/>
      <c r="I449" s="34"/>
      <c r="J449" s="34"/>
      <c r="K449" s="35"/>
      <c r="L449" s="34"/>
      <c r="M449" s="32"/>
      <c r="N449" s="34"/>
      <c r="O449" s="34"/>
      <c r="P449" s="34"/>
    </row>
    <row r="450" spans="2:16" x14ac:dyDescent="0.3">
      <c r="B450" s="33"/>
      <c r="C450" s="34"/>
      <c r="D450" s="34"/>
      <c r="E450" s="34"/>
      <c r="F450" s="34"/>
      <c r="G450" s="34"/>
      <c r="H450" s="34"/>
      <c r="I450" s="34"/>
      <c r="J450" s="34"/>
      <c r="K450" s="35"/>
      <c r="L450" s="34"/>
      <c r="M450" s="32"/>
      <c r="N450" s="34"/>
      <c r="O450" s="34"/>
      <c r="P450" s="34"/>
    </row>
    <row r="451" spans="2:16" x14ac:dyDescent="0.3">
      <c r="B451" s="33"/>
      <c r="C451" s="34"/>
      <c r="D451" s="34"/>
      <c r="E451" s="34"/>
      <c r="F451" s="34"/>
      <c r="G451" s="34"/>
      <c r="H451" s="34"/>
      <c r="I451" s="34"/>
      <c r="J451" s="34"/>
      <c r="K451" s="35"/>
      <c r="L451" s="34"/>
      <c r="M451" s="32"/>
      <c r="N451" s="34"/>
      <c r="O451" s="34"/>
      <c r="P451" s="34"/>
    </row>
    <row r="452" spans="2:16" x14ac:dyDescent="0.3">
      <c r="B452" s="33"/>
      <c r="C452" s="34"/>
      <c r="D452" s="34"/>
      <c r="E452" s="34"/>
      <c r="F452" s="34"/>
      <c r="G452" s="34"/>
      <c r="H452" s="34"/>
      <c r="I452" s="34"/>
      <c r="J452" s="34"/>
      <c r="K452" s="35"/>
      <c r="L452" s="34"/>
      <c r="M452" s="32"/>
      <c r="N452" s="34"/>
      <c r="O452" s="34"/>
      <c r="P452" s="34"/>
    </row>
    <row r="453" spans="2:16" x14ac:dyDescent="0.3">
      <c r="B453" s="33"/>
      <c r="C453" s="34"/>
      <c r="D453" s="34"/>
      <c r="E453" s="34"/>
      <c r="F453" s="34"/>
      <c r="G453" s="34"/>
      <c r="H453" s="34"/>
      <c r="I453" s="34"/>
      <c r="J453" s="34"/>
      <c r="K453" s="35"/>
      <c r="L453" s="34"/>
      <c r="M453" s="32"/>
      <c r="N453" s="34"/>
      <c r="O453" s="34"/>
      <c r="P453" s="34"/>
    </row>
    <row r="454" spans="2:16" x14ac:dyDescent="0.3">
      <c r="B454" s="33"/>
      <c r="C454" s="34"/>
      <c r="D454" s="34"/>
      <c r="E454" s="34"/>
      <c r="F454" s="34"/>
      <c r="G454" s="34"/>
      <c r="H454" s="34"/>
      <c r="I454" s="34"/>
      <c r="J454" s="34"/>
      <c r="K454" s="35"/>
      <c r="L454" s="34"/>
      <c r="M454" s="32"/>
      <c r="N454" s="34"/>
      <c r="O454" s="34"/>
      <c r="P454" s="34"/>
    </row>
    <row r="455" spans="2:16" x14ac:dyDescent="0.3">
      <c r="B455" s="33"/>
      <c r="C455" s="34"/>
      <c r="D455" s="34"/>
      <c r="E455" s="34"/>
      <c r="F455" s="34"/>
      <c r="G455" s="34"/>
      <c r="H455" s="34"/>
      <c r="I455" s="34"/>
      <c r="J455" s="34"/>
      <c r="K455" s="35"/>
      <c r="L455" s="34"/>
      <c r="M455" s="32"/>
      <c r="N455" s="34"/>
      <c r="O455" s="34"/>
      <c r="P455" s="34"/>
    </row>
    <row r="456" spans="2:16" x14ac:dyDescent="0.3">
      <c r="B456" s="33"/>
      <c r="C456" s="34"/>
      <c r="D456" s="34"/>
      <c r="E456" s="34"/>
      <c r="F456" s="34"/>
      <c r="G456" s="34"/>
      <c r="H456" s="34"/>
      <c r="I456" s="34"/>
      <c r="J456" s="34"/>
      <c r="K456" s="35"/>
      <c r="L456" s="34"/>
      <c r="M456" s="32"/>
      <c r="N456" s="34"/>
      <c r="O456" s="34"/>
      <c r="P456" s="34"/>
    </row>
    <row r="457" spans="2:16" x14ac:dyDescent="0.3">
      <c r="B457" s="33"/>
      <c r="C457" s="34"/>
      <c r="D457" s="34"/>
      <c r="E457" s="34"/>
      <c r="F457" s="34"/>
      <c r="G457" s="34"/>
      <c r="H457" s="34"/>
      <c r="I457" s="34"/>
      <c r="J457" s="34"/>
      <c r="K457" s="35"/>
      <c r="L457" s="34"/>
      <c r="M457" s="32"/>
      <c r="N457" s="34"/>
      <c r="O457" s="34"/>
      <c r="P457" s="34"/>
    </row>
    <row r="458" spans="2:16" x14ac:dyDescent="0.3">
      <c r="B458" s="33"/>
      <c r="C458" s="34"/>
      <c r="D458" s="34"/>
      <c r="E458" s="34"/>
      <c r="F458" s="34"/>
      <c r="G458" s="34"/>
      <c r="H458" s="34"/>
      <c r="I458" s="34"/>
      <c r="J458" s="34"/>
      <c r="K458" s="35"/>
      <c r="L458" s="34"/>
      <c r="M458" s="32"/>
      <c r="N458" s="34"/>
      <c r="O458" s="34"/>
      <c r="P458" s="34"/>
    </row>
    <row r="459" spans="2:16" x14ac:dyDescent="0.3">
      <c r="B459" s="33"/>
      <c r="C459" s="34"/>
      <c r="D459" s="34"/>
      <c r="E459" s="34"/>
      <c r="F459" s="34"/>
      <c r="G459" s="34"/>
      <c r="H459" s="34"/>
      <c r="I459" s="34"/>
      <c r="J459" s="34"/>
      <c r="K459" s="35"/>
      <c r="L459" s="34"/>
      <c r="M459" s="32"/>
      <c r="N459" s="34"/>
      <c r="O459" s="34"/>
      <c r="P459" s="34"/>
    </row>
    <row r="460" spans="2:16" x14ac:dyDescent="0.3">
      <c r="B460" s="33"/>
      <c r="C460" s="34"/>
      <c r="D460" s="34"/>
      <c r="E460" s="34"/>
      <c r="F460" s="34"/>
      <c r="G460" s="34"/>
      <c r="H460" s="34"/>
      <c r="I460" s="34"/>
      <c r="J460" s="34"/>
      <c r="K460" s="35"/>
      <c r="L460" s="34"/>
      <c r="M460" s="32"/>
      <c r="N460" s="34"/>
      <c r="O460" s="34"/>
      <c r="P460" s="34"/>
    </row>
    <row r="461" spans="2:16" x14ac:dyDescent="0.3">
      <c r="B461" s="33"/>
      <c r="C461" s="34"/>
      <c r="D461" s="34"/>
      <c r="E461" s="34"/>
      <c r="F461" s="34"/>
      <c r="G461" s="34"/>
      <c r="H461" s="34"/>
      <c r="I461" s="34"/>
      <c r="J461" s="34"/>
      <c r="K461" s="35"/>
      <c r="L461" s="34"/>
      <c r="M461" s="32"/>
      <c r="N461" s="34"/>
      <c r="O461" s="34"/>
      <c r="P461" s="34"/>
    </row>
    <row r="462" spans="2:16" x14ac:dyDescent="0.3">
      <c r="B462" s="33"/>
      <c r="C462" s="34"/>
      <c r="D462" s="34"/>
      <c r="E462" s="34"/>
      <c r="F462" s="34"/>
      <c r="G462" s="34"/>
      <c r="H462" s="34"/>
      <c r="I462" s="34"/>
      <c r="J462" s="34"/>
      <c r="K462" s="35"/>
      <c r="L462" s="34"/>
      <c r="M462" s="32"/>
      <c r="N462" s="34"/>
      <c r="O462" s="34"/>
      <c r="P462" s="34"/>
    </row>
    <row r="463" spans="2:16" x14ac:dyDescent="0.3">
      <c r="B463" s="33"/>
      <c r="C463" s="34"/>
      <c r="D463" s="34"/>
      <c r="E463" s="34"/>
      <c r="F463" s="34"/>
      <c r="G463" s="34"/>
      <c r="H463" s="34"/>
      <c r="I463" s="34"/>
      <c r="J463" s="34"/>
      <c r="K463" s="35"/>
      <c r="L463" s="34"/>
      <c r="M463" s="32"/>
      <c r="N463" s="34"/>
      <c r="O463" s="34"/>
      <c r="P463" s="34"/>
    </row>
    <row r="464" spans="2:16" x14ac:dyDescent="0.3">
      <c r="B464" s="33"/>
      <c r="C464" s="34"/>
      <c r="D464" s="34"/>
      <c r="E464" s="34"/>
      <c r="F464" s="34"/>
      <c r="G464" s="34"/>
      <c r="H464" s="34"/>
      <c r="I464" s="34"/>
      <c r="J464" s="34"/>
      <c r="K464" s="35"/>
      <c r="L464" s="34"/>
      <c r="M464" s="32"/>
      <c r="N464" s="34"/>
      <c r="O464" s="34"/>
      <c r="P464" s="34"/>
    </row>
    <row r="465" spans="2:16" x14ac:dyDescent="0.3">
      <c r="B465" s="33"/>
      <c r="C465" s="34"/>
      <c r="D465" s="34"/>
      <c r="E465" s="34"/>
      <c r="F465" s="34"/>
      <c r="G465" s="34"/>
      <c r="H465" s="34"/>
      <c r="I465" s="34"/>
      <c r="J465" s="34"/>
      <c r="K465" s="35"/>
      <c r="L465" s="34"/>
      <c r="M465" s="32"/>
      <c r="N465" s="34"/>
      <c r="O465" s="34"/>
      <c r="P465" s="34"/>
    </row>
    <row r="466" spans="2:16" x14ac:dyDescent="0.3">
      <c r="B466" s="33"/>
      <c r="C466" s="34"/>
      <c r="D466" s="34"/>
      <c r="E466" s="34"/>
      <c r="F466" s="34"/>
      <c r="G466" s="34"/>
      <c r="H466" s="34"/>
      <c r="I466" s="34"/>
      <c r="J466" s="34"/>
      <c r="K466" s="35"/>
      <c r="L466" s="34"/>
      <c r="M466" s="32"/>
      <c r="N466" s="34"/>
      <c r="O466" s="34"/>
      <c r="P466" s="34"/>
    </row>
    <row r="467" spans="2:16" x14ac:dyDescent="0.3">
      <c r="B467" s="33"/>
      <c r="C467" s="34"/>
      <c r="D467" s="34"/>
      <c r="E467" s="34"/>
      <c r="F467" s="34"/>
      <c r="G467" s="34"/>
      <c r="H467" s="34"/>
      <c r="I467" s="34"/>
      <c r="J467" s="34"/>
      <c r="K467" s="35"/>
      <c r="L467" s="34"/>
      <c r="M467" s="32"/>
      <c r="N467" s="34"/>
      <c r="O467" s="34"/>
      <c r="P467" s="34"/>
    </row>
    <row r="468" spans="2:16" x14ac:dyDescent="0.3">
      <c r="B468" s="33"/>
      <c r="C468" s="34"/>
      <c r="D468" s="34"/>
      <c r="E468" s="34"/>
      <c r="F468" s="34"/>
      <c r="G468" s="34"/>
      <c r="H468" s="34"/>
      <c r="I468" s="34"/>
      <c r="J468" s="34"/>
      <c r="K468" s="35"/>
      <c r="L468" s="34"/>
      <c r="M468" s="32"/>
      <c r="N468" s="34"/>
      <c r="O468" s="34"/>
      <c r="P468" s="34"/>
    </row>
    <row r="469" spans="2:16" x14ac:dyDescent="0.3">
      <c r="B469" s="33"/>
      <c r="C469" s="34"/>
      <c r="D469" s="34"/>
      <c r="E469" s="34"/>
      <c r="F469" s="34"/>
      <c r="G469" s="34"/>
      <c r="H469" s="34"/>
      <c r="I469" s="34"/>
      <c r="J469" s="34"/>
      <c r="K469" s="35"/>
      <c r="L469" s="34"/>
      <c r="M469" s="32"/>
      <c r="N469" s="34"/>
      <c r="O469" s="34"/>
      <c r="P469" s="34"/>
    </row>
    <row r="470" spans="2:16" x14ac:dyDescent="0.3">
      <c r="B470" s="33"/>
      <c r="C470" s="34"/>
      <c r="D470" s="34"/>
      <c r="E470" s="34"/>
      <c r="F470" s="34"/>
      <c r="G470" s="34"/>
      <c r="H470" s="34"/>
      <c r="I470" s="34"/>
      <c r="J470" s="34"/>
      <c r="K470" s="35"/>
      <c r="L470" s="34"/>
      <c r="M470" s="32"/>
      <c r="N470" s="34"/>
      <c r="O470" s="34"/>
      <c r="P470" s="34"/>
    </row>
    <row r="471" spans="2:16" x14ac:dyDescent="0.3">
      <c r="B471" s="33"/>
      <c r="C471" s="34"/>
      <c r="D471" s="34"/>
      <c r="E471" s="34"/>
      <c r="F471" s="34"/>
      <c r="G471" s="34"/>
      <c r="H471" s="34"/>
      <c r="I471" s="34"/>
      <c r="J471" s="34"/>
      <c r="K471" s="35"/>
      <c r="L471" s="34"/>
      <c r="M471" s="32"/>
      <c r="N471" s="34"/>
      <c r="O471" s="34"/>
      <c r="P471" s="34"/>
    </row>
    <row r="472" spans="2:16" x14ac:dyDescent="0.3">
      <c r="B472" s="33"/>
      <c r="C472" s="34"/>
      <c r="D472" s="34"/>
      <c r="E472" s="34"/>
      <c r="F472" s="34"/>
      <c r="G472" s="34"/>
      <c r="H472" s="34"/>
      <c r="I472" s="34"/>
      <c r="J472" s="34"/>
      <c r="K472" s="35"/>
      <c r="L472" s="34"/>
      <c r="M472" s="32"/>
      <c r="N472" s="34"/>
      <c r="O472" s="34"/>
      <c r="P472" s="34"/>
    </row>
    <row r="473" spans="2:16" x14ac:dyDescent="0.3">
      <c r="B473" s="33"/>
      <c r="C473" s="34"/>
      <c r="D473" s="34"/>
      <c r="E473" s="34"/>
      <c r="F473" s="34"/>
      <c r="G473" s="34"/>
      <c r="H473" s="34"/>
      <c r="I473" s="34"/>
      <c r="J473" s="34"/>
      <c r="K473" s="35"/>
      <c r="L473" s="34"/>
      <c r="M473" s="32"/>
      <c r="N473" s="34"/>
      <c r="O473" s="34"/>
      <c r="P473" s="34"/>
    </row>
    <row r="474" spans="2:16" x14ac:dyDescent="0.3">
      <c r="B474" s="33"/>
      <c r="C474" s="34"/>
      <c r="D474" s="34"/>
      <c r="E474" s="34"/>
      <c r="F474" s="34"/>
      <c r="G474" s="34"/>
      <c r="H474" s="34"/>
      <c r="I474" s="34"/>
      <c r="J474" s="34"/>
      <c r="K474" s="35"/>
      <c r="L474" s="34"/>
      <c r="M474" s="32"/>
      <c r="N474" s="34"/>
      <c r="O474" s="34"/>
      <c r="P474" s="34"/>
    </row>
    <row r="475" spans="2:16" x14ac:dyDescent="0.3">
      <c r="B475" s="33"/>
      <c r="C475" s="34"/>
      <c r="D475" s="34"/>
      <c r="E475" s="34"/>
      <c r="F475" s="34"/>
      <c r="G475" s="34"/>
      <c r="H475" s="34"/>
      <c r="I475" s="34"/>
      <c r="J475" s="34"/>
      <c r="K475" s="35"/>
      <c r="L475" s="34"/>
      <c r="M475" s="32"/>
      <c r="N475" s="34"/>
      <c r="O475" s="34"/>
      <c r="P475" s="34"/>
    </row>
    <row r="476" spans="2:16" x14ac:dyDescent="0.3">
      <c r="B476" s="33"/>
      <c r="C476" s="34"/>
      <c r="D476" s="34"/>
      <c r="E476" s="34"/>
      <c r="F476" s="34"/>
      <c r="G476" s="34"/>
      <c r="H476" s="34"/>
      <c r="I476" s="34"/>
      <c r="J476" s="34"/>
      <c r="K476" s="35"/>
      <c r="L476" s="34"/>
      <c r="M476" s="32"/>
      <c r="N476" s="34"/>
      <c r="O476" s="34"/>
      <c r="P476" s="34"/>
    </row>
    <row r="477" spans="2:16" x14ac:dyDescent="0.3">
      <c r="B477" s="33"/>
      <c r="C477" s="34"/>
      <c r="D477" s="34"/>
      <c r="E477" s="34"/>
      <c r="F477" s="34"/>
      <c r="G477" s="34"/>
      <c r="H477" s="34"/>
      <c r="I477" s="34"/>
      <c r="J477" s="34"/>
      <c r="K477" s="35"/>
      <c r="L477" s="34"/>
      <c r="M477" s="32"/>
      <c r="N477" s="34"/>
      <c r="O477" s="34"/>
      <c r="P477" s="34"/>
    </row>
    <row r="478" spans="2:16" x14ac:dyDescent="0.3">
      <c r="B478" s="33"/>
      <c r="C478" s="34"/>
      <c r="D478" s="34"/>
      <c r="E478" s="34"/>
      <c r="F478" s="34"/>
      <c r="G478" s="34"/>
      <c r="H478" s="34"/>
      <c r="I478" s="34"/>
      <c r="J478" s="34"/>
      <c r="K478" s="35"/>
      <c r="L478" s="34"/>
      <c r="M478" s="32"/>
      <c r="N478" s="34"/>
      <c r="O478" s="34"/>
      <c r="P478" s="34"/>
    </row>
    <row r="479" spans="2:16" x14ac:dyDescent="0.3">
      <c r="B479" s="33"/>
      <c r="C479" s="34"/>
      <c r="D479" s="34"/>
      <c r="E479" s="34"/>
      <c r="F479" s="34"/>
      <c r="G479" s="34"/>
      <c r="H479" s="34"/>
      <c r="I479" s="34"/>
      <c r="J479" s="34"/>
      <c r="K479" s="35"/>
      <c r="L479" s="34"/>
      <c r="M479" s="32"/>
      <c r="N479" s="34"/>
      <c r="O479" s="34"/>
      <c r="P479" s="34"/>
    </row>
    <row r="480" spans="2:16" x14ac:dyDescent="0.3">
      <c r="B480" s="33"/>
      <c r="C480" s="34"/>
      <c r="D480" s="34"/>
      <c r="E480" s="34"/>
      <c r="F480" s="34"/>
      <c r="G480" s="34"/>
      <c r="H480" s="34"/>
      <c r="I480" s="34"/>
      <c r="J480" s="34"/>
      <c r="K480" s="35"/>
      <c r="L480" s="34"/>
      <c r="M480" s="32"/>
      <c r="N480" s="34"/>
      <c r="O480" s="34"/>
      <c r="P480" s="34"/>
    </row>
    <row r="481" spans="2:16" x14ac:dyDescent="0.3">
      <c r="B481" s="33"/>
      <c r="C481" s="34"/>
      <c r="D481" s="34"/>
      <c r="E481" s="34"/>
      <c r="F481" s="34"/>
      <c r="G481" s="34"/>
      <c r="H481" s="34"/>
      <c r="I481" s="34"/>
      <c r="J481" s="34"/>
      <c r="K481" s="35"/>
      <c r="L481" s="34"/>
      <c r="M481" s="32"/>
      <c r="N481" s="34"/>
      <c r="O481" s="34"/>
      <c r="P481" s="34"/>
    </row>
    <row r="482" spans="2:16" x14ac:dyDescent="0.3">
      <c r="B482" s="33"/>
      <c r="C482" s="34"/>
      <c r="D482" s="34"/>
      <c r="E482" s="34"/>
      <c r="F482" s="34"/>
      <c r="G482" s="34"/>
      <c r="H482" s="34"/>
      <c r="I482" s="34"/>
      <c r="J482" s="34"/>
      <c r="K482" s="35"/>
      <c r="L482" s="34"/>
      <c r="M482" s="32"/>
      <c r="N482" s="34"/>
      <c r="O482" s="34"/>
      <c r="P482" s="34"/>
    </row>
    <row r="483" spans="2:16" x14ac:dyDescent="0.3">
      <c r="B483" s="33"/>
      <c r="C483" s="34"/>
      <c r="D483" s="34"/>
      <c r="E483" s="34"/>
      <c r="F483" s="34"/>
      <c r="G483" s="34"/>
      <c r="H483" s="34"/>
      <c r="I483" s="34"/>
      <c r="J483" s="34"/>
      <c r="K483" s="35"/>
      <c r="L483" s="34"/>
      <c r="M483" s="32"/>
      <c r="N483" s="34"/>
      <c r="O483" s="34"/>
      <c r="P483" s="34"/>
    </row>
    <row r="484" spans="2:16" x14ac:dyDescent="0.3">
      <c r="B484" s="33"/>
      <c r="C484" s="34"/>
      <c r="D484" s="34"/>
      <c r="E484" s="34"/>
      <c r="F484" s="34"/>
      <c r="G484" s="34"/>
      <c r="H484" s="34"/>
      <c r="I484" s="34"/>
      <c r="J484" s="34"/>
      <c r="K484" s="35"/>
      <c r="L484" s="34"/>
      <c r="M484" s="32"/>
      <c r="N484" s="34"/>
      <c r="O484" s="34"/>
      <c r="P484" s="34"/>
    </row>
    <row r="485" spans="2:16" x14ac:dyDescent="0.3">
      <c r="B485" s="33"/>
      <c r="C485" s="34"/>
      <c r="D485" s="34"/>
      <c r="E485" s="34"/>
      <c r="F485" s="34"/>
      <c r="G485" s="34"/>
      <c r="H485" s="34"/>
      <c r="I485" s="34"/>
      <c r="J485" s="34"/>
      <c r="K485" s="35"/>
      <c r="L485" s="34"/>
      <c r="M485" s="32"/>
      <c r="N485" s="34"/>
      <c r="O485" s="34"/>
      <c r="P485" s="34"/>
    </row>
    <row r="486" spans="2:16" x14ac:dyDescent="0.3">
      <c r="B486" s="33"/>
      <c r="C486" s="34"/>
      <c r="D486" s="34"/>
      <c r="E486" s="34"/>
      <c r="F486" s="34"/>
      <c r="G486" s="34"/>
      <c r="H486" s="34"/>
      <c r="I486" s="34"/>
      <c r="J486" s="34"/>
      <c r="K486" s="35"/>
      <c r="L486" s="34"/>
      <c r="M486" s="32"/>
      <c r="N486" s="34"/>
      <c r="O486" s="34"/>
      <c r="P486" s="34"/>
    </row>
    <row r="487" spans="2:16" x14ac:dyDescent="0.3">
      <c r="B487" s="33"/>
      <c r="C487" s="34"/>
      <c r="D487" s="34"/>
      <c r="E487" s="34"/>
      <c r="F487" s="34"/>
      <c r="G487" s="34"/>
      <c r="H487" s="34"/>
      <c r="I487" s="34"/>
      <c r="J487" s="34"/>
      <c r="K487" s="35"/>
      <c r="L487" s="34"/>
      <c r="M487" s="32"/>
      <c r="N487" s="34"/>
      <c r="O487" s="34"/>
      <c r="P487" s="34"/>
    </row>
    <row r="488" spans="2:16" x14ac:dyDescent="0.3">
      <c r="B488" s="33"/>
      <c r="C488" s="34"/>
      <c r="D488" s="34"/>
      <c r="E488" s="34"/>
      <c r="F488" s="34"/>
      <c r="G488" s="34"/>
      <c r="H488" s="34"/>
      <c r="I488" s="34"/>
      <c r="J488" s="34"/>
      <c r="K488" s="35"/>
      <c r="L488" s="34"/>
      <c r="M488" s="32"/>
      <c r="N488" s="34"/>
      <c r="O488" s="34"/>
      <c r="P488" s="34"/>
    </row>
    <row r="489" spans="2:16" x14ac:dyDescent="0.3">
      <c r="B489" s="33"/>
      <c r="C489" s="34"/>
      <c r="D489" s="34"/>
      <c r="E489" s="34"/>
      <c r="F489" s="34"/>
      <c r="G489" s="34"/>
      <c r="H489" s="34"/>
      <c r="I489" s="34"/>
      <c r="J489" s="34"/>
      <c r="K489" s="35"/>
      <c r="L489" s="34"/>
      <c r="M489" s="32"/>
      <c r="N489" s="34"/>
      <c r="O489" s="34"/>
      <c r="P489" s="34"/>
    </row>
    <row r="490" spans="2:16" x14ac:dyDescent="0.3">
      <c r="B490" s="33"/>
      <c r="C490" s="34"/>
      <c r="D490" s="34"/>
      <c r="E490" s="34"/>
      <c r="F490" s="34"/>
      <c r="G490" s="34"/>
      <c r="H490" s="34"/>
      <c r="I490" s="34"/>
      <c r="J490" s="34"/>
      <c r="K490" s="35"/>
      <c r="L490" s="34"/>
      <c r="M490" s="32"/>
      <c r="N490" s="34"/>
      <c r="O490" s="34"/>
      <c r="P490" s="34"/>
    </row>
    <row r="491" spans="2:16" x14ac:dyDescent="0.3">
      <c r="B491" s="33"/>
      <c r="C491" s="34"/>
      <c r="D491" s="34"/>
      <c r="E491" s="34"/>
      <c r="F491" s="34"/>
      <c r="G491" s="34"/>
      <c r="H491" s="34"/>
      <c r="I491" s="34"/>
      <c r="J491" s="34"/>
      <c r="K491" s="35"/>
      <c r="L491" s="34"/>
      <c r="M491" s="32"/>
      <c r="N491" s="34"/>
      <c r="O491" s="34"/>
      <c r="P491" s="34"/>
    </row>
    <row r="492" spans="2:16" x14ac:dyDescent="0.3">
      <c r="B492" s="33"/>
      <c r="C492" s="34"/>
      <c r="D492" s="34"/>
      <c r="E492" s="34"/>
      <c r="F492" s="34"/>
      <c r="G492" s="34"/>
      <c r="H492" s="34"/>
      <c r="I492" s="34"/>
      <c r="J492" s="34"/>
      <c r="K492" s="35"/>
      <c r="L492" s="34"/>
      <c r="M492" s="32"/>
      <c r="N492" s="34"/>
      <c r="O492" s="34"/>
      <c r="P492" s="34"/>
    </row>
    <row r="493" spans="2:16" x14ac:dyDescent="0.3">
      <c r="B493" s="33"/>
      <c r="C493" s="34"/>
      <c r="D493" s="34"/>
      <c r="E493" s="34"/>
      <c r="F493" s="34"/>
      <c r="G493" s="34"/>
      <c r="H493" s="34"/>
      <c r="I493" s="34"/>
      <c r="J493" s="34"/>
      <c r="K493" s="35"/>
      <c r="L493" s="34"/>
      <c r="M493" s="32"/>
      <c r="N493" s="34"/>
      <c r="O493" s="34"/>
      <c r="P493" s="34"/>
    </row>
    <row r="494" spans="2:16" x14ac:dyDescent="0.3">
      <c r="B494" s="33"/>
      <c r="C494" s="34"/>
      <c r="D494" s="34"/>
      <c r="E494" s="34"/>
      <c r="F494" s="34"/>
      <c r="G494" s="34"/>
      <c r="H494" s="34"/>
      <c r="I494" s="34"/>
      <c r="J494" s="34"/>
      <c r="K494" s="35"/>
      <c r="L494" s="34"/>
      <c r="M494" s="32"/>
      <c r="N494" s="34"/>
      <c r="O494" s="34"/>
      <c r="P494" s="34"/>
    </row>
    <row r="495" spans="2:16" x14ac:dyDescent="0.3">
      <c r="B495" s="33"/>
      <c r="C495" s="34"/>
      <c r="D495" s="34"/>
      <c r="E495" s="34"/>
      <c r="F495" s="34"/>
      <c r="G495" s="34"/>
      <c r="H495" s="34"/>
      <c r="I495" s="34"/>
      <c r="J495" s="34"/>
      <c r="K495" s="35"/>
      <c r="L495" s="34"/>
      <c r="M495" s="32"/>
      <c r="N495" s="34"/>
      <c r="O495" s="34"/>
      <c r="P495" s="34"/>
    </row>
    <row r="496" spans="2:16" x14ac:dyDescent="0.3">
      <c r="B496" s="33"/>
      <c r="C496" s="34"/>
      <c r="D496" s="34"/>
      <c r="E496" s="34"/>
      <c r="F496" s="34"/>
      <c r="G496" s="34"/>
      <c r="H496" s="34"/>
      <c r="I496" s="34"/>
      <c r="J496" s="34"/>
      <c r="K496" s="35"/>
      <c r="L496" s="34"/>
      <c r="M496" s="32"/>
      <c r="N496" s="34"/>
      <c r="O496" s="34"/>
      <c r="P496" s="34"/>
    </row>
    <row r="497" spans="2:16" x14ac:dyDescent="0.3">
      <c r="B497" s="33"/>
      <c r="C497" s="34"/>
      <c r="D497" s="34"/>
      <c r="E497" s="34"/>
      <c r="F497" s="34"/>
      <c r="G497" s="34"/>
      <c r="H497" s="34"/>
      <c r="I497" s="34"/>
      <c r="J497" s="34"/>
      <c r="K497" s="35"/>
      <c r="L497" s="34"/>
      <c r="M497" s="32"/>
      <c r="N497" s="34"/>
      <c r="O497" s="34"/>
      <c r="P497" s="34"/>
    </row>
    <row r="498" spans="2:16" x14ac:dyDescent="0.3">
      <c r="B498" s="33"/>
      <c r="C498" s="34"/>
      <c r="D498" s="34"/>
      <c r="E498" s="34"/>
      <c r="F498" s="34"/>
      <c r="G498" s="34"/>
      <c r="H498" s="34"/>
      <c r="I498" s="34"/>
      <c r="J498" s="34"/>
      <c r="K498" s="35"/>
      <c r="L498" s="34"/>
      <c r="M498" s="32"/>
      <c r="N498" s="34"/>
      <c r="O498" s="34"/>
      <c r="P498" s="34"/>
    </row>
    <row r="499" spans="2:16" x14ac:dyDescent="0.3">
      <c r="B499" s="33"/>
      <c r="C499" s="34"/>
      <c r="D499" s="34"/>
      <c r="E499" s="34"/>
      <c r="F499" s="34"/>
      <c r="G499" s="34"/>
      <c r="H499" s="34"/>
      <c r="I499" s="34"/>
      <c r="J499" s="34"/>
      <c r="K499" s="35"/>
      <c r="L499" s="34"/>
      <c r="M499" s="32"/>
      <c r="N499" s="34"/>
      <c r="O499" s="34"/>
      <c r="P499" s="34"/>
    </row>
    <row r="500" spans="2:16" x14ac:dyDescent="0.3">
      <c r="B500" s="33"/>
      <c r="C500" s="34"/>
      <c r="D500" s="34"/>
      <c r="E500" s="34"/>
      <c r="F500" s="34"/>
      <c r="G500" s="34"/>
      <c r="H500" s="34"/>
      <c r="I500" s="34"/>
      <c r="J500" s="34"/>
      <c r="K500" s="35"/>
      <c r="L500" s="34"/>
      <c r="M500" s="32"/>
      <c r="N500" s="34"/>
      <c r="O500" s="34"/>
      <c r="P500" s="34"/>
    </row>
    <row r="501" spans="2:16" x14ac:dyDescent="0.3">
      <c r="B501" s="33"/>
      <c r="C501" s="34"/>
      <c r="D501" s="34"/>
      <c r="E501" s="34"/>
      <c r="F501" s="34"/>
      <c r="G501" s="34"/>
      <c r="H501" s="34"/>
      <c r="I501" s="34"/>
      <c r="J501" s="34"/>
      <c r="K501" s="35"/>
      <c r="L501" s="34"/>
      <c r="M501" s="32"/>
      <c r="N501" s="34"/>
      <c r="O501" s="34"/>
      <c r="P501" s="34"/>
    </row>
    <row r="502" spans="2:16" x14ac:dyDescent="0.3">
      <c r="B502" s="33"/>
      <c r="C502" s="34"/>
      <c r="D502" s="34"/>
      <c r="E502" s="34"/>
      <c r="F502" s="34"/>
      <c r="G502" s="34"/>
      <c r="H502" s="34"/>
      <c r="I502" s="34"/>
      <c r="J502" s="34"/>
      <c r="K502" s="35"/>
      <c r="L502" s="34"/>
      <c r="M502" s="32"/>
      <c r="N502" s="34"/>
      <c r="O502" s="34"/>
      <c r="P502" s="34"/>
    </row>
    <row r="503" spans="2:16" x14ac:dyDescent="0.3">
      <c r="B503" s="33"/>
      <c r="C503" s="34"/>
      <c r="D503" s="34"/>
      <c r="E503" s="34"/>
      <c r="F503" s="34"/>
      <c r="G503" s="34"/>
      <c r="H503" s="34"/>
      <c r="I503" s="34"/>
      <c r="J503" s="34"/>
      <c r="K503" s="35"/>
      <c r="L503" s="34"/>
      <c r="M503" s="32"/>
      <c r="N503" s="34"/>
      <c r="O503" s="34"/>
      <c r="P503" s="34"/>
    </row>
    <row r="504" spans="2:16" x14ac:dyDescent="0.3">
      <c r="B504" s="33"/>
      <c r="C504" s="34"/>
      <c r="D504" s="34"/>
      <c r="E504" s="34"/>
      <c r="F504" s="34"/>
      <c r="G504" s="34"/>
      <c r="H504" s="34"/>
      <c r="I504" s="34"/>
      <c r="J504" s="34"/>
      <c r="K504" s="35"/>
      <c r="L504" s="34"/>
      <c r="M504" s="32"/>
      <c r="N504" s="34"/>
      <c r="O504" s="34"/>
      <c r="P504" s="34"/>
    </row>
    <row r="505" spans="2:16" x14ac:dyDescent="0.3">
      <c r="B505" s="33"/>
      <c r="C505" s="34"/>
      <c r="D505" s="34"/>
      <c r="E505" s="34"/>
      <c r="F505" s="34"/>
      <c r="G505" s="34"/>
      <c r="H505" s="34"/>
      <c r="I505" s="34"/>
      <c r="J505" s="34"/>
      <c r="K505" s="35"/>
      <c r="L505" s="34"/>
      <c r="M505" s="32"/>
      <c r="N505" s="34"/>
      <c r="O505" s="34"/>
      <c r="P505" s="34"/>
    </row>
    <row r="506" spans="2:16" x14ac:dyDescent="0.3">
      <c r="B506" s="33"/>
      <c r="C506" s="34"/>
      <c r="D506" s="34"/>
      <c r="E506" s="34"/>
      <c r="F506" s="34"/>
      <c r="G506" s="34"/>
      <c r="H506" s="34"/>
      <c r="I506" s="34"/>
      <c r="J506" s="34"/>
      <c r="K506" s="35"/>
      <c r="L506" s="34"/>
      <c r="M506" s="32"/>
      <c r="N506" s="34"/>
      <c r="O506" s="34"/>
      <c r="P506" s="34"/>
    </row>
    <row r="507" spans="2:16" x14ac:dyDescent="0.3">
      <c r="B507" s="33"/>
      <c r="C507" s="34"/>
      <c r="D507" s="34"/>
      <c r="E507" s="34"/>
      <c r="F507" s="34"/>
      <c r="G507" s="34"/>
      <c r="H507" s="34"/>
      <c r="I507" s="34"/>
      <c r="J507" s="34"/>
      <c r="K507" s="35"/>
      <c r="L507" s="34"/>
      <c r="M507" s="32"/>
      <c r="N507" s="34"/>
      <c r="O507" s="34"/>
      <c r="P507" s="34"/>
    </row>
    <row r="508" spans="2:16" x14ac:dyDescent="0.3">
      <c r="B508" s="33"/>
      <c r="C508" s="34"/>
      <c r="D508" s="34"/>
      <c r="E508" s="34"/>
      <c r="F508" s="34"/>
      <c r="G508" s="34"/>
      <c r="H508" s="34"/>
      <c r="I508" s="34"/>
      <c r="J508" s="34"/>
      <c r="K508" s="35"/>
      <c r="L508" s="34"/>
      <c r="M508" s="32"/>
      <c r="N508" s="34"/>
      <c r="O508" s="34"/>
      <c r="P508" s="34"/>
    </row>
    <row r="509" spans="2:16" x14ac:dyDescent="0.3">
      <c r="B509" s="33"/>
      <c r="C509" s="34"/>
      <c r="D509" s="34"/>
      <c r="E509" s="34"/>
      <c r="F509" s="34"/>
      <c r="G509" s="34"/>
      <c r="H509" s="34"/>
      <c r="I509" s="34"/>
      <c r="J509" s="34"/>
      <c r="K509" s="35"/>
      <c r="L509" s="34"/>
      <c r="M509" s="32"/>
      <c r="N509" s="34"/>
      <c r="O509" s="34"/>
      <c r="P509" s="34"/>
    </row>
    <row r="510" spans="2:16" x14ac:dyDescent="0.3">
      <c r="B510" s="33"/>
      <c r="C510" s="34"/>
      <c r="D510" s="34"/>
      <c r="E510" s="34"/>
      <c r="F510" s="34"/>
      <c r="G510" s="34"/>
      <c r="H510" s="34"/>
      <c r="I510" s="34"/>
      <c r="J510" s="34"/>
      <c r="K510" s="35"/>
      <c r="L510" s="34"/>
      <c r="M510" s="32"/>
      <c r="N510" s="34"/>
      <c r="O510" s="34"/>
      <c r="P510" s="34"/>
    </row>
    <row r="511" spans="2:16" x14ac:dyDescent="0.3">
      <c r="B511" s="33"/>
      <c r="C511" s="34"/>
      <c r="D511" s="34"/>
      <c r="E511" s="34"/>
      <c r="F511" s="34"/>
      <c r="G511" s="34"/>
      <c r="H511" s="34"/>
      <c r="I511" s="34"/>
      <c r="J511" s="34"/>
      <c r="K511" s="35"/>
      <c r="L511" s="34"/>
      <c r="M511" s="32"/>
      <c r="N511" s="34"/>
      <c r="O511" s="34"/>
      <c r="P511" s="34"/>
    </row>
    <row r="512" spans="2:16" x14ac:dyDescent="0.3">
      <c r="B512" s="33"/>
      <c r="C512" s="34"/>
      <c r="D512" s="34"/>
      <c r="E512" s="34"/>
      <c r="F512" s="34"/>
      <c r="G512" s="34"/>
      <c r="H512" s="34"/>
      <c r="I512" s="34"/>
      <c r="J512" s="34"/>
      <c r="K512" s="35"/>
      <c r="L512" s="34"/>
      <c r="M512" s="32"/>
      <c r="N512" s="34"/>
      <c r="O512" s="34"/>
      <c r="P512" s="34"/>
    </row>
    <row r="513" spans="2:16" x14ac:dyDescent="0.3">
      <c r="B513" s="33"/>
      <c r="C513" s="34"/>
      <c r="D513" s="34"/>
      <c r="E513" s="34"/>
      <c r="F513" s="34"/>
      <c r="G513" s="34"/>
      <c r="H513" s="34"/>
      <c r="I513" s="34"/>
      <c r="J513" s="34"/>
      <c r="K513" s="35"/>
      <c r="L513" s="34"/>
      <c r="M513" s="32"/>
      <c r="N513" s="34"/>
      <c r="O513" s="34"/>
      <c r="P513" s="34"/>
    </row>
    <row r="514" spans="2:16" x14ac:dyDescent="0.3">
      <c r="B514" s="33"/>
      <c r="C514" s="34"/>
      <c r="D514" s="34"/>
      <c r="E514" s="34"/>
      <c r="F514" s="34"/>
      <c r="G514" s="34"/>
      <c r="H514" s="34"/>
      <c r="I514" s="34"/>
      <c r="J514" s="34"/>
      <c r="K514" s="35"/>
      <c r="L514" s="34"/>
      <c r="M514" s="32"/>
      <c r="N514" s="34"/>
      <c r="O514" s="34"/>
      <c r="P514" s="34"/>
    </row>
    <row r="515" spans="2:16" x14ac:dyDescent="0.3">
      <c r="B515" s="33"/>
      <c r="C515" s="34"/>
      <c r="D515" s="34"/>
      <c r="E515" s="34"/>
      <c r="F515" s="34"/>
      <c r="G515" s="34"/>
      <c r="H515" s="34"/>
      <c r="I515" s="34"/>
      <c r="J515" s="34"/>
      <c r="K515" s="35"/>
      <c r="L515" s="34"/>
      <c r="M515" s="32"/>
      <c r="N515" s="34"/>
      <c r="O515" s="34"/>
      <c r="P515" s="34"/>
    </row>
    <row r="516" spans="2:16" x14ac:dyDescent="0.3">
      <c r="B516" s="33"/>
      <c r="C516" s="34"/>
      <c r="D516" s="34"/>
      <c r="E516" s="34"/>
      <c r="F516" s="34"/>
      <c r="G516" s="34"/>
      <c r="H516" s="34"/>
      <c r="I516" s="34"/>
      <c r="J516" s="34"/>
      <c r="K516" s="35"/>
      <c r="L516" s="34"/>
      <c r="M516" s="32"/>
      <c r="N516" s="34"/>
      <c r="O516" s="34"/>
      <c r="P516" s="34"/>
    </row>
    <row r="517" spans="2:16" x14ac:dyDescent="0.3">
      <c r="B517" s="33"/>
      <c r="C517" s="34"/>
      <c r="D517" s="34"/>
      <c r="E517" s="34"/>
      <c r="F517" s="34"/>
      <c r="G517" s="34"/>
      <c r="H517" s="34"/>
      <c r="I517" s="34"/>
      <c r="J517" s="34"/>
      <c r="K517" s="35"/>
      <c r="L517" s="34"/>
      <c r="M517" s="32"/>
      <c r="N517" s="34"/>
      <c r="O517" s="34"/>
      <c r="P517" s="34"/>
    </row>
    <row r="518" spans="2:16" x14ac:dyDescent="0.3">
      <c r="B518" s="33"/>
      <c r="C518" s="34"/>
      <c r="D518" s="34"/>
      <c r="E518" s="34"/>
      <c r="F518" s="34"/>
      <c r="G518" s="34"/>
      <c r="H518" s="34"/>
      <c r="I518" s="34"/>
      <c r="J518" s="34"/>
      <c r="K518" s="35"/>
      <c r="L518" s="34"/>
      <c r="M518" s="32"/>
      <c r="N518" s="34"/>
      <c r="O518" s="34"/>
      <c r="P518" s="34"/>
    </row>
    <row r="519" spans="2:16" x14ac:dyDescent="0.3">
      <c r="B519" s="33"/>
      <c r="C519" s="34"/>
      <c r="D519" s="34"/>
      <c r="E519" s="34"/>
      <c r="F519" s="34"/>
      <c r="G519" s="34"/>
      <c r="H519" s="34"/>
      <c r="I519" s="34"/>
      <c r="J519" s="34"/>
      <c r="K519" s="35"/>
      <c r="L519" s="34"/>
      <c r="M519" s="32"/>
      <c r="N519" s="34"/>
      <c r="O519" s="34"/>
      <c r="P519" s="34"/>
    </row>
    <row r="520" spans="2:16" x14ac:dyDescent="0.3">
      <c r="B520" s="33"/>
      <c r="C520" s="34"/>
      <c r="D520" s="34"/>
      <c r="E520" s="34"/>
      <c r="F520" s="34"/>
      <c r="G520" s="34"/>
      <c r="H520" s="34"/>
      <c r="I520" s="34"/>
      <c r="J520" s="34"/>
      <c r="K520" s="35"/>
      <c r="L520" s="34"/>
      <c r="M520" s="32"/>
      <c r="N520" s="34"/>
      <c r="O520" s="34"/>
      <c r="P520" s="34"/>
    </row>
    <row r="521" spans="2:16" x14ac:dyDescent="0.3">
      <c r="B521" s="33"/>
      <c r="C521" s="34"/>
      <c r="D521" s="34"/>
      <c r="E521" s="34"/>
      <c r="F521" s="34"/>
      <c r="G521" s="34"/>
      <c r="H521" s="34"/>
      <c r="I521" s="34"/>
      <c r="J521" s="34"/>
      <c r="K521" s="35"/>
      <c r="L521" s="34"/>
      <c r="M521" s="32"/>
      <c r="N521" s="34"/>
      <c r="O521" s="34"/>
      <c r="P521" s="34"/>
    </row>
    <row r="522" spans="2:16" x14ac:dyDescent="0.3">
      <c r="B522" s="33"/>
      <c r="C522" s="34"/>
      <c r="D522" s="34"/>
      <c r="E522" s="34"/>
      <c r="F522" s="34"/>
      <c r="G522" s="34"/>
      <c r="H522" s="34"/>
      <c r="I522" s="34"/>
      <c r="J522" s="34"/>
      <c r="K522" s="35"/>
      <c r="L522" s="34"/>
      <c r="M522" s="32"/>
      <c r="N522" s="34"/>
      <c r="O522" s="34"/>
      <c r="P522" s="34"/>
    </row>
    <row r="523" spans="2:16" x14ac:dyDescent="0.3">
      <c r="B523" s="33"/>
      <c r="C523" s="34"/>
      <c r="D523" s="34"/>
      <c r="E523" s="34"/>
      <c r="F523" s="34"/>
      <c r="G523" s="34"/>
      <c r="H523" s="34"/>
      <c r="I523" s="34"/>
      <c r="J523" s="34"/>
      <c r="K523" s="35"/>
      <c r="L523" s="34"/>
      <c r="M523" s="32"/>
      <c r="N523" s="34"/>
      <c r="O523" s="34"/>
      <c r="P523" s="34"/>
    </row>
    <row r="524" spans="2:16" x14ac:dyDescent="0.3">
      <c r="B524" s="33"/>
      <c r="C524" s="34"/>
      <c r="D524" s="34"/>
      <c r="E524" s="34"/>
      <c r="F524" s="34"/>
      <c r="G524" s="34"/>
      <c r="H524" s="34"/>
      <c r="I524" s="34"/>
      <c r="J524" s="34"/>
      <c r="K524" s="35"/>
      <c r="L524" s="34"/>
      <c r="M524" s="32"/>
      <c r="N524" s="34"/>
      <c r="O524" s="34"/>
      <c r="P524" s="34"/>
    </row>
    <row r="525" spans="2:16" x14ac:dyDescent="0.3">
      <c r="B525" s="33"/>
      <c r="C525" s="34"/>
      <c r="D525" s="34"/>
      <c r="E525" s="34"/>
      <c r="F525" s="34"/>
      <c r="G525" s="34"/>
      <c r="H525" s="34"/>
      <c r="I525" s="34"/>
      <c r="J525" s="34"/>
      <c r="K525" s="35"/>
      <c r="L525" s="34"/>
      <c r="M525" s="32"/>
      <c r="N525" s="34"/>
      <c r="O525" s="34"/>
      <c r="P525" s="34"/>
    </row>
    <row r="526" spans="2:16" x14ac:dyDescent="0.3">
      <c r="B526" s="33"/>
      <c r="C526" s="34"/>
      <c r="D526" s="34"/>
      <c r="E526" s="34"/>
      <c r="F526" s="34"/>
      <c r="G526" s="34"/>
      <c r="H526" s="34"/>
      <c r="I526" s="34"/>
      <c r="J526" s="34"/>
      <c r="K526" s="35"/>
      <c r="L526" s="34"/>
      <c r="M526" s="32"/>
      <c r="N526" s="34"/>
      <c r="O526" s="34"/>
      <c r="P526" s="34"/>
    </row>
    <row r="527" spans="2:16" x14ac:dyDescent="0.3">
      <c r="B527" s="33"/>
      <c r="C527" s="34"/>
      <c r="D527" s="34"/>
      <c r="E527" s="34"/>
      <c r="F527" s="34"/>
      <c r="G527" s="34"/>
      <c r="H527" s="34"/>
      <c r="I527" s="34"/>
      <c r="J527" s="34"/>
      <c r="K527" s="35"/>
      <c r="L527" s="34"/>
      <c r="M527" s="32"/>
      <c r="N527" s="34"/>
      <c r="O527" s="34"/>
      <c r="P527" s="34"/>
    </row>
    <row r="528" spans="2:16" x14ac:dyDescent="0.3">
      <c r="B528" s="33"/>
      <c r="C528" s="34"/>
      <c r="D528" s="34"/>
      <c r="E528" s="34"/>
      <c r="F528" s="34"/>
      <c r="G528" s="34"/>
      <c r="H528" s="34"/>
      <c r="I528" s="34"/>
      <c r="J528" s="34"/>
      <c r="K528" s="35"/>
      <c r="L528" s="34"/>
      <c r="M528" s="32"/>
      <c r="N528" s="34"/>
      <c r="O528" s="34"/>
      <c r="P528" s="34"/>
    </row>
    <row r="529" spans="2:16" x14ac:dyDescent="0.3">
      <c r="B529" s="33"/>
      <c r="C529" s="34"/>
      <c r="D529" s="34"/>
      <c r="E529" s="34"/>
      <c r="F529" s="34"/>
      <c r="G529" s="34"/>
      <c r="H529" s="34"/>
      <c r="I529" s="34"/>
      <c r="J529" s="34"/>
      <c r="K529" s="35"/>
      <c r="L529" s="34"/>
      <c r="M529" s="32"/>
      <c r="N529" s="34"/>
      <c r="O529" s="34"/>
      <c r="P529" s="34"/>
    </row>
    <row r="530" spans="2:16" x14ac:dyDescent="0.3">
      <c r="B530" s="33"/>
      <c r="C530" s="34"/>
      <c r="D530" s="34"/>
      <c r="E530" s="34"/>
      <c r="F530" s="34"/>
      <c r="G530" s="34"/>
      <c r="H530" s="34"/>
      <c r="I530" s="34"/>
      <c r="J530" s="34"/>
      <c r="K530" s="35"/>
      <c r="L530" s="34"/>
      <c r="M530" s="32"/>
      <c r="N530" s="34"/>
      <c r="O530" s="34"/>
      <c r="P530" s="34"/>
    </row>
    <row r="531" spans="2:16" x14ac:dyDescent="0.3">
      <c r="B531" s="33"/>
      <c r="C531" s="34"/>
      <c r="D531" s="34"/>
      <c r="E531" s="34"/>
      <c r="F531" s="34"/>
      <c r="G531" s="34"/>
      <c r="H531" s="34"/>
      <c r="I531" s="34"/>
      <c r="J531" s="34"/>
      <c r="K531" s="35"/>
      <c r="L531" s="34"/>
      <c r="M531" s="32"/>
      <c r="N531" s="34"/>
      <c r="O531" s="34"/>
      <c r="P531" s="34"/>
    </row>
    <row r="532" spans="2:16" x14ac:dyDescent="0.3">
      <c r="B532" s="33"/>
      <c r="C532" s="34"/>
      <c r="D532" s="34"/>
      <c r="E532" s="34"/>
      <c r="F532" s="34"/>
      <c r="G532" s="34"/>
      <c r="H532" s="34"/>
      <c r="I532" s="34"/>
      <c r="J532" s="34"/>
      <c r="K532" s="35"/>
      <c r="L532" s="34"/>
      <c r="M532" s="32"/>
      <c r="N532" s="34"/>
      <c r="O532" s="34"/>
      <c r="P532" s="34"/>
    </row>
    <row r="533" spans="2:16" x14ac:dyDescent="0.3">
      <c r="B533" s="33"/>
      <c r="C533" s="34"/>
      <c r="D533" s="34"/>
      <c r="E533" s="34"/>
      <c r="F533" s="34"/>
      <c r="G533" s="34"/>
      <c r="H533" s="34"/>
      <c r="I533" s="34"/>
      <c r="J533" s="34"/>
      <c r="K533" s="35"/>
      <c r="L533" s="34"/>
      <c r="M533" s="32"/>
      <c r="N533" s="34"/>
      <c r="O533" s="34"/>
      <c r="P533" s="34"/>
    </row>
    <row r="534" spans="2:16" x14ac:dyDescent="0.3">
      <c r="B534" s="33"/>
      <c r="C534" s="34"/>
      <c r="D534" s="34"/>
      <c r="E534" s="34"/>
      <c r="F534" s="34"/>
      <c r="G534" s="34"/>
      <c r="H534" s="34"/>
      <c r="I534" s="34"/>
      <c r="J534" s="34"/>
      <c r="K534" s="35"/>
      <c r="L534" s="34"/>
      <c r="M534" s="32"/>
      <c r="N534" s="34"/>
      <c r="O534" s="34"/>
      <c r="P534" s="34"/>
    </row>
    <row r="535" spans="2:16" x14ac:dyDescent="0.3">
      <c r="B535" s="33"/>
      <c r="C535" s="34"/>
      <c r="D535" s="34"/>
      <c r="E535" s="34"/>
      <c r="F535" s="34"/>
      <c r="G535" s="34"/>
      <c r="H535" s="34"/>
      <c r="I535" s="34"/>
      <c r="J535" s="34"/>
      <c r="K535" s="35"/>
      <c r="L535" s="34"/>
      <c r="M535" s="32"/>
      <c r="N535" s="34"/>
      <c r="O535" s="34"/>
      <c r="P535" s="34"/>
    </row>
    <row r="536" spans="2:16" x14ac:dyDescent="0.3">
      <c r="B536" s="33"/>
      <c r="C536" s="34"/>
      <c r="D536" s="34"/>
      <c r="E536" s="34"/>
      <c r="F536" s="34"/>
      <c r="G536" s="34"/>
      <c r="H536" s="34"/>
      <c r="I536" s="34"/>
      <c r="J536" s="34"/>
      <c r="K536" s="35"/>
      <c r="L536" s="34"/>
      <c r="M536" s="32"/>
      <c r="N536" s="34"/>
      <c r="O536" s="34"/>
      <c r="P536" s="34"/>
    </row>
    <row r="537" spans="2:16" x14ac:dyDescent="0.3">
      <c r="B537" s="33"/>
      <c r="C537" s="34"/>
      <c r="D537" s="34"/>
      <c r="E537" s="34"/>
      <c r="F537" s="34"/>
      <c r="G537" s="34"/>
      <c r="H537" s="34"/>
      <c r="I537" s="34"/>
      <c r="J537" s="34"/>
      <c r="K537" s="35"/>
      <c r="L537" s="34"/>
      <c r="M537" s="32"/>
      <c r="N537" s="34"/>
      <c r="O537" s="34"/>
      <c r="P537" s="34"/>
    </row>
    <row r="538" spans="2:16" x14ac:dyDescent="0.3">
      <c r="B538" s="33"/>
      <c r="C538" s="34"/>
      <c r="D538" s="34"/>
      <c r="E538" s="34"/>
      <c r="F538" s="34"/>
      <c r="G538" s="34"/>
      <c r="H538" s="34"/>
      <c r="I538" s="34"/>
      <c r="J538" s="34"/>
      <c r="K538" s="35"/>
      <c r="L538" s="34"/>
      <c r="M538" s="32"/>
      <c r="N538" s="34"/>
      <c r="O538" s="34"/>
      <c r="P538" s="34"/>
    </row>
    <row r="539" spans="2:16" x14ac:dyDescent="0.3">
      <c r="B539" s="33"/>
      <c r="C539" s="34"/>
      <c r="D539" s="34"/>
      <c r="E539" s="34"/>
      <c r="F539" s="34"/>
      <c r="G539" s="34"/>
      <c r="H539" s="34"/>
      <c r="I539" s="34"/>
      <c r="J539" s="34"/>
      <c r="K539" s="35"/>
      <c r="L539" s="34"/>
      <c r="M539" s="32"/>
      <c r="N539" s="34"/>
      <c r="O539" s="34"/>
      <c r="P539" s="34"/>
    </row>
    <row r="540" spans="2:16" x14ac:dyDescent="0.3">
      <c r="B540" s="33"/>
      <c r="C540" s="34"/>
      <c r="D540" s="34"/>
      <c r="E540" s="34"/>
      <c r="F540" s="34"/>
      <c r="G540" s="34"/>
      <c r="H540" s="34"/>
      <c r="I540" s="34"/>
      <c r="J540" s="34"/>
      <c r="K540" s="35"/>
      <c r="L540" s="34"/>
      <c r="M540" s="32"/>
      <c r="N540" s="34"/>
      <c r="O540" s="34"/>
      <c r="P540" s="34"/>
    </row>
    <row r="541" spans="2:16" x14ac:dyDescent="0.3">
      <c r="B541" s="33"/>
      <c r="C541" s="34"/>
      <c r="D541" s="34"/>
      <c r="E541" s="34"/>
      <c r="F541" s="34"/>
      <c r="G541" s="34"/>
      <c r="H541" s="34"/>
      <c r="I541" s="34"/>
      <c r="J541" s="34"/>
      <c r="K541" s="35"/>
      <c r="L541" s="34"/>
      <c r="M541" s="32"/>
      <c r="N541" s="34"/>
      <c r="O541" s="34"/>
      <c r="P541" s="34"/>
    </row>
    <row r="542" spans="2:16" x14ac:dyDescent="0.3">
      <c r="B542" s="33"/>
      <c r="C542" s="34"/>
      <c r="D542" s="34"/>
      <c r="E542" s="34"/>
      <c r="F542" s="34"/>
      <c r="G542" s="34"/>
      <c r="H542" s="34"/>
      <c r="I542" s="34"/>
      <c r="J542" s="34"/>
      <c r="K542" s="35"/>
      <c r="L542" s="34"/>
      <c r="M542" s="32"/>
      <c r="N542" s="34"/>
      <c r="O542" s="34"/>
      <c r="P542" s="34"/>
    </row>
    <row r="543" spans="2:16" x14ac:dyDescent="0.3">
      <c r="B543" s="33"/>
      <c r="C543" s="34"/>
      <c r="D543" s="34"/>
      <c r="E543" s="34"/>
      <c r="F543" s="34"/>
      <c r="G543" s="34"/>
      <c r="H543" s="34"/>
      <c r="I543" s="34"/>
      <c r="J543" s="34"/>
      <c r="K543" s="35"/>
      <c r="L543" s="34"/>
      <c r="M543" s="32"/>
      <c r="N543" s="34"/>
      <c r="O543" s="34"/>
      <c r="P543" s="34"/>
    </row>
    <row r="544" spans="2:16" x14ac:dyDescent="0.3">
      <c r="B544" s="33"/>
      <c r="C544" s="34"/>
      <c r="D544" s="34"/>
      <c r="E544" s="34"/>
      <c r="F544" s="34"/>
      <c r="G544" s="34"/>
      <c r="H544" s="34"/>
      <c r="I544" s="34"/>
      <c r="J544" s="34"/>
      <c r="K544" s="35"/>
      <c r="L544" s="34"/>
      <c r="M544" s="32"/>
      <c r="N544" s="34"/>
      <c r="O544" s="34"/>
      <c r="P544" s="34"/>
    </row>
    <row r="545" spans="2:16" x14ac:dyDescent="0.3">
      <c r="B545" s="33"/>
      <c r="C545" s="34"/>
      <c r="D545" s="34"/>
      <c r="E545" s="34"/>
      <c r="F545" s="34"/>
      <c r="G545" s="34"/>
      <c r="H545" s="34"/>
      <c r="I545" s="34"/>
      <c r="J545" s="34"/>
      <c r="K545" s="35"/>
      <c r="L545" s="34"/>
      <c r="M545" s="32"/>
      <c r="N545" s="34"/>
      <c r="O545" s="34"/>
      <c r="P545" s="34"/>
    </row>
    <row r="546" spans="2:16" x14ac:dyDescent="0.3">
      <c r="B546" s="33"/>
      <c r="C546" s="34"/>
      <c r="D546" s="34"/>
      <c r="E546" s="34"/>
      <c r="F546" s="34"/>
      <c r="G546" s="34"/>
      <c r="H546" s="34"/>
      <c r="I546" s="34"/>
      <c r="J546" s="34"/>
      <c r="K546" s="35"/>
      <c r="L546" s="34"/>
      <c r="M546" s="32"/>
      <c r="N546" s="34"/>
      <c r="O546" s="34"/>
      <c r="P546" s="34"/>
    </row>
    <row r="547" spans="2:16" x14ac:dyDescent="0.3">
      <c r="B547" s="33"/>
      <c r="C547" s="34"/>
      <c r="D547" s="34"/>
      <c r="E547" s="34"/>
      <c r="F547" s="34"/>
      <c r="G547" s="34"/>
      <c r="H547" s="34"/>
      <c r="I547" s="34"/>
      <c r="J547" s="34"/>
      <c r="K547" s="35"/>
      <c r="L547" s="34"/>
      <c r="M547" s="32"/>
      <c r="N547" s="34"/>
      <c r="O547" s="34"/>
      <c r="P547" s="34"/>
    </row>
    <row r="548" spans="2:16" x14ac:dyDescent="0.3">
      <c r="B548" s="33"/>
      <c r="C548" s="34"/>
      <c r="D548" s="34"/>
      <c r="E548" s="34"/>
      <c r="F548" s="34"/>
      <c r="G548" s="34"/>
      <c r="H548" s="34"/>
      <c r="I548" s="34"/>
      <c r="J548" s="34"/>
      <c r="K548" s="35"/>
      <c r="L548" s="34"/>
      <c r="M548" s="32"/>
      <c r="N548" s="34"/>
      <c r="O548" s="34"/>
      <c r="P548" s="34"/>
    </row>
    <row r="549" spans="2:16" x14ac:dyDescent="0.3">
      <c r="B549" s="33"/>
      <c r="C549" s="34"/>
      <c r="D549" s="34"/>
      <c r="E549" s="34"/>
      <c r="F549" s="34"/>
      <c r="G549" s="34"/>
      <c r="H549" s="34"/>
      <c r="I549" s="34"/>
      <c r="J549" s="34"/>
      <c r="K549" s="35"/>
      <c r="L549" s="34"/>
      <c r="M549" s="32"/>
      <c r="N549" s="34"/>
      <c r="O549" s="34"/>
      <c r="P549" s="34"/>
    </row>
    <row r="550" spans="2:16" x14ac:dyDescent="0.3">
      <c r="B550" s="33"/>
      <c r="C550" s="34"/>
      <c r="D550" s="34"/>
      <c r="E550" s="34"/>
      <c r="F550" s="34"/>
      <c r="G550" s="34"/>
      <c r="H550" s="34"/>
      <c r="I550" s="34"/>
      <c r="J550" s="34"/>
      <c r="K550" s="35"/>
      <c r="L550" s="34"/>
      <c r="M550" s="32"/>
      <c r="N550" s="34"/>
      <c r="O550" s="34"/>
      <c r="P550" s="34"/>
    </row>
    <row r="551" spans="2:16" x14ac:dyDescent="0.3">
      <c r="B551" s="33"/>
      <c r="C551" s="34"/>
      <c r="D551" s="34"/>
      <c r="E551" s="34"/>
      <c r="F551" s="34"/>
      <c r="G551" s="34"/>
      <c r="H551" s="34"/>
      <c r="I551" s="34"/>
      <c r="J551" s="34"/>
      <c r="K551" s="35"/>
      <c r="L551" s="34"/>
      <c r="M551" s="32"/>
      <c r="N551" s="34"/>
      <c r="O551" s="34"/>
      <c r="P551" s="34"/>
    </row>
    <row r="552" spans="2:16" x14ac:dyDescent="0.3">
      <c r="B552" s="33"/>
      <c r="C552" s="34"/>
      <c r="D552" s="34"/>
      <c r="E552" s="34"/>
      <c r="F552" s="34"/>
      <c r="G552" s="34"/>
      <c r="H552" s="34"/>
      <c r="I552" s="34"/>
      <c r="J552" s="34"/>
      <c r="K552" s="35"/>
      <c r="L552" s="34"/>
      <c r="M552" s="32"/>
      <c r="N552" s="34"/>
      <c r="O552" s="34"/>
      <c r="P552" s="34"/>
    </row>
    <row r="553" spans="2:16" x14ac:dyDescent="0.3">
      <c r="B553" s="33"/>
      <c r="C553" s="34"/>
      <c r="D553" s="34"/>
      <c r="E553" s="34"/>
      <c r="F553" s="34"/>
      <c r="G553" s="34"/>
      <c r="H553" s="34"/>
      <c r="I553" s="34"/>
      <c r="J553" s="34"/>
      <c r="K553" s="35"/>
      <c r="L553" s="34"/>
      <c r="M553" s="32"/>
      <c r="N553" s="34"/>
      <c r="O553" s="34"/>
      <c r="P553" s="34"/>
    </row>
    <row r="554" spans="2:16" x14ac:dyDescent="0.3">
      <c r="B554" s="33"/>
      <c r="C554" s="34"/>
      <c r="D554" s="34"/>
      <c r="E554" s="34"/>
      <c r="F554" s="34"/>
      <c r="G554" s="34"/>
      <c r="H554" s="34"/>
      <c r="I554" s="34"/>
      <c r="J554" s="34"/>
      <c r="K554" s="35"/>
      <c r="L554" s="34"/>
      <c r="M554" s="32"/>
      <c r="N554" s="34"/>
      <c r="O554" s="34"/>
      <c r="P554" s="34"/>
    </row>
    <row r="555" spans="2:16" x14ac:dyDescent="0.3">
      <c r="B555" s="33"/>
      <c r="C555" s="34"/>
      <c r="D555" s="34"/>
      <c r="E555" s="34"/>
      <c r="F555" s="34"/>
      <c r="G555" s="34"/>
      <c r="H555" s="34"/>
      <c r="I555" s="34"/>
      <c r="J555" s="34"/>
      <c r="K555" s="35"/>
      <c r="L555" s="34"/>
      <c r="M555" s="32"/>
      <c r="N555" s="34"/>
      <c r="O555" s="34"/>
      <c r="P555" s="34"/>
    </row>
    <row r="556" spans="2:16" x14ac:dyDescent="0.3">
      <c r="B556" s="33"/>
      <c r="C556" s="34"/>
      <c r="D556" s="34"/>
      <c r="E556" s="34"/>
      <c r="F556" s="34"/>
      <c r="G556" s="34"/>
      <c r="H556" s="34"/>
      <c r="I556" s="34"/>
      <c r="J556" s="34"/>
      <c r="K556" s="35"/>
      <c r="L556" s="34"/>
      <c r="M556" s="32"/>
      <c r="N556" s="34"/>
      <c r="O556" s="34"/>
      <c r="P556" s="34"/>
    </row>
    <row r="557" spans="2:16" x14ac:dyDescent="0.3">
      <c r="B557" s="33"/>
      <c r="C557" s="34"/>
      <c r="D557" s="34"/>
      <c r="E557" s="34"/>
      <c r="F557" s="34"/>
      <c r="G557" s="34"/>
      <c r="H557" s="34"/>
      <c r="I557" s="34"/>
      <c r="J557" s="34"/>
      <c r="K557" s="35"/>
      <c r="L557" s="34"/>
      <c r="M557" s="32"/>
      <c r="N557" s="34"/>
      <c r="O557" s="34"/>
      <c r="P557" s="34"/>
    </row>
    <row r="558" spans="2:16" x14ac:dyDescent="0.3">
      <c r="B558" s="33"/>
      <c r="C558" s="34"/>
      <c r="D558" s="34"/>
      <c r="E558" s="34"/>
      <c r="F558" s="34"/>
      <c r="G558" s="34"/>
      <c r="H558" s="34"/>
      <c r="I558" s="34"/>
      <c r="J558" s="34"/>
      <c r="K558" s="35"/>
      <c r="L558" s="34"/>
      <c r="M558" s="32"/>
      <c r="N558" s="34"/>
      <c r="O558" s="34"/>
      <c r="P558" s="34"/>
    </row>
    <row r="559" spans="2:16" x14ac:dyDescent="0.3">
      <c r="B559" s="33"/>
      <c r="C559" s="34"/>
      <c r="D559" s="34"/>
      <c r="E559" s="34"/>
      <c r="F559" s="34"/>
      <c r="G559" s="34"/>
      <c r="H559" s="34"/>
      <c r="I559" s="34"/>
      <c r="J559" s="34"/>
      <c r="K559" s="35"/>
      <c r="L559" s="34"/>
      <c r="M559" s="32"/>
      <c r="N559" s="34"/>
      <c r="O559" s="34"/>
      <c r="P559" s="34"/>
    </row>
    <row r="560" spans="2:16" x14ac:dyDescent="0.3">
      <c r="B560" s="33"/>
      <c r="C560" s="34"/>
      <c r="D560" s="34"/>
      <c r="E560" s="34"/>
      <c r="F560" s="34"/>
      <c r="G560" s="34"/>
      <c r="H560" s="34"/>
      <c r="I560" s="34"/>
      <c r="J560" s="34"/>
      <c r="K560" s="35"/>
      <c r="L560" s="34"/>
      <c r="M560" s="32"/>
      <c r="N560" s="34"/>
      <c r="O560" s="34"/>
      <c r="P560" s="34"/>
    </row>
    <row r="561" spans="2:16" x14ac:dyDescent="0.3">
      <c r="B561" s="33"/>
      <c r="C561" s="34"/>
      <c r="D561" s="34"/>
      <c r="E561" s="34"/>
      <c r="F561" s="34"/>
      <c r="G561" s="34"/>
      <c r="H561" s="34"/>
      <c r="I561" s="34"/>
      <c r="J561" s="34"/>
      <c r="K561" s="35"/>
      <c r="L561" s="34"/>
      <c r="M561" s="32"/>
      <c r="N561" s="34"/>
      <c r="O561" s="34"/>
      <c r="P561" s="34"/>
    </row>
    <row r="562" spans="2:16" x14ac:dyDescent="0.3">
      <c r="B562" s="33"/>
      <c r="C562" s="34"/>
      <c r="D562" s="34"/>
      <c r="E562" s="34"/>
      <c r="F562" s="34"/>
      <c r="G562" s="34"/>
      <c r="H562" s="34"/>
      <c r="I562" s="34"/>
      <c r="J562" s="34"/>
      <c r="K562" s="35"/>
      <c r="L562" s="34"/>
      <c r="M562" s="32"/>
      <c r="N562" s="34"/>
      <c r="O562" s="34"/>
      <c r="P562" s="34"/>
    </row>
    <row r="563" spans="2:16" x14ac:dyDescent="0.3">
      <c r="B563" s="33"/>
      <c r="C563" s="34"/>
      <c r="D563" s="34"/>
      <c r="E563" s="34"/>
      <c r="F563" s="34"/>
      <c r="G563" s="34"/>
      <c r="H563" s="34"/>
      <c r="I563" s="34"/>
      <c r="J563" s="34"/>
      <c r="K563" s="35"/>
      <c r="L563" s="34"/>
      <c r="M563" s="32"/>
      <c r="N563" s="34"/>
      <c r="O563" s="34"/>
      <c r="P563" s="34"/>
    </row>
    <row r="564" spans="2:16" x14ac:dyDescent="0.3">
      <c r="B564" s="33"/>
      <c r="C564" s="34"/>
      <c r="D564" s="34"/>
      <c r="E564" s="34"/>
      <c r="F564" s="34"/>
      <c r="G564" s="34"/>
      <c r="H564" s="34"/>
      <c r="I564" s="34"/>
      <c r="J564" s="34"/>
      <c r="K564" s="35"/>
      <c r="L564" s="34"/>
      <c r="M564" s="32"/>
      <c r="N564" s="34"/>
      <c r="O564" s="34"/>
      <c r="P564" s="34"/>
    </row>
    <row r="565" spans="2:16" x14ac:dyDescent="0.3">
      <c r="B565" s="33"/>
      <c r="C565" s="34"/>
      <c r="D565" s="34"/>
      <c r="E565" s="34"/>
      <c r="F565" s="34"/>
      <c r="G565" s="34"/>
      <c r="H565" s="34"/>
      <c r="I565" s="34"/>
      <c r="J565" s="34"/>
      <c r="K565" s="35"/>
      <c r="L565" s="34"/>
      <c r="M565" s="32"/>
      <c r="N565" s="34"/>
      <c r="O565" s="34"/>
      <c r="P565" s="34"/>
    </row>
    <row r="566" spans="2:16" x14ac:dyDescent="0.3">
      <c r="B566" s="33"/>
      <c r="C566" s="34"/>
      <c r="D566" s="34"/>
      <c r="E566" s="34"/>
      <c r="F566" s="34"/>
      <c r="G566" s="34"/>
      <c r="H566" s="34"/>
      <c r="I566" s="34"/>
      <c r="J566" s="34"/>
      <c r="K566" s="35"/>
      <c r="L566" s="34"/>
      <c r="M566" s="32"/>
      <c r="N566" s="34"/>
      <c r="O566" s="34"/>
      <c r="P566" s="34"/>
    </row>
    <row r="567" spans="2:16" x14ac:dyDescent="0.3">
      <c r="B567" s="33"/>
      <c r="C567" s="34"/>
      <c r="D567" s="34"/>
      <c r="E567" s="34"/>
      <c r="F567" s="34"/>
      <c r="G567" s="34"/>
      <c r="H567" s="34"/>
      <c r="I567" s="34"/>
      <c r="J567" s="34"/>
      <c r="K567" s="35"/>
      <c r="L567" s="34"/>
      <c r="M567" s="32"/>
      <c r="N567" s="34"/>
      <c r="O567" s="34"/>
      <c r="P567" s="34"/>
    </row>
    <row r="568" spans="2:16" x14ac:dyDescent="0.3">
      <c r="B568" s="33"/>
      <c r="C568" s="34"/>
      <c r="D568" s="34"/>
      <c r="E568" s="34"/>
      <c r="F568" s="34"/>
      <c r="G568" s="34"/>
      <c r="H568" s="34"/>
      <c r="I568" s="34"/>
      <c r="J568" s="34"/>
      <c r="K568" s="35"/>
      <c r="L568" s="34"/>
      <c r="M568" s="32"/>
      <c r="N568" s="34"/>
      <c r="O568" s="34"/>
      <c r="P568" s="34"/>
    </row>
    <row r="569" spans="2:16" x14ac:dyDescent="0.3">
      <c r="B569" s="33"/>
      <c r="C569" s="34"/>
      <c r="D569" s="34"/>
      <c r="E569" s="34"/>
      <c r="F569" s="34"/>
      <c r="G569" s="34"/>
      <c r="H569" s="34"/>
      <c r="I569" s="34"/>
      <c r="J569" s="34"/>
      <c r="K569" s="35"/>
      <c r="L569" s="34"/>
      <c r="M569" s="32"/>
      <c r="N569" s="34"/>
      <c r="O569" s="34"/>
      <c r="P569" s="34"/>
    </row>
    <row r="570" spans="2:16" x14ac:dyDescent="0.3">
      <c r="B570" s="33"/>
      <c r="C570" s="34"/>
      <c r="D570" s="34"/>
      <c r="E570" s="34"/>
      <c r="F570" s="34"/>
      <c r="G570" s="34"/>
      <c r="H570" s="34"/>
      <c r="I570" s="34"/>
      <c r="J570" s="34"/>
      <c r="K570" s="35"/>
      <c r="L570" s="34"/>
      <c r="M570" s="32"/>
      <c r="N570" s="34"/>
      <c r="O570" s="34"/>
      <c r="P570" s="34"/>
    </row>
    <row r="571" spans="2:16" x14ac:dyDescent="0.3">
      <c r="B571" s="33"/>
      <c r="C571" s="34"/>
      <c r="D571" s="34"/>
      <c r="E571" s="34"/>
      <c r="F571" s="34"/>
      <c r="G571" s="34"/>
      <c r="H571" s="34"/>
      <c r="I571" s="34"/>
      <c r="J571" s="34"/>
      <c r="K571" s="35"/>
      <c r="L571" s="34"/>
      <c r="M571" s="32"/>
      <c r="N571" s="34"/>
      <c r="O571" s="34"/>
      <c r="P571" s="34"/>
    </row>
    <row r="572" spans="2:16" x14ac:dyDescent="0.3">
      <c r="B572" s="33"/>
      <c r="C572" s="34"/>
      <c r="D572" s="34"/>
      <c r="E572" s="34"/>
      <c r="F572" s="34"/>
      <c r="G572" s="34"/>
      <c r="H572" s="34"/>
      <c r="I572" s="34"/>
      <c r="J572" s="34"/>
      <c r="K572" s="35"/>
      <c r="L572" s="34"/>
      <c r="M572" s="32"/>
      <c r="N572" s="34"/>
      <c r="O572" s="34"/>
      <c r="P572" s="34"/>
    </row>
    <row r="573" spans="2:16" x14ac:dyDescent="0.3">
      <c r="B573" s="33"/>
      <c r="C573" s="34"/>
      <c r="D573" s="34"/>
      <c r="E573" s="34"/>
      <c r="F573" s="34"/>
      <c r="G573" s="34"/>
      <c r="H573" s="34"/>
      <c r="I573" s="34"/>
      <c r="J573" s="34"/>
      <c r="K573" s="35"/>
      <c r="L573" s="34"/>
      <c r="M573" s="32"/>
      <c r="N573" s="34"/>
      <c r="O573" s="34"/>
      <c r="P573" s="34"/>
    </row>
    <row r="574" spans="2:16" x14ac:dyDescent="0.3">
      <c r="B574" s="33"/>
      <c r="C574" s="34"/>
      <c r="D574" s="34"/>
      <c r="E574" s="34"/>
      <c r="F574" s="34"/>
      <c r="G574" s="34"/>
      <c r="H574" s="34"/>
      <c r="I574" s="34"/>
      <c r="J574" s="34"/>
      <c r="K574" s="35"/>
      <c r="L574" s="34"/>
      <c r="M574" s="34"/>
      <c r="N574" s="34"/>
      <c r="O574" s="34"/>
      <c r="P574" s="34"/>
    </row>
    <row r="575" spans="2:16" x14ac:dyDescent="0.3">
      <c r="B575" s="33"/>
      <c r="C575" s="34"/>
      <c r="D575" s="34"/>
      <c r="E575" s="34"/>
      <c r="F575" s="34"/>
      <c r="G575" s="34"/>
      <c r="H575" s="34"/>
      <c r="I575" s="34"/>
      <c r="J575" s="34"/>
      <c r="K575" s="35"/>
      <c r="L575" s="34"/>
      <c r="M575" s="34"/>
      <c r="N575" s="34"/>
      <c r="O575" s="34"/>
      <c r="P575" s="34"/>
    </row>
    <row r="576" spans="2:16" x14ac:dyDescent="0.3">
      <c r="B576" s="33"/>
      <c r="C576" s="34"/>
      <c r="D576" s="34"/>
      <c r="E576" s="34"/>
      <c r="F576" s="34"/>
      <c r="G576" s="34"/>
      <c r="H576" s="34"/>
      <c r="I576" s="34"/>
      <c r="J576" s="34"/>
      <c r="K576" s="35"/>
      <c r="L576" s="34"/>
      <c r="M576" s="34"/>
      <c r="N576" s="34"/>
      <c r="O576" s="34"/>
      <c r="P576" s="34"/>
    </row>
    <row r="577" spans="2:16" x14ac:dyDescent="0.3">
      <c r="B577" s="33"/>
      <c r="C577" s="34"/>
      <c r="D577" s="34"/>
      <c r="E577" s="34"/>
      <c r="F577" s="34"/>
      <c r="G577" s="34"/>
      <c r="H577" s="34"/>
      <c r="I577" s="34"/>
      <c r="J577" s="34"/>
      <c r="K577" s="35"/>
      <c r="L577" s="34"/>
      <c r="M577" s="34"/>
      <c r="N577" s="34"/>
      <c r="O577" s="34"/>
      <c r="P577" s="34"/>
    </row>
    <row r="578" spans="2:16" x14ac:dyDescent="0.3">
      <c r="B578" s="33"/>
      <c r="C578" s="34"/>
      <c r="D578" s="34"/>
      <c r="E578" s="34"/>
      <c r="F578" s="34"/>
      <c r="G578" s="34"/>
      <c r="H578" s="34"/>
      <c r="I578" s="34"/>
      <c r="J578" s="34"/>
      <c r="K578" s="35"/>
      <c r="L578" s="34"/>
      <c r="M578" s="34"/>
      <c r="N578" s="34"/>
      <c r="O578" s="34"/>
      <c r="P578" s="34"/>
    </row>
    <row r="579" spans="2:16" x14ac:dyDescent="0.3">
      <c r="B579" s="33"/>
      <c r="C579" s="34"/>
      <c r="D579" s="34"/>
      <c r="E579" s="34"/>
      <c r="F579" s="34"/>
      <c r="G579" s="34"/>
      <c r="H579" s="34"/>
      <c r="I579" s="34"/>
      <c r="J579" s="34"/>
      <c r="K579" s="35"/>
      <c r="L579" s="34"/>
      <c r="M579" s="34"/>
      <c r="N579" s="34"/>
      <c r="O579" s="34"/>
      <c r="P579" s="34"/>
    </row>
    <row r="580" spans="2:16" x14ac:dyDescent="0.3">
      <c r="B580" s="33"/>
      <c r="C580" s="34"/>
      <c r="D580" s="34"/>
      <c r="E580" s="34"/>
      <c r="F580" s="34"/>
      <c r="G580" s="34"/>
      <c r="H580" s="34"/>
      <c r="I580" s="34"/>
      <c r="J580" s="34"/>
      <c r="K580" s="35"/>
      <c r="L580" s="34"/>
      <c r="M580" s="34"/>
      <c r="N580" s="34"/>
      <c r="O580" s="34"/>
      <c r="P580" s="34"/>
    </row>
    <row r="581" spans="2:16" x14ac:dyDescent="0.3">
      <c r="B581" s="33"/>
      <c r="C581" s="34"/>
      <c r="D581" s="34"/>
      <c r="E581" s="34"/>
      <c r="F581" s="34"/>
      <c r="G581" s="34"/>
      <c r="H581" s="34"/>
      <c r="I581" s="34"/>
      <c r="J581" s="34"/>
      <c r="K581" s="35"/>
      <c r="L581" s="34"/>
      <c r="M581" s="34"/>
      <c r="N581" s="34"/>
      <c r="O581" s="34"/>
      <c r="P581" s="34"/>
    </row>
    <row r="582" spans="2:16" x14ac:dyDescent="0.3">
      <c r="B582" s="33"/>
      <c r="C582" s="34"/>
      <c r="D582" s="34"/>
      <c r="E582" s="34"/>
      <c r="F582" s="34"/>
      <c r="G582" s="34"/>
      <c r="H582" s="34"/>
      <c r="I582" s="34"/>
      <c r="J582" s="34"/>
      <c r="K582" s="35"/>
      <c r="L582" s="34"/>
      <c r="M582" s="34"/>
      <c r="N582" s="34"/>
      <c r="O582" s="34"/>
      <c r="P582" s="34"/>
    </row>
    <row r="583" spans="2:16" x14ac:dyDescent="0.3">
      <c r="B583" s="33"/>
      <c r="C583" s="34"/>
      <c r="D583" s="34"/>
      <c r="E583" s="34"/>
      <c r="F583" s="34"/>
      <c r="G583" s="34"/>
      <c r="H583" s="34"/>
      <c r="I583" s="34"/>
      <c r="J583" s="34"/>
      <c r="K583" s="35"/>
      <c r="L583" s="34"/>
      <c r="M583" s="34"/>
      <c r="N583" s="34"/>
      <c r="O583" s="34"/>
      <c r="P583" s="34"/>
    </row>
    <row r="584" spans="2:16" x14ac:dyDescent="0.3">
      <c r="B584" s="33"/>
      <c r="C584" s="34"/>
      <c r="D584" s="34"/>
      <c r="E584" s="34"/>
      <c r="F584" s="34"/>
      <c r="G584" s="34"/>
      <c r="H584" s="34"/>
      <c r="I584" s="34"/>
      <c r="J584" s="34"/>
      <c r="K584" s="35"/>
      <c r="L584" s="34"/>
      <c r="M584" s="34"/>
      <c r="N584" s="34"/>
      <c r="O584" s="34"/>
      <c r="P584" s="34"/>
    </row>
    <row r="585" spans="2:16" x14ac:dyDescent="0.3">
      <c r="B585" s="33"/>
      <c r="C585" s="34"/>
      <c r="D585" s="34"/>
      <c r="E585" s="34"/>
      <c r="F585" s="34"/>
      <c r="G585" s="34"/>
      <c r="H585" s="34"/>
      <c r="I585" s="34"/>
      <c r="J585" s="34"/>
      <c r="K585" s="35"/>
      <c r="L585" s="34"/>
      <c r="M585" s="34"/>
      <c r="N585" s="34"/>
      <c r="O585" s="34"/>
      <c r="P585" s="34"/>
    </row>
    <row r="586" spans="2:16" x14ac:dyDescent="0.3">
      <c r="B586" s="33"/>
      <c r="C586" s="34"/>
      <c r="D586" s="34"/>
      <c r="E586" s="34"/>
      <c r="F586" s="34"/>
      <c r="G586" s="34"/>
      <c r="H586" s="34"/>
      <c r="I586" s="34"/>
      <c r="J586" s="34"/>
      <c r="K586" s="35"/>
      <c r="L586" s="34"/>
      <c r="M586" s="34"/>
      <c r="N586" s="34"/>
      <c r="O586" s="34"/>
      <c r="P586" s="34"/>
    </row>
    <row r="587" spans="2:16" x14ac:dyDescent="0.3">
      <c r="B587" s="33"/>
      <c r="C587" s="34"/>
      <c r="D587" s="34"/>
      <c r="E587" s="34"/>
      <c r="F587" s="34"/>
      <c r="G587" s="34"/>
      <c r="H587" s="34"/>
      <c r="I587" s="34"/>
      <c r="J587" s="34"/>
      <c r="K587" s="35"/>
      <c r="L587" s="34"/>
      <c r="M587" s="34"/>
      <c r="N587" s="34"/>
      <c r="O587" s="34"/>
      <c r="P587" s="34"/>
    </row>
    <row r="588" spans="2:16" x14ac:dyDescent="0.3">
      <c r="B588" s="33"/>
      <c r="C588" s="34"/>
      <c r="D588" s="34"/>
      <c r="E588" s="34"/>
      <c r="F588" s="34"/>
      <c r="G588" s="34"/>
      <c r="H588" s="34"/>
      <c r="I588" s="34"/>
      <c r="J588" s="34"/>
      <c r="K588" s="35"/>
      <c r="L588" s="34"/>
      <c r="M588" s="34"/>
      <c r="N588" s="34"/>
      <c r="O588" s="34"/>
      <c r="P588" s="34"/>
    </row>
    <row r="589" spans="2:16" x14ac:dyDescent="0.3">
      <c r="B589" s="33"/>
      <c r="C589" s="34"/>
      <c r="D589" s="34"/>
      <c r="E589" s="34"/>
      <c r="F589" s="34"/>
      <c r="G589" s="34"/>
      <c r="H589" s="34"/>
      <c r="I589" s="34"/>
      <c r="J589" s="34"/>
      <c r="K589" s="35"/>
      <c r="L589" s="34"/>
      <c r="M589" s="34"/>
      <c r="N589" s="34"/>
      <c r="O589" s="34"/>
      <c r="P589" s="34"/>
    </row>
    <row r="590" spans="2:16" x14ac:dyDescent="0.3">
      <c r="B590" s="33"/>
      <c r="C590" s="34"/>
      <c r="D590" s="34"/>
      <c r="E590" s="34"/>
      <c r="F590" s="34"/>
      <c r="G590" s="34"/>
      <c r="H590" s="34"/>
      <c r="I590" s="34"/>
      <c r="J590" s="34"/>
      <c r="K590" s="35"/>
      <c r="L590" s="34"/>
      <c r="M590" s="34"/>
      <c r="N590" s="34"/>
      <c r="O590" s="34"/>
      <c r="P590" s="34"/>
    </row>
    <row r="591" spans="2:16" x14ac:dyDescent="0.3">
      <c r="B591" s="33"/>
      <c r="C591" s="34"/>
      <c r="D591" s="34"/>
      <c r="E591" s="34"/>
      <c r="F591" s="34"/>
      <c r="G591" s="34"/>
      <c r="H591" s="34"/>
      <c r="I591" s="34"/>
      <c r="J591" s="34"/>
      <c r="K591" s="35"/>
      <c r="L591" s="34"/>
      <c r="M591" s="34"/>
      <c r="N591" s="34"/>
      <c r="O591" s="34"/>
      <c r="P591" s="34"/>
    </row>
    <row r="592" spans="2:16" x14ac:dyDescent="0.3">
      <c r="B592" s="33"/>
      <c r="C592" s="34"/>
      <c r="D592" s="34"/>
      <c r="E592" s="34"/>
      <c r="F592" s="34"/>
      <c r="G592" s="34"/>
      <c r="H592" s="34"/>
      <c r="I592" s="34"/>
      <c r="J592" s="34"/>
      <c r="K592" s="35"/>
      <c r="L592" s="34"/>
      <c r="M592" s="34"/>
      <c r="N592" s="34"/>
      <c r="O592" s="34"/>
      <c r="P592" s="34"/>
    </row>
    <row r="593" spans="2:16" x14ac:dyDescent="0.3">
      <c r="B593" s="33"/>
      <c r="C593" s="34"/>
      <c r="D593" s="34"/>
      <c r="E593" s="34"/>
      <c r="F593" s="34"/>
      <c r="G593" s="34"/>
      <c r="H593" s="34"/>
      <c r="I593" s="34"/>
      <c r="J593" s="34"/>
      <c r="K593" s="35"/>
      <c r="L593" s="34"/>
      <c r="M593" s="34"/>
      <c r="N593" s="34"/>
      <c r="O593" s="34"/>
      <c r="P593" s="34"/>
    </row>
    <row r="594" spans="2:16" x14ac:dyDescent="0.3">
      <c r="B594" s="33"/>
      <c r="C594" s="34"/>
      <c r="D594" s="34"/>
      <c r="E594" s="34"/>
      <c r="F594" s="34"/>
      <c r="G594" s="34"/>
      <c r="H594" s="34"/>
      <c r="I594" s="34"/>
      <c r="J594" s="34"/>
      <c r="K594" s="35"/>
      <c r="L594" s="34"/>
      <c r="M594" s="34"/>
      <c r="N594" s="34"/>
      <c r="O594" s="34"/>
      <c r="P594" s="34"/>
    </row>
    <row r="595" spans="2:16" x14ac:dyDescent="0.3">
      <c r="B595" s="33"/>
      <c r="C595" s="34"/>
      <c r="D595" s="34"/>
      <c r="E595" s="34"/>
      <c r="F595" s="34"/>
      <c r="G595" s="34"/>
      <c r="H595" s="34"/>
      <c r="I595" s="34"/>
      <c r="J595" s="34"/>
      <c r="K595" s="35"/>
      <c r="L595" s="34"/>
      <c r="M595" s="34"/>
      <c r="N595" s="34"/>
      <c r="O595" s="34"/>
      <c r="P595" s="34"/>
    </row>
    <row r="596" spans="2:16" x14ac:dyDescent="0.3">
      <c r="B596" s="33"/>
      <c r="C596" s="34"/>
      <c r="D596" s="34"/>
      <c r="E596" s="34"/>
      <c r="F596" s="34"/>
      <c r="G596" s="34"/>
      <c r="H596" s="34"/>
      <c r="I596" s="34"/>
      <c r="J596" s="34"/>
      <c r="K596" s="35"/>
      <c r="L596" s="34"/>
      <c r="M596" s="34"/>
      <c r="N596" s="34"/>
      <c r="O596" s="34"/>
      <c r="P596" s="34"/>
    </row>
    <row r="597" spans="2:16" x14ac:dyDescent="0.3">
      <c r="B597" s="33"/>
      <c r="C597" s="34"/>
      <c r="D597" s="34"/>
      <c r="E597" s="34"/>
      <c r="F597" s="34"/>
      <c r="G597" s="34"/>
      <c r="H597" s="34"/>
      <c r="I597" s="34"/>
      <c r="J597" s="34"/>
      <c r="K597" s="35"/>
      <c r="L597" s="34"/>
      <c r="M597" s="34"/>
      <c r="N597" s="34"/>
      <c r="O597" s="34"/>
      <c r="P597" s="34"/>
    </row>
    <row r="598" spans="2:16" x14ac:dyDescent="0.3">
      <c r="B598" s="33"/>
      <c r="C598" s="34"/>
      <c r="D598" s="34"/>
      <c r="E598" s="34"/>
      <c r="F598" s="34"/>
      <c r="G598" s="34"/>
      <c r="H598" s="34"/>
      <c r="I598" s="34"/>
      <c r="J598" s="34"/>
      <c r="K598" s="35"/>
      <c r="L598" s="34"/>
      <c r="M598" s="34"/>
      <c r="N598" s="34"/>
      <c r="O598" s="34"/>
      <c r="P598" s="34"/>
    </row>
    <row r="599" spans="2:16" x14ac:dyDescent="0.3">
      <c r="B599" s="33"/>
      <c r="C599" s="34"/>
      <c r="D599" s="34"/>
      <c r="E599" s="34"/>
      <c r="F599" s="34"/>
      <c r="G599" s="34"/>
      <c r="H599" s="34"/>
      <c r="I599" s="34"/>
      <c r="J599" s="34"/>
      <c r="K599" s="35"/>
      <c r="L599" s="34"/>
      <c r="M599" s="34"/>
      <c r="N599" s="34"/>
      <c r="O599" s="34"/>
      <c r="P599" s="34"/>
    </row>
    <row r="600" spans="2:16" x14ac:dyDescent="0.3">
      <c r="B600" s="33"/>
      <c r="C600" s="34"/>
      <c r="D600" s="34"/>
      <c r="E600" s="34"/>
      <c r="F600" s="34"/>
      <c r="G600" s="34"/>
      <c r="H600" s="34"/>
      <c r="I600" s="34"/>
      <c r="J600" s="34"/>
      <c r="K600" s="35"/>
      <c r="L600" s="34"/>
      <c r="M600" s="34"/>
      <c r="N600" s="34"/>
      <c r="O600" s="34"/>
      <c r="P600" s="34"/>
    </row>
    <row r="601" spans="2:16" x14ac:dyDescent="0.3">
      <c r="B601" s="33"/>
      <c r="C601" s="34"/>
      <c r="D601" s="34"/>
      <c r="E601" s="34"/>
      <c r="F601" s="34"/>
      <c r="G601" s="34"/>
      <c r="H601" s="34"/>
      <c r="I601" s="34"/>
      <c r="J601" s="34"/>
      <c r="K601" s="35"/>
      <c r="L601" s="34"/>
      <c r="M601" s="34"/>
      <c r="N601" s="34"/>
      <c r="O601" s="34"/>
      <c r="P601" s="34"/>
    </row>
    <row r="602" spans="2:16" x14ac:dyDescent="0.3">
      <c r="B602" s="33"/>
      <c r="C602" s="34"/>
      <c r="D602" s="34"/>
      <c r="E602" s="34"/>
      <c r="F602" s="34"/>
      <c r="G602" s="34"/>
      <c r="H602" s="34"/>
      <c r="I602" s="34"/>
      <c r="J602" s="34"/>
      <c r="K602" s="35"/>
      <c r="L602" s="34"/>
      <c r="M602" s="34"/>
      <c r="N602" s="34"/>
      <c r="O602" s="34"/>
      <c r="P602" s="34"/>
    </row>
    <row r="603" spans="2:16" x14ac:dyDescent="0.3">
      <c r="B603" s="33"/>
      <c r="C603" s="34"/>
      <c r="D603" s="34"/>
      <c r="E603" s="34"/>
      <c r="F603" s="34"/>
      <c r="G603" s="34"/>
      <c r="H603" s="34"/>
      <c r="I603" s="34"/>
      <c r="J603" s="34"/>
      <c r="K603" s="35"/>
      <c r="L603" s="34"/>
      <c r="M603" s="34"/>
      <c r="N603" s="34"/>
      <c r="O603" s="34"/>
      <c r="P603" s="34"/>
    </row>
    <row r="604" spans="2:16" x14ac:dyDescent="0.3">
      <c r="B604" s="33"/>
      <c r="C604" s="34"/>
      <c r="D604" s="34"/>
      <c r="E604" s="34"/>
      <c r="F604" s="34"/>
      <c r="G604" s="34"/>
      <c r="H604" s="34"/>
      <c r="I604" s="34"/>
      <c r="J604" s="34"/>
      <c r="K604" s="35"/>
      <c r="L604" s="34"/>
      <c r="M604" s="34"/>
      <c r="N604" s="34"/>
      <c r="O604" s="34"/>
      <c r="P604" s="34"/>
    </row>
    <row r="605" spans="2:16" x14ac:dyDescent="0.3">
      <c r="B605" s="33"/>
      <c r="C605" s="34"/>
      <c r="D605" s="34"/>
      <c r="E605" s="34"/>
      <c r="F605" s="34"/>
      <c r="G605" s="34"/>
      <c r="H605" s="34"/>
      <c r="I605" s="34"/>
      <c r="J605" s="34"/>
      <c r="K605" s="35"/>
      <c r="L605" s="34"/>
      <c r="M605" s="34"/>
      <c r="N605" s="34"/>
      <c r="O605" s="34"/>
      <c r="P605" s="34"/>
    </row>
    <row r="606" spans="2:16" x14ac:dyDescent="0.3">
      <c r="B606" s="33"/>
      <c r="C606" s="34"/>
      <c r="D606" s="34"/>
      <c r="E606" s="34"/>
      <c r="F606" s="34"/>
      <c r="G606" s="34"/>
      <c r="H606" s="34"/>
      <c r="I606" s="34"/>
      <c r="J606" s="34"/>
      <c r="K606" s="35"/>
      <c r="L606" s="34"/>
      <c r="M606" s="34"/>
      <c r="N606" s="34"/>
      <c r="O606" s="34"/>
      <c r="P606" s="34"/>
    </row>
    <row r="607" spans="2:16" x14ac:dyDescent="0.3">
      <c r="B607" s="33"/>
      <c r="C607" s="34"/>
      <c r="D607" s="34"/>
      <c r="E607" s="34"/>
      <c r="F607" s="34"/>
      <c r="G607" s="34"/>
      <c r="H607" s="34"/>
      <c r="I607" s="34"/>
      <c r="J607" s="34"/>
      <c r="K607" s="35"/>
      <c r="L607" s="34"/>
      <c r="M607" s="34"/>
      <c r="N607" s="34"/>
      <c r="O607" s="34"/>
      <c r="P607" s="34"/>
    </row>
    <row r="608" spans="2:16" x14ac:dyDescent="0.3">
      <c r="B608" s="33"/>
      <c r="C608" s="34"/>
      <c r="D608" s="34"/>
      <c r="E608" s="34"/>
      <c r="F608" s="34"/>
      <c r="G608" s="34"/>
      <c r="H608" s="34"/>
      <c r="I608" s="34"/>
      <c r="J608" s="34"/>
      <c r="K608" s="35"/>
      <c r="L608" s="34"/>
      <c r="M608" s="34"/>
      <c r="N608" s="34"/>
      <c r="O608" s="34"/>
      <c r="P608" s="34"/>
    </row>
    <row r="609" spans="2:16" x14ac:dyDescent="0.3">
      <c r="B609" s="33"/>
      <c r="C609" s="34"/>
      <c r="D609" s="34"/>
      <c r="E609" s="34"/>
      <c r="F609" s="34"/>
      <c r="G609" s="34"/>
      <c r="H609" s="34"/>
      <c r="I609" s="34"/>
      <c r="J609" s="34"/>
      <c r="K609" s="35"/>
      <c r="L609" s="34"/>
      <c r="M609" s="34"/>
      <c r="N609" s="34"/>
      <c r="O609" s="34"/>
      <c r="P609" s="34"/>
    </row>
    <row r="610" spans="2:16" x14ac:dyDescent="0.3">
      <c r="B610" s="33"/>
      <c r="C610" s="34"/>
      <c r="D610" s="34"/>
      <c r="E610" s="34"/>
      <c r="F610" s="34"/>
      <c r="G610" s="34"/>
      <c r="H610" s="34"/>
      <c r="I610" s="34"/>
      <c r="J610" s="34"/>
      <c r="K610" s="35"/>
      <c r="L610" s="34"/>
      <c r="M610" s="34"/>
      <c r="N610" s="34"/>
      <c r="O610" s="34"/>
      <c r="P610" s="34"/>
    </row>
    <row r="611" spans="2:16" x14ac:dyDescent="0.3">
      <c r="B611" s="33"/>
      <c r="C611" s="34"/>
      <c r="D611" s="34"/>
      <c r="E611" s="34"/>
      <c r="F611" s="34"/>
      <c r="G611" s="34"/>
      <c r="H611" s="34"/>
      <c r="I611" s="34"/>
      <c r="J611" s="34"/>
      <c r="K611" s="35"/>
      <c r="L611" s="34"/>
      <c r="M611" s="34"/>
      <c r="N611" s="34"/>
      <c r="O611" s="34"/>
      <c r="P611" s="34"/>
    </row>
    <row r="612" spans="2:16" x14ac:dyDescent="0.3">
      <c r="B612" s="33"/>
      <c r="C612" s="34"/>
      <c r="D612" s="34"/>
      <c r="E612" s="34"/>
      <c r="F612" s="34"/>
      <c r="G612" s="34"/>
      <c r="H612" s="34"/>
      <c r="I612" s="34"/>
      <c r="J612" s="34"/>
      <c r="K612" s="35"/>
      <c r="L612" s="34"/>
      <c r="M612" s="34"/>
      <c r="N612" s="34"/>
      <c r="O612" s="34"/>
      <c r="P612" s="34"/>
    </row>
    <row r="613" spans="2:16" x14ac:dyDescent="0.3">
      <c r="B613" s="33"/>
      <c r="C613" s="34"/>
      <c r="D613" s="34"/>
      <c r="E613" s="34"/>
      <c r="F613" s="34"/>
      <c r="G613" s="34"/>
      <c r="H613" s="34"/>
      <c r="I613" s="34"/>
      <c r="J613" s="34"/>
      <c r="K613" s="35"/>
      <c r="L613" s="34"/>
      <c r="M613" s="34"/>
      <c r="N613" s="34"/>
      <c r="O613" s="34"/>
      <c r="P613" s="34"/>
    </row>
    <row r="614" spans="2:16" x14ac:dyDescent="0.3">
      <c r="B614" s="33"/>
      <c r="C614" s="34"/>
      <c r="D614" s="34"/>
      <c r="E614" s="34"/>
      <c r="F614" s="34"/>
      <c r="G614" s="34"/>
      <c r="H614" s="34"/>
      <c r="I614" s="34"/>
      <c r="J614" s="34"/>
      <c r="K614" s="35"/>
      <c r="L614" s="34"/>
      <c r="M614" s="34"/>
      <c r="N614" s="34"/>
      <c r="O614" s="34"/>
      <c r="P614" s="34"/>
    </row>
    <row r="615" spans="2:16" x14ac:dyDescent="0.3">
      <c r="B615" s="33"/>
      <c r="C615" s="34"/>
      <c r="D615" s="34"/>
      <c r="E615" s="34"/>
      <c r="F615" s="34"/>
      <c r="G615" s="34"/>
      <c r="H615" s="34"/>
      <c r="I615" s="34"/>
      <c r="J615" s="34"/>
      <c r="K615" s="35"/>
      <c r="L615" s="34"/>
      <c r="M615" s="34"/>
      <c r="N615" s="34"/>
      <c r="O615" s="34"/>
      <c r="P615" s="34"/>
    </row>
    <row r="616" spans="2:16" x14ac:dyDescent="0.3">
      <c r="B616" s="33"/>
      <c r="C616" s="34"/>
      <c r="D616" s="34"/>
      <c r="E616" s="34"/>
      <c r="F616" s="34"/>
      <c r="G616" s="34"/>
      <c r="H616" s="34"/>
      <c r="I616" s="34"/>
      <c r="J616" s="34"/>
      <c r="K616" s="35"/>
      <c r="L616" s="34"/>
      <c r="M616" s="34"/>
      <c r="N616" s="34"/>
      <c r="O616" s="34"/>
      <c r="P616" s="34"/>
    </row>
    <row r="617" spans="2:16" x14ac:dyDescent="0.3">
      <c r="B617" s="33"/>
      <c r="C617" s="34"/>
      <c r="D617" s="34"/>
      <c r="E617" s="34"/>
      <c r="F617" s="34"/>
      <c r="G617" s="34"/>
      <c r="H617" s="34"/>
      <c r="I617" s="34"/>
      <c r="J617" s="34"/>
      <c r="K617" s="35"/>
      <c r="L617" s="34"/>
      <c r="M617" s="34"/>
      <c r="N617" s="34"/>
      <c r="O617" s="34"/>
      <c r="P617" s="34"/>
    </row>
    <row r="618" spans="2:16" x14ac:dyDescent="0.3">
      <c r="B618" s="33"/>
      <c r="C618" s="34"/>
      <c r="D618" s="34"/>
      <c r="E618" s="34"/>
      <c r="F618" s="34"/>
      <c r="G618" s="34"/>
      <c r="H618" s="34"/>
      <c r="I618" s="34"/>
      <c r="J618" s="34"/>
      <c r="K618" s="35"/>
      <c r="L618" s="34"/>
      <c r="M618" s="34"/>
      <c r="N618" s="34"/>
      <c r="O618" s="34"/>
      <c r="P618" s="34"/>
    </row>
    <row r="619" spans="2:16" x14ac:dyDescent="0.3">
      <c r="B619" s="33"/>
      <c r="C619" s="34"/>
      <c r="D619" s="34"/>
      <c r="E619" s="34"/>
      <c r="F619" s="34"/>
      <c r="G619" s="34"/>
      <c r="H619" s="34"/>
      <c r="I619" s="34"/>
      <c r="J619" s="34"/>
      <c r="K619" s="35"/>
      <c r="L619" s="34"/>
      <c r="M619" s="34"/>
      <c r="N619" s="34"/>
      <c r="O619" s="34"/>
      <c r="P619" s="34"/>
    </row>
    <row r="620" spans="2:16" x14ac:dyDescent="0.3">
      <c r="B620" s="33"/>
      <c r="C620" s="34"/>
      <c r="D620" s="34"/>
      <c r="E620" s="34"/>
      <c r="F620" s="34"/>
      <c r="G620" s="34"/>
      <c r="H620" s="34"/>
      <c r="I620" s="34"/>
      <c r="J620" s="34"/>
      <c r="K620" s="35"/>
      <c r="L620" s="34"/>
      <c r="M620" s="34"/>
      <c r="N620" s="34"/>
      <c r="O620" s="34"/>
      <c r="P620" s="34"/>
    </row>
    <row r="621" spans="2:16" x14ac:dyDescent="0.3">
      <c r="B621" s="33"/>
      <c r="C621" s="34"/>
      <c r="D621" s="34"/>
      <c r="E621" s="34"/>
      <c r="F621" s="34"/>
      <c r="G621" s="34"/>
      <c r="H621" s="34"/>
      <c r="I621" s="34"/>
      <c r="J621" s="34"/>
      <c r="K621" s="35"/>
      <c r="L621" s="34"/>
      <c r="M621" s="34"/>
      <c r="N621" s="34"/>
      <c r="O621" s="34"/>
      <c r="P621" s="34"/>
    </row>
    <row r="622" spans="2:16" x14ac:dyDescent="0.3">
      <c r="B622" s="33"/>
      <c r="C622" s="34"/>
      <c r="D622" s="34"/>
      <c r="E622" s="34"/>
      <c r="F622" s="34"/>
      <c r="G622" s="34"/>
      <c r="H622" s="34"/>
      <c r="I622" s="34"/>
      <c r="J622" s="34"/>
      <c r="K622" s="35"/>
      <c r="L622" s="34"/>
      <c r="M622" s="34"/>
      <c r="N622" s="34"/>
      <c r="O622" s="34"/>
      <c r="P622" s="34"/>
    </row>
    <row r="623" spans="2:16" x14ac:dyDescent="0.3">
      <c r="B623" s="33"/>
      <c r="C623" s="34"/>
      <c r="D623" s="34"/>
      <c r="E623" s="34"/>
      <c r="F623" s="34"/>
      <c r="G623" s="34"/>
      <c r="H623" s="34"/>
      <c r="I623" s="34"/>
      <c r="J623" s="34"/>
      <c r="K623" s="35"/>
      <c r="L623" s="34"/>
      <c r="M623" s="34"/>
      <c r="N623" s="34"/>
      <c r="O623" s="34"/>
      <c r="P623" s="34"/>
    </row>
    <row r="624" spans="2:16" x14ac:dyDescent="0.3">
      <c r="B624" s="33"/>
      <c r="C624" s="34"/>
      <c r="D624" s="34"/>
      <c r="E624" s="34"/>
      <c r="F624" s="34"/>
      <c r="G624" s="34"/>
      <c r="H624" s="34"/>
      <c r="I624" s="34"/>
      <c r="J624" s="34"/>
      <c r="K624" s="35"/>
      <c r="L624" s="34"/>
      <c r="M624" s="34"/>
      <c r="N624" s="34"/>
      <c r="O624" s="34"/>
      <c r="P624" s="34"/>
    </row>
    <row r="625" spans="2:16" x14ac:dyDescent="0.3">
      <c r="B625" s="33"/>
      <c r="C625" s="34"/>
      <c r="D625" s="34"/>
      <c r="E625" s="34"/>
      <c r="F625" s="34"/>
      <c r="G625" s="34"/>
      <c r="H625" s="34"/>
      <c r="I625" s="34"/>
      <c r="J625" s="34"/>
      <c r="K625" s="35"/>
      <c r="L625" s="34"/>
      <c r="M625" s="34"/>
      <c r="N625" s="34"/>
      <c r="O625" s="34"/>
      <c r="P625" s="34"/>
    </row>
    <row r="626" spans="2:16" x14ac:dyDescent="0.3">
      <c r="B626" s="33"/>
      <c r="C626" s="34"/>
      <c r="D626" s="34"/>
      <c r="E626" s="34"/>
      <c r="F626" s="34"/>
      <c r="G626" s="34"/>
      <c r="H626" s="34"/>
      <c r="I626" s="34"/>
      <c r="J626" s="34"/>
      <c r="K626" s="35"/>
      <c r="L626" s="34"/>
      <c r="M626" s="34"/>
      <c r="N626" s="34"/>
      <c r="O626" s="34"/>
      <c r="P626" s="34"/>
    </row>
    <row r="627" spans="2:16" x14ac:dyDescent="0.3">
      <c r="B627" s="33"/>
      <c r="C627" s="34"/>
      <c r="D627" s="34"/>
      <c r="E627" s="34"/>
      <c r="F627" s="34"/>
      <c r="G627" s="34"/>
      <c r="H627" s="34"/>
      <c r="I627" s="34"/>
      <c r="J627" s="34"/>
      <c r="K627" s="35"/>
      <c r="L627" s="34"/>
      <c r="M627" s="34"/>
      <c r="N627" s="34"/>
      <c r="O627" s="34"/>
      <c r="P627" s="34"/>
    </row>
    <row r="628" spans="2:16" x14ac:dyDescent="0.3">
      <c r="B628" s="33"/>
      <c r="C628" s="34"/>
      <c r="D628" s="34"/>
      <c r="E628" s="34"/>
      <c r="F628" s="34"/>
      <c r="G628" s="34"/>
      <c r="H628" s="34"/>
      <c r="I628" s="34"/>
      <c r="J628" s="34"/>
      <c r="K628" s="35"/>
      <c r="L628" s="34"/>
      <c r="M628" s="34"/>
      <c r="N628" s="34"/>
      <c r="O628" s="34"/>
      <c r="P628" s="34"/>
    </row>
    <row r="629" spans="2:16" x14ac:dyDescent="0.3">
      <c r="B629" s="33"/>
      <c r="C629" s="34"/>
      <c r="D629" s="34"/>
      <c r="E629" s="34"/>
      <c r="F629" s="34"/>
      <c r="G629" s="34"/>
      <c r="H629" s="34"/>
      <c r="I629" s="34"/>
      <c r="J629" s="34"/>
      <c r="K629" s="35"/>
      <c r="L629" s="34"/>
      <c r="M629" s="34"/>
      <c r="N629" s="34"/>
      <c r="O629" s="34"/>
      <c r="P629" s="34"/>
    </row>
    <row r="630" spans="2:16" x14ac:dyDescent="0.3">
      <c r="B630" s="33"/>
      <c r="C630" s="34"/>
      <c r="D630" s="34"/>
      <c r="E630" s="34"/>
      <c r="F630" s="34"/>
      <c r="G630" s="34"/>
      <c r="H630" s="34"/>
      <c r="I630" s="34"/>
      <c r="J630" s="34"/>
      <c r="K630" s="35"/>
      <c r="L630" s="34"/>
      <c r="M630" s="34"/>
      <c r="N630" s="34"/>
      <c r="O630" s="34"/>
      <c r="P630" s="34"/>
    </row>
    <row r="631" spans="2:16" x14ac:dyDescent="0.3">
      <c r="B631" s="33"/>
      <c r="C631" s="34"/>
      <c r="D631" s="34"/>
      <c r="E631" s="34"/>
      <c r="F631" s="34"/>
      <c r="G631" s="34"/>
      <c r="H631" s="34"/>
      <c r="I631" s="34"/>
      <c r="J631" s="34"/>
      <c r="K631" s="35"/>
      <c r="L631" s="34"/>
      <c r="M631" s="34"/>
      <c r="N631" s="34"/>
      <c r="O631" s="34"/>
      <c r="P631" s="34"/>
    </row>
    <row r="632" spans="2:16" x14ac:dyDescent="0.3">
      <c r="B632" s="33"/>
      <c r="C632" s="34"/>
      <c r="D632" s="34"/>
      <c r="E632" s="34"/>
      <c r="F632" s="34"/>
      <c r="G632" s="34"/>
      <c r="H632" s="34"/>
      <c r="I632" s="34"/>
      <c r="J632" s="34"/>
      <c r="K632" s="35"/>
      <c r="L632" s="34"/>
      <c r="M632" s="34"/>
      <c r="N632" s="34"/>
      <c r="O632" s="34"/>
      <c r="P632" s="34"/>
    </row>
    <row r="633" spans="2:16" x14ac:dyDescent="0.3">
      <c r="B633" s="33"/>
      <c r="C633" s="34"/>
      <c r="D633" s="34"/>
      <c r="E633" s="34"/>
      <c r="F633" s="34"/>
      <c r="G633" s="34"/>
      <c r="H633" s="34"/>
      <c r="I633" s="34"/>
      <c r="J633" s="34"/>
      <c r="K633" s="35"/>
      <c r="L633" s="34"/>
      <c r="M633" s="34"/>
      <c r="N633" s="34"/>
      <c r="O633" s="34"/>
      <c r="P633" s="34"/>
    </row>
    <row r="634" spans="2:16" x14ac:dyDescent="0.3">
      <c r="B634" s="33"/>
      <c r="C634" s="34"/>
      <c r="D634" s="34"/>
      <c r="E634" s="34"/>
      <c r="F634" s="34"/>
      <c r="G634" s="34"/>
      <c r="H634" s="34"/>
      <c r="I634" s="34"/>
      <c r="J634" s="34"/>
      <c r="K634" s="35"/>
      <c r="L634" s="34"/>
      <c r="M634" s="34"/>
      <c r="N634" s="34"/>
      <c r="O634" s="34"/>
      <c r="P634" s="34"/>
    </row>
    <row r="635" spans="2:16" x14ac:dyDescent="0.3">
      <c r="B635" s="33"/>
      <c r="C635" s="34"/>
      <c r="D635" s="34"/>
      <c r="E635" s="34"/>
      <c r="F635" s="34"/>
      <c r="G635" s="34"/>
      <c r="H635" s="34"/>
      <c r="I635" s="34"/>
      <c r="J635" s="34"/>
      <c r="K635" s="35"/>
      <c r="L635" s="34"/>
      <c r="M635" s="34"/>
      <c r="N635" s="34"/>
      <c r="O635" s="34"/>
      <c r="P635" s="34"/>
    </row>
    <row r="636" spans="2:16" x14ac:dyDescent="0.3">
      <c r="B636" s="33"/>
      <c r="C636" s="34"/>
      <c r="D636" s="34"/>
      <c r="E636" s="34"/>
      <c r="F636" s="34"/>
      <c r="G636" s="34"/>
      <c r="H636" s="34"/>
      <c r="I636" s="34"/>
      <c r="J636" s="34"/>
      <c r="K636" s="35"/>
      <c r="L636" s="34"/>
      <c r="M636" s="34"/>
      <c r="N636" s="34"/>
      <c r="O636" s="34"/>
      <c r="P636" s="34"/>
    </row>
    <row r="637" spans="2:16" x14ac:dyDescent="0.3">
      <c r="B637" s="33"/>
      <c r="C637" s="34"/>
      <c r="D637" s="34"/>
      <c r="E637" s="34"/>
      <c r="F637" s="34"/>
      <c r="G637" s="34"/>
      <c r="H637" s="34"/>
      <c r="I637" s="34"/>
      <c r="J637" s="34"/>
      <c r="K637" s="35"/>
      <c r="L637" s="34"/>
      <c r="M637" s="34"/>
      <c r="N637" s="34"/>
      <c r="O637" s="34"/>
      <c r="P637" s="34"/>
    </row>
    <row r="638" spans="2:16" x14ac:dyDescent="0.3">
      <c r="B638" s="33"/>
      <c r="C638" s="34"/>
      <c r="D638" s="34"/>
      <c r="E638" s="34"/>
      <c r="F638" s="34"/>
      <c r="G638" s="34"/>
      <c r="H638" s="34"/>
      <c r="I638" s="34"/>
      <c r="J638" s="34"/>
      <c r="K638" s="35"/>
      <c r="L638" s="34"/>
      <c r="M638" s="34"/>
      <c r="N638" s="34"/>
      <c r="O638" s="34"/>
      <c r="P638" s="34"/>
    </row>
    <row r="639" spans="2:16" x14ac:dyDescent="0.3">
      <c r="B639" s="33"/>
      <c r="C639" s="34"/>
      <c r="D639" s="34"/>
      <c r="E639" s="34"/>
      <c r="F639" s="34"/>
      <c r="G639" s="34"/>
      <c r="H639" s="34"/>
      <c r="I639" s="34"/>
      <c r="J639" s="34"/>
      <c r="K639" s="35"/>
      <c r="L639" s="34"/>
      <c r="M639" s="34"/>
      <c r="N639" s="34"/>
      <c r="O639" s="34"/>
      <c r="P639" s="34"/>
    </row>
    <row r="640" spans="2:16" x14ac:dyDescent="0.3">
      <c r="B640" s="33"/>
      <c r="C640" s="34"/>
      <c r="D640" s="34"/>
      <c r="E640" s="34"/>
      <c r="F640" s="34"/>
      <c r="G640" s="34"/>
      <c r="H640" s="34"/>
      <c r="I640" s="34"/>
      <c r="J640" s="34"/>
      <c r="K640" s="35"/>
      <c r="L640" s="34"/>
      <c r="M640" s="34"/>
      <c r="N640" s="34"/>
      <c r="O640" s="34"/>
      <c r="P640" s="34"/>
    </row>
    <row r="641" spans="2:16" x14ac:dyDescent="0.3">
      <c r="B641" s="33"/>
      <c r="C641" s="34"/>
      <c r="D641" s="34"/>
      <c r="E641" s="34"/>
      <c r="F641" s="34"/>
      <c r="G641" s="34"/>
      <c r="H641" s="34"/>
      <c r="I641" s="34"/>
      <c r="J641" s="34"/>
      <c r="K641" s="35"/>
      <c r="L641" s="34"/>
      <c r="M641" s="34"/>
      <c r="N641" s="34"/>
      <c r="O641" s="34"/>
      <c r="P641" s="34"/>
    </row>
    <row r="642" spans="2:16" x14ac:dyDescent="0.3">
      <c r="B642" s="33"/>
      <c r="C642" s="34"/>
      <c r="D642" s="34"/>
      <c r="E642" s="34"/>
      <c r="F642" s="34"/>
      <c r="G642" s="34"/>
      <c r="H642" s="34"/>
      <c r="I642" s="34"/>
      <c r="J642" s="34"/>
      <c r="K642" s="35"/>
      <c r="L642" s="34"/>
      <c r="M642" s="34"/>
      <c r="N642" s="34"/>
      <c r="O642" s="34"/>
      <c r="P642" s="34"/>
    </row>
    <row r="643" spans="2:16" x14ac:dyDescent="0.3">
      <c r="B643" s="33"/>
      <c r="C643" s="34"/>
      <c r="D643" s="34"/>
      <c r="E643" s="34"/>
      <c r="F643" s="34"/>
      <c r="G643" s="34"/>
      <c r="H643" s="34"/>
      <c r="I643" s="34"/>
      <c r="J643" s="34"/>
      <c r="K643" s="35"/>
      <c r="L643" s="34"/>
      <c r="M643" s="34"/>
      <c r="N643" s="34"/>
      <c r="O643" s="34"/>
      <c r="P643" s="34"/>
    </row>
    <row r="644" spans="2:16" x14ac:dyDescent="0.3">
      <c r="B644" s="33"/>
      <c r="C644" s="34"/>
      <c r="D644" s="34"/>
      <c r="E644" s="34"/>
      <c r="F644" s="34"/>
      <c r="G644" s="34"/>
      <c r="H644" s="34"/>
      <c r="I644" s="34"/>
      <c r="J644" s="34"/>
      <c r="K644" s="35"/>
      <c r="L644" s="34"/>
      <c r="M644" s="34"/>
      <c r="N644" s="34"/>
      <c r="O644" s="34"/>
      <c r="P644" s="34"/>
    </row>
    <row r="645" spans="2:16" x14ac:dyDescent="0.3">
      <c r="B645" s="33"/>
      <c r="C645" s="34"/>
      <c r="D645" s="34"/>
      <c r="E645" s="34"/>
      <c r="F645" s="34"/>
      <c r="G645" s="34"/>
      <c r="H645" s="34"/>
      <c r="I645" s="34"/>
      <c r="J645" s="34"/>
      <c r="K645" s="35"/>
      <c r="L645" s="34"/>
      <c r="M645" s="34"/>
      <c r="N645" s="34"/>
      <c r="O645" s="34"/>
      <c r="P645" s="34"/>
    </row>
    <row r="646" spans="2:16" x14ac:dyDescent="0.3">
      <c r="B646" s="33"/>
      <c r="C646" s="34"/>
      <c r="D646" s="34"/>
      <c r="E646" s="34"/>
      <c r="F646" s="34"/>
      <c r="G646" s="34"/>
      <c r="H646" s="34"/>
      <c r="I646" s="34"/>
      <c r="J646" s="34"/>
      <c r="K646" s="35"/>
      <c r="L646" s="34"/>
      <c r="M646" s="34"/>
      <c r="N646" s="34"/>
      <c r="O646" s="34"/>
      <c r="P646" s="34"/>
    </row>
    <row r="647" spans="2:16" x14ac:dyDescent="0.3">
      <c r="B647" s="33"/>
      <c r="C647" s="34"/>
      <c r="D647" s="34"/>
      <c r="E647" s="34"/>
      <c r="F647" s="34"/>
      <c r="G647" s="34"/>
      <c r="H647" s="34"/>
      <c r="I647" s="34"/>
      <c r="J647" s="34"/>
      <c r="K647" s="35"/>
      <c r="L647" s="34"/>
      <c r="M647" s="34"/>
      <c r="N647" s="34"/>
      <c r="O647" s="34"/>
      <c r="P647" s="34"/>
    </row>
    <row r="648" spans="2:16" x14ac:dyDescent="0.3">
      <c r="B648" s="33"/>
      <c r="C648" s="34"/>
      <c r="D648" s="34"/>
      <c r="E648" s="34"/>
      <c r="F648" s="34"/>
      <c r="G648" s="34"/>
      <c r="H648" s="34"/>
      <c r="I648" s="34"/>
      <c r="J648" s="34"/>
      <c r="K648" s="35"/>
      <c r="L648" s="34"/>
      <c r="M648" s="34"/>
      <c r="N648" s="34"/>
      <c r="O648" s="34"/>
      <c r="P648" s="34"/>
    </row>
    <row r="649" spans="2:16" x14ac:dyDescent="0.3">
      <c r="B649" s="33"/>
      <c r="C649" s="34"/>
      <c r="D649" s="34"/>
      <c r="E649" s="34"/>
      <c r="F649" s="34"/>
      <c r="G649" s="34"/>
      <c r="H649" s="34"/>
      <c r="I649" s="34"/>
      <c r="J649" s="34"/>
      <c r="K649" s="35"/>
      <c r="L649" s="34"/>
      <c r="M649" s="34"/>
      <c r="N649" s="34"/>
      <c r="O649" s="34"/>
      <c r="P649" s="34"/>
    </row>
    <row r="650" spans="2:16" x14ac:dyDescent="0.3">
      <c r="B650" s="33"/>
      <c r="C650" s="34"/>
      <c r="D650" s="34"/>
      <c r="E650" s="34"/>
      <c r="F650" s="34"/>
      <c r="G650" s="34"/>
      <c r="H650" s="34"/>
      <c r="I650" s="34"/>
      <c r="J650" s="34"/>
      <c r="K650" s="35"/>
      <c r="L650" s="34"/>
      <c r="M650" s="34"/>
      <c r="N650" s="34"/>
      <c r="O650" s="34"/>
      <c r="P650" s="34"/>
    </row>
    <row r="651" spans="2:16" x14ac:dyDescent="0.3">
      <c r="B651" s="33"/>
      <c r="C651" s="34"/>
      <c r="D651" s="34"/>
      <c r="E651" s="34"/>
      <c r="F651" s="34"/>
      <c r="G651" s="34"/>
      <c r="H651" s="34"/>
      <c r="I651" s="34"/>
      <c r="J651" s="34"/>
      <c r="K651" s="35"/>
      <c r="L651" s="34"/>
      <c r="M651" s="34"/>
      <c r="N651" s="34"/>
      <c r="O651" s="34"/>
      <c r="P651" s="34"/>
    </row>
    <row r="652" spans="2:16" x14ac:dyDescent="0.3">
      <c r="B652" s="33"/>
      <c r="C652" s="34"/>
      <c r="D652" s="34"/>
      <c r="E652" s="34"/>
      <c r="F652" s="34"/>
      <c r="G652" s="34"/>
      <c r="H652" s="34"/>
      <c r="I652" s="34"/>
      <c r="J652" s="34"/>
      <c r="K652" s="35"/>
      <c r="L652" s="34"/>
      <c r="M652" s="34"/>
      <c r="N652" s="34"/>
      <c r="O652" s="34"/>
      <c r="P652" s="34"/>
    </row>
    <row r="653" spans="2:16" x14ac:dyDescent="0.3">
      <c r="B653" s="33"/>
      <c r="C653" s="34"/>
      <c r="D653" s="34"/>
      <c r="E653" s="34"/>
      <c r="F653" s="34"/>
      <c r="G653" s="34"/>
      <c r="H653" s="34"/>
      <c r="I653" s="34"/>
      <c r="J653" s="34"/>
      <c r="K653" s="35"/>
      <c r="L653" s="34"/>
      <c r="M653" s="34"/>
      <c r="N653" s="34"/>
      <c r="O653" s="34"/>
      <c r="P653" s="34"/>
    </row>
    <row r="654" spans="2:16" x14ac:dyDescent="0.3">
      <c r="B654" s="33"/>
      <c r="C654" s="34"/>
      <c r="D654" s="34"/>
      <c r="E654" s="34"/>
      <c r="F654" s="34"/>
      <c r="G654" s="34"/>
      <c r="H654" s="34"/>
      <c r="I654" s="34"/>
      <c r="J654" s="34"/>
      <c r="K654" s="35"/>
      <c r="L654" s="34"/>
      <c r="M654" s="34"/>
      <c r="N654" s="34"/>
      <c r="O654" s="34"/>
      <c r="P654" s="34"/>
    </row>
    <row r="655" spans="2:16" x14ac:dyDescent="0.3">
      <c r="B655" s="33"/>
      <c r="C655" s="34"/>
      <c r="D655" s="34"/>
      <c r="E655" s="34"/>
      <c r="F655" s="34"/>
      <c r="G655" s="34"/>
      <c r="H655" s="34"/>
      <c r="I655" s="34"/>
      <c r="J655" s="34"/>
      <c r="K655" s="35"/>
      <c r="L655" s="34"/>
      <c r="M655" s="34"/>
      <c r="N655" s="34"/>
      <c r="O655" s="34"/>
      <c r="P655" s="34"/>
    </row>
    <row r="656" spans="2:16" x14ac:dyDescent="0.3">
      <c r="B656" s="33"/>
      <c r="C656" s="34"/>
      <c r="D656" s="34"/>
      <c r="E656" s="34"/>
      <c r="F656" s="34"/>
      <c r="G656" s="34"/>
      <c r="H656" s="34"/>
      <c r="I656" s="34"/>
      <c r="J656" s="34"/>
      <c r="K656" s="35"/>
      <c r="L656" s="34"/>
      <c r="M656" s="34"/>
      <c r="N656" s="34"/>
      <c r="O656" s="34"/>
      <c r="P656" s="34"/>
    </row>
    <row r="657" spans="2:16" x14ac:dyDescent="0.3">
      <c r="B657" s="33"/>
      <c r="C657" s="34"/>
      <c r="D657" s="34"/>
      <c r="E657" s="34"/>
      <c r="F657" s="34"/>
      <c r="G657" s="34"/>
      <c r="H657" s="34"/>
      <c r="I657" s="34"/>
      <c r="J657" s="34"/>
      <c r="K657" s="35"/>
      <c r="L657" s="34"/>
      <c r="M657" s="34"/>
      <c r="N657" s="34"/>
      <c r="O657" s="34"/>
      <c r="P657" s="34"/>
    </row>
    <row r="658" spans="2:16" x14ac:dyDescent="0.3">
      <c r="B658" s="33"/>
      <c r="C658" s="34"/>
      <c r="D658" s="34"/>
      <c r="E658" s="34"/>
      <c r="F658" s="34"/>
      <c r="G658" s="34"/>
      <c r="H658" s="34"/>
      <c r="I658" s="34"/>
      <c r="J658" s="34"/>
      <c r="K658" s="35"/>
      <c r="L658" s="34"/>
      <c r="M658" s="34"/>
      <c r="N658" s="34"/>
      <c r="O658" s="34"/>
      <c r="P658" s="34"/>
    </row>
    <row r="659" spans="2:16" x14ac:dyDescent="0.3">
      <c r="B659" s="33"/>
      <c r="C659" s="34"/>
      <c r="D659" s="34"/>
      <c r="E659" s="34"/>
      <c r="F659" s="34"/>
      <c r="G659" s="34"/>
      <c r="H659" s="34"/>
      <c r="I659" s="34"/>
      <c r="J659" s="34"/>
      <c r="K659" s="35"/>
      <c r="L659" s="34"/>
      <c r="M659" s="34"/>
      <c r="N659" s="34"/>
      <c r="O659" s="34"/>
      <c r="P659" s="34"/>
    </row>
    <row r="660" spans="2:16" x14ac:dyDescent="0.3">
      <c r="B660" s="33"/>
      <c r="C660" s="34"/>
      <c r="D660" s="34"/>
      <c r="E660" s="34"/>
      <c r="F660" s="34"/>
      <c r="G660" s="34"/>
      <c r="H660" s="34"/>
      <c r="I660" s="34"/>
      <c r="J660" s="34"/>
      <c r="K660" s="35"/>
      <c r="L660" s="34"/>
      <c r="M660" s="34"/>
      <c r="N660" s="34"/>
      <c r="O660" s="34"/>
      <c r="P660" s="34"/>
    </row>
    <row r="661" spans="2:16" x14ac:dyDescent="0.3">
      <c r="B661" s="33"/>
      <c r="C661" s="34"/>
      <c r="D661" s="34"/>
      <c r="E661" s="34"/>
      <c r="F661" s="34"/>
      <c r="G661" s="34"/>
      <c r="H661" s="34"/>
      <c r="I661" s="34"/>
      <c r="J661" s="34"/>
      <c r="K661" s="35"/>
      <c r="L661" s="34"/>
      <c r="M661" s="34"/>
      <c r="N661" s="34"/>
      <c r="O661" s="34"/>
      <c r="P661" s="34"/>
    </row>
    <row r="662" spans="2:16" x14ac:dyDescent="0.3">
      <c r="B662" s="33"/>
      <c r="C662" s="34"/>
      <c r="D662" s="34"/>
      <c r="E662" s="34"/>
      <c r="F662" s="34"/>
      <c r="G662" s="34"/>
      <c r="H662" s="34"/>
      <c r="I662" s="34"/>
      <c r="J662" s="34"/>
      <c r="K662" s="35"/>
      <c r="L662" s="34"/>
      <c r="M662" s="34"/>
      <c r="N662" s="34"/>
      <c r="O662" s="34"/>
      <c r="P662" s="34"/>
    </row>
    <row r="663" spans="2:16" x14ac:dyDescent="0.3">
      <c r="B663" s="33"/>
      <c r="C663" s="34"/>
      <c r="D663" s="34"/>
      <c r="E663" s="34"/>
      <c r="F663" s="34"/>
      <c r="G663" s="34"/>
      <c r="H663" s="34"/>
      <c r="I663" s="34"/>
      <c r="J663" s="34"/>
      <c r="K663" s="35"/>
      <c r="L663" s="34"/>
      <c r="M663" s="34"/>
      <c r="N663" s="34"/>
      <c r="O663" s="34"/>
      <c r="P663" s="34"/>
    </row>
    <row r="664" spans="2:16" x14ac:dyDescent="0.3">
      <c r="B664" s="33"/>
      <c r="C664" s="34"/>
      <c r="D664" s="34"/>
      <c r="E664" s="34"/>
      <c r="F664" s="34"/>
      <c r="G664" s="34"/>
      <c r="H664" s="34"/>
      <c r="I664" s="34"/>
      <c r="J664" s="34"/>
      <c r="K664" s="35"/>
      <c r="L664" s="34"/>
      <c r="M664" s="34"/>
      <c r="N664" s="34"/>
      <c r="O664" s="34"/>
      <c r="P664" s="34"/>
    </row>
    <row r="665" spans="2:16" x14ac:dyDescent="0.3">
      <c r="B665" s="33"/>
      <c r="C665" s="34"/>
      <c r="D665" s="34"/>
      <c r="E665" s="34"/>
      <c r="F665" s="34"/>
      <c r="G665" s="34"/>
      <c r="H665" s="34"/>
      <c r="I665" s="34"/>
      <c r="J665" s="34"/>
      <c r="K665" s="35"/>
      <c r="L665" s="34"/>
      <c r="M665" s="34"/>
      <c r="N665" s="34"/>
      <c r="O665" s="34"/>
      <c r="P665" s="34"/>
    </row>
    <row r="666" spans="2:16" x14ac:dyDescent="0.3">
      <c r="B666" s="33"/>
      <c r="C666" s="34"/>
      <c r="D666" s="34"/>
      <c r="E666" s="34"/>
      <c r="F666" s="34"/>
      <c r="G666" s="34"/>
      <c r="H666" s="34"/>
      <c r="I666" s="34"/>
      <c r="J666" s="34"/>
      <c r="K666" s="35"/>
      <c r="L666" s="34"/>
      <c r="M666" s="34"/>
      <c r="N666" s="34"/>
      <c r="O666" s="34"/>
      <c r="P666" s="34"/>
    </row>
    <row r="667" spans="2:16" x14ac:dyDescent="0.3">
      <c r="B667" s="33"/>
      <c r="C667" s="34"/>
      <c r="D667" s="34"/>
      <c r="E667" s="34"/>
      <c r="F667" s="34"/>
      <c r="G667" s="34"/>
      <c r="H667" s="34"/>
      <c r="I667" s="34"/>
      <c r="J667" s="34"/>
      <c r="K667" s="35"/>
      <c r="L667" s="34"/>
      <c r="M667" s="34"/>
      <c r="N667" s="34"/>
      <c r="O667" s="34"/>
      <c r="P667" s="34"/>
    </row>
    <row r="668" spans="2:16" x14ac:dyDescent="0.3">
      <c r="B668" s="33"/>
      <c r="C668" s="34"/>
      <c r="D668" s="34"/>
      <c r="E668" s="34"/>
      <c r="F668" s="34"/>
      <c r="G668" s="34"/>
      <c r="H668" s="34"/>
      <c r="I668" s="34"/>
      <c r="J668" s="34"/>
      <c r="K668" s="35"/>
      <c r="L668" s="34"/>
      <c r="M668" s="34"/>
      <c r="N668" s="34"/>
      <c r="O668" s="34"/>
      <c r="P668" s="34"/>
    </row>
    <row r="669" spans="2:16" x14ac:dyDescent="0.3">
      <c r="B669" s="33"/>
      <c r="C669" s="34"/>
      <c r="D669" s="34"/>
      <c r="E669" s="34"/>
      <c r="F669" s="34"/>
      <c r="G669" s="34"/>
      <c r="H669" s="34"/>
      <c r="I669" s="34"/>
      <c r="J669" s="34"/>
      <c r="K669" s="35"/>
      <c r="L669" s="34"/>
      <c r="M669" s="34"/>
      <c r="N669" s="34"/>
      <c r="O669" s="34"/>
      <c r="P669" s="34"/>
    </row>
    <row r="670" spans="2:16" x14ac:dyDescent="0.3">
      <c r="B670" s="33"/>
      <c r="C670" s="34"/>
      <c r="D670" s="34"/>
      <c r="E670" s="34"/>
      <c r="F670" s="34"/>
      <c r="G670" s="34"/>
      <c r="H670" s="34"/>
      <c r="I670" s="34"/>
      <c r="J670" s="34"/>
      <c r="K670" s="35"/>
      <c r="L670" s="34"/>
      <c r="M670" s="34"/>
      <c r="N670" s="34"/>
      <c r="O670" s="34"/>
      <c r="P670" s="34"/>
    </row>
    <row r="671" spans="2:16" x14ac:dyDescent="0.3">
      <c r="B671" s="33"/>
      <c r="C671" s="34"/>
      <c r="D671" s="34"/>
      <c r="E671" s="34"/>
      <c r="F671" s="34"/>
      <c r="G671" s="34"/>
      <c r="H671" s="34"/>
      <c r="I671" s="34"/>
      <c r="J671" s="34"/>
      <c r="K671" s="35"/>
      <c r="L671" s="34"/>
      <c r="M671" s="34"/>
      <c r="N671" s="34"/>
      <c r="O671" s="34"/>
      <c r="P671" s="34"/>
    </row>
    <row r="672" spans="2:16" x14ac:dyDescent="0.3">
      <c r="B672" s="33"/>
      <c r="C672" s="34"/>
      <c r="D672" s="34"/>
      <c r="E672" s="34"/>
      <c r="F672" s="34"/>
      <c r="G672" s="34"/>
      <c r="H672" s="34"/>
      <c r="I672" s="34"/>
      <c r="J672" s="34"/>
      <c r="K672" s="35"/>
      <c r="L672" s="34"/>
      <c r="M672" s="34"/>
      <c r="N672" s="34"/>
      <c r="O672" s="34"/>
      <c r="P672" s="34"/>
    </row>
    <row r="673" spans="2:16" x14ac:dyDescent="0.3">
      <c r="B673" s="33"/>
      <c r="C673" s="34"/>
      <c r="D673" s="34"/>
      <c r="E673" s="34"/>
      <c r="F673" s="34"/>
      <c r="G673" s="34"/>
      <c r="H673" s="34"/>
      <c r="I673" s="34"/>
      <c r="J673" s="34"/>
      <c r="K673" s="35"/>
      <c r="L673" s="34"/>
      <c r="M673" s="34"/>
      <c r="N673" s="34"/>
      <c r="O673" s="34"/>
      <c r="P673" s="34"/>
    </row>
    <row r="674" spans="2:16" x14ac:dyDescent="0.3">
      <c r="B674" s="33"/>
      <c r="C674" s="34"/>
      <c r="D674" s="34"/>
      <c r="E674" s="34"/>
      <c r="F674" s="34"/>
      <c r="G674" s="34"/>
      <c r="H674" s="34"/>
      <c r="I674" s="34"/>
      <c r="J674" s="34"/>
      <c r="K674" s="35"/>
      <c r="L674" s="34"/>
      <c r="M674" s="34"/>
      <c r="N674" s="34"/>
      <c r="O674" s="34"/>
      <c r="P674" s="34"/>
    </row>
    <row r="675" spans="2:16" x14ac:dyDescent="0.3">
      <c r="B675" s="33"/>
      <c r="C675" s="34"/>
      <c r="D675" s="34"/>
      <c r="E675" s="34"/>
      <c r="F675" s="34"/>
      <c r="G675" s="34"/>
      <c r="H675" s="34"/>
      <c r="I675" s="34"/>
      <c r="J675" s="34"/>
      <c r="K675" s="35"/>
      <c r="L675" s="34"/>
      <c r="M675" s="34"/>
      <c r="N675" s="34"/>
      <c r="O675" s="34"/>
      <c r="P675" s="34"/>
    </row>
    <row r="676" spans="2:16" x14ac:dyDescent="0.3">
      <c r="B676" s="33"/>
      <c r="C676" s="34"/>
      <c r="D676" s="34"/>
      <c r="E676" s="34"/>
      <c r="F676" s="34"/>
      <c r="G676" s="34"/>
      <c r="H676" s="34"/>
      <c r="I676" s="34"/>
      <c r="J676" s="34"/>
      <c r="K676" s="35"/>
      <c r="L676" s="34"/>
      <c r="M676" s="34"/>
      <c r="N676" s="34"/>
      <c r="O676" s="34"/>
      <c r="P676" s="34"/>
    </row>
    <row r="677" spans="2:16" x14ac:dyDescent="0.3">
      <c r="B677" s="33"/>
      <c r="C677" s="34"/>
      <c r="D677" s="34"/>
      <c r="E677" s="34"/>
      <c r="F677" s="34"/>
      <c r="G677" s="34"/>
      <c r="H677" s="34"/>
      <c r="I677" s="34"/>
      <c r="J677" s="34"/>
      <c r="K677" s="35"/>
      <c r="L677" s="34"/>
      <c r="M677" s="34"/>
      <c r="N677" s="34"/>
      <c r="O677" s="34"/>
      <c r="P677" s="34"/>
    </row>
    <row r="678" spans="2:16" x14ac:dyDescent="0.3">
      <c r="B678" s="33"/>
      <c r="C678" s="34"/>
      <c r="D678" s="34"/>
      <c r="E678" s="34"/>
      <c r="F678" s="34"/>
      <c r="G678" s="34"/>
      <c r="H678" s="34"/>
      <c r="I678" s="34"/>
      <c r="J678" s="34"/>
      <c r="K678" s="35"/>
      <c r="L678" s="34"/>
      <c r="M678" s="34"/>
      <c r="N678" s="34"/>
      <c r="O678" s="34"/>
      <c r="P678" s="34"/>
    </row>
    <row r="679" spans="2:16" x14ac:dyDescent="0.3">
      <c r="B679" s="33"/>
      <c r="C679" s="34"/>
      <c r="D679" s="34"/>
      <c r="E679" s="34"/>
      <c r="F679" s="34"/>
      <c r="G679" s="34"/>
      <c r="H679" s="34"/>
      <c r="I679" s="34"/>
      <c r="J679" s="34"/>
      <c r="K679" s="35"/>
      <c r="L679" s="34"/>
      <c r="M679" s="34"/>
      <c r="N679" s="34"/>
      <c r="O679" s="34"/>
      <c r="P679" s="34"/>
    </row>
    <row r="680" spans="2:16" x14ac:dyDescent="0.3">
      <c r="B680" s="33"/>
      <c r="C680" s="34"/>
      <c r="D680" s="34"/>
      <c r="E680" s="34"/>
      <c r="F680" s="34"/>
      <c r="G680" s="34"/>
      <c r="H680" s="34"/>
      <c r="I680" s="34"/>
      <c r="J680" s="34"/>
      <c r="K680" s="35"/>
      <c r="L680" s="34"/>
      <c r="M680" s="34"/>
      <c r="N680" s="34"/>
      <c r="O680" s="34"/>
      <c r="P680" s="34"/>
    </row>
    <row r="681" spans="2:16" x14ac:dyDescent="0.3">
      <c r="B681" s="33"/>
      <c r="C681" s="34"/>
      <c r="D681" s="34"/>
      <c r="E681" s="34"/>
      <c r="F681" s="34"/>
      <c r="G681" s="34"/>
      <c r="H681" s="34"/>
      <c r="I681" s="34"/>
      <c r="J681" s="34"/>
      <c r="K681" s="35"/>
      <c r="L681" s="34"/>
      <c r="M681" s="34"/>
      <c r="N681" s="34"/>
      <c r="O681" s="34"/>
      <c r="P681" s="34"/>
    </row>
    <row r="682" spans="2:16" x14ac:dyDescent="0.3">
      <c r="B682" s="33"/>
      <c r="C682" s="34"/>
      <c r="D682" s="34"/>
      <c r="E682" s="34"/>
      <c r="F682" s="34"/>
      <c r="G682" s="34"/>
      <c r="H682" s="34"/>
      <c r="I682" s="34"/>
      <c r="J682" s="34"/>
      <c r="K682" s="35"/>
      <c r="L682" s="34"/>
      <c r="M682" s="34"/>
      <c r="N682" s="34"/>
      <c r="O682" s="34"/>
      <c r="P682" s="34"/>
    </row>
    <row r="683" spans="2:16" x14ac:dyDescent="0.3">
      <c r="B683" s="33"/>
      <c r="C683" s="34"/>
      <c r="D683" s="34"/>
      <c r="E683" s="34"/>
      <c r="F683" s="34"/>
      <c r="G683" s="34"/>
      <c r="H683" s="34"/>
      <c r="I683" s="34"/>
      <c r="J683" s="34"/>
      <c r="K683" s="35"/>
      <c r="L683" s="34"/>
      <c r="M683" s="34"/>
      <c r="N683" s="34"/>
      <c r="O683" s="34"/>
      <c r="P683" s="34"/>
    </row>
    <row r="684" spans="2:16" x14ac:dyDescent="0.3">
      <c r="B684" s="33"/>
      <c r="C684" s="34"/>
      <c r="D684" s="34"/>
      <c r="E684" s="34"/>
      <c r="F684" s="34"/>
      <c r="G684" s="34"/>
      <c r="H684" s="34"/>
      <c r="I684" s="34"/>
      <c r="J684" s="34"/>
      <c r="K684" s="35"/>
      <c r="L684" s="34"/>
      <c r="M684" s="34"/>
      <c r="N684" s="34"/>
      <c r="O684" s="34"/>
      <c r="P684" s="34"/>
    </row>
    <row r="685" spans="2:16" x14ac:dyDescent="0.3">
      <c r="B685" s="33"/>
      <c r="C685" s="34"/>
      <c r="D685" s="34"/>
      <c r="E685" s="34"/>
      <c r="F685" s="34"/>
      <c r="G685" s="34"/>
      <c r="H685" s="34"/>
      <c r="I685" s="34"/>
      <c r="J685" s="34"/>
      <c r="K685" s="35"/>
      <c r="L685" s="34"/>
      <c r="M685" s="34"/>
      <c r="N685" s="34"/>
      <c r="O685" s="34"/>
      <c r="P685" s="34"/>
    </row>
    <row r="686" spans="2:16" x14ac:dyDescent="0.3">
      <c r="B686" s="33"/>
      <c r="C686" s="34"/>
      <c r="D686" s="34"/>
      <c r="E686" s="34"/>
      <c r="F686" s="34"/>
      <c r="G686" s="34"/>
      <c r="H686" s="34"/>
      <c r="I686" s="34"/>
      <c r="J686" s="34"/>
      <c r="K686" s="35"/>
      <c r="L686" s="34"/>
      <c r="M686" s="34"/>
      <c r="N686" s="34"/>
      <c r="O686" s="34"/>
      <c r="P686" s="34"/>
    </row>
    <row r="687" spans="2:16" x14ac:dyDescent="0.3">
      <c r="B687" s="33"/>
      <c r="C687" s="34"/>
      <c r="D687" s="34"/>
      <c r="E687" s="34"/>
      <c r="F687" s="34"/>
      <c r="G687" s="34"/>
      <c r="H687" s="34"/>
      <c r="I687" s="34"/>
      <c r="J687" s="34"/>
      <c r="K687" s="35"/>
      <c r="L687" s="34"/>
      <c r="M687" s="34"/>
      <c r="N687" s="34"/>
      <c r="O687" s="34"/>
      <c r="P687" s="34"/>
    </row>
    <row r="688" spans="2:16" x14ac:dyDescent="0.3">
      <c r="B688" s="33"/>
      <c r="C688" s="34"/>
      <c r="D688" s="34"/>
      <c r="E688" s="34"/>
      <c r="F688" s="34"/>
      <c r="G688" s="34"/>
      <c r="H688" s="34"/>
      <c r="I688" s="34"/>
      <c r="J688" s="34"/>
      <c r="K688" s="35"/>
      <c r="L688" s="34"/>
      <c r="M688" s="34"/>
      <c r="N688" s="34"/>
      <c r="O688" s="34"/>
      <c r="P688" s="34"/>
    </row>
    <row r="689" spans="2:16" x14ac:dyDescent="0.3">
      <c r="B689" s="33"/>
      <c r="C689" s="34"/>
      <c r="D689" s="34"/>
      <c r="E689" s="34"/>
      <c r="F689" s="34"/>
      <c r="G689" s="34"/>
      <c r="H689" s="34"/>
      <c r="I689" s="34"/>
      <c r="J689" s="34"/>
      <c r="K689" s="35"/>
      <c r="L689" s="34"/>
      <c r="M689" s="34"/>
      <c r="N689" s="34"/>
      <c r="O689" s="34"/>
      <c r="P689" s="34"/>
    </row>
    <row r="690" spans="2:16" x14ac:dyDescent="0.3">
      <c r="B690" s="33"/>
      <c r="C690" s="34"/>
      <c r="D690" s="34"/>
      <c r="E690" s="34"/>
      <c r="F690" s="34"/>
      <c r="G690" s="34"/>
      <c r="H690" s="34"/>
      <c r="I690" s="34"/>
      <c r="J690" s="34"/>
      <c r="K690" s="35"/>
      <c r="L690" s="34"/>
      <c r="M690" s="34"/>
      <c r="N690" s="34"/>
      <c r="O690" s="34"/>
      <c r="P690" s="34"/>
    </row>
    <row r="691" spans="2:16" x14ac:dyDescent="0.3">
      <c r="B691" s="33"/>
      <c r="C691" s="34"/>
      <c r="D691" s="34"/>
      <c r="E691" s="34"/>
      <c r="F691" s="34"/>
      <c r="G691" s="34"/>
      <c r="H691" s="34"/>
      <c r="I691" s="34"/>
      <c r="J691" s="34"/>
      <c r="K691" s="35"/>
      <c r="L691" s="34"/>
      <c r="M691" s="34"/>
      <c r="N691" s="34"/>
      <c r="O691" s="34"/>
      <c r="P691" s="34"/>
    </row>
    <row r="692" spans="2:16" x14ac:dyDescent="0.3">
      <c r="B692" s="33"/>
      <c r="C692" s="34"/>
      <c r="D692" s="34"/>
      <c r="E692" s="34"/>
      <c r="F692" s="34"/>
      <c r="G692" s="34"/>
      <c r="H692" s="34"/>
      <c r="I692" s="34"/>
      <c r="J692" s="34"/>
      <c r="K692" s="35"/>
      <c r="L692" s="34"/>
      <c r="M692" s="34"/>
      <c r="N692" s="34"/>
      <c r="O692" s="34"/>
      <c r="P692" s="34"/>
    </row>
    <row r="693" spans="2:16" x14ac:dyDescent="0.3">
      <c r="B693" s="33"/>
      <c r="C693" s="34"/>
      <c r="D693" s="34"/>
      <c r="E693" s="34"/>
      <c r="F693" s="34"/>
      <c r="G693" s="34"/>
      <c r="H693" s="34"/>
      <c r="I693" s="34"/>
      <c r="J693" s="34"/>
      <c r="K693" s="35"/>
      <c r="L693" s="34"/>
      <c r="M693" s="34"/>
      <c r="N693" s="34"/>
      <c r="O693" s="34"/>
      <c r="P693" s="34"/>
    </row>
    <row r="694" spans="2:16" x14ac:dyDescent="0.3">
      <c r="B694" s="33"/>
      <c r="C694" s="34"/>
      <c r="D694" s="34"/>
      <c r="E694" s="34"/>
      <c r="F694" s="34"/>
      <c r="G694" s="34"/>
      <c r="H694" s="34"/>
      <c r="I694" s="34"/>
      <c r="J694" s="34"/>
      <c r="K694" s="35"/>
      <c r="L694" s="34"/>
      <c r="M694" s="34"/>
      <c r="N694" s="34"/>
      <c r="O694" s="34"/>
      <c r="P694" s="34"/>
    </row>
    <row r="695" spans="2:16" x14ac:dyDescent="0.3">
      <c r="B695" s="33"/>
      <c r="C695" s="34"/>
      <c r="D695" s="34"/>
      <c r="E695" s="34"/>
      <c r="F695" s="34"/>
      <c r="G695" s="34"/>
      <c r="H695" s="34"/>
      <c r="I695" s="34"/>
      <c r="J695" s="34"/>
      <c r="K695" s="35"/>
      <c r="L695" s="34"/>
      <c r="M695" s="34"/>
      <c r="N695" s="34"/>
      <c r="O695" s="34"/>
      <c r="P695" s="34"/>
    </row>
    <row r="696" spans="2:16" x14ac:dyDescent="0.3">
      <c r="B696" s="33"/>
      <c r="C696" s="34"/>
      <c r="D696" s="34"/>
      <c r="E696" s="34"/>
      <c r="F696" s="34"/>
      <c r="G696" s="34"/>
      <c r="H696" s="34"/>
      <c r="I696" s="34"/>
      <c r="J696" s="34"/>
      <c r="K696" s="35"/>
      <c r="L696" s="34"/>
      <c r="M696" s="34"/>
      <c r="N696" s="34"/>
      <c r="O696" s="34"/>
      <c r="P696" s="34"/>
    </row>
    <row r="697" spans="2:16" x14ac:dyDescent="0.3">
      <c r="B697" s="33"/>
      <c r="C697" s="34"/>
      <c r="D697" s="34"/>
      <c r="E697" s="34"/>
      <c r="F697" s="34"/>
      <c r="G697" s="34"/>
      <c r="H697" s="34"/>
      <c r="I697" s="34"/>
      <c r="J697" s="34"/>
      <c r="K697" s="35"/>
      <c r="L697" s="34"/>
      <c r="M697" s="34"/>
      <c r="N697" s="34"/>
      <c r="O697" s="34"/>
      <c r="P697" s="34"/>
    </row>
    <row r="698" spans="2:16" x14ac:dyDescent="0.3">
      <c r="B698" s="33"/>
      <c r="C698" s="34"/>
      <c r="D698" s="34"/>
      <c r="E698" s="34"/>
      <c r="F698" s="34"/>
      <c r="G698" s="34"/>
      <c r="H698" s="34"/>
      <c r="I698" s="34"/>
      <c r="J698" s="34"/>
      <c r="K698" s="35"/>
      <c r="L698" s="34"/>
      <c r="M698" s="34"/>
      <c r="N698" s="34"/>
      <c r="O698" s="34"/>
      <c r="P698" s="34"/>
    </row>
    <row r="699" spans="2:16" x14ac:dyDescent="0.3">
      <c r="B699" s="33"/>
      <c r="C699" s="34"/>
      <c r="D699" s="34"/>
      <c r="E699" s="34"/>
      <c r="F699" s="34"/>
      <c r="G699" s="34"/>
      <c r="H699" s="34"/>
      <c r="I699" s="34"/>
      <c r="J699" s="34"/>
      <c r="K699" s="35"/>
      <c r="L699" s="34"/>
      <c r="M699" s="34"/>
      <c r="N699" s="34"/>
      <c r="O699" s="34"/>
      <c r="P699" s="34"/>
    </row>
    <row r="700" spans="2:16" x14ac:dyDescent="0.3">
      <c r="B700" s="33"/>
      <c r="C700" s="34"/>
      <c r="D700" s="34"/>
      <c r="E700" s="34"/>
      <c r="F700" s="34"/>
      <c r="G700" s="34"/>
      <c r="H700" s="34"/>
      <c r="I700" s="34"/>
      <c r="J700" s="34"/>
      <c r="K700" s="35"/>
      <c r="L700" s="34"/>
      <c r="M700" s="34"/>
      <c r="N700" s="34"/>
      <c r="O700" s="34"/>
      <c r="P700" s="34"/>
    </row>
    <row r="701" spans="2:16" x14ac:dyDescent="0.3">
      <c r="B701" s="33"/>
      <c r="C701" s="34"/>
      <c r="D701" s="34"/>
      <c r="E701" s="34"/>
      <c r="F701" s="34"/>
      <c r="G701" s="34"/>
      <c r="H701" s="34"/>
      <c r="I701" s="34"/>
      <c r="J701" s="34"/>
      <c r="K701" s="35"/>
      <c r="L701" s="34"/>
      <c r="M701" s="34"/>
      <c r="N701" s="34"/>
      <c r="O701" s="34"/>
      <c r="P701" s="34"/>
    </row>
    <row r="702" spans="2:16" x14ac:dyDescent="0.3">
      <c r="B702" s="33"/>
      <c r="C702" s="34"/>
      <c r="D702" s="34"/>
      <c r="E702" s="34"/>
      <c r="F702" s="34"/>
      <c r="G702" s="34"/>
      <c r="H702" s="34"/>
      <c r="I702" s="34"/>
      <c r="J702" s="34"/>
      <c r="K702" s="35"/>
      <c r="L702" s="34"/>
      <c r="M702" s="34"/>
      <c r="N702" s="34"/>
      <c r="O702" s="34"/>
      <c r="P702" s="34"/>
    </row>
    <row r="703" spans="2:16" x14ac:dyDescent="0.3">
      <c r="B703" s="33"/>
      <c r="C703" s="34"/>
      <c r="D703" s="34"/>
      <c r="E703" s="34"/>
      <c r="F703" s="34"/>
      <c r="G703" s="34"/>
      <c r="H703" s="34"/>
      <c r="I703" s="34"/>
      <c r="J703" s="34"/>
      <c r="K703" s="35"/>
      <c r="L703" s="34"/>
      <c r="M703" s="34"/>
      <c r="N703" s="34"/>
      <c r="O703" s="34"/>
      <c r="P703" s="34"/>
    </row>
    <row r="704" spans="2:16" x14ac:dyDescent="0.3">
      <c r="B704" s="33"/>
      <c r="C704" s="34"/>
      <c r="D704" s="34"/>
      <c r="E704" s="34"/>
      <c r="F704" s="34"/>
      <c r="G704" s="34"/>
      <c r="H704" s="34"/>
      <c r="I704" s="34"/>
      <c r="J704" s="34"/>
      <c r="K704" s="35"/>
      <c r="L704" s="34"/>
      <c r="M704" s="34"/>
      <c r="N704" s="34"/>
      <c r="O704" s="34"/>
      <c r="P704" s="34"/>
    </row>
    <row r="705" spans="2:16" x14ac:dyDescent="0.3">
      <c r="B705" s="33"/>
      <c r="C705" s="34"/>
      <c r="D705" s="34"/>
      <c r="E705" s="34"/>
      <c r="F705" s="34"/>
      <c r="G705" s="34"/>
      <c r="H705" s="34"/>
      <c r="I705" s="34"/>
      <c r="J705" s="34"/>
      <c r="K705" s="35"/>
      <c r="L705" s="34"/>
      <c r="M705" s="34"/>
      <c r="N705" s="34"/>
      <c r="O705" s="34"/>
      <c r="P705" s="34"/>
    </row>
    <row r="706" spans="2:16" x14ac:dyDescent="0.3">
      <c r="B706" s="33"/>
      <c r="C706" s="34"/>
      <c r="D706" s="34"/>
      <c r="E706" s="34"/>
      <c r="F706" s="34"/>
      <c r="G706" s="34"/>
      <c r="H706" s="34"/>
      <c r="I706" s="34"/>
      <c r="J706" s="34"/>
      <c r="K706" s="35"/>
      <c r="L706" s="34"/>
      <c r="M706" s="34"/>
      <c r="N706" s="34"/>
      <c r="O706" s="34"/>
      <c r="P706" s="34"/>
    </row>
    <row r="707" spans="2:16" x14ac:dyDescent="0.3">
      <c r="B707" s="33"/>
      <c r="C707" s="34"/>
      <c r="D707" s="34"/>
      <c r="E707" s="34"/>
      <c r="F707" s="34"/>
      <c r="G707" s="34"/>
      <c r="H707" s="34"/>
      <c r="I707" s="34"/>
      <c r="J707" s="34"/>
      <c r="K707" s="35"/>
      <c r="L707" s="34"/>
      <c r="M707" s="34"/>
      <c r="N707" s="34"/>
      <c r="O707" s="34"/>
      <c r="P707" s="34"/>
    </row>
    <row r="708" spans="2:16" x14ac:dyDescent="0.3">
      <c r="B708" s="33"/>
      <c r="C708" s="34"/>
      <c r="D708" s="34"/>
      <c r="E708" s="34"/>
      <c r="F708" s="34"/>
      <c r="G708" s="34"/>
      <c r="H708" s="34"/>
      <c r="I708" s="34"/>
      <c r="J708" s="34"/>
      <c r="K708" s="35"/>
      <c r="L708" s="34"/>
      <c r="M708" s="34"/>
      <c r="N708" s="34"/>
      <c r="O708" s="34"/>
      <c r="P708" s="34"/>
    </row>
    <row r="709" spans="2:16" x14ac:dyDescent="0.3">
      <c r="B709" s="33"/>
      <c r="C709" s="34"/>
      <c r="D709" s="34"/>
      <c r="E709" s="34"/>
      <c r="F709" s="34"/>
      <c r="G709" s="34"/>
      <c r="H709" s="34"/>
      <c r="I709" s="34"/>
      <c r="J709" s="34"/>
      <c r="K709" s="35"/>
      <c r="L709" s="34"/>
      <c r="M709" s="34"/>
      <c r="N709" s="34"/>
      <c r="O709" s="34"/>
      <c r="P709" s="34"/>
    </row>
    <row r="710" spans="2:16" x14ac:dyDescent="0.3">
      <c r="B710" s="33"/>
      <c r="C710" s="34"/>
      <c r="D710" s="34"/>
      <c r="E710" s="34"/>
      <c r="F710" s="34"/>
      <c r="G710" s="34"/>
      <c r="H710" s="34"/>
      <c r="I710" s="34"/>
      <c r="J710" s="34"/>
      <c r="K710" s="35"/>
      <c r="L710" s="34"/>
      <c r="M710" s="34"/>
      <c r="N710" s="34"/>
      <c r="O710" s="34"/>
      <c r="P710" s="34"/>
    </row>
    <row r="711" spans="2:16" x14ac:dyDescent="0.3">
      <c r="B711" s="33"/>
      <c r="C711" s="34"/>
      <c r="D711" s="34"/>
      <c r="E711" s="34"/>
      <c r="F711" s="34"/>
      <c r="G711" s="34"/>
      <c r="H711" s="34"/>
      <c r="I711" s="34"/>
      <c r="J711" s="34"/>
      <c r="K711" s="35"/>
      <c r="L711" s="34"/>
      <c r="M711" s="34"/>
      <c r="N711" s="34"/>
      <c r="O711" s="34"/>
      <c r="P711" s="34"/>
    </row>
    <row r="712" spans="2:16" x14ac:dyDescent="0.3">
      <c r="B712" s="33"/>
      <c r="C712" s="34"/>
      <c r="D712" s="34"/>
      <c r="E712" s="34"/>
      <c r="F712" s="34"/>
      <c r="G712" s="34"/>
      <c r="H712" s="34"/>
      <c r="I712" s="34"/>
      <c r="J712" s="34"/>
      <c r="K712" s="35"/>
      <c r="L712" s="34"/>
      <c r="M712" s="34"/>
      <c r="N712" s="34"/>
      <c r="O712" s="34"/>
      <c r="P712" s="34"/>
    </row>
    <row r="713" spans="2:16" x14ac:dyDescent="0.3">
      <c r="B713" s="33"/>
      <c r="C713" s="34"/>
      <c r="D713" s="34"/>
      <c r="E713" s="34"/>
      <c r="F713" s="34"/>
      <c r="G713" s="34"/>
      <c r="H713" s="34"/>
      <c r="I713" s="34"/>
      <c r="J713" s="34"/>
      <c r="K713" s="35"/>
      <c r="L713" s="34"/>
      <c r="M713" s="34"/>
      <c r="N713" s="34"/>
      <c r="O713" s="34"/>
      <c r="P713" s="34"/>
    </row>
    <row r="714" spans="2:16" x14ac:dyDescent="0.3">
      <c r="B714" s="33"/>
      <c r="C714" s="34"/>
      <c r="D714" s="34"/>
      <c r="E714" s="34"/>
      <c r="F714" s="34"/>
      <c r="G714" s="34"/>
      <c r="H714" s="34"/>
      <c r="I714" s="34"/>
      <c r="J714" s="34"/>
      <c r="K714" s="35"/>
      <c r="L714" s="34"/>
      <c r="M714" s="34"/>
      <c r="N714" s="34"/>
      <c r="O714" s="34"/>
      <c r="P714" s="34"/>
    </row>
    <row r="715" spans="2:16" x14ac:dyDescent="0.3">
      <c r="B715" s="33"/>
      <c r="C715" s="34"/>
      <c r="D715" s="34"/>
      <c r="E715" s="34"/>
      <c r="F715" s="34"/>
      <c r="G715" s="34"/>
      <c r="H715" s="34"/>
      <c r="I715" s="34"/>
      <c r="J715" s="34"/>
      <c r="K715" s="35"/>
      <c r="L715" s="34"/>
      <c r="M715" s="34"/>
      <c r="N715" s="34"/>
      <c r="O715" s="34"/>
      <c r="P715" s="34"/>
    </row>
    <row r="716" spans="2:16" x14ac:dyDescent="0.3">
      <c r="B716" s="33"/>
      <c r="C716" s="34"/>
      <c r="D716" s="34"/>
      <c r="E716" s="34"/>
      <c r="F716" s="34"/>
      <c r="G716" s="34"/>
      <c r="H716" s="34"/>
      <c r="I716" s="34"/>
      <c r="J716" s="34"/>
      <c r="K716" s="35"/>
      <c r="L716" s="34"/>
      <c r="M716" s="34"/>
      <c r="N716" s="34"/>
      <c r="O716" s="34"/>
      <c r="P716" s="34"/>
    </row>
    <row r="717" spans="2:16" x14ac:dyDescent="0.3">
      <c r="B717" s="33"/>
      <c r="C717" s="34"/>
      <c r="D717" s="34"/>
      <c r="E717" s="34"/>
      <c r="F717" s="34"/>
      <c r="G717" s="34"/>
      <c r="H717" s="34"/>
      <c r="I717" s="34"/>
      <c r="J717" s="34"/>
      <c r="K717" s="35"/>
      <c r="L717" s="34"/>
      <c r="M717" s="34"/>
      <c r="N717" s="34"/>
      <c r="O717" s="34"/>
      <c r="P717" s="34"/>
    </row>
    <row r="718" spans="2:16" x14ac:dyDescent="0.3">
      <c r="B718" s="33"/>
      <c r="C718" s="34"/>
      <c r="D718" s="34"/>
      <c r="E718" s="34"/>
      <c r="F718" s="34"/>
      <c r="G718" s="34"/>
      <c r="H718" s="34"/>
      <c r="I718" s="34"/>
      <c r="J718" s="34"/>
      <c r="K718" s="35"/>
      <c r="L718" s="34"/>
      <c r="M718" s="34"/>
      <c r="N718" s="34"/>
      <c r="O718" s="34"/>
      <c r="P718" s="34"/>
    </row>
    <row r="719" spans="2:16" x14ac:dyDescent="0.3">
      <c r="B719" s="33"/>
      <c r="C719" s="34"/>
      <c r="D719" s="34"/>
      <c r="E719" s="34"/>
      <c r="F719" s="34"/>
      <c r="G719" s="34"/>
      <c r="H719" s="34"/>
      <c r="I719" s="34"/>
      <c r="J719" s="34"/>
      <c r="K719" s="35"/>
      <c r="L719" s="34"/>
      <c r="M719" s="34"/>
      <c r="N719" s="34"/>
      <c r="O719" s="34"/>
      <c r="P719" s="34"/>
    </row>
    <row r="720" spans="2:16" x14ac:dyDescent="0.3">
      <c r="B720" s="33"/>
      <c r="C720" s="34"/>
      <c r="D720" s="34"/>
      <c r="E720" s="34"/>
      <c r="F720" s="34"/>
      <c r="G720" s="34"/>
      <c r="H720" s="34"/>
      <c r="I720" s="34"/>
      <c r="J720" s="34"/>
      <c r="K720" s="35"/>
      <c r="L720" s="34"/>
      <c r="M720" s="34"/>
      <c r="N720" s="34"/>
      <c r="O720" s="34"/>
      <c r="P720" s="34"/>
    </row>
    <row r="721" spans="2:16" x14ac:dyDescent="0.3">
      <c r="B721" s="33"/>
      <c r="C721" s="34"/>
      <c r="D721" s="34"/>
      <c r="E721" s="34"/>
      <c r="F721" s="34"/>
      <c r="G721" s="34"/>
      <c r="H721" s="34"/>
      <c r="I721" s="34"/>
      <c r="J721" s="34"/>
      <c r="K721" s="35"/>
      <c r="L721" s="34"/>
      <c r="M721" s="34"/>
      <c r="N721" s="34"/>
      <c r="O721" s="34"/>
      <c r="P721" s="34"/>
    </row>
    <row r="722" spans="2:16" x14ac:dyDescent="0.3">
      <c r="B722" s="33"/>
      <c r="C722" s="34"/>
      <c r="D722" s="34"/>
      <c r="E722" s="34"/>
      <c r="F722" s="34"/>
      <c r="G722" s="34"/>
      <c r="H722" s="34"/>
      <c r="I722" s="34"/>
      <c r="J722" s="34"/>
      <c r="K722" s="35"/>
      <c r="L722" s="34"/>
      <c r="M722" s="34"/>
      <c r="N722" s="34"/>
      <c r="O722" s="34"/>
      <c r="P722" s="34"/>
    </row>
    <row r="723" spans="2:16" x14ac:dyDescent="0.3">
      <c r="B723" s="33"/>
      <c r="C723" s="34"/>
      <c r="D723" s="34"/>
      <c r="E723" s="34"/>
      <c r="F723" s="34"/>
      <c r="G723" s="34"/>
      <c r="H723" s="34"/>
      <c r="I723" s="34"/>
      <c r="J723" s="34"/>
      <c r="K723" s="35"/>
      <c r="L723" s="34"/>
      <c r="M723" s="34"/>
      <c r="N723" s="34"/>
      <c r="O723" s="34"/>
      <c r="P723" s="34"/>
    </row>
    <row r="724" spans="2:16" x14ac:dyDescent="0.3">
      <c r="B724" s="33"/>
      <c r="C724" s="34"/>
      <c r="D724" s="34"/>
      <c r="E724" s="34"/>
      <c r="F724" s="34"/>
      <c r="G724" s="34"/>
      <c r="H724" s="34"/>
      <c r="I724" s="34"/>
      <c r="J724" s="34"/>
      <c r="K724" s="35"/>
      <c r="L724" s="34"/>
      <c r="M724" s="34"/>
      <c r="N724" s="34"/>
      <c r="O724" s="34"/>
      <c r="P724" s="34"/>
    </row>
    <row r="725" spans="2:16" x14ac:dyDescent="0.3">
      <c r="B725" s="33"/>
      <c r="C725" s="34"/>
      <c r="D725" s="34"/>
      <c r="E725" s="34"/>
      <c r="F725" s="34"/>
      <c r="G725" s="34"/>
      <c r="H725" s="34"/>
      <c r="I725" s="34"/>
      <c r="J725" s="34"/>
      <c r="K725" s="35"/>
      <c r="L725" s="34"/>
      <c r="M725" s="34"/>
      <c r="N725" s="34"/>
      <c r="O725" s="34"/>
      <c r="P725" s="34"/>
    </row>
    <row r="726" spans="2:16" x14ac:dyDescent="0.3">
      <c r="B726" s="33"/>
      <c r="C726" s="34"/>
      <c r="D726" s="34"/>
      <c r="E726" s="34"/>
      <c r="F726" s="34"/>
      <c r="G726" s="34"/>
      <c r="H726" s="34"/>
      <c r="I726" s="34"/>
      <c r="J726" s="34"/>
      <c r="K726" s="35"/>
      <c r="L726" s="34"/>
      <c r="M726" s="34"/>
      <c r="N726" s="34"/>
      <c r="O726" s="34"/>
      <c r="P726" s="34"/>
    </row>
    <row r="727" spans="2:16" x14ac:dyDescent="0.3">
      <c r="B727" s="33"/>
      <c r="C727" s="34"/>
      <c r="D727" s="34"/>
      <c r="E727" s="34"/>
      <c r="F727" s="34"/>
      <c r="G727" s="34"/>
      <c r="H727" s="34"/>
      <c r="I727" s="34"/>
      <c r="J727" s="34"/>
      <c r="K727" s="35"/>
      <c r="L727" s="34"/>
      <c r="M727" s="34"/>
      <c r="N727" s="34"/>
      <c r="O727" s="34"/>
      <c r="P727" s="34"/>
    </row>
    <row r="728" spans="2:16" x14ac:dyDescent="0.3">
      <c r="B728" s="33"/>
      <c r="C728" s="34"/>
      <c r="D728" s="34"/>
      <c r="E728" s="34"/>
      <c r="F728" s="34"/>
      <c r="G728" s="34"/>
      <c r="H728" s="34"/>
      <c r="I728" s="34"/>
      <c r="J728" s="34"/>
      <c r="K728" s="35"/>
      <c r="L728" s="34"/>
      <c r="M728" s="34"/>
      <c r="N728" s="34"/>
      <c r="O728" s="34"/>
      <c r="P728" s="34"/>
    </row>
    <row r="729" spans="2:16" x14ac:dyDescent="0.3">
      <c r="B729" s="33"/>
      <c r="C729" s="34"/>
      <c r="D729" s="34"/>
      <c r="E729" s="34"/>
      <c r="F729" s="34"/>
      <c r="G729" s="34"/>
      <c r="H729" s="34"/>
      <c r="I729" s="34"/>
      <c r="J729" s="34"/>
      <c r="K729" s="35"/>
      <c r="L729" s="34"/>
      <c r="M729" s="34"/>
      <c r="N729" s="34"/>
      <c r="O729" s="34"/>
      <c r="P729" s="34"/>
    </row>
    <row r="730" spans="2:16" x14ac:dyDescent="0.3">
      <c r="B730" s="33"/>
      <c r="C730" s="34"/>
      <c r="D730" s="34"/>
      <c r="E730" s="34"/>
      <c r="F730" s="34"/>
      <c r="G730" s="34"/>
      <c r="H730" s="34"/>
      <c r="I730" s="34"/>
      <c r="J730" s="34"/>
      <c r="K730" s="35"/>
      <c r="L730" s="34"/>
      <c r="M730" s="34"/>
      <c r="N730" s="34"/>
      <c r="O730" s="34"/>
      <c r="P730" s="34"/>
    </row>
    <row r="731" spans="2:16" x14ac:dyDescent="0.3">
      <c r="B731" s="33"/>
      <c r="C731" s="34"/>
      <c r="D731" s="34"/>
      <c r="E731" s="34"/>
      <c r="F731" s="34"/>
      <c r="G731" s="34"/>
      <c r="H731" s="34"/>
      <c r="I731" s="34"/>
      <c r="J731" s="34"/>
      <c r="K731" s="35"/>
      <c r="L731" s="34"/>
      <c r="M731" s="34"/>
      <c r="N731" s="34"/>
      <c r="O731" s="34"/>
      <c r="P731" s="34"/>
    </row>
    <row r="732" spans="2:16" x14ac:dyDescent="0.3">
      <c r="B732" s="33"/>
      <c r="C732" s="34"/>
      <c r="D732" s="34"/>
      <c r="E732" s="34"/>
      <c r="F732" s="34"/>
      <c r="G732" s="34"/>
      <c r="H732" s="34"/>
      <c r="I732" s="34"/>
      <c r="J732" s="34"/>
      <c r="K732" s="35"/>
      <c r="L732" s="34"/>
      <c r="M732" s="34"/>
      <c r="N732" s="34"/>
      <c r="O732" s="34"/>
      <c r="P732" s="34"/>
    </row>
    <row r="733" spans="2:16" x14ac:dyDescent="0.3">
      <c r="B733" s="33"/>
      <c r="C733" s="34"/>
      <c r="D733" s="34"/>
      <c r="E733" s="34"/>
      <c r="F733" s="34"/>
      <c r="G733" s="34"/>
      <c r="H733" s="34"/>
      <c r="I733" s="34"/>
      <c r="J733" s="34"/>
      <c r="K733" s="35"/>
      <c r="L733" s="34"/>
      <c r="M733" s="34"/>
      <c r="N733" s="34"/>
      <c r="O733" s="34"/>
      <c r="P733" s="34"/>
    </row>
    <row r="734" spans="2:16" x14ac:dyDescent="0.3">
      <c r="B734" s="33"/>
      <c r="C734" s="34"/>
      <c r="D734" s="34"/>
      <c r="E734" s="34"/>
      <c r="F734" s="34"/>
      <c r="G734" s="34"/>
      <c r="H734" s="34"/>
      <c r="I734" s="34"/>
      <c r="J734" s="34"/>
      <c r="K734" s="35"/>
      <c r="L734" s="34"/>
      <c r="M734" s="34"/>
      <c r="N734" s="34"/>
      <c r="O734" s="34"/>
      <c r="P734" s="34"/>
    </row>
    <row r="735" spans="2:16" x14ac:dyDescent="0.3">
      <c r="B735" s="33"/>
      <c r="C735" s="34"/>
      <c r="D735" s="34"/>
      <c r="E735" s="34"/>
      <c r="F735" s="34"/>
      <c r="G735" s="34"/>
      <c r="H735" s="34"/>
      <c r="I735" s="34"/>
      <c r="J735" s="34"/>
      <c r="K735" s="35"/>
      <c r="L735" s="34"/>
      <c r="M735" s="34"/>
      <c r="N735" s="34"/>
      <c r="O735" s="34"/>
      <c r="P735" s="34"/>
    </row>
    <row r="736" spans="2:16" x14ac:dyDescent="0.3">
      <c r="B736" s="33"/>
      <c r="C736" s="34"/>
      <c r="D736" s="34"/>
      <c r="E736" s="34"/>
      <c r="F736" s="34"/>
      <c r="G736" s="34"/>
      <c r="H736" s="34"/>
      <c r="I736" s="34"/>
      <c r="J736" s="34"/>
      <c r="K736" s="35"/>
      <c r="L736" s="34"/>
      <c r="M736" s="34"/>
      <c r="N736" s="34"/>
      <c r="O736" s="34"/>
      <c r="P736" s="34"/>
    </row>
    <row r="737" spans="2:16" x14ac:dyDescent="0.3">
      <c r="B737" s="33"/>
      <c r="C737" s="34"/>
      <c r="D737" s="34"/>
      <c r="E737" s="34"/>
      <c r="F737" s="34"/>
      <c r="G737" s="34"/>
      <c r="H737" s="34"/>
      <c r="I737" s="34"/>
      <c r="J737" s="34"/>
      <c r="K737" s="35"/>
      <c r="L737" s="34"/>
      <c r="M737" s="34"/>
      <c r="N737" s="34"/>
      <c r="O737" s="34"/>
      <c r="P737" s="34"/>
    </row>
    <row r="738" spans="2:16" x14ac:dyDescent="0.3">
      <c r="B738" s="33"/>
      <c r="C738" s="34"/>
      <c r="D738" s="34"/>
      <c r="E738" s="34"/>
      <c r="F738" s="34"/>
      <c r="G738" s="34"/>
      <c r="H738" s="34"/>
      <c r="I738" s="34"/>
      <c r="J738" s="34"/>
      <c r="K738" s="35"/>
      <c r="L738" s="34"/>
      <c r="M738" s="34"/>
      <c r="N738" s="34"/>
      <c r="O738" s="34"/>
      <c r="P738" s="34"/>
    </row>
    <row r="739" spans="2:16" x14ac:dyDescent="0.3">
      <c r="B739" s="33"/>
      <c r="C739" s="34"/>
      <c r="D739" s="34"/>
      <c r="E739" s="34"/>
      <c r="F739" s="34"/>
      <c r="G739" s="34"/>
      <c r="H739" s="34"/>
      <c r="I739" s="34"/>
      <c r="J739" s="34"/>
      <c r="K739" s="35"/>
      <c r="L739" s="34"/>
      <c r="M739" s="34"/>
      <c r="N739" s="34"/>
      <c r="O739" s="34"/>
      <c r="P739" s="34"/>
    </row>
    <row r="740" spans="2:16" x14ac:dyDescent="0.3">
      <c r="B740" s="33"/>
      <c r="C740" s="34"/>
      <c r="D740" s="34"/>
      <c r="E740" s="34"/>
      <c r="F740" s="34"/>
      <c r="G740" s="34"/>
      <c r="H740" s="34"/>
      <c r="I740" s="34"/>
      <c r="J740" s="34"/>
      <c r="K740" s="35"/>
      <c r="L740" s="34"/>
      <c r="M740" s="34"/>
      <c r="N740" s="34"/>
      <c r="O740" s="34"/>
      <c r="P740" s="34"/>
    </row>
    <row r="741" spans="2:16" x14ac:dyDescent="0.3">
      <c r="B741" s="33"/>
      <c r="C741" s="34"/>
      <c r="D741" s="34"/>
      <c r="E741" s="34"/>
      <c r="F741" s="34"/>
      <c r="G741" s="34"/>
      <c r="H741" s="34"/>
      <c r="I741" s="34"/>
      <c r="J741" s="34"/>
      <c r="K741" s="35"/>
      <c r="L741" s="34"/>
      <c r="M741" s="34"/>
      <c r="N741" s="34"/>
      <c r="O741" s="34"/>
      <c r="P741" s="34"/>
    </row>
    <row r="742" spans="2:16" x14ac:dyDescent="0.3">
      <c r="B742" s="33"/>
      <c r="C742" s="34"/>
      <c r="D742" s="34"/>
      <c r="E742" s="34"/>
      <c r="F742" s="34"/>
      <c r="G742" s="34"/>
      <c r="H742" s="34"/>
      <c r="I742" s="34"/>
      <c r="J742" s="34"/>
      <c r="K742" s="35"/>
      <c r="L742" s="34"/>
      <c r="M742" s="34"/>
      <c r="N742" s="34"/>
      <c r="O742" s="34"/>
      <c r="P742" s="34"/>
    </row>
    <row r="743" spans="2:16" x14ac:dyDescent="0.3">
      <c r="B743" s="33"/>
      <c r="C743" s="34"/>
      <c r="D743" s="34"/>
      <c r="E743" s="34"/>
      <c r="F743" s="34"/>
      <c r="G743" s="34"/>
      <c r="H743" s="34"/>
      <c r="I743" s="34"/>
      <c r="J743" s="34"/>
      <c r="K743" s="35"/>
      <c r="L743" s="34"/>
      <c r="M743" s="34"/>
      <c r="N743" s="34"/>
      <c r="O743" s="34"/>
      <c r="P743" s="34"/>
    </row>
    <row r="744" spans="2:16" x14ac:dyDescent="0.3">
      <c r="B744" s="33"/>
      <c r="C744" s="34"/>
      <c r="D744" s="34"/>
      <c r="E744" s="34"/>
      <c r="F744" s="34"/>
      <c r="G744" s="34"/>
      <c r="H744" s="34"/>
      <c r="I744" s="34"/>
      <c r="J744" s="34"/>
      <c r="K744" s="35"/>
      <c r="L744" s="34"/>
      <c r="M744" s="34"/>
      <c r="N744" s="34"/>
      <c r="O744" s="34"/>
      <c r="P744" s="34"/>
    </row>
    <row r="745" spans="2:16" x14ac:dyDescent="0.3">
      <c r="B745" s="33"/>
      <c r="C745" s="34"/>
      <c r="D745" s="34"/>
      <c r="E745" s="34"/>
      <c r="F745" s="34"/>
      <c r="G745" s="34"/>
      <c r="H745" s="34"/>
      <c r="I745" s="34"/>
      <c r="J745" s="34"/>
      <c r="K745" s="35"/>
      <c r="L745" s="34"/>
      <c r="M745" s="34"/>
      <c r="N745" s="34"/>
      <c r="O745" s="34"/>
      <c r="P745" s="34"/>
    </row>
    <row r="746" spans="2:16" x14ac:dyDescent="0.3">
      <c r="B746" s="33"/>
      <c r="C746" s="34"/>
      <c r="D746" s="34"/>
      <c r="E746" s="34"/>
      <c r="F746" s="34"/>
      <c r="G746" s="34"/>
      <c r="H746" s="34"/>
      <c r="I746" s="34"/>
      <c r="J746" s="34"/>
      <c r="K746" s="35"/>
      <c r="L746" s="34"/>
      <c r="M746" s="34"/>
      <c r="N746" s="34"/>
      <c r="O746" s="34"/>
      <c r="P746" s="34"/>
    </row>
    <row r="747" spans="2:16" x14ac:dyDescent="0.3">
      <c r="B747" s="33"/>
      <c r="C747" s="34"/>
      <c r="D747" s="34"/>
      <c r="E747" s="34"/>
      <c r="F747" s="34"/>
      <c r="G747" s="34"/>
      <c r="H747" s="34"/>
      <c r="I747" s="34"/>
      <c r="J747" s="34"/>
      <c r="K747" s="35"/>
      <c r="L747" s="34"/>
      <c r="M747" s="34"/>
      <c r="N747" s="34"/>
      <c r="O747" s="34"/>
      <c r="P747" s="34"/>
    </row>
    <row r="748" spans="2:16" x14ac:dyDescent="0.3">
      <c r="B748" s="33"/>
      <c r="C748" s="34"/>
      <c r="D748" s="34"/>
      <c r="E748" s="34"/>
      <c r="F748" s="34"/>
      <c r="G748" s="34"/>
      <c r="H748" s="34"/>
      <c r="I748" s="34"/>
      <c r="J748" s="34"/>
      <c r="K748" s="35"/>
      <c r="L748" s="34"/>
      <c r="M748" s="34"/>
      <c r="N748" s="34"/>
      <c r="O748" s="34"/>
      <c r="P748" s="34"/>
    </row>
    <row r="749" spans="2:16" x14ac:dyDescent="0.3">
      <c r="B749" s="33"/>
      <c r="C749" s="34"/>
      <c r="D749" s="34"/>
      <c r="E749" s="34"/>
      <c r="F749" s="34"/>
      <c r="G749" s="34"/>
      <c r="H749" s="34"/>
      <c r="I749" s="34"/>
      <c r="J749" s="34"/>
      <c r="K749" s="35"/>
      <c r="L749" s="34"/>
      <c r="M749" s="34"/>
      <c r="N749" s="34"/>
      <c r="O749" s="34"/>
      <c r="P749" s="34"/>
    </row>
    <row r="750" spans="2:16" x14ac:dyDescent="0.3">
      <c r="B750" s="33"/>
      <c r="C750" s="34"/>
      <c r="D750" s="34"/>
      <c r="E750" s="34"/>
      <c r="F750" s="34"/>
      <c r="G750" s="34"/>
      <c r="H750" s="34"/>
      <c r="I750" s="34"/>
      <c r="J750" s="34"/>
      <c r="K750" s="35"/>
      <c r="L750" s="34"/>
      <c r="M750" s="34"/>
      <c r="N750" s="34"/>
      <c r="O750" s="34"/>
      <c r="P750" s="34"/>
    </row>
    <row r="751" spans="2:16" x14ac:dyDescent="0.3">
      <c r="B751" s="33"/>
      <c r="C751" s="34"/>
      <c r="D751" s="34"/>
      <c r="E751" s="34"/>
      <c r="F751" s="34"/>
      <c r="G751" s="34"/>
      <c r="H751" s="34"/>
      <c r="I751" s="34"/>
      <c r="J751" s="34"/>
      <c r="K751" s="35"/>
      <c r="L751" s="34"/>
      <c r="M751" s="34"/>
      <c r="N751" s="34"/>
      <c r="O751" s="34"/>
      <c r="P751" s="34"/>
    </row>
    <row r="752" spans="2:16" x14ac:dyDescent="0.3">
      <c r="B752" s="33"/>
      <c r="C752" s="34"/>
      <c r="D752" s="34"/>
      <c r="E752" s="34"/>
      <c r="F752" s="34"/>
      <c r="G752" s="34"/>
      <c r="H752" s="34"/>
      <c r="I752" s="34"/>
      <c r="J752" s="34"/>
      <c r="K752" s="35"/>
      <c r="L752" s="34"/>
      <c r="M752" s="34"/>
      <c r="N752" s="34"/>
      <c r="O752" s="34"/>
      <c r="P752" s="34"/>
    </row>
    <row r="753" spans="2:16" x14ac:dyDescent="0.3">
      <c r="B753" s="33"/>
      <c r="C753" s="34"/>
      <c r="D753" s="34"/>
      <c r="E753" s="34"/>
      <c r="F753" s="34"/>
      <c r="G753" s="34"/>
      <c r="H753" s="34"/>
      <c r="I753" s="34"/>
      <c r="J753" s="34"/>
      <c r="K753" s="35"/>
      <c r="L753" s="34"/>
      <c r="M753" s="34"/>
      <c r="N753" s="34"/>
      <c r="O753" s="34"/>
      <c r="P753" s="34"/>
    </row>
    <row r="754" spans="2:16" x14ac:dyDescent="0.3">
      <c r="B754" s="33"/>
      <c r="C754" s="34"/>
      <c r="D754" s="34"/>
      <c r="E754" s="34"/>
      <c r="F754" s="34"/>
      <c r="G754" s="34"/>
      <c r="H754" s="34"/>
      <c r="I754" s="34"/>
      <c r="J754" s="34"/>
      <c r="K754" s="35"/>
      <c r="L754" s="34"/>
      <c r="M754" s="34"/>
      <c r="N754" s="34"/>
      <c r="O754" s="34"/>
      <c r="P754" s="34"/>
    </row>
    <row r="755" spans="2:16" x14ac:dyDescent="0.3">
      <c r="B755" s="33"/>
      <c r="C755" s="34"/>
      <c r="D755" s="34"/>
      <c r="E755" s="34"/>
      <c r="F755" s="34"/>
      <c r="G755" s="34"/>
      <c r="H755" s="34"/>
      <c r="I755" s="34"/>
      <c r="J755" s="34"/>
      <c r="K755" s="35"/>
      <c r="L755" s="34"/>
      <c r="M755" s="34"/>
      <c r="N755" s="34"/>
      <c r="O755" s="34"/>
      <c r="P755" s="34"/>
    </row>
    <row r="756" spans="2:16" x14ac:dyDescent="0.3">
      <c r="B756" s="33"/>
      <c r="C756" s="34"/>
      <c r="D756" s="34"/>
      <c r="E756" s="34"/>
      <c r="F756" s="34"/>
      <c r="G756" s="34"/>
      <c r="H756" s="34"/>
      <c r="I756" s="34"/>
      <c r="J756" s="34"/>
      <c r="K756" s="35"/>
      <c r="L756" s="34"/>
      <c r="M756" s="34"/>
      <c r="N756" s="34"/>
      <c r="O756" s="34"/>
      <c r="P756" s="34"/>
    </row>
    <row r="757" spans="2:16" x14ac:dyDescent="0.3">
      <c r="B757" s="33"/>
      <c r="C757" s="34"/>
      <c r="D757" s="34"/>
      <c r="E757" s="34"/>
      <c r="F757" s="34"/>
      <c r="G757" s="34"/>
      <c r="H757" s="34"/>
      <c r="I757" s="34"/>
      <c r="J757" s="34"/>
      <c r="K757" s="35"/>
      <c r="L757" s="34"/>
      <c r="M757" s="34"/>
      <c r="N757" s="34"/>
      <c r="O757" s="34"/>
      <c r="P757" s="34"/>
    </row>
    <row r="758" spans="2:16" x14ac:dyDescent="0.3">
      <c r="B758" s="33"/>
      <c r="C758" s="34"/>
      <c r="D758" s="34"/>
      <c r="E758" s="34"/>
      <c r="F758" s="34"/>
      <c r="G758" s="34"/>
      <c r="H758" s="34"/>
      <c r="I758" s="34"/>
      <c r="J758" s="34"/>
      <c r="K758" s="35"/>
      <c r="L758" s="34"/>
      <c r="M758" s="34"/>
      <c r="N758" s="34"/>
      <c r="O758" s="34"/>
      <c r="P758" s="34"/>
    </row>
    <row r="759" spans="2:16" x14ac:dyDescent="0.3">
      <c r="B759" s="33"/>
      <c r="C759" s="34"/>
      <c r="D759" s="34"/>
      <c r="E759" s="34"/>
      <c r="F759" s="34"/>
      <c r="G759" s="34"/>
      <c r="H759" s="34"/>
      <c r="I759" s="34"/>
      <c r="J759" s="34"/>
      <c r="K759" s="35"/>
      <c r="L759" s="34"/>
      <c r="M759" s="34"/>
      <c r="N759" s="34"/>
      <c r="O759" s="34"/>
      <c r="P759" s="34"/>
    </row>
    <row r="760" spans="2:16" x14ac:dyDescent="0.3">
      <c r="B760" s="33"/>
      <c r="C760" s="34"/>
      <c r="D760" s="34"/>
      <c r="E760" s="34"/>
      <c r="F760" s="34"/>
      <c r="G760" s="34"/>
      <c r="H760" s="34"/>
      <c r="I760" s="34"/>
      <c r="J760" s="34"/>
      <c r="K760" s="35"/>
      <c r="L760" s="34"/>
      <c r="M760" s="34"/>
      <c r="N760" s="34"/>
      <c r="O760" s="34"/>
      <c r="P760" s="34"/>
    </row>
    <row r="761" spans="2:16" x14ac:dyDescent="0.3">
      <c r="B761" s="33"/>
      <c r="C761" s="34"/>
      <c r="D761" s="34"/>
      <c r="E761" s="34"/>
      <c r="F761" s="34"/>
      <c r="G761" s="34"/>
      <c r="H761" s="34"/>
      <c r="I761" s="34"/>
      <c r="J761" s="34"/>
      <c r="K761" s="35"/>
      <c r="L761" s="34"/>
      <c r="M761" s="34"/>
      <c r="N761" s="34"/>
      <c r="O761" s="34"/>
      <c r="P761" s="34"/>
    </row>
    <row r="762" spans="2:16" x14ac:dyDescent="0.3">
      <c r="B762" s="33"/>
      <c r="C762" s="34"/>
      <c r="D762" s="34"/>
      <c r="E762" s="34"/>
      <c r="F762" s="34"/>
      <c r="G762" s="34"/>
      <c r="H762" s="34"/>
      <c r="I762" s="34"/>
      <c r="J762" s="34"/>
      <c r="K762" s="35"/>
      <c r="L762" s="34"/>
      <c r="M762" s="34"/>
      <c r="N762" s="34"/>
      <c r="O762" s="34"/>
      <c r="P762" s="34"/>
    </row>
    <row r="763" spans="2:16" x14ac:dyDescent="0.3">
      <c r="B763" s="33"/>
      <c r="C763" s="34"/>
      <c r="D763" s="34"/>
      <c r="E763" s="34"/>
      <c r="F763" s="34"/>
      <c r="G763" s="34"/>
      <c r="H763" s="34"/>
      <c r="I763" s="34"/>
      <c r="J763" s="34"/>
      <c r="K763" s="35"/>
      <c r="L763" s="34"/>
      <c r="M763" s="34"/>
      <c r="N763" s="34"/>
      <c r="O763" s="34"/>
      <c r="P763" s="34"/>
    </row>
    <row r="764" spans="2:16" x14ac:dyDescent="0.3">
      <c r="B764" s="33"/>
      <c r="C764" s="34"/>
      <c r="D764" s="34"/>
      <c r="E764" s="34"/>
      <c r="F764" s="34"/>
      <c r="G764" s="34"/>
      <c r="H764" s="34"/>
      <c r="I764" s="34"/>
      <c r="J764" s="34"/>
      <c r="K764" s="35"/>
      <c r="L764" s="34"/>
      <c r="M764" s="34"/>
      <c r="N764" s="34"/>
      <c r="O764" s="34"/>
      <c r="P764" s="34"/>
    </row>
    <row r="765" spans="2:16" x14ac:dyDescent="0.3">
      <c r="B765" s="33"/>
      <c r="C765" s="34"/>
      <c r="D765" s="34"/>
      <c r="E765" s="34"/>
      <c r="F765" s="34"/>
      <c r="G765" s="34"/>
      <c r="H765" s="34"/>
      <c r="I765" s="34"/>
      <c r="J765" s="34"/>
      <c r="K765" s="35"/>
      <c r="L765" s="34"/>
      <c r="M765" s="34"/>
      <c r="N765" s="34"/>
      <c r="O765" s="34"/>
      <c r="P765" s="34"/>
    </row>
    <row r="766" spans="2:16" x14ac:dyDescent="0.3">
      <c r="B766" s="33"/>
      <c r="C766" s="34"/>
      <c r="D766" s="34"/>
      <c r="E766" s="34"/>
      <c r="F766" s="34"/>
      <c r="G766" s="34"/>
      <c r="H766" s="34"/>
      <c r="I766" s="34"/>
      <c r="J766" s="34"/>
      <c r="K766" s="35"/>
      <c r="L766" s="34"/>
      <c r="M766" s="34"/>
      <c r="N766" s="34"/>
      <c r="O766" s="34"/>
      <c r="P766" s="34"/>
    </row>
    <row r="767" spans="2:16" x14ac:dyDescent="0.3">
      <c r="B767" s="33"/>
      <c r="C767" s="34"/>
      <c r="D767" s="34"/>
      <c r="E767" s="34"/>
      <c r="F767" s="34"/>
      <c r="G767" s="34"/>
      <c r="H767" s="34"/>
      <c r="I767" s="34"/>
      <c r="J767" s="34"/>
      <c r="K767" s="35"/>
      <c r="L767" s="34"/>
      <c r="M767" s="34"/>
      <c r="N767" s="34"/>
      <c r="O767" s="34"/>
      <c r="P767" s="34"/>
    </row>
    <row r="768" spans="2:16" x14ac:dyDescent="0.3">
      <c r="B768" s="33"/>
      <c r="C768" s="34"/>
      <c r="D768" s="34"/>
      <c r="E768" s="34"/>
      <c r="F768" s="34"/>
      <c r="G768" s="34"/>
      <c r="H768" s="34"/>
      <c r="I768" s="34"/>
      <c r="J768" s="34"/>
      <c r="K768" s="35"/>
      <c r="L768" s="34"/>
      <c r="M768" s="34"/>
      <c r="N768" s="34"/>
      <c r="O768" s="34"/>
      <c r="P768" s="34"/>
    </row>
    <row r="769" spans="2:16" x14ac:dyDescent="0.3">
      <c r="B769" s="33"/>
      <c r="C769" s="34"/>
      <c r="D769" s="34"/>
      <c r="E769" s="34"/>
      <c r="F769" s="34"/>
      <c r="G769" s="34"/>
      <c r="H769" s="34"/>
      <c r="I769" s="34"/>
      <c r="J769" s="34"/>
      <c r="K769" s="35"/>
      <c r="L769" s="34"/>
      <c r="M769" s="34"/>
      <c r="N769" s="34"/>
      <c r="O769" s="34"/>
      <c r="P769" s="34"/>
    </row>
    <row r="770" spans="2:16" x14ac:dyDescent="0.3">
      <c r="B770" s="33"/>
      <c r="C770" s="34"/>
      <c r="D770" s="34"/>
      <c r="E770" s="34"/>
      <c r="F770" s="34"/>
      <c r="G770" s="34"/>
      <c r="H770" s="34"/>
      <c r="I770" s="34"/>
      <c r="J770" s="34"/>
      <c r="K770" s="35"/>
      <c r="L770" s="34"/>
      <c r="M770" s="34"/>
      <c r="N770" s="34"/>
      <c r="O770" s="34"/>
      <c r="P770" s="34"/>
    </row>
    <row r="771" spans="2:16" x14ac:dyDescent="0.3">
      <c r="B771" s="33"/>
      <c r="C771" s="34"/>
      <c r="D771" s="34"/>
      <c r="E771" s="34"/>
      <c r="F771" s="34"/>
      <c r="G771" s="34"/>
      <c r="H771" s="34"/>
      <c r="I771" s="34"/>
      <c r="J771" s="34"/>
      <c r="K771" s="35"/>
      <c r="L771" s="34"/>
      <c r="M771" s="34"/>
      <c r="N771" s="34"/>
      <c r="O771" s="34"/>
      <c r="P771" s="34"/>
    </row>
    <row r="772" spans="2:16" x14ac:dyDescent="0.3">
      <c r="B772" s="33"/>
      <c r="C772" s="34"/>
      <c r="D772" s="34"/>
      <c r="E772" s="34"/>
      <c r="F772" s="34"/>
      <c r="G772" s="34"/>
      <c r="H772" s="34"/>
      <c r="I772" s="34"/>
      <c r="J772" s="34"/>
      <c r="K772" s="35"/>
      <c r="L772" s="34"/>
      <c r="M772" s="34"/>
      <c r="N772" s="34"/>
      <c r="O772" s="34"/>
      <c r="P772" s="34"/>
    </row>
    <row r="773" spans="2:16" x14ac:dyDescent="0.3">
      <c r="B773" s="33"/>
      <c r="C773" s="34"/>
      <c r="D773" s="34"/>
      <c r="E773" s="34"/>
      <c r="F773" s="34"/>
      <c r="G773" s="34"/>
      <c r="H773" s="34"/>
      <c r="I773" s="34"/>
      <c r="J773" s="34"/>
      <c r="K773" s="35"/>
      <c r="L773" s="34"/>
      <c r="M773" s="34"/>
      <c r="N773" s="34"/>
      <c r="O773" s="34"/>
      <c r="P773" s="34"/>
    </row>
    <row r="774" spans="2:16" x14ac:dyDescent="0.3">
      <c r="B774" s="33"/>
      <c r="C774" s="34"/>
      <c r="D774" s="34"/>
      <c r="E774" s="34"/>
      <c r="F774" s="34"/>
      <c r="G774" s="34"/>
      <c r="H774" s="34"/>
      <c r="I774" s="34"/>
      <c r="J774" s="34"/>
      <c r="K774" s="35"/>
      <c r="L774" s="34"/>
      <c r="M774" s="34"/>
      <c r="N774" s="34"/>
      <c r="O774" s="34"/>
      <c r="P774" s="34"/>
    </row>
    <row r="775" spans="2:16" x14ac:dyDescent="0.3">
      <c r="B775" s="33"/>
      <c r="C775" s="34"/>
      <c r="D775" s="34"/>
      <c r="E775" s="34"/>
      <c r="F775" s="34"/>
      <c r="G775" s="34"/>
      <c r="H775" s="34"/>
      <c r="I775" s="34"/>
      <c r="J775" s="34"/>
      <c r="K775" s="35"/>
      <c r="L775" s="34"/>
      <c r="M775" s="34"/>
      <c r="N775" s="34"/>
      <c r="O775" s="34"/>
      <c r="P775" s="34"/>
    </row>
    <row r="776" spans="2:16" x14ac:dyDescent="0.3">
      <c r="B776" s="33"/>
      <c r="C776" s="34"/>
      <c r="D776" s="34"/>
      <c r="E776" s="34"/>
      <c r="F776" s="34"/>
      <c r="G776" s="34"/>
      <c r="H776" s="34"/>
      <c r="I776" s="34"/>
      <c r="J776" s="34"/>
      <c r="K776" s="35"/>
      <c r="L776" s="34"/>
      <c r="M776" s="34"/>
      <c r="N776" s="34"/>
      <c r="O776" s="34"/>
      <c r="P776" s="34"/>
    </row>
    <row r="777" spans="2:16" x14ac:dyDescent="0.3">
      <c r="B777" s="33"/>
      <c r="C777" s="34"/>
      <c r="D777" s="34"/>
      <c r="E777" s="34"/>
      <c r="F777" s="34"/>
      <c r="G777" s="34"/>
      <c r="H777" s="34"/>
      <c r="I777" s="34"/>
      <c r="J777" s="34"/>
      <c r="K777" s="35"/>
      <c r="L777" s="34"/>
      <c r="M777" s="34"/>
      <c r="N777" s="34"/>
      <c r="O777" s="34"/>
      <c r="P777" s="34"/>
    </row>
    <row r="778" spans="2:16" x14ac:dyDescent="0.3">
      <c r="B778" s="33"/>
      <c r="C778" s="34"/>
      <c r="D778" s="34"/>
      <c r="E778" s="34"/>
      <c r="F778" s="34"/>
      <c r="G778" s="34"/>
      <c r="H778" s="34"/>
      <c r="I778" s="34"/>
      <c r="J778" s="34"/>
      <c r="K778" s="35"/>
      <c r="L778" s="34"/>
      <c r="M778" s="34"/>
      <c r="N778" s="34"/>
      <c r="O778" s="34"/>
      <c r="P778" s="34"/>
    </row>
    <row r="779" spans="2:16" x14ac:dyDescent="0.3">
      <c r="B779" s="33"/>
      <c r="C779" s="34"/>
      <c r="D779" s="34"/>
      <c r="E779" s="34"/>
      <c r="F779" s="34"/>
      <c r="G779" s="34"/>
      <c r="H779" s="34"/>
      <c r="I779" s="34"/>
      <c r="J779" s="34"/>
      <c r="K779" s="35"/>
      <c r="L779" s="34"/>
      <c r="M779" s="34"/>
      <c r="N779" s="34"/>
      <c r="O779" s="34"/>
      <c r="P779" s="34"/>
    </row>
    <row r="780" spans="2:16" x14ac:dyDescent="0.3">
      <c r="B780" s="33"/>
      <c r="C780" s="34"/>
      <c r="D780" s="34"/>
      <c r="E780" s="34"/>
      <c r="F780" s="34"/>
      <c r="G780" s="34"/>
      <c r="H780" s="34"/>
      <c r="I780" s="34"/>
      <c r="J780" s="34"/>
      <c r="K780" s="35"/>
      <c r="L780" s="34"/>
      <c r="M780" s="34"/>
      <c r="N780" s="34"/>
      <c r="O780" s="34"/>
      <c r="P780" s="34"/>
    </row>
    <row r="781" spans="2:16" x14ac:dyDescent="0.3">
      <c r="B781" s="33"/>
      <c r="C781" s="34"/>
      <c r="D781" s="34"/>
      <c r="E781" s="34"/>
      <c r="F781" s="34"/>
      <c r="G781" s="34"/>
      <c r="H781" s="34"/>
      <c r="I781" s="34"/>
      <c r="J781" s="34"/>
      <c r="K781" s="35"/>
      <c r="L781" s="34"/>
      <c r="M781" s="34"/>
      <c r="N781" s="34"/>
      <c r="O781" s="34"/>
      <c r="P781" s="34"/>
    </row>
    <row r="782" spans="2:16" x14ac:dyDescent="0.3">
      <c r="B782" s="33"/>
      <c r="C782" s="34"/>
      <c r="D782" s="34"/>
      <c r="E782" s="34"/>
      <c r="F782" s="34"/>
      <c r="G782" s="34"/>
      <c r="H782" s="34"/>
      <c r="I782" s="34"/>
      <c r="J782" s="34"/>
      <c r="K782" s="35"/>
      <c r="L782" s="34"/>
      <c r="M782" s="34"/>
      <c r="N782" s="34"/>
      <c r="O782" s="34"/>
      <c r="P782" s="34"/>
    </row>
    <row r="783" spans="2:16" x14ac:dyDescent="0.3">
      <c r="B783" s="33"/>
      <c r="C783" s="34"/>
      <c r="D783" s="34"/>
      <c r="E783" s="34"/>
      <c r="F783" s="34"/>
      <c r="G783" s="34"/>
      <c r="H783" s="34"/>
      <c r="I783" s="34"/>
      <c r="J783" s="34"/>
      <c r="K783" s="35"/>
      <c r="L783" s="34"/>
      <c r="M783" s="34"/>
      <c r="N783" s="34"/>
      <c r="O783" s="34"/>
      <c r="P783" s="34"/>
    </row>
    <row r="784" spans="2:16" x14ac:dyDescent="0.3">
      <c r="B784" s="33"/>
      <c r="C784" s="34"/>
      <c r="D784" s="34"/>
      <c r="E784" s="34"/>
      <c r="F784" s="34"/>
      <c r="G784" s="34"/>
      <c r="H784" s="34"/>
      <c r="I784" s="34"/>
      <c r="J784" s="34"/>
      <c r="K784" s="35"/>
      <c r="L784" s="34"/>
      <c r="M784" s="34"/>
      <c r="N784" s="34"/>
      <c r="O784" s="34"/>
      <c r="P784" s="34"/>
    </row>
    <row r="785" spans="2:16" x14ac:dyDescent="0.3">
      <c r="B785" s="33"/>
      <c r="C785" s="34"/>
      <c r="D785" s="34"/>
      <c r="E785" s="34"/>
      <c r="F785" s="34"/>
      <c r="G785" s="34"/>
      <c r="H785" s="34"/>
      <c r="I785" s="34"/>
      <c r="J785" s="34"/>
      <c r="K785" s="35"/>
      <c r="L785" s="34"/>
      <c r="M785" s="34"/>
      <c r="N785" s="34"/>
      <c r="O785" s="34"/>
      <c r="P785" s="34"/>
    </row>
    <row r="786" spans="2:16" x14ac:dyDescent="0.3">
      <c r="B786" s="33"/>
      <c r="C786" s="34"/>
      <c r="D786" s="34"/>
      <c r="E786" s="34"/>
      <c r="F786" s="34"/>
      <c r="G786" s="34"/>
      <c r="H786" s="34"/>
      <c r="I786" s="34"/>
      <c r="J786" s="34"/>
      <c r="K786" s="35"/>
      <c r="L786" s="34"/>
      <c r="M786" s="34"/>
      <c r="N786" s="34"/>
      <c r="O786" s="34"/>
      <c r="P786" s="34"/>
    </row>
    <row r="787" spans="2:16" x14ac:dyDescent="0.3">
      <c r="B787" s="33"/>
      <c r="C787" s="34"/>
      <c r="D787" s="34"/>
      <c r="E787" s="34"/>
      <c r="F787" s="34"/>
      <c r="G787" s="34"/>
      <c r="H787" s="34"/>
      <c r="I787" s="34"/>
      <c r="J787" s="34"/>
      <c r="K787" s="35"/>
      <c r="L787" s="34"/>
      <c r="M787" s="34"/>
      <c r="N787" s="34"/>
      <c r="O787" s="34"/>
      <c r="P787" s="34"/>
    </row>
    <row r="788" spans="2:16" x14ac:dyDescent="0.3">
      <c r="B788" s="33"/>
      <c r="C788" s="34"/>
      <c r="D788" s="34"/>
      <c r="E788" s="34"/>
      <c r="F788" s="34"/>
      <c r="G788" s="34"/>
      <c r="H788" s="34"/>
      <c r="I788" s="34"/>
      <c r="J788" s="34"/>
      <c r="K788" s="35"/>
      <c r="L788" s="34"/>
      <c r="M788" s="34"/>
      <c r="N788" s="34"/>
      <c r="O788" s="34"/>
      <c r="P788" s="34"/>
    </row>
    <row r="789" spans="2:16" x14ac:dyDescent="0.3">
      <c r="B789" s="33"/>
      <c r="C789" s="34"/>
      <c r="D789" s="34"/>
      <c r="E789" s="34"/>
      <c r="F789" s="34"/>
      <c r="G789" s="34"/>
      <c r="H789" s="34"/>
      <c r="I789" s="34"/>
      <c r="J789" s="34"/>
      <c r="K789" s="35"/>
      <c r="L789" s="34"/>
      <c r="M789" s="34"/>
      <c r="N789" s="34"/>
      <c r="O789" s="34"/>
      <c r="P789" s="34"/>
    </row>
    <row r="790" spans="2:16" x14ac:dyDescent="0.3">
      <c r="B790" s="33"/>
      <c r="C790" s="34"/>
      <c r="D790" s="34"/>
      <c r="E790" s="34"/>
      <c r="F790" s="34"/>
      <c r="G790" s="34"/>
      <c r="H790" s="34"/>
      <c r="I790" s="34"/>
      <c r="J790" s="34"/>
      <c r="K790" s="35"/>
      <c r="L790" s="34"/>
      <c r="M790" s="34"/>
      <c r="N790" s="34"/>
      <c r="O790" s="34"/>
      <c r="P790" s="34"/>
    </row>
    <row r="791" spans="2:16" x14ac:dyDescent="0.3">
      <c r="B791" s="33"/>
      <c r="C791" s="34"/>
      <c r="D791" s="34"/>
      <c r="E791" s="34"/>
      <c r="F791" s="34"/>
      <c r="G791" s="34"/>
      <c r="H791" s="34"/>
      <c r="I791" s="34"/>
      <c r="J791" s="34"/>
      <c r="K791" s="35"/>
      <c r="L791" s="34"/>
      <c r="M791" s="34"/>
      <c r="N791" s="34"/>
      <c r="O791" s="34"/>
      <c r="P791" s="34"/>
    </row>
    <row r="792" spans="2:16" x14ac:dyDescent="0.3">
      <c r="B792" s="33"/>
      <c r="C792" s="34"/>
      <c r="D792" s="34"/>
      <c r="E792" s="34"/>
      <c r="F792" s="34"/>
      <c r="G792" s="34"/>
      <c r="H792" s="34"/>
      <c r="I792" s="34"/>
      <c r="J792" s="34"/>
      <c r="K792" s="35"/>
      <c r="L792" s="34"/>
      <c r="M792" s="34"/>
      <c r="N792" s="34"/>
      <c r="O792" s="34"/>
      <c r="P792" s="34"/>
    </row>
    <row r="793" spans="2:16" x14ac:dyDescent="0.3">
      <c r="B793" s="33"/>
      <c r="C793" s="34"/>
      <c r="D793" s="34"/>
      <c r="E793" s="34"/>
      <c r="F793" s="34"/>
      <c r="G793" s="34"/>
      <c r="H793" s="34"/>
      <c r="I793" s="34"/>
      <c r="J793" s="34"/>
      <c r="K793" s="35"/>
      <c r="L793" s="34"/>
      <c r="M793" s="34"/>
      <c r="N793" s="34"/>
      <c r="O793" s="34"/>
      <c r="P793" s="34"/>
    </row>
    <row r="794" spans="2:16" x14ac:dyDescent="0.3">
      <c r="B794" s="33"/>
      <c r="C794" s="34"/>
      <c r="D794" s="34"/>
      <c r="E794" s="34"/>
      <c r="F794" s="34"/>
      <c r="G794" s="34"/>
      <c r="H794" s="34"/>
      <c r="I794" s="34"/>
      <c r="J794" s="34"/>
      <c r="K794" s="35"/>
      <c r="L794" s="34"/>
      <c r="M794" s="34"/>
      <c r="N794" s="34"/>
      <c r="O794" s="34"/>
      <c r="P794" s="34"/>
    </row>
    <row r="795" spans="2:16" x14ac:dyDescent="0.3">
      <c r="B795" s="33"/>
      <c r="C795" s="34"/>
      <c r="D795" s="34"/>
      <c r="E795" s="34"/>
      <c r="F795" s="34"/>
      <c r="G795" s="34"/>
      <c r="H795" s="34"/>
      <c r="I795" s="34"/>
      <c r="J795" s="34"/>
      <c r="K795" s="35"/>
      <c r="L795" s="34"/>
      <c r="M795" s="34"/>
      <c r="N795" s="34"/>
      <c r="O795" s="34"/>
      <c r="P795" s="34"/>
    </row>
    <row r="796" spans="2:16" x14ac:dyDescent="0.3">
      <c r="B796" s="33"/>
      <c r="C796" s="34"/>
      <c r="D796" s="34"/>
      <c r="E796" s="34"/>
      <c r="F796" s="34"/>
      <c r="G796" s="34"/>
      <c r="H796" s="34"/>
      <c r="I796" s="34"/>
      <c r="J796" s="34"/>
      <c r="K796" s="35"/>
      <c r="L796" s="34"/>
      <c r="M796" s="34"/>
      <c r="N796" s="34"/>
      <c r="O796" s="34"/>
      <c r="P796" s="34"/>
    </row>
    <row r="797" spans="2:16" x14ac:dyDescent="0.3">
      <c r="B797" s="33"/>
      <c r="C797" s="34"/>
      <c r="D797" s="34"/>
      <c r="E797" s="34"/>
      <c r="F797" s="34"/>
      <c r="G797" s="34"/>
      <c r="H797" s="34"/>
      <c r="I797" s="34"/>
      <c r="J797" s="34"/>
      <c r="K797" s="35"/>
      <c r="L797" s="34"/>
      <c r="M797" s="34"/>
      <c r="N797" s="34"/>
      <c r="O797" s="34"/>
      <c r="P797" s="34"/>
    </row>
    <row r="798" spans="2:16" x14ac:dyDescent="0.3">
      <c r="B798" s="33"/>
      <c r="C798" s="34"/>
      <c r="D798" s="34"/>
      <c r="E798" s="34"/>
      <c r="F798" s="34"/>
      <c r="G798" s="34"/>
      <c r="H798" s="34"/>
      <c r="I798" s="34"/>
      <c r="J798" s="34"/>
      <c r="K798" s="35"/>
      <c r="L798" s="34"/>
      <c r="M798" s="34"/>
      <c r="N798" s="34"/>
      <c r="O798" s="34"/>
      <c r="P798" s="34"/>
    </row>
    <row r="799" spans="2:16" x14ac:dyDescent="0.3">
      <c r="B799" s="33"/>
      <c r="C799" s="34"/>
      <c r="D799" s="34"/>
      <c r="E799" s="34"/>
      <c r="F799" s="34"/>
      <c r="G799" s="34"/>
      <c r="H799" s="34"/>
      <c r="I799" s="34"/>
      <c r="J799" s="34"/>
      <c r="K799" s="35"/>
      <c r="L799" s="34"/>
      <c r="M799" s="34"/>
      <c r="N799" s="34"/>
      <c r="O799" s="34"/>
      <c r="P799" s="34"/>
    </row>
    <row r="800" spans="2:16" x14ac:dyDescent="0.3">
      <c r="B800" s="33"/>
      <c r="C800" s="34"/>
      <c r="D800" s="34"/>
      <c r="E800" s="34"/>
      <c r="F800" s="34"/>
      <c r="G800" s="34"/>
      <c r="H800" s="34"/>
      <c r="I800" s="34"/>
      <c r="J800" s="34"/>
      <c r="K800" s="35"/>
      <c r="L800" s="34"/>
      <c r="M800" s="34"/>
      <c r="N800" s="34"/>
      <c r="O800" s="34"/>
      <c r="P800" s="34"/>
    </row>
    <row r="801" spans="2:16" x14ac:dyDescent="0.3">
      <c r="B801" s="33"/>
      <c r="C801" s="34"/>
      <c r="D801" s="34"/>
      <c r="E801" s="34"/>
      <c r="F801" s="34"/>
      <c r="G801" s="34"/>
      <c r="H801" s="34"/>
      <c r="I801" s="34"/>
      <c r="J801" s="34"/>
      <c r="K801" s="35"/>
      <c r="L801" s="34"/>
      <c r="M801" s="34"/>
      <c r="N801" s="34"/>
      <c r="O801" s="34"/>
      <c r="P801" s="34"/>
    </row>
    <row r="802" spans="2:16" x14ac:dyDescent="0.3">
      <c r="B802" s="33"/>
      <c r="C802" s="34"/>
      <c r="D802" s="34"/>
      <c r="E802" s="34"/>
      <c r="F802" s="34"/>
      <c r="G802" s="34"/>
      <c r="H802" s="34"/>
      <c r="I802" s="34"/>
      <c r="J802" s="34"/>
      <c r="K802" s="35"/>
      <c r="L802" s="34"/>
      <c r="M802" s="34"/>
      <c r="N802" s="34"/>
      <c r="O802" s="34"/>
      <c r="P802" s="34"/>
    </row>
    <row r="803" spans="2:16" x14ac:dyDescent="0.3">
      <c r="B803" s="33"/>
      <c r="C803" s="34"/>
      <c r="D803" s="34"/>
      <c r="E803" s="34"/>
      <c r="F803" s="34"/>
      <c r="G803" s="34"/>
      <c r="H803" s="34"/>
      <c r="I803" s="34"/>
      <c r="J803" s="34"/>
      <c r="K803" s="35"/>
      <c r="L803" s="34"/>
      <c r="M803" s="34"/>
      <c r="N803" s="34"/>
      <c r="O803" s="34"/>
      <c r="P803" s="34"/>
    </row>
    <row r="804" spans="2:16" x14ac:dyDescent="0.3">
      <c r="B804" s="33"/>
      <c r="C804" s="34"/>
      <c r="D804" s="34"/>
      <c r="E804" s="34"/>
      <c r="F804" s="34"/>
      <c r="G804" s="34"/>
      <c r="H804" s="34"/>
      <c r="I804" s="34"/>
      <c r="J804" s="34"/>
      <c r="K804" s="35"/>
      <c r="L804" s="34"/>
      <c r="M804" s="34"/>
      <c r="N804" s="34"/>
      <c r="O804" s="34"/>
      <c r="P804" s="34"/>
    </row>
    <row r="805" spans="2:16" x14ac:dyDescent="0.3">
      <c r="B805" s="33"/>
      <c r="C805" s="34"/>
      <c r="D805" s="34"/>
      <c r="E805" s="34"/>
      <c r="F805" s="34"/>
      <c r="G805" s="34"/>
      <c r="H805" s="34"/>
      <c r="I805" s="34"/>
      <c r="J805" s="34"/>
      <c r="K805" s="35"/>
      <c r="L805" s="34"/>
      <c r="M805" s="34"/>
      <c r="N805" s="34"/>
      <c r="O805" s="34"/>
      <c r="P805" s="34"/>
    </row>
    <row r="806" spans="2:16" x14ac:dyDescent="0.3">
      <c r="B806" s="33"/>
      <c r="C806" s="34"/>
      <c r="D806" s="34"/>
      <c r="E806" s="34"/>
      <c r="F806" s="34"/>
      <c r="G806" s="34"/>
      <c r="H806" s="34"/>
      <c r="I806" s="34"/>
      <c r="J806" s="34"/>
      <c r="K806" s="35"/>
      <c r="L806" s="34"/>
      <c r="M806" s="34"/>
      <c r="N806" s="34"/>
      <c r="O806" s="34"/>
      <c r="P806" s="34"/>
    </row>
    <row r="807" spans="2:16" x14ac:dyDescent="0.3">
      <c r="B807" s="33"/>
      <c r="C807" s="34"/>
      <c r="D807" s="34"/>
      <c r="E807" s="34"/>
      <c r="F807" s="34"/>
      <c r="G807" s="34"/>
      <c r="H807" s="34"/>
      <c r="I807" s="34"/>
      <c r="J807" s="34"/>
      <c r="K807" s="35"/>
      <c r="L807" s="34"/>
      <c r="M807" s="34"/>
      <c r="N807" s="34"/>
      <c r="O807" s="34"/>
      <c r="P807" s="34"/>
    </row>
    <row r="808" spans="2:16" x14ac:dyDescent="0.3">
      <c r="B808" s="33"/>
      <c r="C808" s="34"/>
      <c r="D808" s="34"/>
      <c r="E808" s="34"/>
      <c r="F808" s="34"/>
      <c r="G808" s="34"/>
      <c r="H808" s="34"/>
      <c r="I808" s="34"/>
      <c r="J808" s="34"/>
      <c r="K808" s="35"/>
      <c r="L808" s="34"/>
      <c r="M808" s="34"/>
      <c r="N808" s="34"/>
      <c r="O808" s="34"/>
      <c r="P808" s="34"/>
    </row>
    <row r="809" spans="2:16" x14ac:dyDescent="0.3">
      <c r="B809" s="33"/>
      <c r="C809" s="34"/>
      <c r="D809" s="34"/>
      <c r="E809" s="34"/>
      <c r="F809" s="34"/>
      <c r="G809" s="34"/>
      <c r="H809" s="34"/>
      <c r="I809" s="34"/>
      <c r="J809" s="34"/>
      <c r="K809" s="35"/>
      <c r="L809" s="34"/>
      <c r="M809" s="34"/>
      <c r="N809" s="34"/>
      <c r="O809" s="34"/>
      <c r="P809" s="34"/>
    </row>
    <row r="810" spans="2:16" x14ac:dyDescent="0.3">
      <c r="B810" s="33"/>
      <c r="C810" s="34"/>
      <c r="D810" s="34"/>
      <c r="E810" s="34"/>
      <c r="F810" s="34"/>
      <c r="G810" s="34"/>
      <c r="H810" s="34"/>
      <c r="I810" s="34"/>
      <c r="J810" s="34"/>
      <c r="K810" s="35"/>
      <c r="L810" s="34"/>
      <c r="M810" s="34"/>
      <c r="N810" s="34"/>
      <c r="O810" s="34"/>
      <c r="P810" s="34"/>
    </row>
    <row r="811" spans="2:16" x14ac:dyDescent="0.3">
      <c r="B811" s="33"/>
      <c r="C811" s="34"/>
      <c r="D811" s="34"/>
      <c r="E811" s="34"/>
      <c r="F811" s="34"/>
      <c r="G811" s="34"/>
      <c r="H811" s="34"/>
      <c r="I811" s="34"/>
      <c r="J811" s="34"/>
      <c r="K811" s="35"/>
      <c r="L811" s="34"/>
      <c r="M811" s="34"/>
      <c r="N811" s="34"/>
      <c r="O811" s="34"/>
      <c r="P811" s="34"/>
    </row>
    <row r="812" spans="2:16" x14ac:dyDescent="0.3">
      <c r="B812" s="33"/>
      <c r="C812" s="34"/>
      <c r="D812" s="34"/>
      <c r="E812" s="34"/>
      <c r="F812" s="34"/>
      <c r="G812" s="34"/>
      <c r="H812" s="34"/>
      <c r="I812" s="34"/>
      <c r="J812" s="34"/>
      <c r="K812" s="35"/>
      <c r="L812" s="34"/>
      <c r="M812" s="34"/>
      <c r="N812" s="34"/>
      <c r="O812" s="34"/>
      <c r="P812" s="34"/>
    </row>
    <row r="813" spans="2:16" x14ac:dyDescent="0.3">
      <c r="B813" s="33"/>
      <c r="C813" s="34"/>
      <c r="D813" s="34"/>
      <c r="E813" s="34"/>
      <c r="F813" s="34"/>
      <c r="G813" s="34"/>
      <c r="H813" s="34"/>
      <c r="I813" s="34"/>
      <c r="J813" s="34"/>
      <c r="K813" s="35"/>
      <c r="L813" s="34"/>
      <c r="M813" s="34"/>
      <c r="N813" s="34"/>
      <c r="O813" s="34"/>
      <c r="P813" s="34"/>
    </row>
    <row r="814" spans="2:16" x14ac:dyDescent="0.3">
      <c r="B814" s="33"/>
      <c r="C814" s="34"/>
      <c r="D814" s="34"/>
      <c r="E814" s="34"/>
      <c r="F814" s="34"/>
      <c r="G814" s="34"/>
      <c r="H814" s="34"/>
      <c r="I814" s="34"/>
      <c r="J814" s="34"/>
      <c r="K814" s="35"/>
      <c r="L814" s="34"/>
      <c r="M814" s="34"/>
      <c r="N814" s="34"/>
      <c r="O814" s="34"/>
      <c r="P814" s="34"/>
    </row>
    <row r="815" spans="2:16" x14ac:dyDescent="0.3">
      <c r="B815" s="33"/>
      <c r="C815" s="34"/>
      <c r="D815" s="34"/>
      <c r="E815" s="34"/>
      <c r="F815" s="34"/>
      <c r="G815" s="34"/>
      <c r="H815" s="34"/>
      <c r="I815" s="34"/>
      <c r="J815" s="34"/>
      <c r="K815" s="35"/>
      <c r="L815" s="34"/>
      <c r="M815" s="34"/>
      <c r="N815" s="34"/>
      <c r="O815" s="34"/>
      <c r="P815" s="34"/>
    </row>
    <row r="816" spans="2:16" x14ac:dyDescent="0.3">
      <c r="B816" s="33"/>
      <c r="C816" s="34"/>
      <c r="D816" s="34"/>
      <c r="E816" s="34"/>
      <c r="F816" s="34"/>
      <c r="G816" s="34"/>
      <c r="H816" s="34"/>
      <c r="I816" s="34"/>
      <c r="J816" s="34"/>
      <c r="K816" s="35"/>
      <c r="L816" s="34"/>
      <c r="M816" s="34"/>
      <c r="N816" s="34"/>
      <c r="O816" s="34"/>
      <c r="P816" s="34"/>
    </row>
    <row r="817" spans="2:16" x14ac:dyDescent="0.3">
      <c r="B817" s="33"/>
      <c r="C817" s="34"/>
      <c r="D817" s="34"/>
      <c r="E817" s="34"/>
      <c r="F817" s="34"/>
      <c r="G817" s="34"/>
      <c r="H817" s="34"/>
      <c r="I817" s="34"/>
      <c r="J817" s="34"/>
      <c r="K817" s="35"/>
      <c r="L817" s="34"/>
      <c r="M817" s="34"/>
      <c r="N817" s="34"/>
      <c r="O817" s="34"/>
      <c r="P817" s="34"/>
    </row>
    <row r="818" spans="2:16" x14ac:dyDescent="0.3">
      <c r="B818" s="33"/>
      <c r="C818" s="34"/>
      <c r="D818" s="34"/>
      <c r="E818" s="34"/>
      <c r="F818" s="34"/>
      <c r="G818" s="34"/>
      <c r="H818" s="34"/>
      <c r="I818" s="34"/>
      <c r="J818" s="34"/>
      <c r="K818" s="35"/>
      <c r="L818" s="34"/>
      <c r="M818" s="34"/>
      <c r="N818" s="34"/>
      <c r="O818" s="34"/>
      <c r="P818" s="34"/>
    </row>
    <row r="819" spans="2:16" x14ac:dyDescent="0.3">
      <c r="B819" s="33"/>
      <c r="C819" s="34"/>
      <c r="D819" s="34"/>
      <c r="E819" s="34"/>
      <c r="F819" s="34"/>
      <c r="G819" s="34"/>
      <c r="H819" s="34"/>
      <c r="I819" s="34"/>
      <c r="J819" s="34"/>
      <c r="K819" s="35"/>
      <c r="L819" s="34"/>
      <c r="M819" s="34"/>
      <c r="N819" s="34"/>
      <c r="O819" s="34"/>
      <c r="P819" s="34"/>
    </row>
    <row r="820" spans="2:16" x14ac:dyDescent="0.3">
      <c r="B820" s="33"/>
      <c r="C820" s="34"/>
      <c r="D820" s="34"/>
      <c r="E820" s="34"/>
      <c r="F820" s="34"/>
      <c r="G820" s="34"/>
      <c r="H820" s="34"/>
      <c r="I820" s="34"/>
      <c r="J820" s="34"/>
      <c r="K820" s="35"/>
      <c r="L820" s="34"/>
      <c r="M820" s="34"/>
      <c r="N820" s="34"/>
      <c r="O820" s="34"/>
      <c r="P820" s="34"/>
    </row>
    <row r="821" spans="2:16" x14ac:dyDescent="0.3">
      <c r="B821" s="33"/>
      <c r="C821" s="34"/>
      <c r="D821" s="34"/>
      <c r="E821" s="34"/>
      <c r="F821" s="34"/>
      <c r="G821" s="34"/>
      <c r="H821" s="34"/>
      <c r="I821" s="34"/>
      <c r="J821" s="34"/>
      <c r="K821" s="35"/>
      <c r="L821" s="34"/>
      <c r="M821" s="34"/>
      <c r="N821" s="34"/>
      <c r="O821" s="34"/>
      <c r="P821" s="34"/>
    </row>
    <row r="822" spans="2:16" x14ac:dyDescent="0.3">
      <c r="B822" s="33"/>
      <c r="C822" s="34"/>
      <c r="D822" s="34"/>
      <c r="E822" s="34"/>
      <c r="F822" s="34"/>
      <c r="G822" s="34"/>
      <c r="H822" s="34"/>
      <c r="I822" s="34"/>
      <c r="J822" s="34"/>
      <c r="K822" s="35"/>
      <c r="L822" s="34"/>
      <c r="M822" s="34"/>
      <c r="N822" s="34"/>
      <c r="O822" s="34"/>
      <c r="P822" s="34"/>
    </row>
    <row r="823" spans="2:16" x14ac:dyDescent="0.3">
      <c r="B823" s="33"/>
      <c r="C823" s="34"/>
      <c r="D823" s="34"/>
      <c r="E823" s="34"/>
      <c r="F823" s="34"/>
      <c r="G823" s="34"/>
      <c r="H823" s="34"/>
      <c r="I823" s="34"/>
      <c r="J823" s="34"/>
      <c r="K823" s="35"/>
      <c r="L823" s="34"/>
      <c r="M823" s="34"/>
      <c r="N823" s="34"/>
      <c r="O823" s="34"/>
      <c r="P823" s="34"/>
    </row>
    <row r="824" spans="2:16" x14ac:dyDescent="0.3">
      <c r="B824" s="33"/>
      <c r="C824" s="34"/>
      <c r="D824" s="34"/>
      <c r="E824" s="34"/>
      <c r="F824" s="34"/>
      <c r="G824" s="34"/>
      <c r="H824" s="34"/>
      <c r="I824" s="34"/>
      <c r="J824" s="34"/>
      <c r="K824" s="35"/>
      <c r="L824" s="34"/>
      <c r="M824" s="34"/>
      <c r="N824" s="34"/>
      <c r="O824" s="34"/>
      <c r="P824" s="34"/>
    </row>
    <row r="825" spans="2:16" x14ac:dyDescent="0.3">
      <c r="B825" s="33"/>
      <c r="C825" s="34"/>
      <c r="D825" s="34"/>
      <c r="E825" s="34"/>
      <c r="F825" s="34"/>
      <c r="G825" s="34"/>
      <c r="H825" s="34"/>
      <c r="I825" s="34"/>
      <c r="J825" s="34"/>
      <c r="K825" s="35"/>
      <c r="L825" s="34"/>
      <c r="M825" s="34"/>
      <c r="N825" s="34"/>
      <c r="O825" s="34"/>
      <c r="P825" s="34"/>
    </row>
    <row r="826" spans="2:16" x14ac:dyDescent="0.3">
      <c r="B826" s="33"/>
      <c r="C826" s="34"/>
      <c r="D826" s="34"/>
      <c r="E826" s="34"/>
      <c r="F826" s="34"/>
      <c r="G826" s="34"/>
      <c r="H826" s="34"/>
      <c r="I826" s="34"/>
      <c r="J826" s="34"/>
      <c r="K826" s="35"/>
      <c r="L826" s="34"/>
      <c r="M826" s="34"/>
      <c r="N826" s="34"/>
      <c r="O826" s="34"/>
      <c r="P826" s="34"/>
    </row>
    <row r="827" spans="2:16" x14ac:dyDescent="0.3">
      <c r="B827" s="33"/>
      <c r="C827" s="34"/>
      <c r="D827" s="34"/>
      <c r="E827" s="34"/>
      <c r="F827" s="34"/>
      <c r="G827" s="34"/>
      <c r="H827" s="34"/>
      <c r="I827" s="34"/>
      <c r="J827" s="34"/>
      <c r="K827" s="35"/>
      <c r="L827" s="34"/>
      <c r="M827" s="34"/>
      <c r="N827" s="34"/>
      <c r="O827" s="34"/>
      <c r="P827" s="34"/>
    </row>
    <row r="828" spans="2:16" x14ac:dyDescent="0.3">
      <c r="B828" s="33"/>
      <c r="C828" s="34"/>
      <c r="D828" s="34"/>
      <c r="E828" s="34"/>
      <c r="F828" s="34"/>
      <c r="G828" s="34"/>
      <c r="H828" s="34"/>
      <c r="I828" s="34"/>
      <c r="J828" s="34"/>
      <c r="K828" s="35"/>
      <c r="L828" s="34"/>
      <c r="M828" s="34"/>
      <c r="N828" s="34"/>
      <c r="O828" s="34"/>
      <c r="P828" s="34"/>
    </row>
    <row r="829" spans="2:16" x14ac:dyDescent="0.3">
      <c r="B829" s="33"/>
      <c r="C829" s="34"/>
      <c r="D829" s="34"/>
      <c r="E829" s="34"/>
      <c r="F829" s="34"/>
      <c r="G829" s="34"/>
      <c r="H829" s="34"/>
      <c r="I829" s="34"/>
      <c r="J829" s="34"/>
      <c r="K829" s="35"/>
      <c r="L829" s="34"/>
      <c r="M829" s="34"/>
      <c r="N829" s="34"/>
      <c r="O829" s="34"/>
      <c r="P829" s="34"/>
    </row>
    <row r="830" spans="2:16" x14ac:dyDescent="0.3">
      <c r="B830" s="33"/>
      <c r="C830" s="34"/>
      <c r="D830" s="34"/>
      <c r="E830" s="34"/>
      <c r="F830" s="34"/>
      <c r="G830" s="34"/>
      <c r="H830" s="34"/>
      <c r="I830" s="34"/>
      <c r="J830" s="34"/>
      <c r="K830" s="35"/>
      <c r="L830" s="34"/>
      <c r="M830" s="34"/>
      <c r="N830" s="34"/>
      <c r="O830" s="34"/>
      <c r="P830" s="34"/>
    </row>
    <row r="831" spans="2:16" x14ac:dyDescent="0.3">
      <c r="B831" s="33"/>
      <c r="C831" s="34"/>
      <c r="D831" s="34"/>
      <c r="E831" s="34"/>
      <c r="F831" s="34"/>
      <c r="G831" s="34"/>
      <c r="H831" s="34"/>
      <c r="I831" s="34"/>
      <c r="J831" s="34"/>
      <c r="K831" s="35"/>
      <c r="L831" s="34"/>
      <c r="M831" s="34"/>
      <c r="N831" s="34"/>
      <c r="O831" s="34"/>
      <c r="P831" s="34"/>
    </row>
    <row r="832" spans="2:16" x14ac:dyDescent="0.3">
      <c r="B832" s="33"/>
      <c r="C832" s="34"/>
      <c r="D832" s="34"/>
      <c r="E832" s="34"/>
      <c r="F832" s="34"/>
      <c r="G832" s="34"/>
      <c r="H832" s="34"/>
      <c r="I832" s="34"/>
      <c r="J832" s="34"/>
      <c r="K832" s="35"/>
      <c r="L832" s="34"/>
      <c r="M832" s="34"/>
      <c r="N832" s="34"/>
      <c r="O832" s="34"/>
      <c r="P832" s="34"/>
    </row>
    <row r="833" spans="2:16" x14ac:dyDescent="0.3">
      <c r="B833" s="33"/>
      <c r="C833" s="34"/>
      <c r="D833" s="34"/>
      <c r="E833" s="34"/>
      <c r="F833" s="34"/>
      <c r="G833" s="34"/>
      <c r="H833" s="34"/>
      <c r="I833" s="34"/>
      <c r="J833" s="34"/>
      <c r="K833" s="35"/>
      <c r="L833" s="34"/>
      <c r="M833" s="34"/>
      <c r="N833" s="34"/>
      <c r="O833" s="34"/>
      <c r="P833" s="34"/>
    </row>
    <row r="834" spans="2:16" x14ac:dyDescent="0.3">
      <c r="B834" s="33"/>
      <c r="C834" s="34"/>
      <c r="D834" s="34"/>
      <c r="E834" s="34"/>
      <c r="F834" s="34"/>
      <c r="G834" s="34"/>
      <c r="H834" s="34"/>
      <c r="I834" s="34"/>
      <c r="J834" s="34"/>
      <c r="K834" s="35"/>
      <c r="L834" s="34"/>
      <c r="M834" s="34"/>
      <c r="N834" s="34"/>
      <c r="O834" s="34"/>
      <c r="P834" s="34"/>
    </row>
    <row r="835" spans="2:16" x14ac:dyDescent="0.3">
      <c r="B835" s="33"/>
      <c r="C835" s="34"/>
      <c r="D835" s="34"/>
      <c r="E835" s="34"/>
      <c r="F835" s="34"/>
      <c r="G835" s="34"/>
      <c r="H835" s="34"/>
      <c r="I835" s="34"/>
      <c r="J835" s="34"/>
      <c r="K835" s="35"/>
      <c r="L835" s="34"/>
      <c r="M835" s="34"/>
      <c r="N835" s="34"/>
      <c r="O835" s="34"/>
      <c r="P835" s="34"/>
    </row>
    <row r="836" spans="2:16" x14ac:dyDescent="0.3">
      <c r="B836" s="33"/>
      <c r="C836" s="34"/>
      <c r="D836" s="34"/>
      <c r="E836" s="34"/>
      <c r="F836" s="34"/>
      <c r="G836" s="34"/>
      <c r="H836" s="34"/>
      <c r="I836" s="34"/>
      <c r="J836" s="34"/>
      <c r="K836" s="35"/>
      <c r="L836" s="34"/>
      <c r="M836" s="34"/>
      <c r="N836" s="34"/>
      <c r="O836" s="34"/>
      <c r="P836" s="34"/>
    </row>
    <row r="837" spans="2:16" x14ac:dyDescent="0.3">
      <c r="B837" s="33"/>
      <c r="C837" s="34"/>
      <c r="D837" s="34"/>
      <c r="E837" s="34"/>
      <c r="F837" s="34"/>
      <c r="G837" s="34"/>
      <c r="H837" s="34"/>
      <c r="I837" s="34"/>
      <c r="J837" s="34"/>
      <c r="K837" s="35"/>
      <c r="L837" s="34"/>
      <c r="M837" s="34"/>
      <c r="N837" s="34"/>
      <c r="O837" s="34"/>
      <c r="P837" s="34"/>
    </row>
    <row r="838" spans="2:16" x14ac:dyDescent="0.3">
      <c r="B838" s="33"/>
      <c r="C838" s="34"/>
      <c r="D838" s="34"/>
      <c r="E838" s="34"/>
      <c r="F838" s="34"/>
      <c r="G838" s="34"/>
      <c r="H838" s="34"/>
      <c r="I838" s="34"/>
      <c r="J838" s="34"/>
      <c r="K838" s="35"/>
      <c r="L838" s="34"/>
      <c r="M838" s="34"/>
      <c r="N838" s="34"/>
      <c r="O838" s="34"/>
      <c r="P838" s="34"/>
    </row>
    <row r="839" spans="2:16" x14ac:dyDescent="0.3">
      <c r="K839" s="40"/>
    </row>
    <row r="840" spans="2:16" x14ac:dyDescent="0.3">
      <c r="K840" s="40"/>
    </row>
    <row r="841" spans="2:16" x14ac:dyDescent="0.3">
      <c r="K841" s="40"/>
    </row>
    <row r="842" spans="2:16" x14ac:dyDescent="0.3">
      <c r="K842" s="40"/>
    </row>
    <row r="843" spans="2:16" x14ac:dyDescent="0.3">
      <c r="K843" s="40"/>
    </row>
    <row r="844" spans="2:16" x14ac:dyDescent="0.3">
      <c r="K844" s="40"/>
    </row>
    <row r="845" spans="2:16" x14ac:dyDescent="0.3">
      <c r="K845" s="40"/>
    </row>
    <row r="846" spans="2:16" x14ac:dyDescent="0.3">
      <c r="K846" s="40"/>
    </row>
    <row r="847" spans="2:16" x14ac:dyDescent="0.3">
      <c r="K847" s="40"/>
    </row>
    <row r="848" spans="2:16"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sheetData>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52"/>
  <sheetViews>
    <sheetView workbookViewId="0">
      <pane ySplit="7" topLeftCell="A16" activePane="bottomLeft" state="frozen"/>
      <selection pane="bottomLeft" activeCell="C19" sqref="C19"/>
    </sheetView>
  </sheetViews>
  <sheetFormatPr defaultColWidth="9.08984375" defaultRowHeight="13" x14ac:dyDescent="0.3"/>
  <cols>
    <col min="1" max="1" width="41.81640625" style="17" customWidth="1"/>
    <col min="2" max="2" width="9.6328125" style="17" customWidth="1"/>
    <col min="3" max="3" width="13.6328125" style="17" customWidth="1"/>
    <col min="4" max="4" width="10.6328125" style="17" customWidth="1"/>
    <col min="5" max="5" width="10.6328125" style="594"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9" x14ac:dyDescent="0.3">
      <c r="A1" s="61" t="s">
        <v>146</v>
      </c>
      <c r="B1" s="17" t="str">
        <f>model</f>
        <v>ME Grain &amp; Pulse</v>
      </c>
      <c r="E1" s="598" t="s">
        <v>106</v>
      </c>
      <c r="F1" s="55" t="s">
        <v>182</v>
      </c>
      <c r="G1" s="55" t="s">
        <v>108</v>
      </c>
    </row>
    <row r="2" spans="1:9" x14ac:dyDescent="0.3">
      <c r="E2" s="598" t="s">
        <v>104</v>
      </c>
      <c r="F2" s="26">
        <f>Data!B132</f>
        <v>282.5</v>
      </c>
      <c r="G2" s="24">
        <f>F2/$F$4</f>
        <v>0.94957983193277307</v>
      </c>
    </row>
    <row r="3" spans="1:9" x14ac:dyDescent="0.3">
      <c r="B3" s="4"/>
      <c r="E3" s="598" t="s">
        <v>201</v>
      </c>
      <c r="F3" s="41">
        <f>(Data!B252*Data!K67)/100</f>
        <v>15</v>
      </c>
      <c r="G3" s="57">
        <f>F3/$F$4</f>
        <v>5.0420168067226892E-2</v>
      </c>
    </row>
    <row r="4" spans="1:9" x14ac:dyDescent="0.3">
      <c r="A4" s="7" t="s">
        <v>211</v>
      </c>
      <c r="B4" s="8" t="s">
        <v>92</v>
      </c>
      <c r="C4" s="65">
        <f>soy</f>
        <v>100</v>
      </c>
      <c r="D4" s="4" t="s">
        <v>93</v>
      </c>
      <c r="F4" s="26">
        <f>SUM(F2:F3)</f>
        <v>297.5</v>
      </c>
      <c r="G4" s="24">
        <f>SUM(G2:G3)</f>
        <v>1</v>
      </c>
    </row>
    <row r="6" spans="1:9" ht="13.5" x14ac:dyDescent="0.35">
      <c r="A6" s="5" t="s">
        <v>0</v>
      </c>
    </row>
    <row r="7" spans="1:9" s="27" customFormat="1" ht="26" x14ac:dyDescent="0.3">
      <c r="A7" s="41"/>
      <c r="B7" s="391" t="s">
        <v>919</v>
      </c>
      <c r="C7" s="42" t="s">
        <v>21</v>
      </c>
      <c r="D7" s="42" t="s">
        <v>22</v>
      </c>
      <c r="E7" s="646" t="s">
        <v>900</v>
      </c>
      <c r="F7" s="42" t="s">
        <v>23</v>
      </c>
      <c r="G7" s="42" t="s">
        <v>24</v>
      </c>
      <c r="H7" s="42" t="s">
        <v>65</v>
      </c>
    </row>
    <row r="8" spans="1:9" x14ac:dyDescent="0.3">
      <c r="A8" s="3" t="s">
        <v>13</v>
      </c>
      <c r="B8" s="3"/>
    </row>
    <row r="9" spans="1:9" x14ac:dyDescent="0.3">
      <c r="A9" s="638" t="s">
        <v>1199</v>
      </c>
      <c r="B9" s="405">
        <f>IF(INPUT!$L$17&gt;0,1,0)</f>
        <v>1</v>
      </c>
      <c r="C9" s="816">
        <f>INPUT!$L$17</f>
        <v>74</v>
      </c>
      <c r="D9" s="34" t="s">
        <v>126</v>
      </c>
      <c r="E9" s="226">
        <f>C9*soy</f>
        <v>7400</v>
      </c>
      <c r="F9" s="642">
        <f>40/50</f>
        <v>0.8</v>
      </c>
      <c r="G9" s="114">
        <f>C9*F9</f>
        <v>59.2</v>
      </c>
      <c r="H9" s="109">
        <f>B9*G9*soy</f>
        <v>5920</v>
      </c>
    </row>
    <row r="10" spans="1:9" x14ac:dyDescent="0.3">
      <c r="A10" s="638" t="s">
        <v>1200</v>
      </c>
      <c r="B10" s="405">
        <f>INPUT!$L$24</f>
        <v>1</v>
      </c>
      <c r="C10" s="907">
        <f>IF(INPUT!$L$25="$ / 100-lb trt.",INPUT!$L$27,INPUT!$L$26)</f>
        <v>5</v>
      </c>
      <c r="D10" s="34" t="str">
        <f>IF(Syv!B10=1,INPUT!$L$25,"n/a")</f>
        <v>$ / 100-lb trt.</v>
      </c>
      <c r="E10" s="226" t="str">
        <f>IF(INPUT!$L$25="$ / 100-lb trt.","n/a",C10*soy)</f>
        <v>n/a</v>
      </c>
      <c r="F10" s="114" t="str">
        <f>IF(INPUT!$L$25="$ / 100-lb trt.","n/a",INPUT!$L$27)</f>
        <v>n/a</v>
      </c>
      <c r="G10" s="114">
        <f>IF(INPUT!$L$25="$ / 100-lb trt.",C10*(C9/100),C10*F10)</f>
        <v>3.7</v>
      </c>
      <c r="H10" s="109">
        <f>B10*G10*soy</f>
        <v>370</v>
      </c>
      <c r="I10" s="108">
        <f>SUM(H8:H10)</f>
        <v>6290</v>
      </c>
    </row>
    <row r="11" spans="1:9" x14ac:dyDescent="0.3">
      <c r="A11" s="3" t="s">
        <v>1</v>
      </c>
      <c r="B11" s="3"/>
      <c r="C11" s="46"/>
      <c r="D11" s="34"/>
      <c r="E11" s="226"/>
      <c r="F11" s="167"/>
      <c r="G11" s="114"/>
      <c r="H11" s="109"/>
    </row>
    <row r="12" spans="1:9" x14ac:dyDescent="0.3">
      <c r="A12" s="638" t="str">
        <f>IF(INPUT!$L$29="Chicken Manure", "Chicken Manure", "None")</f>
        <v>None</v>
      </c>
      <c r="B12" s="405">
        <f>IF(INPUT!$L$29="Chicken Manure",1,0)</f>
        <v>0</v>
      </c>
      <c r="C12" s="816">
        <f>IF(INPUT!$L$29="Chicken Manure",INPUT!$L$32,0)</f>
        <v>0</v>
      </c>
      <c r="D12" s="34" t="str">
        <f>IF(INPUT!$L$29="Chicken Manure",INPUT!$L$31,"ton")</f>
        <v>ton</v>
      </c>
      <c r="E12" s="226">
        <f>C12*soy</f>
        <v>0</v>
      </c>
      <c r="F12" s="252">
        <v>0</v>
      </c>
      <c r="G12" s="110">
        <f>C12*F12</f>
        <v>0</v>
      </c>
      <c r="H12" s="109">
        <f>B12*G12*soy</f>
        <v>0</v>
      </c>
    </row>
    <row r="13" spans="1:9" x14ac:dyDescent="0.3">
      <c r="A13" s="638" t="str">
        <f>IF(INPUT!$L$35="Chilean Nitrate", "Chilean Nitrate", "None")</f>
        <v>None</v>
      </c>
      <c r="B13" s="405">
        <f>IF(INPUT!$L$35="Chilean Nitrate",1,0)</f>
        <v>0</v>
      </c>
      <c r="C13" s="816">
        <f>IF(INPUT!$L$35="Chicken Manure",INPUT!$L$38,0)</f>
        <v>0</v>
      </c>
      <c r="D13" s="34" t="str">
        <f>IF(INPUT!$L$35="Chilean Nitrate",INPUT!$L$37,"lb")</f>
        <v>lb</v>
      </c>
      <c r="E13" s="226">
        <f>C13*soy</f>
        <v>0</v>
      </c>
      <c r="F13" s="903"/>
      <c r="G13" s="110">
        <f>C13*F13</f>
        <v>0</v>
      </c>
      <c r="H13" s="109">
        <f>B13*G13*soy</f>
        <v>0</v>
      </c>
      <c r="I13" s="108">
        <f>SUM(H11:H13)</f>
        <v>0</v>
      </c>
    </row>
    <row r="14" spans="1:9" x14ac:dyDescent="0.3">
      <c r="A14" s="638" t="s">
        <v>2</v>
      </c>
      <c r="B14" s="405">
        <f>INPUT!$L$41</f>
        <v>0</v>
      </c>
      <c r="C14" s="369">
        <f>INPUT!$L$43/INPUT!$L$44</f>
        <v>0.2</v>
      </c>
      <c r="D14" s="34" t="str">
        <f>INPUT!$L$42</f>
        <v>ton</v>
      </c>
      <c r="E14" s="226">
        <f>C14*soy</f>
        <v>20</v>
      </c>
      <c r="F14" s="175">
        <f>lime</f>
        <v>38.260869565217391</v>
      </c>
      <c r="G14" s="114">
        <f>C14*F14</f>
        <v>7.6521739130434785</v>
      </c>
      <c r="H14" s="109">
        <f>B14*G14*soy</f>
        <v>0</v>
      </c>
      <c r="I14" s="108">
        <f>SUM(H14:H14)</f>
        <v>0</v>
      </c>
    </row>
    <row r="15" spans="1:9" x14ac:dyDescent="0.3">
      <c r="A15" s="3" t="s">
        <v>1476</v>
      </c>
      <c r="B15" s="3"/>
      <c r="C15" s="46"/>
      <c r="D15" s="34"/>
      <c r="E15" s="226"/>
      <c r="F15" s="104"/>
      <c r="G15" s="114"/>
      <c r="H15" s="109"/>
    </row>
    <row r="16" spans="1:9" x14ac:dyDescent="0.3">
      <c r="A16" s="638" t="s">
        <v>1577</v>
      </c>
      <c r="B16" s="405">
        <f>IF(INPUT!$L$47=1,1,0)</f>
        <v>0</v>
      </c>
      <c r="C16" s="816">
        <f>INPUT!$L$49</f>
        <v>0</v>
      </c>
      <c r="D16" s="34" t="str">
        <f>INPUT!$L$48</f>
        <v>lb</v>
      </c>
      <c r="E16" s="226">
        <f t="shared" ref="E16:E18" si="0">C16*soy</f>
        <v>0</v>
      </c>
      <c r="F16" s="900">
        <f>INPUT!$L$50</f>
        <v>0</v>
      </c>
      <c r="G16" s="110">
        <f>C16*F16</f>
        <v>0</v>
      </c>
      <c r="H16" s="109">
        <f t="shared" ref="H16:H18" si="1">B16*G16*soy</f>
        <v>0</v>
      </c>
    </row>
    <row r="17" spans="1:12" x14ac:dyDescent="0.3">
      <c r="A17" s="6" t="s">
        <v>1477</v>
      </c>
      <c r="B17" s="397">
        <v>0</v>
      </c>
      <c r="C17" s="273">
        <v>0</v>
      </c>
      <c r="D17" s="34" t="s">
        <v>220</v>
      </c>
      <c r="E17" s="226">
        <f t="shared" si="0"/>
        <v>0</v>
      </c>
      <c r="F17" s="252">
        <v>0</v>
      </c>
      <c r="G17" s="110">
        <f>C17*F17</f>
        <v>0</v>
      </c>
      <c r="H17" s="109">
        <f t="shared" si="1"/>
        <v>0</v>
      </c>
    </row>
    <row r="18" spans="1:12" x14ac:dyDescent="0.3">
      <c r="A18" s="6" t="s">
        <v>1479</v>
      </c>
      <c r="B18" s="397">
        <v>0</v>
      </c>
      <c r="C18" s="273">
        <v>0</v>
      </c>
      <c r="D18" s="34" t="s">
        <v>220</v>
      </c>
      <c r="E18" s="226">
        <f t="shared" si="0"/>
        <v>0</v>
      </c>
      <c r="F18" s="252">
        <v>0</v>
      </c>
      <c r="G18" s="110">
        <f>C18*F18</f>
        <v>0</v>
      </c>
      <c r="H18" s="109">
        <f t="shared" si="1"/>
        <v>0</v>
      </c>
      <c r="I18" s="108">
        <f>SUM(H15:H18)</f>
        <v>0</v>
      </c>
    </row>
    <row r="19" spans="1:12" x14ac:dyDescent="0.3">
      <c r="A19" s="3" t="s">
        <v>14</v>
      </c>
      <c r="B19" s="3"/>
      <c r="C19" s="46"/>
      <c r="D19" s="34"/>
      <c r="E19" s="226"/>
      <c r="F19" s="104"/>
      <c r="G19" s="114"/>
      <c r="H19" s="109"/>
    </row>
    <row r="20" spans="1:12" x14ac:dyDescent="0.3">
      <c r="A20" s="22" t="s">
        <v>332</v>
      </c>
      <c r="B20" s="22"/>
      <c r="C20" s="46"/>
      <c r="D20" s="34"/>
      <c r="E20" s="226"/>
      <c r="F20" s="104"/>
      <c r="G20" s="114"/>
      <c r="H20" s="109"/>
    </row>
    <row r="21" spans="1:12" x14ac:dyDescent="0.3">
      <c r="A21" s="639" t="s">
        <v>1903</v>
      </c>
      <c r="B21" s="405">
        <f>IF(OS!$AD$7="Moldboard Plow",OS!AE7,0)</f>
        <v>0</v>
      </c>
      <c r="C21" s="156">
        <f>IF(OSI!$L$8&gt;0,(1/OSI!$L$8),Data!$H$579)</f>
        <v>0.23980815347721804</v>
      </c>
      <c r="D21" s="34" t="s">
        <v>128</v>
      </c>
      <c r="E21" s="226">
        <f t="shared" ref="E21" si="2">C21*soy</f>
        <v>23.980815347721805</v>
      </c>
      <c r="F21" s="167">
        <f>_wage_</f>
        <v>12.29</v>
      </c>
      <c r="G21" s="114">
        <f>C21*F21</f>
        <v>2.9472422062350097</v>
      </c>
      <c r="H21" s="109">
        <f t="shared" ref="H21" si="3">B21*G21*soy</f>
        <v>0</v>
      </c>
    </row>
    <row r="22" spans="1:12" x14ac:dyDescent="0.3">
      <c r="A22" s="639" t="s">
        <v>468</v>
      </c>
      <c r="B22" s="405">
        <f>IF(OS!$AD$8="Spr.Sld.Man.",OS!AE8,0)</f>
        <v>0</v>
      </c>
      <c r="C22" s="156">
        <f>IF(OSI!$L$9&gt;0,(1/OSI!$L$9),Data!$H$585)</f>
        <v>0.25</v>
      </c>
      <c r="D22" s="34" t="s">
        <v>128</v>
      </c>
      <c r="E22" s="226">
        <f t="shared" ref="E22:E37" si="4">C22*soy</f>
        <v>25</v>
      </c>
      <c r="F22" s="167">
        <f>_wage_</f>
        <v>12.29</v>
      </c>
      <c r="G22" s="114">
        <f>C22*F22</f>
        <v>3.0724999999999998</v>
      </c>
      <c r="H22" s="109">
        <f t="shared" ref="H22:H37" si="5">B22*G22*soy</f>
        <v>0</v>
      </c>
    </row>
    <row r="23" spans="1:12" x14ac:dyDescent="0.3">
      <c r="A23" s="640" t="s">
        <v>1427</v>
      </c>
      <c r="B23" s="405">
        <f>IF(OS!$AD$9="Chisel Plow",OS!AE9,0)</f>
        <v>1</v>
      </c>
      <c r="C23" s="156">
        <f>IF(OSI!$L$10&gt;0,(1/OSI!$L$10),Data!$H$580)</f>
        <v>0.11764705882352899</v>
      </c>
      <c r="D23" s="34" t="s">
        <v>128</v>
      </c>
      <c r="E23" s="226">
        <f t="shared" si="4"/>
        <v>11.764705882352899</v>
      </c>
      <c r="F23" s="167">
        <f>_wage_</f>
        <v>12.29</v>
      </c>
      <c r="G23" s="114">
        <f>C23*F23</f>
        <v>1.4458823529411713</v>
      </c>
      <c r="H23" s="109">
        <f t="shared" si="5"/>
        <v>144.58823529411714</v>
      </c>
    </row>
    <row r="24" spans="1:12" x14ac:dyDescent="0.3">
      <c r="A24" s="638" t="s">
        <v>485</v>
      </c>
      <c r="B24" s="405">
        <f>IF(OS!$AD$10="Disk Harrow",OS!AE10,0)</f>
        <v>1</v>
      </c>
      <c r="C24" s="645">
        <f>IF(OSI!$L$11&gt;0,(1/OSI!$L$11),Data!$H$581)</f>
        <v>8.1833060556464804E-2</v>
      </c>
      <c r="D24" s="34" t="s">
        <v>128</v>
      </c>
      <c r="E24" s="226">
        <f t="shared" si="4"/>
        <v>8.1833060556464812</v>
      </c>
      <c r="F24" s="167">
        <f t="shared" ref="F24:F43" si="6">_wage_</f>
        <v>12.29</v>
      </c>
      <c r="G24" s="114">
        <f t="shared" ref="G24:G37" si="7">C24*F24</f>
        <v>1.0057283142389524</v>
      </c>
      <c r="H24" s="109">
        <f t="shared" si="5"/>
        <v>100.57283142389524</v>
      </c>
    </row>
    <row r="25" spans="1:12" ht="13.5" thickBot="1" x14ac:dyDescent="0.35">
      <c r="A25" s="639" t="s">
        <v>333</v>
      </c>
      <c r="B25" s="405">
        <f>IF(OS!$AD$11="Finish Harrow",OS!AE11,0)</f>
        <v>1</v>
      </c>
      <c r="C25" s="645">
        <f>IF(OSI!$L$12&gt;0,(1/OSI!$L$12),Data!$H$589)</f>
        <v>7.7041602465331302E-2</v>
      </c>
      <c r="D25" s="34" t="s">
        <v>128</v>
      </c>
      <c r="E25" s="226">
        <f t="shared" si="4"/>
        <v>7.7041602465331298</v>
      </c>
      <c r="F25" s="104">
        <f t="shared" si="6"/>
        <v>12.29</v>
      </c>
      <c r="G25" s="114">
        <f t="shared" si="7"/>
        <v>0.94684129429892161</v>
      </c>
      <c r="H25" s="109">
        <f t="shared" si="5"/>
        <v>94.684129429892167</v>
      </c>
      <c r="I25" s="216" t="s">
        <v>2166</v>
      </c>
      <c r="K25" s="914" t="s">
        <v>1627</v>
      </c>
      <c r="L25" s="55"/>
    </row>
    <row r="26" spans="1:12" ht="13.5" thickBot="1" x14ac:dyDescent="0.35">
      <c r="A26" s="639" t="s">
        <v>334</v>
      </c>
      <c r="B26" s="405">
        <f>IF(OS!$AD$12="Grain Drill",OS!AE12,0)</f>
        <v>1</v>
      </c>
      <c r="C26" s="156">
        <f>IF(OSI!$L$13&gt;0,(1/OSI!$L$14),Data!$H$594)</f>
        <v>7.7041602465331302E-2</v>
      </c>
      <c r="D26" s="34" t="s">
        <v>128</v>
      </c>
      <c r="E26" s="226">
        <f>C26*soy</f>
        <v>7.7041602465331298</v>
      </c>
      <c r="F26" s="104">
        <f t="shared" si="6"/>
        <v>12.29</v>
      </c>
      <c r="G26" s="114">
        <f>C26*F26</f>
        <v>0.94684129429892161</v>
      </c>
      <c r="H26" s="109">
        <f>B26*G26*soy</f>
        <v>94.684129429892167</v>
      </c>
      <c r="I26" s="216" t="s">
        <v>1627</v>
      </c>
      <c r="K26" s="56" t="s">
        <v>1630</v>
      </c>
      <c r="L26" s="913" t="s">
        <v>1625</v>
      </c>
    </row>
    <row r="27" spans="1:12" ht="13.5" thickBot="1" x14ac:dyDescent="0.35">
      <c r="A27" s="639" t="s">
        <v>2218</v>
      </c>
      <c r="B27" s="405">
        <f>IF(OS!$AD$13="Tine Harrow",OS!AE13,0)</f>
        <v>1</v>
      </c>
      <c r="C27" s="645">
        <f>IF(OSI!$L$14&gt;0,(1/OSI!$L$14),Data!$H$591)</f>
        <v>7.7041602465331302E-2</v>
      </c>
      <c r="D27" s="34" t="s">
        <v>128</v>
      </c>
      <c r="E27" s="226">
        <f t="shared" ref="E27" si="8">C27*soy</f>
        <v>7.7041602465331298</v>
      </c>
      <c r="F27" s="104">
        <f t="shared" si="6"/>
        <v>12.29</v>
      </c>
      <c r="G27" s="114">
        <f t="shared" ref="G27" si="9">C27*F27</f>
        <v>0.94684129429892161</v>
      </c>
      <c r="H27" s="109">
        <f t="shared" ref="H27" si="10">B27*G27*soy</f>
        <v>94.684129429892167</v>
      </c>
      <c r="I27" s="643">
        <v>2</v>
      </c>
      <c r="J27" s="668" t="s">
        <v>2217</v>
      </c>
      <c r="K27" s="55">
        <f>IF(OS!$AD$13="None",0,1)</f>
        <v>1</v>
      </c>
      <c r="L27" s="1331">
        <f>OS!AE13</f>
        <v>1</v>
      </c>
    </row>
    <row r="28" spans="1:12" x14ac:dyDescent="0.3">
      <c r="A28" s="22" t="s">
        <v>315</v>
      </c>
      <c r="B28" s="397">
        <v>0</v>
      </c>
      <c r="C28" s="156">
        <f>Data!H582</f>
        <v>0.48</v>
      </c>
      <c r="D28" s="34" t="s">
        <v>128</v>
      </c>
      <c r="E28" s="226">
        <f t="shared" si="4"/>
        <v>48</v>
      </c>
      <c r="F28" s="167">
        <f t="shared" si="6"/>
        <v>12.29</v>
      </c>
      <c r="G28" s="114">
        <f t="shared" si="7"/>
        <v>5.8991999999999996</v>
      </c>
      <c r="H28" s="109">
        <f t="shared" si="5"/>
        <v>0</v>
      </c>
    </row>
    <row r="29" spans="1:12" ht="13.5" thickBot="1" x14ac:dyDescent="0.35">
      <c r="A29" s="22" t="s">
        <v>338</v>
      </c>
      <c r="B29" s="397">
        <v>0</v>
      </c>
      <c r="C29" s="156">
        <f>Data!H592</f>
        <v>9.8335351450666228E-2</v>
      </c>
      <c r="D29" s="34" t="s">
        <v>128</v>
      </c>
      <c r="E29" s="226">
        <f t="shared" si="4"/>
        <v>9.8335351450666231</v>
      </c>
      <c r="F29" s="167">
        <f t="shared" si="6"/>
        <v>12.29</v>
      </c>
      <c r="G29" s="114">
        <f t="shared" si="7"/>
        <v>1.2085414693286878</v>
      </c>
      <c r="H29" s="109">
        <f t="shared" si="5"/>
        <v>0</v>
      </c>
      <c r="K29" s="914" t="s">
        <v>1627</v>
      </c>
    </row>
    <row r="30" spans="1:12" ht="13.5" thickBot="1" x14ac:dyDescent="0.35">
      <c r="A30" s="22" t="s">
        <v>339</v>
      </c>
      <c r="B30" s="397">
        <v>0</v>
      </c>
      <c r="C30" s="156">
        <f>Data!H595</f>
        <v>0.3933414058026653</v>
      </c>
      <c r="D30" s="34" t="s">
        <v>128</v>
      </c>
      <c r="E30" s="226">
        <f t="shared" si="4"/>
        <v>39.334140580266528</v>
      </c>
      <c r="F30" s="167">
        <f t="shared" si="6"/>
        <v>12.29</v>
      </c>
      <c r="G30" s="114">
        <f t="shared" si="7"/>
        <v>4.8341658773147564</v>
      </c>
      <c r="H30" s="109">
        <f t="shared" si="5"/>
        <v>0</v>
      </c>
      <c r="K30" s="56" t="s">
        <v>1630</v>
      </c>
      <c r="L30" s="913" t="s">
        <v>1625</v>
      </c>
    </row>
    <row r="31" spans="1:12" ht="13.5" thickBot="1" x14ac:dyDescent="0.35">
      <c r="A31" s="639" t="s">
        <v>340</v>
      </c>
      <c r="B31" s="405">
        <f>IF(OS!$AD$14="Cultivate",OS!AE14,0)</f>
        <v>2</v>
      </c>
      <c r="C31" s="645">
        <f>IF(OSI!$L$15&gt;0,(1/OSI!$L$15),Data!$H$606)</f>
        <v>6.4724919093851099E-2</v>
      </c>
      <c r="D31" s="34" t="s">
        <v>128</v>
      </c>
      <c r="E31" s="226">
        <f>C31*soy</f>
        <v>6.4724919093851101</v>
      </c>
      <c r="F31" s="167">
        <f t="shared" si="6"/>
        <v>12.29</v>
      </c>
      <c r="G31" s="114">
        <f>C31*F31</f>
        <v>0.79546925566342996</v>
      </c>
      <c r="H31" s="109">
        <f>B31*G31*soy</f>
        <v>159.09385113268598</v>
      </c>
      <c r="J31" s="668" t="s">
        <v>1607</v>
      </c>
      <c r="K31" s="55">
        <f>IF(OS!$AD$14="None",0,1)</f>
        <v>1</v>
      </c>
      <c r="L31" s="1331">
        <f>OS!AE14</f>
        <v>2</v>
      </c>
    </row>
    <row r="32" spans="1:12" x14ac:dyDescent="0.3">
      <c r="A32" s="639" t="s">
        <v>1626</v>
      </c>
      <c r="B32" s="405">
        <f>IF(OS!$AD$15="Spr.Chilean N",OS!AE15,0)</f>
        <v>0</v>
      </c>
      <c r="C32" s="645">
        <f>IF(OSI!$L$16&gt;0,(1/OSI!$L$16),Data!$H$584)</f>
        <v>9.2929292929292903E-2</v>
      </c>
      <c r="D32" s="34" t="s">
        <v>128</v>
      </c>
      <c r="E32" s="226">
        <f>C32*soy</f>
        <v>9.2929292929292906</v>
      </c>
      <c r="F32" s="167">
        <f t="shared" si="6"/>
        <v>12.29</v>
      </c>
      <c r="G32" s="114">
        <f>C32*F32</f>
        <v>1.1421010101010096</v>
      </c>
      <c r="H32" s="109">
        <f>B32*G32*soy</f>
        <v>0</v>
      </c>
    </row>
    <row r="33" spans="1:21" x14ac:dyDescent="0.3">
      <c r="A33" s="22" t="s">
        <v>304</v>
      </c>
      <c r="B33" s="397">
        <v>0</v>
      </c>
      <c r="C33" s="156">
        <f>Data!H600</f>
        <v>0.11851851851851852</v>
      </c>
      <c r="D33" s="34" t="s">
        <v>128</v>
      </c>
      <c r="E33" s="226">
        <f t="shared" si="4"/>
        <v>11.851851851851853</v>
      </c>
      <c r="F33" s="167">
        <f t="shared" si="6"/>
        <v>12.29</v>
      </c>
      <c r="G33" s="114">
        <f t="shared" si="7"/>
        <v>1.4565925925925924</v>
      </c>
      <c r="H33" s="109">
        <f t="shared" si="5"/>
        <v>0</v>
      </c>
    </row>
    <row r="34" spans="1:21" x14ac:dyDescent="0.3">
      <c r="A34" s="639" t="s">
        <v>1628</v>
      </c>
      <c r="B34" s="405">
        <f>IF(OS!$AD$16="Spray Fung.",OS!AE16,0)</f>
        <v>0</v>
      </c>
      <c r="C34" s="156">
        <f>IF(OSI!$L$17&gt;0,(1/OSI!$L$17),Data!$H$601)</f>
        <v>2.169668040789759E-2</v>
      </c>
      <c r="D34" s="34" t="s">
        <v>128</v>
      </c>
      <c r="E34" s="226">
        <f>C34*soy</f>
        <v>2.1696680407897588</v>
      </c>
      <c r="F34" s="167">
        <f t="shared" si="6"/>
        <v>12.29</v>
      </c>
      <c r="G34" s="114">
        <f>C34*F34</f>
        <v>0.26665220221306135</v>
      </c>
      <c r="H34" s="109">
        <f>B34*G34*soy</f>
        <v>0</v>
      </c>
    </row>
    <row r="35" spans="1:21" x14ac:dyDescent="0.3">
      <c r="A35" s="639" t="s">
        <v>816</v>
      </c>
      <c r="B35" s="405">
        <f>IF(OS!$AD$18="Combine",OS!AE18,0)</f>
        <v>1</v>
      </c>
      <c r="C35" s="156">
        <f>IF(OSI!$L$19&gt;0,(1/OSI!$L$19),Data!$H$614)</f>
        <v>0.33333333333333298</v>
      </c>
      <c r="D35" s="34" t="s">
        <v>128</v>
      </c>
      <c r="E35" s="226">
        <f t="shared" si="4"/>
        <v>33.3333333333333</v>
      </c>
      <c r="F35" s="167">
        <f t="shared" si="6"/>
        <v>12.29</v>
      </c>
      <c r="G35" s="114">
        <f t="shared" si="7"/>
        <v>4.0966666666666622</v>
      </c>
      <c r="H35" s="109">
        <f t="shared" si="5"/>
        <v>409.66666666666623</v>
      </c>
    </row>
    <row r="36" spans="1:21" x14ac:dyDescent="0.3">
      <c r="A36" s="666" t="s">
        <v>1022</v>
      </c>
      <c r="B36" s="397">
        <v>0</v>
      </c>
      <c r="C36" s="47">
        <f>Data!$H$617*Data!$F$252</f>
        <v>0</v>
      </c>
      <c r="D36" s="48" t="s">
        <v>115</v>
      </c>
      <c r="E36" s="647">
        <f>C36*soy</f>
        <v>0</v>
      </c>
      <c r="F36" s="118">
        <f>_wage_</f>
        <v>12.29</v>
      </c>
      <c r="G36" s="465">
        <f>C36*F36</f>
        <v>0</v>
      </c>
      <c r="H36" s="123">
        <f>B36*G36*soy</f>
        <v>0</v>
      </c>
    </row>
    <row r="37" spans="1:21" x14ac:dyDescent="0.3">
      <c r="A37" s="639" t="s">
        <v>2089</v>
      </c>
      <c r="B37" s="405">
        <f>IF(OS!$AD$19="Truck",OS!AE19,0)</f>
        <v>1</v>
      </c>
      <c r="C37" s="156">
        <f>IF(OSI!$L$20&gt;0,(1/OSI!$L$20),Data!$H$642)</f>
        <v>5.7455941061888997E-2</v>
      </c>
      <c r="D37" s="34" t="s">
        <v>128</v>
      </c>
      <c r="E37" s="226">
        <f t="shared" si="4"/>
        <v>5.7455941061889</v>
      </c>
      <c r="F37" s="167">
        <f t="shared" si="6"/>
        <v>12.29</v>
      </c>
      <c r="G37" s="114">
        <f t="shared" si="7"/>
        <v>0.70613351565061577</v>
      </c>
      <c r="H37" s="109">
        <f t="shared" si="5"/>
        <v>70.613351565061578</v>
      </c>
    </row>
    <row r="38" spans="1:21" x14ac:dyDescent="0.3">
      <c r="A38" s="666" t="s">
        <v>1022</v>
      </c>
      <c r="B38" s="405">
        <f>B37</f>
        <v>1</v>
      </c>
      <c r="C38" s="47">
        <f>Data!$H$643*Data!$F$252</f>
        <v>0</v>
      </c>
      <c r="D38" s="48" t="s">
        <v>115</v>
      </c>
      <c r="E38" s="647">
        <f>C38*soy</f>
        <v>0</v>
      </c>
      <c r="F38" s="118">
        <f>_wage_</f>
        <v>12.29</v>
      </c>
      <c r="G38" s="465">
        <f>C38*F38</f>
        <v>0</v>
      </c>
      <c r="H38" s="123">
        <f>B38*G38*soy</f>
        <v>0</v>
      </c>
    </row>
    <row r="39" spans="1:21" x14ac:dyDescent="0.3">
      <c r="A39" s="639" t="s">
        <v>1435</v>
      </c>
      <c r="B39" s="832"/>
      <c r="C39" s="47"/>
      <c r="D39" s="48"/>
      <c r="E39" s="647"/>
      <c r="F39" s="118"/>
      <c r="G39" s="465"/>
      <c r="H39" s="123"/>
    </row>
    <row r="40" spans="1:21" x14ac:dyDescent="0.3">
      <c r="A40" s="638" t="s">
        <v>1436</v>
      </c>
      <c r="B40" s="405">
        <f>IF(OS!$AD$20="Clean",OS!AE20,0)</f>
        <v>1</v>
      </c>
      <c r="C40" s="156">
        <f>IF(OSI!$L$21&gt;0,(1/OSI!$L$21),Data!$H$677)</f>
        <v>0.75</v>
      </c>
      <c r="D40" s="34" t="s">
        <v>128</v>
      </c>
      <c r="E40" s="226">
        <f t="shared" ref="E40" si="11">C40*soy</f>
        <v>75</v>
      </c>
      <c r="F40" s="167">
        <f t="shared" ref="F40" si="12">_wage_</f>
        <v>12.29</v>
      </c>
      <c r="G40" s="114">
        <f t="shared" ref="G40" si="13">C40*F40</f>
        <v>9.2174999999999994</v>
      </c>
      <c r="H40" s="109">
        <f>B40*G40*soy</f>
        <v>921.74999999999989</v>
      </c>
    </row>
    <row r="41" spans="1:21" x14ac:dyDescent="0.3">
      <c r="A41" s="666" t="s">
        <v>1022</v>
      </c>
      <c r="B41" s="405">
        <f>B40</f>
        <v>1</v>
      </c>
      <c r="C41" s="47">
        <f>Data!H678*Data!$F$252</f>
        <v>0</v>
      </c>
      <c r="D41" s="48" t="s">
        <v>115</v>
      </c>
      <c r="E41" s="647">
        <f>C41*soy</f>
        <v>0</v>
      </c>
      <c r="F41" s="118">
        <f>_wage_</f>
        <v>12.29</v>
      </c>
      <c r="G41" s="465">
        <f>C41*F41</f>
        <v>0</v>
      </c>
      <c r="H41" s="123">
        <f>B41*G41*soy</f>
        <v>0</v>
      </c>
      <c r="L41" s="4" t="s">
        <v>1077</v>
      </c>
    </row>
    <row r="42" spans="1:21" x14ac:dyDescent="0.3">
      <c r="A42" s="639" t="s">
        <v>1147</v>
      </c>
      <c r="B42" s="22"/>
      <c r="C42" s="46"/>
      <c r="D42" s="34"/>
      <c r="E42" s="226"/>
      <c r="F42" s="90"/>
      <c r="G42" s="114"/>
      <c r="H42" s="109"/>
      <c r="J42" s="588">
        <f>OSI!$E$69</f>
        <v>30000</v>
      </c>
      <c r="K42" s="17" t="s">
        <v>220</v>
      </c>
      <c r="L42" s="17">
        <f>J42/2000</f>
        <v>15</v>
      </c>
      <c r="M42" s="17" t="s">
        <v>26</v>
      </c>
      <c r="N42" s="588">
        <f>OSI!$C$69</f>
        <v>500</v>
      </c>
      <c r="O42" s="17" t="s">
        <v>931</v>
      </c>
      <c r="P42" s="93" t="s">
        <v>944</v>
      </c>
      <c r="Q42" s="93"/>
      <c r="S42" s="588">
        <f>N42*Data!$K$67</f>
        <v>30000</v>
      </c>
      <c r="T42" s="17" t="s">
        <v>220</v>
      </c>
      <c r="U42" s="589">
        <f>S42/J42</f>
        <v>1</v>
      </c>
    </row>
    <row r="43" spans="1:21" x14ac:dyDescent="0.3">
      <c r="A43" s="638" t="s">
        <v>1146</v>
      </c>
      <c r="B43" s="405">
        <f>IF(OS!$AD$21="Dry",OS!AE21,0)</f>
        <v>1</v>
      </c>
      <c r="C43" s="369">
        <f>IF(OSI!$L$22&gt;0,(1/OSI!$L$22),Data!$H$697)</f>
        <v>0.26012772147841301</v>
      </c>
      <c r="D43" s="34" t="s">
        <v>115</v>
      </c>
      <c r="E43" s="226">
        <f>C43*soy</f>
        <v>26.0127721478413</v>
      </c>
      <c r="F43" s="167">
        <f t="shared" si="6"/>
        <v>12.29</v>
      </c>
      <c r="G43" s="114">
        <f>C43*F43</f>
        <v>3.1969696969696955</v>
      </c>
      <c r="H43" s="110">
        <f>B43*G43*soy*G3</f>
        <v>16.119174942704348</v>
      </c>
      <c r="I43" s="108"/>
      <c r="J43" s="588">
        <f>OSI!$E$70</f>
        <v>180</v>
      </c>
      <c r="K43" s="17" t="s">
        <v>220</v>
      </c>
      <c r="L43" s="17">
        <f>J43/2000</f>
        <v>0.09</v>
      </c>
      <c r="M43" s="17" t="s">
        <v>26</v>
      </c>
      <c r="N43" s="588">
        <f>OSI!$C$70</f>
        <v>3</v>
      </c>
      <c r="O43" s="17" t="s">
        <v>931</v>
      </c>
      <c r="P43" s="93" t="s">
        <v>945</v>
      </c>
      <c r="Q43" s="93"/>
      <c r="S43" s="588">
        <f>N43*Data!$K$67</f>
        <v>180</v>
      </c>
      <c r="T43" s="17" t="s">
        <v>220</v>
      </c>
      <c r="U43" s="589">
        <f>S43/J43</f>
        <v>1</v>
      </c>
    </row>
    <row r="44" spans="1:21" x14ac:dyDescent="0.3">
      <c r="A44" s="666" t="s">
        <v>1022</v>
      </c>
      <c r="B44" s="405">
        <f>B43</f>
        <v>1</v>
      </c>
      <c r="C44" s="47">
        <f>C43*Data!$F$252</f>
        <v>0</v>
      </c>
      <c r="D44" s="48" t="s">
        <v>115</v>
      </c>
      <c r="E44" s="647">
        <f>C44*soy</f>
        <v>0</v>
      </c>
      <c r="F44" s="118">
        <f>_wage_</f>
        <v>12.29</v>
      </c>
      <c r="G44" s="465">
        <f>C44*F44</f>
        <v>0</v>
      </c>
      <c r="H44" s="123">
        <f>B44*G44*soy</f>
        <v>0</v>
      </c>
      <c r="I44" s="108">
        <f>SUM(H20:H45)</f>
        <v>2106.4564993148069</v>
      </c>
    </row>
    <row r="45" spans="1:21" x14ac:dyDescent="0.3">
      <c r="A45" s="1258" t="s">
        <v>2079</v>
      </c>
      <c r="Q45" s="216" t="s">
        <v>933</v>
      </c>
      <c r="R45" s="216" t="s">
        <v>933</v>
      </c>
      <c r="S45" s="216" t="s">
        <v>2047</v>
      </c>
      <c r="T45" s="216" t="s">
        <v>2050</v>
      </c>
    </row>
    <row r="46" spans="1:21" x14ac:dyDescent="0.3">
      <c r="A46" s="638" t="s">
        <v>938</v>
      </c>
      <c r="H46" s="98"/>
      <c r="J46" s="67" t="s">
        <v>932</v>
      </c>
      <c r="K46" s="216" t="s">
        <v>946</v>
      </c>
      <c r="L46" s="89" t="s">
        <v>2046</v>
      </c>
      <c r="M46" s="89"/>
      <c r="N46" s="89" t="s">
        <v>2046</v>
      </c>
      <c r="O46" s="89"/>
      <c r="P46" s="216" t="s">
        <v>763</v>
      </c>
      <c r="Q46" s="216" t="s">
        <v>2042</v>
      </c>
      <c r="R46" s="216" t="s">
        <v>2043</v>
      </c>
      <c r="S46" s="216" t="s">
        <v>2048</v>
      </c>
      <c r="T46" s="216" t="s">
        <v>2051</v>
      </c>
    </row>
    <row r="47" spans="1:21" x14ac:dyDescent="0.3">
      <c r="A47" s="638" t="s">
        <v>939</v>
      </c>
      <c r="B47" s="405">
        <f>IF(OSI!$L$77&gt;0,1*$P$53,0)</f>
        <v>1</v>
      </c>
      <c r="C47" s="410">
        <f>IF(soy&gt;0,($T$47*((Data!$B$252*soy)/$N$42))/soy,0)</f>
        <v>7.4999999999999997E-2</v>
      </c>
      <c r="D47" s="34" t="s">
        <v>115</v>
      </c>
      <c r="E47" s="228">
        <f>C47*soy</f>
        <v>7.5</v>
      </c>
      <c r="F47" s="167">
        <f t="shared" ref="F47" si="14">_wage_</f>
        <v>12.29</v>
      </c>
      <c r="G47" s="114">
        <f t="shared" ref="G47:G48" si="15">C47*F47</f>
        <v>0.92174999999999985</v>
      </c>
      <c r="H47" s="109">
        <f>B47*G47*soy</f>
        <v>92.174999999999983</v>
      </c>
      <c r="J47" s="55" t="s">
        <v>762</v>
      </c>
      <c r="K47" s="816">
        <f>B47</f>
        <v>1</v>
      </c>
      <c r="L47" s="168">
        <f>IF(soy&gt;0,(K47*(T47*_wage_)*((Data!$B$252*soy)/$N$42))/soy,0)</f>
        <v>0.92174999999999996</v>
      </c>
      <c r="M47" s="22" t="s">
        <v>254</v>
      </c>
      <c r="N47" s="168">
        <f>(T47*_wage_)</f>
        <v>18.434999999999999</v>
      </c>
      <c r="O47" s="22" t="s">
        <v>935</v>
      </c>
      <c r="P47" s="816">
        <f>OSI!$G$69</f>
        <v>20</v>
      </c>
      <c r="Q47" s="816">
        <f>OSI!$G$72</f>
        <v>40</v>
      </c>
      <c r="R47" s="46">
        <f>(P47/Q47)</f>
        <v>0.5</v>
      </c>
      <c r="S47" s="226">
        <f>OSI!$G$73</f>
        <v>1</v>
      </c>
      <c r="T47" s="46">
        <f>SUM(R47:S47)</f>
        <v>1.5</v>
      </c>
    </row>
    <row r="48" spans="1:21" x14ac:dyDescent="0.3">
      <c r="A48" s="666" t="s">
        <v>2025</v>
      </c>
      <c r="B48" s="405">
        <f>IF(Data!$F$252=0,0,1*$P$53)</f>
        <v>0</v>
      </c>
      <c r="C48" s="593">
        <f>C47*Data!$F$252</f>
        <v>0</v>
      </c>
      <c r="D48" s="48" t="s">
        <v>115</v>
      </c>
      <c r="E48" s="1282">
        <f>C48*soy</f>
        <v>0</v>
      </c>
      <c r="F48" s="118">
        <f>_wage_</f>
        <v>12.29</v>
      </c>
      <c r="G48" s="465">
        <f t="shared" si="15"/>
        <v>0</v>
      </c>
      <c r="H48" s="123">
        <f>B48*G48*soy</f>
        <v>0</v>
      </c>
      <c r="Q48" s="216" t="s">
        <v>933</v>
      </c>
      <c r="R48" s="216" t="s">
        <v>933</v>
      </c>
      <c r="S48" s="216" t="s">
        <v>2047</v>
      </c>
      <c r="T48" s="216" t="s">
        <v>2050</v>
      </c>
    </row>
    <row r="49" spans="1:20" x14ac:dyDescent="0.3">
      <c r="A49" s="638" t="s">
        <v>942</v>
      </c>
      <c r="B49" s="34"/>
      <c r="C49" s="34"/>
      <c r="D49" s="34"/>
      <c r="E49" s="226"/>
      <c r="F49" s="68"/>
      <c r="G49" s="114"/>
      <c r="H49" s="110"/>
      <c r="J49" s="67" t="s">
        <v>934</v>
      </c>
      <c r="K49" s="216" t="s">
        <v>946</v>
      </c>
      <c r="L49" s="89" t="s">
        <v>2046</v>
      </c>
      <c r="M49" s="89"/>
      <c r="N49" s="89" t="s">
        <v>2046</v>
      </c>
      <c r="O49" s="89"/>
      <c r="P49" s="216" t="s">
        <v>763</v>
      </c>
      <c r="Q49" s="216" t="s">
        <v>2042</v>
      </c>
      <c r="R49" s="216" t="s">
        <v>2043</v>
      </c>
      <c r="S49" s="216" t="s">
        <v>2048</v>
      </c>
      <c r="T49" s="216" t="s">
        <v>2051</v>
      </c>
    </row>
    <row r="50" spans="1:20" x14ac:dyDescent="0.3">
      <c r="A50" s="638" t="s">
        <v>939</v>
      </c>
      <c r="B50" s="405">
        <f>IF(OSI!$L$78&gt;0,1*$Q$53,0)</f>
        <v>0</v>
      </c>
      <c r="C50" s="410">
        <f>IF(soy&gt;0,($T$50*((Data!$B$252*soy)/$N$43))/soy,0)</f>
        <v>20.833333333333336</v>
      </c>
      <c r="D50" s="34" t="s">
        <v>115</v>
      </c>
      <c r="E50" s="228">
        <f>C50*soy</f>
        <v>2083.3333333333335</v>
      </c>
      <c r="F50" s="167">
        <f t="shared" ref="F50" si="16">_wage_</f>
        <v>12.29</v>
      </c>
      <c r="G50" s="114">
        <f t="shared" ref="G50:G51" si="17">C50*F50</f>
        <v>256.04166666666669</v>
      </c>
      <c r="H50" s="109">
        <f>B50*G50*soy</f>
        <v>0</v>
      </c>
      <c r="J50" s="55" t="s">
        <v>762</v>
      </c>
      <c r="K50" s="816">
        <f>B50</f>
        <v>0</v>
      </c>
      <c r="L50" s="168">
        <f>IF(soy&gt;0,(K50*(T50*_wage_)*((Data!$B$252*soy)/$N$43))/soy,0)</f>
        <v>0</v>
      </c>
      <c r="M50" s="22" t="s">
        <v>254</v>
      </c>
      <c r="N50" s="168">
        <f>(T50*_wage_)</f>
        <v>30.724999999999998</v>
      </c>
      <c r="O50" s="22" t="s">
        <v>935</v>
      </c>
      <c r="P50" s="816">
        <f>OSI!$I$69</f>
        <v>20</v>
      </c>
      <c r="Q50" s="816">
        <f>OSI!$I$72</f>
        <v>40</v>
      </c>
      <c r="R50" s="46">
        <f>(P50/Q50)</f>
        <v>0.5</v>
      </c>
      <c r="S50" s="226">
        <f>OSI!$I$73</f>
        <v>2</v>
      </c>
      <c r="T50" s="46">
        <f>SUM(R50:S50)</f>
        <v>2.5</v>
      </c>
    </row>
    <row r="51" spans="1:20" x14ac:dyDescent="0.3">
      <c r="A51" s="666" t="s">
        <v>2025</v>
      </c>
      <c r="B51" s="405">
        <f>IF(Data!$F$252=0,0,1*$Q$53)</f>
        <v>0</v>
      </c>
      <c r="C51" s="593">
        <f>C50*Data!$F$252</f>
        <v>0</v>
      </c>
      <c r="D51" s="48" t="s">
        <v>115</v>
      </c>
      <c r="E51" s="1282">
        <f>C51*soy</f>
        <v>0</v>
      </c>
      <c r="F51" s="118">
        <f>_wage_</f>
        <v>12.29</v>
      </c>
      <c r="G51" s="465">
        <f t="shared" si="17"/>
        <v>0</v>
      </c>
      <c r="H51" s="123">
        <f>B51*G51*soy</f>
        <v>0</v>
      </c>
      <c r="I51" s="108">
        <f>SUM(H46:H51)</f>
        <v>92.174999999999983</v>
      </c>
      <c r="J51" s="89"/>
      <c r="K51" s="89"/>
      <c r="L51" s="89"/>
      <c r="M51" s="216"/>
      <c r="N51" s="216"/>
      <c r="O51" s="216"/>
    </row>
    <row r="52" spans="1:20" x14ac:dyDescent="0.3">
      <c r="A52" s="3" t="s">
        <v>66</v>
      </c>
      <c r="B52" s="3"/>
      <c r="C52" s="46"/>
      <c r="D52" s="34"/>
      <c r="E52" s="226"/>
      <c r="F52" s="167"/>
      <c r="G52" s="114"/>
      <c r="H52" s="109"/>
      <c r="I52" s="99"/>
      <c r="O52" s="67" t="s">
        <v>947</v>
      </c>
      <c r="P52" s="216" t="s">
        <v>932</v>
      </c>
      <c r="Q52" s="216" t="s">
        <v>934</v>
      </c>
      <c r="R52" s="216" t="s">
        <v>76</v>
      </c>
    </row>
    <row r="53" spans="1:20" x14ac:dyDescent="0.3">
      <c r="A53" s="22" t="s">
        <v>332</v>
      </c>
      <c r="B53" s="22"/>
      <c r="C53" s="46"/>
      <c r="D53" s="34"/>
      <c r="E53" s="226"/>
      <c r="F53" s="167"/>
      <c r="G53" s="114"/>
      <c r="H53" s="109"/>
      <c r="I53" s="99"/>
      <c r="O53" s="34" t="s">
        <v>762</v>
      </c>
      <c r="P53" s="922">
        <f>OSI!$L$77</f>
        <v>1</v>
      </c>
      <c r="Q53" s="922">
        <f>OSI!$L$83</f>
        <v>0</v>
      </c>
      <c r="R53" s="412">
        <f>SUM(P53:Q53)</f>
        <v>1</v>
      </c>
    </row>
    <row r="54" spans="1:20" x14ac:dyDescent="0.3">
      <c r="A54" s="638" t="s">
        <v>1911</v>
      </c>
      <c r="B54" s="405">
        <f t="shared" ref="B54:B65" si="18">B21</f>
        <v>0</v>
      </c>
      <c r="C54" s="156">
        <f>IF(OSI!$L$28&gt;0,OSI!$L$28,Data!$R$579)</f>
        <v>1.32</v>
      </c>
      <c r="D54" s="34" t="s">
        <v>117</v>
      </c>
      <c r="E54" s="226">
        <f t="shared" ref="E54:E70" si="19">C54*soy</f>
        <v>132</v>
      </c>
      <c r="F54" s="167">
        <f>diesel_fuel</f>
        <v>2.56</v>
      </c>
      <c r="G54" s="114">
        <f>C54*F54</f>
        <v>3.3792000000000004</v>
      </c>
      <c r="H54" s="109">
        <f t="shared" ref="H54:H70" si="20">B54*G54*soy</f>
        <v>0</v>
      </c>
      <c r="K54" s="55"/>
    </row>
    <row r="55" spans="1:20" x14ac:dyDescent="0.3">
      <c r="A55" s="639" t="s">
        <v>468</v>
      </c>
      <c r="B55" s="405">
        <f t="shared" si="18"/>
        <v>0</v>
      </c>
      <c r="C55" s="156">
        <f>IF(OSI!$L$29&gt;0,OSI!$L$29,Data!$R$585)</f>
        <v>0.44023863292066601</v>
      </c>
      <c r="D55" s="34" t="s">
        <v>117</v>
      </c>
      <c r="E55" s="226">
        <f t="shared" si="19"/>
        <v>44.023863292066601</v>
      </c>
      <c r="F55" s="167">
        <f>diesel_fuel</f>
        <v>2.56</v>
      </c>
      <c r="G55" s="114">
        <f>C55*F55</f>
        <v>1.1270109002769051</v>
      </c>
      <c r="H55" s="109">
        <f t="shared" si="20"/>
        <v>0</v>
      </c>
      <c r="I55" s="99"/>
    </row>
    <row r="56" spans="1:20" x14ac:dyDescent="0.3">
      <c r="A56" s="640" t="s">
        <v>1427</v>
      </c>
      <c r="B56" s="405">
        <f t="shared" si="18"/>
        <v>1</v>
      </c>
      <c r="C56" s="156">
        <f>IF(OSI!$L$30&gt;0,OSI!$L$30,Data!$R$580)</f>
        <v>0.64</v>
      </c>
      <c r="D56" s="34" t="s">
        <v>117</v>
      </c>
      <c r="E56" s="226">
        <f t="shared" si="19"/>
        <v>64</v>
      </c>
      <c r="F56" s="167">
        <f>diesel_fuel</f>
        <v>2.56</v>
      </c>
      <c r="G56" s="114">
        <f>C56*F56</f>
        <v>1.6384000000000001</v>
      </c>
      <c r="H56" s="109">
        <f t="shared" si="20"/>
        <v>163.84</v>
      </c>
      <c r="I56" s="99"/>
    </row>
    <row r="57" spans="1:20" x14ac:dyDescent="0.3">
      <c r="A57" s="638" t="s">
        <v>485</v>
      </c>
      <c r="B57" s="405">
        <f t="shared" si="18"/>
        <v>1</v>
      </c>
      <c r="C57" s="156">
        <f>IF(OSI!$L$31&gt;0,OSI!$L$31,Data!$R$581)</f>
        <v>0.74</v>
      </c>
      <c r="D57" s="34" t="s">
        <v>117</v>
      </c>
      <c r="E57" s="226">
        <f t="shared" si="19"/>
        <v>74</v>
      </c>
      <c r="F57" s="167">
        <f t="shared" ref="F57:F76" si="21">diesel_fuel</f>
        <v>2.56</v>
      </c>
      <c r="G57" s="114">
        <f t="shared" ref="G57:G70" si="22">C57*F57</f>
        <v>1.8944000000000001</v>
      </c>
      <c r="H57" s="109">
        <f t="shared" si="20"/>
        <v>189.44</v>
      </c>
      <c r="I57" s="99"/>
    </row>
    <row r="58" spans="1:20" x14ac:dyDescent="0.3">
      <c r="A58" s="639" t="s">
        <v>333</v>
      </c>
      <c r="B58" s="405">
        <f t="shared" si="18"/>
        <v>1</v>
      </c>
      <c r="C58" s="156">
        <f>IF(OSI!$L$32&gt;0,OSI!$L$32,Data!$R$589)</f>
        <v>0.34</v>
      </c>
      <c r="D58" s="34" t="s">
        <v>117</v>
      </c>
      <c r="E58" s="226">
        <f t="shared" si="19"/>
        <v>34</v>
      </c>
      <c r="F58" s="104">
        <f t="shared" si="21"/>
        <v>2.56</v>
      </c>
      <c r="G58" s="114">
        <f t="shared" si="22"/>
        <v>0.87040000000000006</v>
      </c>
      <c r="H58" s="109">
        <f t="shared" si="20"/>
        <v>87.04</v>
      </c>
    </row>
    <row r="59" spans="1:20" x14ac:dyDescent="0.3">
      <c r="A59" s="639" t="s">
        <v>334</v>
      </c>
      <c r="B59" s="405">
        <f t="shared" si="18"/>
        <v>1</v>
      </c>
      <c r="C59" s="156">
        <f>IF(OSI!$L$33&gt;0,OSI!$L$33,Data!$R$594)</f>
        <v>0.61</v>
      </c>
      <c r="D59" s="34" t="s">
        <v>117</v>
      </c>
      <c r="E59" s="226">
        <f>C59*soy</f>
        <v>61</v>
      </c>
      <c r="F59" s="167">
        <f t="shared" si="21"/>
        <v>2.56</v>
      </c>
      <c r="G59" s="114">
        <f>C59*F59</f>
        <v>1.5616000000000001</v>
      </c>
      <c r="H59" s="109">
        <f>B59*G59*soy</f>
        <v>156.16</v>
      </c>
      <c r="K59" s="55"/>
      <c r="L59" s="55"/>
    </row>
    <row r="60" spans="1:20" x14ac:dyDescent="0.3">
      <c r="A60" s="639" t="s">
        <v>2218</v>
      </c>
      <c r="B60" s="405">
        <f t="shared" si="18"/>
        <v>1</v>
      </c>
      <c r="C60" s="156">
        <f>IF(OSI!$L$34&gt;0,OSI!$L$34,Data!$R$591)</f>
        <v>0.34</v>
      </c>
      <c r="D60" s="34" t="s">
        <v>117</v>
      </c>
      <c r="E60" s="226">
        <f t="shared" si="19"/>
        <v>34</v>
      </c>
      <c r="F60" s="104">
        <f t="shared" si="21"/>
        <v>2.56</v>
      </c>
      <c r="G60" s="114">
        <f t="shared" si="22"/>
        <v>0.87040000000000006</v>
      </c>
      <c r="H60" s="109">
        <f t="shared" si="20"/>
        <v>87.04</v>
      </c>
    </row>
    <row r="61" spans="1:20" x14ac:dyDescent="0.3">
      <c r="A61" s="22" t="s">
        <v>315</v>
      </c>
      <c r="B61" s="405">
        <f t="shared" si="18"/>
        <v>0</v>
      </c>
      <c r="C61" s="156">
        <f>Data!R582</f>
        <v>0.2</v>
      </c>
      <c r="D61" s="34" t="s">
        <v>117</v>
      </c>
      <c r="E61" s="226">
        <f t="shared" si="19"/>
        <v>20</v>
      </c>
      <c r="F61" s="167">
        <f t="shared" si="21"/>
        <v>2.56</v>
      </c>
      <c r="G61" s="114">
        <f t="shared" si="22"/>
        <v>0.51200000000000001</v>
      </c>
      <c r="H61" s="109">
        <f t="shared" si="20"/>
        <v>0</v>
      </c>
      <c r="I61" s="99"/>
    </row>
    <row r="62" spans="1:20" x14ac:dyDescent="0.3">
      <c r="A62" s="22" t="s">
        <v>338</v>
      </c>
      <c r="B62" s="405">
        <f t="shared" si="18"/>
        <v>0</v>
      </c>
      <c r="C62" s="156">
        <f>Data!R592</f>
        <v>0.83039215686274503</v>
      </c>
      <c r="D62" s="34" t="s">
        <v>117</v>
      </c>
      <c r="E62" s="226">
        <f t="shared" si="19"/>
        <v>83.039215686274503</v>
      </c>
      <c r="F62" s="167">
        <f t="shared" si="21"/>
        <v>2.56</v>
      </c>
      <c r="G62" s="114">
        <f t="shared" si="22"/>
        <v>2.1258039215686275</v>
      </c>
      <c r="H62" s="109">
        <f t="shared" si="20"/>
        <v>0</v>
      </c>
      <c r="I62" s="99"/>
    </row>
    <row r="63" spans="1:20" x14ac:dyDescent="0.3">
      <c r="A63" s="22" t="s">
        <v>339</v>
      </c>
      <c r="B63" s="405">
        <f t="shared" si="18"/>
        <v>0</v>
      </c>
      <c r="C63" s="156">
        <f>Data!R595</f>
        <v>0.34178571428571403</v>
      </c>
      <c r="D63" s="34" t="s">
        <v>117</v>
      </c>
      <c r="E63" s="226">
        <f t="shared" si="19"/>
        <v>34.178571428571402</v>
      </c>
      <c r="F63" s="167">
        <f t="shared" si="21"/>
        <v>2.56</v>
      </c>
      <c r="G63" s="114">
        <f t="shared" si="22"/>
        <v>0.87497142857142796</v>
      </c>
      <c r="H63" s="109">
        <f t="shared" si="20"/>
        <v>0</v>
      </c>
      <c r="I63" s="99"/>
    </row>
    <row r="64" spans="1:20" x14ac:dyDescent="0.3">
      <c r="A64" s="639" t="s">
        <v>340</v>
      </c>
      <c r="B64" s="405">
        <f t="shared" si="18"/>
        <v>2</v>
      </c>
      <c r="C64" s="156">
        <f>IF(OSI!$L$35&gt;0,OSI!$L$35,Data!$R$606)</f>
        <v>0.46</v>
      </c>
      <c r="D64" s="34" t="s">
        <v>117</v>
      </c>
      <c r="E64" s="226">
        <f>C64*soy</f>
        <v>46</v>
      </c>
      <c r="F64" s="167">
        <f t="shared" si="21"/>
        <v>2.56</v>
      </c>
      <c r="G64" s="114">
        <f>C64*F64</f>
        <v>1.1776</v>
      </c>
      <c r="H64" s="109">
        <f>B64*G64*soy</f>
        <v>235.51999999999998</v>
      </c>
      <c r="I64" s="99"/>
    </row>
    <row r="65" spans="1:21" x14ac:dyDescent="0.3">
      <c r="A65" s="639" t="s">
        <v>1626</v>
      </c>
      <c r="B65" s="405">
        <f t="shared" si="18"/>
        <v>0</v>
      </c>
      <c r="C65" s="156">
        <f>IF(OSI!$L$36&gt;0,OSI!$L$36,Data!$R$584)</f>
        <v>0.13183670241332501</v>
      </c>
      <c r="D65" s="34" t="s">
        <v>117</v>
      </c>
      <c r="E65" s="226">
        <f>C65*soy</f>
        <v>13.183670241332502</v>
      </c>
      <c r="F65" s="167">
        <f t="shared" si="21"/>
        <v>2.56</v>
      </c>
      <c r="G65" s="114">
        <f>C65*F65</f>
        <v>0.33750195817811202</v>
      </c>
      <c r="H65" s="109">
        <f>B65*G65*soy</f>
        <v>0</v>
      </c>
      <c r="I65" s="99"/>
    </row>
    <row r="66" spans="1:21" x14ac:dyDescent="0.3">
      <c r="A66" s="22" t="s">
        <v>304</v>
      </c>
      <c r="B66" s="405">
        <f t="shared" ref="B66" si="23">B33</f>
        <v>0</v>
      </c>
      <c r="C66" s="156">
        <f>Data!R600</f>
        <v>0.11981642612033799</v>
      </c>
      <c r="D66" s="34" t="s">
        <v>117</v>
      </c>
      <c r="E66" s="226">
        <f t="shared" si="19"/>
        <v>11.981642612033799</v>
      </c>
      <c r="F66" s="167">
        <f t="shared" si="21"/>
        <v>2.56</v>
      </c>
      <c r="G66" s="114">
        <f t="shared" si="22"/>
        <v>0.30673005086806526</v>
      </c>
      <c r="H66" s="109">
        <f t="shared" si="20"/>
        <v>0</v>
      </c>
      <c r="I66" s="99"/>
    </row>
    <row r="67" spans="1:21" x14ac:dyDescent="0.3">
      <c r="A67" s="639" t="s">
        <v>1628</v>
      </c>
      <c r="B67" s="405">
        <f>B34</f>
        <v>0</v>
      </c>
      <c r="C67" s="156">
        <f>IF(OSI!$L$37&gt;0,OSI!$L$37,Data!$R$601)</f>
        <v>0.12</v>
      </c>
      <c r="D67" s="34" t="s">
        <v>117</v>
      </c>
      <c r="E67" s="226">
        <f>C67*soy</f>
        <v>12</v>
      </c>
      <c r="F67" s="167">
        <f t="shared" si="21"/>
        <v>2.56</v>
      </c>
      <c r="G67" s="114">
        <f>C67*F67</f>
        <v>0.30719999999999997</v>
      </c>
      <c r="H67" s="109">
        <f>B67*G67*soy</f>
        <v>0</v>
      </c>
      <c r="I67" s="99"/>
    </row>
    <row r="68" spans="1:21" x14ac:dyDescent="0.3">
      <c r="A68" s="639" t="s">
        <v>816</v>
      </c>
      <c r="B68" s="405">
        <f>B35</f>
        <v>1</v>
      </c>
      <c r="C68" s="156">
        <f>IF(OSI!$L$39&gt;0,OSI!$L$39,Data!$R$614)</f>
        <v>2</v>
      </c>
      <c r="D68" s="34" t="s">
        <v>117</v>
      </c>
      <c r="E68" s="226">
        <f t="shared" si="19"/>
        <v>200</v>
      </c>
      <c r="F68" s="167">
        <f t="shared" si="21"/>
        <v>2.56</v>
      </c>
      <c r="G68" s="114">
        <f t="shared" si="22"/>
        <v>5.12</v>
      </c>
      <c r="H68" s="109">
        <f t="shared" si="20"/>
        <v>512</v>
      </c>
      <c r="I68" s="99"/>
    </row>
    <row r="69" spans="1:21" x14ac:dyDescent="0.3">
      <c r="A69" s="666" t="s">
        <v>1022</v>
      </c>
      <c r="B69" s="405">
        <f>B36</f>
        <v>0</v>
      </c>
      <c r="C69" s="47">
        <f>Data!$R$617*Data!$F$252</f>
        <v>0</v>
      </c>
      <c r="D69" s="48" t="s">
        <v>117</v>
      </c>
      <c r="E69" s="647">
        <f>C69*soy</f>
        <v>0</v>
      </c>
      <c r="F69" s="118">
        <f>diesel_fuel</f>
        <v>2.56</v>
      </c>
      <c r="G69" s="465">
        <f>C69*F69</f>
        <v>0</v>
      </c>
      <c r="H69" s="123">
        <f>B69*G69*soy</f>
        <v>0</v>
      </c>
      <c r="I69" s="99"/>
    </row>
    <row r="70" spans="1:21" x14ac:dyDescent="0.3">
      <c r="A70" s="639" t="s">
        <v>2089</v>
      </c>
      <c r="B70" s="405">
        <f>B37</f>
        <v>1</v>
      </c>
      <c r="C70" s="156">
        <f>IF(OSI!$L$40&gt;0,OSI!$L$40,Data!$R$642)</f>
        <v>0.11043776527840736</v>
      </c>
      <c r="D70" s="34" t="s">
        <v>117</v>
      </c>
      <c r="E70" s="226">
        <f t="shared" si="19"/>
        <v>11.043776527840736</v>
      </c>
      <c r="F70" s="167">
        <f t="shared" si="21"/>
        <v>2.56</v>
      </c>
      <c r="G70" s="114">
        <f t="shared" si="22"/>
        <v>0.28272067911272286</v>
      </c>
      <c r="H70" s="109">
        <f t="shared" si="20"/>
        <v>28.272067911272288</v>
      </c>
      <c r="I70" s="99"/>
    </row>
    <row r="71" spans="1:21" x14ac:dyDescent="0.3">
      <c r="A71" s="666" t="s">
        <v>1022</v>
      </c>
      <c r="B71" s="405">
        <f>B38</f>
        <v>1</v>
      </c>
      <c r="C71" s="47">
        <f>Data!$R$643*Data!$F$252</f>
        <v>0</v>
      </c>
      <c r="D71" s="48" t="s">
        <v>117</v>
      </c>
      <c r="E71" s="647">
        <f>C71*soy</f>
        <v>0</v>
      </c>
      <c r="F71" s="118">
        <f>diesel_fuel</f>
        <v>2.56</v>
      </c>
      <c r="G71" s="465">
        <f>C71*F71</f>
        <v>0</v>
      </c>
      <c r="H71" s="123">
        <f>B71*G71*soy</f>
        <v>0</v>
      </c>
      <c r="I71" s="99"/>
    </row>
    <row r="72" spans="1:21" x14ac:dyDescent="0.3">
      <c r="A72" s="639" t="s">
        <v>1435</v>
      </c>
      <c r="B72" s="832"/>
      <c r="C72" s="47"/>
      <c r="D72" s="48"/>
      <c r="E72" s="647"/>
      <c r="F72" s="118"/>
      <c r="G72" s="465"/>
      <c r="H72" s="123"/>
      <c r="I72" s="99"/>
    </row>
    <row r="73" spans="1:21" x14ac:dyDescent="0.3">
      <c r="A73" s="638" t="s">
        <v>1436</v>
      </c>
      <c r="B73" s="405">
        <f>B40</f>
        <v>1</v>
      </c>
      <c r="C73" s="165">
        <f>IF(OSI!$L$41&gt;0,OSI!$L$41,Data!$R$677)</f>
        <v>0</v>
      </c>
      <c r="D73" s="34" t="s">
        <v>117</v>
      </c>
      <c r="E73" s="226">
        <f t="shared" ref="E73" si="24">C73*soy</f>
        <v>0</v>
      </c>
      <c r="F73" s="167">
        <f t="shared" si="21"/>
        <v>2.56</v>
      </c>
      <c r="G73" s="114">
        <f t="shared" ref="G73" si="25">C73*F73</f>
        <v>0</v>
      </c>
      <c r="H73" s="109">
        <f>B73*G73*soy</f>
        <v>0</v>
      </c>
      <c r="I73" s="99"/>
    </row>
    <row r="74" spans="1:21" x14ac:dyDescent="0.3">
      <c r="A74" s="666" t="s">
        <v>1022</v>
      </c>
      <c r="B74" s="405">
        <f>B41</f>
        <v>1</v>
      </c>
      <c r="C74" s="83">
        <f>Data!R678*Data!$F$252</f>
        <v>0</v>
      </c>
      <c r="D74" s="48" t="s">
        <v>117</v>
      </c>
      <c r="E74" s="647">
        <f>C74*soy</f>
        <v>0</v>
      </c>
      <c r="F74" s="118">
        <f>diesel_fuel</f>
        <v>2.56</v>
      </c>
      <c r="G74" s="465">
        <f>C74*F74</f>
        <v>0</v>
      </c>
      <c r="H74" s="123">
        <f>B74*G74*soy</f>
        <v>0</v>
      </c>
      <c r="I74" s="99"/>
      <c r="L74" s="4" t="s">
        <v>1077</v>
      </c>
    </row>
    <row r="75" spans="1:21" x14ac:dyDescent="0.3">
      <c r="A75" s="639" t="s">
        <v>1147</v>
      </c>
      <c r="B75" s="46"/>
      <c r="C75" s="46"/>
      <c r="D75" s="34"/>
      <c r="E75" s="226"/>
      <c r="F75" s="90"/>
      <c r="G75" s="114"/>
      <c r="H75" s="109"/>
      <c r="I75" s="99"/>
      <c r="J75" s="588">
        <f>OSI!$E$69</f>
        <v>30000</v>
      </c>
      <c r="K75" s="17" t="s">
        <v>220</v>
      </c>
      <c r="L75" s="17">
        <f>J75/2000</f>
        <v>15</v>
      </c>
      <c r="M75" s="17" t="s">
        <v>26</v>
      </c>
      <c r="N75" s="588">
        <f>OSI!$C$69</f>
        <v>500</v>
      </c>
      <c r="O75" s="17" t="s">
        <v>931</v>
      </c>
      <c r="P75" s="93" t="s">
        <v>944</v>
      </c>
      <c r="Q75" s="93"/>
      <c r="S75" s="588">
        <f>N75*Data!$K$67</f>
        <v>30000</v>
      </c>
      <c r="T75" s="17" t="s">
        <v>220</v>
      </c>
      <c r="U75" s="589">
        <f>S75/J75</f>
        <v>1</v>
      </c>
    </row>
    <row r="76" spans="1:21" x14ac:dyDescent="0.3">
      <c r="A76" s="638" t="s">
        <v>1146</v>
      </c>
      <c r="B76" s="405">
        <f t="shared" ref="B76" si="26">B43</f>
        <v>1</v>
      </c>
      <c r="C76" s="816">
        <f>IF(OSI!$L$42&gt;0,OSI!$L$42,Data!$R$697)</f>
        <v>0</v>
      </c>
      <c r="D76" s="34" t="s">
        <v>116</v>
      </c>
      <c r="E76" s="226">
        <f>C76*soy</f>
        <v>0</v>
      </c>
      <c r="F76" s="167">
        <f t="shared" si="21"/>
        <v>2.56</v>
      </c>
      <c r="G76" s="114">
        <f>C76*F76</f>
        <v>0</v>
      </c>
      <c r="H76" s="110">
        <f>B76*G76*soy*G3</f>
        <v>0</v>
      </c>
      <c r="I76" s="108"/>
      <c r="J76" s="588">
        <f>OSI!$E$70</f>
        <v>180</v>
      </c>
      <c r="K76" s="17" t="s">
        <v>220</v>
      </c>
      <c r="L76" s="17">
        <f>J76/2000</f>
        <v>0.09</v>
      </c>
      <c r="M76" s="17" t="s">
        <v>26</v>
      </c>
      <c r="N76" s="588">
        <f>OSI!$C$70</f>
        <v>3</v>
      </c>
      <c r="O76" s="17" t="s">
        <v>931</v>
      </c>
      <c r="P76" s="93" t="s">
        <v>945</v>
      </c>
      <c r="Q76" s="93"/>
      <c r="S76" s="588">
        <f>N76*Data!$K$67</f>
        <v>180</v>
      </c>
      <c r="T76" s="17" t="s">
        <v>220</v>
      </c>
      <c r="U76" s="589">
        <f>S76/J76</f>
        <v>1</v>
      </c>
    </row>
    <row r="77" spans="1:21" x14ac:dyDescent="0.3">
      <c r="A77" s="666" t="s">
        <v>1022</v>
      </c>
      <c r="B77" s="405">
        <f>B44</f>
        <v>1</v>
      </c>
      <c r="C77" s="83">
        <f>C76*Data!$F$252</f>
        <v>0</v>
      </c>
      <c r="D77" s="48" t="s">
        <v>117</v>
      </c>
      <c r="E77" s="647">
        <f>C77*soy</f>
        <v>0</v>
      </c>
      <c r="F77" s="118">
        <f>diesel_fuel</f>
        <v>2.56</v>
      </c>
      <c r="G77" s="465">
        <f>C77*F77</f>
        <v>0</v>
      </c>
      <c r="H77" s="123">
        <f>B77*G77*soy</f>
        <v>0</v>
      </c>
      <c r="I77" s="108">
        <f>SUM(H53:H78)</f>
        <v>1459.3120679112722</v>
      </c>
    </row>
    <row r="78" spans="1:21" x14ac:dyDescent="0.3">
      <c r="A78" s="1258" t="s">
        <v>2079</v>
      </c>
      <c r="Q78" s="216" t="s">
        <v>933</v>
      </c>
    </row>
    <row r="79" spans="1:21" x14ac:dyDescent="0.3">
      <c r="A79" s="638" t="s">
        <v>938</v>
      </c>
      <c r="H79" s="98"/>
      <c r="J79" s="67" t="s">
        <v>932</v>
      </c>
      <c r="K79" s="216" t="s">
        <v>946</v>
      </c>
      <c r="L79" s="89" t="s">
        <v>765</v>
      </c>
      <c r="M79" s="89"/>
      <c r="N79" s="89" t="s">
        <v>765</v>
      </c>
      <c r="O79" s="89"/>
      <c r="P79" s="216" t="s">
        <v>763</v>
      </c>
      <c r="Q79" s="216" t="s">
        <v>764</v>
      </c>
      <c r="R79" s="216" t="s">
        <v>119</v>
      </c>
    </row>
    <row r="80" spans="1:21" x14ac:dyDescent="0.3">
      <c r="A80" s="638" t="s">
        <v>939</v>
      </c>
      <c r="B80" s="405">
        <f>IF(OSI!$L$77&gt;0,1*$P$86,0)</f>
        <v>1</v>
      </c>
      <c r="C80" s="410">
        <f>IF(soy&gt;0,($R$80*((Data!$B$252*soy)/$N$75))/soy,0)</f>
        <v>6.6666666666666666E-2</v>
      </c>
      <c r="D80" s="34" t="s">
        <v>117</v>
      </c>
      <c r="E80" s="228">
        <f>C80*soy</f>
        <v>6.666666666666667</v>
      </c>
      <c r="F80" s="167">
        <f t="shared" ref="F80" si="27">diesel_fuel</f>
        <v>2.56</v>
      </c>
      <c r="G80" s="114">
        <f t="shared" ref="G80:G81" si="28">C80*F80</f>
        <v>0.17066666666666666</v>
      </c>
      <c r="H80" s="109">
        <f>B80*G80*soy</f>
        <v>17.066666666666666</v>
      </c>
      <c r="J80" s="55" t="s">
        <v>762</v>
      </c>
      <c r="K80" s="816">
        <f>B80</f>
        <v>1</v>
      </c>
      <c r="L80" s="168">
        <f>IF(soy&gt;0,(K80*(R80*diesel_fuel)*((Data!$B$252*soy)/$N$75))/soy,0)</f>
        <v>0.17066666666666666</v>
      </c>
      <c r="M80" s="22" t="s">
        <v>254</v>
      </c>
      <c r="N80" s="168">
        <f>(R80*diesel_fuel)</f>
        <v>3.4133333333333331</v>
      </c>
      <c r="O80" s="22" t="s">
        <v>935</v>
      </c>
      <c r="P80" s="816">
        <f>OSI!$G$69</f>
        <v>20</v>
      </c>
      <c r="Q80" s="816">
        <f>OSI!$G$70</f>
        <v>15</v>
      </c>
      <c r="R80" s="46">
        <f>(P80/Q80)*U75</f>
        <v>1.3333333333333333</v>
      </c>
    </row>
    <row r="81" spans="1:18" x14ac:dyDescent="0.3">
      <c r="A81" s="666" t="s">
        <v>2025</v>
      </c>
      <c r="B81" s="405">
        <f>IF(Data!$F$252=0,0,1*$P$86)</f>
        <v>0</v>
      </c>
      <c r="C81" s="593">
        <f>C80*Data!$F$252</f>
        <v>0</v>
      </c>
      <c r="D81" s="48" t="s">
        <v>117</v>
      </c>
      <c r="E81" s="1282">
        <f>C81*soy</f>
        <v>0</v>
      </c>
      <c r="F81" s="118">
        <f>diesel_fuel</f>
        <v>2.56</v>
      </c>
      <c r="G81" s="465">
        <f t="shared" si="28"/>
        <v>0</v>
      </c>
      <c r="H81" s="123">
        <f>B81*G81*soy</f>
        <v>0</v>
      </c>
      <c r="Q81" s="216" t="s">
        <v>933</v>
      </c>
    </row>
    <row r="82" spans="1:18" x14ac:dyDescent="0.3">
      <c r="A82" s="638" t="s">
        <v>942</v>
      </c>
      <c r="B82" s="34"/>
      <c r="C82" s="34"/>
      <c r="D82" s="34"/>
      <c r="E82" s="226"/>
      <c r="F82" s="68"/>
      <c r="G82" s="114"/>
      <c r="H82" s="110"/>
      <c r="J82" s="67" t="s">
        <v>934</v>
      </c>
      <c r="K82" s="216" t="s">
        <v>946</v>
      </c>
      <c r="L82" s="89" t="s">
        <v>765</v>
      </c>
      <c r="M82" s="89"/>
      <c r="N82" s="89" t="s">
        <v>765</v>
      </c>
      <c r="O82" s="89"/>
      <c r="P82" s="216" t="s">
        <v>763</v>
      </c>
      <c r="Q82" s="216" t="s">
        <v>764</v>
      </c>
      <c r="R82" s="216" t="s">
        <v>119</v>
      </c>
    </row>
    <row r="83" spans="1:18" x14ac:dyDescent="0.3">
      <c r="A83" s="638" t="s">
        <v>939</v>
      </c>
      <c r="B83" s="405">
        <f>IF(OSI!$L$78&gt;0,1*$Q$86,0)</f>
        <v>0</v>
      </c>
      <c r="C83" s="410">
        <f>IF(soy&gt;0,($R$83*((Data!$B$252*soy)/$N$76))/soy,0)</f>
        <v>23.80952380952381</v>
      </c>
      <c r="D83" s="34" t="s">
        <v>117</v>
      </c>
      <c r="E83" s="228">
        <f>C83*soy</f>
        <v>2380.9523809523812</v>
      </c>
      <c r="F83" s="167">
        <f t="shared" ref="F83" si="29">diesel_fuel</f>
        <v>2.56</v>
      </c>
      <c r="G83" s="114">
        <f t="shared" ref="G83:G84" si="30">C83*F83</f>
        <v>60.952380952380956</v>
      </c>
      <c r="H83" s="109">
        <f>B83*G83*soy</f>
        <v>0</v>
      </c>
      <c r="J83" s="55" t="s">
        <v>762</v>
      </c>
      <c r="K83" s="816">
        <f>B83</f>
        <v>0</v>
      </c>
      <c r="L83" s="168">
        <f>IF(soy&gt;0,(K83*(R83*diesel_fuel)*((Data!$B$252*soy)/$N$76))/soy,0)</f>
        <v>0</v>
      </c>
      <c r="M83" s="22" t="s">
        <v>254</v>
      </c>
      <c r="N83" s="168">
        <f>(R83*diesel_fuel)</f>
        <v>7.3142857142857149</v>
      </c>
      <c r="O83" s="22" t="s">
        <v>935</v>
      </c>
      <c r="P83" s="816">
        <f>OSI!$I$69</f>
        <v>20</v>
      </c>
      <c r="Q83" s="816">
        <f>OSI!$I$70</f>
        <v>7</v>
      </c>
      <c r="R83" s="46">
        <f>(P83/Q83)*U76</f>
        <v>2.8571428571428572</v>
      </c>
    </row>
    <row r="84" spans="1:18" x14ac:dyDescent="0.3">
      <c r="A84" s="666" t="s">
        <v>2025</v>
      </c>
      <c r="B84" s="405">
        <f>IF(Data!$F$252=0,0,1*$Q$86)</f>
        <v>0</v>
      </c>
      <c r="C84" s="593">
        <f>C83*Data!$F$252</f>
        <v>0</v>
      </c>
      <c r="D84" s="48" t="s">
        <v>117</v>
      </c>
      <c r="E84" s="1282">
        <f>C84*soy</f>
        <v>0</v>
      </c>
      <c r="F84" s="118">
        <f>diesel_fuel</f>
        <v>2.56</v>
      </c>
      <c r="G84" s="465">
        <f t="shared" si="30"/>
        <v>0</v>
      </c>
      <c r="H84" s="123">
        <f>B84*G84*soy</f>
        <v>0</v>
      </c>
      <c r="I84" s="108">
        <f>SUM(H79:H84)</f>
        <v>17.066666666666666</v>
      </c>
      <c r="J84" s="89"/>
      <c r="K84" s="89"/>
      <c r="L84" s="89"/>
      <c r="M84" s="216"/>
      <c r="N84" s="216"/>
      <c r="O84" s="216"/>
    </row>
    <row r="85" spans="1:18" x14ac:dyDescent="0.3">
      <c r="A85" s="3" t="s">
        <v>20</v>
      </c>
      <c r="B85" s="405">
        <f>IF(OSI!$B$46=0,0,1)</f>
        <v>1</v>
      </c>
      <c r="C85" s="46" t="s">
        <v>45</v>
      </c>
      <c r="D85" s="46" t="s">
        <v>45</v>
      </c>
      <c r="E85" s="226" t="s">
        <v>45</v>
      </c>
      <c r="F85" s="55" t="s">
        <v>45</v>
      </c>
      <c r="G85" s="114">
        <f>IF(FARM!$C$24=0,0,H85/soy)</f>
        <v>1.8454734182224235</v>
      </c>
      <c r="H85" s="104">
        <f>B85*lube*SUM(H53:H84)</f>
        <v>184.54734182224234</v>
      </c>
      <c r="I85" s="108">
        <f>SUM(H85:H85)</f>
        <v>184.54734182224234</v>
      </c>
      <c r="O85" s="67" t="s">
        <v>947</v>
      </c>
      <c r="P85" s="216" t="s">
        <v>932</v>
      </c>
      <c r="Q85" s="216" t="s">
        <v>934</v>
      </c>
      <c r="R85" s="216" t="s">
        <v>76</v>
      </c>
    </row>
    <row r="86" spans="1:18" x14ac:dyDescent="0.3">
      <c r="A86" s="3" t="s">
        <v>67</v>
      </c>
      <c r="B86" s="643">
        <v>1</v>
      </c>
      <c r="C86" s="46" t="s">
        <v>45</v>
      </c>
      <c r="D86" s="46" t="s">
        <v>45</v>
      </c>
      <c r="E86" s="226" t="s">
        <v>45</v>
      </c>
      <c r="F86" s="55" t="s">
        <v>45</v>
      </c>
      <c r="G86" s="114">
        <f>IF(FARM!$C$24=0,0,H86/soy)</f>
        <v>74.919533446208376</v>
      </c>
      <c r="H86" s="109">
        <f>IF(Data!D21=1, B86*Syf!J114*Data!D21, 0)</f>
        <v>7491.9533446208379</v>
      </c>
      <c r="I86" s="66"/>
      <c r="O86" s="34" t="s">
        <v>762</v>
      </c>
      <c r="P86" s="922">
        <f>OSI!$L$77</f>
        <v>1</v>
      </c>
      <c r="Q86" s="922">
        <f>OSI!$L$83</f>
        <v>0</v>
      </c>
      <c r="R86" s="412">
        <f>SUM(P86:Q86)</f>
        <v>1</v>
      </c>
    </row>
    <row r="87" spans="1:18" x14ac:dyDescent="0.3">
      <c r="A87" s="3"/>
      <c r="B87" s="397">
        <v>0</v>
      </c>
      <c r="C87" s="46" t="s">
        <v>45</v>
      </c>
      <c r="D87" s="46" t="s">
        <v>45</v>
      </c>
      <c r="E87" s="226" t="s">
        <v>45</v>
      </c>
      <c r="F87" s="55" t="s">
        <v>45</v>
      </c>
      <c r="G87" s="272">
        <f>0</f>
        <v>0</v>
      </c>
      <c r="H87" s="109">
        <f>B87*G87*soy</f>
        <v>0</v>
      </c>
      <c r="I87" s="108">
        <f>SUM(H86:H87)</f>
        <v>7491.9533446208379</v>
      </c>
    </row>
    <row r="88" spans="1:18" x14ac:dyDescent="0.3">
      <c r="A88" s="3" t="s">
        <v>170</v>
      </c>
      <c r="B88" s="405">
        <f>IF(OSI!$L$52=0,0,1)</f>
        <v>0</v>
      </c>
      <c r="C88" s="46" t="s">
        <v>45</v>
      </c>
      <c r="D88" s="46" t="s">
        <v>45</v>
      </c>
      <c r="E88" s="226" t="s">
        <v>45</v>
      </c>
      <c r="F88" s="55" t="s">
        <v>45</v>
      </c>
      <c r="G88" s="114">
        <f>IF(FARM!$C$24=0,0,OSI!$L$52/soy)</f>
        <v>0</v>
      </c>
      <c r="H88" s="109">
        <f>B88*G88*soy</f>
        <v>0</v>
      </c>
      <c r="I88" s="108">
        <f>SUM(H88:H88)</f>
        <v>0</v>
      </c>
    </row>
    <row r="89" spans="1:18" x14ac:dyDescent="0.3">
      <c r="A89" s="3" t="s">
        <v>75</v>
      </c>
      <c r="B89" s="405">
        <f>IF(OSI!$L$53=0,0,1)</f>
        <v>1</v>
      </c>
      <c r="C89" s="46" t="s">
        <v>45</v>
      </c>
      <c r="D89" s="34" t="s">
        <v>45</v>
      </c>
      <c r="E89" s="226" t="s">
        <v>45</v>
      </c>
      <c r="F89" s="114">
        <f>G89</f>
        <v>3</v>
      </c>
      <c r="G89" s="114">
        <f>IF(FARM!$C$24=0,0,OSI!$L$53/soy)</f>
        <v>3</v>
      </c>
      <c r="H89" s="109">
        <f>B89*G89*soy</f>
        <v>300</v>
      </c>
      <c r="I89" s="108"/>
    </row>
    <row r="90" spans="1:18" x14ac:dyDescent="0.3">
      <c r="A90" s="3"/>
      <c r="B90" s="397">
        <v>0</v>
      </c>
      <c r="C90" s="46" t="s">
        <v>45</v>
      </c>
      <c r="D90" s="34" t="s">
        <v>45</v>
      </c>
      <c r="E90" s="226" t="s">
        <v>45</v>
      </c>
      <c r="F90" s="68" t="s">
        <v>45</v>
      </c>
      <c r="G90" s="272">
        <f>0</f>
        <v>0</v>
      </c>
      <c r="H90" s="109">
        <f>B90*G90*soy</f>
        <v>0</v>
      </c>
      <c r="I90" s="108">
        <f>SUM(H89:H90)</f>
        <v>300</v>
      </c>
    </row>
    <row r="91" spans="1:18" x14ac:dyDescent="0.3">
      <c r="A91" s="69" t="s">
        <v>173</v>
      </c>
      <c r="B91" s="69"/>
      <c r="C91" s="46"/>
      <c r="D91" s="34"/>
      <c r="E91" s="226"/>
      <c r="F91" s="114"/>
      <c r="G91" s="114"/>
      <c r="H91" s="109"/>
    </row>
    <row r="92" spans="1:18" x14ac:dyDescent="0.3">
      <c r="A92" s="856" t="s">
        <v>1504</v>
      </c>
      <c r="B92" s="405">
        <f>IF(Data!$F$75=0,0,1)</f>
        <v>1</v>
      </c>
      <c r="C92" s="46" t="s">
        <v>45</v>
      </c>
      <c r="D92" s="46" t="s">
        <v>45</v>
      </c>
      <c r="E92" s="226" t="s">
        <v>45</v>
      </c>
      <c r="F92" s="68" t="s">
        <v>45</v>
      </c>
      <c r="G92" s="676">
        <f>Data!$F$75</f>
        <v>1.5</v>
      </c>
      <c r="H92" s="109">
        <f>B92*G92*soy</f>
        <v>150</v>
      </c>
      <c r="I92" s="108">
        <f>SUM(H92:H92)</f>
        <v>150</v>
      </c>
    </row>
    <row r="93" spans="1:18" x14ac:dyDescent="0.3">
      <c r="A93" s="856" t="s">
        <v>1510</v>
      </c>
      <c r="E93" s="17"/>
    </row>
    <row r="94" spans="1:18" x14ac:dyDescent="0.3">
      <c r="A94" s="638" t="s">
        <v>1507</v>
      </c>
      <c r="B94" s="816">
        <f>IF(OSI!$C$63&gt;0,1,0)</f>
        <v>1</v>
      </c>
      <c r="C94" s="817">
        <f>IF(OSI!$C$63&gt;0,OSI!$C$63,Data!$G$108)</f>
        <v>4</v>
      </c>
      <c r="D94" s="34" t="s">
        <v>1496</v>
      </c>
      <c r="E94" s="34">
        <f>B94*C94</f>
        <v>4</v>
      </c>
      <c r="F94" s="676">
        <f>IF(OSI!$C$63&gt;0,OSI!$C$64,Data!$I$108)</f>
        <v>250</v>
      </c>
      <c r="G94" s="114">
        <f>(C94*F94)/crops</f>
        <v>2.5</v>
      </c>
      <c r="H94" s="109">
        <f>B94*G94*soy</f>
        <v>250</v>
      </c>
    </row>
    <row r="95" spans="1:18" x14ac:dyDescent="0.3">
      <c r="A95" s="638" t="s">
        <v>1509</v>
      </c>
      <c r="B95" s="816">
        <f>IF(OSI!$D$63&gt;0,1,0)</f>
        <v>1</v>
      </c>
      <c r="C95" s="366">
        <f>IF(OSI!$D$63&gt;0,OSI!$D$63,Data!$G$109)</f>
        <v>1000</v>
      </c>
      <c r="D95" s="34" t="s">
        <v>1508</v>
      </c>
      <c r="E95" s="226">
        <f>B95*C95</f>
        <v>1000</v>
      </c>
      <c r="F95" s="367">
        <f>IF(OSI!$D$63&gt;0,OSI!$D$64,Data!$I$109)</f>
        <v>2.5</v>
      </c>
      <c r="G95" s="114">
        <f>(C95*F95)/crops</f>
        <v>6.25</v>
      </c>
      <c r="H95" s="109">
        <f>B95*G95*soy</f>
        <v>625</v>
      </c>
      <c r="I95" s="108">
        <f>SUM(H93:H95)</f>
        <v>875</v>
      </c>
    </row>
    <row r="96" spans="1:18" x14ac:dyDescent="0.3">
      <c r="A96" s="856" t="s">
        <v>1499</v>
      </c>
      <c r="B96" s="405"/>
      <c r="C96" s="46"/>
      <c r="D96" s="34"/>
      <c r="E96" s="34"/>
      <c r="F96" s="55"/>
      <c r="G96" s="138"/>
      <c r="H96" s="110"/>
    </row>
    <row r="97" spans="1:15" x14ac:dyDescent="0.3">
      <c r="A97" s="638" t="s">
        <v>1511</v>
      </c>
      <c r="B97" s="816">
        <f>IF(OSI!$G$62&gt;0,1,0)</f>
        <v>1</v>
      </c>
      <c r="C97" s="816">
        <f>IF(OSI!$G$62&gt;0,OSI!$G$62,Data!$G$111)</f>
        <v>12</v>
      </c>
      <c r="D97" s="34" t="s">
        <v>1502</v>
      </c>
      <c r="E97" s="34">
        <f>B97*C97</f>
        <v>12</v>
      </c>
      <c r="F97" s="676">
        <f>IF(OSI!$G$62&gt;0,OSI!$G$63,Data!$I$111)</f>
        <v>75</v>
      </c>
      <c r="G97" s="114">
        <f>(C97*F97)/crops</f>
        <v>2.25</v>
      </c>
      <c r="H97" s="109">
        <f>B97*G97*soy</f>
        <v>225</v>
      </c>
    </row>
    <row r="98" spans="1:15" x14ac:dyDescent="0.3">
      <c r="A98" s="638" t="s">
        <v>1500</v>
      </c>
      <c r="B98" s="816">
        <f>IF(OSI!$I$62&gt;0,1,0)</f>
        <v>1</v>
      </c>
      <c r="C98" s="816">
        <f>IF(OSI!$I$62&gt;0,OSI!$I$62,Data!$G$112)</f>
        <v>12</v>
      </c>
      <c r="D98" s="34" t="s">
        <v>1502</v>
      </c>
      <c r="E98" s="34">
        <f>B98*C98</f>
        <v>12</v>
      </c>
      <c r="F98" s="676">
        <f>IF(OSI!$I$62&gt;0,OSI!$I$63,Data!$I$112)</f>
        <v>75</v>
      </c>
      <c r="G98" s="114">
        <f>(C98*F98)/crops</f>
        <v>2.25</v>
      </c>
      <c r="H98" s="109">
        <f>B98*G98*soy</f>
        <v>225</v>
      </c>
      <c r="I98" s="108">
        <f>SUM(H96:H98)</f>
        <v>450</v>
      </c>
    </row>
    <row r="99" spans="1:15" x14ac:dyDescent="0.3">
      <c r="A99" s="856" t="s">
        <v>1503</v>
      </c>
      <c r="B99" s="677">
        <f>limeapp</f>
        <v>0.2</v>
      </c>
      <c r="C99" s="46" t="s">
        <v>45</v>
      </c>
      <c r="D99" s="46" t="s">
        <v>45</v>
      </c>
      <c r="E99" s="226" t="s">
        <v>45</v>
      </c>
      <c r="F99" s="110">
        <f>Data!$E$97</f>
        <v>75</v>
      </c>
      <c r="G99" s="114">
        <f>B99*F99</f>
        <v>15</v>
      </c>
      <c r="H99" s="109">
        <f>G99*soy</f>
        <v>1500</v>
      </c>
      <c r="I99" s="108">
        <f>SUM(H99:H99)</f>
        <v>1500</v>
      </c>
    </row>
    <row r="100" spans="1:15" x14ac:dyDescent="0.3">
      <c r="A100" s="70" t="s">
        <v>177</v>
      </c>
      <c r="B100" s="70"/>
      <c r="F100" s="114"/>
      <c r="G100" s="114"/>
      <c r="H100" s="110"/>
    </row>
    <row r="101" spans="1:15" x14ac:dyDescent="0.3">
      <c r="A101" s="22" t="s">
        <v>174</v>
      </c>
      <c r="B101" s="816">
        <f>IF(Data!$E$57&gt;0,1,0)</f>
        <v>1</v>
      </c>
      <c r="C101" s="34" t="s">
        <v>45</v>
      </c>
      <c r="D101" s="34" t="s">
        <v>81</v>
      </c>
      <c r="E101" s="226" t="s">
        <v>45</v>
      </c>
      <c r="F101" s="110">
        <f>Data!D61</f>
        <v>50</v>
      </c>
      <c r="G101" s="114">
        <f>IF(soy&gt;0,H101/soy,0)</f>
        <v>12.5</v>
      </c>
      <c r="H101" s="110">
        <f>B101*F101*soy*Data!E57*Data!D21</f>
        <v>1250</v>
      </c>
    </row>
    <row r="102" spans="1:15" x14ac:dyDescent="0.3">
      <c r="A102" s="22" t="s">
        <v>224</v>
      </c>
      <c r="B102" s="1305">
        <f>IF(Data!$F$65&gt;0,1,0)</f>
        <v>0</v>
      </c>
      <c r="C102" s="34" t="s">
        <v>45</v>
      </c>
      <c r="D102" s="34" t="s">
        <v>225</v>
      </c>
      <c r="E102" s="226" t="s">
        <v>45</v>
      </c>
      <c r="F102" s="55" t="s">
        <v>45</v>
      </c>
      <c r="G102" s="1306">
        <f>Data!$F$65</f>
        <v>0</v>
      </c>
      <c r="H102" s="110">
        <f>B102*G102*soy</f>
        <v>0</v>
      </c>
      <c r="I102" s="108">
        <f>SUM(H100:H102)</f>
        <v>1250</v>
      </c>
    </row>
    <row r="103" spans="1:15" x14ac:dyDescent="0.3">
      <c r="A103" s="665" t="s">
        <v>179</v>
      </c>
      <c r="B103" s="405"/>
      <c r="C103" s="47"/>
      <c r="D103" s="47"/>
      <c r="E103" s="647"/>
      <c r="F103" s="590"/>
      <c r="G103" s="465"/>
      <c r="H103" s="123"/>
      <c r="I103" s="50"/>
      <c r="J103" s="27"/>
      <c r="K103" s="1293" t="s">
        <v>2104</v>
      </c>
      <c r="L103" s="1293" t="s">
        <v>236</v>
      </c>
      <c r="M103" s="1293" t="s">
        <v>393</v>
      </c>
      <c r="N103" s="216"/>
      <c r="O103" s="216"/>
    </row>
    <row r="104" spans="1:15" x14ac:dyDescent="0.3">
      <c r="A104" s="639" t="s">
        <v>957</v>
      </c>
      <c r="B104" s="405">
        <f>IF(OS!$AD$21="Dry",1,0)</f>
        <v>1</v>
      </c>
      <c r="C104" s="46" t="s">
        <v>45</v>
      </c>
      <c r="D104" s="46" t="s">
        <v>45</v>
      </c>
      <c r="E104" s="226" t="s">
        <v>45</v>
      </c>
      <c r="F104" s="55" t="s">
        <v>45</v>
      </c>
      <c r="G104" s="367">
        <f>Data!$I$72*Data!B253</f>
        <v>13.380383996841827</v>
      </c>
      <c r="H104" s="110">
        <f t="shared" ref="H104:H122" si="31">B104*G104*soy</f>
        <v>1338.0383996841827</v>
      </c>
      <c r="I104" s="50"/>
      <c r="K104" s="114">
        <f>Data!$I$72</f>
        <v>0.53521535987367308</v>
      </c>
      <c r="L104" s="24">
        <f>Data!B253</f>
        <v>25</v>
      </c>
      <c r="M104" s="98">
        <f>K104*L104</f>
        <v>13.380383996841827</v>
      </c>
    </row>
    <row r="105" spans="1:15" x14ac:dyDescent="0.3">
      <c r="A105" s="666" t="s">
        <v>247</v>
      </c>
      <c r="B105" s="405">
        <f>B104</f>
        <v>1</v>
      </c>
      <c r="C105" s="47" t="s">
        <v>45</v>
      </c>
      <c r="D105" s="48" t="s">
        <v>45</v>
      </c>
      <c r="E105" s="647" t="s">
        <v>45</v>
      </c>
      <c r="F105" s="118" t="s">
        <v>45</v>
      </c>
      <c r="G105" s="465">
        <f>Data!$I$72*(Data!B252-Data!B253)</f>
        <v>0</v>
      </c>
      <c r="H105" s="123">
        <f t="shared" si="31"/>
        <v>0</v>
      </c>
      <c r="I105" s="108">
        <f>SUM(H103:H105)</f>
        <v>1338.0383996841827</v>
      </c>
    </row>
    <row r="106" spans="1:15" x14ac:dyDescent="0.3">
      <c r="A106" s="665" t="s">
        <v>2075</v>
      </c>
      <c r="E106" s="17"/>
    </row>
    <row r="107" spans="1:15" x14ac:dyDescent="0.3">
      <c r="A107" s="639" t="s">
        <v>2026</v>
      </c>
      <c r="B107" s="405">
        <f>IF(OSI!$L$92&gt;0,OSI!$L$92,0)</f>
        <v>0</v>
      </c>
      <c r="C107" s="643">
        <v>1</v>
      </c>
      <c r="D107" s="34" t="s">
        <v>1517</v>
      </c>
      <c r="E107" s="34">
        <f>B107*C107</f>
        <v>0</v>
      </c>
      <c r="F107" s="676">
        <f>OSI!$L$92</f>
        <v>0</v>
      </c>
      <c r="G107" s="114">
        <f>(C107*F107)/crops</f>
        <v>0</v>
      </c>
      <c r="H107" s="110">
        <f>B107*G107*soy</f>
        <v>0</v>
      </c>
    </row>
    <row r="108" spans="1:15" x14ac:dyDescent="0.3">
      <c r="A108" s="639" t="s">
        <v>2027</v>
      </c>
      <c r="B108" s="405">
        <f>IF(OSI!$L$94&gt;0,OSI!$L$94,0)</f>
        <v>0</v>
      </c>
      <c r="C108" s="405">
        <f>OSI!$L$94</f>
        <v>0</v>
      </c>
      <c r="D108" s="34" t="s">
        <v>2028</v>
      </c>
      <c r="E108" s="34">
        <f>B108*C108</f>
        <v>0</v>
      </c>
      <c r="F108" s="367">
        <f>OSI!$L$95</f>
        <v>0</v>
      </c>
      <c r="G108" s="114">
        <f>(C108*F108)/crops</f>
        <v>0</v>
      </c>
      <c r="H108" s="110">
        <f>B108*G108*soy</f>
        <v>0</v>
      </c>
      <c r="I108" s="108">
        <f>SUM(H106:H108)</f>
        <v>0</v>
      </c>
    </row>
    <row r="109" spans="1:15" x14ac:dyDescent="0.3">
      <c r="A109" s="856" t="s">
        <v>1518</v>
      </c>
      <c r="B109" s="644"/>
      <c r="C109" s="47"/>
      <c r="D109" s="48"/>
      <c r="E109" s="48"/>
      <c r="F109" s="118"/>
      <c r="G109" s="465"/>
      <c r="H109" s="124"/>
      <c r="I109" s="110"/>
      <c r="K109" s="34"/>
      <c r="N109" s="77"/>
    </row>
    <row r="110" spans="1:15" x14ac:dyDescent="0.3">
      <c r="A110" s="638" t="s">
        <v>1519</v>
      </c>
      <c r="B110" s="816">
        <f>IF(Data!$P$108&gt;0,1,0)</f>
        <v>1</v>
      </c>
      <c r="C110" s="862">
        <f>Data!$Q$108</f>
        <v>0.1</v>
      </c>
      <c r="D110" s="34" t="s">
        <v>128</v>
      </c>
      <c r="E110" s="228">
        <f>C110*soy</f>
        <v>10</v>
      </c>
      <c r="F110" s="167">
        <f t="shared" ref="F110:F113" si="32">_wage_</f>
        <v>12.29</v>
      </c>
      <c r="G110" s="114">
        <f t="shared" ref="G110:G115" si="33">C110*F110</f>
        <v>1.2290000000000001</v>
      </c>
      <c r="H110" s="110">
        <f t="shared" si="31"/>
        <v>122.9</v>
      </c>
      <c r="I110" s="110"/>
      <c r="N110" s="77"/>
    </row>
    <row r="111" spans="1:15" x14ac:dyDescent="0.3">
      <c r="A111" s="638" t="s">
        <v>1520</v>
      </c>
      <c r="B111" s="816">
        <f>IF(Data!$P$109&gt;0,1,0)</f>
        <v>1</v>
      </c>
      <c r="C111" s="862">
        <f>Data!$Q$109</f>
        <v>0.02</v>
      </c>
      <c r="D111" s="34" t="s">
        <v>128</v>
      </c>
      <c r="E111" s="228">
        <f>C111*soy</f>
        <v>2</v>
      </c>
      <c r="F111" s="167">
        <f t="shared" si="32"/>
        <v>12.29</v>
      </c>
      <c r="G111" s="114">
        <f t="shared" si="33"/>
        <v>0.24579999999999999</v>
      </c>
      <c r="H111" s="110">
        <f t="shared" si="31"/>
        <v>24.58</v>
      </c>
      <c r="I111" s="110"/>
      <c r="N111" s="77"/>
    </row>
    <row r="112" spans="1:15" x14ac:dyDescent="0.3">
      <c r="A112" s="638" t="s">
        <v>1521</v>
      </c>
      <c r="B112" s="816">
        <f>IF(Data!$P$110&gt;0,1,0)</f>
        <v>1</v>
      </c>
      <c r="C112" s="862">
        <f>Data!$Q$110</f>
        <v>0.45500000000000002</v>
      </c>
      <c r="D112" s="34" t="s">
        <v>128</v>
      </c>
      <c r="E112" s="228">
        <f>C112*soy</f>
        <v>45.5</v>
      </c>
      <c r="F112" s="167">
        <f t="shared" si="32"/>
        <v>12.29</v>
      </c>
      <c r="G112" s="114">
        <f t="shared" si="33"/>
        <v>5.5919499999999998</v>
      </c>
      <c r="H112" s="110">
        <f t="shared" si="31"/>
        <v>559.19499999999994</v>
      </c>
      <c r="I112" s="110"/>
      <c r="K112" s="34"/>
      <c r="N112" s="77"/>
    </row>
    <row r="113" spans="1:14" x14ac:dyDescent="0.3">
      <c r="A113" s="638" t="s">
        <v>1522</v>
      </c>
      <c r="B113" s="816">
        <f>IF(Data!$P$111&gt;0,1,0)</f>
        <v>1</v>
      </c>
      <c r="C113" s="862">
        <f>Data!$Q$111</f>
        <v>0.32500000000000001</v>
      </c>
      <c r="D113" s="34" t="s">
        <v>128</v>
      </c>
      <c r="E113" s="228">
        <f>C113*soy</f>
        <v>32.5</v>
      </c>
      <c r="F113" s="167">
        <f t="shared" si="32"/>
        <v>12.29</v>
      </c>
      <c r="G113" s="114">
        <f t="shared" si="33"/>
        <v>3.9942500000000001</v>
      </c>
      <c r="H113" s="110">
        <f t="shared" si="31"/>
        <v>399.42500000000001</v>
      </c>
      <c r="I113" s="110">
        <f>SUM(H109:H113)</f>
        <v>1106.0999999999999</v>
      </c>
      <c r="K113" s="34"/>
      <c r="N113" s="77"/>
    </row>
    <row r="114" spans="1:14" x14ac:dyDescent="0.3">
      <c r="A114" s="856" t="s">
        <v>1528</v>
      </c>
      <c r="B114" s="644"/>
      <c r="C114" s="862"/>
      <c r="D114" s="34"/>
      <c r="E114" s="228"/>
      <c r="F114" s="167"/>
      <c r="G114" s="114"/>
      <c r="H114" s="110"/>
      <c r="I114" s="110"/>
      <c r="K114" s="34"/>
      <c r="N114" s="77"/>
    </row>
    <row r="115" spans="1:14" x14ac:dyDescent="0.3">
      <c r="A115" s="638" t="s">
        <v>1530</v>
      </c>
      <c r="B115" s="816">
        <f>IF(Data!$P$113&gt;0,1,0)</f>
        <v>0</v>
      </c>
      <c r="C115" s="226">
        <f>Data!$Q$113</f>
        <v>0</v>
      </c>
      <c r="D115" s="34" t="s">
        <v>128</v>
      </c>
      <c r="E115" s="226">
        <f>C115*soy</f>
        <v>0</v>
      </c>
      <c r="F115" s="167">
        <f>Data!$S$271</f>
        <v>45</v>
      </c>
      <c r="G115" s="110">
        <f t="shared" si="33"/>
        <v>0</v>
      </c>
      <c r="H115" s="110">
        <f t="shared" si="31"/>
        <v>0</v>
      </c>
      <c r="I115" s="110">
        <f>SUM(H114:H115)</f>
        <v>0</v>
      </c>
      <c r="K115" s="34"/>
      <c r="N115" s="77"/>
    </row>
    <row r="116" spans="1:14" x14ac:dyDescent="0.3">
      <c r="A116" s="856" t="s">
        <v>1512</v>
      </c>
      <c r="B116" s="816">
        <f>Data!$G$113</f>
        <v>1</v>
      </c>
      <c r="C116" s="46" t="s">
        <v>45</v>
      </c>
      <c r="D116" s="46" t="s">
        <v>1517</v>
      </c>
      <c r="E116" s="46" t="s">
        <v>45</v>
      </c>
      <c r="F116" s="676">
        <f>Data!$I$113</f>
        <v>200</v>
      </c>
      <c r="G116" s="114">
        <f>F116/crops</f>
        <v>0.5</v>
      </c>
      <c r="H116" s="110">
        <f t="shared" si="31"/>
        <v>50</v>
      </c>
      <c r="I116" s="110"/>
      <c r="K116" s="34"/>
      <c r="N116" s="77"/>
    </row>
    <row r="117" spans="1:14" x14ac:dyDescent="0.3">
      <c r="A117" s="856" t="s">
        <v>1513</v>
      </c>
      <c r="B117" s="816">
        <f>Data!$G$114</f>
        <v>1</v>
      </c>
      <c r="C117" s="46" t="s">
        <v>45</v>
      </c>
      <c r="D117" s="46" t="s">
        <v>1517</v>
      </c>
      <c r="E117" s="46" t="s">
        <v>45</v>
      </c>
      <c r="F117" s="676">
        <f>Data!$I$114</f>
        <v>500</v>
      </c>
      <c r="G117" s="114">
        <f>F117/crops</f>
        <v>1.25</v>
      </c>
      <c r="H117" s="110">
        <f t="shared" si="31"/>
        <v>125</v>
      </c>
      <c r="I117" s="110"/>
      <c r="K117" s="34"/>
      <c r="N117" s="77"/>
    </row>
    <row r="118" spans="1:14" x14ac:dyDescent="0.3">
      <c r="A118" s="856" t="s">
        <v>1514</v>
      </c>
      <c r="B118" s="816">
        <f>Data!$G$115</f>
        <v>1</v>
      </c>
      <c r="C118" s="46" t="s">
        <v>45</v>
      </c>
      <c r="D118" s="46" t="s">
        <v>1517</v>
      </c>
      <c r="E118" s="46" t="s">
        <v>45</v>
      </c>
      <c r="F118" s="676">
        <f>Data!$I$115</f>
        <v>250</v>
      </c>
      <c r="G118" s="114">
        <f>F118/crops</f>
        <v>0.625</v>
      </c>
      <c r="H118" s="110">
        <f t="shared" si="31"/>
        <v>62.5</v>
      </c>
      <c r="I118" s="110">
        <f>SUM(H116:H118)</f>
        <v>237.5</v>
      </c>
      <c r="K118" s="34"/>
      <c r="N118" s="77"/>
    </row>
    <row r="119" spans="1:14" x14ac:dyDescent="0.3">
      <c r="A119" s="70" t="s">
        <v>180</v>
      </c>
      <c r="B119" s="405">
        <f>IF(othexp&gt;0,1,0)</f>
        <v>0</v>
      </c>
      <c r="C119" s="46" t="s">
        <v>45</v>
      </c>
      <c r="D119" s="46" t="s">
        <v>45</v>
      </c>
      <c r="E119" s="226" t="s">
        <v>45</v>
      </c>
      <c r="F119" s="55" t="s">
        <v>45</v>
      </c>
      <c r="G119" s="114">
        <f>othexp</f>
        <v>0</v>
      </c>
      <c r="H119" s="110">
        <f t="shared" si="31"/>
        <v>0</v>
      </c>
    </row>
    <row r="120" spans="1:14" x14ac:dyDescent="0.3">
      <c r="A120" s="22" t="s">
        <v>2162</v>
      </c>
      <c r="B120" s="397">
        <v>0</v>
      </c>
      <c r="C120" s="46" t="s">
        <v>45</v>
      </c>
      <c r="D120" s="46" t="s">
        <v>950</v>
      </c>
      <c r="E120" s="226" t="s">
        <v>45</v>
      </c>
      <c r="F120" s="55" t="s">
        <v>45</v>
      </c>
      <c r="G120" s="114">
        <f>IF($B$120=1,K120*(Data!B252*60)/2000,0)</f>
        <v>0</v>
      </c>
      <c r="H120" s="110">
        <f t="shared" ref="H120" si="34">B120*G120*soy</f>
        <v>0</v>
      </c>
      <c r="K120" s="249">
        <v>55</v>
      </c>
      <c r="L120" s="17" t="s">
        <v>242</v>
      </c>
    </row>
    <row r="121" spans="1:14" x14ac:dyDescent="0.3">
      <c r="A121" s="22" t="s">
        <v>181</v>
      </c>
      <c r="B121" s="397">
        <v>0</v>
      </c>
      <c r="C121" s="46" t="s">
        <v>45</v>
      </c>
      <c r="D121" s="46" t="s">
        <v>45</v>
      </c>
      <c r="E121" s="226" t="s">
        <v>45</v>
      </c>
      <c r="F121" s="55" t="s">
        <v>45</v>
      </c>
      <c r="G121" s="272">
        <f>0</f>
        <v>0</v>
      </c>
      <c r="H121" s="110">
        <f t="shared" si="31"/>
        <v>0</v>
      </c>
      <c r="I121" s="110">
        <f>SUM(H119:H121)</f>
        <v>0</v>
      </c>
    </row>
    <row r="122" spans="1:14" x14ac:dyDescent="0.3">
      <c r="A122" s="3" t="s">
        <v>226</v>
      </c>
      <c r="B122" s="397">
        <v>0</v>
      </c>
      <c r="C122" s="46" t="s">
        <v>45</v>
      </c>
      <c r="D122" s="75" t="s">
        <v>45</v>
      </c>
      <c r="E122" s="226" t="s">
        <v>45</v>
      </c>
      <c r="F122" s="55" t="s">
        <v>45</v>
      </c>
      <c r="G122" s="272">
        <f>0</f>
        <v>0</v>
      </c>
      <c r="H122" s="110">
        <f t="shared" si="31"/>
        <v>0</v>
      </c>
      <c r="I122" s="110">
        <f>SUM(H122:H122)</f>
        <v>0</v>
      </c>
    </row>
    <row r="123" spans="1:14" x14ac:dyDescent="0.3">
      <c r="A123" s="3" t="s">
        <v>73</v>
      </c>
      <c r="B123" s="3"/>
      <c r="F123" s="114"/>
      <c r="G123" s="119">
        <f>SUM(G8:G122)</f>
        <v>603.98783704141874</v>
      </c>
      <c r="H123" s="111">
        <f>SUM(H8:H122)</f>
        <v>24848.149320020009</v>
      </c>
    </row>
    <row r="124" spans="1:14" x14ac:dyDescent="0.3">
      <c r="F124" s="114"/>
      <c r="G124" s="114"/>
      <c r="H124" s="109"/>
    </row>
    <row r="125" spans="1:14" ht="39" x14ac:dyDescent="0.3">
      <c r="A125" s="3" t="s">
        <v>69</v>
      </c>
      <c r="B125" s="3"/>
      <c r="C125" s="25" t="s">
        <v>70</v>
      </c>
      <c r="D125" s="25" t="s">
        <v>71</v>
      </c>
      <c r="E125" s="648"/>
      <c r="F125" s="114"/>
      <c r="G125" s="120" t="s">
        <v>1292</v>
      </c>
      <c r="H125" s="126" t="s">
        <v>72</v>
      </c>
    </row>
    <row r="126" spans="1:14" x14ac:dyDescent="0.3">
      <c r="A126" s="3"/>
      <c r="B126" s="3"/>
      <c r="C126" s="35">
        <f>_int_oper_</f>
        <v>4.7341710603787002E-2</v>
      </c>
      <c r="D126" s="34">
        <f>Data!$B$48</f>
        <v>7</v>
      </c>
      <c r="E126" s="226"/>
      <c r="F126" s="114"/>
      <c r="G126" s="104">
        <f>IF(soy&gt;0,H126/soy,0)</f>
        <v>6.8620643825304333</v>
      </c>
      <c r="H126" s="109">
        <f>C126*(D126/12)*(H123)</f>
        <v>686.2064382530433</v>
      </c>
    </row>
    <row r="127" spans="1:14" x14ac:dyDescent="0.3">
      <c r="F127" s="114"/>
      <c r="G127" s="103"/>
      <c r="H127" s="127"/>
    </row>
    <row r="128" spans="1:14" ht="14" thickBot="1" x14ac:dyDescent="0.4">
      <c r="A128" s="1" t="s">
        <v>74</v>
      </c>
      <c r="B128" s="1"/>
      <c r="F128" s="114"/>
      <c r="G128" s="121">
        <f>G123+G126</f>
        <v>610.84990142394918</v>
      </c>
      <c r="H128" s="128">
        <f>H123+H126</f>
        <v>25534.355758273054</v>
      </c>
    </row>
    <row r="129" spans="6:8" ht="13.5" thickTop="1" x14ac:dyDescent="0.3">
      <c r="F129" s="34"/>
      <c r="G129" s="34"/>
      <c r="H129" s="49"/>
    </row>
    <row r="130" spans="6:8" x14ac:dyDescent="0.3">
      <c r="F130" s="34"/>
      <c r="G130" s="34"/>
      <c r="H130" s="49"/>
    </row>
    <row r="131" spans="6:8" x14ac:dyDescent="0.3">
      <c r="F131" s="34"/>
      <c r="G131" s="34"/>
      <c r="H131" s="49"/>
    </row>
    <row r="132" spans="6:8" x14ac:dyDescent="0.3">
      <c r="F132" s="34"/>
      <c r="G132" s="34"/>
      <c r="H132" s="49"/>
    </row>
    <row r="133" spans="6:8" x14ac:dyDescent="0.3">
      <c r="F133" s="34"/>
      <c r="G133" s="34"/>
      <c r="H133" s="49"/>
    </row>
    <row r="134" spans="6:8" x14ac:dyDescent="0.3">
      <c r="F134" s="34"/>
      <c r="G134" s="34"/>
      <c r="H134" s="49"/>
    </row>
    <row r="135" spans="6:8" x14ac:dyDescent="0.3">
      <c r="F135" s="34"/>
      <c r="G135" s="34"/>
      <c r="H135" s="49"/>
    </row>
    <row r="136" spans="6:8" x14ac:dyDescent="0.3">
      <c r="F136" s="34"/>
      <c r="G136" s="34"/>
      <c r="H136" s="49"/>
    </row>
    <row r="137" spans="6:8" x14ac:dyDescent="0.3">
      <c r="F137" s="34"/>
      <c r="G137" s="34"/>
      <c r="H137" s="49"/>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row>
    <row r="632" spans="6:8" x14ac:dyDescent="0.3">
      <c r="F632" s="34"/>
    </row>
    <row r="633" spans="6:8" x14ac:dyDescent="0.3">
      <c r="F633" s="34"/>
    </row>
    <row r="634" spans="6:8" x14ac:dyDescent="0.3">
      <c r="F634" s="34"/>
    </row>
    <row r="635" spans="6:8" x14ac:dyDescent="0.3">
      <c r="F635" s="34"/>
    </row>
    <row r="636" spans="6:8" x14ac:dyDescent="0.3">
      <c r="F636" s="34"/>
    </row>
    <row r="637" spans="6:8" x14ac:dyDescent="0.3">
      <c r="F637" s="34"/>
    </row>
    <row r="638" spans="6:8" x14ac:dyDescent="0.3">
      <c r="F638" s="34"/>
    </row>
    <row r="639" spans="6:8" x14ac:dyDescent="0.3">
      <c r="F639" s="34"/>
    </row>
    <row r="640" spans="6:8" x14ac:dyDescent="0.3">
      <c r="F640" s="34"/>
    </row>
    <row r="641" spans="6:6" x14ac:dyDescent="0.3">
      <c r="F641" s="34"/>
    </row>
    <row r="642" spans="6:6" x14ac:dyDescent="0.3">
      <c r="F642" s="34"/>
    </row>
    <row r="643" spans="6:6" x14ac:dyDescent="0.3">
      <c r="F643" s="34"/>
    </row>
    <row r="644" spans="6:6" x14ac:dyDescent="0.3">
      <c r="F644" s="34"/>
    </row>
    <row r="645" spans="6:6" x14ac:dyDescent="0.3">
      <c r="F645" s="34"/>
    </row>
    <row r="646" spans="6:6" x14ac:dyDescent="0.3">
      <c r="F646" s="34"/>
    </row>
    <row r="647" spans="6:6" x14ac:dyDescent="0.3">
      <c r="F647" s="34"/>
    </row>
    <row r="648" spans="6:6" x14ac:dyDescent="0.3">
      <c r="F648" s="34"/>
    </row>
    <row r="649" spans="6:6" x14ac:dyDescent="0.3">
      <c r="F649" s="34"/>
    </row>
    <row r="650" spans="6:6" x14ac:dyDescent="0.3">
      <c r="F650" s="34"/>
    </row>
    <row r="651" spans="6:6" x14ac:dyDescent="0.3">
      <c r="F651" s="34"/>
    </row>
    <row r="652" spans="6:6" x14ac:dyDescent="0.3">
      <c r="F652" s="34"/>
    </row>
  </sheetData>
  <phoneticPr fontId="0" type="noConversion"/>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zoomScale="70" zoomScaleNormal="70" workbookViewId="0">
      <selection activeCell="E16" sqref="E16"/>
    </sheetView>
  </sheetViews>
  <sheetFormatPr defaultColWidth="8.90625" defaultRowHeight="20.5" x14ac:dyDescent="0.45"/>
  <cols>
    <col min="1" max="1" width="5.6328125" style="1108" customWidth="1"/>
    <col min="2" max="3" width="17.81640625" style="1108" customWidth="1"/>
    <col min="4" max="4" width="20.81640625" style="1108" customWidth="1"/>
    <col min="5" max="5" width="17.81640625" style="1108" customWidth="1"/>
    <col min="6" max="6" width="20.81640625" style="1108" customWidth="1"/>
    <col min="7" max="7" width="20.6328125" style="1108" customWidth="1"/>
    <col min="8" max="8" width="20.81640625" style="1108" customWidth="1"/>
    <col min="9" max="9" width="17.81640625" style="1108" customWidth="1"/>
    <col min="10" max="10" width="20.81640625" style="1108" customWidth="1"/>
    <col min="11" max="12" width="17.81640625" style="1108" customWidth="1"/>
    <col min="13" max="13" width="20.6328125" style="1108" customWidth="1"/>
    <col min="14" max="15" width="17.81640625" style="1108" customWidth="1"/>
    <col min="16" max="16" width="19.81640625" style="1108" customWidth="1"/>
    <col min="17" max="18" width="17.81640625" style="1108" customWidth="1"/>
    <col min="19" max="19" width="5.81640625" style="1108" customWidth="1"/>
    <col min="20" max="21" width="8.90625" style="1108"/>
    <col min="22" max="22" width="13.08984375" style="1108" customWidth="1"/>
    <col min="23" max="16384" width="8.90625" style="1108"/>
  </cols>
  <sheetData>
    <row r="1" spans="1:19" ht="18" customHeight="1" thickBot="1" x14ac:dyDescent="0.5">
      <c r="A1" s="1105"/>
      <c r="B1" s="1100"/>
      <c r="C1" s="1100"/>
      <c r="D1" s="1100"/>
      <c r="E1" s="1100"/>
      <c r="F1" s="1100"/>
      <c r="G1" s="1100"/>
      <c r="H1" s="1100"/>
      <c r="I1" s="1100"/>
      <c r="J1" s="1100"/>
      <c r="K1" s="1085" t="s">
        <v>1839</v>
      </c>
      <c r="L1" s="1106"/>
      <c r="M1" s="1102"/>
      <c r="N1" s="1102"/>
      <c r="O1" s="1102"/>
      <c r="P1" s="1102"/>
      <c r="Q1" s="1103"/>
      <c r="R1" s="1103"/>
      <c r="S1" s="1107"/>
    </row>
    <row r="2" spans="1:19" ht="18" customHeight="1" thickBot="1" x14ac:dyDescent="0.5">
      <c r="A2" s="1109"/>
      <c r="B2" s="1086" t="s">
        <v>2177</v>
      </c>
      <c r="C2" s="1110"/>
      <c r="D2" s="1110"/>
      <c r="E2" s="1110"/>
      <c r="F2" s="1110"/>
      <c r="G2" s="1110"/>
      <c r="H2" s="1110"/>
      <c r="I2" s="1110"/>
      <c r="J2" s="1111"/>
      <c r="K2" s="1310" t="str">
        <f>FARM!K2</f>
        <v>ME Grain &amp; Pulse</v>
      </c>
      <c r="L2" s="1311"/>
      <c r="M2" s="1079"/>
      <c r="N2" s="1079"/>
      <c r="O2" s="1079"/>
      <c r="P2" s="1079"/>
      <c r="Q2" s="1104"/>
      <c r="R2" s="1104"/>
      <c r="S2" s="1112"/>
    </row>
    <row r="3" spans="1:19" ht="18" customHeight="1" thickBot="1" x14ac:dyDescent="0.5">
      <c r="A3" s="1109"/>
      <c r="B3" s="1087"/>
      <c r="C3" s="1101"/>
      <c r="D3" s="1101"/>
      <c r="E3" s="1101"/>
      <c r="F3" s="1113"/>
      <c r="G3" s="1114"/>
      <c r="H3" s="1101"/>
      <c r="I3" s="1101"/>
      <c r="J3" s="1101"/>
      <c r="K3" s="1101"/>
      <c r="L3" s="1101"/>
      <c r="M3" s="1099"/>
      <c r="N3" s="1099"/>
      <c r="O3" s="1099"/>
      <c r="P3" s="1099"/>
      <c r="Q3" s="1101"/>
      <c r="R3" s="1101"/>
      <c r="S3" s="1112"/>
    </row>
    <row r="4" spans="1:19" ht="18" customHeight="1" x14ac:dyDescent="0.45">
      <c r="A4" s="1109"/>
      <c r="B4" s="1091" t="s">
        <v>1835</v>
      </c>
      <c r="C4" s="1101"/>
      <c r="D4" s="1101"/>
      <c r="E4" s="1101"/>
      <c r="F4" s="1089"/>
      <c r="G4" s="1101"/>
      <c r="H4" s="1101"/>
      <c r="I4" s="1101"/>
      <c r="J4" s="1101"/>
      <c r="K4" s="1098"/>
      <c r="L4" s="1347"/>
      <c r="M4" s="1115"/>
      <c r="N4" s="1115"/>
      <c r="O4" s="1115"/>
      <c r="P4" s="1115"/>
      <c r="Q4" s="1101"/>
      <c r="R4" s="1101"/>
      <c r="S4" s="1112"/>
    </row>
    <row r="5" spans="1:19" ht="18" customHeight="1" x14ac:dyDescent="0.45">
      <c r="A5" s="1109"/>
      <c r="B5" s="1081"/>
      <c r="C5" s="1080" t="s">
        <v>1834</v>
      </c>
      <c r="D5" s="1101"/>
      <c r="E5" s="1101"/>
      <c r="F5" s="1089"/>
      <c r="G5" s="1101"/>
      <c r="H5" s="1101"/>
      <c r="I5" s="1101"/>
      <c r="J5" s="1101"/>
      <c r="K5" s="1098"/>
      <c r="L5" s="1347"/>
      <c r="M5" s="1101"/>
      <c r="N5" s="1101"/>
      <c r="O5" s="1101"/>
      <c r="P5" s="1101"/>
      <c r="Q5" s="1101"/>
      <c r="R5" s="1101"/>
      <c r="S5" s="1112"/>
    </row>
    <row r="6" spans="1:19" ht="18" customHeight="1" x14ac:dyDescent="0.45">
      <c r="A6" s="1109"/>
      <c r="B6" s="1081"/>
      <c r="C6" s="1099"/>
      <c r="D6" s="1101"/>
      <c r="E6" s="1101"/>
      <c r="F6" s="1089"/>
      <c r="G6" s="1101"/>
      <c r="H6" s="1101"/>
      <c r="I6" s="1101"/>
      <c r="J6" s="1101"/>
      <c r="K6" s="1098"/>
      <c r="L6" s="1098"/>
      <c r="M6" s="1101"/>
      <c r="N6" s="1101"/>
      <c r="O6" s="1101"/>
      <c r="P6" s="1101"/>
      <c r="Q6" s="1101"/>
      <c r="R6" s="1101"/>
      <c r="S6" s="1112"/>
    </row>
    <row r="7" spans="1:19" ht="18" customHeight="1" x14ac:dyDescent="0.45">
      <c r="A7" s="1109"/>
      <c r="B7" s="1081"/>
      <c r="C7" s="1082" t="s">
        <v>76</v>
      </c>
      <c r="D7" s="1082" t="s">
        <v>76</v>
      </c>
      <c r="E7" s="1101"/>
      <c r="F7" s="1082" t="s">
        <v>1552</v>
      </c>
      <c r="G7" s="1082" t="s">
        <v>1553</v>
      </c>
      <c r="H7" s="1101"/>
      <c r="I7" s="1082" t="s">
        <v>1552</v>
      </c>
      <c r="J7" s="1082" t="s">
        <v>1553</v>
      </c>
      <c r="K7" s="1101"/>
      <c r="L7" s="1082" t="s">
        <v>1552</v>
      </c>
      <c r="M7" s="1082" t="s">
        <v>1553</v>
      </c>
      <c r="N7" s="1101"/>
      <c r="O7" s="1082" t="s">
        <v>1552</v>
      </c>
      <c r="P7" s="1082" t="s">
        <v>1553</v>
      </c>
      <c r="Q7" s="1229" t="s">
        <v>76</v>
      </c>
      <c r="R7" s="1229"/>
      <c r="S7" s="1112"/>
    </row>
    <row r="8" spans="1:19" ht="18" customHeight="1" x14ac:dyDescent="0.45">
      <c r="A8" s="1109"/>
      <c r="B8" s="1081" t="s">
        <v>1544</v>
      </c>
      <c r="C8" s="1082" t="s">
        <v>1552</v>
      </c>
      <c r="D8" s="1082" t="s">
        <v>1553</v>
      </c>
      <c r="E8" s="1081" t="s">
        <v>1544</v>
      </c>
      <c r="F8" s="1082" t="s">
        <v>77</v>
      </c>
      <c r="G8" s="1082" t="s">
        <v>77</v>
      </c>
      <c r="H8" s="1081" t="s">
        <v>1544</v>
      </c>
      <c r="I8" s="1082" t="s">
        <v>1554</v>
      </c>
      <c r="J8" s="1082" t="s">
        <v>1554</v>
      </c>
      <c r="K8" s="1081" t="s">
        <v>1544</v>
      </c>
      <c r="L8" s="1082" t="s">
        <v>385</v>
      </c>
      <c r="M8" s="1082" t="s">
        <v>385</v>
      </c>
      <c r="N8" s="1081" t="s">
        <v>1544</v>
      </c>
      <c r="O8" s="1082" t="s">
        <v>1997</v>
      </c>
      <c r="P8" s="1082" t="s">
        <v>1997</v>
      </c>
      <c r="Q8" s="1229" t="s">
        <v>1994</v>
      </c>
      <c r="R8" s="1229"/>
      <c r="S8" s="1112"/>
    </row>
    <row r="9" spans="1:19" ht="18" customHeight="1" x14ac:dyDescent="0.45">
      <c r="A9" s="1109"/>
      <c r="B9" s="1160" t="s">
        <v>105</v>
      </c>
      <c r="C9" s="1368">
        <f>IF(FARM!$C$15=0,0,Bb!B77)</f>
        <v>1437.9111871802525</v>
      </c>
      <c r="D9" s="1368">
        <f>IF(FARM!$C$15=0,0,Bb!B78)</f>
        <v>15974.626463167682</v>
      </c>
      <c r="E9" s="1168" t="s">
        <v>105</v>
      </c>
      <c r="F9" s="1369">
        <f>IF(FARM!$C$15=0,0,Bb!D77)</f>
        <v>14.379111871802479</v>
      </c>
      <c r="G9" s="1369">
        <f>IF(FARM!$C$15=0,0,Bb!D78)</f>
        <v>159.74626463167681</v>
      </c>
      <c r="H9" s="1168" t="s">
        <v>105</v>
      </c>
      <c r="I9" s="1369">
        <f>IF(FARM!$C$15=0,0,Bb!F77)</f>
        <v>0.342359806471487</v>
      </c>
      <c r="J9" s="1369">
        <f>IF(FARM!$C$15=0,0,Bb!F78)</f>
        <v>3.8034824912303993</v>
      </c>
      <c r="K9" s="1168" t="s">
        <v>105</v>
      </c>
      <c r="L9" s="1369">
        <f>IF(FARM!$C$15=0,0,Bb!H77)</f>
        <v>14.264991936311958</v>
      </c>
      <c r="M9" s="1369">
        <f>IF(FARM!$C$15=0,0,Bb!H78)</f>
        <v>158.47843713459991</v>
      </c>
      <c r="N9" s="1168" t="s">
        <v>105</v>
      </c>
      <c r="O9" s="1369">
        <f>IF(FARM!$C$15=0,0,Bb!B86)</f>
        <v>0.37044364971244298</v>
      </c>
      <c r="P9" s="1369">
        <f>IF(FARM!$C$15=0,0,Bb!B87)</f>
        <v>4.1154829189509492</v>
      </c>
      <c r="Q9" s="1230">
        <f>IF(FARM!$C$15=0,0,Bb!D86)</f>
        <v>3881.5922159724742</v>
      </c>
      <c r="R9" s="1101"/>
      <c r="S9" s="1112"/>
    </row>
    <row r="10" spans="1:19" ht="18" customHeight="1" x14ac:dyDescent="0.45">
      <c r="A10" s="1109"/>
      <c r="B10" s="1161" t="s">
        <v>426</v>
      </c>
      <c r="C10" s="1368">
        <f>IF(FARM!$C$16=0,0,Ob!B77)</f>
        <v>0</v>
      </c>
      <c r="D10" s="1368">
        <f>IF(FARM!$C$16=0,0,Ob!B78)</f>
        <v>0</v>
      </c>
      <c r="E10" s="1169" t="s">
        <v>426</v>
      </c>
      <c r="F10" s="1369">
        <f>IF(FARM!$C$16=0,0,Ob!D77)</f>
        <v>0</v>
      </c>
      <c r="G10" s="1369">
        <f>IF(FARM!$C$16=0,0,Ob!D78)</f>
        <v>0</v>
      </c>
      <c r="H10" s="1169" t="s">
        <v>426</v>
      </c>
      <c r="I10" s="1369">
        <f>IF(FARM!$C$16=0,0,Ob!F77)</f>
        <v>0</v>
      </c>
      <c r="J10" s="1369">
        <f>IF(FARM!$C$16=0,0,Ob!F78)</f>
        <v>0</v>
      </c>
      <c r="K10" s="1169" t="s">
        <v>426</v>
      </c>
      <c r="L10" s="1369">
        <f>IF(FARM!$C$16=0,0,Ob!H77)</f>
        <v>0</v>
      </c>
      <c r="M10" s="1369">
        <f>IF(FARM!$C$16=0,0,Ob!H78)</f>
        <v>0</v>
      </c>
      <c r="N10" s="1169" t="s">
        <v>426</v>
      </c>
      <c r="O10" s="1369">
        <f>IF(FARM!$C$16=0,0,Ob!B86)</f>
        <v>0</v>
      </c>
      <c r="P10" s="1369">
        <f>IF(FARM!$C$16=0,0,Ob!B87)</f>
        <v>0</v>
      </c>
      <c r="Q10" s="1230">
        <f>IF(FARM!$C$16=0,0,Ob!D86)</f>
        <v>0</v>
      </c>
      <c r="R10" s="1101"/>
      <c r="S10" s="1112"/>
    </row>
    <row r="11" spans="1:19" ht="18" customHeight="1" x14ac:dyDescent="0.45">
      <c r="A11" s="1109"/>
      <c r="B11" s="1161" t="s">
        <v>522</v>
      </c>
      <c r="C11" s="1368">
        <f>IF(FARM!$C$17=0,0,Rb!B77)</f>
        <v>0</v>
      </c>
      <c r="D11" s="1368">
        <f>IF(FARM!$C$17=0,0,Rb!B78)</f>
        <v>0</v>
      </c>
      <c r="E11" s="1169" t="s">
        <v>522</v>
      </c>
      <c r="F11" s="1369">
        <f>IF(FARM!$C$17=0,0,Rb!D77)</f>
        <v>0</v>
      </c>
      <c r="G11" s="1369">
        <f>IF(FARM!$C$17=0,0,Rb!D78)</f>
        <v>0</v>
      </c>
      <c r="H11" s="1169" t="s">
        <v>522</v>
      </c>
      <c r="I11" s="1369">
        <f>IF(FARM!$C$17=0,0,Rb!F77)</f>
        <v>0</v>
      </c>
      <c r="J11" s="1369">
        <f>IF(FARM!$C$17=0,0,Rb!F78)</f>
        <v>0</v>
      </c>
      <c r="K11" s="1169" t="s">
        <v>522</v>
      </c>
      <c r="L11" s="1369">
        <f>IF(FARM!$C$17=0,0,Rb!H77)</f>
        <v>0</v>
      </c>
      <c r="M11" s="1369">
        <f>IF(FARM!$C$17=0,0,Rb!H78)</f>
        <v>0</v>
      </c>
      <c r="N11" s="1169" t="s">
        <v>522</v>
      </c>
      <c r="O11" s="1369">
        <f>IF(FARM!$C$17=0,0,Rb!B86)</f>
        <v>0</v>
      </c>
      <c r="P11" s="1369">
        <f>IF(FARM!$C$17=0,0,Rb!B87)</f>
        <v>0</v>
      </c>
      <c r="Q11" s="1230">
        <f>IF(FARM!$C$17=0,0,Rb!D86)</f>
        <v>0</v>
      </c>
      <c r="R11" s="1101"/>
      <c r="S11" s="1112"/>
    </row>
    <row r="12" spans="1:19" ht="18" customHeight="1" x14ac:dyDescent="0.45">
      <c r="A12" s="1109"/>
      <c r="B12" s="1161" t="s">
        <v>1934</v>
      </c>
      <c r="C12" s="1368">
        <f>IF(FARM!$C$18=0,0,Wb!B77)</f>
        <v>0</v>
      </c>
      <c r="D12" s="1368">
        <f>IF(FARM!$C$18=0,0,Wb!B78)</f>
        <v>0</v>
      </c>
      <c r="E12" s="1161" t="s">
        <v>1986</v>
      </c>
      <c r="F12" s="1369">
        <f>IF(FARM!$C$18=0,0,Wb!D77)</f>
        <v>0</v>
      </c>
      <c r="G12" s="1369">
        <f>IF(FARM!$C$18=0,0,Wb!D78)</f>
        <v>0</v>
      </c>
      <c r="H12" s="1161" t="s">
        <v>1986</v>
      </c>
      <c r="I12" s="1369">
        <f>IF(FARM!$C$18=0,0,Wb!F77)</f>
        <v>0</v>
      </c>
      <c r="J12" s="1369">
        <f>IF(FARM!$C$18=0,0,Wb!F78)</f>
        <v>0</v>
      </c>
      <c r="K12" s="1161" t="s">
        <v>1986</v>
      </c>
      <c r="L12" s="1369">
        <f>IF(FARM!$C$18=0,0,Wb!H77)</f>
        <v>0</v>
      </c>
      <c r="M12" s="1369">
        <f>IF(FARM!$C$18=0,0,Wb!H78)</f>
        <v>0</v>
      </c>
      <c r="N12" s="1161" t="s">
        <v>1986</v>
      </c>
      <c r="O12" s="1369">
        <f>IF(FARM!$C$18=0,0,Wb!B86)</f>
        <v>0</v>
      </c>
      <c r="P12" s="1369">
        <f>IF(FARM!$C$18=0,0,Wb!B87)</f>
        <v>0</v>
      </c>
      <c r="Q12" s="1230">
        <f>IF(FARM!$C$18=0,0,Wb!D86)</f>
        <v>0</v>
      </c>
      <c r="R12" s="1101"/>
      <c r="S12" s="1112"/>
    </row>
    <row r="13" spans="1:19" ht="18" customHeight="1" x14ac:dyDescent="0.45">
      <c r="A13" s="1109"/>
      <c r="B13" s="1161" t="s">
        <v>1935</v>
      </c>
      <c r="C13" s="1368">
        <f>IF(FARM!$C$19=0,0,wWb!B77)</f>
        <v>0</v>
      </c>
      <c r="D13" s="1368">
        <f>IF(FARM!$C$19=0,0,wWb!B78)</f>
        <v>0</v>
      </c>
      <c r="E13" s="1161" t="s">
        <v>1987</v>
      </c>
      <c r="F13" s="1369">
        <f>IF(FARM!$C$19=0,0,wWb!D77)</f>
        <v>0</v>
      </c>
      <c r="G13" s="1369">
        <f>IF(FARM!$C$19=0,0,wWb!D78)</f>
        <v>0</v>
      </c>
      <c r="H13" s="1161" t="s">
        <v>1987</v>
      </c>
      <c r="I13" s="1369">
        <f>IF(FARM!$C$19=0,0,wWb!F77)</f>
        <v>0</v>
      </c>
      <c r="J13" s="1369">
        <f>IF(FARM!$C$19=0,0,wWb!F78)</f>
        <v>0</v>
      </c>
      <c r="K13" s="1161" t="s">
        <v>1987</v>
      </c>
      <c r="L13" s="1369">
        <f>IF(FARM!$C$19=0,0,wWb!H77)</f>
        <v>0</v>
      </c>
      <c r="M13" s="1369">
        <f>IF(FARM!$C$19=0,0,wWb!H78)</f>
        <v>0</v>
      </c>
      <c r="N13" s="1161" t="s">
        <v>1987</v>
      </c>
      <c r="O13" s="1369">
        <f>IF(FARM!$C$19=0,0,wWb!B86)</f>
        <v>0</v>
      </c>
      <c r="P13" s="1369">
        <f>IF(FARM!$C$19=0,0,wWb!B87)</f>
        <v>0</v>
      </c>
      <c r="Q13" s="1230">
        <f>IF(FARM!$C$19=0,0,wWb!D86)</f>
        <v>0</v>
      </c>
      <c r="R13" s="1101"/>
      <c r="S13" s="1112"/>
    </row>
    <row r="14" spans="1:19" ht="18" customHeight="1" x14ac:dyDescent="0.45">
      <c r="A14" s="1109"/>
      <c r="B14" s="1161" t="s">
        <v>571</v>
      </c>
      <c r="C14" s="1368">
        <f>IF(FARM!$C$20=0,0,Tb!B77)</f>
        <v>0</v>
      </c>
      <c r="D14" s="1368">
        <f>IF(FARM!$C$20=0,0,Tb!B78)</f>
        <v>0</v>
      </c>
      <c r="E14" s="1169" t="s">
        <v>571</v>
      </c>
      <c r="F14" s="1369">
        <f>IF(FARM!$C$20=0,0,Tb!D77)</f>
        <v>0</v>
      </c>
      <c r="G14" s="1369">
        <f>IF(FARM!$C$20=0,0,Tb!D78)</f>
        <v>0</v>
      </c>
      <c r="H14" s="1169" t="s">
        <v>571</v>
      </c>
      <c r="I14" s="1369">
        <f>IF(FARM!$C$20=0,0,Tb!F77)</f>
        <v>0</v>
      </c>
      <c r="J14" s="1369">
        <f>IF(FARM!$C$20=0,0,Tb!F78)</f>
        <v>0</v>
      </c>
      <c r="K14" s="1169" t="s">
        <v>571</v>
      </c>
      <c r="L14" s="1369">
        <f>IF(FARM!$C$20=0,0,Tb!H77)</f>
        <v>0</v>
      </c>
      <c r="M14" s="1369">
        <f>IF(FARM!$C$20=0,0,Tb!H78)</f>
        <v>0</v>
      </c>
      <c r="N14" s="1169" t="s">
        <v>571</v>
      </c>
      <c r="O14" s="1369">
        <f>IF(FARM!$C$20=0,0,Tb!B86)</f>
        <v>0</v>
      </c>
      <c r="P14" s="1369">
        <f>IF(FARM!$C$20=0,0,Tb!B87)</f>
        <v>0</v>
      </c>
      <c r="Q14" s="1230">
        <f>IF(FARM!$C$20=0,0,Tb!D86)</f>
        <v>0</v>
      </c>
      <c r="R14" s="1101"/>
      <c r="S14" s="1112"/>
    </row>
    <row r="15" spans="1:19" ht="18" customHeight="1" x14ac:dyDescent="0.45">
      <c r="A15" s="1109"/>
      <c r="B15" s="1161" t="s">
        <v>572</v>
      </c>
      <c r="C15" s="1368">
        <f>IF(FARM!$C$21=0,0,Sb!B77)</f>
        <v>45774.075657464477</v>
      </c>
      <c r="D15" s="1368">
        <f>IF(FARM!$C$21=0,0,Sb!B78)</f>
        <v>59357.984654535336</v>
      </c>
      <c r="E15" s="1169" t="s">
        <v>572</v>
      </c>
      <c r="F15" s="1369">
        <f>IF(FARM!$C$21=0,0,Sb!D77)</f>
        <v>457.74075657464482</v>
      </c>
      <c r="G15" s="1369">
        <f>IF(FARM!$C$21=0,0,Sb!D78)</f>
        <v>593.57984654535335</v>
      </c>
      <c r="H15" s="1169" t="s">
        <v>572</v>
      </c>
      <c r="I15" s="1369">
        <f>IF(FARM!$C$21=0,0,Sb!F77)</f>
        <v>10.898589442253446</v>
      </c>
      <c r="J15" s="1369">
        <f>IF(FARM!$C$21=0,0,Sb!F78)</f>
        <v>14.132853489175078</v>
      </c>
      <c r="K15" s="1169" t="s">
        <v>572</v>
      </c>
      <c r="L15" s="1369">
        <f>IF(FARM!$C$21=0,0,Sb!H77)</f>
        <v>363.2863147417815</v>
      </c>
      <c r="M15" s="1369">
        <f>IF(FARM!$C$21=0,0,Sb!H78)</f>
        <v>471.09511630583592</v>
      </c>
      <c r="N15" s="1169" t="s">
        <v>572</v>
      </c>
      <c r="O15" s="1369">
        <f>IF(FARM!$C$21=0,0,Sb!B86)</f>
        <v>11.802847336353038</v>
      </c>
      <c r="P15" s="1369">
        <f>IF(FARM!$C$21=0,0,Sb!B87)</f>
        <v>15.305458843423301</v>
      </c>
      <c r="Q15" s="1230">
        <f>IF(FARM!$C$21=0,0,Sb!D86)</f>
        <v>3878.2231399773582</v>
      </c>
      <c r="R15" s="1101"/>
      <c r="S15" s="1112"/>
    </row>
    <row r="16" spans="1:19" ht="18" customHeight="1" x14ac:dyDescent="0.45">
      <c r="A16" s="1109"/>
      <c r="B16" s="1161" t="s">
        <v>2107</v>
      </c>
      <c r="C16" s="1368">
        <f>IF(FARM!$C$22=0,0,BWb!B66)</f>
        <v>9711.2078232884887</v>
      </c>
      <c r="D16" s="1368">
        <f>IF(FARM!$C$22=0,0,BWb!B67)</f>
        <v>20400.791983083138</v>
      </c>
      <c r="E16" s="1161" t="s">
        <v>2107</v>
      </c>
      <c r="F16" s="1369">
        <f>IF(FARM!$C$22=0,0,BWb!D66)</f>
        <v>97.112078232884869</v>
      </c>
      <c r="G16" s="1369">
        <f>IF(FARM!$C$22=0,0,BWb!D67)</f>
        <v>204.00791983083138</v>
      </c>
      <c r="H16" s="1161" t="s">
        <v>2107</v>
      </c>
      <c r="I16" s="1369">
        <f>IF(FARM!$C$22=0,0,BWb!F66)</f>
        <v>6.4741385488589955</v>
      </c>
      <c r="J16" s="1369">
        <f>IF(FARM!$C$22=0,0,BWb!F67)</f>
        <v>13.600527988722096</v>
      </c>
      <c r="K16" s="1161" t="s">
        <v>2107</v>
      </c>
      <c r="L16" s="1369">
        <f>IF(FARM!$C$22=0,0,BWb!H66)</f>
        <v>269.75577286912471</v>
      </c>
      <c r="M16" s="1369">
        <f>IF(FARM!$C$22=0,0,BWb!H67)</f>
        <v>566.68866619675396</v>
      </c>
      <c r="N16" s="1161" t="s">
        <v>2107</v>
      </c>
      <c r="O16" s="1369">
        <f>IF(FARM!$C$22=0,0,BWb!B75)</f>
        <v>6.1320098501960212</v>
      </c>
      <c r="P16" s="1369">
        <f>IF(FARM!$C$22=0,0,BWb!B76)</f>
        <v>12.881802106229063</v>
      </c>
      <c r="Q16" s="1230">
        <f>IF(FARM!$C$22=0,0,BWb!D75)</f>
        <v>1583.6908388165834</v>
      </c>
      <c r="R16" s="1101"/>
      <c r="S16" s="1112"/>
    </row>
    <row r="17" spans="1:19" ht="18" customHeight="1" x14ac:dyDescent="0.45">
      <c r="A17" s="1109"/>
      <c r="B17" s="1161" t="s">
        <v>1142</v>
      </c>
      <c r="C17" s="1368">
        <f>IF(FARM!$C$23=0,0,Pb!B66)</f>
        <v>0</v>
      </c>
      <c r="D17" s="1368">
        <f>IF(FARM!$C$23=0,0,Pb!B67)</f>
        <v>0</v>
      </c>
      <c r="E17" s="1169" t="s">
        <v>1142</v>
      </c>
      <c r="F17" s="1369">
        <f>IF(FARM!$C$23=0,0,Pb!D66)</f>
        <v>0</v>
      </c>
      <c r="G17" s="1369">
        <f>IF(FARM!$C$23=0,0,Pb!D67)</f>
        <v>0</v>
      </c>
      <c r="H17" s="1169" t="s">
        <v>1142</v>
      </c>
      <c r="I17" s="1369">
        <f>IF(FARM!$C$23=0,0,Pb!F66)</f>
        <v>0</v>
      </c>
      <c r="J17" s="1369">
        <f>IF(FARM!$C$23=0,0,Pb!F67)</f>
        <v>0</v>
      </c>
      <c r="K17" s="1169" t="s">
        <v>1142</v>
      </c>
      <c r="L17" s="1369">
        <f>IF(FARM!$C$23=0,0,Pb!H66)</f>
        <v>0</v>
      </c>
      <c r="M17" s="1369">
        <f>IF(FARM!$C$23=0,0,Pb!H67)</f>
        <v>0</v>
      </c>
      <c r="N17" s="1169" t="s">
        <v>1142</v>
      </c>
      <c r="O17" s="1369">
        <f>IF(FARM!$C$23=0,0,Pb!B75)</f>
        <v>0</v>
      </c>
      <c r="P17" s="1369">
        <f>IF(FARM!$C$23=0,0,Pb!B76)</f>
        <v>0</v>
      </c>
      <c r="Q17" s="1230">
        <f>IF(FARM!$C$23=0,0,Pb!D75)</f>
        <v>0</v>
      </c>
      <c r="R17" s="1101"/>
      <c r="S17" s="1112"/>
    </row>
    <row r="18" spans="1:19" ht="18" customHeight="1" x14ac:dyDescent="0.45">
      <c r="A18" s="1109"/>
      <c r="B18" s="1161" t="s">
        <v>201</v>
      </c>
      <c r="C18" s="1368">
        <f>IF(FARM!$C$24=0,0,Syb!B66)</f>
        <v>33226.223421703231</v>
      </c>
      <c r="D18" s="1368">
        <f>IF(FARM!$C$24=0,0,Syb!B67)</f>
        <v>46915.64424172695</v>
      </c>
      <c r="E18" s="1169" t="s">
        <v>201</v>
      </c>
      <c r="F18" s="1369">
        <f>IF(FARM!$C$24=0,0,Syb!D66)</f>
        <v>332.2622342170323</v>
      </c>
      <c r="G18" s="1369">
        <f>IF(FARM!$C$24=0,0,Syb!D67)</f>
        <v>469.15644241726943</v>
      </c>
      <c r="H18" s="1169" t="s">
        <v>201</v>
      </c>
      <c r="I18" s="1369">
        <f>IF(FARM!$C$24=0,0,Syb!F66)</f>
        <v>13.290489368681293</v>
      </c>
      <c r="J18" s="1369">
        <f>IF(FARM!$C$24=0,0,Syb!F67)</f>
        <v>18.766257696690779</v>
      </c>
      <c r="K18" s="1169" t="s">
        <v>201</v>
      </c>
      <c r="L18" s="1369">
        <f>IF(FARM!$C$24=0,0,Syb!H66)</f>
        <v>443.0163122893764</v>
      </c>
      <c r="M18" s="1369">
        <f>IF(FARM!$C$24=0,0,Syb!H67)</f>
        <v>625.54192322302606</v>
      </c>
      <c r="N18" s="1169" t="s">
        <v>201</v>
      </c>
      <c r="O18" s="1369">
        <f>IF(FARM!$C$24=0,0,Syb!B75)</f>
        <v>13.5621613898911</v>
      </c>
      <c r="P18" s="1369">
        <f>IF(FARM!$C$24=0,0,Syb!B76)</f>
        <v>19.149860363046923</v>
      </c>
      <c r="Q18" s="1230">
        <f>IF(FARM!$C$24=0,0,Syb!D75)</f>
        <v>2449.9209577663069</v>
      </c>
      <c r="R18" s="1101"/>
      <c r="S18" s="1112"/>
    </row>
    <row r="19" spans="1:19" ht="18" customHeight="1" x14ac:dyDescent="0.45">
      <c r="A19" s="1109"/>
      <c r="B19" s="1098"/>
      <c r="C19" s="1082"/>
      <c r="D19" s="1082"/>
      <c r="E19" s="1101"/>
      <c r="F19" s="1082"/>
      <c r="G19" s="1082"/>
      <c r="H19" s="1101"/>
      <c r="I19" s="1082"/>
      <c r="J19" s="1082"/>
      <c r="K19" s="1101"/>
      <c r="L19" s="1082"/>
      <c r="M19" s="1082"/>
      <c r="N19" s="1101"/>
      <c r="O19" s="1082"/>
      <c r="P19" s="1082"/>
      <c r="Q19" s="1229"/>
      <c r="R19" s="1229"/>
      <c r="S19" s="1112"/>
    </row>
    <row r="20" spans="1:19" ht="18" customHeight="1" x14ac:dyDescent="0.45">
      <c r="A20" s="1109"/>
      <c r="B20" s="1098"/>
      <c r="C20" s="1082"/>
      <c r="D20" s="1082"/>
      <c r="E20" s="1101"/>
      <c r="F20" s="1082"/>
      <c r="G20" s="1082"/>
      <c r="H20" s="1101"/>
      <c r="I20" s="1082"/>
      <c r="J20" s="1082"/>
      <c r="K20" s="1101"/>
      <c r="L20" s="1082"/>
      <c r="M20" s="1082"/>
      <c r="N20" s="1101"/>
      <c r="O20" s="1082"/>
      <c r="P20" s="1082"/>
      <c r="Q20" s="1229"/>
      <c r="R20" s="1229"/>
      <c r="S20" s="1112"/>
    </row>
    <row r="21" spans="1:19" ht="18" customHeight="1" x14ac:dyDescent="0.45">
      <c r="A21" s="1109"/>
      <c r="B21" s="1098"/>
      <c r="C21" s="1082"/>
      <c r="D21" s="1082"/>
      <c r="E21" s="1101"/>
      <c r="F21" s="1082"/>
      <c r="G21" s="1082"/>
      <c r="H21" s="1101"/>
      <c r="I21" s="1082"/>
      <c r="J21" s="1082"/>
      <c r="K21" s="1313"/>
      <c r="L21" s="1082"/>
      <c r="M21" s="1082"/>
      <c r="N21" s="1101"/>
      <c r="O21" s="1082"/>
      <c r="P21" s="1082"/>
      <c r="Q21" s="1229"/>
      <c r="R21" s="1229"/>
      <c r="S21" s="1112"/>
    </row>
    <row r="22" spans="1:19" ht="18" customHeight="1" x14ac:dyDescent="0.45">
      <c r="A22" s="1109"/>
      <c r="B22" s="1081" t="s">
        <v>1836</v>
      </c>
      <c r="C22" s="1082" t="s">
        <v>76</v>
      </c>
      <c r="D22" s="1081" t="s">
        <v>1836</v>
      </c>
      <c r="E22" s="1082" t="s">
        <v>77</v>
      </c>
      <c r="F22" s="1081" t="s">
        <v>1836</v>
      </c>
      <c r="G22" s="1082" t="s">
        <v>1554</v>
      </c>
      <c r="H22" s="1081" t="s">
        <v>1836</v>
      </c>
      <c r="I22" s="1082" t="s">
        <v>385</v>
      </c>
      <c r="J22" s="1081" t="s">
        <v>1836</v>
      </c>
      <c r="K22" s="1082" t="s">
        <v>1997</v>
      </c>
      <c r="L22" s="1082"/>
      <c r="M22" s="1229" t="s">
        <v>1656</v>
      </c>
      <c r="N22" s="1082"/>
      <c r="O22" s="1082"/>
      <c r="P22" s="1082"/>
      <c r="Q22" s="1082"/>
      <c r="R22" s="1229"/>
      <c r="S22" s="1112"/>
    </row>
    <row r="23" spans="1:19" ht="18" customHeight="1" x14ac:dyDescent="0.45">
      <c r="A23" s="1109"/>
      <c r="B23" s="1161" t="s">
        <v>1738</v>
      </c>
      <c r="C23" s="1370">
        <f>WFB!B53</f>
        <v>273690</v>
      </c>
      <c r="D23" s="1161" t="s">
        <v>1738</v>
      </c>
      <c r="E23" s="1371">
        <f>WFB!D53</f>
        <v>684.22500000000002</v>
      </c>
      <c r="F23" s="1161" t="s">
        <v>1738</v>
      </c>
      <c r="G23" s="1371">
        <f>WFB!F53</f>
        <v>22.071774193548386</v>
      </c>
      <c r="H23" s="1161" t="s">
        <v>1738</v>
      </c>
      <c r="I23" s="1371">
        <f>WFB!H53</f>
        <v>810.21314387211362</v>
      </c>
      <c r="J23" s="1161" t="s">
        <v>1738</v>
      </c>
      <c r="K23" s="1371">
        <f>C23/$M$23</f>
        <v>23.20699457928335</v>
      </c>
      <c r="L23" s="1082"/>
      <c r="M23" s="1230">
        <f>WFB!D118</f>
        <v>11793.427152532724</v>
      </c>
      <c r="N23" s="1082"/>
      <c r="O23" s="1082"/>
      <c r="P23" s="1082"/>
      <c r="Q23" s="1082"/>
      <c r="R23" s="1229"/>
      <c r="S23" s="1112"/>
    </row>
    <row r="24" spans="1:19" ht="18" customHeight="1" x14ac:dyDescent="0.45">
      <c r="A24" s="1109"/>
      <c r="B24" s="1161" t="s">
        <v>1739</v>
      </c>
      <c r="C24" s="1370">
        <f>WFB!B87</f>
        <v>131040.95265748688</v>
      </c>
      <c r="D24" s="1161" t="s">
        <v>1739</v>
      </c>
      <c r="E24" s="1371">
        <f>WFB!D87</f>
        <v>327.60238164371719</v>
      </c>
      <c r="F24" s="1161" t="s">
        <v>1739</v>
      </c>
      <c r="G24" s="1371">
        <f>WFB!F87</f>
        <v>10.567818762700554</v>
      </c>
      <c r="H24" s="1161" t="s">
        <v>1739</v>
      </c>
      <c r="I24" s="1371">
        <f>WFB!H87</f>
        <v>387.92466742891321</v>
      </c>
      <c r="J24" s="1161" t="s">
        <v>1739</v>
      </c>
      <c r="K24" s="1371">
        <f t="shared" ref="K24:K25" si="0">C24/$M$23</f>
        <v>11.111354737061728</v>
      </c>
      <c r="L24" s="1082"/>
      <c r="M24" s="1231">
        <f>SUM(Q9:Q18)</f>
        <v>11793.427152532724</v>
      </c>
      <c r="N24" s="1082"/>
      <c r="O24" s="1082"/>
      <c r="P24" s="1082"/>
      <c r="Q24" s="1082"/>
      <c r="R24" s="1229"/>
      <c r="S24" s="1112"/>
    </row>
    <row r="25" spans="1:19" ht="18" customHeight="1" x14ac:dyDescent="0.45">
      <c r="A25" s="1109"/>
      <c r="B25" s="1161" t="s">
        <v>1761</v>
      </c>
      <c r="C25" s="1370">
        <f>WFB!B105</f>
        <v>52499.629252876664</v>
      </c>
      <c r="D25" s="1161" t="s">
        <v>1761</v>
      </c>
      <c r="E25" s="1371">
        <f>WFB!D105</f>
        <v>131.24907313219163</v>
      </c>
      <c r="F25" s="1161" t="s">
        <v>1761</v>
      </c>
      <c r="G25" s="1371">
        <f>WFB!F105</f>
        <v>4.2338410687803751</v>
      </c>
      <c r="H25" s="1161" t="s">
        <v>1761</v>
      </c>
      <c r="I25" s="1371">
        <f>WFB!H105</f>
        <v>155.41630921514698</v>
      </c>
      <c r="J25" s="1161" t="s">
        <v>1761</v>
      </c>
      <c r="K25" s="1371">
        <f t="shared" si="0"/>
        <v>4.4516007581055002</v>
      </c>
      <c r="L25" s="1082"/>
      <c r="M25" s="1229"/>
      <c r="N25" s="1082"/>
      <c r="O25" s="1082"/>
      <c r="P25" s="1082"/>
      <c r="Q25" s="1082"/>
      <c r="R25" s="1229"/>
      <c r="S25" s="1112"/>
    </row>
    <row r="26" spans="1:19" ht="18" customHeight="1" x14ac:dyDescent="0.45">
      <c r="A26" s="1109"/>
      <c r="B26" s="1312" t="s">
        <v>1553</v>
      </c>
      <c r="C26" s="1368">
        <f>WFB!B110</f>
        <v>142649.04734251311</v>
      </c>
      <c r="D26" s="1312" t="s">
        <v>1553</v>
      </c>
      <c r="E26" s="1369">
        <f>WFB!D110</f>
        <v>356.62261835628283</v>
      </c>
      <c r="F26" s="1312" t="s">
        <v>1553</v>
      </c>
      <c r="G26" s="1369">
        <f>WFB!F110</f>
        <v>11.503955430847832</v>
      </c>
      <c r="H26" s="1312" t="s">
        <v>1553</v>
      </c>
      <c r="I26" s="1369">
        <f>WFB!H110</f>
        <v>422.28847644320041</v>
      </c>
      <c r="J26" s="1312" t="s">
        <v>1553</v>
      </c>
      <c r="K26" s="1369">
        <f>WFB!B119</f>
        <v>12.095639842221622</v>
      </c>
      <c r="L26" s="1082"/>
      <c r="M26" s="1082"/>
      <c r="N26" s="1082"/>
      <c r="O26" s="1082"/>
      <c r="P26" s="1082"/>
      <c r="Q26" s="1082"/>
      <c r="R26" s="1229"/>
      <c r="S26" s="1112"/>
    </row>
    <row r="27" spans="1:19" ht="18" customHeight="1" x14ac:dyDescent="0.45">
      <c r="A27" s="1109"/>
      <c r="B27" s="1312" t="s">
        <v>1552</v>
      </c>
      <c r="C27" s="1368">
        <f>WFB!B109</f>
        <v>90149.418089636456</v>
      </c>
      <c r="D27" s="1312" t="s">
        <v>1552</v>
      </c>
      <c r="E27" s="1369">
        <f>WFB!D109</f>
        <v>225.37354522409123</v>
      </c>
      <c r="F27" s="1312" t="s">
        <v>1552</v>
      </c>
      <c r="G27" s="1369">
        <f>WFB!F109</f>
        <v>7.2701143620674564</v>
      </c>
      <c r="H27" s="1312" t="s">
        <v>1552</v>
      </c>
      <c r="I27" s="1369">
        <f>WFB!H109</f>
        <v>266.8721672280534</v>
      </c>
      <c r="J27" s="1312" t="s">
        <v>1552</v>
      </c>
      <c r="K27" s="1369">
        <f>WFB!B118</f>
        <v>7.6440390841161223</v>
      </c>
      <c r="L27" s="1082"/>
      <c r="M27" s="1082"/>
      <c r="N27" s="1082"/>
      <c r="O27" s="1082"/>
      <c r="P27" s="1082"/>
      <c r="Q27" s="1082"/>
      <c r="R27" s="1254"/>
      <c r="S27" s="1112"/>
    </row>
    <row r="28" spans="1:19" ht="18" customHeight="1" x14ac:dyDescent="0.45">
      <c r="A28" s="1109"/>
      <c r="B28" s="1098"/>
      <c r="C28" s="1098"/>
      <c r="D28" s="1098"/>
      <c r="E28" s="1098"/>
      <c r="F28" s="1098"/>
      <c r="G28" s="1098"/>
      <c r="H28" s="1098"/>
      <c r="I28" s="1098"/>
      <c r="J28" s="1098"/>
      <c r="K28" s="1098"/>
      <c r="L28" s="1101"/>
      <c r="M28" s="1101"/>
      <c r="N28" s="1101"/>
      <c r="O28" s="1101"/>
      <c r="P28" s="1101"/>
      <c r="Q28" s="1101"/>
      <c r="R28" s="1231"/>
      <c r="S28" s="1112"/>
    </row>
    <row r="29" spans="1:19" ht="18" customHeight="1" x14ac:dyDescent="0.45">
      <c r="A29" s="1109"/>
      <c r="B29" s="1098"/>
      <c r="C29" s="1079" t="s">
        <v>1837</v>
      </c>
      <c r="D29" s="1098"/>
      <c r="E29" s="1098"/>
      <c r="F29" s="1098"/>
      <c r="G29" s="1098"/>
      <c r="H29" s="1098"/>
      <c r="I29" s="1098"/>
      <c r="J29" s="1098"/>
      <c r="K29" s="1098"/>
      <c r="L29" s="1101"/>
      <c r="M29" s="1101"/>
      <c r="N29" s="1101"/>
      <c r="O29" s="1101"/>
      <c r="P29" s="1101"/>
      <c r="Q29" s="1101"/>
      <c r="R29" s="1231"/>
      <c r="S29" s="1112"/>
    </row>
    <row r="30" spans="1:19" ht="18" customHeight="1" thickBot="1" x14ac:dyDescent="0.5">
      <c r="A30" s="1116"/>
      <c r="B30" s="1117"/>
      <c r="C30" s="1223"/>
      <c r="D30" s="1223"/>
      <c r="E30" s="1117"/>
      <c r="F30" s="1223"/>
      <c r="G30" s="1117"/>
      <c r="H30" s="1117"/>
      <c r="I30" s="1117"/>
      <c r="J30" s="1117"/>
      <c r="K30" s="1117"/>
      <c r="L30" s="1117"/>
      <c r="M30" s="1117"/>
      <c r="N30" s="1117"/>
      <c r="O30" s="1117"/>
      <c r="P30" s="1117"/>
      <c r="Q30" s="1117"/>
      <c r="R30" s="1117"/>
      <c r="S30" s="1118"/>
    </row>
  </sheetData>
  <sheetProtection algorithmName="SHA-512" hashValue="sGu6ohqpMIyIn7XcDAx1NhWGauwJJ0GO1yt9Aux/298kNUNpj0OUy+QpuK8hqI4nC12N1mG4/6P9CypHou29ow==" saltValue="HnIZ2KPyF1cHPcPwW/SyIw==" spinCount="100000" sheet="1" objects="1" scenarios="1"/>
  <pageMargins left="0.7" right="0.7" top="0.75" bottom="0.75" header="0.3" footer="0.3"/>
  <pageSetup scale="30" orientation="portrait" r:id="rId1"/>
  <colBreaks count="1" manualBreakCount="1">
    <brk id="13" max="28" man="1"/>
  </colBreaks>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1"/>
  <sheetViews>
    <sheetView workbookViewId="0">
      <pane ySplit="6" topLeftCell="A7" activePane="bottomLeft" state="frozen"/>
      <selection pane="bottomLeft" activeCell="O17" sqref="O17"/>
    </sheetView>
  </sheetViews>
  <sheetFormatPr defaultColWidth="9.08984375" defaultRowHeight="13" x14ac:dyDescent="0.3"/>
  <cols>
    <col min="1" max="1" width="50.81640625" style="27" customWidth="1"/>
    <col min="2" max="2" width="8.6328125" style="27" customWidth="1"/>
    <col min="3" max="3" width="12.81640625" style="17" customWidth="1"/>
    <col min="4" max="4" width="8.6328125" style="17" customWidth="1"/>
    <col min="5" max="5" width="10.81640625" style="17" customWidth="1"/>
    <col min="6" max="6" width="8.81640625" style="17" customWidth="1"/>
    <col min="7" max="7" width="7.6328125" style="17" customWidth="1"/>
    <col min="8" max="8" width="11.6328125" style="17" customWidth="1"/>
    <col min="9" max="10" width="11.90625" style="17" customWidth="1"/>
    <col min="11" max="11" width="9" style="17" bestFit="1" customWidth="1"/>
    <col min="12" max="13" width="9.6328125" style="17" customWidth="1"/>
    <col min="14" max="14" width="9.08984375" style="17"/>
    <col min="15" max="15" width="14" style="17" customWidth="1"/>
    <col min="16" max="16384" width="9.08984375" style="17"/>
  </cols>
  <sheetData>
    <row r="1" spans="1:17" x14ac:dyDescent="0.3">
      <c r="A1" s="61" t="s">
        <v>146</v>
      </c>
      <c r="B1" s="17" t="str">
        <f>model</f>
        <v>ME Grain &amp; Pulse</v>
      </c>
    </row>
    <row r="4" spans="1:17" x14ac:dyDescent="0.3">
      <c r="A4" s="16" t="s">
        <v>212</v>
      </c>
      <c r="B4" s="8" t="s">
        <v>92</v>
      </c>
      <c r="C4" s="65">
        <f>soy</f>
        <v>100</v>
      </c>
      <c r="D4" s="4" t="s">
        <v>93</v>
      </c>
    </row>
    <row r="5" spans="1:17" x14ac:dyDescent="0.3">
      <c r="H5" s="28"/>
    </row>
    <row r="6" spans="1:17"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c r="O6" s="15" t="s">
        <v>1291</v>
      </c>
    </row>
    <row r="7" spans="1:17" x14ac:dyDescent="0.3">
      <c r="A7" s="13"/>
      <c r="B7" s="29"/>
      <c r="C7" s="30"/>
      <c r="D7" s="31"/>
      <c r="E7" s="31"/>
      <c r="F7" s="18"/>
      <c r="G7" s="18"/>
      <c r="H7" s="32"/>
      <c r="I7" s="31"/>
      <c r="J7" s="31"/>
      <c r="K7" s="31"/>
      <c r="L7" s="31"/>
      <c r="M7" s="31"/>
    </row>
    <row r="8" spans="1:17" x14ac:dyDescent="0.3">
      <c r="A8" s="14" t="s">
        <v>3</v>
      </c>
    </row>
    <row r="9" spans="1:17" x14ac:dyDescent="0.3">
      <c r="A9" s="664" t="str">
        <f>Data!A276</f>
        <v>Smaller tractor (75 hp) - SMALL SIZE</v>
      </c>
      <c r="B9" s="33">
        <f>Data!B276</f>
        <v>0</v>
      </c>
      <c r="C9" s="34" t="str">
        <f>Data!C276</f>
        <v>tractor</v>
      </c>
      <c r="D9" s="109">
        <f>Data!D276*Data!$H$21*CP!$H$5</f>
        <v>14441.999349656739</v>
      </c>
      <c r="E9" s="109">
        <f>D9*B9</f>
        <v>0</v>
      </c>
      <c r="F9" s="109">
        <f>IF(CP!K10=0,Data!I276*E9,CP!K10*B9)</f>
        <v>0</v>
      </c>
      <c r="G9" s="60">
        <f>IF(CP!$G$10=0,Data!$F$276,CP!$G$10)</f>
        <v>50</v>
      </c>
      <c r="H9" s="109">
        <f t="shared" ref="H9:H13" si="0">(E9*(_int_inv_*(1+_int_inv_)^G9)/((1+_int_inv_)^G9-1))-(F9*_int_inv_/((1+_int_inv_)^G9-1))</f>
        <v>0</v>
      </c>
      <c r="I9" s="36">
        <f>IF(CP!I10=0,Data!H276*Data!$J$271,CP!I10/CP!E10)</f>
        <v>1.4153846153846152E-2</v>
      </c>
      <c r="J9" s="109">
        <f>E9*I9</f>
        <v>0</v>
      </c>
      <c r="K9" s="36">
        <f t="shared" ref="K9:K23" si="1">_tax_ins_</f>
        <v>6.7999999999999996E-3</v>
      </c>
      <c r="L9" s="109">
        <f>E9*K9</f>
        <v>0</v>
      </c>
      <c r="M9" s="109">
        <f>H9+J9+L9</f>
        <v>0</v>
      </c>
      <c r="N9" s="34"/>
      <c r="O9" s="34"/>
      <c r="P9" s="34"/>
      <c r="Q9" s="34"/>
    </row>
    <row r="10" spans="1:17" x14ac:dyDescent="0.3">
      <c r="A10" s="664" t="str">
        <f>Data!A277</f>
        <v>Medium tractor (105 hp) - SMALL SIZE</v>
      </c>
      <c r="B10" s="33">
        <f>Data!B277</f>
        <v>0</v>
      </c>
      <c r="C10" s="34" t="str">
        <f>Data!C277</f>
        <v>tractor</v>
      </c>
      <c r="D10" s="109">
        <f>Data!D277*Data!$H$21*CP!$H$5</f>
        <v>26439.968040140797</v>
      </c>
      <c r="E10" s="109">
        <f>D10*B10</f>
        <v>0</v>
      </c>
      <c r="F10" s="109">
        <f>IF(CP!K11=0,Data!I277*E10,CP!K11*B10)</f>
        <v>0</v>
      </c>
      <c r="G10" s="60">
        <f>IF(CP!$G$11=0,Data!$F$277,CP!$G$11)</f>
        <v>40</v>
      </c>
      <c r="H10" s="109">
        <f t="shared" si="0"/>
        <v>0</v>
      </c>
      <c r="I10" s="36">
        <f>IF(CP!I11=0,Data!H277*Data!$J$271,CP!I11/CP!E11)</f>
        <v>1.35E-2</v>
      </c>
      <c r="J10" s="109">
        <f>E10*I10</f>
        <v>0</v>
      </c>
      <c r="K10" s="36">
        <f t="shared" si="1"/>
        <v>6.7999999999999996E-3</v>
      </c>
      <c r="L10" s="109">
        <f>E10*K10</f>
        <v>0</v>
      </c>
      <c r="M10" s="109">
        <f>H10+J10+L10</f>
        <v>0</v>
      </c>
      <c r="N10" s="34"/>
      <c r="O10" s="34"/>
      <c r="P10" s="34"/>
      <c r="Q10" s="34"/>
    </row>
    <row r="11" spans="1:17" ht="13.25" customHeight="1" x14ac:dyDescent="0.3">
      <c r="A11" s="664" t="str">
        <f>Data!A278</f>
        <v>Medium/Large tractor (130 hp) - SMALL SIZE</v>
      </c>
      <c r="B11" s="33">
        <f>Data!B278</f>
        <v>0</v>
      </c>
      <c r="C11" s="34" t="str">
        <f>Data!C278</f>
        <v>tractor</v>
      </c>
      <c r="D11" s="109">
        <f>Data!D278*Data!$H$21*CP!$H$5</f>
        <v>31328.029358486154</v>
      </c>
      <c r="E11" s="109">
        <f>D11*B11</f>
        <v>0</v>
      </c>
      <c r="F11" s="109">
        <f>IF(CP!K12=0,Data!I278*E11,CP!K12*B11)</f>
        <v>0</v>
      </c>
      <c r="G11" s="60">
        <f>IF(CP!$G$12=0,Data!$F$278,CP!$G$12)</f>
        <v>50</v>
      </c>
      <c r="H11" s="109">
        <f t="shared" si="0"/>
        <v>0</v>
      </c>
      <c r="I11" s="36">
        <f>IF(CP!I12=0,Data!H278*Data!$J$271,CP!I12/CP!E12)</f>
        <v>1.3500000000000002E-2</v>
      </c>
      <c r="J11" s="109">
        <f>E11*I11</f>
        <v>0</v>
      </c>
      <c r="K11" s="36">
        <f t="shared" si="1"/>
        <v>6.7999999999999996E-3</v>
      </c>
      <c r="L11" s="109">
        <f>E11*K11</f>
        <v>0</v>
      </c>
      <c r="M11" s="109">
        <f>H11+J11+L11</f>
        <v>0</v>
      </c>
      <c r="N11" s="34"/>
      <c r="O11" s="34"/>
      <c r="P11" s="34"/>
      <c r="Q11" s="34"/>
    </row>
    <row r="12" spans="1:17" x14ac:dyDescent="0.3">
      <c r="A12" s="664" t="str">
        <f>Data!A279</f>
        <v>Large tractor (160 hp) - SMALL SIZE</v>
      </c>
      <c r="B12" s="33">
        <f>Data!B279</f>
        <v>0</v>
      </c>
      <c r="C12" s="34" t="str">
        <f>Data!C279</f>
        <v>tractor</v>
      </c>
      <c r="D12" s="109">
        <f>Data!D279*Data!$H$21*CP!$H$5</f>
        <v>41992.890416694208</v>
      </c>
      <c r="E12" s="109">
        <f t="shared" ref="E12:E13" si="2">D12*B12</f>
        <v>0</v>
      </c>
      <c r="F12" s="109">
        <f>IF(CP!K13=0,Data!I279*E12,CP!K13*B12)</f>
        <v>0</v>
      </c>
      <c r="G12" s="60">
        <f>IF(CP!$G$13=0,Data!$F$279,CP!$G$13)</f>
        <v>30</v>
      </c>
      <c r="H12" s="109">
        <f t="shared" si="0"/>
        <v>0</v>
      </c>
      <c r="I12" s="36">
        <f>IF(CP!I13=0,Data!H279*Data!$J$271,CP!I13/CP!E13)</f>
        <v>1.6666666666666666E-2</v>
      </c>
      <c r="J12" s="109">
        <f t="shared" ref="J12:J13" si="3">E12*I12</f>
        <v>0</v>
      </c>
      <c r="K12" s="36">
        <f t="shared" si="1"/>
        <v>6.7999999999999996E-3</v>
      </c>
      <c r="L12" s="109">
        <f t="shared" ref="L12:L13" si="4">E12*K12</f>
        <v>0</v>
      </c>
      <c r="M12" s="109">
        <f t="shared" ref="M12:M13" si="5">H12+J12+L12</f>
        <v>0</v>
      </c>
      <c r="N12" s="34"/>
      <c r="O12" s="34"/>
      <c r="P12" s="34"/>
      <c r="Q12" s="34"/>
    </row>
    <row r="13" spans="1:17" x14ac:dyDescent="0.3">
      <c r="A13" s="664" t="str">
        <f>Data!A280</f>
        <v>Large tractor (200 hp) - SMALL SIZE</v>
      </c>
      <c r="B13" s="33">
        <f>Data!B280</f>
        <v>0</v>
      </c>
      <c r="C13" s="34" t="str">
        <f>Data!C280</f>
        <v>tractor</v>
      </c>
      <c r="D13" s="109">
        <f>Data!D280*Data!$H$21*CP!$H$5</f>
        <v>52213.382264143591</v>
      </c>
      <c r="E13" s="109">
        <f t="shared" si="2"/>
        <v>0</v>
      </c>
      <c r="F13" s="109">
        <f>IF(CP!K14=0,Data!I280*E13,CP!K14*B13)</f>
        <v>0</v>
      </c>
      <c r="G13" s="60">
        <f>IF(CP!$G$14=0,Data!$F$280,CP!$G$14)</f>
        <v>20</v>
      </c>
      <c r="H13" s="109">
        <f t="shared" si="0"/>
        <v>0</v>
      </c>
      <c r="I13" s="36">
        <f>IF(CP!I14=0,Data!H280*Data!$J$271,CP!I14/CP!E14)</f>
        <v>1.6659574468085105E-2</v>
      </c>
      <c r="J13" s="109">
        <f t="shared" si="3"/>
        <v>0</v>
      </c>
      <c r="K13" s="36">
        <f t="shared" si="1"/>
        <v>6.7999999999999996E-3</v>
      </c>
      <c r="L13" s="109">
        <f t="shared" si="4"/>
        <v>0</v>
      </c>
      <c r="M13" s="109">
        <f t="shared" si="5"/>
        <v>0</v>
      </c>
      <c r="N13" s="34"/>
      <c r="O13" s="34"/>
      <c r="P13" s="34"/>
      <c r="Q13" s="34"/>
    </row>
    <row r="14" spans="1:17" x14ac:dyDescent="0.3">
      <c r="A14" s="664" t="str">
        <f>Data!A282</f>
        <v>Smaller tractor (75 hp) - MEDIUM SIZE</v>
      </c>
      <c r="B14" s="33">
        <f>Data!B282</f>
        <v>0</v>
      </c>
      <c r="C14" s="34" t="str">
        <f>Data!C282</f>
        <v>tractor</v>
      </c>
      <c r="D14" s="109">
        <f>Data!D282*Data!$H$21</f>
        <v>14441.999349656739</v>
      </c>
      <c r="E14" s="109">
        <f>D14*B14</f>
        <v>0</v>
      </c>
      <c r="F14" s="109">
        <f>IF(CP!K10=0,Data!I282*E14,CP!K10*B14)</f>
        <v>0</v>
      </c>
      <c r="G14" s="60">
        <f>IF(CP!$G$10=0,Data!$F$282,CP!$G$10)</f>
        <v>50</v>
      </c>
      <c r="H14" s="109">
        <f>(E14*(_int_inv_m*(1+_int_inv_m)^G14)/((1+_int_inv_m)^G14-1))-(F14*_int_inv_m/((1+_int_inv_m)^G14-1))</f>
        <v>0</v>
      </c>
      <c r="I14" s="36">
        <f>IF(CP!I10=0,Data!H282*Data!$J$271,CP!I10/CP!E10)</f>
        <v>1.4153846153846152E-2</v>
      </c>
      <c r="J14" s="109">
        <f>E14*I14</f>
        <v>0</v>
      </c>
      <c r="K14" s="36">
        <f t="shared" si="1"/>
        <v>6.7999999999999996E-3</v>
      </c>
      <c r="L14" s="109">
        <f>E14*K14</f>
        <v>0</v>
      </c>
      <c r="M14" s="109">
        <f>H14+J14+L14</f>
        <v>0</v>
      </c>
      <c r="N14" s="34"/>
      <c r="O14" s="34"/>
      <c r="P14" s="34"/>
      <c r="Q14" s="34"/>
    </row>
    <row r="15" spans="1:17" x14ac:dyDescent="0.3">
      <c r="A15" s="664" t="str">
        <f>Data!A283</f>
        <v>Medium tractor (105 hp) - MEDIUM SIZE</v>
      </c>
      <c r="B15" s="33">
        <f>Data!B283</f>
        <v>1</v>
      </c>
      <c r="C15" s="34" t="str">
        <f>Data!C283</f>
        <v>tractor</v>
      </c>
      <c r="D15" s="109">
        <f>Data!D283*Data!$H$21</f>
        <v>26439.968040140797</v>
      </c>
      <c r="E15" s="109">
        <f>D15*B15</f>
        <v>26439.968040140797</v>
      </c>
      <c r="F15" s="109">
        <f>IF(CP!K11=0,Data!I283*E15,CP!K11*B15)</f>
        <v>11369.186257260542</v>
      </c>
      <c r="G15" s="60">
        <f>IF(CP!$G$11=0,Data!$F$283,CP!$G$11)</f>
        <v>40</v>
      </c>
      <c r="H15" s="109">
        <f>(E15*(_int_inv_m*(1+_int_inv_m)^G15)/((1+_int_inv_m)^G15-1))-(F15*_int_inv_m/((1+_int_inv_m)^G15-1))</f>
        <v>736.42919701822575</v>
      </c>
      <c r="I15" s="36">
        <f>IF(CP!I11=0,Data!H283*Data!$J$271,CP!I11/CP!E11)</f>
        <v>1.35E-2</v>
      </c>
      <c r="J15" s="109">
        <f>E15*I15</f>
        <v>356.93956854190077</v>
      </c>
      <c r="K15" s="36">
        <f t="shared" si="1"/>
        <v>6.7999999999999996E-3</v>
      </c>
      <c r="L15" s="109">
        <f>E15*K15</f>
        <v>179.7917826729574</v>
      </c>
      <c r="M15" s="109">
        <f>H15+J15+L15</f>
        <v>1273.160548233084</v>
      </c>
      <c r="N15" s="34"/>
      <c r="O15" s="34"/>
      <c r="P15" s="34"/>
      <c r="Q15" s="34"/>
    </row>
    <row r="16" spans="1:17" x14ac:dyDescent="0.3">
      <c r="A16" s="664" t="str">
        <f>Data!A284</f>
        <v>Medium/Large tractor (130 hp) - MEDIUM SIZE</v>
      </c>
      <c r="B16" s="33">
        <f>Data!B284</f>
        <v>0</v>
      </c>
      <c r="C16" s="34" t="str">
        <f>Data!C284</f>
        <v>tractor</v>
      </c>
      <c r="D16" s="109">
        <f>Data!D284*Data!$H$21</f>
        <v>31328.029358486154</v>
      </c>
      <c r="E16" s="109">
        <f>D16*B16</f>
        <v>0</v>
      </c>
      <c r="F16" s="109">
        <f>IF(CP!K12=0,Data!I284*E16,CP!K12*B16)</f>
        <v>0</v>
      </c>
      <c r="G16" s="60">
        <f>IF(CP!$G$12=0,Data!$F$284,CP!$G$12)</f>
        <v>50</v>
      </c>
      <c r="H16" s="109">
        <f>(E16*(_int_inv_m*(1+_int_inv_m)^G16)/((1+_int_inv_m)^G16-1))-(F16*_int_inv_m/((1+_int_inv_m)^G16-1))</f>
        <v>0</v>
      </c>
      <c r="I16" s="36">
        <f>IF(CP!I12=0,Data!H284*Data!$J$271,CP!I12/CP!E12)</f>
        <v>1.3500000000000002E-2</v>
      </c>
      <c r="J16" s="109">
        <f>E16*I16</f>
        <v>0</v>
      </c>
      <c r="K16" s="36">
        <f t="shared" si="1"/>
        <v>6.7999999999999996E-3</v>
      </c>
      <c r="L16" s="109">
        <f>E16*K16</f>
        <v>0</v>
      </c>
      <c r="M16" s="109">
        <f>H16+J16+L16</f>
        <v>0</v>
      </c>
      <c r="N16" s="34"/>
      <c r="O16" s="34"/>
      <c r="P16" s="34"/>
      <c r="Q16" s="34"/>
    </row>
    <row r="17" spans="1:18" x14ac:dyDescent="0.3">
      <c r="A17" s="664" t="str">
        <f>Data!A285</f>
        <v>Large tractor (160 hp) - MEDIUM SIZE</v>
      </c>
      <c r="B17" s="33">
        <f>Data!B285</f>
        <v>1</v>
      </c>
      <c r="C17" s="34" t="str">
        <f>Data!C285</f>
        <v>tractor</v>
      </c>
      <c r="D17" s="109">
        <f>Data!D285*Data!$H$21</f>
        <v>41992.890416694208</v>
      </c>
      <c r="E17" s="109">
        <f>D17*B17</f>
        <v>41992.890416694208</v>
      </c>
      <c r="F17" s="109">
        <f>IF(CP!K13=0,Data!I285*E17,CP!K13*B17)</f>
        <v>15957.2983583438</v>
      </c>
      <c r="G17" s="60">
        <f>IF(CP!$G$13=0,Data!$F$285,CP!$G$13)</f>
        <v>30</v>
      </c>
      <c r="H17" s="109">
        <f>(E17*(_int_inv_m*(1+_int_inv_m)^G17)/((1+_int_inv_m)^G17-1))-(F17*_int_inv_m/((1+_int_inv_m)^G17-1))</f>
        <v>1417.9943932846093</v>
      </c>
      <c r="I17" s="36">
        <f>IF(CP!I13=0,Data!H285*Data!$J$271,CP!I13/CP!E13)</f>
        <v>1.6666666666666666E-2</v>
      </c>
      <c r="J17" s="109">
        <f>E17*I17</f>
        <v>699.88150694490344</v>
      </c>
      <c r="K17" s="36">
        <f t="shared" si="1"/>
        <v>6.7999999999999996E-3</v>
      </c>
      <c r="L17" s="109">
        <f>E17*K17</f>
        <v>285.55165483352062</v>
      </c>
      <c r="M17" s="109">
        <f>H17+J17+L17</f>
        <v>2403.4275550630337</v>
      </c>
      <c r="N17" s="34"/>
      <c r="O17" s="34"/>
      <c r="P17" s="34"/>
      <c r="Q17" s="34"/>
    </row>
    <row r="18" spans="1:18" x14ac:dyDescent="0.3">
      <c r="A18" s="664" t="str">
        <f>Data!A286</f>
        <v>Large tractor (200 hp) - MEDIUM SIZE</v>
      </c>
      <c r="B18" s="33">
        <f>Data!B286</f>
        <v>0</v>
      </c>
      <c r="C18" s="34" t="str">
        <f>Data!C286</f>
        <v>tractor</v>
      </c>
      <c r="D18" s="109">
        <f>Data!D286*Data!$H$21</f>
        <v>52213.382264143591</v>
      </c>
      <c r="E18" s="109">
        <f>D18*B18</f>
        <v>0</v>
      </c>
      <c r="F18" s="109">
        <f>IF(CP!K14=0,Data!I286*E18,CP!K14*B18)</f>
        <v>0</v>
      </c>
      <c r="G18" s="60">
        <f>IF(CP!$G$14=0,Data!$F$286,CP!$G$14)</f>
        <v>20</v>
      </c>
      <c r="H18" s="109">
        <f>(E18*(_int_inv_m*(1+_int_inv_m)^G18)/((1+_int_inv_m)^G18-1))-(F18*_int_inv_m/((1+_int_inv_m)^G18-1))</f>
        <v>0</v>
      </c>
      <c r="I18" s="36">
        <f>IF(CP!I14=0,Data!H286*Data!$J$271,CP!I14/CP!E14)</f>
        <v>1.6659574468085105E-2</v>
      </c>
      <c r="J18" s="109">
        <f>E18*I18</f>
        <v>0</v>
      </c>
      <c r="K18" s="36">
        <f t="shared" si="1"/>
        <v>6.7999999999999996E-3</v>
      </c>
      <c r="L18" s="109">
        <f>E18*K18</f>
        <v>0</v>
      </c>
      <c r="M18" s="109">
        <f>H18+J18+L18</f>
        <v>0</v>
      </c>
      <c r="N18" s="34"/>
      <c r="O18" s="34"/>
      <c r="P18" s="34"/>
      <c r="Q18" s="34"/>
    </row>
    <row r="19" spans="1:18" x14ac:dyDescent="0.3">
      <c r="A19" s="664" t="str">
        <f>Data!A288</f>
        <v>Smaller tractor (75 hp) - LARGE SIZE</v>
      </c>
      <c r="B19" s="33">
        <f>Data!B288</f>
        <v>0</v>
      </c>
      <c r="C19" s="34" t="str">
        <f>Data!C288</f>
        <v>tractor</v>
      </c>
      <c r="D19" s="109">
        <f>Data!D288*Data!$H$21</f>
        <v>14441.999349656739</v>
      </c>
      <c r="E19" s="109">
        <f t="shared" ref="E19:E21" si="6">D19*B19</f>
        <v>0</v>
      </c>
      <c r="F19" s="109">
        <f>IF(CP!K10=0,Data!I288*E19,CP!K10*B19)</f>
        <v>0</v>
      </c>
      <c r="G19" s="60">
        <f>IF(CP!$G$10=0,Data!$F$288,CP!$G$10)</f>
        <v>50</v>
      </c>
      <c r="H19" s="109">
        <f>(E19*(_int_inv_l*(1+_int_inv_l)^G19)/((1+_int_inv_l)^G19-1))-(F19*_int_inv_l/((1+_int_inv_l)^G19-1))</f>
        <v>0</v>
      </c>
      <c r="I19" s="36">
        <f>IF(CP!I10=0,Data!H288*Data!$J$271,CP!I10/CP!E10)</f>
        <v>1.4153846153846152E-2</v>
      </c>
      <c r="J19" s="109">
        <f t="shared" ref="J19:J21" si="7">E19*I19</f>
        <v>0</v>
      </c>
      <c r="K19" s="36">
        <f t="shared" si="1"/>
        <v>6.7999999999999996E-3</v>
      </c>
      <c r="L19" s="109">
        <f t="shared" ref="L19:L21" si="8">E19*K19</f>
        <v>0</v>
      </c>
      <c r="M19" s="109">
        <f t="shared" ref="M19:M21" si="9">H19+J19+L19</f>
        <v>0</v>
      </c>
      <c r="N19" s="34"/>
      <c r="O19" s="34"/>
      <c r="P19" s="34"/>
      <c r="Q19" s="34"/>
    </row>
    <row r="20" spans="1:18" x14ac:dyDescent="0.3">
      <c r="A20" s="664" t="str">
        <f>Data!A289</f>
        <v>Medium tractor (105 hp) - LARGE SIZE</v>
      </c>
      <c r="B20" s="33">
        <f>Data!B289</f>
        <v>0</v>
      </c>
      <c r="C20" s="34" t="str">
        <f>Data!C289</f>
        <v>tractor</v>
      </c>
      <c r="D20" s="109">
        <f>Data!D289*Data!$H$21</f>
        <v>26439.968040140797</v>
      </c>
      <c r="E20" s="109">
        <f t="shared" si="6"/>
        <v>0</v>
      </c>
      <c r="F20" s="109">
        <f>IF(CP!K11=0,Data!I289*E20,CP!K11*B20)</f>
        <v>0</v>
      </c>
      <c r="G20" s="60">
        <f>IF(CP!$G$11=0,Data!$F$289,CP!$G$11)</f>
        <v>40</v>
      </c>
      <c r="H20" s="109">
        <f>(E20*(_int_inv_l*(1+_int_inv_l)^G20)/((1+_int_inv_l)^G20-1))-(F20*_int_inv_l/((1+_int_inv_l)^G20-1))</f>
        <v>0</v>
      </c>
      <c r="I20" s="36">
        <f>IF(CP!I11=0,Data!H289*Data!$J$271,CP!I11/CP!E11)</f>
        <v>1.35E-2</v>
      </c>
      <c r="J20" s="109">
        <f t="shared" si="7"/>
        <v>0</v>
      </c>
      <c r="K20" s="36">
        <f t="shared" si="1"/>
        <v>6.7999999999999996E-3</v>
      </c>
      <c r="L20" s="109">
        <f t="shared" si="8"/>
        <v>0</v>
      </c>
      <c r="M20" s="109">
        <f t="shared" si="9"/>
        <v>0</v>
      </c>
      <c r="N20" s="34"/>
      <c r="O20" s="34"/>
      <c r="P20" s="34"/>
      <c r="Q20" s="34"/>
    </row>
    <row r="21" spans="1:18" x14ac:dyDescent="0.3">
      <c r="A21" s="664" t="str">
        <f>Data!A290</f>
        <v>Medium/Large tractor (130 hp) - LARGE SIZE</v>
      </c>
      <c r="B21" s="33">
        <f>Data!B290</f>
        <v>0</v>
      </c>
      <c r="C21" s="34" t="str">
        <f>Data!C290</f>
        <v>tractor</v>
      </c>
      <c r="D21" s="109">
        <f>Data!D290*Data!$H$21</f>
        <v>31328.029358486154</v>
      </c>
      <c r="E21" s="109">
        <f t="shared" si="6"/>
        <v>0</v>
      </c>
      <c r="F21" s="109">
        <f>IF(CP!K12=0,Data!I290*E21,CP!K12*B21)</f>
        <v>0</v>
      </c>
      <c r="G21" s="60">
        <f>IF(CP!$G$12=0,Data!$F$290,CP!$G$12)</f>
        <v>50</v>
      </c>
      <c r="H21" s="109">
        <f>(E21*(_int_inv_l*(1+_int_inv_l)^G21)/((1+_int_inv_l)^G21-1))-(F21*_int_inv_l/((1+_int_inv_l)^G21-1))</f>
        <v>0</v>
      </c>
      <c r="I21" s="36">
        <f>IF(CP!I12=0,Data!H290*Data!$J$271,CP!I12/CP!E12)</f>
        <v>1.3500000000000002E-2</v>
      </c>
      <c r="J21" s="109">
        <f t="shared" si="7"/>
        <v>0</v>
      </c>
      <c r="K21" s="36">
        <f t="shared" si="1"/>
        <v>6.7999999999999996E-3</v>
      </c>
      <c r="L21" s="109">
        <f t="shared" si="8"/>
        <v>0</v>
      </c>
      <c r="M21" s="109">
        <f t="shared" si="9"/>
        <v>0</v>
      </c>
      <c r="N21" s="34"/>
      <c r="O21" s="34"/>
      <c r="P21" s="34"/>
      <c r="Q21" s="34"/>
    </row>
    <row r="22" spans="1:18" x14ac:dyDescent="0.3">
      <c r="A22" s="664" t="str">
        <f>Data!A291</f>
        <v>Large tractor (160 hp) - LARGE SIZE</v>
      </c>
      <c r="B22" s="33">
        <f>Data!B291</f>
        <v>0</v>
      </c>
      <c r="C22" s="34" t="str">
        <f>Data!C291</f>
        <v>tractor</v>
      </c>
      <c r="D22" s="109">
        <f>Data!D291*Data!$H$21</f>
        <v>41992.890416694208</v>
      </c>
      <c r="E22" s="109">
        <f>D22*B22</f>
        <v>0</v>
      </c>
      <c r="F22" s="109">
        <f>IF(CP!K13=0,Data!I291*E22,CP!K13*B22)</f>
        <v>0</v>
      </c>
      <c r="G22" s="60">
        <f>IF(CP!$G$13=0,Data!$F$291,CP!$G$13)</f>
        <v>30</v>
      </c>
      <c r="H22" s="109">
        <f>(E22*(_int_inv_l*(1+_int_inv_l)^G22)/((1+_int_inv_l)^G22-1))-(F22*_int_inv_l/((1+_int_inv_l)^G22-1))</f>
        <v>0</v>
      </c>
      <c r="I22" s="36">
        <f>IF(CP!I13=0,Data!H291*Data!$J$271,CP!I13/CP!E13)</f>
        <v>1.6666666666666666E-2</v>
      </c>
      <c r="J22" s="109">
        <f>E22*I22</f>
        <v>0</v>
      </c>
      <c r="K22" s="36">
        <f t="shared" si="1"/>
        <v>6.7999999999999996E-3</v>
      </c>
      <c r="L22" s="109">
        <f>E22*K22</f>
        <v>0</v>
      </c>
      <c r="M22" s="109">
        <f>H22+J22+L22</f>
        <v>0</v>
      </c>
      <c r="N22" s="34"/>
      <c r="O22" s="34"/>
      <c r="P22" s="34"/>
      <c r="Q22" s="34"/>
    </row>
    <row r="23" spans="1:18" x14ac:dyDescent="0.3">
      <c r="A23" s="664" t="str">
        <f>Data!A292</f>
        <v>Large tractor (200 hp) - LARGE SIZE</v>
      </c>
      <c r="B23" s="33">
        <f>Data!B292</f>
        <v>0</v>
      </c>
      <c r="C23" s="34" t="str">
        <f>Data!C292</f>
        <v>tractor</v>
      </c>
      <c r="D23" s="109">
        <f>Data!D292*Data!$H$21</f>
        <v>52213.382264143591</v>
      </c>
      <c r="E23" s="109">
        <f t="shared" ref="E23" si="10">D23*B23</f>
        <v>0</v>
      </c>
      <c r="F23" s="109">
        <f>IF(CP!K14=0,Data!I292*E23,CP!K14*B23)</f>
        <v>0</v>
      </c>
      <c r="G23" s="60">
        <f>IF(CP!$G$14=0,Data!$F$292,CP!$G$14)</f>
        <v>20</v>
      </c>
      <c r="H23" s="109">
        <f>(E23*(_int_inv_l*(1+_int_inv_l)^G23)/((1+_int_inv_l)^G23-1))-(F23*_int_inv_l/((1+_int_inv_l)^G23-1))</f>
        <v>0</v>
      </c>
      <c r="I23" s="36">
        <f>IF(CP!I14=0,Data!H292*Data!$J$271,CP!I14/CP!E14)</f>
        <v>1.6659574468085105E-2</v>
      </c>
      <c r="J23" s="109">
        <f t="shared" ref="J23" si="11">E23*I23</f>
        <v>0</v>
      </c>
      <c r="K23" s="36">
        <f t="shared" si="1"/>
        <v>6.7999999999999996E-3</v>
      </c>
      <c r="L23" s="109">
        <f t="shared" ref="L23" si="12">E23*K23</f>
        <v>0</v>
      </c>
      <c r="M23" s="109">
        <f t="shared" ref="M23" si="13">H23+J23+L23</f>
        <v>0</v>
      </c>
      <c r="N23" s="34"/>
      <c r="O23" s="34"/>
      <c r="P23" s="34"/>
      <c r="Q23" s="34"/>
    </row>
    <row r="24" spans="1:18" x14ac:dyDescent="0.3">
      <c r="B24" s="33"/>
      <c r="C24" s="34"/>
      <c r="D24" s="109"/>
      <c r="E24" s="109"/>
      <c r="F24" s="109"/>
      <c r="G24" s="34"/>
      <c r="H24" s="112"/>
      <c r="I24" s="35"/>
      <c r="J24" s="109"/>
      <c r="K24" s="35"/>
      <c r="L24" s="109"/>
      <c r="M24" s="109"/>
      <c r="N24" s="32"/>
      <c r="O24" s="34"/>
      <c r="P24" s="34"/>
    </row>
    <row r="25" spans="1:18" x14ac:dyDescent="0.3">
      <c r="A25" s="14" t="s">
        <v>35</v>
      </c>
      <c r="D25" s="110"/>
      <c r="E25" s="110"/>
      <c r="F25" s="109"/>
      <c r="H25" s="112"/>
      <c r="J25" s="110"/>
      <c r="L25" s="110"/>
      <c r="M25" s="109"/>
    </row>
    <row r="26" spans="1:18" x14ac:dyDescent="0.3">
      <c r="A26" s="664" t="str">
        <f>Data!A297</f>
        <v>Bulk Body Truck(s) - SMALL SIZE</v>
      </c>
      <c r="B26" s="84">
        <f>Data!B297</f>
        <v>0</v>
      </c>
      <c r="C26" s="34" t="str">
        <f>Data!C297</f>
        <v>truck</v>
      </c>
      <c r="D26" s="109">
        <f>Data!D297*Data!$J$21*CP!$H$5</f>
        <v>7799.0774775169339</v>
      </c>
      <c r="E26" s="109">
        <f>D26*B26</f>
        <v>0</v>
      </c>
      <c r="F26" s="109">
        <f>IF(CP!K16=0,Data!I297*E26,CP!K16*B26)</f>
        <v>0</v>
      </c>
      <c r="G26" s="60">
        <f>IF(CP!$G$16=0,Data!$F$297,CP!$G$16)</f>
        <v>40</v>
      </c>
      <c r="H26" s="109">
        <f>(E26*(_int_inv_*(1+_int_inv_)^G26)/((1+_int_inv_)^G26-1))-(F26*_int_inv_/((1+_int_inv_)^G26-1))</f>
        <v>0</v>
      </c>
      <c r="I26" s="675">
        <f>IF(CP!I16=0,Data!H297*Data!$J$271,CP!I16/CP!E16)</f>
        <v>0.02</v>
      </c>
      <c r="J26" s="109">
        <f>E26*I26</f>
        <v>0</v>
      </c>
      <c r="K26" s="36">
        <f>_tax_ins_</f>
        <v>6.7999999999999996E-3</v>
      </c>
      <c r="L26" s="109">
        <f>E26*K26</f>
        <v>0</v>
      </c>
      <c r="M26" s="109">
        <f>H26+J26+L26</f>
        <v>0</v>
      </c>
      <c r="N26" s="34"/>
      <c r="O26" s="34"/>
      <c r="P26" s="34"/>
      <c r="Q26" s="34"/>
      <c r="R26" s="34"/>
    </row>
    <row r="27" spans="1:18" x14ac:dyDescent="0.3">
      <c r="A27" s="664" t="str">
        <f>Data!A298</f>
        <v>Bulk Body Truck(s) - MEDIUM SIZE</v>
      </c>
      <c r="B27" s="84">
        <f>Data!B298</f>
        <v>3</v>
      </c>
      <c r="C27" s="34" t="str">
        <f>Data!C298</f>
        <v>truck</v>
      </c>
      <c r="D27" s="109">
        <f>Data!D298*Data!$J$21</f>
        <v>7799.0774775169339</v>
      </c>
      <c r="E27" s="109">
        <f t="shared" ref="E27:E32" si="14">D27*B27</f>
        <v>23397.232432550802</v>
      </c>
      <c r="F27" s="109">
        <f>IF(CP!K16=0,Data!I298*E27,CP!K16*B27)</f>
        <v>6083.2804324632089</v>
      </c>
      <c r="G27" s="60">
        <f>IF(CP!$G$16=0,Data!$F$298,CP!$G$16)</f>
        <v>40</v>
      </c>
      <c r="H27" s="109">
        <f>(E27*(_int_inv_m*(1+_int_inv_m)^G27)/((1+_int_inv_m)^G27-1))-(F27*_int_inv_m/((1+_int_inv_m)^G27-1))</f>
        <v>720.43483657048523</v>
      </c>
      <c r="I27" s="675">
        <f>IF(CP!I16=0,Data!H298*Data!$J$271,CP!I16/CP!E16)</f>
        <v>0.02</v>
      </c>
      <c r="J27" s="109">
        <f t="shared" ref="J27:J32" si="15">E27*I27</f>
        <v>467.94464865101605</v>
      </c>
      <c r="K27" s="36">
        <f>_tax_ins_</f>
        <v>6.7999999999999996E-3</v>
      </c>
      <c r="L27" s="109">
        <f t="shared" ref="L27:L32" si="16">E27*K27</f>
        <v>159.10118054134543</v>
      </c>
      <c r="M27" s="109">
        <f t="shared" ref="M27:M32" si="17">H27+J27+L27</f>
        <v>1347.4806657628467</v>
      </c>
      <c r="N27" s="34"/>
      <c r="O27" s="34"/>
      <c r="P27" s="34"/>
      <c r="Q27" s="34"/>
      <c r="R27" s="34"/>
    </row>
    <row r="28" spans="1:18" x14ac:dyDescent="0.3">
      <c r="A28" s="664" t="str">
        <f>Data!A299</f>
        <v>Bulk Body Truck(s) - LARGE SIZE</v>
      </c>
      <c r="B28" s="84">
        <f>Data!B299</f>
        <v>0</v>
      </c>
      <c r="C28" s="34" t="str">
        <f>Data!C299</f>
        <v>truck</v>
      </c>
      <c r="D28" s="109">
        <f>Data!D299*Data!$J$21</f>
        <v>7799.0774775169339</v>
      </c>
      <c r="E28" s="109">
        <f t="shared" si="14"/>
        <v>0</v>
      </c>
      <c r="F28" s="109">
        <f>IF(CP!K16=0,Data!I299*E28,CP!K16*B28)</f>
        <v>0</v>
      </c>
      <c r="G28" s="60">
        <f>IF(CP!$G$16=0,Data!$F$299,CP!$G$16)</f>
        <v>40</v>
      </c>
      <c r="H28" s="109">
        <f>(E28*(_int_inv_l*(1+_int_inv_l)^G28)/((1+_int_inv_l)^G28-1))-(F28*_int_inv_l/((1+_int_inv_l)^G28-1))</f>
        <v>0</v>
      </c>
      <c r="I28" s="675">
        <f>IF(CP!I16=0,Data!H299*Data!$J$271,CP!I16/CP!E16)</f>
        <v>0.02</v>
      </c>
      <c r="J28" s="109">
        <f t="shared" si="15"/>
        <v>0</v>
      </c>
      <c r="K28" s="36">
        <f>_tax_ins_</f>
        <v>6.7999999999999996E-3</v>
      </c>
      <c r="L28" s="109">
        <f t="shared" si="16"/>
        <v>0</v>
      </c>
      <c r="M28" s="109">
        <f t="shared" si="17"/>
        <v>0</v>
      </c>
      <c r="N28" s="34"/>
      <c r="O28" s="34"/>
      <c r="P28" s="34"/>
      <c r="Q28" s="34"/>
      <c r="R28" s="34"/>
    </row>
    <row r="29" spans="1:18" x14ac:dyDescent="0.3">
      <c r="A29" s="664" t="str">
        <f>Data!A300</f>
        <v>Flat Bed Truck(s) - SMALL SIZE</v>
      </c>
      <c r="B29" s="84">
        <f>Data!B300</f>
        <v>0</v>
      </c>
      <c r="C29" s="34" t="str">
        <f>Data!C300</f>
        <v>truck</v>
      </c>
      <c r="D29" s="109">
        <f>Data!D300*Data!$J$21*CP!$H$5</f>
        <v>7799.0774775169339</v>
      </c>
      <c r="E29" s="109">
        <f t="shared" si="14"/>
        <v>0</v>
      </c>
      <c r="F29" s="109">
        <f>IF(CP!$K$17=0,Data!I300*E29,CP!$K$17*B29)</f>
        <v>0</v>
      </c>
      <c r="G29" s="60">
        <f>IF(CP!$G$17=0,Data!F299,CP!$G$17)</f>
        <v>40</v>
      </c>
      <c r="H29" s="109">
        <f>(E29*(_int_inv_l*(1+_int_inv_l)^G29)/((1+_int_inv_l)^G29-1))-(F29*_int_inv_l/((1+_int_inv_l)^G29-1))</f>
        <v>0</v>
      </c>
      <c r="I29" s="675">
        <f>IF(CP!$I$17=0,Data!H300*Data!$J$271,CP!$I$17/CP!$E$17)</f>
        <v>0.02</v>
      </c>
      <c r="J29" s="109">
        <f t="shared" si="15"/>
        <v>0</v>
      </c>
      <c r="K29" s="36">
        <f t="shared" ref="K29:K32" si="18">_tax_ins_</f>
        <v>6.7999999999999996E-3</v>
      </c>
      <c r="L29" s="109">
        <f t="shared" si="16"/>
        <v>0</v>
      </c>
      <c r="M29" s="109">
        <f t="shared" si="17"/>
        <v>0</v>
      </c>
      <c r="N29" s="34"/>
      <c r="O29" s="34"/>
      <c r="P29" s="34"/>
      <c r="Q29" s="34"/>
      <c r="R29" s="34"/>
    </row>
    <row r="30" spans="1:18" x14ac:dyDescent="0.3">
      <c r="A30" s="664" t="str">
        <f>Data!A301</f>
        <v>Flat Bed Truck(s) - MEDIUM SIZE</v>
      </c>
      <c r="B30" s="84">
        <f>Data!B301</f>
        <v>0</v>
      </c>
      <c r="C30" s="34" t="str">
        <f>Data!C301</f>
        <v>truck</v>
      </c>
      <c r="D30" s="109">
        <f>Data!D301*Data!$J$21</f>
        <v>7799.0774775169339</v>
      </c>
      <c r="E30" s="109">
        <f t="shared" si="14"/>
        <v>0</v>
      </c>
      <c r="F30" s="109">
        <f>IF(CP!$K$17=0,Data!I301*E30,CP!$K$17*B30)</f>
        <v>0</v>
      </c>
      <c r="G30" s="60">
        <f>IF(CP!$G$17=0,Data!F300,CP!$G$17)</f>
        <v>40</v>
      </c>
      <c r="H30" s="109">
        <f>(E30*(_int_inv_l*(1+_int_inv_l)^G30)/((1+_int_inv_l)^G30-1))-(F30*_int_inv_l/((1+_int_inv_l)^G30-1))</f>
        <v>0</v>
      </c>
      <c r="I30" s="675">
        <f>IF(CP!$I$17=0,Data!H301*Data!$J$271,CP!$I$17/CP!$E$17)</f>
        <v>0.02</v>
      </c>
      <c r="J30" s="109">
        <f t="shared" si="15"/>
        <v>0</v>
      </c>
      <c r="K30" s="36">
        <f t="shared" si="18"/>
        <v>6.7999999999999996E-3</v>
      </c>
      <c r="L30" s="109">
        <f t="shared" si="16"/>
        <v>0</v>
      </c>
      <c r="M30" s="109">
        <f t="shared" si="17"/>
        <v>0</v>
      </c>
      <c r="N30" s="34"/>
      <c r="O30" s="34"/>
      <c r="P30" s="34"/>
      <c r="Q30" s="34"/>
      <c r="R30" s="34"/>
    </row>
    <row r="31" spans="1:18" x14ac:dyDescent="0.3">
      <c r="A31" s="664" t="str">
        <f>Data!A302</f>
        <v>Flat Bed Truck(s) - LARGE SIZE</v>
      </c>
      <c r="B31" s="84">
        <f>Data!B302</f>
        <v>0</v>
      </c>
      <c r="C31" s="34" t="str">
        <f>Data!C302</f>
        <v>truck</v>
      </c>
      <c r="D31" s="109">
        <f>Data!D302*Data!$J$21</f>
        <v>7799.0774775169339</v>
      </c>
      <c r="E31" s="109">
        <f t="shared" si="14"/>
        <v>0</v>
      </c>
      <c r="F31" s="109">
        <f>IF(CP!$K$17=0,Data!I302*E31,CP!$K$17*B31)</f>
        <v>0</v>
      </c>
      <c r="G31" s="60">
        <f>IF(CP!$G$17=0,Data!F301,CP!$G$17)</f>
        <v>40</v>
      </c>
      <c r="H31" s="109">
        <f>(E31*(_int_inv_l*(1+_int_inv_l)^G31)/((1+_int_inv_l)^G31-1))-(F31*_int_inv_l/((1+_int_inv_l)^G31-1))</f>
        <v>0</v>
      </c>
      <c r="I31" s="675">
        <f>IF(CP!$I$17=0,Data!H302*Data!$J$271,CP!$I$17/CP!$E$17)</f>
        <v>0.02</v>
      </c>
      <c r="J31" s="109">
        <f t="shared" si="15"/>
        <v>0</v>
      </c>
      <c r="K31" s="36">
        <f t="shared" si="18"/>
        <v>6.7999999999999996E-3</v>
      </c>
      <c r="L31" s="109">
        <f t="shared" si="16"/>
        <v>0</v>
      </c>
      <c r="M31" s="109">
        <f t="shared" si="17"/>
        <v>0</v>
      </c>
      <c r="N31" s="34"/>
      <c r="O31" s="34"/>
      <c r="P31" s="34"/>
      <c r="Q31" s="34"/>
      <c r="R31" s="34"/>
    </row>
    <row r="32" spans="1:18" x14ac:dyDescent="0.3">
      <c r="A32" s="664" t="str">
        <f>Data!A303</f>
        <v>Semi Truck(s) - LARGE SIZE</v>
      </c>
      <c r="B32" s="84">
        <f>Data!B303</f>
        <v>0</v>
      </c>
      <c r="C32" s="34" t="str">
        <f>Data!C303</f>
        <v>truck</v>
      </c>
      <c r="D32" s="109">
        <f>Data!D303*Data!$J$21</f>
        <v>18885.691457243425</v>
      </c>
      <c r="E32" s="109">
        <f t="shared" si="14"/>
        <v>0</v>
      </c>
      <c r="F32" s="109">
        <f>IF(CP!$K$18=0,Data!I303*E32,CP!$K$18*B32)</f>
        <v>0</v>
      </c>
      <c r="G32" s="60">
        <f>IF(CP!$G$18=0,Data!F302,CP!$G$18)</f>
        <v>20</v>
      </c>
      <c r="H32" s="109">
        <f>(E32*(_int_inv_l*(1+_int_inv_l)^G32)/((1+_int_inv_l)^G32-1))-(F32*_int_inv_l/((1+_int_inv_l)^G32-1))</f>
        <v>0</v>
      </c>
      <c r="I32" s="675">
        <f>IF(CP!$I$18=0,Data!H303*Data!$J$271,CP!$I$18/CP!$E$18)</f>
        <v>0.02</v>
      </c>
      <c r="J32" s="109">
        <f t="shared" si="15"/>
        <v>0</v>
      </c>
      <c r="K32" s="36">
        <f t="shared" si="18"/>
        <v>6.7999999999999996E-3</v>
      </c>
      <c r="L32" s="109">
        <f t="shared" si="16"/>
        <v>0</v>
      </c>
      <c r="M32" s="109">
        <f t="shared" si="17"/>
        <v>0</v>
      </c>
      <c r="N32" s="34"/>
      <c r="O32" s="34"/>
      <c r="P32" s="34"/>
      <c r="Q32" s="34"/>
      <c r="R32" s="34"/>
    </row>
    <row r="33" spans="1:18" x14ac:dyDescent="0.3">
      <c r="B33" s="33"/>
      <c r="C33" s="34"/>
      <c r="D33" s="109"/>
      <c r="E33" s="109"/>
      <c r="F33" s="109"/>
      <c r="G33" s="34"/>
      <c r="H33" s="112"/>
      <c r="I33" s="35"/>
      <c r="J33" s="109"/>
      <c r="K33" s="35"/>
      <c r="L33" s="109"/>
      <c r="M33" s="109"/>
      <c r="N33" s="32"/>
      <c r="O33" s="34"/>
      <c r="P33" s="34"/>
    </row>
    <row r="34" spans="1:18" x14ac:dyDescent="0.3">
      <c r="A34" s="14" t="s">
        <v>6</v>
      </c>
      <c r="B34" s="33"/>
      <c r="C34" s="34"/>
      <c r="D34" s="109"/>
      <c r="E34" s="109"/>
      <c r="F34" s="109"/>
      <c r="G34" s="34"/>
      <c r="H34" s="112"/>
      <c r="I34" s="35"/>
      <c r="J34" s="109"/>
      <c r="K34" s="35"/>
      <c r="L34" s="109"/>
      <c r="M34" s="109"/>
      <c r="N34" s="34"/>
      <c r="O34" s="34"/>
      <c r="P34" s="34"/>
    </row>
    <row r="35" spans="1:18" x14ac:dyDescent="0.3">
      <c r="A35" s="664" t="str">
        <f>Data!A310</f>
        <v>Moldboard Plow (9 ft) - SMALL SIZE</v>
      </c>
      <c r="B35" s="33">
        <f>Data!B310</f>
        <v>0</v>
      </c>
      <c r="C35" s="34" t="str">
        <f>Data!C310</f>
        <v>moldboard plow</v>
      </c>
      <c r="D35" s="109">
        <f>Data!D310*Data!$P$21*CP!$H$5</f>
        <v>6221.1689506213643</v>
      </c>
      <c r="E35" s="109">
        <f>D35*B35</f>
        <v>0</v>
      </c>
      <c r="F35" s="109">
        <f>IF(CP!$K$20=0,Data!I310*E35,CP!$K$20*B35)</f>
        <v>0</v>
      </c>
      <c r="G35" s="60">
        <f>IF(CP!$G$20=0,Data!$F$310,CP!$G$20)</f>
        <v>40</v>
      </c>
      <c r="H35" s="109">
        <f>(E35*(_int_inv_*(1+_int_inv_)^G35)/((1+_int_inv_)^G35-1))-(F35*_int_inv_/((1+_int_inv_)^G35-1))</f>
        <v>0</v>
      </c>
      <c r="I35" s="36">
        <f>IF(CP!$I$20=0,Data!H310*Data!$J$271,CP!$I$20/CP!$E$20)</f>
        <v>5.1710357142857148E-2</v>
      </c>
      <c r="J35" s="109">
        <f>E35*I35</f>
        <v>0</v>
      </c>
      <c r="K35" s="36">
        <f t="shared" ref="K35:K37" si="19">_tax_ins_</f>
        <v>6.7999999999999996E-3</v>
      </c>
      <c r="L35" s="109">
        <f>E35*K35</f>
        <v>0</v>
      </c>
      <c r="M35" s="109">
        <f>H35+J35+L35</f>
        <v>0</v>
      </c>
      <c r="N35" s="34"/>
      <c r="O35" s="34"/>
      <c r="P35" s="34"/>
      <c r="Q35" s="34"/>
      <c r="R35" s="34"/>
    </row>
    <row r="36" spans="1:18" x14ac:dyDescent="0.3">
      <c r="A36" s="664" t="str">
        <f>Data!A311</f>
        <v>Moldboard Plow (9 ft) - MEDIUM SIZE</v>
      </c>
      <c r="B36" s="33">
        <f>Data!B311</f>
        <v>1</v>
      </c>
      <c r="C36" s="34" t="str">
        <f>Data!C311</f>
        <v>moldboard plow</v>
      </c>
      <c r="D36" s="109">
        <f>Data!D311*Data!$P$21</f>
        <v>6221.1689506213643</v>
      </c>
      <c r="E36" s="109">
        <f t="shared" ref="E36:E37" si="20">D36*B36</f>
        <v>6221.1689506213643</v>
      </c>
      <c r="F36" s="109">
        <f>IF(CP!$K$20=0,Data!I311*E36,CP!$K$20*B36)</f>
        <v>2052.9857537050502</v>
      </c>
      <c r="G36" s="60">
        <f>IF(CP!$G$20=0,Data!$F$311,CP!$G$20)</f>
        <v>40</v>
      </c>
      <c r="H36" s="109">
        <f>(E36*(_int_inv_m*(1+_int_inv_m)^G36)/((1+_int_inv_m)^G36-1))-(F36*_int_inv_m/((1+_int_inv_m)^G36-1))</f>
        <v>184.03121549224267</v>
      </c>
      <c r="I36" s="36">
        <f>IF(CP!$I$20=0,Data!H311*Data!$J$271,CP!$I$20/CP!$E$20)</f>
        <v>5.1710357142857148E-2</v>
      </c>
      <c r="J36" s="109">
        <f t="shared" ref="J36:J37" si="21">E36*I36</f>
        <v>321.6988682826846</v>
      </c>
      <c r="K36" s="36">
        <f t="shared" si="19"/>
        <v>6.7999999999999996E-3</v>
      </c>
      <c r="L36" s="109">
        <f t="shared" ref="L36:L37" si="22">E36*K36</f>
        <v>42.303948864225276</v>
      </c>
      <c r="M36" s="109">
        <f t="shared" ref="M36:M37" si="23">H36+J36+L36</f>
        <v>548.03403263915254</v>
      </c>
      <c r="N36" s="34"/>
      <c r="O36" s="34"/>
      <c r="P36" s="34"/>
      <c r="Q36" s="34"/>
      <c r="R36" s="34"/>
    </row>
    <row r="37" spans="1:18" x14ac:dyDescent="0.3">
      <c r="A37" s="664" t="str">
        <f>Data!A312</f>
        <v>Moldboard Plow (12 ft) - LARGE SIZE</v>
      </c>
      <c r="B37" s="33">
        <f>Data!B312</f>
        <v>0</v>
      </c>
      <c r="C37" s="34" t="str">
        <f>Data!C312</f>
        <v>moldboard plow</v>
      </c>
      <c r="D37" s="109">
        <f>Data!D312*Data!$P$21</f>
        <v>9331.7534259320455</v>
      </c>
      <c r="E37" s="109">
        <f t="shared" si="20"/>
        <v>0</v>
      </c>
      <c r="F37" s="109">
        <f>IF(CP!K21=0,Data!I312*E37,CP!K21*B37)</f>
        <v>0</v>
      </c>
      <c r="G37" s="60">
        <f>IF(CP!$G$21=0,Data!$F$312,CP!$G$21)</f>
        <v>20</v>
      </c>
      <c r="H37" s="109">
        <f>(E37*(_int_inv_l*(1+_int_inv_l)^G37)/((1+_int_inv_l)^G37-1))-(F37*_int_inv_l/((1+_int_inv_l)^G37-1))</f>
        <v>0</v>
      </c>
      <c r="I37" s="36">
        <f>IF(CP!I21=0,Data!H312*Data!$J$271,CP!I21/CP!E21)</f>
        <v>5.1849523809523804E-2</v>
      </c>
      <c r="J37" s="109">
        <f t="shared" si="21"/>
        <v>0</v>
      </c>
      <c r="K37" s="36">
        <f t="shared" si="19"/>
        <v>6.7999999999999996E-3</v>
      </c>
      <c r="L37" s="109">
        <f t="shared" si="22"/>
        <v>0</v>
      </c>
      <c r="M37" s="109">
        <f t="shared" si="23"/>
        <v>0</v>
      </c>
      <c r="N37" s="34"/>
      <c r="O37" s="34"/>
      <c r="P37" s="34"/>
      <c r="Q37" s="34"/>
      <c r="R37" s="34"/>
    </row>
    <row r="38" spans="1:18" x14ac:dyDescent="0.3">
      <c r="A38" s="664" t="str">
        <f>Data!A313</f>
        <v>Chisel Plow (15 ft) - SMALL SIZE</v>
      </c>
      <c r="B38" s="33">
        <f>Data!B313</f>
        <v>0</v>
      </c>
      <c r="C38" s="34" t="str">
        <f>Data!C313</f>
        <v>chisel plow</v>
      </c>
      <c r="D38" s="109">
        <f>Data!D313*Data!$P$21*CP!$H$5</f>
        <v>4221.5075022073543</v>
      </c>
      <c r="E38" s="109">
        <f>D38*B38</f>
        <v>0</v>
      </c>
      <c r="F38" s="109">
        <f>IF(CP!$K$22=0,Data!I313*E38,CP!$K$22*B38)</f>
        <v>0</v>
      </c>
      <c r="G38" s="60">
        <f>IF(CP!$G$22=0,Data!$F$313,CP!$G$22)</f>
        <v>40</v>
      </c>
      <c r="H38" s="109">
        <f>(E38*(_int_inv_*(1+_int_inv_)^G38)/((1+_int_inv_)^G38-1))-(F38*_int_inv_/((1+_int_inv_)^G38-1))</f>
        <v>0</v>
      </c>
      <c r="I38" s="36">
        <f>IF(CP!$I$22=0,Data!H313*Data!$J$271,CP!$I$22/CP!$E$22)</f>
        <v>2.433684210526316E-2</v>
      </c>
      <c r="J38" s="109">
        <f>E38*I38</f>
        <v>0</v>
      </c>
      <c r="K38" s="36">
        <f t="shared" ref="K38:K52" si="24">_tax_ins_</f>
        <v>6.7999999999999996E-3</v>
      </c>
      <c r="L38" s="109">
        <f>E38*K38</f>
        <v>0</v>
      </c>
      <c r="M38" s="109">
        <f>H38+J38+L38</f>
        <v>0</v>
      </c>
      <c r="N38" s="34"/>
      <c r="O38" s="34"/>
      <c r="P38" s="34"/>
      <c r="Q38" s="34"/>
      <c r="R38" s="34"/>
    </row>
    <row r="39" spans="1:18" x14ac:dyDescent="0.3">
      <c r="A39" s="664" t="str">
        <f>Data!A314</f>
        <v>Chisel Plow (15 ft) - MEDIUM SIZE</v>
      </c>
      <c r="B39" s="33">
        <f>Data!B314</f>
        <v>1</v>
      </c>
      <c r="C39" s="34" t="str">
        <f>Data!C314</f>
        <v>chisel plow</v>
      </c>
      <c r="D39" s="109">
        <f>Data!D314*Data!$P$21</f>
        <v>4221.5075022073543</v>
      </c>
      <c r="E39" s="109">
        <f t="shared" ref="E39:E40" si="25">D39*B39</f>
        <v>4221.5075022073543</v>
      </c>
      <c r="F39" s="109">
        <f>IF(CP!$K$22=0,Data!I314*E39,CP!$K$22*B39)</f>
        <v>1393.0974757284271</v>
      </c>
      <c r="G39" s="60">
        <f>IF(CP!$G$22=0,Data!$F$314,CP!$G$22)</f>
        <v>40</v>
      </c>
      <c r="H39" s="109">
        <f>(E39*(_int_inv_m*(1+_int_inv_m)^G39)/((1+_int_inv_m)^G39-1))-(F39*_int_inv_m/((1+_int_inv_m)^G39-1))</f>
        <v>124.87832479830755</v>
      </c>
      <c r="I39" s="36">
        <f>IF(CP!$I$22=0,Data!H314*Data!$J$271,CP!$I$22/CP!$E$22)</f>
        <v>2.433684210526316E-2</v>
      </c>
      <c r="J39" s="109">
        <f t="shared" ref="J39:J40" si="26">E39*I39</f>
        <v>102.73816152740426</v>
      </c>
      <c r="K39" s="36">
        <f t="shared" si="24"/>
        <v>6.7999999999999996E-3</v>
      </c>
      <c r="L39" s="109">
        <f t="shared" ref="L39:L40" si="27">E39*K39</f>
        <v>28.706251015010007</v>
      </c>
      <c r="M39" s="109">
        <f t="shared" ref="M39:M40" si="28">H39+J39+L39</f>
        <v>256.3227373407218</v>
      </c>
      <c r="N39" s="34"/>
      <c r="O39" s="34"/>
      <c r="P39" s="34"/>
      <c r="Q39" s="34"/>
      <c r="R39" s="34"/>
    </row>
    <row r="40" spans="1:18" x14ac:dyDescent="0.3">
      <c r="A40" s="664" t="str">
        <f>Data!A315</f>
        <v>Chisel Plow (23 ft) - LARGE SIZE</v>
      </c>
      <c r="B40" s="33">
        <f>Data!B315</f>
        <v>0</v>
      </c>
      <c r="C40" s="34" t="str">
        <f>Data!C315</f>
        <v>chisel plow</v>
      </c>
      <c r="D40" s="109">
        <f>Data!D315*Data!$P$21</f>
        <v>7776.4611882767049</v>
      </c>
      <c r="E40" s="109">
        <f t="shared" si="25"/>
        <v>0</v>
      </c>
      <c r="F40" s="109">
        <f>IF(CP!K23=0,Data!I315*E40,CP!K23*B40)</f>
        <v>0</v>
      </c>
      <c r="G40" s="60">
        <f>IF(CP!$G$23=0,Data!$F$315,CP!$G$23)</f>
        <v>20</v>
      </c>
      <c r="H40" s="109">
        <f>(E40*(_int_inv_l*(1+_int_inv_l)^G40)/((1+_int_inv_l)^G40-1))-(F40*_int_inv_l/((1+_int_inv_l)^G40-1))</f>
        <v>0</v>
      </c>
      <c r="I40" s="36">
        <f>IF(CP!I23=0,Data!H315*Data!$J$271,CP!I23/CP!E23)</f>
        <v>2.4435999999999999E-2</v>
      </c>
      <c r="J40" s="109">
        <f t="shared" si="26"/>
        <v>0</v>
      </c>
      <c r="K40" s="36">
        <f t="shared" si="24"/>
        <v>6.7999999999999996E-3</v>
      </c>
      <c r="L40" s="109">
        <f t="shared" si="27"/>
        <v>0</v>
      </c>
      <c r="M40" s="109">
        <f t="shared" si="28"/>
        <v>0</v>
      </c>
      <c r="N40" s="34"/>
      <c r="O40" s="34"/>
      <c r="P40" s="34"/>
      <c r="Q40" s="34"/>
      <c r="R40" s="34"/>
    </row>
    <row r="41" spans="1:18" x14ac:dyDescent="0.3">
      <c r="A41" s="664" t="str">
        <f>Data!A316</f>
        <v>Disk Harrow (12 ft) - SMALL SIZE</v>
      </c>
      <c r="B41" s="33">
        <f>Data!B316</f>
        <v>0</v>
      </c>
      <c r="C41" s="34" t="str">
        <f>Data!C316</f>
        <v>disk harrow</v>
      </c>
      <c r="D41" s="109">
        <f>Data!D316*Data!$P$21*CP!$H$5</f>
        <v>4221.5075022073543</v>
      </c>
      <c r="E41" s="109">
        <f>D41*B41</f>
        <v>0</v>
      </c>
      <c r="F41" s="109">
        <f>IF(CP!K24=0,Data!I316*E41,CP!K24*B41)</f>
        <v>0</v>
      </c>
      <c r="G41" s="60">
        <f>IF(CP!$G$24=0,Data!$F$316,CP!$G$24)</f>
        <v>50</v>
      </c>
      <c r="H41" s="109">
        <f>(E41*(_int_inv_*(1+_int_inv_)^G41)/((1+_int_inv_)^G41-1))-(F41*_int_inv_/((1+_int_inv_)^G41-1))</f>
        <v>0</v>
      </c>
      <c r="I41" s="36">
        <f>IF(CP!I24=0,Data!H316*Data!$J$271,CP!I24/CP!E24)</f>
        <v>2.2825263157894737E-2</v>
      </c>
      <c r="J41" s="109">
        <f>E41*I41</f>
        <v>0</v>
      </c>
      <c r="K41" s="36">
        <f t="shared" si="24"/>
        <v>6.7999999999999996E-3</v>
      </c>
      <c r="L41" s="109">
        <f>E41*K41</f>
        <v>0</v>
      </c>
      <c r="M41" s="109">
        <f>H41+J41+L41</f>
        <v>0</v>
      </c>
    </row>
    <row r="42" spans="1:18" x14ac:dyDescent="0.3">
      <c r="A42" s="664" t="str">
        <f>Data!A317</f>
        <v>Disk Harrow (21 ft) - MEDIUM SIZE</v>
      </c>
      <c r="B42" s="33">
        <f>Data!B317</f>
        <v>1</v>
      </c>
      <c r="C42" s="34" t="str">
        <f>Data!C317</f>
        <v>disk harrow</v>
      </c>
      <c r="D42" s="109">
        <f>Data!D317*Data!$P$21</f>
        <v>8887.384215173377</v>
      </c>
      <c r="E42" s="109">
        <f t="shared" ref="E42:E43" si="29">D42*B42</f>
        <v>8887.384215173377</v>
      </c>
      <c r="F42" s="109">
        <f>IF(CP!K25=0,Data!I317*E42,CP!K25*B42)</f>
        <v>2666.2152645520132</v>
      </c>
      <c r="G42" s="60">
        <f>IF(CP!$G$25=0,Data!$F$317,CP!$G$25)</f>
        <v>40</v>
      </c>
      <c r="H42" s="109">
        <f>(E42*(_int_inv_m*(1+_int_inv_m)^G42)/((1+_int_inv_m)^G42-1))-(F42*_int_inv_m/((1+_int_inv_m)^G42-1))</f>
        <v>267.51048957619264</v>
      </c>
      <c r="I42" s="36">
        <f>IF(CP!I25=0,Data!H317*Data!$J$271,CP!I25/CP!E25)</f>
        <v>3.3605000000000003E-2</v>
      </c>
      <c r="J42" s="109">
        <f t="shared" ref="J42:J43" si="30">E42*I42</f>
        <v>298.66054655090136</v>
      </c>
      <c r="K42" s="36">
        <f t="shared" si="24"/>
        <v>6.7999999999999996E-3</v>
      </c>
      <c r="L42" s="109">
        <f t="shared" ref="L42:L43" si="31">E42*K42</f>
        <v>60.434212663178961</v>
      </c>
      <c r="M42" s="109">
        <f t="shared" ref="M42:M43" si="32">H42+J42+L42</f>
        <v>626.60524879027298</v>
      </c>
    </row>
    <row r="43" spans="1:18" x14ac:dyDescent="0.3">
      <c r="A43" s="664" t="str">
        <f>Data!A318</f>
        <v>Disk Harrow (30 ft) - LARGE SIZE</v>
      </c>
      <c r="B43" s="33">
        <f>Data!B318</f>
        <v>0</v>
      </c>
      <c r="C43" s="34" t="str">
        <f>Data!C318</f>
        <v>disk harrow</v>
      </c>
      <c r="D43" s="109">
        <f>Data!D318*Data!$P$21</f>
        <v>12220.153295863394</v>
      </c>
      <c r="E43" s="109">
        <f t="shared" si="29"/>
        <v>0</v>
      </c>
      <c r="F43" s="109">
        <f>IF(CP!K26=0,Data!I318*E43,CP!K26*B43)</f>
        <v>0</v>
      </c>
      <c r="G43" s="60">
        <f>IF(CP!$G$26=0,Data!$F$318,CP!$G$26)</f>
        <v>20</v>
      </c>
      <c r="H43" s="109">
        <f>(E43*(_int_inv_l*(1+_int_inv_l)^G43)/((1+_int_inv_l)^G43-1))-(F43*_int_inv_l/((1+_int_inv_l)^G43-1))</f>
        <v>0</v>
      </c>
      <c r="I43" s="36">
        <f>IF(CP!I26=0,Data!H318*Data!$J$271,CP!I26/CP!E26)</f>
        <v>3.3313636363636365E-2</v>
      </c>
      <c r="J43" s="109">
        <f t="shared" si="30"/>
        <v>0</v>
      </c>
      <c r="K43" s="36">
        <f t="shared" si="24"/>
        <v>6.7999999999999996E-3</v>
      </c>
      <c r="L43" s="109">
        <f t="shared" si="31"/>
        <v>0</v>
      </c>
      <c r="M43" s="109">
        <f t="shared" si="32"/>
        <v>0</v>
      </c>
    </row>
    <row r="44" spans="1:18" ht="13.25" customHeight="1" x14ac:dyDescent="0.3">
      <c r="A44" s="664" t="str">
        <f>Data!A319</f>
        <v>Soil Conditioner/Field Cultivator (18 ft) - SMALL SIZE</v>
      </c>
      <c r="B44" s="33">
        <f>Data!B319</f>
        <v>0</v>
      </c>
      <c r="C44" s="34" t="str">
        <f>Data!C319</f>
        <v>condit.</v>
      </c>
      <c r="D44" s="109">
        <f>Data!D319*Data!$P$21*CP!$H$5</f>
        <v>5776.7997398626949</v>
      </c>
      <c r="E44" s="109">
        <f>D44*B44</f>
        <v>0</v>
      </c>
      <c r="F44" s="109">
        <f>IF(CP!$K$27=0,Data!I319*E44,CP!$K$27*B44)</f>
        <v>0</v>
      </c>
      <c r="G44" s="60">
        <f>IF(CP!$G$27=0,Data!$F$319,CP!$G$27)</f>
        <v>40</v>
      </c>
      <c r="H44" s="109">
        <f>(E44*(_int_inv_*(1+_int_inv_)^G44)/((1+_int_inv_)^G44-1))-(F44*_int_inv_/((1+_int_inv_)^G44-1))</f>
        <v>0</v>
      </c>
      <c r="I44" s="36">
        <f>IF(CP!$I$27=0,Data!H319*Data!$J$271,CP!$I$27/CP!$E$27)</f>
        <v>3.245E-2</v>
      </c>
      <c r="J44" s="109">
        <f>E44*I44</f>
        <v>0</v>
      </c>
      <c r="K44" s="36">
        <f t="shared" si="24"/>
        <v>6.7999999999999996E-3</v>
      </c>
      <c r="L44" s="109">
        <f>E44*K44</f>
        <v>0</v>
      </c>
      <c r="M44" s="109">
        <f>H44+J44+L44</f>
        <v>0</v>
      </c>
    </row>
    <row r="45" spans="1:18" ht="13.25" customHeight="1" x14ac:dyDescent="0.3">
      <c r="A45" s="664" t="str">
        <f>Data!A320</f>
        <v>Soil Conditioner/Field Cultivator (18 ft) - MEDIUM SIZE</v>
      </c>
      <c r="B45" s="33">
        <f>Data!B320</f>
        <v>1</v>
      </c>
      <c r="C45" s="34" t="str">
        <f>Data!C320</f>
        <v>condit.</v>
      </c>
      <c r="D45" s="109">
        <f>Data!D320*Data!$P$21</f>
        <v>5776.7997398626949</v>
      </c>
      <c r="E45" s="109">
        <f t="shared" ref="E45:E46" si="33">D45*B45</f>
        <v>5776.7997398626949</v>
      </c>
      <c r="F45" s="109">
        <f>IF(CP!$K$27=0,Data!I320*E45,CP!$K$27*B45)</f>
        <v>1733.0399219588085</v>
      </c>
      <c r="G45" s="60">
        <f>IF(CP!$G$27=0,Data!$F$320,CP!$G$27)</f>
        <v>40</v>
      </c>
      <c r="H45" s="109">
        <f>(E45*(_int_inv_m*(1+_int_inv_m)^G45)/((1+_int_inv_m)^G45-1))-(F45*_int_inv_m/((1+_int_inv_m)^G45-1))</f>
        <v>173.8818182245252</v>
      </c>
      <c r="I45" s="36">
        <f>IF(CP!$I$27=0,Data!H320*Data!$J$271,CP!$I$27/CP!$E$27)</f>
        <v>3.245E-2</v>
      </c>
      <c r="J45" s="109">
        <f t="shared" ref="J45:J46" si="34">E45*I45</f>
        <v>187.45715155854444</v>
      </c>
      <c r="K45" s="36">
        <f t="shared" si="24"/>
        <v>6.7999999999999996E-3</v>
      </c>
      <c r="L45" s="109">
        <f t="shared" ref="L45:L46" si="35">E45*K45</f>
        <v>39.282238231066323</v>
      </c>
      <c r="M45" s="109">
        <f t="shared" ref="M45:M46" si="36">H45+J45+L45</f>
        <v>400.62120801413596</v>
      </c>
    </row>
    <row r="46" spans="1:18" ht="13.25" customHeight="1" x14ac:dyDescent="0.3">
      <c r="A46" s="664" t="str">
        <f>Data!A321</f>
        <v>Soil Conditioner/Field Cultivator (18 ft) - LARGE SIZE</v>
      </c>
      <c r="B46" s="33">
        <f>Data!B321</f>
        <v>0</v>
      </c>
      <c r="C46" s="34" t="str">
        <f>Data!C321</f>
        <v>condit.</v>
      </c>
      <c r="D46" s="109">
        <f>Data!D321*Data!$P$21</f>
        <v>5776.7997398626949</v>
      </c>
      <c r="E46" s="109">
        <f t="shared" si="33"/>
        <v>0</v>
      </c>
      <c r="F46" s="109">
        <f>IF(CP!$K$27=0,Data!I321*E46,CP!$K$27*B46)</f>
        <v>0</v>
      </c>
      <c r="G46" s="60">
        <f>IF(CP!$G$27=0,Data!$F$321,CP!$G$27)</f>
        <v>40</v>
      </c>
      <c r="H46" s="109">
        <f>(E46*(_int_inv_l*(1+_int_inv_l)^G46)/((1+_int_inv_l)^G46-1))-(F46*_int_inv_l/((1+_int_inv_l)^G46-1))</f>
        <v>0</v>
      </c>
      <c r="I46" s="36">
        <f>IF(CP!$I$27=0,Data!H321*Data!$J$271,CP!$I$27/CP!$E$27)</f>
        <v>3.245E-2</v>
      </c>
      <c r="J46" s="109">
        <f t="shared" si="34"/>
        <v>0</v>
      </c>
      <c r="K46" s="36">
        <f t="shared" si="24"/>
        <v>6.7999999999999996E-3</v>
      </c>
      <c r="L46" s="109">
        <f t="shared" si="35"/>
        <v>0</v>
      </c>
      <c r="M46" s="109">
        <f t="shared" si="36"/>
        <v>0</v>
      </c>
    </row>
    <row r="47" spans="1:18" ht="13.25" customHeight="1" x14ac:dyDescent="0.3">
      <c r="A47" s="664" t="str">
        <f>Data!A322</f>
        <v>Cultivators - 6 row (15 ft) - SMALL SIZE</v>
      </c>
      <c r="B47" s="33">
        <f>Data!B322</f>
        <v>0</v>
      </c>
      <c r="C47" s="34" t="str">
        <f>Data!C322</f>
        <v>cultivator</v>
      </c>
      <c r="D47" s="109">
        <f>Data!D322*Data!$D$21*CP!$H$5</f>
        <v>15000</v>
      </c>
      <c r="E47" s="109">
        <f>D47*B47</f>
        <v>0</v>
      </c>
      <c r="F47" s="109">
        <f>IF(CP!$K$28=0,Data!I322*E47,CP!$K$28*B47)</f>
        <v>0</v>
      </c>
      <c r="G47" s="60">
        <f>IF(CP!$G$28=0,Data!$F$322,CP!$G$28)</f>
        <v>50</v>
      </c>
      <c r="H47" s="109">
        <f>(E47*(_int_inv_*(1+_int_inv_)^G47)/((1+_int_inv_)^G47-1))-(F47*_int_inv_/((1+_int_inv_)^G47-1))</f>
        <v>0</v>
      </c>
      <c r="I47" s="675">
        <f>IF(CP!$I$28=0,Data!H322*Data!$J$271,CP!$I$28/CP!$E$28)</f>
        <v>2.3395714285714287E-2</v>
      </c>
      <c r="J47" s="109">
        <f>E47*I47</f>
        <v>0</v>
      </c>
      <c r="K47" s="36">
        <f t="shared" si="24"/>
        <v>6.7999999999999996E-3</v>
      </c>
      <c r="L47" s="109">
        <f>E47*K47</f>
        <v>0</v>
      </c>
      <c r="M47" s="109">
        <f>H47+J47+L47</f>
        <v>0</v>
      </c>
      <c r="O47" s="771">
        <f>J47/soy</f>
        <v>0</v>
      </c>
    </row>
    <row r="48" spans="1:18" ht="13.25" customHeight="1" x14ac:dyDescent="0.3">
      <c r="A48" s="664" t="str">
        <f>Data!A323</f>
        <v>Cultivators - 12 row (30 ft) - MEDIUM SIZE</v>
      </c>
      <c r="B48" s="33">
        <f>Data!B323</f>
        <v>1</v>
      </c>
      <c r="C48" s="34" t="str">
        <f>Data!C323</f>
        <v>cultivator</v>
      </c>
      <c r="D48" s="109">
        <f>Data!D323*Data!$D$21</f>
        <v>35000</v>
      </c>
      <c r="E48" s="109">
        <f t="shared" ref="E48:E49" si="37">D48*B48</f>
        <v>35000</v>
      </c>
      <c r="F48" s="109">
        <f>IF(CP!$K$29=0,Data!I323*E48,CP!$K$29*B48)</f>
        <v>11666.666666666666</v>
      </c>
      <c r="G48" s="60">
        <f>IF(CP!$G$29=0,Data!$F$323,CP!$G$29)</f>
        <v>40</v>
      </c>
      <c r="H48" s="109">
        <f>(E48*(_int_inv_m*(1+_int_inv_m)^G48)/((1+_int_inv_m)^G48-1))-(F48*_int_inv_m/((1+_int_inv_m)^G48-1))</f>
        <v>1033.3341760990206</v>
      </c>
      <c r="I48" s="675">
        <f>IF(CP!$I$29=0,Data!H323*Data!$J$271,CP!$I$29/CP!$E$29)</f>
        <v>2.3395714285714287E-2</v>
      </c>
      <c r="J48" s="109">
        <f t="shared" ref="J48:J49" si="38">E48*I48</f>
        <v>818.85</v>
      </c>
      <c r="K48" s="36">
        <f t="shared" si="24"/>
        <v>6.7999999999999996E-3</v>
      </c>
      <c r="L48" s="109">
        <f t="shared" ref="L48:L49" si="39">E48*K48</f>
        <v>238</v>
      </c>
      <c r="M48" s="109">
        <f t="shared" ref="M48:M49" si="40">H48+J48+L48</f>
        <v>2090.1841760990205</v>
      </c>
      <c r="O48" s="771">
        <f>J48/soy</f>
        <v>8.1884999999999994</v>
      </c>
    </row>
    <row r="49" spans="1:23" ht="13.25" customHeight="1" x14ac:dyDescent="0.3">
      <c r="A49" s="664" t="str">
        <f>Data!A324</f>
        <v>Cultivators - 12 row (30 ft) - LARGE SIZE</v>
      </c>
      <c r="B49" s="33">
        <f>Data!B324</f>
        <v>0</v>
      </c>
      <c r="C49" s="34" t="str">
        <f>Data!C324</f>
        <v>cultivator</v>
      </c>
      <c r="D49" s="109">
        <f>Data!D324*Data!$D$21</f>
        <v>35000</v>
      </c>
      <c r="E49" s="109">
        <f t="shared" si="37"/>
        <v>0</v>
      </c>
      <c r="F49" s="109">
        <f>IF(CP!$K$29=0,Data!I324*E49,CP!$K$29*B49)</f>
        <v>0</v>
      </c>
      <c r="G49" s="60">
        <f>IF(CP!$G$29=0,Data!$F$324,CP!$G$29)</f>
        <v>40</v>
      </c>
      <c r="H49" s="109">
        <f>(E49*(_int_inv_l*(1+_int_inv_l)^G49)/((1+_int_inv_l)^G49-1))-(F49*_int_inv_l/((1+_int_inv_l)^G49-1))</f>
        <v>0</v>
      </c>
      <c r="I49" s="675">
        <f>IF(CP!$I$29=0,Data!H324*Data!$J$271,CP!$I$29/CP!$E$29)</f>
        <v>2.3395714285714287E-2</v>
      </c>
      <c r="J49" s="109">
        <f t="shared" si="38"/>
        <v>0</v>
      </c>
      <c r="K49" s="36">
        <f t="shared" si="24"/>
        <v>6.7999999999999996E-3</v>
      </c>
      <c r="L49" s="109">
        <f t="shared" si="39"/>
        <v>0</v>
      </c>
      <c r="M49" s="109">
        <f t="shared" si="40"/>
        <v>0</v>
      </c>
      <c r="O49" s="771">
        <f>J49/soy</f>
        <v>0</v>
      </c>
    </row>
    <row r="50" spans="1:23" ht="13.25" customHeight="1" x14ac:dyDescent="0.3">
      <c r="A50" s="664" t="str">
        <f>Data!A325</f>
        <v>Tine-Harrow (i.e. Lely, 20-30 ft) - SMALL SIZE</v>
      </c>
      <c r="B50" s="33">
        <f>Data!B325</f>
        <v>0</v>
      </c>
      <c r="C50" s="34" t="str">
        <f>Data!C325</f>
        <v>tine-harrow</v>
      </c>
      <c r="D50" s="109">
        <f>Data!D325*Data!$P$21*CP!$H$5</f>
        <v>1110.9230268966721</v>
      </c>
      <c r="E50" s="109">
        <f>D50*B50</f>
        <v>0</v>
      </c>
      <c r="F50" s="109">
        <f>IF(CP!$K$30=0,Data!I325*E50,CP!$K$30*B50)</f>
        <v>0</v>
      </c>
      <c r="G50" s="60">
        <f>IF(CP!$G$30=0,Data!$F$325,CP!$G$30)</f>
        <v>40</v>
      </c>
      <c r="H50" s="109">
        <f>(E50*(_int_inv_*(1+_int_inv_)^G50)/((1+_int_inv_)^G50-1))-(F50*_int_inv_/((1+_int_inv_)^G50-1))</f>
        <v>0</v>
      </c>
      <c r="I50" s="675">
        <f>IF(CP!$I$30=0,Data!H325*Data!$J$271,CP!$I$30/CP!$E$30)</f>
        <v>0.02</v>
      </c>
      <c r="J50" s="109">
        <f>E50*I50</f>
        <v>0</v>
      </c>
      <c r="K50" s="36">
        <f t="shared" si="24"/>
        <v>6.7999999999999996E-3</v>
      </c>
      <c r="L50" s="109">
        <f>E50*K50</f>
        <v>0</v>
      </c>
      <c r="M50" s="109">
        <f>H50+J50+L50</f>
        <v>0</v>
      </c>
    </row>
    <row r="51" spans="1:23" ht="13.25" customHeight="1" x14ac:dyDescent="0.3">
      <c r="A51" s="664" t="str">
        <f>Data!A326</f>
        <v>Tine-Harrow (i.e. Lely, 20-30 ft) - MEDIUM SIZE</v>
      </c>
      <c r="B51" s="33">
        <f>Data!B326</f>
        <v>1</v>
      </c>
      <c r="C51" s="34" t="str">
        <f>Data!C326</f>
        <v>tine-harrow</v>
      </c>
      <c r="D51" s="109">
        <f>Data!D326*Data!$P$21</f>
        <v>1110.9230268966721</v>
      </c>
      <c r="E51" s="109">
        <f t="shared" ref="E51:E52" si="41">D51*B51</f>
        <v>1110.9230268966721</v>
      </c>
      <c r="F51" s="109">
        <f>IF(CP!$K$30=0,Data!I326*E51,CP!$K$30*B51)</f>
        <v>222.18460537933444</v>
      </c>
      <c r="G51" s="60">
        <f>IF(CP!$G$30=0,Data!$F$326,CP!$G$30)</f>
        <v>40</v>
      </c>
      <c r="H51" s="109">
        <f>(E51*(_int_inv_m*(1+_int_inv_m)^G51)/((1+_int_inv_m)^G51-1))-(F51*_int_inv_m/((1+_int_inv_m)^G51-1))</f>
        <v>35.359125013150361</v>
      </c>
      <c r="I51" s="675">
        <f>IF(CP!$I$30=0,Data!H326*Data!$J$271,CP!$I$30/CP!$E$30)</f>
        <v>0.02</v>
      </c>
      <c r="J51" s="109">
        <f t="shared" ref="J51:J52" si="42">E51*I51</f>
        <v>22.218460537933442</v>
      </c>
      <c r="K51" s="36">
        <f t="shared" si="24"/>
        <v>6.7999999999999996E-3</v>
      </c>
      <c r="L51" s="109">
        <f t="shared" ref="L51:L52" si="43">E51*K51</f>
        <v>7.5542765828973701</v>
      </c>
      <c r="M51" s="109">
        <f t="shared" ref="M51:M52" si="44">H51+J51+L51</f>
        <v>65.131862133981173</v>
      </c>
    </row>
    <row r="52" spans="1:23" ht="13.25" customHeight="1" x14ac:dyDescent="0.3">
      <c r="A52" s="664" t="str">
        <f>Data!A327</f>
        <v>Tine-Harrow (i.e. Lely, 20-30 ft) - LARGE SIZE</v>
      </c>
      <c r="B52" s="33">
        <f>Data!B327</f>
        <v>0</v>
      </c>
      <c r="C52" s="34" t="str">
        <f>Data!C327</f>
        <v>tine-harrow</v>
      </c>
      <c r="D52" s="109">
        <f>Data!D327*Data!$P$21</f>
        <v>1110.9230268966721</v>
      </c>
      <c r="E52" s="109">
        <f t="shared" si="41"/>
        <v>0</v>
      </c>
      <c r="F52" s="109">
        <f>IF(CP!$K$30=0,Data!I327*E52,CP!$K$30*B52)</f>
        <v>0</v>
      </c>
      <c r="G52" s="60">
        <f>IF(CP!$G$30=0,Data!$F$327,CP!$G$30)</f>
        <v>40</v>
      </c>
      <c r="H52" s="109">
        <f>(E52*(_int_inv_l*(1+_int_inv_l)^G52)/((1+_int_inv_l)^G52-1))-(F52*_int_inv_l/((1+_int_inv_l)^G52-1))</f>
        <v>0</v>
      </c>
      <c r="I52" s="675">
        <f>IF(CP!$I$30=0,Data!H327*Data!$J$271,CP!$I$30/CP!$E$30)</f>
        <v>0.02</v>
      </c>
      <c r="J52" s="109">
        <f t="shared" si="42"/>
        <v>0</v>
      </c>
      <c r="K52" s="36">
        <f t="shared" si="24"/>
        <v>6.7999999999999996E-3</v>
      </c>
      <c r="L52" s="109">
        <f t="shared" si="43"/>
        <v>0</v>
      </c>
      <c r="M52" s="109">
        <f t="shared" si="44"/>
        <v>0</v>
      </c>
    </row>
    <row r="53" spans="1:23" x14ac:dyDescent="0.3">
      <c r="B53" s="33"/>
      <c r="C53" s="34"/>
      <c r="D53" s="109"/>
      <c r="E53" s="109"/>
      <c r="F53" s="109" t="s">
        <v>124</v>
      </c>
      <c r="G53" s="34"/>
      <c r="H53" s="112"/>
      <c r="I53" s="35"/>
      <c r="J53" s="109"/>
      <c r="K53" s="36"/>
      <c r="L53" s="109"/>
      <c r="M53" s="109"/>
      <c r="N53" s="34"/>
      <c r="O53" s="34"/>
      <c r="P53" s="34"/>
    </row>
    <row r="54" spans="1:23" x14ac:dyDescent="0.3">
      <c r="A54" s="14" t="s">
        <v>4</v>
      </c>
      <c r="B54" s="33"/>
      <c r="C54" s="34"/>
      <c r="D54" s="109"/>
      <c r="E54" s="109"/>
      <c r="F54" s="109"/>
      <c r="G54" s="34"/>
      <c r="H54" s="112"/>
      <c r="I54" s="35"/>
      <c r="J54" s="109"/>
      <c r="K54" s="35"/>
      <c r="L54" s="109"/>
      <c r="M54" s="109"/>
      <c r="N54" s="34"/>
      <c r="O54" s="34"/>
      <c r="P54" s="34"/>
    </row>
    <row r="55" spans="1:23" x14ac:dyDescent="0.3">
      <c r="A55" s="664" t="str">
        <f>Data!A343</f>
        <v>Grain Drill (Presswheel, 16 ft) - SMALL SIZE</v>
      </c>
      <c r="B55" s="33">
        <f>Data!B343</f>
        <v>0</v>
      </c>
      <c r="C55" s="34" t="str">
        <f>Data!C343</f>
        <v>grain drill</v>
      </c>
      <c r="D55" s="109">
        <f>Data!D343*Data!$AR$21*CP!$H$5</f>
        <v>4888.0613183453579</v>
      </c>
      <c r="E55" s="109">
        <f>D55*B55</f>
        <v>0</v>
      </c>
      <c r="F55" s="109">
        <f>IF(CP!K34=0,Data!I343*E55,CP!K34*B55)</f>
        <v>0</v>
      </c>
      <c r="G55" s="60">
        <f>IF(CP!$G$34=0,Data!$F$343,CP!$G$34)</f>
        <v>50</v>
      </c>
      <c r="H55" s="109">
        <f>(E55*(_int_inv_*(1+_int_inv_)^G55)/((1+_int_inv_)^G55-1))-(F55*_int_inv_/((1+_int_inv_)^G55-1))</f>
        <v>0</v>
      </c>
      <c r="I55" s="36">
        <f>IF(CP!I34=0,Data!H343*Data!$J$271,CP!I34/CP!E34)</f>
        <v>2.3830454545454544E-2</v>
      </c>
      <c r="J55" s="109">
        <f>E55*I55</f>
        <v>0</v>
      </c>
      <c r="K55" s="36">
        <f>_tax_ins_</f>
        <v>6.7999999999999996E-3</v>
      </c>
      <c r="L55" s="109">
        <f>E55*K55</f>
        <v>0</v>
      </c>
      <c r="M55" s="109">
        <f>H55+J55+L55</f>
        <v>0</v>
      </c>
      <c r="N55" s="34"/>
      <c r="O55" s="34"/>
      <c r="P55" s="34"/>
      <c r="Q55" s="34"/>
      <c r="R55" s="34"/>
      <c r="S55" s="34"/>
      <c r="T55" s="34"/>
      <c r="U55" s="34"/>
      <c r="V55" s="34"/>
      <c r="W55" s="34"/>
    </row>
    <row r="56" spans="1:23" x14ac:dyDescent="0.3">
      <c r="A56" s="664" t="str">
        <f>Data!A344</f>
        <v>Grain Drill (Presswheel, 25 ft) - MEDIUM SIZE</v>
      </c>
      <c r="B56" s="33">
        <f>Data!B344</f>
        <v>1</v>
      </c>
      <c r="C56" s="34" t="str">
        <f>Data!C344</f>
        <v>grain drill</v>
      </c>
      <c r="D56" s="109">
        <f>Data!D344*Data!$AR$21</f>
        <v>9998.3072420700501</v>
      </c>
      <c r="E56" s="109">
        <f t="shared" ref="E56:E57" si="45">D56*B56</f>
        <v>9998.3072420700501</v>
      </c>
      <c r="F56" s="109">
        <f>IF(CP!K35=0,Data!I344*E56,CP!K35*B56)</f>
        <v>3999.32289682802</v>
      </c>
      <c r="G56" s="60">
        <f>IF(CP!$G$35=0,Data!$F$344,CP!$G$35)</f>
        <v>40</v>
      </c>
      <c r="H56" s="109">
        <f>(E56*(_int_inv_m*(1+_int_inv_m)^G56)/((1+_int_inv_m)^G56-1))-(F56*_int_inv_m/((1+_int_inv_m)^G56-1))</f>
        <v>283.66647642808016</v>
      </c>
      <c r="I56" s="36">
        <f>IF(CP!I35=0,Data!H344*Data!$J$271,CP!I35/CP!E35)</f>
        <v>2.3673333333333331E-2</v>
      </c>
      <c r="J56" s="109">
        <f t="shared" ref="J56:J57" si="46">E56*I56</f>
        <v>236.69326011060497</v>
      </c>
      <c r="K56" s="36">
        <f>_tax_ins_</f>
        <v>6.7999999999999996E-3</v>
      </c>
      <c r="L56" s="109">
        <f t="shared" ref="L56:L57" si="47">E56*K56</f>
        <v>67.988489246076341</v>
      </c>
      <c r="M56" s="109">
        <f t="shared" ref="M56:M57" si="48">H56+J56+L56</f>
        <v>588.34822578476155</v>
      </c>
      <c r="N56" s="34"/>
      <c r="O56" s="34"/>
      <c r="P56" s="34"/>
      <c r="Q56" s="34"/>
      <c r="R56" s="34"/>
      <c r="S56" s="34"/>
      <c r="T56" s="34"/>
      <c r="U56" s="34"/>
      <c r="V56" s="34"/>
      <c r="W56" s="34"/>
    </row>
    <row r="57" spans="1:23" x14ac:dyDescent="0.3">
      <c r="A57" s="664" t="str">
        <f>Data!A345</f>
        <v>Grain Drill (Presswheel, 30 ft) - LARGE SIZE</v>
      </c>
      <c r="B57" s="33">
        <f>Data!B345</f>
        <v>0</v>
      </c>
      <c r="C57" s="34" t="str">
        <f>Data!C345</f>
        <v>grain drill</v>
      </c>
      <c r="D57" s="109">
        <f>Data!D345*Data!$AR$21</f>
        <v>12664.522506622063</v>
      </c>
      <c r="E57" s="109">
        <f t="shared" si="45"/>
        <v>0</v>
      </c>
      <c r="F57" s="109">
        <f>IF(CP!K36=0,Data!I345*E57,CP!K36*B57)</f>
        <v>0</v>
      </c>
      <c r="G57" s="60">
        <f>IF(CP!$G$36=0,Data!$F$345,CP!$G$36)</f>
        <v>20</v>
      </c>
      <c r="H57" s="109">
        <f>(E57*(_int_inv_l*(1+_int_inv_l)^G57)/((1+_int_inv_l)^G57-1))-(F57*_int_inv_l/((1+_int_inv_l)^G57-1))</f>
        <v>0</v>
      </c>
      <c r="I57" s="36">
        <f>IF(CP!I36=0,Data!H345*Data!$J$271,CP!I36/CP!E36)</f>
        <v>2.714666666666667E-2</v>
      </c>
      <c r="J57" s="109">
        <f t="shared" si="46"/>
        <v>0</v>
      </c>
      <c r="K57" s="36">
        <f>_tax_ins_</f>
        <v>6.7999999999999996E-3</v>
      </c>
      <c r="L57" s="109">
        <f t="shared" si="47"/>
        <v>0</v>
      </c>
      <c r="M57" s="109">
        <f t="shared" si="48"/>
        <v>0</v>
      </c>
      <c r="N57" s="34"/>
      <c r="O57" s="34"/>
      <c r="P57" s="34"/>
      <c r="Q57" s="34"/>
      <c r="R57" s="34"/>
      <c r="S57" s="34"/>
      <c r="T57" s="34"/>
      <c r="U57" s="34"/>
      <c r="V57" s="34"/>
      <c r="W57" s="34"/>
    </row>
    <row r="58" spans="1:23" x14ac:dyDescent="0.3">
      <c r="A58" s="664" t="str">
        <f>Data!A348</f>
        <v xml:space="preserve">Soybean Planter </v>
      </c>
      <c r="B58" s="163">
        <f>Data!B348</f>
        <v>0</v>
      </c>
      <c r="C58" s="34" t="str">
        <f>Data!C348</f>
        <v>planter</v>
      </c>
      <c r="D58" s="109">
        <f>Data!D348*Data!$D$21</f>
        <v>18000</v>
      </c>
      <c r="E58" s="109">
        <f>D58*B58</f>
        <v>0</v>
      </c>
      <c r="F58" s="109">
        <f>Data!I348*E58</f>
        <v>0</v>
      </c>
      <c r="G58" s="34">
        <f>Data!F348</f>
        <v>10</v>
      </c>
      <c r="H58" s="109">
        <f>(E58*(_int_inv_*(1+_int_inv_)^G58)/((1+_int_inv_)^G58-1))-(F58*_int_inv_/((1+_int_inv_)^G58-1))</f>
        <v>0</v>
      </c>
      <c r="I58" s="37">
        <f>Data!H348*Data!$J$271</f>
        <v>4.4999999999999998E-2</v>
      </c>
      <c r="J58" s="109">
        <f>E58*I58</f>
        <v>0</v>
      </c>
      <c r="K58" s="36">
        <f>_tax_ins_</f>
        <v>6.7999999999999996E-3</v>
      </c>
      <c r="L58" s="109">
        <f>E58*K58</f>
        <v>0</v>
      </c>
      <c r="M58" s="109">
        <f>H58+J58+L58</f>
        <v>0</v>
      </c>
      <c r="N58" s="34"/>
      <c r="O58" s="34"/>
      <c r="P58" s="34"/>
    </row>
    <row r="59" spans="1:23" x14ac:dyDescent="0.3">
      <c r="B59" s="33"/>
      <c r="C59" s="34"/>
      <c r="D59" s="109"/>
      <c r="E59" s="109"/>
      <c r="F59" s="109"/>
      <c r="G59" s="34"/>
      <c r="H59" s="112"/>
      <c r="I59" s="35"/>
      <c r="J59" s="109"/>
      <c r="K59" s="35"/>
      <c r="L59" s="109"/>
      <c r="M59" s="109"/>
      <c r="N59" s="34"/>
      <c r="O59" s="34"/>
      <c r="P59" s="34"/>
    </row>
    <row r="60" spans="1:23" x14ac:dyDescent="0.3">
      <c r="A60" s="14" t="s">
        <v>7</v>
      </c>
      <c r="B60" s="33"/>
      <c r="C60" s="34"/>
      <c r="D60" s="109"/>
      <c r="E60" s="109"/>
      <c r="F60" s="109"/>
      <c r="G60" s="34"/>
      <c r="H60" s="112"/>
      <c r="I60" s="35"/>
      <c r="J60" s="109"/>
      <c r="K60" s="36"/>
      <c r="L60" s="109"/>
      <c r="M60" s="109"/>
      <c r="N60" s="34"/>
      <c r="O60" s="34"/>
      <c r="P60" s="34"/>
    </row>
    <row r="61" spans="1:23" ht="12.75" customHeight="1" x14ac:dyDescent="0.3">
      <c r="A61" s="6" t="str">
        <f>Data!A353</f>
        <v>Sprayer (Tractor Mounted Boom, 50 ft) - SMALL SIZE</v>
      </c>
      <c r="B61" s="33">
        <f>Data!B353</f>
        <v>0</v>
      </c>
      <c r="C61" s="34" t="str">
        <f>Data!C353</f>
        <v>sprayer</v>
      </c>
      <c r="D61" s="109">
        <f>Data!D353*Data!$P$21*CP!$H$5</f>
        <v>4665.8767129660228</v>
      </c>
      <c r="E61" s="109">
        <f>D61*B61</f>
        <v>0</v>
      </c>
      <c r="F61" s="109">
        <f>IF(CP!K38=0,Data!I353*E61,CP!K38*B61)</f>
        <v>0</v>
      </c>
      <c r="G61" s="34">
        <f>IF(CP!$G$38=0,Data!$F$353,CP!$G$38)</f>
        <v>40</v>
      </c>
      <c r="H61" s="109">
        <f>(E61*(_int_inv_*(1+_int_inv_)^G61)/((1+_int_inv_)^G61-1))-(F61*_int_inv_/((1+_int_inv_)^G61-1))</f>
        <v>0</v>
      </c>
      <c r="I61" s="37">
        <f>IF(CP!I38=0,Data!H353*Data!$J$271,CP!I38/CP!E38)</f>
        <v>4.4999999999999998E-2</v>
      </c>
      <c r="J61" s="109">
        <f>E61*I61</f>
        <v>0</v>
      </c>
      <c r="K61" s="36">
        <f>_tax_ins_</f>
        <v>6.7999999999999996E-3</v>
      </c>
      <c r="L61" s="109">
        <f>E61*K61</f>
        <v>0</v>
      </c>
      <c r="M61" s="109">
        <f>H61+J61+L61</f>
        <v>0</v>
      </c>
      <c r="N61" s="34"/>
      <c r="O61" s="34"/>
      <c r="P61" s="34"/>
      <c r="Q61" s="34"/>
      <c r="R61" s="34"/>
      <c r="S61" s="34"/>
      <c r="T61" s="34"/>
      <c r="U61" s="34"/>
    </row>
    <row r="62" spans="1:23" ht="12.75" customHeight="1" x14ac:dyDescent="0.3">
      <c r="A62" s="6" t="str">
        <f>Data!A354</f>
        <v>Sprayer (Tractor Mounted Boom, 90 ft) - MEDIUM SIZE</v>
      </c>
      <c r="B62" s="33">
        <f>Data!B354</f>
        <v>0</v>
      </c>
      <c r="C62" s="34" t="str">
        <f>Data!C354</f>
        <v>sprayer</v>
      </c>
      <c r="D62" s="109">
        <f>Data!D354*Data!$P$21</f>
        <v>9998.3072420700501</v>
      </c>
      <c r="E62" s="109">
        <f t="shared" ref="E62:E63" si="49">D62*B62</f>
        <v>0</v>
      </c>
      <c r="F62" s="109">
        <f>IF(CP!K39=0,Data!I354*E62,CP!K39*B62)</f>
        <v>0</v>
      </c>
      <c r="G62" s="34">
        <f>IF(CP!$G$39=0,Data!$F$354,CP!$G$39)</f>
        <v>40</v>
      </c>
      <c r="H62" s="109">
        <f>(E62*(_int_inv_m*(1+_int_inv_m)^G62)/((1+_int_inv_m)^G62-1))-(F62*_int_inv_m/((1+_int_inv_m)^G62-1))</f>
        <v>0</v>
      </c>
      <c r="I62" s="37">
        <f>IF(CP!I39=0,Data!H354*Data!$J$271,CP!I39/CP!E39)</f>
        <v>4.4999999999999998E-2</v>
      </c>
      <c r="J62" s="109">
        <f t="shared" ref="J62:J63" si="50">E62*I62</f>
        <v>0</v>
      </c>
      <c r="K62" s="36">
        <f>_tax_ins_</f>
        <v>6.7999999999999996E-3</v>
      </c>
      <c r="L62" s="109">
        <f t="shared" ref="L62:L63" si="51">E62*K62</f>
        <v>0</v>
      </c>
      <c r="M62" s="109">
        <f t="shared" ref="M62:M63" si="52">H62+J62+L62</f>
        <v>0</v>
      </c>
      <c r="N62" s="34"/>
      <c r="O62" s="34"/>
      <c r="P62" s="34"/>
      <c r="Q62" s="34"/>
      <c r="R62" s="34"/>
      <c r="S62" s="34"/>
      <c r="T62" s="34"/>
      <c r="U62" s="34"/>
    </row>
    <row r="63" spans="1:23" ht="12.75" customHeight="1" x14ac:dyDescent="0.3">
      <c r="A63" s="6" t="str">
        <f>Data!A355</f>
        <v>Sprayer (Self Propelled, 80 ft) - LARGE SIZE</v>
      </c>
      <c r="B63" s="33">
        <f>Data!B355</f>
        <v>0</v>
      </c>
      <c r="C63" s="34" t="str">
        <f>Data!C355</f>
        <v>sprayer</v>
      </c>
      <c r="D63" s="109">
        <f>Data!D355*Data!$P$21</f>
        <v>51991.197658764257</v>
      </c>
      <c r="E63" s="109">
        <f t="shared" si="49"/>
        <v>0</v>
      </c>
      <c r="F63" s="109">
        <f>IF(CP!K40=0,Data!I355*E63,CP!K40*B63)</f>
        <v>0</v>
      </c>
      <c r="G63" s="34">
        <f>IF(CP!$G$40=0,Data!$F$355,CP!$G$40)</f>
        <v>40</v>
      </c>
      <c r="H63" s="109">
        <f>(E63*(_int_inv_l*(1+_int_inv_l)^G63)/((1+_int_inv_l)^G63-1))-(F63*_int_inv_l/((1+_int_inv_l)^G63-1))</f>
        <v>0</v>
      </c>
      <c r="I63" s="37">
        <f>IF(CP!I40=0,Data!H355*Data!$J$271,CP!I40/CP!E40)</f>
        <v>4.4999999999999998E-2</v>
      </c>
      <c r="J63" s="109">
        <f t="shared" si="50"/>
        <v>0</v>
      </c>
      <c r="K63" s="36">
        <f>_tax_ins_</f>
        <v>6.7999999999999996E-3</v>
      </c>
      <c r="L63" s="109">
        <f t="shared" si="51"/>
        <v>0</v>
      </c>
      <c r="M63" s="109">
        <f t="shared" si="52"/>
        <v>0</v>
      </c>
      <c r="N63" s="34"/>
      <c r="O63" s="34"/>
      <c r="P63" s="34"/>
      <c r="Q63" s="34"/>
      <c r="R63" s="34"/>
      <c r="S63" s="34"/>
      <c r="T63" s="34"/>
      <c r="U63" s="34"/>
    </row>
    <row r="64" spans="1:23" x14ac:dyDescent="0.3">
      <c r="B64" s="33"/>
      <c r="C64" s="34"/>
      <c r="D64" s="109"/>
      <c r="E64" s="109"/>
      <c r="F64" s="109"/>
      <c r="G64" s="34"/>
      <c r="H64" s="112"/>
      <c r="I64" s="35"/>
      <c r="J64" s="109"/>
      <c r="K64" s="36"/>
      <c r="L64" s="109"/>
      <c r="M64" s="109"/>
      <c r="N64" s="34"/>
      <c r="O64" s="34"/>
      <c r="P64" s="34"/>
    </row>
    <row r="65" spans="1:22" x14ac:dyDescent="0.3">
      <c r="A65" s="14" t="s">
        <v>9</v>
      </c>
      <c r="B65" s="33"/>
      <c r="C65" s="34"/>
      <c r="D65" s="109"/>
      <c r="E65" s="109"/>
      <c r="F65" s="109"/>
      <c r="G65" s="34"/>
      <c r="H65" s="112"/>
      <c r="I65" s="35"/>
      <c r="J65" s="109"/>
      <c r="K65" s="36"/>
      <c r="L65" s="109"/>
      <c r="M65" s="109"/>
      <c r="N65" s="34"/>
      <c r="O65" s="34"/>
      <c r="P65" s="34"/>
    </row>
    <row r="66" spans="1:22" x14ac:dyDescent="0.3">
      <c r="A66" s="664" t="str">
        <f>Data!A381</f>
        <v>Combine (IHC) - SMALL SIZE</v>
      </c>
      <c r="B66" s="33">
        <f>Data!B381</f>
        <v>0</v>
      </c>
      <c r="C66" s="34" t="str">
        <f>Data!C381</f>
        <v>combine</v>
      </c>
      <c r="D66" s="109">
        <f>Data!D381*Data!$AH$21*CP!$H$5</f>
        <v>31439.121661175821</v>
      </c>
      <c r="E66" s="109">
        <f>D66*B66</f>
        <v>0</v>
      </c>
      <c r="F66" s="109">
        <f>IF(CP!K48=0,Data!I381*E66,CP!K48*B66)</f>
        <v>0</v>
      </c>
      <c r="G66" s="60">
        <f>IF(CP!$G$48=0,Data!$F$381,CP!$G$48)</f>
        <v>50</v>
      </c>
      <c r="H66" s="109">
        <f>(E66*(_int_inv_*(1+_int_inv_)^G66)/((1+_int_inv_)^G66-1))-(F66*_int_inv_/((1+_int_inv_)^G66-1))</f>
        <v>0</v>
      </c>
      <c r="I66" s="37">
        <f>IF(CP!I48=0,Data!H381*Data!$J$271,CP!I48/CP!E48)</f>
        <v>2.8219081272084806E-2</v>
      </c>
      <c r="J66" s="109">
        <f>E66*I66</f>
        <v>0</v>
      </c>
      <c r="K66" s="36">
        <f t="shared" ref="K66:K71" si="53">_tax_ins_</f>
        <v>6.7999999999999996E-3</v>
      </c>
      <c r="L66" s="109">
        <f>E66*K66</f>
        <v>0</v>
      </c>
      <c r="M66" s="109">
        <f>H66+J66+L66</f>
        <v>0</v>
      </c>
      <c r="N66" s="34"/>
      <c r="O66" s="34"/>
      <c r="P66" s="34"/>
      <c r="Q66" s="34"/>
      <c r="R66" s="34"/>
      <c r="S66" s="34"/>
      <c r="T66" s="34"/>
      <c r="U66" s="34"/>
      <c r="V66" s="34"/>
    </row>
    <row r="67" spans="1:22" x14ac:dyDescent="0.3">
      <c r="A67" s="664" t="str">
        <f>Data!A382</f>
        <v>Combine (IHC) - MEDIUM SIZE</v>
      </c>
      <c r="B67" s="33">
        <f>Data!B382</f>
        <v>1</v>
      </c>
      <c r="C67" s="34" t="str">
        <f>Data!C382</f>
        <v>combine</v>
      </c>
      <c r="D67" s="109">
        <f>Data!D382*Data!$AH$21</f>
        <v>47158.682491763735</v>
      </c>
      <c r="E67" s="109">
        <f t="shared" ref="E67:E68" si="54">D67*B67</f>
        <v>47158.682491763735</v>
      </c>
      <c r="F67" s="109">
        <f>IF(CP!K49=0,Data!I382*E67,CP!K49*B67)</f>
        <v>8960.1496734351094</v>
      </c>
      <c r="G67" s="60">
        <f>IF(CP!$G$49=0,Data!$F$382,CP!$G$49)</f>
        <v>40</v>
      </c>
      <c r="H67" s="109">
        <f>(E67*(_int_inv_m*(1+_int_inv_m)^G67)/((1+_int_inv_m)^G67-1))-(F67*_int_inv_m/((1+_int_inv_m)^G67-1))</f>
        <v>1509.1465889576891</v>
      </c>
      <c r="I67" s="37">
        <f>IF(CP!I49=0,Data!H382*Data!$J$271,CP!I49/CP!E49)</f>
        <v>2.8219081272084806E-2</v>
      </c>
      <c r="J67" s="109">
        <f t="shared" ref="J67:J68" si="55">E67*I67</f>
        <v>1330.7746939195235</v>
      </c>
      <c r="K67" s="36">
        <f t="shared" si="53"/>
        <v>6.7999999999999996E-3</v>
      </c>
      <c r="L67" s="109">
        <f t="shared" ref="L67:L68" si="56">E67*K67</f>
        <v>320.67904094399336</v>
      </c>
      <c r="M67" s="109">
        <f t="shared" ref="M67:M68" si="57">H67+J67+L67</f>
        <v>3160.6003238212056</v>
      </c>
      <c r="N67" s="34"/>
      <c r="O67" s="34"/>
      <c r="P67" s="34"/>
      <c r="Q67" s="34"/>
      <c r="R67" s="34"/>
      <c r="S67" s="34"/>
      <c r="T67" s="34"/>
      <c r="U67" s="34"/>
      <c r="V67" s="34"/>
    </row>
    <row r="68" spans="1:22" x14ac:dyDescent="0.3">
      <c r="A68" s="664" t="str">
        <f>Data!A383</f>
        <v>Combine (IHC) - LARGE SIZE</v>
      </c>
      <c r="B68" s="33">
        <f>Data!B383</f>
        <v>0</v>
      </c>
      <c r="C68" s="34" t="str">
        <f>Data!C383</f>
        <v>combine</v>
      </c>
      <c r="D68" s="109">
        <f>Data!D383*Data!$AH$21</f>
        <v>62878.243322351642</v>
      </c>
      <c r="E68" s="109">
        <f t="shared" si="54"/>
        <v>0</v>
      </c>
      <c r="F68" s="109">
        <f>IF(CP!K50=0,Data!I383*E68,CP!K50*B68)</f>
        <v>0</v>
      </c>
      <c r="G68" s="60">
        <f>IF(CP!$G$50=0,Data!$F$383,CP!$G$50)</f>
        <v>20</v>
      </c>
      <c r="H68" s="109">
        <f>(E68*(_int_inv_l*(1+_int_inv_l)^G68)/((1+_int_inv_l)^G68-1))-(F68*_int_inv_l/((1+_int_inv_l)^G68-1))</f>
        <v>0</v>
      </c>
      <c r="I68" s="37">
        <f>IF(CP!I50=0,Data!H383*Data!$J$271,CP!I50/CP!E50)</f>
        <v>2.8219081272084806E-2</v>
      </c>
      <c r="J68" s="109">
        <f t="shared" si="55"/>
        <v>0</v>
      </c>
      <c r="K68" s="36">
        <f t="shared" si="53"/>
        <v>6.7999999999999996E-3</v>
      </c>
      <c r="L68" s="109">
        <f t="shared" si="56"/>
        <v>0</v>
      </c>
      <c r="M68" s="109">
        <f t="shared" si="57"/>
        <v>0</v>
      </c>
      <c r="N68" s="34"/>
      <c r="O68" s="34"/>
      <c r="P68" s="34"/>
      <c r="Q68" s="34"/>
      <c r="R68" s="34"/>
      <c r="S68" s="34"/>
      <c r="T68" s="34"/>
      <c r="U68" s="34"/>
      <c r="V68" s="34"/>
    </row>
    <row r="69" spans="1:22" x14ac:dyDescent="0.3">
      <c r="A69" s="664" t="str">
        <f>Data!A388</f>
        <v xml:space="preserve">     Combine soybean head (15 ft) - SMALL SIZE</v>
      </c>
      <c r="B69" s="33">
        <f>Data!B388</f>
        <v>0</v>
      </c>
      <c r="C69" s="34" t="str">
        <f>Data!C388</f>
        <v>soy hd.</v>
      </c>
      <c r="D69" s="109">
        <f>Data!D388*Data!$AL$21*CP!$H$5</f>
        <v>32250</v>
      </c>
      <c r="E69" s="109">
        <f>D69*B69</f>
        <v>0</v>
      </c>
      <c r="F69" s="109">
        <f>IF(CP!K54=0,Data!I388*E69,CP!K54*B69)</f>
        <v>0</v>
      </c>
      <c r="G69" s="60">
        <f>IF(CP!$G$54=0,Data!$F$388,CP!$G$54)</f>
        <v>50</v>
      </c>
      <c r="H69" s="109">
        <f>(E69*(_int_inv_*(1+_int_inv_)^G69)/((1+_int_inv_)^G69-1))-(F69*_int_inv_/((1+_int_inv_)^G69-1))</f>
        <v>0</v>
      </c>
      <c r="I69" s="37">
        <f>IF(CP!I54=0,Data!H388*Data!$J$271,CP!I54/CP!E54)</f>
        <v>2.6278604651162791E-2</v>
      </c>
      <c r="J69" s="109">
        <f>E69*I69</f>
        <v>0</v>
      </c>
      <c r="K69" s="36">
        <f t="shared" si="53"/>
        <v>6.7999999999999996E-3</v>
      </c>
      <c r="L69" s="109">
        <f>E69*K69</f>
        <v>0</v>
      </c>
      <c r="M69" s="109">
        <f>H69+J69+L69</f>
        <v>0</v>
      </c>
      <c r="N69" s="34"/>
      <c r="O69" s="34"/>
      <c r="P69" s="34"/>
      <c r="Q69" s="34"/>
      <c r="R69" s="34"/>
      <c r="S69" s="34"/>
      <c r="T69" s="34"/>
      <c r="U69" s="34"/>
      <c r="V69" s="34"/>
    </row>
    <row r="70" spans="1:22" x14ac:dyDescent="0.3">
      <c r="A70" s="664" t="str">
        <f>Data!A389</f>
        <v xml:space="preserve">     Combine soybean head (15 ft) - MEDIUM SIZE</v>
      </c>
      <c r="B70" s="33">
        <f>Data!B389</f>
        <v>1</v>
      </c>
      <c r="C70" s="34" t="str">
        <f>Data!C389</f>
        <v>soy hd.</v>
      </c>
      <c r="D70" s="109">
        <f>Data!D389*Data!$AL$21</f>
        <v>43000</v>
      </c>
      <c r="E70" s="109">
        <f t="shared" ref="E70:E71" si="58">D70*B70</f>
        <v>43000</v>
      </c>
      <c r="F70" s="109">
        <f>IF(CP!K55=0,Data!I389*E70,CP!K55*B70)</f>
        <v>8170</v>
      </c>
      <c r="G70" s="60">
        <f>IF(CP!$G$55=0,Data!$F$389,CP!$G$55)</f>
        <v>40</v>
      </c>
      <c r="H70" s="109">
        <f>(E70*(_int_inv_m*(1+_int_inv_m)^G70)/((1+_int_inv_m)^G70-1))-(F70*_int_inv_m/((1+_int_inv_m)^G70-1))</f>
        <v>1376.0626865798092</v>
      </c>
      <c r="I70" s="37">
        <f>IF(CP!I55=0,Data!H389*Data!$J$271,CP!I55/CP!E55)</f>
        <v>2.6278604651162791E-2</v>
      </c>
      <c r="J70" s="109">
        <f t="shared" ref="J70:J71" si="59">E70*I70</f>
        <v>1129.98</v>
      </c>
      <c r="K70" s="36">
        <f t="shared" si="53"/>
        <v>6.7999999999999996E-3</v>
      </c>
      <c r="L70" s="109">
        <f t="shared" ref="L70:L71" si="60">E70*K70</f>
        <v>292.39999999999998</v>
      </c>
      <c r="M70" s="109">
        <f t="shared" ref="M70:M71" si="61">H70+J70+L70</f>
        <v>2798.4426865798091</v>
      </c>
      <c r="N70" s="34"/>
      <c r="O70" s="34"/>
      <c r="P70" s="34"/>
      <c r="Q70" s="34"/>
      <c r="R70" s="34"/>
      <c r="S70" s="34"/>
      <c r="T70" s="34"/>
      <c r="U70" s="34"/>
      <c r="V70" s="34"/>
    </row>
    <row r="71" spans="1:22" x14ac:dyDescent="0.3">
      <c r="A71" s="664" t="str">
        <f>Data!A390</f>
        <v xml:space="preserve">     Combine soybean head (20 ft) - LARGE SIZE</v>
      </c>
      <c r="B71" s="33">
        <f>Data!B390</f>
        <v>0</v>
      </c>
      <c r="C71" s="34" t="str">
        <f>Data!C390</f>
        <v>soy hd.</v>
      </c>
      <c r="D71" s="109">
        <f>Data!D390*Data!$AL$21</f>
        <v>56000</v>
      </c>
      <c r="E71" s="109">
        <f t="shared" si="58"/>
        <v>0</v>
      </c>
      <c r="F71" s="109">
        <f>IF(CP!K56=0,Data!I390*E71,CP!K56*B71)</f>
        <v>0</v>
      </c>
      <c r="G71" s="60">
        <f>IF(CP!$G$56=0,Data!$F$390,CP!$G$56)</f>
        <v>20</v>
      </c>
      <c r="H71" s="109">
        <f>(E71*(_int_inv_l*(1+_int_inv_l)^G71)/((1+_int_inv_l)^G71-1))-(F71*_int_inv_l/((1+_int_inv_l)^G71-1))</f>
        <v>0</v>
      </c>
      <c r="I71" s="37">
        <f>IF(CP!I56=0,Data!H390*Data!$J$271,CP!I56/CP!E56)</f>
        <v>2.6278604651162791E-2</v>
      </c>
      <c r="J71" s="109">
        <f t="shared" si="59"/>
        <v>0</v>
      </c>
      <c r="K71" s="36">
        <f t="shared" si="53"/>
        <v>6.7999999999999996E-3</v>
      </c>
      <c r="L71" s="109">
        <f t="shared" si="60"/>
        <v>0</v>
      </c>
      <c r="M71" s="109">
        <f t="shared" si="61"/>
        <v>0</v>
      </c>
      <c r="N71" s="34"/>
      <c r="O71" s="34"/>
      <c r="P71" s="34"/>
      <c r="Q71" s="34"/>
      <c r="R71" s="34"/>
      <c r="S71" s="34"/>
      <c r="T71" s="34"/>
      <c r="U71" s="34"/>
      <c r="V71" s="34"/>
    </row>
    <row r="72" spans="1:22" x14ac:dyDescent="0.3">
      <c r="A72" s="6"/>
      <c r="B72" s="33"/>
      <c r="C72" s="34"/>
      <c r="D72" s="109"/>
      <c r="E72" s="109"/>
      <c r="F72" s="109"/>
      <c r="G72" s="60"/>
      <c r="H72" s="112"/>
      <c r="I72" s="35"/>
      <c r="J72" s="109"/>
      <c r="K72" s="36"/>
      <c r="L72" s="109"/>
      <c r="M72" s="109"/>
      <c r="N72" s="34"/>
      <c r="O72" s="34"/>
      <c r="P72" s="34"/>
      <c r="Q72" s="34"/>
      <c r="R72" s="34"/>
      <c r="S72" s="34"/>
      <c r="T72" s="34"/>
      <c r="U72" s="34"/>
      <c r="V72" s="34"/>
    </row>
    <row r="73" spans="1:22" x14ac:dyDescent="0.3">
      <c r="A73" s="14" t="s">
        <v>357</v>
      </c>
      <c r="B73" s="33"/>
      <c r="C73" s="34"/>
      <c r="D73" s="109"/>
      <c r="E73" s="109"/>
      <c r="F73" s="109"/>
      <c r="G73" s="34"/>
      <c r="H73" s="112"/>
      <c r="I73" s="35"/>
      <c r="J73" s="109"/>
      <c r="K73" s="36"/>
      <c r="L73" s="109"/>
      <c r="M73" s="109"/>
    </row>
    <row r="74" spans="1:22" x14ac:dyDescent="0.3">
      <c r="A74" s="664" t="str">
        <f>Data!A395</f>
        <v>Fuel Tanks - SMALL SIZE</v>
      </c>
      <c r="B74" s="33">
        <f>Data!B395</f>
        <v>0</v>
      </c>
      <c r="C74" s="34" t="str">
        <f>Data!C395</f>
        <v>fuel tank</v>
      </c>
      <c r="D74" s="109">
        <f>Data!D395*Data!$H$21*CP!$H$5</f>
        <v>27.853848133989054</v>
      </c>
      <c r="E74" s="109">
        <f>D74*B74</f>
        <v>0</v>
      </c>
      <c r="F74" s="109">
        <f>IF(CP!K58=0,Data!I395*E74,CP!K58*B74)</f>
        <v>0</v>
      </c>
      <c r="G74" s="60">
        <f>IF(CP!$G$58=0,Data!$F$395,CP!$G$58)</f>
        <v>50</v>
      </c>
      <c r="H74" s="104">
        <f t="shared" ref="H74:H75" si="62">(E74*(_int_inv_*(1+_int_inv_)^G74)/((1+_int_inv_)^G74-1))-(F74*_int_inv_/((1+_int_inv_)^G74-1))</f>
        <v>0</v>
      </c>
      <c r="I74" s="35">
        <f>IF(CP!I58=0,Data!H395*Data!$J$271,CP!I58/CP!E58)</f>
        <v>0.02</v>
      </c>
      <c r="J74" s="104">
        <f>E74*I74</f>
        <v>0</v>
      </c>
      <c r="K74" s="36">
        <f t="shared" ref="K74:K79" si="63">_tax_ins_</f>
        <v>6.7999999999999996E-3</v>
      </c>
      <c r="L74" s="104">
        <f>E74*K74</f>
        <v>0</v>
      </c>
      <c r="M74" s="109">
        <f>H74+J74+L74</f>
        <v>0</v>
      </c>
    </row>
    <row r="75" spans="1:22" x14ac:dyDescent="0.3">
      <c r="A75" s="664" t="str">
        <f>Data!A396</f>
        <v>Shop Tools - SMALL SIZE</v>
      </c>
      <c r="B75" s="33">
        <f>Data!B396</f>
        <v>0</v>
      </c>
      <c r="C75" s="34" t="str">
        <f>Data!C396</f>
        <v>shop tools</v>
      </c>
      <c r="D75" s="109">
        <f>Data!D396*Data!$H$21*CP!$H$5</f>
        <v>278.53848133989055</v>
      </c>
      <c r="E75" s="109">
        <f>D75*B75</f>
        <v>0</v>
      </c>
      <c r="F75" s="109">
        <f>IF(CP!K61=0,Data!I396*E75,CP!K61*B75)</f>
        <v>0</v>
      </c>
      <c r="G75" s="60">
        <f>IF(CP!$G$61=0,Data!$F$396,CP!$G$61)</f>
        <v>50</v>
      </c>
      <c r="H75" s="109">
        <f t="shared" si="62"/>
        <v>0</v>
      </c>
      <c r="I75" s="35">
        <f>IF(CP!I61=0,Data!H396*Data!$J$271,CP!I61/CP!E61)</f>
        <v>0.02</v>
      </c>
      <c r="J75" s="109">
        <f>E75*I75</f>
        <v>0</v>
      </c>
      <c r="K75" s="36">
        <f t="shared" si="63"/>
        <v>6.7999999999999996E-3</v>
      </c>
      <c r="L75" s="104">
        <f>E75*K75</f>
        <v>0</v>
      </c>
      <c r="M75" s="109">
        <f>H75+J75+L75</f>
        <v>0</v>
      </c>
    </row>
    <row r="76" spans="1:22" x14ac:dyDescent="0.3">
      <c r="A76" s="664" t="str">
        <f>Data!A397</f>
        <v>Fuel Tanks - MEDIUM SIZE</v>
      </c>
      <c r="B76" s="33">
        <f>Data!B397</f>
        <v>1</v>
      </c>
      <c r="C76" s="34" t="str">
        <f>Data!C397</f>
        <v>fuel tank</v>
      </c>
      <c r="D76" s="109">
        <f>Data!D397*Data!$H$21</f>
        <v>139.26924066994528</v>
      </c>
      <c r="E76" s="109">
        <f t="shared" ref="E76:E79" si="64">D76*B76</f>
        <v>139.26924066994528</v>
      </c>
      <c r="F76" s="109">
        <f>IF(CP!K59=0,Data!I397*E76,CP!K59*B76)</f>
        <v>48.744234234480842</v>
      </c>
      <c r="G76" s="60">
        <f>IF(CP!$G$59=0,Data!$F$397,CP!$G$59)</f>
        <v>40</v>
      </c>
      <c r="H76" s="109">
        <f>(E76*(_int_inv_m*(1+_int_inv_m)^G76)/((1+_int_inv_m)^G76-1))-(F76*_int_inv_m/((1+_int_inv_m)^G76-1))</f>
        <v>4.0716389986450112</v>
      </c>
      <c r="I76" s="35">
        <f>IF(CP!I59=0,Data!H397*Data!$J$271,CP!I59/CP!E59)</f>
        <v>0.02</v>
      </c>
      <c r="J76" s="104">
        <f t="shared" ref="J76:J79" si="65">E76*I76</f>
        <v>2.7853848133989056</v>
      </c>
      <c r="K76" s="36">
        <f t="shared" si="63"/>
        <v>6.7999999999999996E-3</v>
      </c>
      <c r="L76" s="104">
        <f t="shared" ref="L76:L79" si="66">E76*K76</f>
        <v>0.94703083655562781</v>
      </c>
      <c r="M76" s="109">
        <f t="shared" ref="M76:M79" si="67">H76+J76+L76</f>
        <v>7.8040546485995446</v>
      </c>
    </row>
    <row r="77" spans="1:22" x14ac:dyDescent="0.3">
      <c r="A77" s="664" t="str">
        <f>Data!A398</f>
        <v>Shop Tools - MEDIUM SIZE</v>
      </c>
      <c r="B77" s="33">
        <f>Data!B398</f>
        <v>1</v>
      </c>
      <c r="C77" s="34" t="str">
        <f>Data!C398</f>
        <v>shop tools</v>
      </c>
      <c r="D77" s="109">
        <f>Data!D398*Data!$H$21</f>
        <v>1392.6924066994527</v>
      </c>
      <c r="E77" s="109">
        <f t="shared" si="64"/>
        <v>1392.6924066994527</v>
      </c>
      <c r="F77" s="109">
        <f>IF(CP!K62=0,Data!I398*E77,CP!K62*B77)</f>
        <v>487.44234234480842</v>
      </c>
      <c r="G77" s="60">
        <f>IF(CP!$G$62=0,Data!$F$398,CP!$G$62)</f>
        <v>40</v>
      </c>
      <c r="H77" s="109">
        <f>(E77*(_int_inv_m*(1+_int_inv_m)^G77)/((1+_int_inv_m)^G77-1))-(F77*_int_inv_m/((1+_int_inv_m)^G77-1))</f>
        <v>40.71638998645011</v>
      </c>
      <c r="I77" s="35">
        <f>IF(CP!I62=0,Data!H398*Data!$J$271,CP!I62/CP!E62)</f>
        <v>0.02</v>
      </c>
      <c r="J77" s="109">
        <f t="shared" si="65"/>
        <v>27.853848133989054</v>
      </c>
      <c r="K77" s="36">
        <f t="shared" si="63"/>
        <v>6.7999999999999996E-3</v>
      </c>
      <c r="L77" s="104">
        <f t="shared" si="66"/>
        <v>9.4703083655562779</v>
      </c>
      <c r="M77" s="109">
        <f t="shared" si="67"/>
        <v>78.040546485995449</v>
      </c>
    </row>
    <row r="78" spans="1:22" x14ac:dyDescent="0.3">
      <c r="A78" s="664" t="str">
        <f>Data!A399</f>
        <v>Fuel Tanks - LARGE SIZE</v>
      </c>
      <c r="B78" s="33">
        <f>Data!B399</f>
        <v>0</v>
      </c>
      <c r="C78" s="34" t="str">
        <f>Data!C399</f>
        <v>fuel tank</v>
      </c>
      <c r="D78" s="109">
        <f>Data!D399*Data!$H$21</f>
        <v>278.53848133989055</v>
      </c>
      <c r="E78" s="109">
        <f t="shared" si="64"/>
        <v>0</v>
      </c>
      <c r="F78" s="109">
        <f>IF(CP!K60=0,Data!I399*E78,CP!K60*B78)</f>
        <v>0</v>
      </c>
      <c r="G78" s="60">
        <f>IF(CP!$G$60=0,Data!$F$399,CP!$G$60)</f>
        <v>20</v>
      </c>
      <c r="H78" s="109">
        <f>(E78*(_int_inv_l*(1+_int_inv_l)^G78)/((1+_int_inv_l)^G78-1))-(F78*_int_inv_l/((1+_int_inv_l)^G78-1))</f>
        <v>0</v>
      </c>
      <c r="I78" s="35">
        <f>IF(CP!I60=0,Data!H399*Data!$J$271,CP!I60/CP!E60)</f>
        <v>0.02</v>
      </c>
      <c r="J78" s="104">
        <f t="shared" si="65"/>
        <v>0</v>
      </c>
      <c r="K78" s="36">
        <f t="shared" si="63"/>
        <v>6.7999999999999996E-3</v>
      </c>
      <c r="L78" s="104">
        <f t="shared" si="66"/>
        <v>0</v>
      </c>
      <c r="M78" s="109">
        <f t="shared" si="67"/>
        <v>0</v>
      </c>
    </row>
    <row r="79" spans="1:22" x14ac:dyDescent="0.3">
      <c r="A79" s="664" t="str">
        <f>Data!A400</f>
        <v>Shop Tools - LARGE SIZE</v>
      </c>
      <c r="B79" s="33">
        <f>Data!B400</f>
        <v>0</v>
      </c>
      <c r="C79" s="34" t="str">
        <f>Data!C400</f>
        <v>shop tools</v>
      </c>
      <c r="D79" s="109">
        <f>Data!D400*Data!$H$21</f>
        <v>2785.3848133989054</v>
      </c>
      <c r="E79" s="109">
        <f t="shared" si="64"/>
        <v>0</v>
      </c>
      <c r="F79" s="109">
        <f>IF(CP!K63=0,Data!I400*E79,CP!K63*B79)</f>
        <v>0</v>
      </c>
      <c r="G79" s="60">
        <f>IF(CP!$G$63=0,Data!$F$400,CP!$G$63)</f>
        <v>20</v>
      </c>
      <c r="H79" s="109">
        <f>(E79*(_int_inv_l*(1+_int_inv_l)^G79)/((1+_int_inv_l)^G79-1))-(F79*_int_inv_l/((1+_int_inv_l)^G79-1))</f>
        <v>0</v>
      </c>
      <c r="I79" s="35">
        <f>IF(CP!I63=0,Data!H400*Data!$J$271,CP!I63/CP!E63)</f>
        <v>0.02</v>
      </c>
      <c r="J79" s="109">
        <f t="shared" si="65"/>
        <v>0</v>
      </c>
      <c r="K79" s="36">
        <f t="shared" si="63"/>
        <v>6.7999999999999996E-3</v>
      </c>
      <c r="L79" s="104">
        <f t="shared" si="66"/>
        <v>0</v>
      </c>
      <c r="M79" s="109">
        <f t="shared" si="67"/>
        <v>0</v>
      </c>
    </row>
    <row r="80" spans="1:22" x14ac:dyDescent="0.3">
      <c r="A80" s="6"/>
      <c r="B80" s="33"/>
      <c r="C80" s="34"/>
      <c r="D80" s="109"/>
      <c r="E80" s="109"/>
      <c r="F80" s="109"/>
      <c r="G80" s="34"/>
      <c r="H80" s="112"/>
      <c r="I80" s="35"/>
      <c r="J80" s="109"/>
      <c r="K80" s="36"/>
      <c r="L80" s="109"/>
      <c r="M80" s="109"/>
      <c r="N80" s="34"/>
      <c r="O80" s="34"/>
      <c r="P80" s="34"/>
      <c r="Q80" s="34"/>
      <c r="R80" s="34"/>
      <c r="S80" s="34"/>
      <c r="T80" s="34"/>
      <c r="U80" s="34"/>
      <c r="V80" s="34"/>
    </row>
    <row r="81" spans="1:23" x14ac:dyDescent="0.3">
      <c r="A81" s="14" t="s">
        <v>1400</v>
      </c>
      <c r="B81" s="33"/>
      <c r="C81" s="34"/>
      <c r="D81" s="109"/>
      <c r="E81" s="109"/>
      <c r="F81" s="109"/>
      <c r="G81" s="34"/>
      <c r="H81" s="109"/>
      <c r="I81" s="35"/>
      <c r="J81" s="109"/>
      <c r="K81" s="36"/>
      <c r="L81" s="109"/>
      <c r="M81" s="109"/>
      <c r="N81" s="34"/>
      <c r="O81" s="34"/>
      <c r="P81" s="34"/>
      <c r="Q81" s="34"/>
      <c r="R81" s="34"/>
      <c r="S81" s="34"/>
      <c r="T81" s="34"/>
      <c r="U81" s="34"/>
      <c r="V81" s="34"/>
      <c r="W81" s="34"/>
    </row>
    <row r="82" spans="1:23" x14ac:dyDescent="0.3">
      <c r="A82" s="664" t="str">
        <f>Data!A417</f>
        <v>Grain Cleaner - SMALL SIZE</v>
      </c>
      <c r="B82" s="33">
        <f>Data!B417</f>
        <v>0</v>
      </c>
      <c r="C82" s="34" t="str">
        <f>Data!C417</f>
        <v>grain cleaner</v>
      </c>
      <c r="D82" s="109">
        <f>Data!D417*Data!$H$21*CP!$H$5</f>
        <v>5554.6151344833606</v>
      </c>
      <c r="E82" s="109">
        <f t="shared" ref="E82:E84" si="68">D82*B82</f>
        <v>0</v>
      </c>
      <c r="F82" s="109">
        <f>IF(CP!K65=0,Data!I417*E82,CP!K65*B82)</f>
        <v>0</v>
      </c>
      <c r="G82" s="60">
        <f>IF(CP!$G$65=0,Data!$F$417,CP!$G$65)</f>
        <v>50</v>
      </c>
      <c r="H82" s="109">
        <f>(E82*(_int_inv_*(1+_int_inv_)^G82)/((1+_int_inv_)^G82-1))-(F82*_int_inv_/((1+_int_inv_)^G82-1))</f>
        <v>0</v>
      </c>
      <c r="I82" s="675">
        <f>IF(CP!I65=0,Data!H417*Data!$J$271,CP!I65/CP!E65)</f>
        <v>0.02</v>
      </c>
      <c r="J82" s="109">
        <f t="shared" ref="J82:J84" si="69">E82*I82</f>
        <v>0</v>
      </c>
      <c r="K82" s="36">
        <f>_tax_ins_</f>
        <v>6.7999999999999996E-3</v>
      </c>
      <c r="L82" s="104">
        <f t="shared" ref="L82:L84" si="70">E82*K82</f>
        <v>0</v>
      </c>
      <c r="M82" s="109">
        <f t="shared" ref="M82:M84" si="71">H82+J82+L82</f>
        <v>0</v>
      </c>
    </row>
    <row r="83" spans="1:23" x14ac:dyDescent="0.3">
      <c r="A83" s="664" t="str">
        <f>Data!A418</f>
        <v>Grain Cleaner - MEDIUM SIZE</v>
      </c>
      <c r="B83" s="33">
        <f>Data!B418</f>
        <v>1</v>
      </c>
      <c r="C83" s="34" t="str">
        <f>Data!C418</f>
        <v>grain cleaner</v>
      </c>
      <c r="D83" s="109">
        <f>Data!D418*Data!$H$21</f>
        <v>11109.230268966721</v>
      </c>
      <c r="E83" s="109">
        <f t="shared" si="68"/>
        <v>11109.230268966721</v>
      </c>
      <c r="F83" s="109">
        <f>IF(CP!K66=0,Data!I418*E83,CP!K66*B83)</f>
        <v>2110.7537511036771</v>
      </c>
      <c r="G83" s="60">
        <f>IF(CP!$G$66=0,Data!$F$418,CP!$G$66)</f>
        <v>40</v>
      </c>
      <c r="H83" s="109">
        <f>(E83*(_int_inv_m*(1+_int_inv_m)^G83)/((1+_int_inv_m)^G83-1))-(F83*_int_inv_m/((1+_int_inv_m)^G83-1))</f>
        <v>355.51156394762995</v>
      </c>
      <c r="I83" s="675">
        <f>IF(CP!I66=0,Data!H418*Data!$J$271,CP!I66/CP!E66)</f>
        <v>0.02</v>
      </c>
      <c r="J83" s="109">
        <f t="shared" si="69"/>
        <v>222.18460537933444</v>
      </c>
      <c r="K83" s="36">
        <f>_tax_ins_</f>
        <v>6.7999999999999996E-3</v>
      </c>
      <c r="L83" s="104">
        <f t="shared" si="70"/>
        <v>75.5427658289737</v>
      </c>
      <c r="M83" s="109">
        <f t="shared" si="71"/>
        <v>653.23893515593818</v>
      </c>
    </row>
    <row r="84" spans="1:23" x14ac:dyDescent="0.3">
      <c r="A84" s="664" t="str">
        <f>Data!A419</f>
        <v>Grain Cleaner - LARGE SIZE</v>
      </c>
      <c r="B84" s="33">
        <f>Data!B419</f>
        <v>0</v>
      </c>
      <c r="C84" s="34" t="str">
        <f>Data!C419</f>
        <v>grain cleaner</v>
      </c>
      <c r="D84" s="109">
        <f>Data!D419*Data!$H$21</f>
        <v>21662.999024485107</v>
      </c>
      <c r="E84" s="109">
        <f t="shared" si="68"/>
        <v>0</v>
      </c>
      <c r="F84" s="109">
        <f>IF(CP!K67=0,Data!I419*E84,CP!K67*B84)</f>
        <v>0</v>
      </c>
      <c r="G84" s="60">
        <f>IF(CP!$G$67=0,Data!$F$419,CP!$G$67)</f>
        <v>20</v>
      </c>
      <c r="H84" s="109">
        <f>(E84*(_int_inv_l*(1+_int_inv_l)^G84)/((1+_int_inv_l)^G84-1))-(F84*_int_inv_l/((1+_int_inv_l)^G84-1))</f>
        <v>0</v>
      </c>
      <c r="I84" s="675">
        <f>IF(CP!I67=0,Data!H419*Data!$J$271,CP!I67/CP!E67)</f>
        <v>0.02</v>
      </c>
      <c r="J84" s="109">
        <f t="shared" si="69"/>
        <v>0</v>
      </c>
      <c r="K84" s="36">
        <f>_tax_ins_</f>
        <v>6.7999999999999996E-3</v>
      </c>
      <c r="L84" s="104">
        <f t="shared" si="70"/>
        <v>0</v>
      </c>
      <c r="M84" s="109">
        <f t="shared" si="71"/>
        <v>0</v>
      </c>
    </row>
    <row r="85" spans="1:23" x14ac:dyDescent="0.3">
      <c r="A85" s="6"/>
      <c r="B85" s="33"/>
      <c r="C85" s="34"/>
      <c r="D85" s="109"/>
      <c r="E85" s="109"/>
      <c r="F85" s="109"/>
      <c r="G85" s="34"/>
      <c r="H85" s="112"/>
      <c r="I85" s="35"/>
      <c r="J85" s="109"/>
      <c r="K85" s="36"/>
      <c r="L85" s="109"/>
      <c r="M85" s="109"/>
      <c r="N85" s="34"/>
      <c r="O85" s="34"/>
      <c r="P85" s="34"/>
      <c r="Q85" s="34"/>
      <c r="R85" s="34"/>
      <c r="S85" s="34"/>
      <c r="T85" s="34"/>
      <c r="U85" s="34"/>
      <c r="V85" s="34"/>
    </row>
    <row r="86" spans="1:23" x14ac:dyDescent="0.3">
      <c r="A86" s="14" t="s">
        <v>237</v>
      </c>
      <c r="B86" s="33"/>
      <c r="C86" s="350">
        <v>1</v>
      </c>
      <c r="D86" s="351" t="s">
        <v>949</v>
      </c>
      <c r="E86" s="352"/>
      <c r="F86" s="352"/>
      <c r="G86" s="354"/>
      <c r="H86" s="352"/>
      <c r="I86" s="360"/>
      <c r="J86" s="409"/>
      <c r="K86" s="36"/>
      <c r="L86" s="109"/>
      <c r="M86" s="109"/>
      <c r="N86" s="34"/>
      <c r="O86" s="34"/>
      <c r="P86" s="34"/>
      <c r="Q86" s="34"/>
      <c r="R86" s="34"/>
      <c r="S86" s="34"/>
      <c r="T86" s="34"/>
      <c r="U86" s="34"/>
      <c r="V86" s="34"/>
      <c r="W86" s="34"/>
    </row>
    <row r="87" spans="1:23" x14ac:dyDescent="0.3">
      <c r="A87" s="664" t="str">
        <f>Data!A423</f>
        <v>Grain Auger(s) - SMALL SIZE</v>
      </c>
      <c r="B87" s="163">
        <f>Data!B423</f>
        <v>0</v>
      </c>
      <c r="C87" s="34" t="str">
        <f>Data!C423</f>
        <v>auger</v>
      </c>
      <c r="D87" s="109">
        <f>Data!D423*Data!$AH$21*CP!$H$5</f>
        <v>1110.9230268966721</v>
      </c>
      <c r="E87" s="109">
        <f>D87*B87</f>
        <v>0</v>
      </c>
      <c r="F87" s="109">
        <f>IF(CP!K69=0,Data!I423*E87,CP!K69*B87)</f>
        <v>0</v>
      </c>
      <c r="G87" s="60">
        <f>IF(CP!$G$69=0,Data!$F$423,CP!$G$69)</f>
        <v>50</v>
      </c>
      <c r="H87" s="109">
        <f>(E87*(_int_inv_*(1+_int_inv_)^G87)/((1+_int_inv_)^G87-1))-(F87*_int_inv_/((1+_int_inv_)^G87-1))</f>
        <v>0</v>
      </c>
      <c r="I87" s="35">
        <f>IF(CP!I69=0,Data!H423*Data!$J$271,CP!I69/CP!E69)</f>
        <v>0.02</v>
      </c>
      <c r="J87" s="109">
        <f>E87*I87</f>
        <v>0</v>
      </c>
      <c r="K87" s="36">
        <f t="shared" ref="K87:K95" si="72">_tax_ins_</f>
        <v>6.7999999999999996E-3</v>
      </c>
      <c r="L87" s="109">
        <f>E87*K87</f>
        <v>0</v>
      </c>
      <c r="M87" s="109">
        <f>H87+J87+L87</f>
        <v>0</v>
      </c>
      <c r="N87" s="34"/>
      <c r="O87" s="34"/>
      <c r="P87" s="34"/>
      <c r="Q87" s="34"/>
      <c r="R87" s="34"/>
      <c r="S87" s="34"/>
      <c r="T87" s="34"/>
      <c r="U87" s="34"/>
      <c r="V87" s="34"/>
      <c r="W87" s="34"/>
    </row>
    <row r="88" spans="1:23" x14ac:dyDescent="0.3">
      <c r="A88" s="664" t="str">
        <f>Data!A424</f>
        <v>Grain Auger(s) - MEDIUM SIZE</v>
      </c>
      <c r="B88" s="163">
        <f>Data!B424</f>
        <v>2</v>
      </c>
      <c r="C88" s="34" t="str">
        <f>Data!C424</f>
        <v>auger</v>
      </c>
      <c r="D88" s="109">
        <f>Data!D424*Data!$AH$21</f>
        <v>1110.9230268966721</v>
      </c>
      <c r="E88" s="109">
        <f t="shared" ref="E88:E89" si="73">D88*B88</f>
        <v>2221.8460537933443</v>
      </c>
      <c r="F88" s="109">
        <f>IF(CP!K70=0,Data!I424*E88,CP!K70*B88)</f>
        <v>422.1507502207354</v>
      </c>
      <c r="G88" s="60">
        <f>IF(CP!$G$70=0,Data!$F$424,CP!$G$70)</f>
        <v>40</v>
      </c>
      <c r="H88" s="109">
        <f>(E88*(_int_inv_m*(1+_int_inv_m)^G88)/((1+_int_inv_m)^G88-1))-(F88*_int_inv_m/((1+_int_inv_m)^G88-1))</f>
        <v>71.102312789525968</v>
      </c>
      <c r="I88" s="35">
        <f>IF(CP!I70=0,Data!H424*Data!$J$271,CP!I70/CP!E70)</f>
        <v>0.02</v>
      </c>
      <c r="J88" s="109">
        <f t="shared" ref="J88:J89" si="74">E88*I88</f>
        <v>44.436921075866884</v>
      </c>
      <c r="K88" s="36">
        <f t="shared" si="72"/>
        <v>6.7999999999999996E-3</v>
      </c>
      <c r="L88" s="109">
        <f t="shared" ref="L88:L89" si="75">E88*K88</f>
        <v>15.10855316579474</v>
      </c>
      <c r="M88" s="109">
        <f t="shared" ref="M88:M89" si="76">H88+J88+L88</f>
        <v>130.64778703118759</v>
      </c>
      <c r="N88" s="34"/>
      <c r="O88" s="34"/>
      <c r="P88" s="34"/>
      <c r="Q88" s="34"/>
      <c r="R88" s="34"/>
      <c r="S88" s="34"/>
      <c r="T88" s="34"/>
      <c r="U88" s="34"/>
      <c r="V88" s="34"/>
      <c r="W88" s="34"/>
    </row>
    <row r="89" spans="1:23" x14ac:dyDescent="0.3">
      <c r="A89" s="664" t="str">
        <f>Data!A425</f>
        <v>Grain Auger(s) - LARGE SIZE</v>
      </c>
      <c r="B89" s="163">
        <f>Data!B425</f>
        <v>0</v>
      </c>
      <c r="C89" s="34" t="str">
        <f>Data!C425</f>
        <v>auger</v>
      </c>
      <c r="D89" s="109">
        <f>Data!D425*Data!$AH$21</f>
        <v>1110.9230268966721</v>
      </c>
      <c r="E89" s="109">
        <f t="shared" si="73"/>
        <v>0</v>
      </c>
      <c r="F89" s="109">
        <f>IF(CP!K71=0,Data!I425*E89,CP!K71*B89)</f>
        <v>0</v>
      </c>
      <c r="G89" s="60">
        <f>IF(CP!$G$71=0,Data!$F$425,CP!$G$71)</f>
        <v>20</v>
      </c>
      <c r="H89" s="109">
        <f>(E89*(_int_inv_l*(1+_int_inv_l)^G89)/((1+_int_inv_l)^G89-1))-(F89*_int_inv_l/((1+_int_inv_l)^G89-1))</f>
        <v>0</v>
      </c>
      <c r="I89" s="35">
        <f>IF(CP!I71=0,Data!H425*Data!$J$271,CP!I71/CP!E71)</f>
        <v>0.02</v>
      </c>
      <c r="J89" s="109">
        <f t="shared" si="74"/>
        <v>0</v>
      </c>
      <c r="K89" s="36">
        <f t="shared" si="72"/>
        <v>6.7999999999999996E-3</v>
      </c>
      <c r="L89" s="109">
        <f t="shared" si="75"/>
        <v>0</v>
      </c>
      <c r="M89" s="109">
        <f t="shared" si="76"/>
        <v>0</v>
      </c>
      <c r="N89" s="34"/>
      <c r="O89" s="34"/>
      <c r="P89" s="34"/>
      <c r="Q89" s="34"/>
      <c r="R89" s="34"/>
      <c r="S89" s="34"/>
      <c r="T89" s="34"/>
      <c r="U89" s="34"/>
      <c r="V89" s="34"/>
      <c r="W89" s="34"/>
    </row>
    <row r="90" spans="1:23" x14ac:dyDescent="0.3">
      <c r="A90" s="664" t="str">
        <f>Data!A485</f>
        <v>Grain Dryer (Soybeans) - SMALL SIZE</v>
      </c>
      <c r="B90" s="163">
        <f>Data!B485</f>
        <v>0</v>
      </c>
      <c r="C90" s="34" t="str">
        <f>Data!C485</f>
        <v>dryer</v>
      </c>
      <c r="D90" s="109">
        <f>Data!D485*Data!$D$21*$C$86*CP!$H$5</f>
        <v>7521.8122569115903</v>
      </c>
      <c r="E90" s="109">
        <f>D90*B90</f>
        <v>0</v>
      </c>
      <c r="F90" s="109">
        <f>IF(CP!K72=0,Data!I485*E90,CP!K72*B90)</f>
        <v>0</v>
      </c>
      <c r="G90" s="34">
        <f>IF(CP!G72=0,Data!F485,CP!G72)</f>
        <v>10</v>
      </c>
      <c r="H90" s="109">
        <f t="shared" ref="H90" si="77">(E90*(_int_inv_*(1+_int_inv_)^G90)/((1+_int_inv_)^G90-1))-(F90*_int_inv_/((1+_int_inv_)^G90-1))</f>
        <v>0</v>
      </c>
      <c r="I90" s="35">
        <f>IF(CP!I72=0,Data!H485*Data!$J$271,CP!I72/CP!E72)</f>
        <v>0.02</v>
      </c>
      <c r="J90" s="109">
        <f>E90*I90</f>
        <v>0</v>
      </c>
      <c r="K90" s="36">
        <f t="shared" si="72"/>
        <v>6.7999999999999996E-3</v>
      </c>
      <c r="L90" s="109">
        <f>E90*K90</f>
        <v>0</v>
      </c>
      <c r="M90" s="109">
        <f>H90+J90+L90</f>
        <v>0</v>
      </c>
      <c r="N90" s="34"/>
      <c r="O90" s="34"/>
      <c r="P90" s="34"/>
      <c r="Q90" s="34"/>
      <c r="R90" s="34"/>
      <c r="S90" s="34"/>
      <c r="T90" s="34"/>
      <c r="U90" s="34"/>
      <c r="V90" s="34"/>
      <c r="W90" s="34"/>
    </row>
    <row r="91" spans="1:23" x14ac:dyDescent="0.3">
      <c r="A91" s="664" t="str">
        <f>Data!A486</f>
        <v>Grain Dryer (Soybeans) - MEDIUM SIZE</v>
      </c>
      <c r="B91" s="649">
        <f>Data!B486</f>
        <v>0.25</v>
      </c>
      <c r="C91" s="34" t="str">
        <f>Data!C486</f>
        <v>dryer</v>
      </c>
      <c r="D91" s="109">
        <f>Data!D486*Data!$D$21*$C$86</f>
        <v>7521.8122569115903</v>
      </c>
      <c r="E91" s="109">
        <f>D91*B91</f>
        <v>1880.4530642278976</v>
      </c>
      <c r="F91" s="109">
        <f>IF(CP!K73=0,Data!I486*E91,CP!K73*B91)</f>
        <v>357.28608220330057</v>
      </c>
      <c r="G91" s="34">
        <f>IF(CP!G73=0,Data!F486,CP!G73)</f>
        <v>10</v>
      </c>
      <c r="H91" s="109">
        <f t="shared" ref="H91:H92" si="78">(E91*(_int_inv_*(1+_int_inv_)^G91)/((1+_int_inv_)^G91-1))-(F91*_int_inv_/((1+_int_inv_)^G91-1))</f>
        <v>152.43853894838844</v>
      </c>
      <c r="I91" s="35">
        <f>IF(CP!I73=0,Data!H486*Data!$J$271,CP!I73/CP!E73)</f>
        <v>0.02</v>
      </c>
      <c r="J91" s="109">
        <f>E91*I91</f>
        <v>37.609061284557953</v>
      </c>
      <c r="K91" s="36">
        <f t="shared" si="72"/>
        <v>6.7999999999999996E-3</v>
      </c>
      <c r="L91" s="109">
        <f>E91*K91</f>
        <v>12.787080836749704</v>
      </c>
      <c r="M91" s="109">
        <f>H91+J91+L91</f>
        <v>202.8346810696961</v>
      </c>
      <c r="N91" s="34"/>
      <c r="O91" s="34"/>
      <c r="P91" s="34"/>
      <c r="Q91" s="34"/>
      <c r="R91" s="34"/>
      <c r="S91" s="34"/>
      <c r="T91" s="34"/>
      <c r="U91" s="34"/>
      <c r="V91" s="34"/>
      <c r="W91" s="34"/>
    </row>
    <row r="92" spans="1:23" x14ac:dyDescent="0.3">
      <c r="A92" s="664" t="str">
        <f>Data!A487</f>
        <v>Grain Dryer (Soybeans) - LARGE SIZE</v>
      </c>
      <c r="B92" s="163">
        <f>Data!B487</f>
        <v>0</v>
      </c>
      <c r="C92" s="34" t="str">
        <f>Data!C487</f>
        <v>dryer</v>
      </c>
      <c r="D92" s="109">
        <f>Data!D487*Data!$D$21*$C$86</f>
        <v>7521.8122569115903</v>
      </c>
      <c r="E92" s="109">
        <f>D92*B92</f>
        <v>0</v>
      </c>
      <c r="F92" s="109">
        <f>IF(CP!K74=0,Data!I487*E92,CP!K74*B92)</f>
        <v>0</v>
      </c>
      <c r="G92" s="34">
        <f>IF(CP!G74=0,Data!F487,CP!G74)</f>
        <v>10</v>
      </c>
      <c r="H92" s="109">
        <f t="shared" si="78"/>
        <v>0</v>
      </c>
      <c r="I92" s="35">
        <f>IF(CP!I74=0,Data!H487*Data!$J$271,CP!I74/CP!E74)</f>
        <v>0.02</v>
      </c>
      <c r="J92" s="109">
        <f>E92*I92</f>
        <v>0</v>
      </c>
      <c r="K92" s="36">
        <f t="shared" si="72"/>
        <v>6.7999999999999996E-3</v>
      </c>
      <c r="L92" s="109">
        <f>E92*K92</f>
        <v>0</v>
      </c>
      <c r="M92" s="109">
        <f>H92+J92+L92</f>
        <v>0</v>
      </c>
      <c r="N92" s="34"/>
      <c r="O92" s="34"/>
      <c r="P92" s="34"/>
      <c r="Q92" s="34"/>
      <c r="R92" s="34"/>
      <c r="S92" s="34"/>
      <c r="T92" s="34"/>
      <c r="U92" s="34"/>
      <c r="V92" s="34"/>
      <c r="W92" s="34"/>
    </row>
    <row r="93" spans="1:23" x14ac:dyDescent="0.3">
      <c r="A93" s="664" t="str">
        <f>Data!A488</f>
        <v>Grain Bags (Soybeans) - SMALL SIZE</v>
      </c>
      <c r="B93" s="974">
        <f>Data!B488</f>
        <v>0</v>
      </c>
      <c r="C93" s="34" t="str">
        <f>Data!C488</f>
        <v>grain bag</v>
      </c>
      <c r="D93" s="109">
        <f>Data!D488*Data!$D$21*C86</f>
        <v>10</v>
      </c>
      <c r="E93" s="109">
        <f>D93*B93</f>
        <v>0</v>
      </c>
      <c r="F93" s="109">
        <f>IF(CP!K75=0,Data!I488*E93,CP!K75*B93)</f>
        <v>0</v>
      </c>
      <c r="G93" s="34">
        <f>IF(CP!$G$75=0,Data!$F$488,CP!$G$75)</f>
        <v>5</v>
      </c>
      <c r="H93" s="109">
        <f>(E93*(_int_inv_*(1+_int_inv_)^G93)/((1+_int_inv_)^G93-1))-(F93*_int_inv_/((1+_int_inv_)^G93-1))</f>
        <v>0</v>
      </c>
      <c r="I93" s="35">
        <f>IF(CP!I75=0,Data!H488*Data!$J$271,CP!I75/CP!E75)</f>
        <v>0</v>
      </c>
      <c r="J93" s="109">
        <f>E93*I93</f>
        <v>0</v>
      </c>
      <c r="K93" s="36">
        <f t="shared" si="72"/>
        <v>6.7999999999999996E-3</v>
      </c>
      <c r="L93" s="109">
        <f>E93*K93</f>
        <v>0</v>
      </c>
      <c r="M93" s="109">
        <f>H93+J93+L93</f>
        <v>0</v>
      </c>
      <c r="N93" s="34"/>
      <c r="O93" s="34"/>
      <c r="P93" s="34"/>
      <c r="Q93" s="34"/>
      <c r="R93" s="34"/>
      <c r="S93" s="34"/>
      <c r="T93" s="34"/>
      <c r="U93" s="34"/>
      <c r="V93" s="34"/>
      <c r="W93" s="34"/>
    </row>
    <row r="94" spans="1:23" x14ac:dyDescent="0.3">
      <c r="A94" s="664" t="str">
        <f>Data!A489</f>
        <v>Grain Bin (Soybeans) - MEDIUM SIZE</v>
      </c>
      <c r="B94" s="163">
        <f>Data!B489</f>
        <v>1</v>
      </c>
      <c r="C94" s="34" t="str">
        <f>Data!C489</f>
        <v>crop storage</v>
      </c>
      <c r="D94" s="109">
        <f>Data!D489*Data!$D$21*C86</f>
        <v>21106.2051928939</v>
      </c>
      <c r="E94" s="109">
        <f t="shared" ref="E94:E95" si="79">D94*B94</f>
        <v>21106.2051928939</v>
      </c>
      <c r="F94" s="109">
        <f>IF(CP!K76=0,Data!I489*E94,CP!K76*B94)</f>
        <v>7387.1718175128644</v>
      </c>
      <c r="G94" s="34">
        <f>IF(CP!$G$76=0,Data!$F$489,CP!$G$76)</f>
        <v>33</v>
      </c>
      <c r="H94" s="109">
        <f>(E94*(_int_inv_m*(1+_int_inv_m)^G94)/((1+_int_inv_m)^G94-1))-(F94*_int_inv_m/((1+_int_inv_m)^G94-1))</f>
        <v>687.94464629638969</v>
      </c>
      <c r="I94" s="35">
        <f>IF(CP!I76=0,Data!H489*Data!$J$271,CP!I76/CP!E76)</f>
        <v>0.01</v>
      </c>
      <c r="J94" s="109">
        <f t="shared" ref="J94:J95" si="80">E94*I94</f>
        <v>211.06205192893901</v>
      </c>
      <c r="K94" s="36">
        <f t="shared" si="72"/>
        <v>6.7999999999999996E-3</v>
      </c>
      <c r="L94" s="109">
        <f t="shared" ref="L94:L95" si="81">E94*K94</f>
        <v>143.5221953116785</v>
      </c>
      <c r="M94" s="109">
        <f t="shared" ref="M94:M95" si="82">H94+J94+L94</f>
        <v>1042.5288935370072</v>
      </c>
      <c r="N94" s="34"/>
      <c r="O94" s="34"/>
      <c r="P94" s="34"/>
      <c r="Q94" s="34"/>
      <c r="R94" s="34"/>
      <c r="S94" s="34"/>
      <c r="T94" s="34"/>
      <c r="U94" s="34"/>
      <c r="V94" s="34"/>
      <c r="W94" s="34"/>
    </row>
    <row r="95" spans="1:23" x14ac:dyDescent="0.3">
      <c r="A95" s="664" t="str">
        <f>Data!A490</f>
        <v>Grain Bin (Soybeans) - LARGE SIZE</v>
      </c>
      <c r="B95" s="163">
        <f>Data!B490</f>
        <v>0</v>
      </c>
      <c r="C95" s="34" t="str">
        <f>Data!C490</f>
        <v>crop storage</v>
      </c>
      <c r="D95" s="109">
        <f>Data!D490*Data!$D$21*C86</f>
        <v>36937.112722940503</v>
      </c>
      <c r="E95" s="109">
        <f t="shared" si="79"/>
        <v>0</v>
      </c>
      <c r="F95" s="109">
        <f>IF(CP!K77=0,Data!I490*E95,CP!K77*B95)</f>
        <v>0</v>
      </c>
      <c r="G95" s="34">
        <f>IF(CP!$G$77=0,Data!$F$490,CP!$G$77)</f>
        <v>33</v>
      </c>
      <c r="H95" s="109">
        <f>(E95*(_int_inv_l*(1+_int_inv_l)^G95)/((1+_int_inv_l)^G95-1))-(F95*_int_inv_l/((1+_int_inv_l)^G95-1))</f>
        <v>0</v>
      </c>
      <c r="I95" s="35">
        <f>IF(CP!I77=0,Data!H490*Data!$J$271,CP!I77/CP!E77)</f>
        <v>0.01</v>
      </c>
      <c r="J95" s="109">
        <f t="shared" si="80"/>
        <v>0</v>
      </c>
      <c r="K95" s="36">
        <f t="shared" si="72"/>
        <v>6.7999999999999996E-3</v>
      </c>
      <c r="L95" s="109">
        <f t="shared" si="81"/>
        <v>0</v>
      </c>
      <c r="M95" s="109">
        <f t="shared" si="82"/>
        <v>0</v>
      </c>
      <c r="N95" s="34"/>
      <c r="O95" s="34"/>
      <c r="P95" s="34"/>
      <c r="Q95" s="34"/>
      <c r="R95" s="34"/>
      <c r="S95" s="34"/>
      <c r="T95" s="34"/>
      <c r="U95" s="34"/>
      <c r="V95" s="34"/>
      <c r="W95" s="34"/>
    </row>
    <row r="96" spans="1:23" x14ac:dyDescent="0.3">
      <c r="A96" s="6"/>
      <c r="B96" s="33"/>
      <c r="C96" s="34"/>
      <c r="D96" s="109"/>
      <c r="E96" s="109"/>
      <c r="F96" s="109"/>
      <c r="G96" s="34"/>
      <c r="H96" s="112"/>
      <c r="I96" s="35"/>
      <c r="J96" s="109"/>
      <c r="K96" s="36"/>
      <c r="L96" s="109"/>
      <c r="M96" s="109"/>
      <c r="N96" s="34"/>
      <c r="O96" s="34"/>
      <c r="P96" s="34"/>
      <c r="Q96" s="34"/>
      <c r="R96" s="34"/>
      <c r="S96" s="34"/>
      <c r="T96" s="34"/>
      <c r="U96" s="34"/>
      <c r="V96" s="34"/>
    </row>
    <row r="97" spans="1:22" x14ac:dyDescent="0.3">
      <c r="A97" s="863" t="s">
        <v>12</v>
      </c>
      <c r="B97" s="17"/>
      <c r="N97" s="34"/>
      <c r="O97" s="34"/>
      <c r="P97" s="34"/>
    </row>
    <row r="98" spans="1:22" x14ac:dyDescent="0.3">
      <c r="A98" s="664" t="str">
        <f>Data!A44</f>
        <v>Interest for investment (Small model)</v>
      </c>
      <c r="B98" s="84">
        <f>IF(Data!$C$39=1,Data!B107,0)</f>
        <v>0</v>
      </c>
      <c r="C98" s="870" t="str">
        <f>Data!H51</f>
        <v>acre(s)</v>
      </c>
      <c r="D98" s="109">
        <f>Data!$F$61</f>
        <v>1000</v>
      </c>
      <c r="E98" s="109">
        <f>D98*B98</f>
        <v>0</v>
      </c>
      <c r="F98" s="864" t="s">
        <v>45</v>
      </c>
      <c r="G98" s="865" t="s">
        <v>45</v>
      </c>
      <c r="H98" s="109">
        <f>E98*_int_inv_</f>
        <v>0</v>
      </c>
      <c r="I98" s="1307">
        <f>Data!$H$61*Data!$J$271</f>
        <v>0.01</v>
      </c>
      <c r="J98" s="109">
        <f>E98*I98</f>
        <v>0</v>
      </c>
      <c r="K98" s="36">
        <f>_tax_ins_</f>
        <v>6.7999999999999996E-3</v>
      </c>
      <c r="L98" s="109">
        <f>E98*K98</f>
        <v>0</v>
      </c>
      <c r="M98" s="109">
        <f>H98+J98+L98</f>
        <v>0</v>
      </c>
      <c r="N98" s="34"/>
      <c r="O98" s="34"/>
      <c r="P98" s="34"/>
    </row>
    <row r="99" spans="1:22" x14ac:dyDescent="0.3">
      <c r="A99" s="664" t="str">
        <f>Data!A45</f>
        <v>Interest for investment (Medium model)</v>
      </c>
      <c r="B99" s="33">
        <f>IF(Data!$C$40=1,Data!B107,0)</f>
        <v>75</v>
      </c>
      <c r="C99" s="868" t="str">
        <f>Data!H51</f>
        <v>acre(s)</v>
      </c>
      <c r="D99" s="109">
        <f>Data!$F$61</f>
        <v>1000</v>
      </c>
      <c r="E99" s="109">
        <f t="shared" ref="E99:E100" si="83">D99*B99</f>
        <v>75000</v>
      </c>
      <c r="F99" s="864" t="s">
        <v>45</v>
      </c>
      <c r="G99" s="865" t="s">
        <v>45</v>
      </c>
      <c r="H99" s="109">
        <f>E99*_int_inv_m</f>
        <v>1350</v>
      </c>
      <c r="I99" s="1307">
        <f>Data!$H$61*Data!$J$271</f>
        <v>0.01</v>
      </c>
      <c r="J99" s="109">
        <f t="shared" ref="J99:J100" si="84">E99*I99</f>
        <v>750</v>
      </c>
      <c r="K99" s="36">
        <f>_tax_ins_</f>
        <v>6.7999999999999996E-3</v>
      </c>
      <c r="L99" s="109">
        <f t="shared" ref="L99:L100" si="85">E99*K99</f>
        <v>510</v>
      </c>
      <c r="M99" s="109">
        <f t="shared" ref="M99:M100" si="86">H99+J99+L99</f>
        <v>2610</v>
      </c>
      <c r="N99" s="34"/>
      <c r="O99" s="34"/>
      <c r="P99" s="34"/>
    </row>
    <row r="100" spans="1:22" x14ac:dyDescent="0.3">
      <c r="A100" s="664" t="str">
        <f>Data!A46</f>
        <v>Interest for investment (Large model)</v>
      </c>
      <c r="B100" s="33">
        <f>IF(Data!$C$41=1,Data!B107,0)</f>
        <v>0</v>
      </c>
      <c r="C100" s="868" t="str">
        <f>Data!H51</f>
        <v>acre(s)</v>
      </c>
      <c r="D100" s="109">
        <f>Data!$F$61</f>
        <v>1000</v>
      </c>
      <c r="E100" s="109">
        <f t="shared" si="83"/>
        <v>0</v>
      </c>
      <c r="F100" s="864" t="s">
        <v>45</v>
      </c>
      <c r="G100" s="865" t="s">
        <v>45</v>
      </c>
      <c r="H100" s="109">
        <f>E100*_int_inv_l</f>
        <v>0</v>
      </c>
      <c r="I100" s="1307">
        <f>Data!$H$61*Data!$J$271</f>
        <v>0.01</v>
      </c>
      <c r="J100" s="109">
        <f t="shared" si="84"/>
        <v>0</v>
      </c>
      <c r="K100" s="36">
        <f>_tax_ins_</f>
        <v>6.7999999999999996E-3</v>
      </c>
      <c r="L100" s="109">
        <f t="shared" si="85"/>
        <v>0</v>
      </c>
      <c r="M100" s="109">
        <f t="shared" si="86"/>
        <v>0</v>
      </c>
      <c r="N100" s="34"/>
      <c r="O100" s="34"/>
      <c r="P100" s="34"/>
    </row>
    <row r="101" spans="1:22" x14ac:dyDescent="0.3">
      <c r="B101" s="33"/>
      <c r="C101" s="34"/>
      <c r="D101" s="109"/>
      <c r="E101" s="109"/>
      <c r="F101" s="109"/>
      <c r="G101" s="38"/>
      <c r="H101" s="112"/>
      <c r="I101" s="35"/>
      <c r="J101" s="109"/>
      <c r="K101" s="36"/>
      <c r="L101" s="109"/>
      <c r="M101" s="109"/>
      <c r="N101" s="34"/>
      <c r="O101" s="34"/>
      <c r="P101" s="34"/>
    </row>
    <row r="102" spans="1:22" x14ac:dyDescent="0.3">
      <c r="A102" s="14" t="s">
        <v>1229</v>
      </c>
      <c r="B102" s="33"/>
      <c r="C102" s="34"/>
      <c r="D102" s="109"/>
      <c r="E102" s="109"/>
      <c r="F102" s="109"/>
      <c r="G102" s="34"/>
      <c r="H102" s="112"/>
      <c r="I102" s="35"/>
      <c r="J102" s="109"/>
      <c r="K102" s="36"/>
      <c r="L102" s="110"/>
      <c r="M102" s="109"/>
      <c r="N102" s="34"/>
      <c r="O102" s="34"/>
      <c r="P102" s="34"/>
    </row>
    <row r="103" spans="1:22" x14ac:dyDescent="0.3">
      <c r="A103" s="664" t="str">
        <f>Data!A495</f>
        <v>Shop/Loading Shed - SMALL SIZE</v>
      </c>
      <c r="B103" s="33">
        <f>Data!B495</f>
        <v>0</v>
      </c>
      <c r="C103" s="34" t="str">
        <f>Data!C495</f>
        <v>building</v>
      </c>
      <c r="D103" s="109">
        <f>Data!D495*Data!$H$21</f>
        <v>11109.230268966721</v>
      </c>
      <c r="E103" s="109">
        <f>D103*B103</f>
        <v>0</v>
      </c>
      <c r="F103" s="109">
        <f>IF(CP!K79=0,Data!I495*E103,CP!K79*B103)</f>
        <v>0</v>
      </c>
      <c r="G103" s="34">
        <f>IF(CP!$G$79=0,Data!$F$495,CP!$G$79)</f>
        <v>33</v>
      </c>
      <c r="H103" s="109">
        <f>(E103*(_int_inv_*(1+_int_inv_)^G103)/((1+_int_inv_)^G103-1))-(F103*_int_inv_/((1+_int_inv_)^G103-1))</f>
        <v>0</v>
      </c>
      <c r="I103" s="35">
        <f>IF(CP!I79=0,Data!H495*Data!$J$271,CP!I79/CP!E79)</f>
        <v>0.01</v>
      </c>
      <c r="J103" s="109">
        <f>E103*I103</f>
        <v>0</v>
      </c>
      <c r="K103" s="36">
        <f>_tax_ins_</f>
        <v>6.7999999999999996E-3</v>
      </c>
      <c r="L103" s="109">
        <f>E103*K103</f>
        <v>0</v>
      </c>
      <c r="M103" s="109">
        <f>H103+J103+L103</f>
        <v>0</v>
      </c>
      <c r="N103" s="34"/>
    </row>
    <row r="104" spans="1:22" x14ac:dyDescent="0.3">
      <c r="A104" s="664" t="str">
        <f>Data!A496</f>
        <v>Shop/Loading Shed - MEDIUM SIZE</v>
      </c>
      <c r="B104" s="33">
        <f>Data!B496</f>
        <v>1</v>
      </c>
      <c r="C104" s="34" t="str">
        <f>Data!C496</f>
        <v>building</v>
      </c>
      <c r="D104" s="109">
        <f>Data!D496*Data!$H$21</f>
        <v>22218.460537933443</v>
      </c>
      <c r="E104" s="109">
        <f t="shared" ref="E104:E105" si="87">D104*B104</f>
        <v>22218.460537933443</v>
      </c>
      <c r="F104" s="109">
        <f>IF(CP!K80=0,Data!I496*E104,CP!K80*B104)</f>
        <v>16663.845403450083</v>
      </c>
      <c r="G104" s="34">
        <f>IF(CP!$G$80=0,Data!$F$496,CP!$G$80)</f>
        <v>33</v>
      </c>
      <c r="H104" s="109">
        <f>(E104*(_int_inv_m*(1+_int_inv_m)^G104)/((1+_int_inv_m)^G104-1))-(F104*_int_inv_m/((1+_int_inv_m)^G104-1))</f>
        <v>524.64985941682335</v>
      </c>
      <c r="I104" s="35">
        <f>IF(CP!I80=0,Data!H496*Data!$J$271,CP!I80/CP!E80)</f>
        <v>0.01</v>
      </c>
      <c r="J104" s="109">
        <f t="shared" ref="J104:J105" si="88">E104*I104</f>
        <v>222.18460537933444</v>
      </c>
      <c r="K104" s="36">
        <f>_tax_ins_</f>
        <v>6.7999999999999996E-3</v>
      </c>
      <c r="L104" s="109">
        <f t="shared" ref="L104:L105" si="89">E104*K104</f>
        <v>151.0855316579474</v>
      </c>
      <c r="M104" s="109">
        <f t="shared" ref="M104:M105" si="90">H104+J104+L104</f>
        <v>897.91999645410522</v>
      </c>
      <c r="N104" s="34"/>
    </row>
    <row r="105" spans="1:22" x14ac:dyDescent="0.3">
      <c r="A105" s="664" t="str">
        <f>Data!A497</f>
        <v>Shop/Loading Shed - LARGE SIZE</v>
      </c>
      <c r="B105" s="33">
        <f>Data!B497</f>
        <v>0</v>
      </c>
      <c r="C105" s="34" t="str">
        <f>Data!C497</f>
        <v>building</v>
      </c>
      <c r="D105" s="109">
        <f>Data!D497*Data!$H$21</f>
        <v>44436.921075866885</v>
      </c>
      <c r="E105" s="109">
        <f t="shared" si="87"/>
        <v>0</v>
      </c>
      <c r="F105" s="109">
        <f>IF(CP!K81=0,Data!I497*E105,CP!K81*B105)</f>
        <v>0</v>
      </c>
      <c r="G105" s="34">
        <f>IF(CP!$G$81=0,Data!$F$497,CP!$G$81)</f>
        <v>33</v>
      </c>
      <c r="H105" s="109">
        <f>(E105*(_int_inv_l*(1+_int_inv_l)^G105)/((1+_int_inv_l)^G105-1))-(F105*_int_inv_l/((1+_int_inv_l)^G105-1))</f>
        <v>0</v>
      </c>
      <c r="I105" s="35">
        <f>IF(CP!I81=0,Data!H497*Data!$J$271,CP!I81/CP!E81)</f>
        <v>0.01</v>
      </c>
      <c r="J105" s="109">
        <f t="shared" si="88"/>
        <v>0</v>
      </c>
      <c r="K105" s="36">
        <f>_tax_ins_</f>
        <v>6.7999999999999996E-3</v>
      </c>
      <c r="L105" s="109">
        <f t="shared" si="89"/>
        <v>0</v>
      </c>
      <c r="M105" s="109">
        <f t="shared" si="90"/>
        <v>0</v>
      </c>
      <c r="N105" s="34"/>
    </row>
    <row r="106" spans="1:22" x14ac:dyDescent="0.3">
      <c r="B106" s="33"/>
      <c r="C106" s="34"/>
      <c r="D106" s="109"/>
      <c r="E106" s="109"/>
      <c r="F106" s="109"/>
      <c r="G106" s="34"/>
      <c r="H106" s="112"/>
      <c r="I106" s="35"/>
      <c r="J106" s="109"/>
      <c r="K106" s="36"/>
      <c r="L106" s="110"/>
      <c r="M106" s="109"/>
      <c r="N106" s="34"/>
      <c r="O106" s="34"/>
      <c r="P106" s="34"/>
    </row>
    <row r="107" spans="1:22" ht="12.75" customHeight="1" x14ac:dyDescent="0.3">
      <c r="A107" s="14" t="s">
        <v>514</v>
      </c>
      <c r="B107" s="351" t="s">
        <v>1538</v>
      </c>
      <c r="C107" s="351"/>
      <c r="D107" s="351"/>
      <c r="E107" s="351"/>
      <c r="F107" s="351"/>
      <c r="G107" s="351"/>
      <c r="H107" s="112"/>
      <c r="I107" s="35"/>
      <c r="J107" s="109"/>
      <c r="K107" s="36"/>
      <c r="L107" s="109"/>
      <c r="M107" s="109"/>
      <c r="N107" s="34"/>
      <c r="O107" s="34"/>
      <c r="P107" s="34"/>
      <c r="Q107" s="34"/>
      <c r="R107" s="34"/>
      <c r="S107" s="34"/>
      <c r="T107" s="34"/>
      <c r="U107" s="34"/>
      <c r="V107" s="34"/>
    </row>
    <row r="108" spans="1:22" ht="12.75" customHeight="1" x14ac:dyDescent="0.3">
      <c r="A108" s="14" t="s">
        <v>515</v>
      </c>
      <c r="B108" s="351" t="s">
        <v>1539</v>
      </c>
      <c r="C108" s="351"/>
      <c r="D108" s="351"/>
      <c r="E108" s="351"/>
      <c r="F108" s="351"/>
      <c r="G108" s="351"/>
      <c r="H108" s="112"/>
      <c r="I108" s="35"/>
      <c r="J108" s="109"/>
      <c r="K108" s="36"/>
      <c r="L108" s="109"/>
      <c r="M108" s="109"/>
      <c r="N108" s="34"/>
      <c r="O108" s="34"/>
      <c r="P108" s="34"/>
      <c r="Q108" s="34"/>
      <c r="R108" s="34"/>
      <c r="S108" s="34"/>
      <c r="T108" s="34"/>
      <c r="U108" s="34"/>
      <c r="V108" s="34"/>
    </row>
    <row r="109" spans="1:22" x14ac:dyDescent="0.3">
      <c r="B109" s="33"/>
      <c r="C109" s="34"/>
      <c r="D109" s="109"/>
      <c r="E109" s="109"/>
      <c r="F109" s="109"/>
      <c r="G109" s="34"/>
      <c r="H109" s="109"/>
      <c r="I109" s="35"/>
      <c r="J109" s="109"/>
      <c r="K109" s="36"/>
      <c r="L109" s="109"/>
      <c r="M109" s="109"/>
      <c r="N109" s="34"/>
      <c r="O109" s="34"/>
      <c r="P109" s="34"/>
    </row>
    <row r="110" spans="1:22" x14ac:dyDescent="0.3">
      <c r="A110" s="14" t="s">
        <v>19</v>
      </c>
      <c r="B110" s="865" t="s">
        <v>45</v>
      </c>
      <c r="C110" s="864" t="s">
        <v>45</v>
      </c>
      <c r="D110" s="864" t="s">
        <v>45</v>
      </c>
      <c r="E110" s="864" t="s">
        <v>45</v>
      </c>
      <c r="F110" s="864" t="s">
        <v>45</v>
      </c>
      <c r="G110" s="865" t="s">
        <v>45</v>
      </c>
      <c r="H110" s="864" t="s">
        <v>45</v>
      </c>
      <c r="I110" s="865" t="s">
        <v>45</v>
      </c>
      <c r="J110" s="864" t="s">
        <v>45</v>
      </c>
      <c r="K110" s="865" t="s">
        <v>45</v>
      </c>
      <c r="L110" s="864" t="s">
        <v>45</v>
      </c>
      <c r="M110" s="864" t="s">
        <v>45</v>
      </c>
      <c r="N110" s="34"/>
      <c r="O110" s="34"/>
      <c r="P110" s="34"/>
    </row>
    <row r="111" spans="1:22" x14ac:dyDescent="0.3">
      <c r="A111" s="14"/>
      <c r="B111" s="33"/>
      <c r="C111" s="34"/>
      <c r="D111" s="109"/>
      <c r="E111" s="109"/>
      <c r="F111" s="109"/>
      <c r="G111" s="34"/>
      <c r="H111" s="112"/>
      <c r="I111" s="35"/>
      <c r="J111" s="109"/>
      <c r="K111" s="35"/>
      <c r="L111" s="110"/>
      <c r="M111" s="109"/>
      <c r="N111" s="34"/>
      <c r="O111" s="34"/>
      <c r="P111" s="34"/>
    </row>
    <row r="112" spans="1:22" x14ac:dyDescent="0.3">
      <c r="A112" s="14" t="s">
        <v>64</v>
      </c>
      <c r="B112" s="865" t="s">
        <v>45</v>
      </c>
      <c r="C112" s="864" t="s">
        <v>45</v>
      </c>
      <c r="D112" s="866">
        <v>0</v>
      </c>
      <c r="E112" s="866">
        <v>0</v>
      </c>
      <c r="F112" s="866">
        <v>0</v>
      </c>
      <c r="G112" s="247">
        <v>1</v>
      </c>
      <c r="H112" s="112">
        <f>(E112*(_int_inv_*(1+_int_inv_)^G112)/((1+_int_inv_)^G112-1))-(F112*_int_inv_/((1+_int_inv_)^G112-1))</f>
        <v>0</v>
      </c>
      <c r="I112" s="251">
        <v>0.01</v>
      </c>
      <c r="J112" s="109">
        <f>E112*I112</f>
        <v>0</v>
      </c>
      <c r="K112" s="36">
        <f>_tax_ins_</f>
        <v>6.7999999999999996E-3</v>
      </c>
      <c r="L112" s="109">
        <f>E112*K112</f>
        <v>0</v>
      </c>
      <c r="M112" s="109">
        <f>H112+J112+L112</f>
        <v>0</v>
      </c>
      <c r="N112" s="34"/>
      <c r="O112" s="34"/>
      <c r="P112" s="34"/>
    </row>
    <row r="113" spans="1:16" x14ac:dyDescent="0.3">
      <c r="B113" s="33"/>
      <c r="C113" s="34"/>
      <c r="D113" s="109"/>
      <c r="E113" s="109"/>
      <c r="F113" s="109"/>
      <c r="G113" s="34"/>
      <c r="H113" s="112"/>
      <c r="I113" s="35"/>
      <c r="J113" s="110"/>
      <c r="K113" s="35"/>
      <c r="L113" s="110"/>
      <c r="M113" s="109"/>
      <c r="N113" s="34"/>
      <c r="O113" s="34"/>
      <c r="P113" s="34"/>
    </row>
    <row r="114" spans="1:16" ht="13.5" x14ac:dyDescent="0.35">
      <c r="A114" s="1" t="s">
        <v>68</v>
      </c>
      <c r="B114" s="33"/>
      <c r="C114" s="34"/>
      <c r="D114" s="109"/>
      <c r="E114" s="109">
        <f>SUM(E7:E112)</f>
        <v>388273.02082316572</v>
      </c>
      <c r="F114" s="109">
        <f>SUM(F7:F112)</f>
        <v>101750.82168739091</v>
      </c>
      <c r="G114" s="34"/>
      <c r="H114" s="112">
        <f>SUM(H7:H112)</f>
        <v>11049.164278426189</v>
      </c>
      <c r="I114" s="35"/>
      <c r="J114" s="109">
        <f>SUM(J7:J112)</f>
        <v>7491.9533446208379</v>
      </c>
      <c r="K114" s="35"/>
      <c r="L114" s="109">
        <f>SUM(L7:L112)</f>
        <v>2640.2565415975268</v>
      </c>
      <c r="M114" s="109">
        <f>SUM(M7:M112)</f>
        <v>21181.374164644552</v>
      </c>
      <c r="N114" s="34"/>
      <c r="O114" s="34"/>
      <c r="P114" s="34"/>
    </row>
    <row r="115" spans="1:16" x14ac:dyDescent="0.3">
      <c r="B115" s="33"/>
      <c r="C115" s="34"/>
      <c r="D115" s="32"/>
      <c r="E115" s="32"/>
      <c r="F115" s="32"/>
      <c r="G115" s="34"/>
      <c r="H115" s="32"/>
      <c r="I115" s="35"/>
      <c r="J115" s="110"/>
      <c r="K115" s="35"/>
      <c r="L115" s="34"/>
      <c r="M115" s="32"/>
      <c r="N115" s="34"/>
      <c r="O115" s="34"/>
      <c r="P115" s="34"/>
    </row>
    <row r="116" spans="1:16" x14ac:dyDescent="0.3">
      <c r="B116" s="33"/>
      <c r="C116" s="34"/>
      <c r="D116" s="32"/>
      <c r="E116" s="32"/>
      <c r="F116" s="32"/>
      <c r="G116" s="34"/>
      <c r="H116" s="32"/>
      <c r="I116" s="35"/>
      <c r="J116" s="34"/>
      <c r="K116" s="35"/>
      <c r="L116" s="34"/>
      <c r="M116" s="32"/>
      <c r="N116" s="34"/>
      <c r="O116" s="34"/>
      <c r="P116" s="34"/>
    </row>
    <row r="117" spans="1:16" x14ac:dyDescent="0.3">
      <c r="B117" s="33"/>
      <c r="C117" s="34"/>
      <c r="D117" s="8" t="s">
        <v>136</v>
      </c>
      <c r="E117" s="32"/>
      <c r="F117" s="32"/>
      <c r="G117" s="34"/>
      <c r="H117" s="32"/>
      <c r="I117" s="35"/>
      <c r="J117" s="34"/>
      <c r="K117" s="35"/>
      <c r="L117" s="34"/>
      <c r="M117" s="32"/>
      <c r="N117" s="34"/>
      <c r="O117" s="34"/>
      <c r="P117" s="34"/>
    </row>
    <row r="118" spans="1:16" x14ac:dyDescent="0.3">
      <c r="B118" s="33"/>
      <c r="C118" s="34"/>
      <c r="D118" s="55" t="s">
        <v>610</v>
      </c>
      <c r="E118" s="112">
        <f>SUM(E7:E96)</f>
        <v>291054.56028523226</v>
      </c>
      <c r="F118" s="32"/>
      <c r="G118" s="34"/>
      <c r="H118" s="32"/>
      <c r="I118" s="35"/>
      <c r="J118" s="34"/>
      <c r="K118" s="35"/>
      <c r="L118" s="34"/>
      <c r="M118" s="32"/>
      <c r="N118" s="34"/>
      <c r="O118" s="34"/>
      <c r="P118" s="34"/>
    </row>
    <row r="119" spans="1:16" x14ac:dyDescent="0.3">
      <c r="B119" s="33"/>
      <c r="C119" s="34"/>
      <c r="D119" s="55" t="s">
        <v>611</v>
      </c>
      <c r="E119" s="112">
        <f>SUM(E98:E101)</f>
        <v>75000</v>
      </c>
      <c r="F119" s="32"/>
      <c r="G119" s="34"/>
      <c r="H119" s="32"/>
      <c r="I119" s="35"/>
      <c r="J119" s="34"/>
      <c r="K119" s="35"/>
      <c r="L119" s="34"/>
      <c r="M119" s="32"/>
      <c r="N119" s="34"/>
      <c r="O119" s="34"/>
      <c r="P119" s="34"/>
    </row>
    <row r="120" spans="1:16" x14ac:dyDescent="0.3">
      <c r="B120" s="33"/>
      <c r="C120" s="34"/>
      <c r="D120" s="62" t="s">
        <v>612</v>
      </c>
      <c r="E120" s="113">
        <f>SUM(E103:E106)</f>
        <v>22218.460537933443</v>
      </c>
      <c r="F120" s="32"/>
      <c r="G120" s="34"/>
      <c r="H120" s="32"/>
      <c r="I120" s="34"/>
      <c r="J120" s="34"/>
      <c r="K120" s="35"/>
      <c r="L120" s="34"/>
      <c r="M120" s="32"/>
      <c r="N120" s="34"/>
      <c r="O120" s="34"/>
      <c r="P120" s="34"/>
    </row>
    <row r="121" spans="1:16" x14ac:dyDescent="0.3">
      <c r="B121" s="33"/>
      <c r="C121" s="34"/>
      <c r="D121" s="61" t="s">
        <v>613</v>
      </c>
      <c r="E121" s="112">
        <f>SUM(E118:E120)</f>
        <v>388273.02082316572</v>
      </c>
      <c r="F121" s="32"/>
      <c r="G121" s="34"/>
      <c r="H121" s="32"/>
      <c r="I121" s="34"/>
      <c r="J121" s="34"/>
      <c r="K121" s="35"/>
      <c r="L121" s="34"/>
      <c r="M121" s="32"/>
      <c r="N121" s="34"/>
      <c r="O121" s="34"/>
      <c r="P121" s="34"/>
    </row>
    <row r="122" spans="1:16" x14ac:dyDescent="0.3">
      <c r="B122" s="33"/>
      <c r="C122" s="34"/>
      <c r="D122" s="32"/>
      <c r="E122" s="32"/>
      <c r="F122" s="32"/>
      <c r="G122" s="34"/>
      <c r="H122" s="32"/>
      <c r="I122" s="34"/>
      <c r="J122" s="34"/>
      <c r="K122" s="35"/>
      <c r="L122" s="34"/>
      <c r="M122" s="32"/>
      <c r="N122" s="34"/>
      <c r="O122" s="34"/>
      <c r="P122" s="34"/>
    </row>
    <row r="123" spans="1:16" x14ac:dyDescent="0.3">
      <c r="B123" s="33"/>
      <c r="C123" s="34"/>
      <c r="D123" s="32"/>
      <c r="E123" s="32"/>
      <c r="F123" s="32"/>
      <c r="G123" s="34"/>
      <c r="H123" s="32"/>
      <c r="I123" s="34"/>
      <c r="J123" s="34"/>
      <c r="K123" s="35"/>
      <c r="L123" s="34"/>
      <c r="M123" s="32"/>
      <c r="N123" s="34"/>
      <c r="O123" s="34"/>
      <c r="P123" s="34"/>
    </row>
    <row r="124" spans="1:16" x14ac:dyDescent="0.3">
      <c r="B124" s="33"/>
      <c r="C124" s="34"/>
      <c r="D124" s="32"/>
      <c r="E124" s="32"/>
      <c r="F124" s="32"/>
      <c r="G124" s="34"/>
      <c r="H124" s="32"/>
      <c r="I124" s="34"/>
      <c r="J124" s="34"/>
      <c r="K124" s="35"/>
      <c r="L124" s="34"/>
      <c r="M124" s="32"/>
      <c r="N124" s="34"/>
      <c r="O124" s="34"/>
      <c r="P124" s="34"/>
    </row>
    <row r="125" spans="1:16" x14ac:dyDescent="0.3">
      <c r="B125" s="33"/>
      <c r="C125" s="34"/>
      <c r="D125" s="32"/>
      <c r="E125" s="32"/>
      <c r="F125" s="32"/>
      <c r="G125" s="34"/>
      <c r="H125" s="32"/>
      <c r="I125" s="34"/>
      <c r="J125" s="34"/>
      <c r="K125" s="35"/>
      <c r="L125" s="34"/>
      <c r="M125" s="32"/>
      <c r="N125" s="34"/>
      <c r="O125" s="34"/>
      <c r="P125" s="34"/>
    </row>
    <row r="126" spans="1:16" x14ac:dyDescent="0.3">
      <c r="B126" s="33"/>
      <c r="C126" s="34"/>
      <c r="D126" s="32"/>
      <c r="E126" s="32"/>
      <c r="F126" s="32"/>
      <c r="G126" s="34"/>
      <c r="H126" s="32"/>
      <c r="I126" s="34"/>
      <c r="J126" s="34"/>
      <c r="K126" s="35"/>
      <c r="L126" s="34"/>
      <c r="M126" s="32"/>
      <c r="N126" s="34"/>
      <c r="O126" s="34"/>
      <c r="P126" s="34"/>
    </row>
    <row r="127" spans="1:16" x14ac:dyDescent="0.3">
      <c r="B127" s="33"/>
      <c r="C127" s="34"/>
      <c r="D127" s="32"/>
      <c r="E127" s="32"/>
      <c r="F127" s="32"/>
      <c r="G127" s="34"/>
      <c r="H127" s="32"/>
      <c r="I127" s="34"/>
      <c r="J127" s="34"/>
      <c r="K127" s="35"/>
      <c r="L127" s="34"/>
      <c r="M127" s="32"/>
      <c r="N127" s="34"/>
      <c r="O127" s="34"/>
      <c r="P127" s="34"/>
    </row>
    <row r="128" spans="1:16" x14ac:dyDescent="0.3">
      <c r="B128" s="33"/>
      <c r="C128" s="34"/>
      <c r="D128" s="32"/>
      <c r="E128" s="32"/>
      <c r="F128" s="32"/>
      <c r="G128" s="34"/>
      <c r="H128" s="32"/>
      <c r="I128" s="34"/>
      <c r="J128" s="34"/>
      <c r="K128" s="35"/>
      <c r="L128" s="34"/>
      <c r="M128" s="32"/>
      <c r="N128" s="34"/>
      <c r="O128" s="34"/>
      <c r="P128" s="34"/>
    </row>
    <row r="129" spans="2:16" x14ac:dyDescent="0.3">
      <c r="B129" s="33"/>
      <c r="C129" s="34"/>
      <c r="D129" s="32"/>
      <c r="E129" s="32"/>
      <c r="F129" s="32"/>
      <c r="G129" s="34"/>
      <c r="H129" s="32"/>
      <c r="I129" s="34"/>
      <c r="J129" s="34"/>
      <c r="K129" s="35"/>
      <c r="L129" s="34"/>
      <c r="M129" s="32"/>
      <c r="N129" s="34"/>
      <c r="O129" s="34"/>
      <c r="P129" s="34"/>
    </row>
    <row r="130" spans="2:16" x14ac:dyDescent="0.3">
      <c r="B130" s="33"/>
      <c r="C130" s="34"/>
      <c r="D130" s="32"/>
      <c r="E130" s="32"/>
      <c r="F130" s="32"/>
      <c r="G130" s="34"/>
      <c r="H130" s="32"/>
      <c r="I130" s="34"/>
      <c r="J130" s="34"/>
      <c r="K130" s="35"/>
      <c r="L130" s="34"/>
      <c r="M130" s="32"/>
      <c r="N130" s="34"/>
      <c r="O130" s="34"/>
      <c r="P130" s="34"/>
    </row>
    <row r="131" spans="2:16" x14ac:dyDescent="0.3">
      <c r="B131" s="33"/>
      <c r="C131" s="34"/>
      <c r="D131" s="32"/>
      <c r="E131" s="32"/>
      <c r="F131" s="32"/>
      <c r="G131" s="34"/>
      <c r="H131" s="32"/>
      <c r="I131" s="34"/>
      <c r="J131" s="34"/>
      <c r="K131" s="35"/>
      <c r="L131" s="34"/>
      <c r="M131" s="32"/>
      <c r="N131" s="34"/>
      <c r="O131" s="34"/>
      <c r="P131" s="34"/>
    </row>
    <row r="132" spans="2:16" x14ac:dyDescent="0.3">
      <c r="B132" s="33"/>
      <c r="C132" s="34"/>
      <c r="D132" s="32"/>
      <c r="E132" s="32"/>
      <c r="F132" s="32"/>
      <c r="G132" s="34"/>
      <c r="H132" s="32"/>
      <c r="I132" s="34"/>
      <c r="J132" s="34"/>
      <c r="K132" s="35"/>
      <c r="L132" s="34"/>
      <c r="M132" s="32"/>
      <c r="N132" s="34"/>
      <c r="O132" s="34"/>
      <c r="P132" s="34"/>
    </row>
    <row r="133" spans="2:16" x14ac:dyDescent="0.3">
      <c r="B133" s="33"/>
      <c r="C133" s="34"/>
      <c r="D133" s="32"/>
      <c r="E133" s="32"/>
      <c r="F133" s="32"/>
      <c r="G133" s="34"/>
      <c r="H133" s="32"/>
      <c r="I133" s="34"/>
      <c r="J133" s="34"/>
      <c r="K133" s="35"/>
      <c r="L133" s="34"/>
      <c r="M133" s="32"/>
      <c r="N133" s="34"/>
      <c r="O133" s="34"/>
      <c r="P133" s="34"/>
    </row>
    <row r="134" spans="2:16" x14ac:dyDescent="0.3">
      <c r="B134" s="33"/>
      <c r="C134" s="34"/>
      <c r="D134" s="32"/>
      <c r="E134" s="32"/>
      <c r="F134" s="32"/>
      <c r="G134" s="34"/>
      <c r="H134" s="32"/>
      <c r="I134" s="34"/>
      <c r="J134" s="34"/>
      <c r="K134" s="35"/>
      <c r="L134" s="34"/>
      <c r="M134" s="32"/>
      <c r="N134" s="34"/>
      <c r="O134" s="34"/>
      <c r="P134" s="34"/>
    </row>
    <row r="135" spans="2:16" x14ac:dyDescent="0.3">
      <c r="B135" s="33"/>
      <c r="C135" s="34"/>
      <c r="D135" s="32"/>
      <c r="E135" s="32"/>
      <c r="F135" s="32"/>
      <c r="G135" s="34"/>
      <c r="H135" s="32"/>
      <c r="I135" s="34"/>
      <c r="J135" s="34"/>
      <c r="K135" s="35"/>
      <c r="L135" s="34"/>
      <c r="M135" s="32"/>
      <c r="N135" s="34"/>
      <c r="O135" s="34"/>
      <c r="P135" s="34"/>
    </row>
    <row r="136" spans="2:16" x14ac:dyDescent="0.3">
      <c r="B136" s="33"/>
      <c r="C136" s="34"/>
      <c r="D136" s="32"/>
      <c r="E136" s="32"/>
      <c r="F136" s="32"/>
      <c r="G136" s="34"/>
      <c r="H136" s="32"/>
      <c r="I136" s="34"/>
      <c r="J136" s="34"/>
      <c r="K136" s="35"/>
      <c r="L136" s="34"/>
      <c r="M136" s="32"/>
      <c r="N136" s="34"/>
      <c r="O136" s="34"/>
      <c r="P136" s="34"/>
    </row>
    <row r="137" spans="2:16" x14ac:dyDescent="0.3">
      <c r="B137" s="33"/>
      <c r="C137" s="34"/>
      <c r="D137" s="32"/>
      <c r="E137" s="32"/>
      <c r="F137" s="32"/>
      <c r="G137" s="34"/>
      <c r="H137" s="32"/>
      <c r="I137" s="34"/>
      <c r="J137" s="34"/>
      <c r="K137" s="35"/>
      <c r="L137" s="34"/>
      <c r="M137" s="32"/>
      <c r="N137" s="34"/>
      <c r="O137" s="34"/>
      <c r="P137" s="34"/>
    </row>
    <row r="138" spans="2:16" x14ac:dyDescent="0.3">
      <c r="B138" s="33"/>
      <c r="C138" s="34"/>
      <c r="D138" s="32"/>
      <c r="E138" s="32"/>
      <c r="F138" s="32"/>
      <c r="G138" s="34"/>
      <c r="H138" s="32"/>
      <c r="I138" s="34"/>
      <c r="J138" s="34"/>
      <c r="K138" s="35"/>
      <c r="L138" s="34"/>
      <c r="M138" s="32"/>
      <c r="N138" s="34"/>
      <c r="O138" s="34"/>
      <c r="P138" s="34"/>
    </row>
    <row r="139" spans="2:16" x14ac:dyDescent="0.3">
      <c r="B139" s="33"/>
      <c r="C139" s="34"/>
      <c r="D139" s="32"/>
      <c r="E139" s="32"/>
      <c r="F139" s="32"/>
      <c r="G139" s="34"/>
      <c r="H139" s="32"/>
      <c r="I139" s="34"/>
      <c r="J139" s="34"/>
      <c r="K139" s="35"/>
      <c r="L139" s="34"/>
      <c r="M139" s="32"/>
      <c r="N139" s="34"/>
      <c r="O139" s="34"/>
      <c r="P139" s="34"/>
    </row>
    <row r="140" spans="2:16" x14ac:dyDescent="0.3">
      <c r="B140" s="33"/>
      <c r="C140" s="34"/>
      <c r="D140" s="32"/>
      <c r="E140" s="32"/>
      <c r="F140" s="32"/>
      <c r="G140" s="34"/>
      <c r="H140" s="32"/>
      <c r="I140" s="34"/>
      <c r="J140" s="34"/>
      <c r="K140" s="35"/>
      <c r="L140" s="34"/>
      <c r="M140" s="32"/>
      <c r="N140" s="34"/>
      <c r="O140" s="34"/>
      <c r="P140" s="34"/>
    </row>
    <row r="141" spans="2:16" x14ac:dyDescent="0.3">
      <c r="B141" s="33"/>
      <c r="C141" s="34"/>
      <c r="D141" s="32"/>
      <c r="E141" s="32"/>
      <c r="F141" s="32"/>
      <c r="G141" s="34"/>
      <c r="H141" s="32"/>
      <c r="I141" s="34"/>
      <c r="J141" s="34"/>
      <c r="K141" s="35"/>
      <c r="L141" s="34"/>
      <c r="M141" s="32"/>
      <c r="N141" s="34"/>
      <c r="O141" s="34"/>
      <c r="P141" s="34"/>
    </row>
    <row r="142" spans="2:16" x14ac:dyDescent="0.3">
      <c r="B142" s="33"/>
      <c r="C142" s="34"/>
      <c r="D142" s="32"/>
      <c r="E142" s="32"/>
      <c r="F142" s="32"/>
      <c r="G142" s="34"/>
      <c r="H142" s="32"/>
      <c r="I142" s="34"/>
      <c r="J142" s="34"/>
      <c r="K142" s="35"/>
      <c r="L142" s="34"/>
      <c r="M142" s="32"/>
      <c r="N142" s="34"/>
      <c r="O142" s="34"/>
      <c r="P142" s="34"/>
    </row>
    <row r="143" spans="2:16" x14ac:dyDescent="0.3">
      <c r="B143" s="33"/>
      <c r="C143" s="34"/>
      <c r="D143" s="32"/>
      <c r="E143" s="32"/>
      <c r="F143" s="32"/>
      <c r="G143" s="34"/>
      <c r="H143" s="32"/>
      <c r="I143" s="34"/>
      <c r="J143" s="34"/>
      <c r="K143" s="35"/>
      <c r="L143" s="34"/>
      <c r="M143" s="32"/>
      <c r="N143" s="34"/>
      <c r="O143" s="34"/>
      <c r="P143" s="34"/>
    </row>
    <row r="144" spans="2:16" x14ac:dyDescent="0.3">
      <c r="B144" s="33"/>
      <c r="C144" s="34"/>
      <c r="D144" s="32"/>
      <c r="E144" s="32"/>
      <c r="F144" s="32"/>
      <c r="G144" s="34"/>
      <c r="H144" s="32"/>
      <c r="I144" s="34"/>
      <c r="J144" s="34"/>
      <c r="K144" s="35"/>
      <c r="L144" s="34"/>
      <c r="M144" s="32"/>
      <c r="N144" s="34"/>
      <c r="O144" s="34"/>
      <c r="P144" s="34"/>
    </row>
    <row r="145" spans="2:16" x14ac:dyDescent="0.3">
      <c r="B145" s="33"/>
      <c r="C145" s="34"/>
      <c r="D145" s="32"/>
      <c r="E145" s="32"/>
      <c r="F145" s="32"/>
      <c r="G145" s="34"/>
      <c r="H145" s="32"/>
      <c r="I145" s="34"/>
      <c r="J145" s="34"/>
      <c r="K145" s="35"/>
      <c r="L145" s="34"/>
      <c r="M145" s="32"/>
      <c r="N145" s="34"/>
      <c r="O145" s="34"/>
      <c r="P145" s="34"/>
    </row>
    <row r="146" spans="2:16" x14ac:dyDescent="0.3">
      <c r="B146" s="33"/>
      <c r="C146" s="34"/>
      <c r="D146" s="32"/>
      <c r="E146" s="32"/>
      <c r="F146" s="32"/>
      <c r="G146" s="34"/>
      <c r="H146" s="32"/>
      <c r="I146" s="34"/>
      <c r="J146" s="34"/>
      <c r="K146" s="35"/>
      <c r="L146" s="34"/>
      <c r="M146" s="32"/>
      <c r="N146" s="34"/>
      <c r="O146" s="34"/>
      <c r="P146" s="34"/>
    </row>
    <row r="147" spans="2:16" x14ac:dyDescent="0.3">
      <c r="B147" s="33"/>
      <c r="C147" s="34"/>
      <c r="D147" s="39"/>
      <c r="E147" s="39"/>
      <c r="F147" s="39"/>
      <c r="G147" s="34"/>
      <c r="H147" s="32"/>
      <c r="I147" s="34"/>
      <c r="J147" s="34"/>
      <c r="K147" s="35"/>
      <c r="L147" s="34"/>
      <c r="M147" s="32"/>
      <c r="N147" s="34"/>
      <c r="O147" s="34"/>
      <c r="P147" s="34"/>
    </row>
    <row r="148" spans="2:16" x14ac:dyDescent="0.3">
      <c r="B148" s="33"/>
      <c r="C148" s="34"/>
      <c r="D148" s="39"/>
      <c r="E148" s="39"/>
      <c r="F148" s="39"/>
      <c r="G148" s="34"/>
      <c r="H148" s="32"/>
      <c r="I148" s="34"/>
      <c r="J148" s="34"/>
      <c r="K148" s="35"/>
      <c r="L148" s="34"/>
      <c r="M148" s="32"/>
      <c r="N148" s="34"/>
      <c r="O148" s="34"/>
      <c r="P148" s="34"/>
    </row>
    <row r="149" spans="2:16" x14ac:dyDescent="0.3">
      <c r="B149" s="33"/>
      <c r="C149" s="34"/>
      <c r="D149" s="39"/>
      <c r="E149" s="39"/>
      <c r="F149" s="39"/>
      <c r="G149" s="34"/>
      <c r="H149" s="32"/>
      <c r="I149" s="34"/>
      <c r="J149" s="34"/>
      <c r="K149" s="35"/>
      <c r="L149" s="34"/>
      <c r="M149" s="32"/>
      <c r="N149" s="34"/>
      <c r="O149" s="34"/>
      <c r="P149" s="34"/>
    </row>
    <row r="150" spans="2:16" x14ac:dyDescent="0.3">
      <c r="B150" s="33"/>
      <c r="C150" s="34"/>
      <c r="D150" s="39"/>
      <c r="E150" s="39"/>
      <c r="F150" s="39"/>
      <c r="G150" s="34"/>
      <c r="H150" s="32"/>
      <c r="I150" s="34"/>
      <c r="J150" s="34"/>
      <c r="K150" s="35"/>
      <c r="L150" s="34"/>
      <c r="M150" s="32"/>
      <c r="N150" s="34"/>
      <c r="O150" s="34"/>
      <c r="P150" s="34"/>
    </row>
    <row r="151" spans="2:16" x14ac:dyDescent="0.3">
      <c r="B151" s="33"/>
      <c r="C151" s="34"/>
      <c r="D151" s="39"/>
      <c r="E151" s="39"/>
      <c r="F151" s="39"/>
      <c r="G151" s="34"/>
      <c r="H151" s="32"/>
      <c r="I151" s="34"/>
      <c r="J151" s="34"/>
      <c r="K151" s="35"/>
      <c r="L151" s="34"/>
      <c r="M151" s="32"/>
      <c r="N151" s="34"/>
      <c r="O151" s="34"/>
      <c r="P151" s="34"/>
    </row>
    <row r="152" spans="2:16" x14ac:dyDescent="0.3">
      <c r="B152" s="33"/>
      <c r="C152" s="34"/>
      <c r="D152" s="39"/>
      <c r="E152" s="39"/>
      <c r="F152" s="39"/>
      <c r="G152" s="34"/>
      <c r="H152" s="32"/>
      <c r="I152" s="34"/>
      <c r="J152" s="34"/>
      <c r="K152" s="35"/>
      <c r="L152" s="34"/>
      <c r="M152" s="32"/>
      <c r="N152" s="34"/>
      <c r="O152" s="34"/>
      <c r="P152" s="34"/>
    </row>
    <row r="153" spans="2:16" x14ac:dyDescent="0.3">
      <c r="B153" s="33"/>
      <c r="C153" s="34"/>
      <c r="D153" s="39"/>
      <c r="E153" s="39"/>
      <c r="F153" s="39"/>
      <c r="G153" s="34"/>
      <c r="H153" s="32"/>
      <c r="I153" s="34"/>
      <c r="J153" s="34"/>
      <c r="K153" s="35"/>
      <c r="L153" s="34"/>
      <c r="M153" s="32"/>
      <c r="N153" s="34"/>
      <c r="O153" s="34"/>
      <c r="P153" s="34"/>
    </row>
    <row r="154" spans="2:16" x14ac:dyDescent="0.3">
      <c r="B154" s="33"/>
      <c r="C154" s="34"/>
      <c r="D154" s="39"/>
      <c r="E154" s="39"/>
      <c r="F154" s="39"/>
      <c r="G154" s="34"/>
      <c r="H154" s="32"/>
      <c r="I154" s="34"/>
      <c r="J154" s="34"/>
      <c r="K154" s="35"/>
      <c r="L154" s="34"/>
      <c r="M154" s="32"/>
      <c r="N154" s="34"/>
      <c r="O154" s="34"/>
      <c r="P154" s="34"/>
    </row>
    <row r="155" spans="2:16" x14ac:dyDescent="0.3">
      <c r="B155" s="33"/>
      <c r="C155" s="34"/>
      <c r="D155" s="39"/>
      <c r="E155" s="39"/>
      <c r="F155" s="39"/>
      <c r="G155" s="34"/>
      <c r="H155" s="32"/>
      <c r="I155" s="34"/>
      <c r="J155" s="34"/>
      <c r="K155" s="35"/>
      <c r="L155" s="34"/>
      <c r="M155" s="32"/>
      <c r="N155" s="34"/>
      <c r="O155" s="34"/>
      <c r="P155" s="34"/>
    </row>
    <row r="156" spans="2:16" x14ac:dyDescent="0.3">
      <c r="B156" s="33"/>
      <c r="C156" s="34"/>
      <c r="D156" s="39"/>
      <c r="E156" s="39"/>
      <c r="F156" s="39"/>
      <c r="G156" s="34"/>
      <c r="H156" s="32"/>
      <c r="I156" s="34"/>
      <c r="J156" s="34"/>
      <c r="K156" s="35"/>
      <c r="L156" s="34"/>
      <c r="M156" s="32"/>
      <c r="N156" s="34"/>
      <c r="O156" s="34"/>
      <c r="P156" s="34"/>
    </row>
    <row r="157" spans="2:16" x14ac:dyDescent="0.3">
      <c r="B157" s="33"/>
      <c r="C157" s="34"/>
      <c r="D157" s="39"/>
      <c r="E157" s="39"/>
      <c r="F157" s="39"/>
      <c r="G157" s="34"/>
      <c r="H157" s="32"/>
      <c r="I157" s="34"/>
      <c r="J157" s="34"/>
      <c r="K157" s="35"/>
      <c r="L157" s="34"/>
      <c r="M157" s="32"/>
      <c r="N157" s="34"/>
      <c r="O157" s="34"/>
      <c r="P157" s="34"/>
    </row>
    <row r="158" spans="2:16" x14ac:dyDescent="0.3">
      <c r="B158" s="33"/>
      <c r="C158" s="34"/>
      <c r="D158" s="39"/>
      <c r="E158" s="39"/>
      <c r="F158" s="39"/>
      <c r="G158" s="34"/>
      <c r="H158" s="32"/>
      <c r="I158" s="34"/>
      <c r="J158" s="34"/>
      <c r="K158" s="35"/>
      <c r="L158" s="34"/>
      <c r="M158" s="32"/>
      <c r="N158" s="34"/>
      <c r="O158" s="34"/>
      <c r="P158" s="34"/>
    </row>
    <row r="159" spans="2:16" x14ac:dyDescent="0.3">
      <c r="B159" s="33"/>
      <c r="C159" s="34"/>
      <c r="D159" s="39"/>
      <c r="E159" s="39"/>
      <c r="F159" s="39"/>
      <c r="G159" s="34"/>
      <c r="H159" s="32"/>
      <c r="I159" s="34"/>
      <c r="J159" s="34"/>
      <c r="K159" s="35"/>
      <c r="L159" s="34"/>
      <c r="M159" s="32"/>
      <c r="N159" s="34"/>
      <c r="O159" s="34"/>
      <c r="P159" s="34"/>
    </row>
    <row r="160" spans="2:16" x14ac:dyDescent="0.3">
      <c r="B160" s="33"/>
      <c r="C160" s="34"/>
      <c r="D160" s="39"/>
      <c r="E160" s="39"/>
      <c r="F160" s="39"/>
      <c r="G160" s="34"/>
      <c r="H160" s="32"/>
      <c r="I160" s="34"/>
      <c r="J160" s="34"/>
      <c r="K160" s="35"/>
      <c r="L160" s="34"/>
      <c r="M160" s="32"/>
      <c r="N160" s="34"/>
      <c r="O160" s="34"/>
      <c r="P160" s="34"/>
    </row>
    <row r="161" spans="2:16" x14ac:dyDescent="0.3">
      <c r="B161" s="33"/>
      <c r="C161" s="34"/>
      <c r="D161" s="39"/>
      <c r="E161" s="39"/>
      <c r="F161" s="39"/>
      <c r="G161" s="34"/>
      <c r="H161" s="32"/>
      <c r="I161" s="34"/>
      <c r="J161" s="34"/>
      <c r="K161" s="35"/>
      <c r="L161" s="34"/>
      <c r="M161" s="32"/>
      <c r="N161" s="34"/>
      <c r="O161" s="34"/>
      <c r="P161" s="34"/>
    </row>
    <row r="162" spans="2:16" x14ac:dyDescent="0.3">
      <c r="B162" s="33"/>
      <c r="C162" s="34"/>
      <c r="D162" s="39"/>
      <c r="E162" s="39"/>
      <c r="F162" s="39"/>
      <c r="G162" s="34"/>
      <c r="H162" s="32"/>
      <c r="I162" s="34"/>
      <c r="J162" s="34"/>
      <c r="K162" s="35"/>
      <c r="L162" s="34"/>
      <c r="M162" s="32"/>
      <c r="N162" s="34"/>
      <c r="O162" s="34"/>
      <c r="P162" s="34"/>
    </row>
    <row r="163" spans="2:16" x14ac:dyDescent="0.3">
      <c r="B163" s="33"/>
      <c r="C163" s="34"/>
      <c r="D163" s="39"/>
      <c r="E163" s="39"/>
      <c r="F163" s="39"/>
      <c r="G163" s="34"/>
      <c r="H163" s="32"/>
      <c r="I163" s="34"/>
      <c r="J163" s="34"/>
      <c r="K163" s="35"/>
      <c r="L163" s="34"/>
      <c r="M163" s="32"/>
      <c r="N163" s="34"/>
      <c r="O163" s="34"/>
      <c r="P163" s="34"/>
    </row>
    <row r="164" spans="2:16" x14ac:dyDescent="0.3">
      <c r="B164" s="33"/>
      <c r="C164" s="34"/>
      <c r="D164" s="39"/>
      <c r="E164" s="39"/>
      <c r="F164" s="39"/>
      <c r="G164" s="34"/>
      <c r="H164" s="32"/>
      <c r="I164" s="34"/>
      <c r="J164" s="34"/>
      <c r="K164" s="35"/>
      <c r="L164" s="34"/>
      <c r="M164" s="32"/>
      <c r="N164" s="34"/>
      <c r="O164" s="34"/>
      <c r="P164" s="34"/>
    </row>
    <row r="165" spans="2:16" x14ac:dyDescent="0.3">
      <c r="B165" s="33"/>
      <c r="C165" s="34"/>
      <c r="D165" s="39"/>
      <c r="E165" s="39"/>
      <c r="F165" s="39"/>
      <c r="G165" s="34"/>
      <c r="H165" s="32"/>
      <c r="I165" s="34"/>
      <c r="J165" s="34"/>
      <c r="K165" s="35"/>
      <c r="L165" s="34"/>
      <c r="M165" s="32"/>
      <c r="N165" s="34"/>
      <c r="O165" s="34"/>
      <c r="P165" s="34"/>
    </row>
    <row r="166" spans="2:16" x14ac:dyDescent="0.3">
      <c r="B166" s="33"/>
      <c r="C166" s="34"/>
      <c r="D166" s="39"/>
      <c r="E166" s="39"/>
      <c r="F166" s="39"/>
      <c r="G166" s="34"/>
      <c r="H166" s="32"/>
      <c r="I166" s="34"/>
      <c r="J166" s="34"/>
      <c r="K166" s="35"/>
      <c r="L166" s="34"/>
      <c r="M166" s="32"/>
      <c r="N166" s="34"/>
      <c r="O166" s="34"/>
      <c r="P166" s="34"/>
    </row>
    <row r="167" spans="2:16" x14ac:dyDescent="0.3">
      <c r="B167" s="33"/>
      <c r="C167" s="34"/>
      <c r="D167" s="39"/>
      <c r="E167" s="39"/>
      <c r="F167" s="39"/>
      <c r="G167" s="34"/>
      <c r="H167" s="32"/>
      <c r="I167" s="34"/>
      <c r="J167" s="34"/>
      <c r="K167" s="35"/>
      <c r="L167" s="34"/>
      <c r="M167" s="32"/>
      <c r="N167" s="34"/>
      <c r="O167" s="34"/>
      <c r="P167" s="34"/>
    </row>
    <row r="168" spans="2:16" x14ac:dyDescent="0.3">
      <c r="B168" s="33"/>
      <c r="C168" s="34"/>
      <c r="D168" s="39"/>
      <c r="E168" s="39"/>
      <c r="F168" s="39"/>
      <c r="G168" s="34"/>
      <c r="H168" s="32"/>
      <c r="I168" s="34"/>
      <c r="J168" s="34"/>
      <c r="K168" s="35"/>
      <c r="L168" s="34"/>
      <c r="M168" s="32"/>
      <c r="N168" s="34"/>
      <c r="O168" s="34"/>
      <c r="P168" s="34"/>
    </row>
    <row r="169" spans="2:16" x14ac:dyDescent="0.3">
      <c r="B169" s="33"/>
      <c r="C169" s="34"/>
      <c r="D169" s="39"/>
      <c r="E169" s="39"/>
      <c r="F169" s="39"/>
      <c r="G169" s="34"/>
      <c r="H169" s="32"/>
      <c r="I169" s="34"/>
      <c r="J169" s="34"/>
      <c r="K169" s="35"/>
      <c r="L169" s="34"/>
      <c r="M169" s="32"/>
      <c r="N169" s="34"/>
      <c r="O169" s="34"/>
      <c r="P169" s="34"/>
    </row>
    <row r="170" spans="2:16" x14ac:dyDescent="0.3">
      <c r="B170" s="33"/>
      <c r="C170" s="34"/>
      <c r="D170" s="39"/>
      <c r="E170" s="39"/>
      <c r="F170" s="39"/>
      <c r="G170" s="34"/>
      <c r="H170" s="32"/>
      <c r="I170" s="34"/>
      <c r="J170" s="34"/>
      <c r="K170" s="35"/>
      <c r="L170" s="34"/>
      <c r="M170" s="32"/>
      <c r="N170" s="34"/>
      <c r="O170" s="34"/>
      <c r="P170" s="34"/>
    </row>
    <row r="171" spans="2:16" x14ac:dyDescent="0.3">
      <c r="B171" s="33"/>
      <c r="C171" s="34"/>
      <c r="D171" s="39"/>
      <c r="E171" s="39"/>
      <c r="F171" s="39"/>
      <c r="G171" s="34"/>
      <c r="H171" s="32"/>
      <c r="I171" s="34"/>
      <c r="J171" s="34"/>
      <c r="K171" s="35"/>
      <c r="L171" s="34"/>
      <c r="M171" s="32"/>
      <c r="N171" s="34"/>
      <c r="O171" s="34"/>
      <c r="P171" s="34"/>
    </row>
    <row r="172" spans="2:16" x14ac:dyDescent="0.3">
      <c r="B172" s="33"/>
      <c r="C172" s="34"/>
      <c r="D172" s="39"/>
      <c r="E172" s="39"/>
      <c r="F172" s="39"/>
      <c r="G172" s="34"/>
      <c r="H172" s="32"/>
      <c r="I172" s="34"/>
      <c r="J172" s="34"/>
      <c r="K172" s="35"/>
      <c r="L172" s="34"/>
      <c r="M172" s="32"/>
      <c r="N172" s="34"/>
      <c r="O172" s="34"/>
      <c r="P172" s="34"/>
    </row>
    <row r="173" spans="2:16" x14ac:dyDescent="0.3">
      <c r="B173" s="33"/>
      <c r="C173" s="34"/>
      <c r="D173" s="39"/>
      <c r="E173" s="39"/>
      <c r="F173" s="39"/>
      <c r="G173" s="34"/>
      <c r="H173" s="32"/>
      <c r="I173" s="34"/>
      <c r="J173" s="34"/>
      <c r="K173" s="35"/>
      <c r="L173" s="34"/>
      <c r="M173" s="32"/>
      <c r="N173" s="34"/>
      <c r="O173" s="34"/>
      <c r="P173" s="34"/>
    </row>
    <row r="174" spans="2:16" x14ac:dyDescent="0.3">
      <c r="B174" s="33"/>
      <c r="C174" s="34"/>
      <c r="D174" s="39"/>
      <c r="E174" s="39"/>
      <c r="F174" s="39"/>
      <c r="G174" s="34"/>
      <c r="H174" s="32"/>
      <c r="I174" s="34"/>
      <c r="J174" s="34"/>
      <c r="K174" s="35"/>
      <c r="L174" s="34"/>
      <c r="M174" s="32"/>
      <c r="N174" s="34"/>
      <c r="O174" s="34"/>
      <c r="P174" s="34"/>
    </row>
    <row r="175" spans="2:16" x14ac:dyDescent="0.3">
      <c r="B175" s="33"/>
      <c r="C175" s="34"/>
      <c r="D175" s="39"/>
      <c r="E175" s="39"/>
      <c r="F175" s="39"/>
      <c r="G175" s="34"/>
      <c r="H175" s="32"/>
      <c r="I175" s="34"/>
      <c r="J175" s="34"/>
      <c r="K175" s="35"/>
      <c r="L175" s="34"/>
      <c r="M175" s="32"/>
      <c r="N175" s="34"/>
      <c r="O175" s="34"/>
      <c r="P175" s="34"/>
    </row>
    <row r="176" spans="2:16" x14ac:dyDescent="0.3">
      <c r="B176" s="33"/>
      <c r="C176" s="34"/>
      <c r="D176" s="39"/>
      <c r="E176" s="39"/>
      <c r="F176" s="39"/>
      <c r="G176" s="34"/>
      <c r="H176" s="32"/>
      <c r="I176" s="34"/>
      <c r="J176" s="34"/>
      <c r="K176" s="35"/>
      <c r="L176" s="34"/>
      <c r="M176" s="32"/>
      <c r="N176" s="34"/>
      <c r="O176" s="34"/>
      <c r="P176" s="34"/>
    </row>
    <row r="177" spans="2:16" x14ac:dyDescent="0.3">
      <c r="B177" s="33"/>
      <c r="C177" s="34"/>
      <c r="D177" s="39"/>
      <c r="E177" s="39"/>
      <c r="F177" s="39"/>
      <c r="G177" s="34"/>
      <c r="H177" s="32"/>
      <c r="I177" s="34"/>
      <c r="J177" s="34"/>
      <c r="K177" s="35"/>
      <c r="L177" s="34"/>
      <c r="M177" s="32"/>
      <c r="N177" s="34"/>
      <c r="O177" s="34"/>
      <c r="P177" s="34"/>
    </row>
    <row r="178" spans="2:16" x14ac:dyDescent="0.3">
      <c r="B178" s="33"/>
      <c r="C178" s="34"/>
      <c r="D178" s="39"/>
      <c r="E178" s="39"/>
      <c r="F178" s="39"/>
      <c r="G178" s="34"/>
      <c r="H178" s="32"/>
      <c r="I178" s="34"/>
      <c r="J178" s="34"/>
      <c r="K178" s="35"/>
      <c r="L178" s="34"/>
      <c r="M178" s="32"/>
      <c r="N178" s="34"/>
      <c r="O178" s="34"/>
      <c r="P178" s="34"/>
    </row>
    <row r="179" spans="2:16" x14ac:dyDescent="0.3">
      <c r="B179" s="33"/>
      <c r="C179" s="34"/>
      <c r="D179" s="39"/>
      <c r="E179" s="39"/>
      <c r="F179" s="39"/>
      <c r="G179" s="34"/>
      <c r="H179" s="32"/>
      <c r="I179" s="34"/>
      <c r="J179" s="34"/>
      <c r="K179" s="35"/>
      <c r="L179" s="34"/>
      <c r="M179" s="32"/>
      <c r="N179" s="34"/>
      <c r="O179" s="34"/>
      <c r="P179" s="34"/>
    </row>
    <row r="180" spans="2:16" x14ac:dyDescent="0.3">
      <c r="B180" s="33"/>
      <c r="C180" s="34"/>
      <c r="D180" s="39"/>
      <c r="E180" s="39"/>
      <c r="F180" s="39"/>
      <c r="G180" s="34"/>
      <c r="H180" s="32"/>
      <c r="I180" s="34"/>
      <c r="J180" s="34"/>
      <c r="K180" s="35"/>
      <c r="L180" s="34"/>
      <c r="M180" s="32"/>
      <c r="N180" s="34"/>
      <c r="O180" s="34"/>
      <c r="P180" s="34"/>
    </row>
    <row r="181" spans="2:16" x14ac:dyDescent="0.3">
      <c r="B181" s="33"/>
      <c r="C181" s="34"/>
      <c r="D181" s="39"/>
      <c r="E181" s="39"/>
      <c r="F181" s="39"/>
      <c r="G181" s="34"/>
      <c r="H181" s="32"/>
      <c r="I181" s="34"/>
      <c r="J181" s="34"/>
      <c r="K181" s="35"/>
      <c r="L181" s="34"/>
      <c r="M181" s="32"/>
      <c r="N181" s="34"/>
      <c r="O181" s="34"/>
      <c r="P181" s="34"/>
    </row>
    <row r="182" spans="2:16" x14ac:dyDescent="0.3">
      <c r="B182" s="33"/>
      <c r="C182" s="34"/>
      <c r="D182" s="39"/>
      <c r="E182" s="39"/>
      <c r="F182" s="39"/>
      <c r="G182" s="34"/>
      <c r="H182" s="32"/>
      <c r="I182" s="34"/>
      <c r="J182" s="34"/>
      <c r="K182" s="35"/>
      <c r="L182" s="34"/>
      <c r="M182" s="32"/>
      <c r="N182" s="34"/>
      <c r="O182" s="34"/>
      <c r="P182" s="34"/>
    </row>
    <row r="183" spans="2:16" x14ac:dyDescent="0.3">
      <c r="B183" s="33"/>
      <c r="C183" s="34"/>
      <c r="D183" s="39"/>
      <c r="E183" s="39"/>
      <c r="F183" s="39"/>
      <c r="G183" s="34"/>
      <c r="H183" s="32"/>
      <c r="I183" s="34"/>
      <c r="J183" s="34"/>
      <c r="K183" s="35"/>
      <c r="L183" s="34"/>
      <c r="M183" s="32"/>
      <c r="N183" s="34"/>
      <c r="O183" s="34"/>
      <c r="P183" s="34"/>
    </row>
    <row r="184" spans="2:16" x14ac:dyDescent="0.3">
      <c r="B184" s="33"/>
      <c r="C184" s="34"/>
      <c r="D184" s="39"/>
      <c r="E184" s="39"/>
      <c r="F184" s="39"/>
      <c r="G184" s="34"/>
      <c r="H184" s="32"/>
      <c r="I184" s="34"/>
      <c r="J184" s="34"/>
      <c r="K184" s="35"/>
      <c r="L184" s="34"/>
      <c r="M184" s="32"/>
      <c r="N184" s="34"/>
      <c r="O184" s="34"/>
      <c r="P184" s="34"/>
    </row>
    <row r="185" spans="2:16" x14ac:dyDescent="0.3">
      <c r="B185" s="33"/>
      <c r="C185" s="34"/>
      <c r="D185" s="39"/>
      <c r="E185" s="39"/>
      <c r="F185" s="39"/>
      <c r="G185" s="34"/>
      <c r="H185" s="32"/>
      <c r="I185" s="34"/>
      <c r="J185" s="34"/>
      <c r="K185" s="35"/>
      <c r="L185" s="34"/>
      <c r="M185" s="32"/>
      <c r="N185" s="34"/>
      <c r="O185" s="34"/>
      <c r="P185" s="34"/>
    </row>
    <row r="186" spans="2:16" x14ac:dyDescent="0.3">
      <c r="B186" s="33"/>
      <c r="C186" s="34"/>
      <c r="D186" s="39"/>
      <c r="E186" s="39"/>
      <c r="F186" s="39"/>
      <c r="G186" s="34"/>
      <c r="H186" s="32"/>
      <c r="I186" s="34"/>
      <c r="J186" s="34"/>
      <c r="K186" s="35"/>
      <c r="L186" s="34"/>
      <c r="M186" s="32"/>
      <c r="N186" s="34"/>
      <c r="O186" s="34"/>
      <c r="P186" s="34"/>
    </row>
    <row r="187" spans="2:16" x14ac:dyDescent="0.3">
      <c r="B187" s="33"/>
      <c r="C187" s="34"/>
      <c r="D187" s="39"/>
      <c r="E187" s="39"/>
      <c r="F187" s="39"/>
      <c r="G187" s="34"/>
      <c r="H187" s="32"/>
      <c r="I187" s="34"/>
      <c r="J187" s="34"/>
      <c r="K187" s="35"/>
      <c r="L187" s="34"/>
      <c r="M187" s="32"/>
      <c r="N187" s="34"/>
      <c r="O187" s="34"/>
      <c r="P187" s="34"/>
    </row>
    <row r="188" spans="2:16" x14ac:dyDescent="0.3">
      <c r="B188" s="33"/>
      <c r="C188" s="34"/>
      <c r="D188" s="39"/>
      <c r="E188" s="39"/>
      <c r="F188" s="39"/>
      <c r="G188" s="34"/>
      <c r="H188" s="32"/>
      <c r="I188" s="34"/>
      <c r="J188" s="34"/>
      <c r="K188" s="35"/>
      <c r="L188" s="34"/>
      <c r="M188" s="32"/>
      <c r="N188" s="34"/>
      <c r="O188" s="34"/>
      <c r="P188" s="34"/>
    </row>
    <row r="189" spans="2:16" x14ac:dyDescent="0.3">
      <c r="B189" s="33"/>
      <c r="C189" s="34"/>
      <c r="D189" s="39"/>
      <c r="E189" s="39"/>
      <c r="F189" s="39"/>
      <c r="G189" s="34"/>
      <c r="H189" s="32"/>
      <c r="I189" s="34"/>
      <c r="J189" s="34"/>
      <c r="K189" s="35"/>
      <c r="L189" s="34"/>
      <c r="M189" s="32"/>
      <c r="N189" s="34"/>
      <c r="O189" s="34"/>
      <c r="P189" s="34"/>
    </row>
    <row r="190" spans="2:16" x14ac:dyDescent="0.3">
      <c r="B190" s="33"/>
      <c r="C190" s="34"/>
      <c r="D190" s="39"/>
      <c r="E190" s="39"/>
      <c r="F190" s="39"/>
      <c r="G190" s="34"/>
      <c r="H190" s="32"/>
      <c r="I190" s="34"/>
      <c r="J190" s="34"/>
      <c r="K190" s="35"/>
      <c r="L190" s="34"/>
      <c r="M190" s="32"/>
      <c r="N190" s="34"/>
      <c r="O190" s="34"/>
      <c r="P190" s="34"/>
    </row>
    <row r="191" spans="2:16" x14ac:dyDescent="0.3">
      <c r="B191" s="33"/>
      <c r="C191" s="34"/>
      <c r="D191" s="39"/>
      <c r="E191" s="39"/>
      <c r="F191" s="39"/>
      <c r="G191" s="34"/>
      <c r="H191" s="32"/>
      <c r="I191" s="34"/>
      <c r="J191" s="34"/>
      <c r="K191" s="35"/>
      <c r="L191" s="34"/>
      <c r="M191" s="32"/>
      <c r="N191" s="34"/>
      <c r="O191" s="34"/>
      <c r="P191" s="34"/>
    </row>
    <row r="192" spans="2:16" x14ac:dyDescent="0.3">
      <c r="B192" s="33"/>
      <c r="C192" s="34"/>
      <c r="D192" s="39"/>
      <c r="E192" s="39"/>
      <c r="F192" s="39"/>
      <c r="G192" s="34"/>
      <c r="H192" s="32"/>
      <c r="I192" s="34"/>
      <c r="J192" s="34"/>
      <c r="K192" s="35"/>
      <c r="L192" s="34"/>
      <c r="M192" s="32"/>
      <c r="N192" s="34"/>
      <c r="O192" s="34"/>
      <c r="P192" s="34"/>
    </row>
    <row r="193" spans="2:16" x14ac:dyDescent="0.3">
      <c r="B193" s="33"/>
      <c r="C193" s="34"/>
      <c r="D193" s="39"/>
      <c r="E193" s="39"/>
      <c r="F193" s="39"/>
      <c r="G193" s="34"/>
      <c r="H193" s="32"/>
      <c r="I193" s="34"/>
      <c r="J193" s="34"/>
      <c r="K193" s="35"/>
      <c r="L193" s="34"/>
      <c r="M193" s="32"/>
      <c r="N193" s="34"/>
      <c r="O193" s="34"/>
      <c r="P193" s="34"/>
    </row>
    <row r="194" spans="2:16" x14ac:dyDescent="0.3">
      <c r="B194" s="33"/>
      <c r="C194" s="34"/>
      <c r="D194" s="39"/>
      <c r="E194" s="39"/>
      <c r="F194" s="39"/>
      <c r="G194" s="34"/>
      <c r="H194" s="32"/>
      <c r="I194" s="34"/>
      <c r="J194" s="34"/>
      <c r="K194" s="35"/>
      <c r="L194" s="34"/>
      <c r="M194" s="32"/>
      <c r="N194" s="34"/>
      <c r="O194" s="34"/>
      <c r="P194" s="34"/>
    </row>
    <row r="195" spans="2:16" x14ac:dyDescent="0.3">
      <c r="B195" s="33"/>
      <c r="C195" s="34"/>
      <c r="D195" s="39"/>
      <c r="E195" s="39"/>
      <c r="F195" s="39"/>
      <c r="G195" s="34"/>
      <c r="H195" s="32"/>
      <c r="I195" s="34"/>
      <c r="J195" s="34"/>
      <c r="K195" s="35"/>
      <c r="L195" s="34"/>
      <c r="M195" s="32"/>
      <c r="N195" s="34"/>
      <c r="O195" s="34"/>
      <c r="P195" s="34"/>
    </row>
    <row r="196" spans="2:16" x14ac:dyDescent="0.3">
      <c r="B196" s="33"/>
      <c r="C196" s="34"/>
      <c r="D196" s="39"/>
      <c r="E196" s="39"/>
      <c r="F196" s="39"/>
      <c r="G196" s="34"/>
      <c r="H196" s="32"/>
      <c r="I196" s="34"/>
      <c r="J196" s="34"/>
      <c r="K196" s="35"/>
      <c r="L196" s="34"/>
      <c r="M196" s="32"/>
      <c r="N196" s="34"/>
      <c r="O196" s="34"/>
      <c r="P196" s="34"/>
    </row>
    <row r="197" spans="2:16" x14ac:dyDescent="0.3">
      <c r="B197" s="33"/>
      <c r="C197" s="34"/>
      <c r="D197" s="39"/>
      <c r="E197" s="39"/>
      <c r="F197" s="39"/>
      <c r="G197" s="34"/>
      <c r="H197" s="32"/>
      <c r="I197" s="34"/>
      <c r="J197" s="34"/>
      <c r="K197" s="35"/>
      <c r="L197" s="34"/>
      <c r="M197" s="32"/>
      <c r="N197" s="34"/>
      <c r="O197" s="34"/>
      <c r="P197" s="34"/>
    </row>
    <row r="198" spans="2:16" x14ac:dyDescent="0.3">
      <c r="B198" s="33"/>
      <c r="C198" s="34"/>
      <c r="D198" s="39"/>
      <c r="E198" s="39"/>
      <c r="F198" s="39"/>
      <c r="G198" s="34"/>
      <c r="H198" s="32"/>
      <c r="I198" s="34"/>
      <c r="J198" s="34"/>
      <c r="K198" s="35"/>
      <c r="L198" s="34"/>
      <c r="M198" s="32"/>
      <c r="N198" s="34"/>
      <c r="O198" s="34"/>
      <c r="P198" s="34"/>
    </row>
    <row r="199" spans="2:16" x14ac:dyDescent="0.3">
      <c r="B199" s="33"/>
      <c r="C199" s="34"/>
      <c r="D199" s="39"/>
      <c r="E199" s="39"/>
      <c r="F199" s="39"/>
      <c r="G199" s="34"/>
      <c r="H199" s="32"/>
      <c r="I199" s="34"/>
      <c r="J199" s="34"/>
      <c r="K199" s="35"/>
      <c r="L199" s="34"/>
      <c r="M199" s="32"/>
      <c r="N199" s="34"/>
      <c r="O199" s="34"/>
      <c r="P199" s="34"/>
    </row>
    <row r="200" spans="2:16" x14ac:dyDescent="0.3">
      <c r="B200" s="33"/>
      <c r="C200" s="34"/>
      <c r="D200" s="39"/>
      <c r="E200" s="39"/>
      <c r="F200" s="39"/>
      <c r="G200" s="34"/>
      <c r="H200" s="32"/>
      <c r="I200" s="34"/>
      <c r="J200" s="34"/>
      <c r="K200" s="35"/>
      <c r="L200" s="34"/>
      <c r="M200" s="32"/>
      <c r="N200" s="34"/>
      <c r="O200" s="34"/>
      <c r="P200" s="34"/>
    </row>
    <row r="201" spans="2:16" x14ac:dyDescent="0.3">
      <c r="B201" s="33"/>
      <c r="C201" s="34"/>
      <c r="D201" s="39"/>
      <c r="E201" s="39"/>
      <c r="F201" s="39"/>
      <c r="G201" s="34"/>
      <c r="H201" s="32"/>
      <c r="I201" s="34"/>
      <c r="J201" s="34"/>
      <c r="K201" s="35"/>
      <c r="L201" s="34"/>
      <c r="M201" s="32"/>
      <c r="N201" s="34"/>
      <c r="O201" s="34"/>
      <c r="P201" s="34"/>
    </row>
    <row r="202" spans="2:16" x14ac:dyDescent="0.3">
      <c r="B202" s="33"/>
      <c r="C202" s="34"/>
      <c r="D202" s="39"/>
      <c r="E202" s="39"/>
      <c r="F202" s="39"/>
      <c r="G202" s="34"/>
      <c r="H202" s="32"/>
      <c r="I202" s="34"/>
      <c r="J202" s="34"/>
      <c r="K202" s="35"/>
      <c r="L202" s="34"/>
      <c r="M202" s="32"/>
      <c r="N202" s="34"/>
      <c r="O202" s="34"/>
      <c r="P202" s="34"/>
    </row>
    <row r="203" spans="2:16" x14ac:dyDescent="0.3">
      <c r="B203" s="33"/>
      <c r="C203" s="34"/>
      <c r="D203" s="39"/>
      <c r="E203" s="39"/>
      <c r="F203" s="39"/>
      <c r="G203" s="34"/>
      <c r="H203" s="32"/>
      <c r="I203" s="34"/>
      <c r="J203" s="34"/>
      <c r="K203" s="35"/>
      <c r="L203" s="34"/>
      <c r="M203" s="32"/>
      <c r="N203" s="34"/>
      <c r="O203" s="34"/>
      <c r="P203" s="34"/>
    </row>
    <row r="204" spans="2:16" x14ac:dyDescent="0.3">
      <c r="B204" s="33"/>
      <c r="C204" s="34"/>
      <c r="D204" s="39"/>
      <c r="E204" s="39"/>
      <c r="F204" s="39"/>
      <c r="G204" s="34"/>
      <c r="H204" s="32"/>
      <c r="I204" s="34"/>
      <c r="J204" s="34"/>
      <c r="K204" s="35"/>
      <c r="L204" s="34"/>
      <c r="M204" s="32"/>
      <c r="N204" s="34"/>
      <c r="O204" s="34"/>
      <c r="P204" s="34"/>
    </row>
    <row r="205" spans="2:16" x14ac:dyDescent="0.3">
      <c r="B205" s="33"/>
      <c r="C205" s="34"/>
      <c r="D205" s="39"/>
      <c r="E205" s="39"/>
      <c r="F205" s="39"/>
      <c r="G205" s="34"/>
      <c r="H205" s="32"/>
      <c r="I205" s="34"/>
      <c r="J205" s="34"/>
      <c r="K205" s="35"/>
      <c r="L205" s="34"/>
      <c r="M205" s="32"/>
      <c r="N205" s="34"/>
      <c r="O205" s="34"/>
      <c r="P205" s="34"/>
    </row>
    <row r="206" spans="2:16" x14ac:dyDescent="0.3">
      <c r="B206" s="33"/>
      <c r="C206" s="34"/>
      <c r="D206" s="39"/>
      <c r="E206" s="39"/>
      <c r="F206" s="39"/>
      <c r="G206" s="34"/>
      <c r="H206" s="32"/>
      <c r="I206" s="34"/>
      <c r="J206" s="34"/>
      <c r="K206" s="35"/>
      <c r="L206" s="34"/>
      <c r="M206" s="32"/>
      <c r="N206" s="34"/>
      <c r="O206" s="34"/>
      <c r="P206" s="34"/>
    </row>
    <row r="207" spans="2:16" x14ac:dyDescent="0.3">
      <c r="B207" s="33"/>
      <c r="C207" s="34"/>
      <c r="D207" s="39"/>
      <c r="E207" s="39"/>
      <c r="F207" s="39"/>
      <c r="G207" s="34"/>
      <c r="H207" s="32"/>
      <c r="I207" s="34"/>
      <c r="J207" s="34"/>
      <c r="K207" s="35"/>
      <c r="L207" s="34"/>
      <c r="M207" s="32"/>
      <c r="N207" s="34"/>
      <c r="O207" s="34"/>
      <c r="P207" s="34"/>
    </row>
    <row r="208" spans="2:16" x14ac:dyDescent="0.3">
      <c r="B208" s="33"/>
      <c r="C208" s="34"/>
      <c r="D208" s="39"/>
      <c r="E208" s="39"/>
      <c r="F208" s="39"/>
      <c r="G208" s="34"/>
      <c r="H208" s="32"/>
      <c r="I208" s="34"/>
      <c r="J208" s="34"/>
      <c r="K208" s="35"/>
      <c r="L208" s="34"/>
      <c r="M208" s="32"/>
      <c r="N208" s="34"/>
      <c r="O208" s="34"/>
      <c r="P208" s="34"/>
    </row>
    <row r="209" spans="2:16" x14ac:dyDescent="0.3">
      <c r="B209" s="33"/>
      <c r="C209" s="34"/>
      <c r="D209" s="39"/>
      <c r="E209" s="39"/>
      <c r="F209" s="39"/>
      <c r="G209" s="34"/>
      <c r="H209" s="32"/>
      <c r="I209" s="34"/>
      <c r="J209" s="34"/>
      <c r="K209" s="35"/>
      <c r="L209" s="34"/>
      <c r="M209" s="32"/>
      <c r="N209" s="34"/>
      <c r="O209" s="34"/>
      <c r="P209" s="34"/>
    </row>
    <row r="210" spans="2:16" x14ac:dyDescent="0.3">
      <c r="B210" s="33"/>
      <c r="C210" s="34"/>
      <c r="D210" s="39"/>
      <c r="E210" s="39"/>
      <c r="F210" s="39"/>
      <c r="G210" s="34"/>
      <c r="H210" s="32"/>
      <c r="I210" s="34"/>
      <c r="J210" s="34"/>
      <c r="K210" s="35"/>
      <c r="L210" s="34"/>
      <c r="M210" s="32"/>
      <c r="N210" s="34"/>
      <c r="O210" s="34"/>
      <c r="P210" s="34"/>
    </row>
    <row r="211" spans="2:16" x14ac:dyDescent="0.3">
      <c r="B211" s="33"/>
      <c r="C211" s="34"/>
      <c r="D211" s="39"/>
      <c r="E211" s="39"/>
      <c r="F211" s="39"/>
      <c r="G211" s="34"/>
      <c r="H211" s="32"/>
      <c r="I211" s="34"/>
      <c r="J211" s="34"/>
      <c r="K211" s="35"/>
      <c r="L211" s="34"/>
      <c r="M211" s="32"/>
      <c r="N211" s="34"/>
      <c r="O211" s="34"/>
      <c r="P211" s="34"/>
    </row>
    <row r="212" spans="2:16" x14ac:dyDescent="0.3">
      <c r="B212" s="33"/>
      <c r="C212" s="34"/>
      <c r="D212" s="39"/>
      <c r="E212" s="39"/>
      <c r="F212" s="39"/>
      <c r="G212" s="34"/>
      <c r="H212" s="32"/>
      <c r="I212" s="34"/>
      <c r="J212" s="34"/>
      <c r="K212" s="35"/>
      <c r="L212" s="34"/>
      <c r="M212" s="32"/>
      <c r="N212" s="34"/>
      <c r="O212" s="34"/>
      <c r="P212" s="34"/>
    </row>
    <row r="213" spans="2:16" x14ac:dyDescent="0.3">
      <c r="B213" s="33"/>
      <c r="C213" s="34"/>
      <c r="D213" s="39"/>
      <c r="E213" s="39"/>
      <c r="F213" s="39"/>
      <c r="G213" s="34"/>
      <c r="H213" s="32"/>
      <c r="I213" s="34"/>
      <c r="J213" s="34"/>
      <c r="K213" s="35"/>
      <c r="L213" s="34"/>
      <c r="M213" s="32"/>
      <c r="N213" s="34"/>
      <c r="O213" s="34"/>
      <c r="P213" s="34"/>
    </row>
    <row r="214" spans="2:16" x14ac:dyDescent="0.3">
      <c r="B214" s="33"/>
      <c r="C214" s="34"/>
      <c r="D214" s="39"/>
      <c r="E214" s="39"/>
      <c r="F214" s="39"/>
      <c r="G214" s="34"/>
      <c r="H214" s="32"/>
      <c r="I214" s="34"/>
      <c r="J214" s="34"/>
      <c r="K214" s="35"/>
      <c r="L214" s="34"/>
      <c r="M214" s="32"/>
      <c r="N214" s="34"/>
      <c r="O214" s="34"/>
      <c r="P214" s="34"/>
    </row>
    <row r="215" spans="2:16" x14ac:dyDescent="0.3">
      <c r="B215" s="33"/>
      <c r="C215" s="34"/>
      <c r="D215" s="39"/>
      <c r="E215" s="39"/>
      <c r="F215" s="39"/>
      <c r="G215" s="34"/>
      <c r="H215" s="32"/>
      <c r="I215" s="34"/>
      <c r="J215" s="34"/>
      <c r="K215" s="35"/>
      <c r="L215" s="34"/>
      <c r="M215" s="32"/>
      <c r="N215" s="34"/>
      <c r="O215" s="34"/>
      <c r="P215" s="34"/>
    </row>
    <row r="216" spans="2:16" x14ac:dyDescent="0.3">
      <c r="B216" s="33"/>
      <c r="C216" s="34"/>
      <c r="D216" s="39"/>
      <c r="E216" s="39"/>
      <c r="F216" s="39"/>
      <c r="G216" s="34"/>
      <c r="H216" s="32"/>
      <c r="I216" s="34"/>
      <c r="J216" s="34"/>
      <c r="K216" s="35"/>
      <c r="L216" s="34"/>
      <c r="M216" s="32"/>
      <c r="N216" s="34"/>
      <c r="O216" s="34"/>
      <c r="P216" s="34"/>
    </row>
    <row r="217" spans="2:16" x14ac:dyDescent="0.3">
      <c r="B217" s="33"/>
      <c r="C217" s="34"/>
      <c r="D217" s="39"/>
      <c r="E217" s="39"/>
      <c r="F217" s="39"/>
      <c r="G217" s="34"/>
      <c r="H217" s="32"/>
      <c r="I217" s="34"/>
      <c r="J217" s="34"/>
      <c r="K217" s="35"/>
      <c r="L217" s="34"/>
      <c r="M217" s="32"/>
      <c r="N217" s="34"/>
      <c r="O217" s="34"/>
      <c r="P217" s="34"/>
    </row>
    <row r="218" spans="2:16" x14ac:dyDescent="0.3">
      <c r="B218" s="33"/>
      <c r="C218" s="34"/>
      <c r="D218" s="39"/>
      <c r="E218" s="39"/>
      <c r="F218" s="39"/>
      <c r="G218" s="34"/>
      <c r="H218" s="32"/>
      <c r="I218" s="34"/>
      <c r="J218" s="34"/>
      <c r="K218" s="35"/>
      <c r="L218" s="34"/>
      <c r="M218" s="32"/>
      <c r="N218" s="34"/>
      <c r="O218" s="34"/>
      <c r="P218" s="34"/>
    </row>
    <row r="219" spans="2:16" x14ac:dyDescent="0.3">
      <c r="B219" s="33"/>
      <c r="C219" s="34"/>
      <c r="D219" s="39"/>
      <c r="E219" s="39"/>
      <c r="F219" s="39"/>
      <c r="G219" s="34"/>
      <c r="H219" s="32"/>
      <c r="I219" s="34"/>
      <c r="J219" s="34"/>
      <c r="K219" s="35"/>
      <c r="L219" s="34"/>
      <c r="M219" s="32"/>
      <c r="N219" s="34"/>
      <c r="O219" s="34"/>
      <c r="P219" s="34"/>
    </row>
    <row r="220" spans="2:16" x14ac:dyDescent="0.3">
      <c r="B220" s="33"/>
      <c r="C220" s="34"/>
      <c r="D220" s="39"/>
      <c r="E220" s="39"/>
      <c r="F220" s="39"/>
      <c r="G220" s="34"/>
      <c r="H220" s="32"/>
      <c r="I220" s="34"/>
      <c r="J220" s="34"/>
      <c r="K220" s="35"/>
      <c r="L220" s="34"/>
      <c r="M220" s="32"/>
      <c r="N220" s="34"/>
      <c r="O220" s="34"/>
      <c r="P220" s="34"/>
    </row>
    <row r="221" spans="2:16" x14ac:dyDescent="0.3">
      <c r="B221" s="33"/>
      <c r="C221" s="34"/>
      <c r="D221" s="39"/>
      <c r="E221" s="39"/>
      <c r="F221" s="39"/>
      <c r="G221" s="34"/>
      <c r="H221" s="32"/>
      <c r="I221" s="34"/>
      <c r="J221" s="34"/>
      <c r="K221" s="35"/>
      <c r="L221" s="34"/>
      <c r="M221" s="32"/>
      <c r="N221" s="34"/>
      <c r="O221" s="34"/>
      <c r="P221" s="34"/>
    </row>
    <row r="222" spans="2:16" x14ac:dyDescent="0.3">
      <c r="B222" s="33"/>
      <c r="C222" s="34"/>
      <c r="D222" s="39"/>
      <c r="E222" s="39"/>
      <c r="F222" s="39"/>
      <c r="G222" s="34"/>
      <c r="H222" s="32"/>
      <c r="I222" s="34"/>
      <c r="J222" s="34"/>
      <c r="K222" s="35"/>
      <c r="L222" s="34"/>
      <c r="M222" s="32"/>
      <c r="N222" s="34"/>
      <c r="O222" s="34"/>
      <c r="P222" s="34"/>
    </row>
    <row r="223" spans="2:16" x14ac:dyDescent="0.3">
      <c r="B223" s="33"/>
      <c r="C223" s="34"/>
      <c r="D223" s="39"/>
      <c r="E223" s="39"/>
      <c r="F223" s="39"/>
      <c r="G223" s="34"/>
      <c r="H223" s="32"/>
      <c r="I223" s="34"/>
      <c r="J223" s="34"/>
      <c r="K223" s="35"/>
      <c r="L223" s="34"/>
      <c r="M223" s="32"/>
      <c r="N223" s="34"/>
      <c r="O223" s="34"/>
      <c r="P223" s="34"/>
    </row>
    <row r="224" spans="2:16" x14ac:dyDescent="0.3">
      <c r="B224" s="33"/>
      <c r="C224" s="34"/>
      <c r="D224" s="39"/>
      <c r="E224" s="39"/>
      <c r="F224" s="39"/>
      <c r="G224" s="34"/>
      <c r="H224" s="32"/>
      <c r="I224" s="34"/>
      <c r="J224" s="34"/>
      <c r="K224" s="35"/>
      <c r="L224" s="34"/>
      <c r="M224" s="32"/>
      <c r="N224" s="34"/>
      <c r="O224" s="34"/>
      <c r="P224" s="34"/>
    </row>
    <row r="225" spans="2:16" x14ac:dyDescent="0.3">
      <c r="B225" s="33"/>
      <c r="C225" s="34"/>
      <c r="D225" s="39"/>
      <c r="E225" s="39"/>
      <c r="F225" s="39"/>
      <c r="G225" s="34"/>
      <c r="H225" s="32"/>
      <c r="I225" s="34"/>
      <c r="J225" s="34"/>
      <c r="K225" s="35"/>
      <c r="L225" s="34"/>
      <c r="M225" s="32"/>
      <c r="N225" s="34"/>
      <c r="O225" s="34"/>
      <c r="P225" s="34"/>
    </row>
    <row r="226" spans="2:16" x14ac:dyDescent="0.3">
      <c r="B226" s="33"/>
      <c r="C226" s="34"/>
      <c r="D226" s="39"/>
      <c r="E226" s="39"/>
      <c r="F226" s="39"/>
      <c r="G226" s="34"/>
      <c r="H226" s="32"/>
      <c r="I226" s="34"/>
      <c r="J226" s="34"/>
      <c r="K226" s="35"/>
      <c r="L226" s="34"/>
      <c r="M226" s="32"/>
      <c r="N226" s="34"/>
      <c r="O226" s="34"/>
      <c r="P226" s="34"/>
    </row>
    <row r="227" spans="2:16" x14ac:dyDescent="0.3">
      <c r="B227" s="33"/>
      <c r="C227" s="34"/>
      <c r="D227" s="39"/>
      <c r="E227" s="39"/>
      <c r="F227" s="39"/>
      <c r="G227" s="34"/>
      <c r="H227" s="32"/>
      <c r="I227" s="34"/>
      <c r="J227" s="34"/>
      <c r="K227" s="35"/>
      <c r="L227" s="34"/>
      <c r="M227" s="32"/>
      <c r="N227" s="34"/>
      <c r="O227" s="34"/>
      <c r="P227" s="34"/>
    </row>
    <row r="228" spans="2:16" x14ac:dyDescent="0.3">
      <c r="B228" s="33"/>
      <c r="C228" s="34"/>
      <c r="D228" s="39"/>
      <c r="E228" s="39"/>
      <c r="F228" s="39"/>
      <c r="G228" s="34"/>
      <c r="H228" s="32"/>
      <c r="I228" s="34"/>
      <c r="J228" s="34"/>
      <c r="K228" s="35"/>
      <c r="L228" s="34"/>
      <c r="M228" s="32"/>
      <c r="N228" s="34"/>
      <c r="O228" s="34"/>
      <c r="P228" s="34"/>
    </row>
    <row r="229" spans="2:16" x14ac:dyDescent="0.3">
      <c r="B229" s="33"/>
      <c r="C229" s="34"/>
      <c r="D229" s="39"/>
      <c r="E229" s="39"/>
      <c r="F229" s="39"/>
      <c r="G229" s="34"/>
      <c r="H229" s="32"/>
      <c r="I229" s="34"/>
      <c r="J229" s="34"/>
      <c r="K229" s="35"/>
      <c r="L229" s="34"/>
      <c r="M229" s="32"/>
      <c r="N229" s="34"/>
      <c r="O229" s="34"/>
      <c r="P229" s="34"/>
    </row>
    <row r="230" spans="2:16" x14ac:dyDescent="0.3">
      <c r="B230" s="33"/>
      <c r="C230" s="34"/>
      <c r="D230" s="39"/>
      <c r="E230" s="39"/>
      <c r="F230" s="39"/>
      <c r="G230" s="34"/>
      <c r="H230" s="32"/>
      <c r="I230" s="34"/>
      <c r="J230" s="34"/>
      <c r="K230" s="35"/>
      <c r="L230" s="34"/>
      <c r="M230" s="32"/>
      <c r="N230" s="34"/>
      <c r="O230" s="34"/>
      <c r="P230" s="34"/>
    </row>
    <row r="231" spans="2:16" x14ac:dyDescent="0.3">
      <c r="B231" s="33"/>
      <c r="C231" s="34"/>
      <c r="D231" s="39"/>
      <c r="E231" s="39"/>
      <c r="F231" s="39"/>
      <c r="G231" s="34"/>
      <c r="H231" s="32"/>
      <c r="I231" s="34"/>
      <c r="J231" s="34"/>
      <c r="K231" s="35"/>
      <c r="L231" s="34"/>
      <c r="M231" s="32"/>
      <c r="N231" s="34"/>
      <c r="O231" s="34"/>
      <c r="P231" s="34"/>
    </row>
    <row r="232" spans="2:16" x14ac:dyDescent="0.3">
      <c r="B232" s="33"/>
      <c r="C232" s="34"/>
      <c r="D232" s="39"/>
      <c r="E232" s="39"/>
      <c r="F232" s="39"/>
      <c r="G232" s="34"/>
      <c r="H232" s="32"/>
      <c r="I232" s="34"/>
      <c r="J232" s="34"/>
      <c r="K232" s="35"/>
      <c r="L232" s="34"/>
      <c r="M232" s="32"/>
      <c r="N232" s="34"/>
      <c r="O232" s="34"/>
      <c r="P232" s="34"/>
    </row>
    <row r="233" spans="2:16" x14ac:dyDescent="0.3">
      <c r="B233" s="33"/>
      <c r="C233" s="34"/>
      <c r="D233" s="39"/>
      <c r="E233" s="39"/>
      <c r="F233" s="39"/>
      <c r="G233" s="34"/>
      <c r="H233" s="32"/>
      <c r="I233" s="34"/>
      <c r="J233" s="34"/>
      <c r="K233" s="35"/>
      <c r="L233" s="34"/>
      <c r="M233" s="32"/>
      <c r="N233" s="34"/>
      <c r="O233" s="34"/>
      <c r="P233" s="34"/>
    </row>
    <row r="234" spans="2:16" x14ac:dyDescent="0.3">
      <c r="B234" s="33"/>
      <c r="C234" s="34"/>
      <c r="D234" s="39"/>
      <c r="E234" s="39"/>
      <c r="F234" s="39"/>
      <c r="G234" s="34"/>
      <c r="H234" s="32"/>
      <c r="I234" s="34"/>
      <c r="J234" s="34"/>
      <c r="K234" s="35"/>
      <c r="L234" s="34"/>
      <c r="M234" s="32"/>
      <c r="N234" s="34"/>
      <c r="O234" s="34"/>
      <c r="P234" s="34"/>
    </row>
    <row r="235" spans="2:16" x14ac:dyDescent="0.3">
      <c r="B235" s="33"/>
      <c r="C235" s="34"/>
      <c r="D235" s="39"/>
      <c r="E235" s="39"/>
      <c r="F235" s="39"/>
      <c r="G235" s="34"/>
      <c r="H235" s="32"/>
      <c r="I235" s="34"/>
      <c r="J235" s="34"/>
      <c r="K235" s="35"/>
      <c r="L235" s="34"/>
      <c r="M235" s="32"/>
      <c r="N235" s="34"/>
      <c r="O235" s="34"/>
      <c r="P235" s="34"/>
    </row>
    <row r="236" spans="2:16" x14ac:dyDescent="0.3">
      <c r="B236" s="33"/>
      <c r="C236" s="34"/>
      <c r="D236" s="39"/>
      <c r="E236" s="39"/>
      <c r="F236" s="39"/>
      <c r="G236" s="34"/>
      <c r="H236" s="32"/>
      <c r="I236" s="34"/>
      <c r="J236" s="34"/>
      <c r="K236" s="35"/>
      <c r="L236" s="34"/>
      <c r="M236" s="32"/>
      <c r="N236" s="34"/>
      <c r="O236" s="34"/>
      <c r="P236" s="34"/>
    </row>
    <row r="237" spans="2:16" x14ac:dyDescent="0.3">
      <c r="B237" s="33"/>
      <c r="C237" s="34"/>
      <c r="D237" s="39"/>
      <c r="E237" s="39"/>
      <c r="F237" s="39"/>
      <c r="G237" s="34"/>
      <c r="H237" s="32"/>
      <c r="I237" s="34"/>
      <c r="J237" s="34"/>
      <c r="K237" s="35"/>
      <c r="L237" s="34"/>
      <c r="M237" s="32"/>
      <c r="N237" s="34"/>
      <c r="O237" s="34"/>
      <c r="P237" s="34"/>
    </row>
    <row r="238" spans="2:16" x14ac:dyDescent="0.3">
      <c r="B238" s="33"/>
      <c r="C238" s="34"/>
      <c r="D238" s="39"/>
      <c r="E238" s="39"/>
      <c r="F238" s="39"/>
      <c r="G238" s="34"/>
      <c r="H238" s="32"/>
      <c r="I238" s="34"/>
      <c r="J238" s="34"/>
      <c r="K238" s="35"/>
      <c r="L238" s="34"/>
      <c r="M238" s="32"/>
      <c r="N238" s="34"/>
      <c r="O238" s="34"/>
      <c r="P238" s="34"/>
    </row>
    <row r="239" spans="2:16" x14ac:dyDescent="0.3">
      <c r="B239" s="33"/>
      <c r="C239" s="34"/>
      <c r="D239" s="39"/>
      <c r="E239" s="39"/>
      <c r="F239" s="39"/>
      <c r="G239" s="34"/>
      <c r="H239" s="32"/>
      <c r="I239" s="34"/>
      <c r="J239" s="34"/>
      <c r="K239" s="35"/>
      <c r="L239" s="34"/>
      <c r="M239" s="32"/>
      <c r="N239" s="34"/>
      <c r="O239" s="34"/>
      <c r="P239" s="34"/>
    </row>
    <row r="240" spans="2:16" x14ac:dyDescent="0.3">
      <c r="B240" s="33"/>
      <c r="C240" s="34"/>
      <c r="D240" s="39"/>
      <c r="E240" s="39"/>
      <c r="F240" s="39"/>
      <c r="G240" s="34"/>
      <c r="H240" s="32"/>
      <c r="I240" s="34"/>
      <c r="J240" s="34"/>
      <c r="K240" s="35"/>
      <c r="L240" s="34"/>
      <c r="M240" s="32"/>
      <c r="N240" s="34"/>
      <c r="O240" s="34"/>
      <c r="P240" s="34"/>
    </row>
    <row r="241" spans="2:16" x14ac:dyDescent="0.3">
      <c r="B241" s="33"/>
      <c r="C241" s="34"/>
      <c r="D241" s="39"/>
      <c r="E241" s="39"/>
      <c r="F241" s="39"/>
      <c r="G241" s="34"/>
      <c r="H241" s="32"/>
      <c r="I241" s="34"/>
      <c r="J241" s="34"/>
      <c r="K241" s="35"/>
      <c r="L241" s="34"/>
      <c r="M241" s="32"/>
      <c r="N241" s="34"/>
      <c r="O241" s="34"/>
      <c r="P241" s="34"/>
    </row>
    <row r="242" spans="2:16" x14ac:dyDescent="0.3">
      <c r="B242" s="33"/>
      <c r="C242" s="34"/>
      <c r="D242" s="39"/>
      <c r="E242" s="39"/>
      <c r="F242" s="39"/>
      <c r="G242" s="34"/>
      <c r="H242" s="32"/>
      <c r="I242" s="34"/>
      <c r="J242" s="34"/>
      <c r="K242" s="35"/>
      <c r="L242" s="34"/>
      <c r="M242" s="32"/>
      <c r="N242" s="34"/>
      <c r="O242" s="34"/>
      <c r="P242" s="34"/>
    </row>
    <row r="243" spans="2:16" x14ac:dyDescent="0.3">
      <c r="B243" s="33"/>
      <c r="C243" s="34"/>
      <c r="D243" s="39"/>
      <c r="E243" s="39"/>
      <c r="F243" s="39"/>
      <c r="G243" s="34"/>
      <c r="H243" s="32"/>
      <c r="I243" s="34"/>
      <c r="J243" s="34"/>
      <c r="K243" s="35"/>
      <c r="L243" s="34"/>
      <c r="M243" s="32"/>
      <c r="N243" s="34"/>
      <c r="O243" s="34"/>
      <c r="P243" s="34"/>
    </row>
    <row r="244" spans="2:16" x14ac:dyDescent="0.3">
      <c r="B244" s="33"/>
      <c r="C244" s="34"/>
      <c r="D244" s="39"/>
      <c r="E244" s="39"/>
      <c r="F244" s="39"/>
      <c r="G244" s="34"/>
      <c r="H244" s="32"/>
      <c r="I244" s="34"/>
      <c r="J244" s="34"/>
      <c r="K244" s="35"/>
      <c r="L244" s="34"/>
      <c r="M244" s="32"/>
      <c r="N244" s="34"/>
      <c r="O244" s="34"/>
      <c r="P244" s="34"/>
    </row>
    <row r="245" spans="2:16" x14ac:dyDescent="0.3">
      <c r="B245" s="33"/>
      <c r="C245" s="34"/>
      <c r="D245" s="39"/>
      <c r="E245" s="39"/>
      <c r="F245" s="39"/>
      <c r="G245" s="34"/>
      <c r="H245" s="32"/>
      <c r="I245" s="34"/>
      <c r="J245" s="34"/>
      <c r="K245" s="35"/>
      <c r="L245" s="34"/>
      <c r="M245" s="32"/>
      <c r="N245" s="34"/>
      <c r="O245" s="34"/>
      <c r="P245" s="34"/>
    </row>
    <row r="246" spans="2:16" x14ac:dyDescent="0.3">
      <c r="B246" s="33"/>
      <c r="C246" s="34"/>
      <c r="D246" s="39"/>
      <c r="E246" s="39"/>
      <c r="F246" s="39"/>
      <c r="G246" s="34"/>
      <c r="H246" s="32"/>
      <c r="I246" s="34"/>
      <c r="J246" s="34"/>
      <c r="K246" s="35"/>
      <c r="L246" s="34"/>
      <c r="M246" s="32"/>
      <c r="N246" s="34"/>
      <c r="O246" s="34"/>
      <c r="P246" s="34"/>
    </row>
    <row r="247" spans="2:16" x14ac:dyDescent="0.3">
      <c r="B247" s="33"/>
      <c r="C247" s="34"/>
      <c r="D247" s="39"/>
      <c r="E247" s="39"/>
      <c r="F247" s="39"/>
      <c r="G247" s="34"/>
      <c r="H247" s="32"/>
      <c r="I247" s="34"/>
      <c r="J247" s="34"/>
      <c r="K247" s="35"/>
      <c r="L247" s="34"/>
      <c r="M247" s="32"/>
      <c r="N247" s="34"/>
      <c r="O247" s="34"/>
      <c r="P247" s="34"/>
    </row>
    <row r="248" spans="2:16" x14ac:dyDescent="0.3">
      <c r="B248" s="33"/>
      <c r="C248" s="34"/>
      <c r="D248" s="39"/>
      <c r="E248" s="39"/>
      <c r="F248" s="39"/>
      <c r="G248" s="34"/>
      <c r="H248" s="32"/>
      <c r="I248" s="34"/>
      <c r="J248" s="34"/>
      <c r="K248" s="35"/>
      <c r="L248" s="34"/>
      <c r="M248" s="32"/>
      <c r="N248" s="34"/>
      <c r="O248" s="34"/>
      <c r="P248" s="34"/>
    </row>
    <row r="249" spans="2:16" x14ac:dyDescent="0.3">
      <c r="B249" s="33"/>
      <c r="C249" s="34"/>
      <c r="D249" s="39"/>
      <c r="E249" s="39"/>
      <c r="F249" s="39"/>
      <c r="G249" s="34"/>
      <c r="H249" s="32"/>
      <c r="I249" s="34"/>
      <c r="J249" s="34"/>
      <c r="K249" s="35"/>
      <c r="L249" s="34"/>
      <c r="M249" s="32"/>
      <c r="N249" s="34"/>
      <c r="O249" s="34"/>
      <c r="P249" s="34"/>
    </row>
    <row r="250" spans="2:16" x14ac:dyDescent="0.3">
      <c r="B250" s="33"/>
      <c r="C250" s="34"/>
      <c r="D250" s="39"/>
      <c r="E250" s="39"/>
      <c r="F250" s="39"/>
      <c r="G250" s="34"/>
      <c r="H250" s="32"/>
      <c r="I250" s="34"/>
      <c r="J250" s="34"/>
      <c r="K250" s="35"/>
      <c r="L250" s="34"/>
      <c r="M250" s="32"/>
      <c r="N250" s="34"/>
      <c r="O250" s="34"/>
      <c r="P250" s="34"/>
    </row>
    <row r="251" spans="2:16" x14ac:dyDescent="0.3">
      <c r="B251" s="33"/>
      <c r="C251" s="34"/>
      <c r="D251" s="39"/>
      <c r="E251" s="39"/>
      <c r="F251" s="39"/>
      <c r="G251" s="34"/>
      <c r="H251" s="32"/>
      <c r="I251" s="34"/>
      <c r="J251" s="34"/>
      <c r="K251" s="35"/>
      <c r="L251" s="34"/>
      <c r="M251" s="32"/>
      <c r="N251" s="34"/>
      <c r="O251" s="34"/>
      <c r="P251" s="34"/>
    </row>
    <row r="252" spans="2:16" x14ac:dyDescent="0.3">
      <c r="B252" s="33"/>
      <c r="C252" s="34"/>
      <c r="D252" s="39"/>
      <c r="E252" s="39"/>
      <c r="F252" s="39"/>
      <c r="G252" s="34"/>
      <c r="H252" s="34"/>
      <c r="I252" s="34"/>
      <c r="J252" s="34"/>
      <c r="K252" s="35"/>
      <c r="L252" s="34"/>
      <c r="M252" s="32"/>
      <c r="N252" s="34"/>
      <c r="O252" s="34"/>
      <c r="P252" s="34"/>
    </row>
    <row r="253" spans="2:16" x14ac:dyDescent="0.3">
      <c r="B253" s="33"/>
      <c r="C253" s="34"/>
      <c r="D253" s="39"/>
      <c r="E253" s="39"/>
      <c r="F253" s="39"/>
      <c r="G253" s="34"/>
      <c r="H253" s="34"/>
      <c r="I253" s="34"/>
      <c r="J253" s="34"/>
      <c r="K253" s="35"/>
      <c r="L253" s="34"/>
      <c r="M253" s="32"/>
      <c r="N253" s="34"/>
      <c r="O253" s="34"/>
      <c r="P253" s="34"/>
    </row>
    <row r="254" spans="2:16" x14ac:dyDescent="0.3">
      <c r="B254" s="33"/>
      <c r="C254" s="34"/>
      <c r="D254" s="39"/>
      <c r="E254" s="39"/>
      <c r="F254" s="39"/>
      <c r="G254" s="34"/>
      <c r="H254" s="34"/>
      <c r="I254" s="34"/>
      <c r="J254" s="34"/>
      <c r="K254" s="35"/>
      <c r="L254" s="34"/>
      <c r="M254" s="32"/>
      <c r="N254" s="34"/>
      <c r="O254" s="34"/>
      <c r="P254" s="34"/>
    </row>
    <row r="255" spans="2:16" x14ac:dyDescent="0.3">
      <c r="B255" s="33"/>
      <c r="C255" s="34"/>
      <c r="D255" s="39"/>
      <c r="E255" s="39"/>
      <c r="F255" s="39"/>
      <c r="G255" s="34"/>
      <c r="H255" s="34"/>
      <c r="I255" s="34"/>
      <c r="J255" s="34"/>
      <c r="K255" s="35"/>
      <c r="L255" s="34"/>
      <c r="M255" s="32"/>
      <c r="N255" s="34"/>
      <c r="O255" s="34"/>
      <c r="P255" s="34"/>
    </row>
    <row r="256" spans="2:16" x14ac:dyDescent="0.3">
      <c r="B256" s="33"/>
      <c r="C256" s="34"/>
      <c r="D256" s="39"/>
      <c r="E256" s="39"/>
      <c r="F256" s="39"/>
      <c r="G256" s="34"/>
      <c r="H256" s="34"/>
      <c r="I256" s="34"/>
      <c r="J256" s="34"/>
      <c r="K256" s="35"/>
      <c r="L256" s="34"/>
      <c r="M256" s="32"/>
      <c r="N256" s="34"/>
      <c r="O256" s="34"/>
      <c r="P256" s="34"/>
    </row>
    <row r="257" spans="2:16" x14ac:dyDescent="0.3">
      <c r="B257" s="33"/>
      <c r="C257" s="34"/>
      <c r="D257" s="39"/>
      <c r="E257" s="39"/>
      <c r="F257" s="39"/>
      <c r="G257" s="34"/>
      <c r="H257" s="34"/>
      <c r="I257" s="34"/>
      <c r="J257" s="34"/>
      <c r="K257" s="35"/>
      <c r="L257" s="34"/>
      <c r="M257" s="32"/>
      <c r="N257" s="34"/>
      <c r="O257" s="34"/>
      <c r="P257" s="34"/>
    </row>
    <row r="258" spans="2:16" x14ac:dyDescent="0.3">
      <c r="B258" s="33"/>
      <c r="C258" s="34"/>
      <c r="D258" s="39"/>
      <c r="E258" s="39"/>
      <c r="F258" s="39"/>
      <c r="G258" s="34"/>
      <c r="H258" s="34"/>
      <c r="I258" s="34"/>
      <c r="J258" s="34"/>
      <c r="K258" s="35"/>
      <c r="L258" s="34"/>
      <c r="M258" s="32"/>
      <c r="N258" s="34"/>
      <c r="O258" s="34"/>
      <c r="P258" s="34"/>
    </row>
    <row r="259" spans="2:16" x14ac:dyDescent="0.3">
      <c r="B259" s="33"/>
      <c r="C259" s="34"/>
      <c r="D259" s="39"/>
      <c r="E259" s="39"/>
      <c r="F259" s="39"/>
      <c r="G259" s="34"/>
      <c r="H259" s="34"/>
      <c r="I259" s="34"/>
      <c r="J259" s="34"/>
      <c r="K259" s="35"/>
      <c r="L259" s="34"/>
      <c r="M259" s="32"/>
      <c r="N259" s="34"/>
      <c r="O259" s="34"/>
      <c r="P259" s="34"/>
    </row>
    <row r="260" spans="2:16" x14ac:dyDescent="0.3">
      <c r="B260" s="33"/>
      <c r="C260" s="34"/>
      <c r="D260" s="39"/>
      <c r="E260" s="39"/>
      <c r="F260" s="39"/>
      <c r="G260" s="34"/>
      <c r="H260" s="34"/>
      <c r="I260" s="34"/>
      <c r="J260" s="34"/>
      <c r="K260" s="35"/>
      <c r="L260" s="34"/>
      <c r="M260" s="32"/>
      <c r="N260" s="34"/>
      <c r="O260" s="34"/>
      <c r="P260" s="34"/>
    </row>
    <row r="261" spans="2:16" x14ac:dyDescent="0.3">
      <c r="B261" s="33"/>
      <c r="C261" s="34"/>
      <c r="D261" s="39"/>
      <c r="E261" s="39"/>
      <c r="F261" s="39"/>
      <c r="G261" s="34"/>
      <c r="H261" s="34"/>
      <c r="I261" s="34"/>
      <c r="J261" s="34"/>
      <c r="K261" s="35"/>
      <c r="L261" s="34"/>
      <c r="M261" s="32"/>
      <c r="N261" s="34"/>
      <c r="O261" s="34"/>
      <c r="P261" s="34"/>
    </row>
    <row r="262" spans="2:16" x14ac:dyDescent="0.3">
      <c r="B262" s="33"/>
      <c r="C262" s="34"/>
      <c r="D262" s="39"/>
      <c r="E262" s="39"/>
      <c r="F262" s="39"/>
      <c r="G262" s="34"/>
      <c r="H262" s="34"/>
      <c r="I262" s="34"/>
      <c r="J262" s="34"/>
      <c r="K262" s="35"/>
      <c r="L262" s="34"/>
      <c r="M262" s="32"/>
      <c r="N262" s="34"/>
      <c r="O262" s="34"/>
      <c r="P262" s="34"/>
    </row>
    <row r="263" spans="2:16" x14ac:dyDescent="0.3">
      <c r="B263" s="33"/>
      <c r="C263" s="34"/>
      <c r="D263" s="39"/>
      <c r="E263" s="39"/>
      <c r="F263" s="39"/>
      <c r="G263" s="34"/>
      <c r="H263" s="34"/>
      <c r="I263" s="34"/>
      <c r="J263" s="34"/>
      <c r="K263" s="35"/>
      <c r="L263" s="34"/>
      <c r="M263" s="32"/>
      <c r="N263" s="34"/>
      <c r="O263" s="34"/>
      <c r="P263" s="34"/>
    </row>
    <row r="264" spans="2:16" x14ac:dyDescent="0.3">
      <c r="B264" s="33"/>
      <c r="C264" s="34"/>
      <c r="D264" s="39"/>
      <c r="E264" s="39"/>
      <c r="F264" s="39"/>
      <c r="G264" s="34"/>
      <c r="H264" s="34"/>
      <c r="I264" s="34"/>
      <c r="J264" s="34"/>
      <c r="K264" s="35"/>
      <c r="L264" s="34"/>
      <c r="M264" s="32"/>
      <c r="N264" s="34"/>
      <c r="O264" s="34"/>
      <c r="P264" s="34"/>
    </row>
    <row r="265" spans="2:16" x14ac:dyDescent="0.3">
      <c r="B265" s="33"/>
      <c r="C265" s="34"/>
      <c r="D265" s="34"/>
      <c r="E265" s="34"/>
      <c r="F265" s="34"/>
      <c r="G265" s="34"/>
      <c r="H265" s="34"/>
      <c r="I265" s="34"/>
      <c r="J265" s="34"/>
      <c r="K265" s="35"/>
      <c r="L265" s="34"/>
      <c r="M265" s="32"/>
      <c r="N265" s="34"/>
      <c r="O265" s="34"/>
      <c r="P265" s="34"/>
    </row>
    <row r="266" spans="2:16" x14ac:dyDescent="0.3">
      <c r="B266" s="33"/>
      <c r="C266" s="34"/>
      <c r="D266" s="34"/>
      <c r="E266" s="34"/>
      <c r="F266" s="34"/>
      <c r="G266" s="34"/>
      <c r="H266" s="34"/>
      <c r="I266" s="34"/>
      <c r="J266" s="34"/>
      <c r="K266" s="35"/>
      <c r="L266" s="34"/>
      <c r="M266" s="32"/>
      <c r="N266" s="34"/>
      <c r="O266" s="34"/>
      <c r="P266" s="34"/>
    </row>
    <row r="267" spans="2:16" x14ac:dyDescent="0.3">
      <c r="B267" s="33"/>
      <c r="C267" s="34"/>
      <c r="D267" s="34"/>
      <c r="E267" s="34"/>
      <c r="F267" s="34"/>
      <c r="G267" s="34"/>
      <c r="H267" s="34"/>
      <c r="I267" s="34"/>
      <c r="J267" s="34"/>
      <c r="K267" s="35"/>
      <c r="L267" s="34"/>
      <c r="M267" s="32"/>
      <c r="N267" s="34"/>
      <c r="O267" s="34"/>
      <c r="P267" s="34"/>
    </row>
    <row r="268" spans="2:16" x14ac:dyDescent="0.3">
      <c r="B268" s="33"/>
      <c r="C268" s="34"/>
      <c r="D268" s="34"/>
      <c r="E268" s="34"/>
      <c r="F268" s="34"/>
      <c r="G268" s="34"/>
      <c r="H268" s="34"/>
      <c r="I268" s="34"/>
      <c r="J268" s="34"/>
      <c r="K268" s="35"/>
      <c r="L268" s="34"/>
      <c r="M268" s="32"/>
      <c r="N268" s="34"/>
      <c r="O268" s="34"/>
      <c r="P268" s="34"/>
    </row>
    <row r="269" spans="2:16" x14ac:dyDescent="0.3">
      <c r="B269" s="33"/>
      <c r="C269" s="34"/>
      <c r="D269" s="34"/>
      <c r="E269" s="34"/>
      <c r="F269" s="34"/>
      <c r="G269" s="34"/>
      <c r="H269" s="34"/>
      <c r="I269" s="34"/>
      <c r="J269" s="34"/>
      <c r="K269" s="35"/>
      <c r="L269" s="34"/>
      <c r="M269" s="32"/>
      <c r="N269" s="34"/>
      <c r="O269" s="34"/>
      <c r="P269" s="34"/>
    </row>
    <row r="270" spans="2:16" x14ac:dyDescent="0.3">
      <c r="B270" s="33"/>
      <c r="C270" s="34"/>
      <c r="D270" s="34"/>
      <c r="E270" s="34"/>
      <c r="F270" s="34"/>
      <c r="G270" s="34"/>
      <c r="H270" s="34"/>
      <c r="I270" s="34"/>
      <c r="J270" s="34"/>
      <c r="K270" s="35"/>
      <c r="L270" s="34"/>
      <c r="M270" s="32"/>
      <c r="N270" s="34"/>
      <c r="O270" s="34"/>
      <c r="P270" s="34"/>
    </row>
    <row r="271" spans="2:16" x14ac:dyDescent="0.3">
      <c r="B271" s="33"/>
      <c r="C271" s="34"/>
      <c r="D271" s="34"/>
      <c r="E271" s="34"/>
      <c r="F271" s="34"/>
      <c r="G271" s="34"/>
      <c r="H271" s="34"/>
      <c r="I271" s="34"/>
      <c r="J271" s="34"/>
      <c r="K271" s="35"/>
      <c r="L271" s="34"/>
      <c r="M271" s="32"/>
      <c r="N271" s="34"/>
      <c r="O271" s="34"/>
      <c r="P271" s="34"/>
    </row>
    <row r="272" spans="2:16" x14ac:dyDescent="0.3">
      <c r="B272" s="33"/>
      <c r="C272" s="34"/>
      <c r="D272" s="34"/>
      <c r="E272" s="34"/>
      <c r="F272" s="34"/>
      <c r="G272" s="34"/>
      <c r="H272" s="34"/>
      <c r="I272" s="34"/>
      <c r="J272" s="34"/>
      <c r="K272" s="35"/>
      <c r="L272" s="34"/>
      <c r="M272" s="32"/>
      <c r="N272" s="34"/>
      <c r="O272" s="34"/>
      <c r="P272" s="34"/>
    </row>
    <row r="273" spans="2:16" x14ac:dyDescent="0.3">
      <c r="B273" s="33"/>
      <c r="C273" s="34"/>
      <c r="D273" s="34"/>
      <c r="E273" s="34"/>
      <c r="F273" s="34"/>
      <c r="G273" s="34"/>
      <c r="H273" s="34"/>
      <c r="I273" s="34"/>
      <c r="J273" s="34"/>
      <c r="K273" s="35"/>
      <c r="L273" s="34"/>
      <c r="M273" s="32"/>
      <c r="N273" s="34"/>
      <c r="O273" s="34"/>
      <c r="P273" s="34"/>
    </row>
    <row r="274" spans="2:16" x14ac:dyDescent="0.3">
      <c r="B274" s="33"/>
      <c r="C274" s="34"/>
      <c r="D274" s="34"/>
      <c r="E274" s="34"/>
      <c r="F274" s="34"/>
      <c r="G274" s="34"/>
      <c r="H274" s="34"/>
      <c r="I274" s="34"/>
      <c r="J274" s="34"/>
      <c r="K274" s="35"/>
      <c r="L274" s="34"/>
      <c r="M274" s="32"/>
      <c r="N274" s="34"/>
      <c r="O274" s="34"/>
      <c r="P274" s="34"/>
    </row>
    <row r="275" spans="2:16" x14ac:dyDescent="0.3">
      <c r="B275" s="33"/>
      <c r="C275" s="34"/>
      <c r="D275" s="34"/>
      <c r="E275" s="34"/>
      <c r="F275" s="34"/>
      <c r="G275" s="34"/>
      <c r="H275" s="34"/>
      <c r="I275" s="34"/>
      <c r="J275" s="34"/>
      <c r="K275" s="35"/>
      <c r="L275" s="34"/>
      <c r="M275" s="32"/>
      <c r="N275" s="34"/>
      <c r="O275" s="34"/>
      <c r="P275" s="34"/>
    </row>
    <row r="276" spans="2:16" x14ac:dyDescent="0.3">
      <c r="B276" s="33"/>
      <c r="C276" s="34"/>
      <c r="D276" s="34"/>
      <c r="E276" s="34"/>
      <c r="F276" s="34"/>
      <c r="G276" s="34"/>
      <c r="H276" s="34"/>
      <c r="I276" s="34"/>
      <c r="J276" s="34"/>
      <c r="K276" s="35"/>
      <c r="L276" s="34"/>
      <c r="M276" s="32"/>
      <c r="N276" s="34"/>
      <c r="O276" s="34"/>
      <c r="P276" s="34"/>
    </row>
    <row r="277" spans="2:16" x14ac:dyDescent="0.3">
      <c r="B277" s="33"/>
      <c r="C277" s="34"/>
      <c r="D277" s="34"/>
      <c r="E277" s="34"/>
      <c r="F277" s="34"/>
      <c r="G277" s="34"/>
      <c r="H277" s="34"/>
      <c r="I277" s="34"/>
      <c r="J277" s="34"/>
      <c r="K277" s="35"/>
      <c r="L277" s="34"/>
      <c r="M277" s="32"/>
      <c r="N277" s="34"/>
      <c r="O277" s="34"/>
      <c r="P277" s="34"/>
    </row>
    <row r="278" spans="2:16" x14ac:dyDescent="0.3">
      <c r="B278" s="33"/>
      <c r="C278" s="34"/>
      <c r="D278" s="34"/>
      <c r="E278" s="34"/>
      <c r="F278" s="34"/>
      <c r="G278" s="34"/>
      <c r="H278" s="34"/>
      <c r="I278" s="34"/>
      <c r="J278" s="34"/>
      <c r="K278" s="35"/>
      <c r="L278" s="34"/>
      <c r="M278" s="32"/>
      <c r="N278" s="34"/>
      <c r="O278" s="34"/>
      <c r="P278" s="34"/>
    </row>
    <row r="279" spans="2:16" x14ac:dyDescent="0.3">
      <c r="B279" s="33"/>
      <c r="C279" s="34"/>
      <c r="D279" s="34"/>
      <c r="E279" s="34"/>
      <c r="F279" s="34"/>
      <c r="G279" s="34"/>
      <c r="H279" s="34"/>
      <c r="I279" s="34"/>
      <c r="J279" s="34"/>
      <c r="K279" s="35"/>
      <c r="L279" s="34"/>
      <c r="M279" s="32"/>
      <c r="N279" s="34"/>
      <c r="O279" s="34"/>
      <c r="P279" s="34"/>
    </row>
    <row r="280" spans="2:16" x14ac:dyDescent="0.3">
      <c r="B280" s="33"/>
      <c r="C280" s="34"/>
      <c r="D280" s="34"/>
      <c r="E280" s="34"/>
      <c r="F280" s="34"/>
      <c r="G280" s="34"/>
      <c r="H280" s="34"/>
      <c r="I280" s="34"/>
      <c r="J280" s="34"/>
      <c r="K280" s="35"/>
      <c r="L280" s="34"/>
      <c r="M280" s="32"/>
      <c r="N280" s="34"/>
      <c r="O280" s="34"/>
      <c r="P280" s="34"/>
    </row>
    <row r="281" spans="2:16" x14ac:dyDescent="0.3">
      <c r="B281" s="33"/>
      <c r="C281" s="34"/>
      <c r="D281" s="34"/>
      <c r="E281" s="34"/>
      <c r="F281" s="34"/>
      <c r="G281" s="34"/>
      <c r="H281" s="34"/>
      <c r="I281" s="34"/>
      <c r="J281" s="34"/>
      <c r="K281" s="35"/>
      <c r="L281" s="34"/>
      <c r="M281" s="32"/>
      <c r="N281" s="34"/>
      <c r="O281" s="34"/>
      <c r="P281" s="34"/>
    </row>
    <row r="282" spans="2:16" x14ac:dyDescent="0.3">
      <c r="B282" s="33"/>
      <c r="C282" s="34"/>
      <c r="D282" s="34"/>
      <c r="E282" s="34"/>
      <c r="F282" s="34"/>
      <c r="G282" s="34"/>
      <c r="H282" s="34"/>
      <c r="I282" s="34"/>
      <c r="J282" s="34"/>
      <c r="K282" s="35"/>
      <c r="L282" s="34"/>
      <c r="M282" s="32"/>
      <c r="N282" s="34"/>
      <c r="O282" s="34"/>
      <c r="P282" s="34"/>
    </row>
    <row r="283" spans="2:16" x14ac:dyDescent="0.3">
      <c r="B283" s="33"/>
      <c r="C283" s="34"/>
      <c r="D283" s="34"/>
      <c r="E283" s="34"/>
      <c r="F283" s="34"/>
      <c r="G283" s="34"/>
      <c r="H283" s="34"/>
      <c r="I283" s="34"/>
      <c r="J283" s="34"/>
      <c r="K283" s="35"/>
      <c r="L283" s="34"/>
      <c r="M283" s="32"/>
      <c r="N283" s="34"/>
      <c r="O283" s="34"/>
      <c r="P283" s="34"/>
    </row>
    <row r="284" spans="2:16" x14ac:dyDescent="0.3">
      <c r="B284" s="33"/>
      <c r="C284" s="34"/>
      <c r="D284" s="34"/>
      <c r="E284" s="34"/>
      <c r="F284" s="34"/>
      <c r="G284" s="34"/>
      <c r="H284" s="34"/>
      <c r="I284" s="34"/>
      <c r="J284" s="34"/>
      <c r="K284" s="35"/>
      <c r="L284" s="34"/>
      <c r="M284" s="32"/>
      <c r="N284" s="34"/>
      <c r="O284" s="34"/>
      <c r="P284" s="34"/>
    </row>
    <row r="285" spans="2:16" x14ac:dyDescent="0.3">
      <c r="B285" s="33"/>
      <c r="C285" s="34"/>
      <c r="D285" s="34"/>
      <c r="E285" s="34"/>
      <c r="F285" s="34"/>
      <c r="G285" s="34"/>
      <c r="H285" s="34"/>
      <c r="I285" s="34"/>
      <c r="J285" s="34"/>
      <c r="K285" s="35"/>
      <c r="L285" s="34"/>
      <c r="M285" s="32"/>
      <c r="N285" s="34"/>
      <c r="O285" s="34"/>
      <c r="P285" s="34"/>
    </row>
    <row r="286" spans="2:16" x14ac:dyDescent="0.3">
      <c r="B286" s="33"/>
      <c r="C286" s="34"/>
      <c r="D286" s="34"/>
      <c r="E286" s="34"/>
      <c r="F286" s="34"/>
      <c r="G286" s="34"/>
      <c r="H286" s="34"/>
      <c r="I286" s="34"/>
      <c r="J286" s="34"/>
      <c r="K286" s="35"/>
      <c r="L286" s="34"/>
      <c r="M286" s="32"/>
      <c r="N286" s="34"/>
      <c r="O286" s="34"/>
      <c r="P286" s="34"/>
    </row>
    <row r="287" spans="2:16" x14ac:dyDescent="0.3">
      <c r="B287" s="33"/>
      <c r="C287" s="34"/>
      <c r="D287" s="34"/>
      <c r="E287" s="34"/>
      <c r="F287" s="34"/>
      <c r="G287" s="34"/>
      <c r="H287" s="34"/>
      <c r="I287" s="34"/>
      <c r="J287" s="34"/>
      <c r="K287" s="35"/>
      <c r="L287" s="34"/>
      <c r="M287" s="32"/>
      <c r="N287" s="34"/>
      <c r="O287" s="34"/>
      <c r="P287" s="34"/>
    </row>
    <row r="288" spans="2:16" x14ac:dyDescent="0.3">
      <c r="B288" s="33"/>
      <c r="C288" s="34"/>
      <c r="D288" s="34"/>
      <c r="E288" s="34"/>
      <c r="F288" s="34"/>
      <c r="G288" s="34"/>
      <c r="H288" s="34"/>
      <c r="I288" s="34"/>
      <c r="J288" s="34"/>
      <c r="K288" s="35"/>
      <c r="L288" s="34"/>
      <c r="M288" s="32"/>
      <c r="N288" s="34"/>
      <c r="O288" s="34"/>
      <c r="P288" s="34"/>
    </row>
    <row r="289" spans="2:16" x14ac:dyDescent="0.3">
      <c r="B289" s="33"/>
      <c r="C289" s="34"/>
      <c r="D289" s="34"/>
      <c r="E289" s="34"/>
      <c r="F289" s="34"/>
      <c r="G289" s="34"/>
      <c r="H289" s="34"/>
      <c r="I289" s="34"/>
      <c r="J289" s="34"/>
      <c r="K289" s="35"/>
      <c r="L289" s="34"/>
      <c r="M289" s="32"/>
      <c r="N289" s="34"/>
      <c r="O289" s="34"/>
      <c r="P289" s="34"/>
    </row>
    <row r="290" spans="2:16" x14ac:dyDescent="0.3">
      <c r="B290" s="33"/>
      <c r="C290" s="34"/>
      <c r="D290" s="34"/>
      <c r="E290" s="34"/>
      <c r="F290" s="34"/>
      <c r="G290" s="34"/>
      <c r="H290" s="34"/>
      <c r="I290" s="34"/>
      <c r="J290" s="34"/>
      <c r="K290" s="35"/>
      <c r="L290" s="34"/>
      <c r="M290" s="32"/>
      <c r="N290" s="34"/>
      <c r="O290" s="34"/>
      <c r="P290" s="34"/>
    </row>
    <row r="291" spans="2:16" x14ac:dyDescent="0.3">
      <c r="B291" s="33"/>
      <c r="C291" s="34"/>
      <c r="D291" s="34"/>
      <c r="E291" s="34"/>
      <c r="F291" s="34"/>
      <c r="G291" s="34"/>
      <c r="H291" s="34"/>
      <c r="I291" s="34"/>
      <c r="J291" s="34"/>
      <c r="K291" s="35"/>
      <c r="L291" s="34"/>
      <c r="M291" s="32"/>
      <c r="N291" s="34"/>
      <c r="O291" s="34"/>
      <c r="P291" s="34"/>
    </row>
    <row r="292" spans="2:16" x14ac:dyDescent="0.3">
      <c r="B292" s="33"/>
      <c r="C292" s="34"/>
      <c r="D292" s="34"/>
      <c r="E292" s="34"/>
      <c r="F292" s="34"/>
      <c r="G292" s="34"/>
      <c r="H292" s="34"/>
      <c r="I292" s="34"/>
      <c r="J292" s="34"/>
      <c r="K292" s="35"/>
      <c r="L292" s="34"/>
      <c r="M292" s="32"/>
      <c r="N292" s="34"/>
      <c r="O292" s="34"/>
      <c r="P292" s="34"/>
    </row>
    <row r="293" spans="2:16" x14ac:dyDescent="0.3">
      <c r="B293" s="33"/>
      <c r="C293" s="34"/>
      <c r="D293" s="34"/>
      <c r="E293" s="34"/>
      <c r="F293" s="34"/>
      <c r="G293" s="34"/>
      <c r="H293" s="34"/>
      <c r="I293" s="34"/>
      <c r="J293" s="34"/>
      <c r="K293" s="35"/>
      <c r="L293" s="34"/>
      <c r="M293" s="32"/>
      <c r="N293" s="34"/>
      <c r="O293" s="34"/>
      <c r="P293" s="34"/>
    </row>
    <row r="294" spans="2:16" x14ac:dyDescent="0.3">
      <c r="B294" s="33"/>
      <c r="C294" s="34"/>
      <c r="D294" s="34"/>
      <c r="E294" s="34"/>
      <c r="F294" s="34"/>
      <c r="G294" s="34"/>
      <c r="H294" s="34"/>
      <c r="I294" s="34"/>
      <c r="J294" s="34"/>
      <c r="K294" s="35"/>
      <c r="L294" s="34"/>
      <c r="M294" s="32"/>
      <c r="N294" s="34"/>
      <c r="O294" s="34"/>
      <c r="P294" s="34"/>
    </row>
    <row r="295" spans="2:16" x14ac:dyDescent="0.3">
      <c r="B295" s="33"/>
      <c r="C295" s="34"/>
      <c r="D295" s="34"/>
      <c r="E295" s="34"/>
      <c r="F295" s="34"/>
      <c r="G295" s="34"/>
      <c r="H295" s="34"/>
      <c r="I295" s="34"/>
      <c r="J295" s="34"/>
      <c r="K295" s="35"/>
      <c r="L295" s="34"/>
      <c r="M295" s="32"/>
      <c r="N295" s="34"/>
      <c r="O295" s="34"/>
      <c r="P295" s="34"/>
    </row>
    <row r="296" spans="2:16" x14ac:dyDescent="0.3">
      <c r="B296" s="33"/>
      <c r="C296" s="34"/>
      <c r="D296" s="34"/>
      <c r="E296" s="34"/>
      <c r="F296" s="34"/>
      <c r="G296" s="34"/>
      <c r="H296" s="34"/>
      <c r="I296" s="34"/>
      <c r="J296" s="34"/>
      <c r="K296" s="35"/>
      <c r="L296" s="34"/>
      <c r="M296" s="32"/>
      <c r="N296" s="34"/>
      <c r="O296" s="34"/>
      <c r="P296" s="34"/>
    </row>
    <row r="297" spans="2:16" x14ac:dyDescent="0.3">
      <c r="B297" s="33"/>
      <c r="C297" s="34"/>
      <c r="D297" s="34"/>
      <c r="E297" s="34"/>
      <c r="F297" s="34"/>
      <c r="G297" s="34"/>
      <c r="H297" s="34"/>
      <c r="I297" s="34"/>
      <c r="J297" s="34"/>
      <c r="K297" s="35"/>
      <c r="L297" s="34"/>
      <c r="M297" s="32"/>
      <c r="N297" s="34"/>
      <c r="O297" s="34"/>
      <c r="P297" s="34"/>
    </row>
    <row r="298" spans="2:16" x14ac:dyDescent="0.3">
      <c r="B298" s="33"/>
      <c r="C298" s="34"/>
      <c r="D298" s="34"/>
      <c r="E298" s="34"/>
      <c r="F298" s="34"/>
      <c r="G298" s="34"/>
      <c r="H298" s="34"/>
      <c r="I298" s="34"/>
      <c r="J298" s="34"/>
      <c r="K298" s="35"/>
      <c r="L298" s="34"/>
      <c r="M298" s="32"/>
      <c r="N298" s="34"/>
      <c r="O298" s="34"/>
      <c r="P298" s="34"/>
    </row>
    <row r="299" spans="2:16" x14ac:dyDescent="0.3">
      <c r="B299" s="33"/>
      <c r="C299" s="34"/>
      <c r="D299" s="34"/>
      <c r="E299" s="34"/>
      <c r="F299" s="34"/>
      <c r="G299" s="34"/>
      <c r="H299" s="34"/>
      <c r="I299" s="34"/>
      <c r="J299" s="34"/>
      <c r="K299" s="35"/>
      <c r="L299" s="34"/>
      <c r="M299" s="32"/>
      <c r="N299" s="34"/>
      <c r="O299" s="34"/>
      <c r="P299" s="34"/>
    </row>
    <row r="300" spans="2:16" x14ac:dyDescent="0.3">
      <c r="B300" s="33"/>
      <c r="C300" s="34"/>
      <c r="D300" s="34"/>
      <c r="E300" s="34"/>
      <c r="F300" s="34"/>
      <c r="G300" s="34"/>
      <c r="H300" s="34"/>
      <c r="I300" s="34"/>
      <c r="J300" s="34"/>
      <c r="K300" s="35"/>
      <c r="L300" s="34"/>
      <c r="M300" s="32"/>
      <c r="N300" s="34"/>
      <c r="O300" s="34"/>
      <c r="P300" s="34"/>
    </row>
    <row r="301" spans="2:16" x14ac:dyDescent="0.3">
      <c r="B301" s="33"/>
      <c r="C301" s="34"/>
      <c r="D301" s="34"/>
      <c r="E301" s="34"/>
      <c r="F301" s="34"/>
      <c r="G301" s="34"/>
      <c r="H301" s="34"/>
      <c r="I301" s="34"/>
      <c r="J301" s="34"/>
      <c r="K301" s="35"/>
      <c r="L301" s="34"/>
      <c r="M301" s="32"/>
      <c r="N301" s="34"/>
      <c r="O301" s="34"/>
      <c r="P301" s="34"/>
    </row>
    <row r="302" spans="2:16" x14ac:dyDescent="0.3">
      <c r="B302" s="33"/>
      <c r="C302" s="34"/>
      <c r="D302" s="34"/>
      <c r="E302" s="34"/>
      <c r="F302" s="34"/>
      <c r="G302" s="34"/>
      <c r="H302" s="34"/>
      <c r="I302" s="34"/>
      <c r="J302" s="34"/>
      <c r="K302" s="35"/>
      <c r="L302" s="34"/>
      <c r="M302" s="32"/>
      <c r="N302" s="34"/>
      <c r="O302" s="34"/>
      <c r="P302" s="34"/>
    </row>
    <row r="303" spans="2:16" x14ac:dyDescent="0.3">
      <c r="B303" s="33"/>
      <c r="C303" s="34"/>
      <c r="D303" s="34"/>
      <c r="E303" s="34"/>
      <c r="F303" s="34"/>
      <c r="G303" s="34"/>
      <c r="H303" s="34"/>
      <c r="I303" s="34"/>
      <c r="J303" s="34"/>
      <c r="K303" s="35"/>
      <c r="L303" s="34"/>
      <c r="M303" s="32"/>
      <c r="N303" s="34"/>
      <c r="O303" s="34"/>
      <c r="P303" s="34"/>
    </row>
    <row r="304" spans="2:16" x14ac:dyDescent="0.3">
      <c r="B304" s="33"/>
      <c r="C304" s="34"/>
      <c r="D304" s="34"/>
      <c r="E304" s="34"/>
      <c r="F304" s="34"/>
      <c r="G304" s="34"/>
      <c r="H304" s="34"/>
      <c r="I304" s="34"/>
      <c r="J304" s="34"/>
      <c r="K304" s="35"/>
      <c r="L304" s="34"/>
      <c r="M304" s="32"/>
      <c r="N304" s="34"/>
      <c r="O304" s="34"/>
      <c r="P304" s="34"/>
    </row>
    <row r="305" spans="2:16" x14ac:dyDescent="0.3">
      <c r="B305" s="33"/>
      <c r="C305" s="34"/>
      <c r="D305" s="34"/>
      <c r="E305" s="34"/>
      <c r="F305" s="34"/>
      <c r="G305" s="34"/>
      <c r="H305" s="34"/>
      <c r="I305" s="34"/>
      <c r="J305" s="34"/>
      <c r="K305" s="35"/>
      <c r="L305" s="34"/>
      <c r="M305" s="32"/>
      <c r="N305" s="34"/>
      <c r="O305" s="34"/>
      <c r="P305" s="34"/>
    </row>
    <row r="306" spans="2:16" x14ac:dyDescent="0.3">
      <c r="B306" s="33"/>
      <c r="C306" s="34"/>
      <c r="D306" s="34"/>
      <c r="E306" s="34"/>
      <c r="F306" s="34"/>
      <c r="G306" s="34"/>
      <c r="H306" s="34"/>
      <c r="I306" s="34"/>
      <c r="J306" s="34"/>
      <c r="K306" s="35"/>
      <c r="L306" s="34"/>
      <c r="M306" s="32"/>
      <c r="N306" s="34"/>
      <c r="O306" s="34"/>
      <c r="P306" s="34"/>
    </row>
    <row r="307" spans="2:16" x14ac:dyDescent="0.3">
      <c r="B307" s="33"/>
      <c r="C307" s="34"/>
      <c r="D307" s="34"/>
      <c r="E307" s="34"/>
      <c r="F307" s="34"/>
      <c r="G307" s="34"/>
      <c r="H307" s="34"/>
      <c r="I307" s="34"/>
      <c r="J307" s="34"/>
      <c r="K307" s="35"/>
      <c r="L307" s="34"/>
      <c r="M307" s="32"/>
      <c r="N307" s="34"/>
      <c r="O307" s="34"/>
      <c r="P307" s="34"/>
    </row>
    <row r="308" spans="2:16" x14ac:dyDescent="0.3">
      <c r="B308" s="33"/>
      <c r="C308" s="34"/>
      <c r="D308" s="34"/>
      <c r="E308" s="34"/>
      <c r="F308" s="34"/>
      <c r="G308" s="34"/>
      <c r="H308" s="34"/>
      <c r="I308" s="34"/>
      <c r="J308" s="34"/>
      <c r="K308" s="35"/>
      <c r="L308" s="34"/>
      <c r="M308" s="32"/>
      <c r="N308" s="34"/>
      <c r="O308" s="34"/>
      <c r="P308" s="34"/>
    </row>
    <row r="309" spans="2:16" x14ac:dyDescent="0.3">
      <c r="B309" s="33"/>
      <c r="C309" s="34"/>
      <c r="D309" s="34"/>
      <c r="E309" s="34"/>
      <c r="F309" s="34"/>
      <c r="G309" s="34"/>
      <c r="H309" s="34"/>
      <c r="I309" s="34"/>
      <c r="J309" s="34"/>
      <c r="K309" s="35"/>
      <c r="L309" s="34"/>
      <c r="M309" s="32"/>
      <c r="N309" s="34"/>
      <c r="O309" s="34"/>
      <c r="P309" s="34"/>
    </row>
    <row r="310" spans="2:16" x14ac:dyDescent="0.3">
      <c r="B310" s="33"/>
      <c r="C310" s="34"/>
      <c r="D310" s="34"/>
      <c r="E310" s="34"/>
      <c r="F310" s="34"/>
      <c r="G310" s="34"/>
      <c r="H310" s="34"/>
      <c r="I310" s="34"/>
      <c r="J310" s="34"/>
      <c r="K310" s="35"/>
      <c r="L310" s="34"/>
      <c r="M310" s="32"/>
      <c r="N310" s="34"/>
      <c r="O310" s="34"/>
      <c r="P310" s="34"/>
    </row>
    <row r="311" spans="2:16" x14ac:dyDescent="0.3">
      <c r="B311" s="33"/>
      <c r="C311" s="34"/>
      <c r="D311" s="34"/>
      <c r="E311" s="34"/>
      <c r="F311" s="34"/>
      <c r="G311" s="34"/>
      <c r="H311" s="34"/>
      <c r="I311" s="34"/>
      <c r="J311" s="34"/>
      <c r="K311" s="35"/>
      <c r="L311" s="34"/>
      <c r="M311" s="32"/>
      <c r="N311" s="34"/>
      <c r="O311" s="34"/>
      <c r="P311" s="34"/>
    </row>
    <row r="312" spans="2:16" x14ac:dyDescent="0.3">
      <c r="B312" s="33"/>
      <c r="C312" s="34"/>
      <c r="D312" s="34"/>
      <c r="E312" s="34"/>
      <c r="F312" s="34"/>
      <c r="G312" s="34"/>
      <c r="H312" s="34"/>
      <c r="I312" s="34"/>
      <c r="J312" s="34"/>
      <c r="K312" s="35"/>
      <c r="L312" s="34"/>
      <c r="M312" s="32"/>
      <c r="N312" s="34"/>
      <c r="O312" s="34"/>
      <c r="P312" s="34"/>
    </row>
    <row r="313" spans="2:16" x14ac:dyDescent="0.3">
      <c r="B313" s="33"/>
      <c r="C313" s="34"/>
      <c r="D313" s="34"/>
      <c r="E313" s="34"/>
      <c r="F313" s="34"/>
      <c r="G313" s="34"/>
      <c r="H313" s="34"/>
      <c r="I313" s="34"/>
      <c r="J313" s="34"/>
      <c r="K313" s="35"/>
      <c r="L313" s="34"/>
      <c r="M313" s="32"/>
      <c r="N313" s="34"/>
      <c r="O313" s="34"/>
      <c r="P313" s="34"/>
    </row>
    <row r="314" spans="2:16" x14ac:dyDescent="0.3">
      <c r="B314" s="33"/>
      <c r="C314" s="34"/>
      <c r="D314" s="34"/>
      <c r="E314" s="34"/>
      <c r="F314" s="34"/>
      <c r="G314" s="34"/>
      <c r="H314" s="34"/>
      <c r="I314" s="34"/>
      <c r="J314" s="34"/>
      <c r="K314" s="35"/>
      <c r="L314" s="34"/>
      <c r="M314" s="32"/>
      <c r="N314" s="34"/>
      <c r="O314" s="34"/>
      <c r="P314" s="34"/>
    </row>
    <row r="315" spans="2:16" x14ac:dyDescent="0.3">
      <c r="B315" s="33"/>
      <c r="C315" s="34"/>
      <c r="D315" s="34"/>
      <c r="E315" s="34"/>
      <c r="F315" s="34"/>
      <c r="G315" s="34"/>
      <c r="H315" s="34"/>
      <c r="I315" s="34"/>
      <c r="J315" s="34"/>
      <c r="K315" s="35"/>
      <c r="L315" s="34"/>
      <c r="M315" s="32"/>
      <c r="N315" s="34"/>
      <c r="O315" s="34"/>
      <c r="P315" s="34"/>
    </row>
    <row r="316" spans="2:16" x14ac:dyDescent="0.3">
      <c r="B316" s="33"/>
      <c r="C316" s="34"/>
      <c r="D316" s="34"/>
      <c r="E316" s="34"/>
      <c r="F316" s="34"/>
      <c r="G316" s="34"/>
      <c r="H316" s="34"/>
      <c r="I316" s="34"/>
      <c r="J316" s="34"/>
      <c r="K316" s="35"/>
      <c r="L316" s="34"/>
      <c r="M316" s="32"/>
      <c r="N316" s="34"/>
      <c r="O316" s="34"/>
      <c r="P316" s="34"/>
    </row>
    <row r="317" spans="2:16" x14ac:dyDescent="0.3">
      <c r="B317" s="33"/>
      <c r="C317" s="34"/>
      <c r="D317" s="34"/>
      <c r="E317" s="34"/>
      <c r="F317" s="34"/>
      <c r="G317" s="34"/>
      <c r="H317" s="34"/>
      <c r="I317" s="34"/>
      <c r="J317" s="34"/>
      <c r="K317" s="35"/>
      <c r="L317" s="34"/>
      <c r="M317" s="32"/>
      <c r="N317" s="34"/>
      <c r="O317" s="34"/>
      <c r="P317" s="34"/>
    </row>
    <row r="318" spans="2:16" x14ac:dyDescent="0.3">
      <c r="B318" s="33"/>
      <c r="C318" s="34"/>
      <c r="D318" s="34"/>
      <c r="E318" s="34"/>
      <c r="F318" s="34"/>
      <c r="G318" s="34"/>
      <c r="H318" s="34"/>
      <c r="I318" s="34"/>
      <c r="J318" s="34"/>
      <c r="K318" s="35"/>
      <c r="L318" s="34"/>
      <c r="M318" s="32"/>
      <c r="N318" s="34"/>
      <c r="O318" s="34"/>
      <c r="P318" s="34"/>
    </row>
    <row r="319" spans="2:16" x14ac:dyDescent="0.3">
      <c r="B319" s="33"/>
      <c r="C319" s="34"/>
      <c r="D319" s="34"/>
      <c r="E319" s="34"/>
      <c r="F319" s="34"/>
      <c r="G319" s="34"/>
      <c r="H319" s="34"/>
      <c r="I319" s="34"/>
      <c r="J319" s="34"/>
      <c r="K319" s="35"/>
      <c r="L319" s="34"/>
      <c r="M319" s="32"/>
      <c r="N319" s="34"/>
      <c r="O319" s="34"/>
      <c r="P319" s="34"/>
    </row>
    <row r="320" spans="2:16" x14ac:dyDescent="0.3">
      <c r="B320" s="33"/>
      <c r="C320" s="34"/>
      <c r="D320" s="34"/>
      <c r="E320" s="34"/>
      <c r="F320" s="34"/>
      <c r="G320" s="34"/>
      <c r="H320" s="34"/>
      <c r="I320" s="34"/>
      <c r="J320" s="34"/>
      <c r="K320" s="35"/>
      <c r="L320" s="34"/>
      <c r="M320" s="32"/>
      <c r="N320" s="34"/>
      <c r="O320" s="34"/>
      <c r="P320" s="34"/>
    </row>
    <row r="321" spans="2:16" x14ac:dyDescent="0.3">
      <c r="B321" s="33"/>
      <c r="C321" s="34"/>
      <c r="D321" s="34"/>
      <c r="E321" s="34"/>
      <c r="F321" s="34"/>
      <c r="G321" s="34"/>
      <c r="H321" s="34"/>
      <c r="I321" s="34"/>
      <c r="J321" s="34"/>
      <c r="K321" s="35"/>
      <c r="L321" s="34"/>
      <c r="M321" s="32"/>
      <c r="N321" s="34"/>
      <c r="O321" s="34"/>
      <c r="P321" s="34"/>
    </row>
    <row r="322" spans="2:16" x14ac:dyDescent="0.3">
      <c r="B322" s="33"/>
      <c r="C322" s="34"/>
      <c r="D322" s="34"/>
      <c r="E322" s="34"/>
      <c r="F322" s="34"/>
      <c r="G322" s="34"/>
      <c r="H322" s="34"/>
      <c r="I322" s="34"/>
      <c r="J322" s="34"/>
      <c r="K322" s="35"/>
      <c r="L322" s="34"/>
      <c r="M322" s="32"/>
      <c r="N322" s="34"/>
      <c r="O322" s="34"/>
      <c r="P322" s="34"/>
    </row>
    <row r="323" spans="2:16" x14ac:dyDescent="0.3">
      <c r="B323" s="33"/>
      <c r="C323" s="34"/>
      <c r="D323" s="34"/>
      <c r="E323" s="34"/>
      <c r="F323" s="34"/>
      <c r="G323" s="34"/>
      <c r="H323" s="34"/>
      <c r="I323" s="34"/>
      <c r="J323" s="34"/>
      <c r="K323" s="35"/>
      <c r="L323" s="34"/>
      <c r="M323" s="32"/>
      <c r="N323" s="34"/>
      <c r="O323" s="34"/>
      <c r="P323" s="34"/>
    </row>
    <row r="324" spans="2:16" x14ac:dyDescent="0.3">
      <c r="B324" s="33"/>
      <c r="C324" s="34"/>
      <c r="D324" s="34"/>
      <c r="E324" s="34"/>
      <c r="F324" s="34"/>
      <c r="G324" s="34"/>
      <c r="H324" s="34"/>
      <c r="I324" s="34"/>
      <c r="J324" s="34"/>
      <c r="K324" s="35"/>
      <c r="L324" s="34"/>
      <c r="M324" s="32"/>
      <c r="N324" s="34"/>
      <c r="O324" s="34"/>
      <c r="P324" s="34"/>
    </row>
    <row r="325" spans="2:16" x14ac:dyDescent="0.3">
      <c r="B325" s="33"/>
      <c r="C325" s="34"/>
      <c r="D325" s="34"/>
      <c r="E325" s="34"/>
      <c r="F325" s="34"/>
      <c r="G325" s="34"/>
      <c r="H325" s="34"/>
      <c r="I325" s="34"/>
      <c r="J325" s="34"/>
      <c r="K325" s="35"/>
      <c r="L325" s="34"/>
      <c r="M325" s="32"/>
      <c r="N325" s="34"/>
      <c r="O325" s="34"/>
      <c r="P325" s="34"/>
    </row>
    <row r="326" spans="2:16" x14ac:dyDescent="0.3">
      <c r="B326" s="33"/>
      <c r="C326" s="34"/>
      <c r="D326" s="34"/>
      <c r="E326" s="34"/>
      <c r="F326" s="34"/>
      <c r="G326" s="34"/>
      <c r="H326" s="34"/>
      <c r="I326" s="34"/>
      <c r="J326" s="34"/>
      <c r="K326" s="35"/>
      <c r="L326" s="34"/>
      <c r="M326" s="32"/>
      <c r="N326" s="34"/>
      <c r="O326" s="34"/>
      <c r="P326" s="34"/>
    </row>
    <row r="327" spans="2:16" x14ac:dyDescent="0.3">
      <c r="B327" s="33"/>
      <c r="C327" s="34"/>
      <c r="D327" s="34"/>
      <c r="E327" s="34"/>
      <c r="F327" s="34"/>
      <c r="G327" s="34"/>
      <c r="H327" s="34"/>
      <c r="I327" s="34"/>
      <c r="J327" s="34"/>
      <c r="K327" s="35"/>
      <c r="L327" s="34"/>
      <c r="M327" s="32"/>
      <c r="N327" s="34"/>
      <c r="O327" s="34"/>
      <c r="P327" s="34"/>
    </row>
    <row r="328" spans="2:16" x14ac:dyDescent="0.3">
      <c r="B328" s="33"/>
      <c r="C328" s="34"/>
      <c r="D328" s="34"/>
      <c r="E328" s="34"/>
      <c r="F328" s="34"/>
      <c r="G328" s="34"/>
      <c r="H328" s="34"/>
      <c r="I328" s="34"/>
      <c r="J328" s="34"/>
      <c r="K328" s="35"/>
      <c r="L328" s="34"/>
      <c r="M328" s="32"/>
      <c r="N328" s="34"/>
      <c r="O328" s="34"/>
      <c r="P328" s="34"/>
    </row>
    <row r="329" spans="2:16" x14ac:dyDescent="0.3">
      <c r="B329" s="33"/>
      <c r="C329" s="34"/>
      <c r="D329" s="34"/>
      <c r="E329" s="34"/>
      <c r="F329" s="34"/>
      <c r="G329" s="34"/>
      <c r="H329" s="34"/>
      <c r="I329" s="34"/>
      <c r="J329" s="34"/>
      <c r="K329" s="35"/>
      <c r="L329" s="34"/>
      <c r="M329" s="32"/>
      <c r="N329" s="34"/>
      <c r="O329" s="34"/>
      <c r="P329" s="34"/>
    </row>
    <row r="330" spans="2:16" x14ac:dyDescent="0.3">
      <c r="B330" s="33"/>
      <c r="C330" s="34"/>
      <c r="D330" s="34"/>
      <c r="E330" s="34"/>
      <c r="F330" s="34"/>
      <c r="G330" s="34"/>
      <c r="H330" s="34"/>
      <c r="I330" s="34"/>
      <c r="J330" s="34"/>
      <c r="K330" s="35"/>
      <c r="L330" s="34"/>
      <c r="M330" s="32"/>
      <c r="N330" s="34"/>
      <c r="O330" s="34"/>
      <c r="P330" s="34"/>
    </row>
    <row r="331" spans="2:16" x14ac:dyDescent="0.3">
      <c r="B331" s="33"/>
      <c r="C331" s="34"/>
      <c r="D331" s="34"/>
      <c r="E331" s="34"/>
      <c r="F331" s="34"/>
      <c r="G331" s="34"/>
      <c r="H331" s="34"/>
      <c r="I331" s="34"/>
      <c r="J331" s="34"/>
      <c r="K331" s="35"/>
      <c r="L331" s="34"/>
      <c r="M331" s="32"/>
      <c r="N331" s="34"/>
      <c r="O331" s="34"/>
      <c r="P331" s="34"/>
    </row>
    <row r="332" spans="2:16" x14ac:dyDescent="0.3">
      <c r="B332" s="33"/>
      <c r="C332" s="34"/>
      <c r="D332" s="34"/>
      <c r="E332" s="34"/>
      <c r="F332" s="34"/>
      <c r="G332" s="34"/>
      <c r="H332" s="34"/>
      <c r="I332" s="34"/>
      <c r="J332" s="34"/>
      <c r="K332" s="35"/>
      <c r="L332" s="34"/>
      <c r="M332" s="32"/>
      <c r="N332" s="34"/>
      <c r="O332" s="34"/>
      <c r="P332" s="34"/>
    </row>
    <row r="333" spans="2:16" x14ac:dyDescent="0.3">
      <c r="B333" s="33"/>
      <c r="C333" s="34"/>
      <c r="D333" s="34"/>
      <c r="E333" s="34"/>
      <c r="F333" s="34"/>
      <c r="G333" s="34"/>
      <c r="H333" s="34"/>
      <c r="I333" s="34"/>
      <c r="J333" s="34"/>
      <c r="K333" s="35"/>
      <c r="L333" s="34"/>
      <c r="M333" s="32"/>
      <c r="N333" s="34"/>
      <c r="O333" s="34"/>
      <c r="P333" s="34"/>
    </row>
    <row r="334" spans="2:16" x14ac:dyDescent="0.3">
      <c r="B334" s="33"/>
      <c r="C334" s="34"/>
      <c r="D334" s="34"/>
      <c r="E334" s="34"/>
      <c r="F334" s="34"/>
      <c r="G334" s="34"/>
      <c r="H334" s="34"/>
      <c r="I334" s="34"/>
      <c r="J334" s="34"/>
      <c r="K334" s="35"/>
      <c r="L334" s="34"/>
      <c r="M334" s="32"/>
      <c r="N334" s="34"/>
      <c r="O334" s="34"/>
      <c r="P334" s="34"/>
    </row>
    <row r="335" spans="2:16" x14ac:dyDescent="0.3">
      <c r="B335" s="33"/>
      <c r="C335" s="34"/>
      <c r="D335" s="34"/>
      <c r="E335" s="34"/>
      <c r="F335" s="34"/>
      <c r="G335" s="34"/>
      <c r="H335" s="34"/>
      <c r="I335" s="34"/>
      <c r="J335" s="34"/>
      <c r="K335" s="35"/>
      <c r="L335" s="34"/>
      <c r="M335" s="32"/>
      <c r="N335" s="34"/>
      <c r="O335" s="34"/>
      <c r="P335" s="34"/>
    </row>
    <row r="336" spans="2:16" x14ac:dyDescent="0.3">
      <c r="B336" s="33"/>
      <c r="C336" s="34"/>
      <c r="D336" s="34"/>
      <c r="E336" s="34"/>
      <c r="F336" s="34"/>
      <c r="G336" s="34"/>
      <c r="H336" s="34"/>
      <c r="I336" s="34"/>
      <c r="J336" s="34"/>
      <c r="K336" s="35"/>
      <c r="L336" s="34"/>
      <c r="M336" s="32"/>
      <c r="N336" s="34"/>
      <c r="O336" s="34"/>
      <c r="P336" s="34"/>
    </row>
    <row r="337" spans="2:16" x14ac:dyDescent="0.3">
      <c r="B337" s="33"/>
      <c r="C337" s="34"/>
      <c r="D337" s="34"/>
      <c r="E337" s="34"/>
      <c r="F337" s="34"/>
      <c r="G337" s="34"/>
      <c r="H337" s="34"/>
      <c r="I337" s="34"/>
      <c r="J337" s="34"/>
      <c r="K337" s="35"/>
      <c r="L337" s="34"/>
      <c r="M337" s="32"/>
      <c r="N337" s="34"/>
      <c r="O337" s="34"/>
      <c r="P337" s="34"/>
    </row>
    <row r="338" spans="2:16" x14ac:dyDescent="0.3">
      <c r="B338" s="33"/>
      <c r="C338" s="34"/>
      <c r="D338" s="34"/>
      <c r="E338" s="34"/>
      <c r="F338" s="34"/>
      <c r="G338" s="34"/>
      <c r="H338" s="34"/>
      <c r="I338" s="34"/>
      <c r="J338" s="34"/>
      <c r="K338" s="35"/>
      <c r="L338" s="34"/>
      <c r="M338" s="32"/>
      <c r="N338" s="34"/>
      <c r="O338" s="34"/>
      <c r="P338" s="34"/>
    </row>
    <row r="339" spans="2:16" x14ac:dyDescent="0.3">
      <c r="B339" s="33"/>
      <c r="C339" s="34"/>
      <c r="D339" s="34"/>
      <c r="E339" s="34"/>
      <c r="F339" s="34"/>
      <c r="G339" s="34"/>
      <c r="H339" s="34"/>
      <c r="I339" s="34"/>
      <c r="J339" s="34"/>
      <c r="K339" s="35"/>
      <c r="L339" s="34"/>
      <c r="M339" s="32"/>
      <c r="N339" s="34"/>
      <c r="O339" s="34"/>
      <c r="P339" s="34"/>
    </row>
    <row r="340" spans="2:16" x14ac:dyDescent="0.3">
      <c r="B340" s="33"/>
      <c r="C340" s="34"/>
      <c r="D340" s="34"/>
      <c r="E340" s="34"/>
      <c r="F340" s="34"/>
      <c r="G340" s="34"/>
      <c r="H340" s="34"/>
      <c r="I340" s="34"/>
      <c r="J340" s="34"/>
      <c r="K340" s="35"/>
      <c r="L340" s="34"/>
      <c r="M340" s="32"/>
      <c r="N340" s="34"/>
      <c r="O340" s="34"/>
      <c r="P340" s="34"/>
    </row>
    <row r="341" spans="2:16" x14ac:dyDescent="0.3">
      <c r="B341" s="33"/>
      <c r="C341" s="34"/>
      <c r="D341" s="34"/>
      <c r="E341" s="34"/>
      <c r="F341" s="34"/>
      <c r="G341" s="34"/>
      <c r="H341" s="34"/>
      <c r="I341" s="34"/>
      <c r="J341" s="34"/>
      <c r="K341" s="35"/>
      <c r="L341" s="34"/>
      <c r="M341" s="32"/>
      <c r="N341" s="34"/>
      <c r="O341" s="34"/>
      <c r="P341" s="34"/>
    </row>
    <row r="342" spans="2:16" x14ac:dyDescent="0.3">
      <c r="B342" s="33"/>
      <c r="C342" s="34"/>
      <c r="D342" s="34"/>
      <c r="E342" s="34"/>
      <c r="F342" s="34"/>
      <c r="G342" s="34"/>
      <c r="H342" s="34"/>
      <c r="I342" s="34"/>
      <c r="J342" s="34"/>
      <c r="K342" s="35"/>
      <c r="L342" s="34"/>
      <c r="M342" s="32"/>
      <c r="N342" s="34"/>
      <c r="O342" s="34"/>
      <c r="P342" s="34"/>
    </row>
    <row r="343" spans="2:16" x14ac:dyDescent="0.3">
      <c r="B343" s="33"/>
      <c r="C343" s="34"/>
      <c r="D343" s="34"/>
      <c r="E343" s="34"/>
      <c r="F343" s="34"/>
      <c r="G343" s="34"/>
      <c r="H343" s="34"/>
      <c r="I343" s="34"/>
      <c r="J343" s="34"/>
      <c r="K343" s="35"/>
      <c r="L343" s="34"/>
      <c r="M343" s="32"/>
      <c r="N343" s="34"/>
      <c r="O343" s="34"/>
      <c r="P343" s="34"/>
    </row>
    <row r="344" spans="2:16" x14ac:dyDescent="0.3">
      <c r="B344" s="33"/>
      <c r="C344" s="34"/>
      <c r="D344" s="34"/>
      <c r="E344" s="34"/>
      <c r="F344" s="34"/>
      <c r="G344" s="34"/>
      <c r="H344" s="34"/>
      <c r="I344" s="34"/>
      <c r="J344" s="34"/>
      <c r="K344" s="35"/>
      <c r="L344" s="34"/>
      <c r="M344" s="32"/>
      <c r="N344" s="34"/>
      <c r="O344" s="34"/>
      <c r="P344" s="34"/>
    </row>
    <row r="345" spans="2:16" x14ac:dyDescent="0.3">
      <c r="B345" s="33"/>
      <c r="C345" s="34"/>
      <c r="D345" s="34"/>
      <c r="E345" s="34"/>
      <c r="F345" s="34"/>
      <c r="G345" s="34"/>
      <c r="H345" s="34"/>
      <c r="I345" s="34"/>
      <c r="J345" s="34"/>
      <c r="K345" s="35"/>
      <c r="L345" s="34"/>
      <c r="M345" s="32"/>
      <c r="N345" s="34"/>
      <c r="O345" s="34"/>
      <c r="P345" s="34"/>
    </row>
    <row r="346" spans="2:16" x14ac:dyDescent="0.3">
      <c r="B346" s="33"/>
      <c r="C346" s="34"/>
      <c r="D346" s="34"/>
      <c r="E346" s="34"/>
      <c r="F346" s="34"/>
      <c r="G346" s="34"/>
      <c r="H346" s="34"/>
      <c r="I346" s="34"/>
      <c r="J346" s="34"/>
      <c r="K346" s="35"/>
      <c r="L346" s="34"/>
      <c r="M346" s="32"/>
      <c r="N346" s="34"/>
      <c r="O346" s="34"/>
      <c r="P346" s="34"/>
    </row>
    <row r="347" spans="2:16" x14ac:dyDescent="0.3">
      <c r="B347" s="33"/>
      <c r="C347" s="34"/>
      <c r="D347" s="34"/>
      <c r="E347" s="34"/>
      <c r="F347" s="34"/>
      <c r="G347" s="34"/>
      <c r="H347" s="34"/>
      <c r="I347" s="34"/>
      <c r="J347" s="34"/>
      <c r="K347" s="35"/>
      <c r="L347" s="34"/>
      <c r="M347" s="32"/>
      <c r="N347" s="34"/>
      <c r="O347" s="34"/>
      <c r="P347" s="34"/>
    </row>
    <row r="348" spans="2:16" x14ac:dyDescent="0.3">
      <c r="B348" s="33"/>
      <c r="C348" s="34"/>
      <c r="D348" s="34"/>
      <c r="E348" s="34"/>
      <c r="F348" s="34"/>
      <c r="G348" s="34"/>
      <c r="H348" s="34"/>
      <c r="I348" s="34"/>
      <c r="J348" s="34"/>
      <c r="K348" s="35"/>
      <c r="L348" s="34"/>
      <c r="M348" s="32"/>
      <c r="N348" s="34"/>
      <c r="O348" s="34"/>
      <c r="P348" s="34"/>
    </row>
    <row r="349" spans="2:16" x14ac:dyDescent="0.3">
      <c r="B349" s="33"/>
      <c r="C349" s="34"/>
      <c r="D349" s="34"/>
      <c r="E349" s="34"/>
      <c r="F349" s="34"/>
      <c r="G349" s="34"/>
      <c r="H349" s="34"/>
      <c r="I349" s="34"/>
      <c r="J349" s="34"/>
      <c r="K349" s="35"/>
      <c r="L349" s="34"/>
      <c r="M349" s="32"/>
      <c r="N349" s="34"/>
      <c r="O349" s="34"/>
      <c r="P349" s="34"/>
    </row>
    <row r="350" spans="2:16" x14ac:dyDescent="0.3">
      <c r="B350" s="33"/>
      <c r="C350" s="34"/>
      <c r="D350" s="34"/>
      <c r="E350" s="34"/>
      <c r="F350" s="34"/>
      <c r="G350" s="34"/>
      <c r="H350" s="34"/>
      <c r="I350" s="34"/>
      <c r="J350" s="34"/>
      <c r="K350" s="35"/>
      <c r="L350" s="34"/>
      <c r="M350" s="32"/>
      <c r="N350" s="34"/>
      <c r="O350" s="34"/>
      <c r="P350" s="34"/>
    </row>
    <row r="351" spans="2:16" x14ac:dyDescent="0.3">
      <c r="B351" s="33"/>
      <c r="C351" s="34"/>
      <c r="D351" s="34"/>
      <c r="E351" s="34"/>
      <c r="F351" s="34"/>
      <c r="G351" s="34"/>
      <c r="H351" s="34"/>
      <c r="I351" s="34"/>
      <c r="J351" s="34"/>
      <c r="K351" s="35"/>
      <c r="L351" s="34"/>
      <c r="M351" s="32"/>
      <c r="N351" s="34"/>
      <c r="O351" s="34"/>
      <c r="P351" s="34"/>
    </row>
    <row r="352" spans="2:16" x14ac:dyDescent="0.3">
      <c r="B352" s="33"/>
      <c r="C352" s="34"/>
      <c r="D352" s="34"/>
      <c r="E352" s="34"/>
      <c r="F352" s="34"/>
      <c r="G352" s="34"/>
      <c r="H352" s="34"/>
      <c r="I352" s="34"/>
      <c r="J352" s="34"/>
      <c r="K352" s="35"/>
      <c r="L352" s="34"/>
      <c r="M352" s="32"/>
      <c r="N352" s="34"/>
      <c r="O352" s="34"/>
      <c r="P352" s="34"/>
    </row>
    <row r="353" spans="2:16" x14ac:dyDescent="0.3">
      <c r="B353" s="33"/>
      <c r="C353" s="34"/>
      <c r="D353" s="34"/>
      <c r="E353" s="34"/>
      <c r="F353" s="34"/>
      <c r="G353" s="34"/>
      <c r="H353" s="34"/>
      <c r="I353" s="34"/>
      <c r="J353" s="34"/>
      <c r="K353" s="35"/>
      <c r="L353" s="34"/>
      <c r="M353" s="32"/>
      <c r="N353" s="34"/>
      <c r="O353" s="34"/>
      <c r="P353" s="34"/>
    </row>
    <row r="354" spans="2:16" x14ac:dyDescent="0.3">
      <c r="B354" s="33"/>
      <c r="C354" s="34"/>
      <c r="D354" s="34"/>
      <c r="E354" s="34"/>
      <c r="F354" s="34"/>
      <c r="G354" s="34"/>
      <c r="H354" s="34"/>
      <c r="I354" s="34"/>
      <c r="J354" s="34"/>
      <c r="K354" s="35"/>
      <c r="L354" s="34"/>
      <c r="M354" s="32"/>
      <c r="N354" s="34"/>
      <c r="O354" s="34"/>
      <c r="P354" s="34"/>
    </row>
    <row r="355" spans="2:16" x14ac:dyDescent="0.3">
      <c r="B355" s="33"/>
      <c r="C355" s="34"/>
      <c r="D355" s="34"/>
      <c r="E355" s="34"/>
      <c r="F355" s="34"/>
      <c r="G355" s="34"/>
      <c r="H355" s="34"/>
      <c r="I355" s="34"/>
      <c r="J355" s="34"/>
      <c r="K355" s="35"/>
      <c r="L355" s="34"/>
      <c r="M355" s="32"/>
      <c r="N355" s="34"/>
      <c r="O355" s="34"/>
      <c r="P355" s="34"/>
    </row>
    <row r="356" spans="2:16" x14ac:dyDescent="0.3">
      <c r="B356" s="33"/>
      <c r="C356" s="34"/>
      <c r="D356" s="34"/>
      <c r="E356" s="34"/>
      <c r="F356" s="34"/>
      <c r="G356" s="34"/>
      <c r="H356" s="34"/>
      <c r="I356" s="34"/>
      <c r="J356" s="34"/>
      <c r="K356" s="35"/>
      <c r="L356" s="34"/>
      <c r="M356" s="32"/>
      <c r="N356" s="34"/>
      <c r="O356" s="34"/>
      <c r="P356" s="34"/>
    </row>
    <row r="357" spans="2:16" x14ac:dyDescent="0.3">
      <c r="B357" s="33"/>
      <c r="C357" s="34"/>
      <c r="D357" s="34"/>
      <c r="E357" s="34"/>
      <c r="F357" s="34"/>
      <c r="G357" s="34"/>
      <c r="H357" s="34"/>
      <c r="I357" s="34"/>
      <c r="J357" s="34"/>
      <c r="K357" s="35"/>
      <c r="L357" s="34"/>
      <c r="M357" s="32"/>
      <c r="N357" s="34"/>
      <c r="O357" s="34"/>
      <c r="P357" s="34"/>
    </row>
    <row r="358" spans="2:16" x14ac:dyDescent="0.3">
      <c r="B358" s="33"/>
      <c r="C358" s="34"/>
      <c r="D358" s="34"/>
      <c r="E358" s="34"/>
      <c r="F358" s="34"/>
      <c r="G358" s="34"/>
      <c r="H358" s="34"/>
      <c r="I358" s="34"/>
      <c r="J358" s="34"/>
      <c r="K358" s="35"/>
      <c r="L358" s="34"/>
      <c r="M358" s="32"/>
      <c r="N358" s="34"/>
      <c r="O358" s="34"/>
      <c r="P358" s="34"/>
    </row>
    <row r="359" spans="2:16" x14ac:dyDescent="0.3">
      <c r="B359" s="33"/>
      <c r="C359" s="34"/>
      <c r="D359" s="34"/>
      <c r="E359" s="34"/>
      <c r="F359" s="34"/>
      <c r="G359" s="34"/>
      <c r="H359" s="34"/>
      <c r="I359" s="34"/>
      <c r="J359" s="34"/>
      <c r="K359" s="35"/>
      <c r="L359" s="34"/>
      <c r="M359" s="32"/>
      <c r="N359" s="34"/>
      <c r="O359" s="34"/>
      <c r="P359" s="34"/>
    </row>
    <row r="360" spans="2:16" x14ac:dyDescent="0.3">
      <c r="B360" s="33"/>
      <c r="C360" s="34"/>
      <c r="D360" s="34"/>
      <c r="E360" s="34"/>
      <c r="F360" s="34"/>
      <c r="G360" s="34"/>
      <c r="H360" s="34"/>
      <c r="I360" s="34"/>
      <c r="J360" s="34"/>
      <c r="K360" s="35"/>
      <c r="L360" s="34"/>
      <c r="M360" s="32"/>
      <c r="N360" s="34"/>
      <c r="O360" s="34"/>
      <c r="P360" s="34"/>
    </row>
    <row r="361" spans="2:16" x14ac:dyDescent="0.3">
      <c r="B361" s="33"/>
      <c r="C361" s="34"/>
      <c r="D361" s="34"/>
      <c r="E361" s="34"/>
      <c r="F361" s="34"/>
      <c r="G361" s="34"/>
      <c r="H361" s="34"/>
      <c r="I361" s="34"/>
      <c r="J361" s="34"/>
      <c r="K361" s="35"/>
      <c r="L361" s="34"/>
      <c r="M361" s="32"/>
      <c r="N361" s="34"/>
      <c r="O361" s="34"/>
      <c r="P361" s="34"/>
    </row>
    <row r="362" spans="2:16" x14ac:dyDescent="0.3">
      <c r="B362" s="33"/>
      <c r="C362" s="34"/>
      <c r="D362" s="34"/>
      <c r="E362" s="34"/>
      <c r="F362" s="34"/>
      <c r="G362" s="34"/>
      <c r="H362" s="34"/>
      <c r="I362" s="34"/>
      <c r="J362" s="34"/>
      <c r="K362" s="35"/>
      <c r="L362" s="34"/>
      <c r="M362" s="32"/>
      <c r="N362" s="34"/>
      <c r="O362" s="34"/>
      <c r="P362" s="34"/>
    </row>
    <row r="363" spans="2:16" x14ac:dyDescent="0.3">
      <c r="B363" s="33"/>
      <c r="C363" s="34"/>
      <c r="D363" s="34"/>
      <c r="E363" s="34"/>
      <c r="F363" s="34"/>
      <c r="G363" s="34"/>
      <c r="H363" s="34"/>
      <c r="I363" s="34"/>
      <c r="J363" s="34"/>
      <c r="K363" s="35"/>
      <c r="L363" s="34"/>
      <c r="M363" s="32"/>
      <c r="N363" s="34"/>
      <c r="O363" s="34"/>
      <c r="P363" s="34"/>
    </row>
    <row r="364" spans="2:16" x14ac:dyDescent="0.3">
      <c r="B364" s="33"/>
      <c r="C364" s="34"/>
      <c r="D364" s="34"/>
      <c r="E364" s="34"/>
      <c r="F364" s="34"/>
      <c r="G364" s="34"/>
      <c r="H364" s="34"/>
      <c r="I364" s="34"/>
      <c r="J364" s="34"/>
      <c r="K364" s="35"/>
      <c r="L364" s="34"/>
      <c r="M364" s="32"/>
      <c r="N364" s="34"/>
      <c r="O364" s="34"/>
      <c r="P364" s="34"/>
    </row>
    <row r="365" spans="2:16" x14ac:dyDescent="0.3">
      <c r="B365" s="33"/>
      <c r="C365" s="34"/>
      <c r="D365" s="34"/>
      <c r="E365" s="34"/>
      <c r="F365" s="34"/>
      <c r="G365" s="34"/>
      <c r="H365" s="34"/>
      <c r="I365" s="34"/>
      <c r="J365" s="34"/>
      <c r="K365" s="35"/>
      <c r="L365" s="34"/>
      <c r="M365" s="32"/>
      <c r="N365" s="34"/>
      <c r="O365" s="34"/>
      <c r="P365" s="34"/>
    </row>
    <row r="366" spans="2:16" x14ac:dyDescent="0.3">
      <c r="B366" s="33"/>
      <c r="C366" s="34"/>
      <c r="D366" s="34"/>
      <c r="E366" s="34"/>
      <c r="F366" s="34"/>
      <c r="G366" s="34"/>
      <c r="H366" s="34"/>
      <c r="I366" s="34"/>
      <c r="J366" s="34"/>
      <c r="K366" s="35"/>
      <c r="L366" s="34"/>
      <c r="M366" s="32"/>
      <c r="N366" s="34"/>
      <c r="O366" s="34"/>
      <c r="P366" s="34"/>
    </row>
    <row r="367" spans="2:16" x14ac:dyDescent="0.3">
      <c r="B367" s="33"/>
      <c r="C367" s="34"/>
      <c r="D367" s="34"/>
      <c r="E367" s="34"/>
      <c r="F367" s="34"/>
      <c r="G367" s="34"/>
      <c r="H367" s="34"/>
      <c r="I367" s="34"/>
      <c r="J367" s="34"/>
      <c r="K367" s="35"/>
      <c r="L367" s="34"/>
      <c r="M367" s="32"/>
      <c r="N367" s="34"/>
      <c r="O367" s="34"/>
      <c r="P367" s="34"/>
    </row>
    <row r="368" spans="2:16" x14ac:dyDescent="0.3">
      <c r="B368" s="33"/>
      <c r="C368" s="34"/>
      <c r="D368" s="34"/>
      <c r="E368" s="34"/>
      <c r="F368" s="34"/>
      <c r="G368" s="34"/>
      <c r="H368" s="34"/>
      <c r="I368" s="34"/>
      <c r="J368" s="34"/>
      <c r="K368" s="35"/>
      <c r="L368" s="34"/>
      <c r="M368" s="32"/>
      <c r="N368" s="34"/>
      <c r="O368" s="34"/>
      <c r="P368" s="34"/>
    </row>
    <row r="369" spans="2:16" x14ac:dyDescent="0.3">
      <c r="B369" s="33"/>
      <c r="C369" s="34"/>
      <c r="D369" s="34"/>
      <c r="E369" s="34"/>
      <c r="F369" s="34"/>
      <c r="G369" s="34"/>
      <c r="H369" s="34"/>
      <c r="I369" s="34"/>
      <c r="J369" s="34"/>
      <c r="K369" s="35"/>
      <c r="L369" s="34"/>
      <c r="M369" s="32"/>
      <c r="N369" s="34"/>
      <c r="O369" s="34"/>
      <c r="P369" s="34"/>
    </row>
    <row r="370" spans="2:16" x14ac:dyDescent="0.3">
      <c r="B370" s="33"/>
      <c r="C370" s="34"/>
      <c r="D370" s="34"/>
      <c r="E370" s="34"/>
      <c r="F370" s="34"/>
      <c r="G370" s="34"/>
      <c r="H370" s="34"/>
      <c r="I370" s="34"/>
      <c r="J370" s="34"/>
      <c r="K370" s="35"/>
      <c r="L370" s="34"/>
      <c r="M370" s="32"/>
      <c r="N370" s="34"/>
      <c r="O370" s="34"/>
      <c r="P370" s="34"/>
    </row>
    <row r="371" spans="2:16" x14ac:dyDescent="0.3">
      <c r="B371" s="33"/>
      <c r="C371" s="34"/>
      <c r="D371" s="34"/>
      <c r="E371" s="34"/>
      <c r="F371" s="34"/>
      <c r="G371" s="34"/>
      <c r="H371" s="34"/>
      <c r="I371" s="34"/>
      <c r="J371" s="34"/>
      <c r="K371" s="35"/>
      <c r="L371" s="34"/>
      <c r="M371" s="32"/>
      <c r="N371" s="34"/>
      <c r="O371" s="34"/>
      <c r="P371" s="34"/>
    </row>
    <row r="372" spans="2:16" x14ac:dyDescent="0.3">
      <c r="B372" s="33"/>
      <c r="C372" s="34"/>
      <c r="D372" s="34"/>
      <c r="E372" s="34"/>
      <c r="F372" s="34"/>
      <c r="G372" s="34"/>
      <c r="H372" s="34"/>
      <c r="I372" s="34"/>
      <c r="J372" s="34"/>
      <c r="K372" s="35"/>
      <c r="L372" s="34"/>
      <c r="M372" s="32"/>
      <c r="N372" s="34"/>
      <c r="O372" s="34"/>
      <c r="P372" s="34"/>
    </row>
    <row r="373" spans="2:16" x14ac:dyDescent="0.3">
      <c r="B373" s="33"/>
      <c r="C373" s="34"/>
      <c r="D373" s="34"/>
      <c r="E373" s="34"/>
      <c r="F373" s="34"/>
      <c r="G373" s="34"/>
      <c r="H373" s="34"/>
      <c r="I373" s="34"/>
      <c r="J373" s="34"/>
      <c r="K373" s="35"/>
      <c r="L373" s="34"/>
      <c r="M373" s="32"/>
      <c r="N373" s="34"/>
      <c r="O373" s="34"/>
      <c r="P373" s="34"/>
    </row>
    <row r="374" spans="2:16" x14ac:dyDescent="0.3">
      <c r="B374" s="33"/>
      <c r="C374" s="34"/>
      <c r="D374" s="34"/>
      <c r="E374" s="34"/>
      <c r="F374" s="34"/>
      <c r="G374" s="34"/>
      <c r="H374" s="34"/>
      <c r="I374" s="34"/>
      <c r="J374" s="34"/>
      <c r="K374" s="35"/>
      <c r="L374" s="34"/>
      <c r="M374" s="32"/>
      <c r="N374" s="34"/>
      <c r="O374" s="34"/>
      <c r="P374" s="34"/>
    </row>
    <row r="375" spans="2:16" x14ac:dyDescent="0.3">
      <c r="B375" s="33"/>
      <c r="C375" s="34"/>
      <c r="D375" s="34"/>
      <c r="E375" s="34"/>
      <c r="F375" s="34"/>
      <c r="G375" s="34"/>
      <c r="H375" s="34"/>
      <c r="I375" s="34"/>
      <c r="J375" s="34"/>
      <c r="K375" s="35"/>
      <c r="L375" s="34"/>
      <c r="M375" s="32"/>
      <c r="N375" s="34"/>
      <c r="O375" s="34"/>
      <c r="P375" s="34"/>
    </row>
    <row r="376" spans="2:16" x14ac:dyDescent="0.3">
      <c r="B376" s="33"/>
      <c r="C376" s="34"/>
      <c r="D376" s="34"/>
      <c r="E376" s="34"/>
      <c r="F376" s="34"/>
      <c r="G376" s="34"/>
      <c r="H376" s="34"/>
      <c r="I376" s="34"/>
      <c r="J376" s="34"/>
      <c r="K376" s="35"/>
      <c r="L376" s="34"/>
      <c r="M376" s="32"/>
      <c r="N376" s="34"/>
      <c r="O376" s="34"/>
      <c r="P376" s="34"/>
    </row>
    <row r="377" spans="2:16" x14ac:dyDescent="0.3">
      <c r="B377" s="33"/>
      <c r="C377" s="34"/>
      <c r="D377" s="34"/>
      <c r="E377" s="34"/>
      <c r="F377" s="34"/>
      <c r="G377" s="34"/>
      <c r="H377" s="34"/>
      <c r="I377" s="34"/>
      <c r="J377" s="34"/>
      <c r="K377" s="35"/>
      <c r="L377" s="34"/>
      <c r="M377" s="32"/>
      <c r="N377" s="34"/>
      <c r="O377" s="34"/>
      <c r="P377" s="34"/>
    </row>
    <row r="378" spans="2:16" x14ac:dyDescent="0.3">
      <c r="B378" s="33"/>
      <c r="C378" s="34"/>
      <c r="D378" s="34"/>
      <c r="E378" s="34"/>
      <c r="F378" s="34"/>
      <c r="G378" s="34"/>
      <c r="H378" s="34"/>
      <c r="I378" s="34"/>
      <c r="J378" s="34"/>
      <c r="K378" s="35"/>
      <c r="L378" s="34"/>
      <c r="M378" s="32"/>
      <c r="N378" s="34"/>
      <c r="O378" s="34"/>
      <c r="P378" s="34"/>
    </row>
    <row r="379" spans="2:16" x14ac:dyDescent="0.3">
      <c r="B379" s="33"/>
      <c r="C379" s="34"/>
      <c r="D379" s="34"/>
      <c r="E379" s="34"/>
      <c r="F379" s="34"/>
      <c r="G379" s="34"/>
      <c r="H379" s="34"/>
      <c r="I379" s="34"/>
      <c r="J379" s="34"/>
      <c r="K379" s="35"/>
      <c r="L379" s="34"/>
      <c r="M379" s="32"/>
      <c r="N379" s="34"/>
      <c r="O379" s="34"/>
      <c r="P379" s="34"/>
    </row>
    <row r="380" spans="2:16" x14ac:dyDescent="0.3">
      <c r="B380" s="33"/>
      <c r="C380" s="34"/>
      <c r="D380" s="34"/>
      <c r="E380" s="34"/>
      <c r="F380" s="34"/>
      <c r="G380" s="34"/>
      <c r="H380" s="34"/>
      <c r="I380" s="34"/>
      <c r="J380" s="34"/>
      <c r="K380" s="35"/>
      <c r="L380" s="34"/>
      <c r="M380" s="32"/>
      <c r="N380" s="34"/>
      <c r="O380" s="34"/>
      <c r="P380" s="34"/>
    </row>
    <row r="381" spans="2:16" x14ac:dyDescent="0.3">
      <c r="B381" s="33"/>
      <c r="C381" s="34"/>
      <c r="D381" s="34"/>
      <c r="E381" s="34"/>
      <c r="F381" s="34"/>
      <c r="G381" s="34"/>
      <c r="H381" s="34"/>
      <c r="I381" s="34"/>
      <c r="J381" s="34"/>
      <c r="K381" s="35"/>
      <c r="L381" s="34"/>
      <c r="M381" s="32"/>
      <c r="N381" s="34"/>
      <c r="O381" s="34"/>
      <c r="P381" s="34"/>
    </row>
    <row r="382" spans="2:16" x14ac:dyDescent="0.3">
      <c r="B382" s="33"/>
      <c r="C382" s="34"/>
      <c r="D382" s="34"/>
      <c r="E382" s="34"/>
      <c r="F382" s="34"/>
      <c r="G382" s="34"/>
      <c r="H382" s="34"/>
      <c r="I382" s="34"/>
      <c r="J382" s="34"/>
      <c r="K382" s="35"/>
      <c r="L382" s="34"/>
      <c r="M382" s="32"/>
      <c r="N382" s="34"/>
      <c r="O382" s="34"/>
      <c r="P382" s="34"/>
    </row>
    <row r="383" spans="2:16" x14ac:dyDescent="0.3">
      <c r="B383" s="33"/>
      <c r="C383" s="34"/>
      <c r="D383" s="34"/>
      <c r="E383" s="34"/>
      <c r="F383" s="34"/>
      <c r="G383" s="34"/>
      <c r="H383" s="34"/>
      <c r="I383" s="34"/>
      <c r="J383" s="34"/>
      <c r="K383" s="35"/>
      <c r="L383" s="34"/>
      <c r="M383" s="32"/>
      <c r="N383" s="34"/>
      <c r="O383" s="34"/>
      <c r="P383" s="34"/>
    </row>
    <row r="384" spans="2:16" x14ac:dyDescent="0.3">
      <c r="B384" s="33"/>
      <c r="C384" s="34"/>
      <c r="D384" s="34"/>
      <c r="E384" s="34"/>
      <c r="F384" s="34"/>
      <c r="G384" s="34"/>
      <c r="H384" s="34"/>
      <c r="I384" s="34"/>
      <c r="J384" s="34"/>
      <c r="K384" s="35"/>
      <c r="L384" s="34"/>
      <c r="M384" s="32"/>
      <c r="N384" s="34"/>
      <c r="O384" s="34"/>
      <c r="P384" s="34"/>
    </row>
    <row r="385" spans="2:16" x14ac:dyDescent="0.3">
      <c r="B385" s="33"/>
      <c r="C385" s="34"/>
      <c r="D385" s="34"/>
      <c r="E385" s="34"/>
      <c r="F385" s="34"/>
      <c r="G385" s="34"/>
      <c r="H385" s="34"/>
      <c r="I385" s="34"/>
      <c r="J385" s="34"/>
      <c r="K385" s="35"/>
      <c r="L385" s="34"/>
      <c r="M385" s="32"/>
      <c r="N385" s="34"/>
      <c r="O385" s="34"/>
      <c r="P385" s="34"/>
    </row>
    <row r="386" spans="2:16" x14ac:dyDescent="0.3">
      <c r="B386" s="33"/>
      <c r="C386" s="34"/>
      <c r="D386" s="34"/>
      <c r="E386" s="34"/>
      <c r="F386" s="34"/>
      <c r="G386" s="34"/>
      <c r="H386" s="34"/>
      <c r="I386" s="34"/>
      <c r="J386" s="34"/>
      <c r="K386" s="35"/>
      <c r="L386" s="34"/>
      <c r="M386" s="32"/>
      <c r="N386" s="34"/>
      <c r="O386" s="34"/>
      <c r="P386" s="34"/>
    </row>
    <row r="387" spans="2:16" x14ac:dyDescent="0.3">
      <c r="B387" s="33"/>
      <c r="C387" s="34"/>
      <c r="D387" s="34"/>
      <c r="E387" s="34"/>
      <c r="F387" s="34"/>
      <c r="G387" s="34"/>
      <c r="H387" s="34"/>
      <c r="I387" s="34"/>
      <c r="J387" s="34"/>
      <c r="K387" s="35"/>
      <c r="L387" s="34"/>
      <c r="M387" s="32"/>
      <c r="N387" s="34"/>
      <c r="O387" s="34"/>
      <c r="P387" s="34"/>
    </row>
    <row r="388" spans="2:16" x14ac:dyDescent="0.3">
      <c r="B388" s="33"/>
      <c r="C388" s="34"/>
      <c r="D388" s="34"/>
      <c r="E388" s="34"/>
      <c r="F388" s="34"/>
      <c r="G388" s="34"/>
      <c r="H388" s="34"/>
      <c r="I388" s="34"/>
      <c r="J388" s="34"/>
      <c r="K388" s="35"/>
      <c r="L388" s="34"/>
      <c r="M388" s="32"/>
      <c r="N388" s="34"/>
      <c r="O388" s="34"/>
      <c r="P388" s="34"/>
    </row>
    <row r="389" spans="2:16" x14ac:dyDescent="0.3">
      <c r="B389" s="33"/>
      <c r="C389" s="34"/>
      <c r="D389" s="34"/>
      <c r="E389" s="34"/>
      <c r="F389" s="34"/>
      <c r="G389" s="34"/>
      <c r="H389" s="34"/>
      <c r="I389" s="34"/>
      <c r="J389" s="34"/>
      <c r="K389" s="35"/>
      <c r="L389" s="34"/>
      <c r="M389" s="32"/>
      <c r="N389" s="34"/>
      <c r="O389" s="34"/>
      <c r="P389" s="34"/>
    </row>
    <row r="390" spans="2:16" x14ac:dyDescent="0.3">
      <c r="B390" s="33"/>
      <c r="C390" s="34"/>
      <c r="D390" s="34"/>
      <c r="E390" s="34"/>
      <c r="F390" s="34"/>
      <c r="G390" s="34"/>
      <c r="H390" s="34"/>
      <c r="I390" s="34"/>
      <c r="J390" s="34"/>
      <c r="K390" s="35"/>
      <c r="L390" s="34"/>
      <c r="M390" s="32"/>
      <c r="N390" s="34"/>
      <c r="O390" s="34"/>
      <c r="P390" s="34"/>
    </row>
    <row r="391" spans="2:16" x14ac:dyDescent="0.3">
      <c r="B391" s="33"/>
      <c r="C391" s="34"/>
      <c r="D391" s="34"/>
      <c r="E391" s="34"/>
      <c r="F391" s="34"/>
      <c r="G391" s="34"/>
      <c r="H391" s="34"/>
      <c r="I391" s="34"/>
      <c r="J391" s="34"/>
      <c r="K391" s="35"/>
      <c r="L391" s="34"/>
      <c r="M391" s="32"/>
      <c r="N391" s="34"/>
      <c r="O391" s="34"/>
      <c r="P391" s="34"/>
    </row>
    <row r="392" spans="2:16" x14ac:dyDescent="0.3">
      <c r="B392" s="33"/>
      <c r="C392" s="34"/>
      <c r="D392" s="34"/>
      <c r="E392" s="34"/>
      <c r="F392" s="34"/>
      <c r="G392" s="34"/>
      <c r="H392" s="34"/>
      <c r="I392" s="34"/>
      <c r="J392" s="34"/>
      <c r="K392" s="35"/>
      <c r="L392" s="34"/>
      <c r="M392" s="32"/>
      <c r="N392" s="34"/>
      <c r="O392" s="34"/>
      <c r="P392" s="34"/>
    </row>
    <row r="393" spans="2:16" x14ac:dyDescent="0.3">
      <c r="B393" s="33"/>
      <c r="C393" s="34"/>
      <c r="D393" s="34"/>
      <c r="E393" s="34"/>
      <c r="F393" s="34"/>
      <c r="G393" s="34"/>
      <c r="H393" s="34"/>
      <c r="I393" s="34"/>
      <c r="J393" s="34"/>
      <c r="K393" s="35"/>
      <c r="L393" s="34"/>
      <c r="M393" s="32"/>
      <c r="N393" s="34"/>
      <c r="O393" s="34"/>
      <c r="P393" s="34"/>
    </row>
    <row r="394" spans="2:16" x14ac:dyDescent="0.3">
      <c r="B394" s="33"/>
      <c r="C394" s="34"/>
      <c r="D394" s="34"/>
      <c r="E394" s="34"/>
      <c r="F394" s="34"/>
      <c r="G394" s="34"/>
      <c r="H394" s="34"/>
      <c r="I394" s="34"/>
      <c r="J394" s="34"/>
      <c r="K394" s="35"/>
      <c r="L394" s="34"/>
      <c r="M394" s="32"/>
      <c r="N394" s="34"/>
      <c r="O394" s="34"/>
      <c r="P394" s="34"/>
    </row>
    <row r="395" spans="2:16" x14ac:dyDescent="0.3">
      <c r="B395" s="33"/>
      <c r="C395" s="34"/>
      <c r="D395" s="34"/>
      <c r="E395" s="34"/>
      <c r="F395" s="34"/>
      <c r="G395" s="34"/>
      <c r="H395" s="34"/>
      <c r="I395" s="34"/>
      <c r="J395" s="34"/>
      <c r="K395" s="35"/>
      <c r="L395" s="34"/>
      <c r="M395" s="32"/>
      <c r="N395" s="34"/>
      <c r="O395" s="34"/>
      <c r="P395" s="34"/>
    </row>
    <row r="396" spans="2:16" x14ac:dyDescent="0.3">
      <c r="B396" s="33"/>
      <c r="C396" s="34"/>
      <c r="D396" s="34"/>
      <c r="E396" s="34"/>
      <c r="F396" s="34"/>
      <c r="G396" s="34"/>
      <c r="H396" s="34"/>
      <c r="I396" s="34"/>
      <c r="J396" s="34"/>
      <c r="K396" s="35"/>
      <c r="L396" s="34"/>
      <c r="M396" s="32"/>
      <c r="N396" s="34"/>
      <c r="O396" s="34"/>
      <c r="P396" s="34"/>
    </row>
    <row r="397" spans="2:16" x14ac:dyDescent="0.3">
      <c r="B397" s="33"/>
      <c r="C397" s="34"/>
      <c r="D397" s="34"/>
      <c r="E397" s="34"/>
      <c r="F397" s="34"/>
      <c r="G397" s="34"/>
      <c r="H397" s="34"/>
      <c r="I397" s="34"/>
      <c r="J397" s="34"/>
      <c r="K397" s="35"/>
      <c r="L397" s="34"/>
      <c r="M397" s="32"/>
      <c r="N397" s="34"/>
      <c r="O397" s="34"/>
      <c r="P397" s="34"/>
    </row>
    <row r="398" spans="2:16" x14ac:dyDescent="0.3">
      <c r="B398" s="33"/>
      <c r="C398" s="34"/>
      <c r="D398" s="34"/>
      <c r="E398" s="34"/>
      <c r="F398" s="34"/>
      <c r="G398" s="34"/>
      <c r="H398" s="34"/>
      <c r="I398" s="34"/>
      <c r="J398" s="34"/>
      <c r="K398" s="35"/>
      <c r="L398" s="34"/>
      <c r="M398" s="32"/>
      <c r="N398" s="34"/>
      <c r="O398" s="34"/>
      <c r="P398" s="34"/>
    </row>
    <row r="399" spans="2:16" x14ac:dyDescent="0.3">
      <c r="B399" s="33"/>
      <c r="C399" s="34"/>
      <c r="D399" s="34"/>
      <c r="E399" s="34"/>
      <c r="F399" s="34"/>
      <c r="G399" s="34"/>
      <c r="H399" s="34"/>
      <c r="I399" s="34"/>
      <c r="J399" s="34"/>
      <c r="K399" s="35"/>
      <c r="L399" s="34"/>
      <c r="M399" s="32"/>
      <c r="N399" s="34"/>
      <c r="O399" s="34"/>
      <c r="P399" s="34"/>
    </row>
    <row r="400" spans="2:16" x14ac:dyDescent="0.3">
      <c r="B400" s="33"/>
      <c r="C400" s="34"/>
      <c r="D400" s="34"/>
      <c r="E400" s="34"/>
      <c r="F400" s="34"/>
      <c r="G400" s="34"/>
      <c r="H400" s="34"/>
      <c r="I400" s="34"/>
      <c r="J400" s="34"/>
      <c r="K400" s="35"/>
      <c r="L400" s="34"/>
      <c r="M400" s="32"/>
      <c r="N400" s="34"/>
      <c r="O400" s="34"/>
      <c r="P400" s="34"/>
    </row>
    <row r="401" spans="2:16" x14ac:dyDescent="0.3">
      <c r="B401" s="33"/>
      <c r="C401" s="34"/>
      <c r="D401" s="34"/>
      <c r="E401" s="34"/>
      <c r="F401" s="34"/>
      <c r="G401" s="34"/>
      <c r="H401" s="34"/>
      <c r="I401" s="34"/>
      <c r="J401" s="34"/>
      <c r="K401" s="35"/>
      <c r="L401" s="34"/>
      <c r="M401" s="32"/>
      <c r="N401" s="34"/>
      <c r="O401" s="34"/>
      <c r="P401" s="34"/>
    </row>
    <row r="402" spans="2:16" x14ac:dyDescent="0.3">
      <c r="B402" s="33"/>
      <c r="C402" s="34"/>
      <c r="D402" s="34"/>
      <c r="E402" s="34"/>
      <c r="F402" s="34"/>
      <c r="G402" s="34"/>
      <c r="H402" s="34"/>
      <c r="I402" s="34"/>
      <c r="J402" s="34"/>
      <c r="K402" s="35"/>
      <c r="L402" s="34"/>
      <c r="M402" s="32"/>
      <c r="N402" s="34"/>
      <c r="O402" s="34"/>
      <c r="P402" s="34"/>
    </row>
    <row r="403" spans="2:16" x14ac:dyDescent="0.3">
      <c r="B403" s="33"/>
      <c r="C403" s="34"/>
      <c r="D403" s="34"/>
      <c r="E403" s="34"/>
      <c r="F403" s="34"/>
      <c r="G403" s="34"/>
      <c r="H403" s="34"/>
      <c r="I403" s="34"/>
      <c r="J403" s="34"/>
      <c r="K403" s="35"/>
      <c r="L403" s="34"/>
      <c r="M403" s="32"/>
      <c r="N403" s="34"/>
      <c r="O403" s="34"/>
      <c r="P403" s="34"/>
    </row>
    <row r="404" spans="2:16" x14ac:dyDescent="0.3">
      <c r="B404" s="33"/>
      <c r="C404" s="34"/>
      <c r="D404" s="34"/>
      <c r="E404" s="34"/>
      <c r="F404" s="34"/>
      <c r="G404" s="34"/>
      <c r="H404" s="34"/>
      <c r="I404" s="34"/>
      <c r="J404" s="34"/>
      <c r="K404" s="35"/>
      <c r="L404" s="34"/>
      <c r="M404" s="32"/>
      <c r="N404" s="34"/>
      <c r="O404" s="34"/>
      <c r="P404" s="34"/>
    </row>
    <row r="405" spans="2:16" x14ac:dyDescent="0.3">
      <c r="B405" s="33"/>
      <c r="C405" s="34"/>
      <c r="D405" s="34"/>
      <c r="E405" s="34"/>
      <c r="F405" s="34"/>
      <c r="G405" s="34"/>
      <c r="H405" s="34"/>
      <c r="I405" s="34"/>
      <c r="J405" s="34"/>
      <c r="K405" s="35"/>
      <c r="L405" s="34"/>
      <c r="M405" s="32"/>
      <c r="N405" s="34"/>
      <c r="O405" s="34"/>
      <c r="P405" s="34"/>
    </row>
    <row r="406" spans="2:16" x14ac:dyDescent="0.3">
      <c r="B406" s="33"/>
      <c r="C406" s="34"/>
      <c r="D406" s="34"/>
      <c r="E406" s="34"/>
      <c r="F406" s="34"/>
      <c r="G406" s="34"/>
      <c r="H406" s="34"/>
      <c r="I406" s="34"/>
      <c r="J406" s="34"/>
      <c r="K406" s="35"/>
      <c r="L406" s="34"/>
      <c r="M406" s="32"/>
      <c r="N406" s="34"/>
      <c r="O406" s="34"/>
      <c r="P406" s="34"/>
    </row>
    <row r="407" spans="2:16" x14ac:dyDescent="0.3">
      <c r="B407" s="33"/>
      <c r="C407" s="34"/>
      <c r="D407" s="34"/>
      <c r="E407" s="34"/>
      <c r="F407" s="34"/>
      <c r="G407" s="34"/>
      <c r="H407" s="34"/>
      <c r="I407" s="34"/>
      <c r="J407" s="34"/>
      <c r="K407" s="35"/>
      <c r="L407" s="34"/>
      <c r="M407" s="32"/>
      <c r="N407" s="34"/>
      <c r="O407" s="34"/>
      <c r="P407" s="34"/>
    </row>
    <row r="408" spans="2:16" x14ac:dyDescent="0.3">
      <c r="B408" s="33"/>
      <c r="C408" s="34"/>
      <c r="D408" s="34"/>
      <c r="E408" s="34"/>
      <c r="F408" s="34"/>
      <c r="G408" s="34"/>
      <c r="H408" s="34"/>
      <c r="I408" s="34"/>
      <c r="J408" s="34"/>
      <c r="K408" s="35"/>
      <c r="L408" s="34"/>
      <c r="M408" s="32"/>
      <c r="N408" s="34"/>
      <c r="O408" s="34"/>
      <c r="P408" s="34"/>
    </row>
    <row r="409" spans="2:16" x14ac:dyDescent="0.3">
      <c r="B409" s="33"/>
      <c r="C409" s="34"/>
      <c r="D409" s="34"/>
      <c r="E409" s="34"/>
      <c r="F409" s="34"/>
      <c r="G409" s="34"/>
      <c r="H409" s="34"/>
      <c r="I409" s="34"/>
      <c r="J409" s="34"/>
      <c r="K409" s="35"/>
      <c r="L409" s="34"/>
      <c r="M409" s="32"/>
      <c r="N409" s="34"/>
      <c r="O409" s="34"/>
      <c r="P409" s="34"/>
    </row>
    <row r="410" spans="2:16" x14ac:dyDescent="0.3">
      <c r="B410" s="33"/>
      <c r="C410" s="34"/>
      <c r="D410" s="34"/>
      <c r="E410" s="34"/>
      <c r="F410" s="34"/>
      <c r="G410" s="34"/>
      <c r="H410" s="34"/>
      <c r="I410" s="34"/>
      <c r="J410" s="34"/>
      <c r="K410" s="35"/>
      <c r="L410" s="34"/>
      <c r="M410" s="32"/>
      <c r="N410" s="34"/>
      <c r="O410" s="34"/>
      <c r="P410" s="34"/>
    </row>
    <row r="411" spans="2:16" x14ac:dyDescent="0.3">
      <c r="B411" s="33"/>
      <c r="C411" s="34"/>
      <c r="D411" s="34"/>
      <c r="E411" s="34"/>
      <c r="F411" s="34"/>
      <c r="G411" s="34"/>
      <c r="H411" s="34"/>
      <c r="I411" s="34"/>
      <c r="J411" s="34"/>
      <c r="K411" s="35"/>
      <c r="L411" s="34"/>
      <c r="M411" s="32"/>
      <c r="N411" s="34"/>
      <c r="O411" s="34"/>
      <c r="P411" s="34"/>
    </row>
    <row r="412" spans="2:16" x14ac:dyDescent="0.3">
      <c r="B412" s="33"/>
      <c r="C412" s="34"/>
      <c r="D412" s="34"/>
      <c r="E412" s="34"/>
      <c r="F412" s="34"/>
      <c r="G412" s="34"/>
      <c r="H412" s="34"/>
      <c r="I412" s="34"/>
      <c r="J412" s="34"/>
      <c r="K412" s="35"/>
      <c r="L412" s="34"/>
      <c r="M412" s="32"/>
      <c r="N412" s="34"/>
      <c r="O412" s="34"/>
      <c r="P412" s="34"/>
    </row>
    <row r="413" spans="2:16" x14ac:dyDescent="0.3">
      <c r="B413" s="33"/>
      <c r="C413" s="34"/>
      <c r="D413" s="34"/>
      <c r="E413" s="34"/>
      <c r="F413" s="34"/>
      <c r="G413" s="34"/>
      <c r="H413" s="34"/>
      <c r="I413" s="34"/>
      <c r="J413" s="34"/>
      <c r="K413" s="35"/>
      <c r="L413" s="34"/>
      <c r="M413" s="32"/>
      <c r="N413" s="34"/>
      <c r="O413" s="34"/>
      <c r="P413" s="34"/>
    </row>
    <row r="414" spans="2:16" x14ac:dyDescent="0.3">
      <c r="B414" s="33"/>
      <c r="C414" s="34"/>
      <c r="D414" s="34"/>
      <c r="E414" s="34"/>
      <c r="F414" s="34"/>
      <c r="G414" s="34"/>
      <c r="H414" s="34"/>
      <c r="I414" s="34"/>
      <c r="J414" s="34"/>
      <c r="K414" s="35"/>
      <c r="L414" s="34"/>
      <c r="M414" s="32"/>
      <c r="N414" s="34"/>
      <c r="O414" s="34"/>
      <c r="P414" s="34"/>
    </row>
    <row r="415" spans="2:16" x14ac:dyDescent="0.3">
      <c r="B415" s="33"/>
      <c r="C415" s="34"/>
      <c r="D415" s="34"/>
      <c r="E415" s="34"/>
      <c r="F415" s="34"/>
      <c r="G415" s="34"/>
      <c r="H415" s="34"/>
      <c r="I415" s="34"/>
      <c r="J415" s="34"/>
      <c r="K415" s="35"/>
      <c r="L415" s="34"/>
      <c r="M415" s="32"/>
      <c r="N415" s="34"/>
      <c r="O415" s="34"/>
      <c r="P415" s="34"/>
    </row>
    <row r="416" spans="2:16" x14ac:dyDescent="0.3">
      <c r="B416" s="33"/>
      <c r="C416" s="34"/>
      <c r="D416" s="34"/>
      <c r="E416" s="34"/>
      <c r="F416" s="34"/>
      <c r="G416" s="34"/>
      <c r="H416" s="34"/>
      <c r="I416" s="34"/>
      <c r="J416" s="34"/>
      <c r="K416" s="35"/>
      <c r="L416" s="34"/>
      <c r="M416" s="32"/>
      <c r="N416" s="34"/>
      <c r="O416" s="34"/>
      <c r="P416" s="34"/>
    </row>
    <row r="417" spans="2:16" x14ac:dyDescent="0.3">
      <c r="B417" s="33"/>
      <c r="C417" s="34"/>
      <c r="D417" s="34"/>
      <c r="E417" s="34"/>
      <c r="F417" s="34"/>
      <c r="G417" s="34"/>
      <c r="H417" s="34"/>
      <c r="I417" s="34"/>
      <c r="J417" s="34"/>
      <c r="K417" s="35"/>
      <c r="L417" s="34"/>
      <c r="M417" s="32"/>
      <c r="N417" s="34"/>
      <c r="O417" s="34"/>
      <c r="P417" s="34"/>
    </row>
    <row r="418" spans="2:16" x14ac:dyDescent="0.3">
      <c r="B418" s="33"/>
      <c r="C418" s="34"/>
      <c r="D418" s="34"/>
      <c r="E418" s="34"/>
      <c r="F418" s="34"/>
      <c r="G418" s="34"/>
      <c r="H418" s="34"/>
      <c r="I418" s="34"/>
      <c r="J418" s="34"/>
      <c r="K418" s="35"/>
      <c r="L418" s="34"/>
      <c r="M418" s="32"/>
      <c r="N418" s="34"/>
      <c r="O418" s="34"/>
      <c r="P418" s="34"/>
    </row>
    <row r="419" spans="2:16" x14ac:dyDescent="0.3">
      <c r="B419" s="33"/>
      <c r="C419" s="34"/>
      <c r="D419" s="34"/>
      <c r="E419" s="34"/>
      <c r="F419" s="34"/>
      <c r="G419" s="34"/>
      <c r="H419" s="34"/>
      <c r="I419" s="34"/>
      <c r="J419" s="34"/>
      <c r="K419" s="35"/>
      <c r="L419" s="34"/>
      <c r="M419" s="32"/>
      <c r="N419" s="34"/>
      <c r="O419" s="34"/>
      <c r="P419" s="34"/>
    </row>
    <row r="420" spans="2:16" x14ac:dyDescent="0.3">
      <c r="B420" s="33"/>
      <c r="C420" s="34"/>
      <c r="D420" s="34"/>
      <c r="E420" s="34"/>
      <c r="F420" s="34"/>
      <c r="G420" s="34"/>
      <c r="H420" s="34"/>
      <c r="I420" s="34"/>
      <c r="J420" s="34"/>
      <c r="K420" s="35"/>
      <c r="L420" s="34"/>
      <c r="M420" s="32"/>
      <c r="N420" s="34"/>
      <c r="O420" s="34"/>
      <c r="P420" s="34"/>
    </row>
    <row r="421" spans="2:16" x14ac:dyDescent="0.3">
      <c r="B421" s="33"/>
      <c r="C421" s="34"/>
      <c r="D421" s="34"/>
      <c r="E421" s="34"/>
      <c r="F421" s="34"/>
      <c r="G421" s="34"/>
      <c r="H421" s="34"/>
      <c r="I421" s="34"/>
      <c r="J421" s="34"/>
      <c r="K421" s="35"/>
      <c r="L421" s="34"/>
      <c r="M421" s="32"/>
      <c r="N421" s="34"/>
      <c r="O421" s="34"/>
      <c r="P421" s="34"/>
    </row>
    <row r="422" spans="2:16" x14ac:dyDescent="0.3">
      <c r="B422" s="33"/>
      <c r="C422" s="34"/>
      <c r="D422" s="34"/>
      <c r="E422" s="34"/>
      <c r="F422" s="34"/>
      <c r="G422" s="34"/>
      <c r="H422" s="34"/>
      <c r="I422" s="34"/>
      <c r="J422" s="34"/>
      <c r="K422" s="35"/>
      <c r="L422" s="34"/>
      <c r="M422" s="32"/>
      <c r="N422" s="34"/>
      <c r="O422" s="34"/>
      <c r="P422" s="34"/>
    </row>
    <row r="423" spans="2:16" x14ac:dyDescent="0.3">
      <c r="B423" s="33"/>
      <c r="C423" s="34"/>
      <c r="D423" s="34"/>
      <c r="E423" s="34"/>
      <c r="F423" s="34"/>
      <c r="G423" s="34"/>
      <c r="H423" s="34"/>
      <c r="I423" s="34"/>
      <c r="J423" s="34"/>
      <c r="K423" s="35"/>
      <c r="L423" s="34"/>
      <c r="M423" s="32"/>
      <c r="N423" s="34"/>
      <c r="O423" s="34"/>
      <c r="P423" s="34"/>
    </row>
    <row r="424" spans="2:16" x14ac:dyDescent="0.3">
      <c r="B424" s="33"/>
      <c r="C424" s="34"/>
      <c r="D424" s="34"/>
      <c r="E424" s="34"/>
      <c r="F424" s="34"/>
      <c r="G424" s="34"/>
      <c r="H424" s="34"/>
      <c r="I424" s="34"/>
      <c r="J424" s="34"/>
      <c r="K424" s="35"/>
      <c r="L424" s="34"/>
      <c r="M424" s="32"/>
      <c r="N424" s="34"/>
      <c r="O424" s="34"/>
      <c r="P424" s="34"/>
    </row>
    <row r="425" spans="2:16" x14ac:dyDescent="0.3">
      <c r="B425" s="33"/>
      <c r="C425" s="34"/>
      <c r="D425" s="34"/>
      <c r="E425" s="34"/>
      <c r="F425" s="34"/>
      <c r="G425" s="34"/>
      <c r="H425" s="34"/>
      <c r="I425" s="34"/>
      <c r="J425" s="34"/>
      <c r="K425" s="35"/>
      <c r="L425" s="34"/>
      <c r="M425" s="32"/>
      <c r="N425" s="34"/>
      <c r="O425" s="34"/>
      <c r="P425" s="34"/>
    </row>
    <row r="426" spans="2:16" x14ac:dyDescent="0.3">
      <c r="B426" s="33"/>
      <c r="C426" s="34"/>
      <c r="D426" s="34"/>
      <c r="E426" s="34"/>
      <c r="F426" s="34"/>
      <c r="G426" s="34"/>
      <c r="H426" s="34"/>
      <c r="I426" s="34"/>
      <c r="J426" s="34"/>
      <c r="K426" s="35"/>
      <c r="L426" s="34"/>
      <c r="M426" s="32"/>
      <c r="N426" s="34"/>
      <c r="O426" s="34"/>
      <c r="P426" s="34"/>
    </row>
    <row r="427" spans="2:16" x14ac:dyDescent="0.3">
      <c r="B427" s="33"/>
      <c r="C427" s="34"/>
      <c r="D427" s="34"/>
      <c r="E427" s="34"/>
      <c r="F427" s="34"/>
      <c r="G427" s="34"/>
      <c r="H427" s="34"/>
      <c r="I427" s="34"/>
      <c r="J427" s="34"/>
      <c r="K427" s="35"/>
      <c r="L427" s="34"/>
      <c r="M427" s="32"/>
      <c r="N427" s="34"/>
      <c r="O427" s="34"/>
      <c r="P427" s="34"/>
    </row>
    <row r="428" spans="2:16" x14ac:dyDescent="0.3">
      <c r="B428" s="33"/>
      <c r="C428" s="34"/>
      <c r="D428" s="34"/>
      <c r="E428" s="34"/>
      <c r="F428" s="34"/>
      <c r="G428" s="34"/>
      <c r="H428" s="34"/>
      <c r="I428" s="34"/>
      <c r="J428" s="34"/>
      <c r="K428" s="35"/>
      <c r="L428" s="34"/>
      <c r="M428" s="32"/>
      <c r="N428" s="34"/>
      <c r="O428" s="34"/>
      <c r="P428" s="34"/>
    </row>
    <row r="429" spans="2:16" x14ac:dyDescent="0.3">
      <c r="B429" s="33"/>
      <c r="C429" s="34"/>
      <c r="D429" s="34"/>
      <c r="E429" s="34"/>
      <c r="F429" s="34"/>
      <c r="G429" s="34"/>
      <c r="H429" s="34"/>
      <c r="I429" s="34"/>
      <c r="J429" s="34"/>
      <c r="K429" s="35"/>
      <c r="L429" s="34"/>
      <c r="M429" s="32"/>
      <c r="N429" s="34"/>
      <c r="O429" s="34"/>
      <c r="P429" s="34"/>
    </row>
    <row r="430" spans="2:16" x14ac:dyDescent="0.3">
      <c r="B430" s="33"/>
      <c r="C430" s="34"/>
      <c r="D430" s="34"/>
      <c r="E430" s="34"/>
      <c r="F430" s="34"/>
      <c r="G430" s="34"/>
      <c r="H430" s="34"/>
      <c r="I430" s="34"/>
      <c r="J430" s="34"/>
      <c r="K430" s="35"/>
      <c r="L430" s="34"/>
      <c r="M430" s="32"/>
      <c r="N430" s="34"/>
      <c r="O430" s="34"/>
      <c r="P430" s="34"/>
    </row>
    <row r="431" spans="2:16" x14ac:dyDescent="0.3">
      <c r="B431" s="33"/>
      <c r="C431" s="34"/>
      <c r="D431" s="34"/>
      <c r="E431" s="34"/>
      <c r="F431" s="34"/>
      <c r="G431" s="34"/>
      <c r="H431" s="34"/>
      <c r="I431" s="34"/>
      <c r="J431" s="34"/>
      <c r="K431" s="35"/>
      <c r="L431" s="34"/>
      <c r="M431" s="32"/>
      <c r="N431" s="34"/>
      <c r="O431" s="34"/>
      <c r="P431" s="34"/>
    </row>
    <row r="432" spans="2:16" x14ac:dyDescent="0.3">
      <c r="B432" s="33"/>
      <c r="C432" s="34"/>
      <c r="D432" s="34"/>
      <c r="E432" s="34"/>
      <c r="F432" s="34"/>
      <c r="G432" s="34"/>
      <c r="H432" s="34"/>
      <c r="I432" s="34"/>
      <c r="J432" s="34"/>
      <c r="K432" s="35"/>
      <c r="L432" s="34"/>
      <c r="M432" s="32"/>
      <c r="N432" s="34"/>
      <c r="O432" s="34"/>
      <c r="P432" s="34"/>
    </row>
    <row r="433" spans="2:16" x14ac:dyDescent="0.3">
      <c r="B433" s="33"/>
      <c r="C433" s="34"/>
      <c r="D433" s="34"/>
      <c r="E433" s="34"/>
      <c r="F433" s="34"/>
      <c r="G433" s="34"/>
      <c r="H433" s="34"/>
      <c r="I433" s="34"/>
      <c r="J433" s="34"/>
      <c r="K433" s="35"/>
      <c r="L433" s="34"/>
      <c r="M433" s="32"/>
      <c r="N433" s="34"/>
      <c r="O433" s="34"/>
      <c r="P433" s="34"/>
    </row>
    <row r="434" spans="2:16" x14ac:dyDescent="0.3">
      <c r="B434" s="33"/>
      <c r="C434" s="34"/>
      <c r="D434" s="34"/>
      <c r="E434" s="34"/>
      <c r="F434" s="34"/>
      <c r="G434" s="34"/>
      <c r="H434" s="34"/>
      <c r="I434" s="34"/>
      <c r="J434" s="34"/>
      <c r="K434" s="35"/>
      <c r="L434" s="34"/>
      <c r="M434" s="32"/>
      <c r="N434" s="34"/>
      <c r="O434" s="34"/>
      <c r="P434" s="34"/>
    </row>
    <row r="435" spans="2:16" x14ac:dyDescent="0.3">
      <c r="B435" s="33"/>
      <c r="C435" s="34"/>
      <c r="D435" s="34"/>
      <c r="E435" s="34"/>
      <c r="F435" s="34"/>
      <c r="G435" s="34"/>
      <c r="H435" s="34"/>
      <c r="I435" s="34"/>
      <c r="J435" s="34"/>
      <c r="K435" s="35"/>
      <c r="L435" s="34"/>
      <c r="M435" s="32"/>
      <c r="N435" s="34"/>
      <c r="O435" s="34"/>
      <c r="P435" s="34"/>
    </row>
    <row r="436" spans="2:16" x14ac:dyDescent="0.3">
      <c r="B436" s="33"/>
      <c r="C436" s="34"/>
      <c r="D436" s="34"/>
      <c r="E436" s="34"/>
      <c r="F436" s="34"/>
      <c r="G436" s="34"/>
      <c r="H436" s="34"/>
      <c r="I436" s="34"/>
      <c r="J436" s="34"/>
      <c r="K436" s="35"/>
      <c r="L436" s="34"/>
      <c r="M436" s="32"/>
      <c r="N436" s="34"/>
      <c r="O436" s="34"/>
      <c r="P436" s="34"/>
    </row>
    <row r="437" spans="2:16" x14ac:dyDescent="0.3">
      <c r="B437" s="33"/>
      <c r="C437" s="34"/>
      <c r="D437" s="34"/>
      <c r="E437" s="34"/>
      <c r="F437" s="34"/>
      <c r="G437" s="34"/>
      <c r="H437" s="34"/>
      <c r="I437" s="34"/>
      <c r="J437" s="34"/>
      <c r="K437" s="35"/>
      <c r="L437" s="34"/>
      <c r="M437" s="32"/>
      <c r="N437" s="34"/>
      <c r="O437" s="34"/>
      <c r="P437" s="34"/>
    </row>
    <row r="438" spans="2:16" x14ac:dyDescent="0.3">
      <c r="B438" s="33"/>
      <c r="C438" s="34"/>
      <c r="D438" s="34"/>
      <c r="E438" s="34"/>
      <c r="F438" s="34"/>
      <c r="G438" s="34"/>
      <c r="H438" s="34"/>
      <c r="I438" s="34"/>
      <c r="J438" s="34"/>
      <c r="K438" s="35"/>
      <c r="L438" s="34"/>
      <c r="M438" s="32"/>
      <c r="N438" s="34"/>
      <c r="O438" s="34"/>
      <c r="P438" s="34"/>
    </row>
    <row r="439" spans="2:16" x14ac:dyDescent="0.3">
      <c r="B439" s="33"/>
      <c r="C439" s="34"/>
      <c r="D439" s="34"/>
      <c r="E439" s="34"/>
      <c r="F439" s="34"/>
      <c r="G439" s="34"/>
      <c r="H439" s="34"/>
      <c r="I439" s="34"/>
      <c r="J439" s="34"/>
      <c r="K439" s="35"/>
      <c r="L439" s="34"/>
      <c r="M439" s="32"/>
      <c r="N439" s="34"/>
      <c r="O439" s="34"/>
      <c r="P439" s="34"/>
    </row>
    <row r="440" spans="2:16" x14ac:dyDescent="0.3">
      <c r="B440" s="33"/>
      <c r="C440" s="34"/>
      <c r="D440" s="34"/>
      <c r="E440" s="34"/>
      <c r="F440" s="34"/>
      <c r="G440" s="34"/>
      <c r="H440" s="34"/>
      <c r="I440" s="34"/>
      <c r="J440" s="34"/>
      <c r="K440" s="35"/>
      <c r="L440" s="34"/>
      <c r="M440" s="32"/>
      <c r="N440" s="34"/>
      <c r="O440" s="34"/>
      <c r="P440" s="34"/>
    </row>
    <row r="441" spans="2:16" x14ac:dyDescent="0.3">
      <c r="B441" s="33"/>
      <c r="C441" s="34"/>
      <c r="D441" s="34"/>
      <c r="E441" s="34"/>
      <c r="F441" s="34"/>
      <c r="G441" s="34"/>
      <c r="H441" s="34"/>
      <c r="I441" s="34"/>
      <c r="J441" s="34"/>
      <c r="K441" s="35"/>
      <c r="L441" s="34"/>
      <c r="M441" s="32"/>
      <c r="N441" s="34"/>
      <c r="O441" s="34"/>
      <c r="P441" s="34"/>
    </row>
    <row r="442" spans="2:16" x14ac:dyDescent="0.3">
      <c r="B442" s="33"/>
      <c r="C442" s="34"/>
      <c r="D442" s="34"/>
      <c r="E442" s="34"/>
      <c r="F442" s="34"/>
      <c r="G442" s="34"/>
      <c r="H442" s="34"/>
      <c r="I442" s="34"/>
      <c r="J442" s="34"/>
      <c r="K442" s="35"/>
      <c r="L442" s="34"/>
      <c r="M442" s="32"/>
      <c r="N442" s="34"/>
      <c r="O442" s="34"/>
      <c r="P442" s="34"/>
    </row>
    <row r="443" spans="2:16" x14ac:dyDescent="0.3">
      <c r="B443" s="33"/>
      <c r="C443" s="34"/>
      <c r="D443" s="34"/>
      <c r="E443" s="34"/>
      <c r="F443" s="34"/>
      <c r="G443" s="34"/>
      <c r="H443" s="34"/>
      <c r="I443" s="34"/>
      <c r="J443" s="34"/>
      <c r="K443" s="35"/>
      <c r="L443" s="34"/>
      <c r="M443" s="32"/>
      <c r="N443" s="34"/>
      <c r="O443" s="34"/>
      <c r="P443" s="34"/>
    </row>
    <row r="444" spans="2:16" x14ac:dyDescent="0.3">
      <c r="B444" s="33"/>
      <c r="C444" s="34"/>
      <c r="D444" s="34"/>
      <c r="E444" s="34"/>
      <c r="F444" s="34"/>
      <c r="G444" s="34"/>
      <c r="H444" s="34"/>
      <c r="I444" s="34"/>
      <c r="J444" s="34"/>
      <c r="K444" s="35"/>
      <c r="L444" s="34"/>
      <c r="M444" s="32"/>
      <c r="N444" s="34"/>
      <c r="O444" s="34"/>
      <c r="P444" s="34"/>
    </row>
    <row r="445" spans="2:16" x14ac:dyDescent="0.3">
      <c r="B445" s="33"/>
      <c r="C445" s="34"/>
      <c r="D445" s="34"/>
      <c r="E445" s="34"/>
      <c r="F445" s="34"/>
      <c r="G445" s="34"/>
      <c r="H445" s="34"/>
      <c r="I445" s="34"/>
      <c r="J445" s="34"/>
      <c r="K445" s="35"/>
      <c r="L445" s="34"/>
      <c r="M445" s="32"/>
      <c r="N445" s="34"/>
      <c r="O445" s="34"/>
      <c r="P445" s="34"/>
    </row>
    <row r="446" spans="2:16" x14ac:dyDescent="0.3">
      <c r="B446" s="33"/>
      <c r="C446" s="34"/>
      <c r="D446" s="34"/>
      <c r="E446" s="34"/>
      <c r="F446" s="34"/>
      <c r="G446" s="34"/>
      <c r="H446" s="34"/>
      <c r="I446" s="34"/>
      <c r="J446" s="34"/>
      <c r="K446" s="35"/>
      <c r="L446" s="34"/>
      <c r="M446" s="32"/>
      <c r="N446" s="34"/>
      <c r="O446" s="34"/>
      <c r="P446" s="34"/>
    </row>
    <row r="447" spans="2:16" x14ac:dyDescent="0.3">
      <c r="B447" s="33"/>
      <c r="C447" s="34"/>
      <c r="D447" s="34"/>
      <c r="E447" s="34"/>
      <c r="F447" s="34"/>
      <c r="G447" s="34"/>
      <c r="H447" s="34"/>
      <c r="I447" s="34"/>
      <c r="J447" s="34"/>
      <c r="K447" s="35"/>
      <c r="L447" s="34"/>
      <c r="M447" s="32"/>
      <c r="N447" s="34"/>
      <c r="O447" s="34"/>
      <c r="P447" s="34"/>
    </row>
    <row r="448" spans="2:16" x14ac:dyDescent="0.3">
      <c r="B448" s="33"/>
      <c r="C448" s="34"/>
      <c r="D448" s="34"/>
      <c r="E448" s="34"/>
      <c r="F448" s="34"/>
      <c r="G448" s="34"/>
      <c r="H448" s="34"/>
      <c r="I448" s="34"/>
      <c r="J448" s="34"/>
      <c r="K448" s="35"/>
      <c r="L448" s="34"/>
      <c r="M448" s="32"/>
      <c r="N448" s="34"/>
      <c r="O448" s="34"/>
      <c r="P448" s="34"/>
    </row>
    <row r="449" spans="2:16" x14ac:dyDescent="0.3">
      <c r="B449" s="33"/>
      <c r="C449" s="34"/>
      <c r="D449" s="34"/>
      <c r="E449" s="34"/>
      <c r="F449" s="34"/>
      <c r="G449" s="34"/>
      <c r="H449" s="34"/>
      <c r="I449" s="34"/>
      <c r="J449" s="34"/>
      <c r="K449" s="35"/>
      <c r="L449" s="34"/>
      <c r="M449" s="32"/>
      <c r="N449" s="34"/>
      <c r="O449" s="34"/>
      <c r="P449" s="34"/>
    </row>
    <row r="450" spans="2:16" x14ac:dyDescent="0.3">
      <c r="B450" s="33"/>
      <c r="C450" s="34"/>
      <c r="D450" s="34"/>
      <c r="E450" s="34"/>
      <c r="F450" s="34"/>
      <c r="G450" s="34"/>
      <c r="H450" s="34"/>
      <c r="I450" s="34"/>
      <c r="J450" s="34"/>
      <c r="K450" s="35"/>
      <c r="L450" s="34"/>
      <c r="M450" s="32"/>
      <c r="N450" s="34"/>
      <c r="O450" s="34"/>
      <c r="P450" s="34"/>
    </row>
    <row r="451" spans="2:16" x14ac:dyDescent="0.3">
      <c r="B451" s="33"/>
      <c r="C451" s="34"/>
      <c r="D451" s="34"/>
      <c r="E451" s="34"/>
      <c r="F451" s="34"/>
      <c r="G451" s="34"/>
      <c r="H451" s="34"/>
      <c r="I451" s="34"/>
      <c r="J451" s="34"/>
      <c r="K451" s="35"/>
      <c r="L451" s="34"/>
      <c r="M451" s="32"/>
      <c r="N451" s="34"/>
      <c r="O451" s="34"/>
      <c r="P451" s="34"/>
    </row>
    <row r="452" spans="2:16" x14ac:dyDescent="0.3">
      <c r="B452" s="33"/>
      <c r="C452" s="34"/>
      <c r="D452" s="34"/>
      <c r="E452" s="34"/>
      <c r="F452" s="34"/>
      <c r="G452" s="34"/>
      <c r="H452" s="34"/>
      <c r="I452" s="34"/>
      <c r="J452" s="34"/>
      <c r="K452" s="35"/>
      <c r="L452" s="34"/>
      <c r="M452" s="32"/>
      <c r="N452" s="34"/>
      <c r="O452" s="34"/>
      <c r="P452" s="34"/>
    </row>
    <row r="453" spans="2:16" x14ac:dyDescent="0.3">
      <c r="B453" s="33"/>
      <c r="C453" s="34"/>
      <c r="D453" s="34"/>
      <c r="E453" s="34"/>
      <c r="F453" s="34"/>
      <c r="G453" s="34"/>
      <c r="H453" s="34"/>
      <c r="I453" s="34"/>
      <c r="J453" s="34"/>
      <c r="K453" s="35"/>
      <c r="L453" s="34"/>
      <c r="M453" s="32"/>
      <c r="N453" s="34"/>
      <c r="O453" s="34"/>
      <c r="P453" s="34"/>
    </row>
    <row r="454" spans="2:16" x14ac:dyDescent="0.3">
      <c r="B454" s="33"/>
      <c r="C454" s="34"/>
      <c r="D454" s="34"/>
      <c r="E454" s="34"/>
      <c r="F454" s="34"/>
      <c r="G454" s="34"/>
      <c r="H454" s="34"/>
      <c r="I454" s="34"/>
      <c r="J454" s="34"/>
      <c r="K454" s="35"/>
      <c r="L454" s="34"/>
      <c r="M454" s="32"/>
      <c r="N454" s="34"/>
      <c r="O454" s="34"/>
      <c r="P454" s="34"/>
    </row>
    <row r="455" spans="2:16" x14ac:dyDescent="0.3">
      <c r="B455" s="33"/>
      <c r="C455" s="34"/>
      <c r="D455" s="34"/>
      <c r="E455" s="34"/>
      <c r="F455" s="34"/>
      <c r="G455" s="34"/>
      <c r="H455" s="34"/>
      <c r="I455" s="34"/>
      <c r="J455" s="34"/>
      <c r="K455" s="35"/>
      <c r="L455" s="34"/>
      <c r="M455" s="32"/>
      <c r="N455" s="34"/>
      <c r="O455" s="34"/>
      <c r="P455" s="34"/>
    </row>
    <row r="456" spans="2:16" x14ac:dyDescent="0.3">
      <c r="B456" s="33"/>
      <c r="C456" s="34"/>
      <c r="D456" s="34"/>
      <c r="E456" s="34"/>
      <c r="F456" s="34"/>
      <c r="G456" s="34"/>
      <c r="H456" s="34"/>
      <c r="I456" s="34"/>
      <c r="J456" s="34"/>
      <c r="K456" s="35"/>
      <c r="L456" s="34"/>
      <c r="M456" s="32"/>
      <c r="N456" s="34"/>
      <c r="O456" s="34"/>
      <c r="P456" s="34"/>
    </row>
    <row r="457" spans="2:16" x14ac:dyDescent="0.3">
      <c r="B457" s="33"/>
      <c r="C457" s="34"/>
      <c r="D457" s="34"/>
      <c r="E457" s="34"/>
      <c r="F457" s="34"/>
      <c r="G457" s="34"/>
      <c r="H457" s="34"/>
      <c r="I457" s="34"/>
      <c r="J457" s="34"/>
      <c r="K457" s="35"/>
      <c r="L457" s="34"/>
      <c r="M457" s="32"/>
      <c r="N457" s="34"/>
      <c r="O457" s="34"/>
      <c r="P457" s="34"/>
    </row>
    <row r="458" spans="2:16" x14ac:dyDescent="0.3">
      <c r="B458" s="33"/>
      <c r="C458" s="34"/>
      <c r="D458" s="34"/>
      <c r="E458" s="34"/>
      <c r="F458" s="34"/>
      <c r="G458" s="34"/>
      <c r="H458" s="34"/>
      <c r="I458" s="34"/>
      <c r="J458" s="34"/>
      <c r="K458" s="35"/>
      <c r="L458" s="34"/>
      <c r="M458" s="32"/>
      <c r="N458" s="34"/>
      <c r="O458" s="34"/>
      <c r="P458" s="34"/>
    </row>
    <row r="459" spans="2:16" x14ac:dyDescent="0.3">
      <c r="B459" s="33"/>
      <c r="C459" s="34"/>
      <c r="D459" s="34"/>
      <c r="E459" s="34"/>
      <c r="F459" s="34"/>
      <c r="G459" s="34"/>
      <c r="H459" s="34"/>
      <c r="I459" s="34"/>
      <c r="J459" s="34"/>
      <c r="K459" s="35"/>
      <c r="L459" s="34"/>
      <c r="M459" s="32"/>
      <c r="N459" s="34"/>
      <c r="O459" s="34"/>
      <c r="P459" s="34"/>
    </row>
    <row r="460" spans="2:16" x14ac:dyDescent="0.3">
      <c r="B460" s="33"/>
      <c r="C460" s="34"/>
      <c r="D460" s="34"/>
      <c r="E460" s="34"/>
      <c r="F460" s="34"/>
      <c r="G460" s="34"/>
      <c r="H460" s="34"/>
      <c r="I460" s="34"/>
      <c r="J460" s="34"/>
      <c r="K460" s="35"/>
      <c r="L460" s="34"/>
      <c r="M460" s="32"/>
      <c r="N460" s="34"/>
      <c r="O460" s="34"/>
      <c r="P460" s="34"/>
    </row>
    <row r="461" spans="2:16" x14ac:dyDescent="0.3">
      <c r="B461" s="33"/>
      <c r="C461" s="34"/>
      <c r="D461" s="34"/>
      <c r="E461" s="34"/>
      <c r="F461" s="34"/>
      <c r="G461" s="34"/>
      <c r="H461" s="34"/>
      <c r="I461" s="34"/>
      <c r="J461" s="34"/>
      <c r="K461" s="35"/>
      <c r="L461" s="34"/>
      <c r="M461" s="32"/>
      <c r="N461" s="34"/>
      <c r="O461" s="34"/>
      <c r="P461" s="34"/>
    </row>
    <row r="462" spans="2:16" x14ac:dyDescent="0.3">
      <c r="B462" s="33"/>
      <c r="C462" s="34"/>
      <c r="D462" s="34"/>
      <c r="E462" s="34"/>
      <c r="F462" s="34"/>
      <c r="G462" s="34"/>
      <c r="H462" s="34"/>
      <c r="I462" s="34"/>
      <c r="J462" s="34"/>
      <c r="K462" s="35"/>
      <c r="L462" s="34"/>
      <c r="M462" s="32"/>
      <c r="N462" s="34"/>
      <c r="O462" s="34"/>
      <c r="P462" s="34"/>
    </row>
    <row r="463" spans="2:16" x14ac:dyDescent="0.3">
      <c r="B463" s="33"/>
      <c r="C463" s="34"/>
      <c r="D463" s="34"/>
      <c r="E463" s="34"/>
      <c r="F463" s="34"/>
      <c r="G463" s="34"/>
      <c r="H463" s="34"/>
      <c r="I463" s="34"/>
      <c r="J463" s="34"/>
      <c r="K463" s="35"/>
      <c r="L463" s="34"/>
      <c r="M463" s="32"/>
      <c r="N463" s="34"/>
      <c r="O463" s="34"/>
      <c r="P463" s="34"/>
    </row>
    <row r="464" spans="2:16" x14ac:dyDescent="0.3">
      <c r="B464" s="33"/>
      <c r="C464" s="34"/>
      <c r="D464" s="34"/>
      <c r="E464" s="34"/>
      <c r="F464" s="34"/>
      <c r="G464" s="34"/>
      <c r="H464" s="34"/>
      <c r="I464" s="34"/>
      <c r="J464" s="34"/>
      <c r="K464" s="35"/>
      <c r="L464" s="34"/>
      <c r="M464" s="32"/>
      <c r="N464" s="34"/>
      <c r="O464" s="34"/>
      <c r="P464" s="34"/>
    </row>
    <row r="465" spans="2:16" x14ac:dyDescent="0.3">
      <c r="B465" s="33"/>
      <c r="C465" s="34"/>
      <c r="D465" s="34"/>
      <c r="E465" s="34"/>
      <c r="F465" s="34"/>
      <c r="G465" s="34"/>
      <c r="H465" s="34"/>
      <c r="I465" s="34"/>
      <c r="J465" s="34"/>
      <c r="K465" s="35"/>
      <c r="L465" s="34"/>
      <c r="M465" s="32"/>
      <c r="N465" s="34"/>
      <c r="O465" s="34"/>
      <c r="P465" s="34"/>
    </row>
    <row r="466" spans="2:16" x14ac:dyDescent="0.3">
      <c r="B466" s="33"/>
      <c r="C466" s="34"/>
      <c r="D466" s="34"/>
      <c r="E466" s="34"/>
      <c r="F466" s="34"/>
      <c r="G466" s="34"/>
      <c r="H466" s="34"/>
      <c r="I466" s="34"/>
      <c r="J466" s="34"/>
      <c r="K466" s="35"/>
      <c r="L466" s="34"/>
      <c r="M466" s="32"/>
      <c r="N466" s="34"/>
      <c r="O466" s="34"/>
      <c r="P466" s="34"/>
    </row>
    <row r="467" spans="2:16" x14ac:dyDescent="0.3">
      <c r="B467" s="33"/>
      <c r="C467" s="34"/>
      <c r="D467" s="34"/>
      <c r="E467" s="34"/>
      <c r="F467" s="34"/>
      <c r="G467" s="34"/>
      <c r="H467" s="34"/>
      <c r="I467" s="34"/>
      <c r="J467" s="34"/>
      <c r="K467" s="35"/>
      <c r="L467" s="34"/>
      <c r="M467" s="32"/>
      <c r="N467" s="34"/>
      <c r="O467" s="34"/>
      <c r="P467" s="34"/>
    </row>
    <row r="468" spans="2:16" x14ac:dyDescent="0.3">
      <c r="B468" s="33"/>
      <c r="C468" s="34"/>
      <c r="D468" s="34"/>
      <c r="E468" s="34"/>
      <c r="F468" s="34"/>
      <c r="G468" s="34"/>
      <c r="H468" s="34"/>
      <c r="I468" s="34"/>
      <c r="J468" s="34"/>
      <c r="K468" s="35"/>
      <c r="L468" s="34"/>
      <c r="M468" s="32"/>
      <c r="N468" s="34"/>
      <c r="O468" s="34"/>
      <c r="P468" s="34"/>
    </row>
    <row r="469" spans="2:16" x14ac:dyDescent="0.3">
      <c r="B469" s="33"/>
      <c r="C469" s="34"/>
      <c r="D469" s="34"/>
      <c r="E469" s="34"/>
      <c r="F469" s="34"/>
      <c r="G469" s="34"/>
      <c r="H469" s="34"/>
      <c r="I469" s="34"/>
      <c r="J469" s="34"/>
      <c r="K469" s="35"/>
      <c r="L469" s="34"/>
      <c r="M469" s="32"/>
      <c r="N469" s="34"/>
      <c r="O469" s="34"/>
      <c r="P469" s="34"/>
    </row>
    <row r="470" spans="2:16" x14ac:dyDescent="0.3">
      <c r="B470" s="33"/>
      <c r="C470" s="34"/>
      <c r="D470" s="34"/>
      <c r="E470" s="34"/>
      <c r="F470" s="34"/>
      <c r="G470" s="34"/>
      <c r="H470" s="34"/>
      <c r="I470" s="34"/>
      <c r="J470" s="34"/>
      <c r="K470" s="35"/>
      <c r="L470" s="34"/>
      <c r="M470" s="32"/>
      <c r="N470" s="34"/>
      <c r="O470" s="34"/>
      <c r="P470" s="34"/>
    </row>
    <row r="471" spans="2:16" x14ac:dyDescent="0.3">
      <c r="B471" s="33"/>
      <c r="C471" s="34"/>
      <c r="D471" s="34"/>
      <c r="E471" s="34"/>
      <c r="F471" s="34"/>
      <c r="G471" s="34"/>
      <c r="H471" s="34"/>
      <c r="I471" s="34"/>
      <c r="J471" s="34"/>
      <c r="K471" s="35"/>
      <c r="L471" s="34"/>
      <c r="M471" s="32"/>
      <c r="N471" s="34"/>
      <c r="O471" s="34"/>
      <c r="P471" s="34"/>
    </row>
    <row r="472" spans="2:16" x14ac:dyDescent="0.3">
      <c r="B472" s="33"/>
      <c r="C472" s="34"/>
      <c r="D472" s="34"/>
      <c r="E472" s="34"/>
      <c r="F472" s="34"/>
      <c r="G472" s="34"/>
      <c r="H472" s="34"/>
      <c r="I472" s="34"/>
      <c r="J472" s="34"/>
      <c r="K472" s="35"/>
      <c r="L472" s="34"/>
      <c r="M472" s="32"/>
      <c r="N472" s="34"/>
      <c r="O472" s="34"/>
      <c r="P472" s="34"/>
    </row>
    <row r="473" spans="2:16" x14ac:dyDescent="0.3">
      <c r="B473" s="33"/>
      <c r="C473" s="34"/>
      <c r="D473" s="34"/>
      <c r="E473" s="34"/>
      <c r="F473" s="34"/>
      <c r="G473" s="34"/>
      <c r="H473" s="34"/>
      <c r="I473" s="34"/>
      <c r="J473" s="34"/>
      <c r="K473" s="35"/>
      <c r="L473" s="34"/>
      <c r="M473" s="32"/>
      <c r="N473" s="34"/>
      <c r="O473" s="34"/>
      <c r="P473" s="34"/>
    </row>
    <row r="474" spans="2:16" x14ac:dyDescent="0.3">
      <c r="B474" s="33"/>
      <c r="C474" s="34"/>
      <c r="D474" s="34"/>
      <c r="E474" s="34"/>
      <c r="F474" s="34"/>
      <c r="G474" s="34"/>
      <c r="H474" s="34"/>
      <c r="I474" s="34"/>
      <c r="J474" s="34"/>
      <c r="K474" s="35"/>
      <c r="L474" s="34"/>
      <c r="M474" s="32"/>
      <c r="N474" s="34"/>
      <c r="O474" s="34"/>
      <c r="P474" s="34"/>
    </row>
    <row r="475" spans="2:16" x14ac:dyDescent="0.3">
      <c r="B475" s="33"/>
      <c r="C475" s="34"/>
      <c r="D475" s="34"/>
      <c r="E475" s="34"/>
      <c r="F475" s="34"/>
      <c r="G475" s="34"/>
      <c r="H475" s="34"/>
      <c r="I475" s="34"/>
      <c r="J475" s="34"/>
      <c r="K475" s="35"/>
      <c r="L475" s="34"/>
      <c r="M475" s="32"/>
      <c r="N475" s="34"/>
      <c r="O475" s="34"/>
      <c r="P475" s="34"/>
    </row>
    <row r="476" spans="2:16" x14ac:dyDescent="0.3">
      <c r="B476" s="33"/>
      <c r="C476" s="34"/>
      <c r="D476" s="34"/>
      <c r="E476" s="34"/>
      <c r="F476" s="34"/>
      <c r="G476" s="34"/>
      <c r="H476" s="34"/>
      <c r="I476" s="34"/>
      <c r="J476" s="34"/>
      <c r="K476" s="35"/>
      <c r="L476" s="34"/>
      <c r="M476" s="32"/>
      <c r="N476" s="34"/>
      <c r="O476" s="34"/>
      <c r="P476" s="34"/>
    </row>
    <row r="477" spans="2:16" x14ac:dyDescent="0.3">
      <c r="B477" s="33"/>
      <c r="C477" s="34"/>
      <c r="D477" s="34"/>
      <c r="E477" s="34"/>
      <c r="F477" s="34"/>
      <c r="G477" s="34"/>
      <c r="H477" s="34"/>
      <c r="I477" s="34"/>
      <c r="J477" s="34"/>
      <c r="K477" s="35"/>
      <c r="L477" s="34"/>
      <c r="M477" s="32"/>
      <c r="N477" s="34"/>
      <c r="O477" s="34"/>
      <c r="P477" s="34"/>
    </row>
    <row r="478" spans="2:16" x14ac:dyDescent="0.3">
      <c r="B478" s="33"/>
      <c r="C478" s="34"/>
      <c r="D478" s="34"/>
      <c r="E478" s="34"/>
      <c r="F478" s="34"/>
      <c r="G478" s="34"/>
      <c r="H478" s="34"/>
      <c r="I478" s="34"/>
      <c r="J478" s="34"/>
      <c r="K478" s="35"/>
      <c r="L478" s="34"/>
      <c r="M478" s="32"/>
      <c r="N478" s="34"/>
      <c r="O478" s="34"/>
      <c r="P478" s="34"/>
    </row>
    <row r="479" spans="2:16" x14ac:dyDescent="0.3">
      <c r="B479" s="33"/>
      <c r="C479" s="34"/>
      <c r="D479" s="34"/>
      <c r="E479" s="34"/>
      <c r="F479" s="34"/>
      <c r="G479" s="34"/>
      <c r="H479" s="34"/>
      <c r="I479" s="34"/>
      <c r="J479" s="34"/>
      <c r="K479" s="35"/>
      <c r="L479" s="34"/>
      <c r="M479" s="32"/>
      <c r="N479" s="34"/>
      <c r="O479" s="34"/>
      <c r="P479" s="34"/>
    </row>
    <row r="480" spans="2:16" x14ac:dyDescent="0.3">
      <c r="B480" s="33"/>
      <c r="C480" s="34"/>
      <c r="D480" s="34"/>
      <c r="E480" s="34"/>
      <c r="F480" s="34"/>
      <c r="G480" s="34"/>
      <c r="H480" s="34"/>
      <c r="I480" s="34"/>
      <c r="J480" s="34"/>
      <c r="K480" s="35"/>
      <c r="L480" s="34"/>
      <c r="M480" s="32"/>
      <c r="N480" s="34"/>
      <c r="O480" s="34"/>
      <c r="P480" s="34"/>
    </row>
    <row r="481" spans="2:16" x14ac:dyDescent="0.3">
      <c r="B481" s="33"/>
      <c r="C481" s="34"/>
      <c r="D481" s="34"/>
      <c r="E481" s="34"/>
      <c r="F481" s="34"/>
      <c r="G481" s="34"/>
      <c r="H481" s="34"/>
      <c r="I481" s="34"/>
      <c r="J481" s="34"/>
      <c r="K481" s="35"/>
      <c r="L481" s="34"/>
      <c r="M481" s="32"/>
      <c r="N481" s="34"/>
      <c r="O481" s="34"/>
      <c r="P481" s="34"/>
    </row>
    <row r="482" spans="2:16" x14ac:dyDescent="0.3">
      <c r="B482" s="33"/>
      <c r="C482" s="34"/>
      <c r="D482" s="34"/>
      <c r="E482" s="34"/>
      <c r="F482" s="34"/>
      <c r="G482" s="34"/>
      <c r="H482" s="34"/>
      <c r="I482" s="34"/>
      <c r="J482" s="34"/>
      <c r="K482" s="35"/>
      <c r="L482" s="34"/>
      <c r="M482" s="32"/>
      <c r="N482" s="34"/>
      <c r="O482" s="34"/>
      <c r="P482" s="34"/>
    </row>
    <row r="483" spans="2:16" x14ac:dyDescent="0.3">
      <c r="B483" s="33"/>
      <c r="C483" s="34"/>
      <c r="D483" s="34"/>
      <c r="E483" s="34"/>
      <c r="F483" s="34"/>
      <c r="G483" s="34"/>
      <c r="H483" s="34"/>
      <c r="I483" s="34"/>
      <c r="J483" s="34"/>
      <c r="K483" s="35"/>
      <c r="L483" s="34"/>
      <c r="M483" s="32"/>
      <c r="N483" s="34"/>
      <c r="O483" s="34"/>
      <c r="P483" s="34"/>
    </row>
    <row r="484" spans="2:16" x14ac:dyDescent="0.3">
      <c r="B484" s="33"/>
      <c r="C484" s="34"/>
      <c r="D484" s="34"/>
      <c r="E484" s="34"/>
      <c r="F484" s="34"/>
      <c r="G484" s="34"/>
      <c r="H484" s="34"/>
      <c r="I484" s="34"/>
      <c r="J484" s="34"/>
      <c r="K484" s="35"/>
      <c r="L484" s="34"/>
      <c r="M484" s="32"/>
      <c r="N484" s="34"/>
      <c r="O484" s="34"/>
      <c r="P484" s="34"/>
    </row>
    <row r="485" spans="2:16" x14ac:dyDescent="0.3">
      <c r="B485" s="33"/>
      <c r="C485" s="34"/>
      <c r="D485" s="34"/>
      <c r="E485" s="34"/>
      <c r="F485" s="34"/>
      <c r="G485" s="34"/>
      <c r="H485" s="34"/>
      <c r="I485" s="34"/>
      <c r="J485" s="34"/>
      <c r="K485" s="35"/>
      <c r="L485" s="34"/>
      <c r="M485" s="32"/>
      <c r="N485" s="34"/>
      <c r="O485" s="34"/>
      <c r="P485" s="34"/>
    </row>
    <row r="486" spans="2:16" x14ac:dyDescent="0.3">
      <c r="B486" s="33"/>
      <c r="C486" s="34"/>
      <c r="D486" s="34"/>
      <c r="E486" s="34"/>
      <c r="F486" s="34"/>
      <c r="G486" s="34"/>
      <c r="H486" s="34"/>
      <c r="I486" s="34"/>
      <c r="J486" s="34"/>
      <c r="K486" s="35"/>
      <c r="L486" s="34"/>
      <c r="M486" s="32"/>
      <c r="N486" s="34"/>
      <c r="O486" s="34"/>
      <c r="P486" s="34"/>
    </row>
    <row r="487" spans="2:16" x14ac:dyDescent="0.3">
      <c r="B487" s="33"/>
      <c r="C487" s="34"/>
      <c r="D487" s="34"/>
      <c r="E487" s="34"/>
      <c r="F487" s="34"/>
      <c r="G487" s="34"/>
      <c r="H487" s="34"/>
      <c r="I487" s="34"/>
      <c r="J487" s="34"/>
      <c r="K487" s="35"/>
      <c r="L487" s="34"/>
      <c r="M487" s="32"/>
      <c r="N487" s="34"/>
      <c r="O487" s="34"/>
      <c r="P487" s="34"/>
    </row>
    <row r="488" spans="2:16" x14ac:dyDescent="0.3">
      <c r="B488" s="33"/>
      <c r="C488" s="34"/>
      <c r="D488" s="34"/>
      <c r="E488" s="34"/>
      <c r="F488" s="34"/>
      <c r="G488" s="34"/>
      <c r="H488" s="34"/>
      <c r="I488" s="34"/>
      <c r="J488" s="34"/>
      <c r="K488" s="35"/>
      <c r="L488" s="34"/>
      <c r="M488" s="32"/>
      <c r="N488" s="34"/>
      <c r="O488" s="34"/>
      <c r="P488" s="34"/>
    </row>
    <row r="489" spans="2:16" x14ac:dyDescent="0.3">
      <c r="B489" s="33"/>
      <c r="C489" s="34"/>
      <c r="D489" s="34"/>
      <c r="E489" s="34"/>
      <c r="F489" s="34"/>
      <c r="G489" s="34"/>
      <c r="H489" s="34"/>
      <c r="I489" s="34"/>
      <c r="J489" s="34"/>
      <c r="K489" s="35"/>
      <c r="L489" s="34"/>
      <c r="M489" s="32"/>
      <c r="N489" s="34"/>
      <c r="O489" s="34"/>
      <c r="P489" s="34"/>
    </row>
    <row r="490" spans="2:16" x14ac:dyDescent="0.3">
      <c r="B490" s="33"/>
      <c r="C490" s="34"/>
      <c r="D490" s="34"/>
      <c r="E490" s="34"/>
      <c r="F490" s="34"/>
      <c r="G490" s="34"/>
      <c r="H490" s="34"/>
      <c r="I490" s="34"/>
      <c r="J490" s="34"/>
      <c r="K490" s="35"/>
      <c r="L490" s="34"/>
      <c r="M490" s="32"/>
      <c r="N490" s="34"/>
      <c r="O490" s="34"/>
      <c r="P490" s="34"/>
    </row>
    <row r="491" spans="2:16" x14ac:dyDescent="0.3">
      <c r="B491" s="33"/>
      <c r="C491" s="34"/>
      <c r="D491" s="34"/>
      <c r="E491" s="34"/>
      <c r="F491" s="34"/>
      <c r="G491" s="34"/>
      <c r="H491" s="34"/>
      <c r="I491" s="34"/>
      <c r="J491" s="34"/>
      <c r="K491" s="35"/>
      <c r="L491" s="34"/>
      <c r="M491" s="32"/>
      <c r="N491" s="34"/>
      <c r="O491" s="34"/>
      <c r="P491" s="34"/>
    </row>
    <row r="492" spans="2:16" x14ac:dyDescent="0.3">
      <c r="B492" s="33"/>
      <c r="C492" s="34"/>
      <c r="D492" s="34"/>
      <c r="E492" s="34"/>
      <c r="F492" s="34"/>
      <c r="G492" s="34"/>
      <c r="H492" s="34"/>
      <c r="I492" s="34"/>
      <c r="J492" s="34"/>
      <c r="K492" s="35"/>
      <c r="L492" s="34"/>
      <c r="M492" s="32"/>
      <c r="N492" s="34"/>
      <c r="O492" s="34"/>
      <c r="P492" s="34"/>
    </row>
    <row r="493" spans="2:16" x14ac:dyDescent="0.3">
      <c r="B493" s="33"/>
      <c r="C493" s="34"/>
      <c r="D493" s="34"/>
      <c r="E493" s="34"/>
      <c r="F493" s="34"/>
      <c r="G493" s="34"/>
      <c r="H493" s="34"/>
      <c r="I493" s="34"/>
      <c r="J493" s="34"/>
      <c r="K493" s="35"/>
      <c r="L493" s="34"/>
      <c r="M493" s="32"/>
      <c r="N493" s="34"/>
      <c r="O493" s="34"/>
      <c r="P493" s="34"/>
    </row>
    <row r="494" spans="2:16" x14ac:dyDescent="0.3">
      <c r="B494" s="33"/>
      <c r="C494" s="34"/>
      <c r="D494" s="34"/>
      <c r="E494" s="34"/>
      <c r="F494" s="34"/>
      <c r="G494" s="34"/>
      <c r="H494" s="34"/>
      <c r="I494" s="34"/>
      <c r="J494" s="34"/>
      <c r="K494" s="35"/>
      <c r="L494" s="34"/>
      <c r="M494" s="32"/>
      <c r="N494" s="34"/>
      <c r="O494" s="34"/>
      <c r="P494" s="34"/>
    </row>
    <row r="495" spans="2:16" x14ac:dyDescent="0.3">
      <c r="B495" s="33"/>
      <c r="C495" s="34"/>
      <c r="D495" s="34"/>
      <c r="E495" s="34"/>
      <c r="F495" s="34"/>
      <c r="G495" s="34"/>
      <c r="H495" s="34"/>
      <c r="I495" s="34"/>
      <c r="J495" s="34"/>
      <c r="K495" s="35"/>
      <c r="L495" s="34"/>
      <c r="M495" s="32"/>
      <c r="N495" s="34"/>
      <c r="O495" s="34"/>
      <c r="P495" s="34"/>
    </row>
    <row r="496" spans="2:16" x14ac:dyDescent="0.3">
      <c r="B496" s="33"/>
      <c r="C496" s="34"/>
      <c r="D496" s="34"/>
      <c r="E496" s="34"/>
      <c r="F496" s="34"/>
      <c r="G496" s="34"/>
      <c r="H496" s="34"/>
      <c r="I496" s="34"/>
      <c r="J496" s="34"/>
      <c r="K496" s="35"/>
      <c r="L496" s="34"/>
      <c r="M496" s="32"/>
      <c r="N496" s="34"/>
      <c r="O496" s="34"/>
      <c r="P496" s="34"/>
    </row>
    <row r="497" spans="2:16" x14ac:dyDescent="0.3">
      <c r="B497" s="33"/>
      <c r="C497" s="34"/>
      <c r="D497" s="34"/>
      <c r="E497" s="34"/>
      <c r="F497" s="34"/>
      <c r="G497" s="34"/>
      <c r="H497" s="34"/>
      <c r="I497" s="34"/>
      <c r="J497" s="34"/>
      <c r="K497" s="35"/>
      <c r="L497" s="34"/>
      <c r="M497" s="32"/>
      <c r="N497" s="34"/>
      <c r="O497" s="34"/>
      <c r="P497" s="34"/>
    </row>
    <row r="498" spans="2:16" x14ac:dyDescent="0.3">
      <c r="B498" s="33"/>
      <c r="C498" s="34"/>
      <c r="D498" s="34"/>
      <c r="E498" s="34"/>
      <c r="F498" s="34"/>
      <c r="G498" s="34"/>
      <c r="H498" s="34"/>
      <c r="I498" s="34"/>
      <c r="J498" s="34"/>
      <c r="K498" s="35"/>
      <c r="L498" s="34"/>
      <c r="M498" s="32"/>
      <c r="N498" s="34"/>
      <c r="O498" s="34"/>
      <c r="P498" s="34"/>
    </row>
    <row r="499" spans="2:16" x14ac:dyDescent="0.3">
      <c r="B499" s="33"/>
      <c r="C499" s="34"/>
      <c r="D499" s="34"/>
      <c r="E499" s="34"/>
      <c r="F499" s="34"/>
      <c r="G499" s="34"/>
      <c r="H499" s="34"/>
      <c r="I499" s="34"/>
      <c r="J499" s="34"/>
      <c r="K499" s="35"/>
      <c r="L499" s="34"/>
      <c r="M499" s="32"/>
      <c r="N499" s="34"/>
      <c r="O499" s="34"/>
      <c r="P499" s="34"/>
    </row>
    <row r="500" spans="2:16" x14ac:dyDescent="0.3">
      <c r="B500" s="33"/>
      <c r="C500" s="34"/>
      <c r="D500" s="34"/>
      <c r="E500" s="34"/>
      <c r="F500" s="34"/>
      <c r="G500" s="34"/>
      <c r="H500" s="34"/>
      <c r="I500" s="34"/>
      <c r="J500" s="34"/>
      <c r="K500" s="35"/>
      <c r="L500" s="34"/>
      <c r="M500" s="32"/>
      <c r="N500" s="34"/>
      <c r="O500" s="34"/>
      <c r="P500" s="34"/>
    </row>
    <row r="501" spans="2:16" x14ac:dyDescent="0.3">
      <c r="B501" s="33"/>
      <c r="C501" s="34"/>
      <c r="D501" s="34"/>
      <c r="E501" s="34"/>
      <c r="F501" s="34"/>
      <c r="G501" s="34"/>
      <c r="H501" s="34"/>
      <c r="I501" s="34"/>
      <c r="J501" s="34"/>
      <c r="K501" s="35"/>
      <c r="L501" s="34"/>
      <c r="M501" s="32"/>
      <c r="N501" s="34"/>
      <c r="O501" s="34"/>
      <c r="P501" s="34"/>
    </row>
    <row r="502" spans="2:16" x14ac:dyDescent="0.3">
      <c r="B502" s="33"/>
      <c r="C502" s="34"/>
      <c r="D502" s="34"/>
      <c r="E502" s="34"/>
      <c r="F502" s="34"/>
      <c r="G502" s="34"/>
      <c r="H502" s="34"/>
      <c r="I502" s="34"/>
      <c r="J502" s="34"/>
      <c r="K502" s="35"/>
      <c r="L502" s="34"/>
      <c r="M502" s="32"/>
      <c r="N502" s="34"/>
      <c r="O502" s="34"/>
      <c r="P502" s="34"/>
    </row>
    <row r="503" spans="2:16" x14ac:dyDescent="0.3">
      <c r="B503" s="33"/>
      <c r="C503" s="34"/>
      <c r="D503" s="34"/>
      <c r="E503" s="34"/>
      <c r="F503" s="34"/>
      <c r="G503" s="34"/>
      <c r="H503" s="34"/>
      <c r="I503" s="34"/>
      <c r="J503" s="34"/>
      <c r="K503" s="35"/>
      <c r="L503" s="34"/>
      <c r="M503" s="32"/>
      <c r="N503" s="34"/>
      <c r="O503" s="34"/>
      <c r="P503" s="34"/>
    </row>
    <row r="504" spans="2:16" x14ac:dyDescent="0.3">
      <c r="B504" s="33"/>
      <c r="C504" s="34"/>
      <c r="D504" s="34"/>
      <c r="E504" s="34"/>
      <c r="F504" s="34"/>
      <c r="G504" s="34"/>
      <c r="H504" s="34"/>
      <c r="I504" s="34"/>
      <c r="J504" s="34"/>
      <c r="K504" s="35"/>
      <c r="L504" s="34"/>
      <c r="M504" s="32"/>
      <c r="N504" s="34"/>
      <c r="O504" s="34"/>
      <c r="P504" s="34"/>
    </row>
    <row r="505" spans="2:16" x14ac:dyDescent="0.3">
      <c r="B505" s="33"/>
      <c r="C505" s="34"/>
      <c r="D505" s="34"/>
      <c r="E505" s="34"/>
      <c r="F505" s="34"/>
      <c r="G505" s="34"/>
      <c r="H505" s="34"/>
      <c r="I505" s="34"/>
      <c r="J505" s="34"/>
      <c r="K505" s="35"/>
      <c r="L505" s="34"/>
      <c r="M505" s="32"/>
      <c r="N505" s="34"/>
      <c r="O505" s="34"/>
      <c r="P505" s="34"/>
    </row>
    <row r="506" spans="2:16" x14ac:dyDescent="0.3">
      <c r="B506" s="33"/>
      <c r="C506" s="34"/>
      <c r="D506" s="34"/>
      <c r="E506" s="34"/>
      <c r="F506" s="34"/>
      <c r="G506" s="34"/>
      <c r="H506" s="34"/>
      <c r="I506" s="34"/>
      <c r="J506" s="34"/>
      <c r="K506" s="35"/>
      <c r="L506" s="34"/>
      <c r="M506" s="32"/>
      <c r="N506" s="34"/>
      <c r="O506" s="34"/>
      <c r="P506" s="34"/>
    </row>
    <row r="507" spans="2:16" x14ac:dyDescent="0.3">
      <c r="B507" s="33"/>
      <c r="C507" s="34"/>
      <c r="D507" s="34"/>
      <c r="E507" s="34"/>
      <c r="F507" s="34"/>
      <c r="G507" s="34"/>
      <c r="H507" s="34"/>
      <c r="I507" s="34"/>
      <c r="J507" s="34"/>
      <c r="K507" s="35"/>
      <c r="L507" s="34"/>
      <c r="M507" s="32"/>
      <c r="N507" s="34"/>
      <c r="O507" s="34"/>
      <c r="P507" s="34"/>
    </row>
    <row r="508" spans="2:16" x14ac:dyDescent="0.3">
      <c r="B508" s="33"/>
      <c r="C508" s="34"/>
      <c r="D508" s="34"/>
      <c r="E508" s="34"/>
      <c r="F508" s="34"/>
      <c r="G508" s="34"/>
      <c r="H508" s="34"/>
      <c r="I508" s="34"/>
      <c r="J508" s="34"/>
      <c r="K508" s="35"/>
      <c r="L508" s="34"/>
      <c r="M508" s="32"/>
      <c r="N508" s="34"/>
      <c r="O508" s="34"/>
      <c r="P508" s="34"/>
    </row>
    <row r="509" spans="2:16" x14ac:dyDescent="0.3">
      <c r="B509" s="33"/>
      <c r="C509" s="34"/>
      <c r="D509" s="34"/>
      <c r="E509" s="34"/>
      <c r="F509" s="34"/>
      <c r="G509" s="34"/>
      <c r="H509" s="34"/>
      <c r="I509" s="34"/>
      <c r="J509" s="34"/>
      <c r="K509" s="35"/>
      <c r="L509" s="34"/>
      <c r="M509" s="32"/>
      <c r="N509" s="34"/>
      <c r="O509" s="34"/>
      <c r="P509" s="34"/>
    </row>
    <row r="510" spans="2:16" x14ac:dyDescent="0.3">
      <c r="B510" s="33"/>
      <c r="C510" s="34"/>
      <c r="D510" s="34"/>
      <c r="E510" s="34"/>
      <c r="F510" s="34"/>
      <c r="G510" s="34"/>
      <c r="H510" s="34"/>
      <c r="I510" s="34"/>
      <c r="J510" s="34"/>
      <c r="K510" s="35"/>
      <c r="L510" s="34"/>
      <c r="M510" s="32"/>
      <c r="N510" s="34"/>
      <c r="O510" s="34"/>
      <c r="P510" s="34"/>
    </row>
    <row r="511" spans="2:16" x14ac:dyDescent="0.3">
      <c r="B511" s="33"/>
      <c r="C511" s="34"/>
      <c r="D511" s="34"/>
      <c r="E511" s="34"/>
      <c r="F511" s="34"/>
      <c r="G511" s="34"/>
      <c r="H511" s="34"/>
      <c r="I511" s="34"/>
      <c r="J511" s="34"/>
      <c r="K511" s="35"/>
      <c r="L511" s="34"/>
      <c r="M511" s="32"/>
      <c r="N511" s="34"/>
      <c r="O511" s="34"/>
      <c r="P511" s="34"/>
    </row>
    <row r="512" spans="2:16" x14ac:dyDescent="0.3">
      <c r="B512" s="33"/>
      <c r="C512" s="34"/>
      <c r="D512" s="34"/>
      <c r="E512" s="34"/>
      <c r="F512" s="34"/>
      <c r="G512" s="34"/>
      <c r="H512" s="34"/>
      <c r="I512" s="34"/>
      <c r="J512" s="34"/>
      <c r="K512" s="35"/>
      <c r="L512" s="34"/>
      <c r="M512" s="32"/>
      <c r="N512" s="34"/>
      <c r="O512" s="34"/>
      <c r="P512" s="34"/>
    </row>
    <row r="513" spans="2:16" x14ac:dyDescent="0.3">
      <c r="B513" s="33"/>
      <c r="C513" s="34"/>
      <c r="D513" s="34"/>
      <c r="E513" s="34"/>
      <c r="F513" s="34"/>
      <c r="G513" s="34"/>
      <c r="H513" s="34"/>
      <c r="I513" s="34"/>
      <c r="J513" s="34"/>
      <c r="K513" s="35"/>
      <c r="L513" s="34"/>
      <c r="M513" s="32"/>
      <c r="N513" s="34"/>
      <c r="O513" s="34"/>
      <c r="P513" s="34"/>
    </row>
    <row r="514" spans="2:16" x14ac:dyDescent="0.3">
      <c r="B514" s="33"/>
      <c r="C514" s="34"/>
      <c r="D514" s="34"/>
      <c r="E514" s="34"/>
      <c r="F514" s="34"/>
      <c r="G514" s="34"/>
      <c r="H514" s="34"/>
      <c r="I514" s="34"/>
      <c r="J514" s="34"/>
      <c r="K514" s="35"/>
      <c r="L514" s="34"/>
      <c r="M514" s="32"/>
      <c r="N514" s="34"/>
      <c r="O514" s="34"/>
      <c r="P514" s="34"/>
    </row>
    <row r="515" spans="2:16" x14ac:dyDescent="0.3">
      <c r="B515" s="33"/>
      <c r="C515" s="34"/>
      <c r="D515" s="34"/>
      <c r="E515" s="34"/>
      <c r="F515" s="34"/>
      <c r="G515" s="34"/>
      <c r="H515" s="34"/>
      <c r="I515" s="34"/>
      <c r="J515" s="34"/>
      <c r="K515" s="35"/>
      <c r="L515" s="34"/>
      <c r="M515" s="32"/>
      <c r="N515" s="34"/>
      <c r="O515" s="34"/>
      <c r="P515" s="34"/>
    </row>
    <row r="516" spans="2:16" x14ac:dyDescent="0.3">
      <c r="B516" s="33"/>
      <c r="C516" s="34"/>
      <c r="D516" s="34"/>
      <c r="E516" s="34"/>
      <c r="F516" s="34"/>
      <c r="G516" s="34"/>
      <c r="H516" s="34"/>
      <c r="I516" s="34"/>
      <c r="J516" s="34"/>
      <c r="K516" s="35"/>
      <c r="L516" s="34"/>
      <c r="M516" s="32"/>
      <c r="N516" s="34"/>
      <c r="O516" s="34"/>
      <c r="P516" s="34"/>
    </row>
    <row r="517" spans="2:16" x14ac:dyDescent="0.3">
      <c r="B517" s="33"/>
      <c r="C517" s="34"/>
      <c r="D517" s="34"/>
      <c r="E517" s="34"/>
      <c r="F517" s="34"/>
      <c r="G517" s="34"/>
      <c r="H517" s="34"/>
      <c r="I517" s="34"/>
      <c r="J517" s="34"/>
      <c r="K517" s="35"/>
      <c r="L517" s="34"/>
      <c r="M517" s="32"/>
      <c r="N517" s="34"/>
      <c r="O517" s="34"/>
      <c r="P517" s="34"/>
    </row>
    <row r="518" spans="2:16" x14ac:dyDescent="0.3">
      <c r="B518" s="33"/>
      <c r="C518" s="34"/>
      <c r="D518" s="34"/>
      <c r="E518" s="34"/>
      <c r="F518" s="34"/>
      <c r="G518" s="34"/>
      <c r="H518" s="34"/>
      <c r="I518" s="34"/>
      <c r="J518" s="34"/>
      <c r="K518" s="35"/>
      <c r="L518" s="34"/>
      <c r="M518" s="32"/>
      <c r="N518" s="34"/>
      <c r="O518" s="34"/>
      <c r="P518" s="34"/>
    </row>
    <row r="519" spans="2:16" x14ac:dyDescent="0.3">
      <c r="B519" s="33"/>
      <c r="C519" s="34"/>
      <c r="D519" s="34"/>
      <c r="E519" s="34"/>
      <c r="F519" s="34"/>
      <c r="G519" s="34"/>
      <c r="H519" s="34"/>
      <c r="I519" s="34"/>
      <c r="J519" s="34"/>
      <c r="K519" s="35"/>
      <c r="L519" s="34"/>
      <c r="M519" s="32"/>
      <c r="N519" s="34"/>
      <c r="O519" s="34"/>
      <c r="P519" s="34"/>
    </row>
    <row r="520" spans="2:16" x14ac:dyDescent="0.3">
      <c r="B520" s="33"/>
      <c r="C520" s="34"/>
      <c r="D520" s="34"/>
      <c r="E520" s="34"/>
      <c r="F520" s="34"/>
      <c r="G520" s="34"/>
      <c r="H520" s="34"/>
      <c r="I520" s="34"/>
      <c r="J520" s="34"/>
      <c r="K520" s="35"/>
      <c r="L520" s="34"/>
      <c r="M520" s="32"/>
      <c r="N520" s="34"/>
      <c r="O520" s="34"/>
      <c r="P520" s="34"/>
    </row>
    <row r="521" spans="2:16" x14ac:dyDescent="0.3">
      <c r="B521" s="33"/>
      <c r="C521" s="34"/>
      <c r="D521" s="34"/>
      <c r="E521" s="34"/>
      <c r="F521" s="34"/>
      <c r="G521" s="34"/>
      <c r="H521" s="34"/>
      <c r="I521" s="34"/>
      <c r="J521" s="34"/>
      <c r="K521" s="35"/>
      <c r="L521" s="34"/>
      <c r="M521" s="32"/>
      <c r="N521" s="34"/>
      <c r="O521" s="34"/>
      <c r="P521" s="34"/>
    </row>
    <row r="522" spans="2:16" x14ac:dyDescent="0.3">
      <c r="B522" s="33"/>
      <c r="C522" s="34"/>
      <c r="D522" s="34"/>
      <c r="E522" s="34"/>
      <c r="F522" s="34"/>
      <c r="G522" s="34"/>
      <c r="H522" s="34"/>
      <c r="I522" s="34"/>
      <c r="J522" s="34"/>
      <c r="K522" s="35"/>
      <c r="L522" s="34"/>
      <c r="M522" s="32"/>
      <c r="N522" s="34"/>
      <c r="O522" s="34"/>
      <c r="P522" s="34"/>
    </row>
    <row r="523" spans="2:16" x14ac:dyDescent="0.3">
      <c r="B523" s="33"/>
      <c r="C523" s="34"/>
      <c r="D523" s="34"/>
      <c r="E523" s="34"/>
      <c r="F523" s="34"/>
      <c r="G523" s="34"/>
      <c r="H523" s="34"/>
      <c r="I523" s="34"/>
      <c r="J523" s="34"/>
      <c r="K523" s="35"/>
      <c r="L523" s="34"/>
      <c r="M523" s="32"/>
      <c r="N523" s="34"/>
      <c r="O523" s="34"/>
      <c r="P523" s="34"/>
    </row>
    <row r="524" spans="2:16" x14ac:dyDescent="0.3">
      <c r="B524" s="33"/>
      <c r="C524" s="34"/>
      <c r="D524" s="34"/>
      <c r="E524" s="34"/>
      <c r="F524" s="34"/>
      <c r="G524" s="34"/>
      <c r="H524" s="34"/>
      <c r="I524" s="34"/>
      <c r="J524" s="34"/>
      <c r="K524" s="35"/>
      <c r="L524" s="34"/>
      <c r="M524" s="32"/>
      <c r="N524" s="34"/>
      <c r="O524" s="34"/>
      <c r="P524" s="34"/>
    </row>
    <row r="525" spans="2:16" x14ac:dyDescent="0.3">
      <c r="B525" s="33"/>
      <c r="C525" s="34"/>
      <c r="D525" s="34"/>
      <c r="E525" s="34"/>
      <c r="F525" s="34"/>
      <c r="G525" s="34"/>
      <c r="H525" s="34"/>
      <c r="I525" s="34"/>
      <c r="J525" s="34"/>
      <c r="K525" s="35"/>
      <c r="L525" s="34"/>
      <c r="M525" s="32"/>
      <c r="N525" s="34"/>
      <c r="O525" s="34"/>
      <c r="P525" s="34"/>
    </row>
    <row r="526" spans="2:16" x14ac:dyDescent="0.3">
      <c r="B526" s="33"/>
      <c r="C526" s="34"/>
      <c r="D526" s="34"/>
      <c r="E526" s="34"/>
      <c r="F526" s="34"/>
      <c r="G526" s="34"/>
      <c r="H526" s="34"/>
      <c r="I526" s="34"/>
      <c r="J526" s="34"/>
      <c r="K526" s="35"/>
      <c r="L526" s="34"/>
      <c r="M526" s="32"/>
      <c r="N526" s="34"/>
      <c r="O526" s="34"/>
      <c r="P526" s="34"/>
    </row>
    <row r="527" spans="2:16" x14ac:dyDescent="0.3">
      <c r="B527" s="33"/>
      <c r="C527" s="34"/>
      <c r="D527" s="34"/>
      <c r="E527" s="34"/>
      <c r="F527" s="34"/>
      <c r="G527" s="34"/>
      <c r="H527" s="34"/>
      <c r="I527" s="34"/>
      <c r="J527" s="34"/>
      <c r="K527" s="35"/>
      <c r="L527" s="34"/>
      <c r="M527" s="32"/>
      <c r="N527" s="34"/>
      <c r="O527" s="34"/>
      <c r="P527" s="34"/>
    </row>
    <row r="528" spans="2:16" x14ac:dyDescent="0.3">
      <c r="B528" s="33"/>
      <c r="C528" s="34"/>
      <c r="D528" s="34"/>
      <c r="E528" s="34"/>
      <c r="F528" s="34"/>
      <c r="G528" s="34"/>
      <c r="H528" s="34"/>
      <c r="I528" s="34"/>
      <c r="J528" s="34"/>
      <c r="K528" s="35"/>
      <c r="L528" s="34"/>
      <c r="M528" s="32"/>
      <c r="N528" s="34"/>
      <c r="O528" s="34"/>
      <c r="P528" s="34"/>
    </row>
    <row r="529" spans="2:16" x14ac:dyDescent="0.3">
      <c r="B529" s="33"/>
      <c r="C529" s="34"/>
      <c r="D529" s="34"/>
      <c r="E529" s="34"/>
      <c r="F529" s="34"/>
      <c r="G529" s="34"/>
      <c r="H529" s="34"/>
      <c r="I529" s="34"/>
      <c r="J529" s="34"/>
      <c r="K529" s="35"/>
      <c r="L529" s="34"/>
      <c r="M529" s="32"/>
      <c r="N529" s="34"/>
      <c r="O529" s="34"/>
      <c r="P529" s="34"/>
    </row>
    <row r="530" spans="2:16" x14ac:dyDescent="0.3">
      <c r="B530" s="33"/>
      <c r="C530" s="34"/>
      <c r="D530" s="34"/>
      <c r="E530" s="34"/>
      <c r="F530" s="34"/>
      <c r="G530" s="34"/>
      <c r="H530" s="34"/>
      <c r="I530" s="34"/>
      <c r="J530" s="34"/>
      <c r="K530" s="35"/>
      <c r="L530" s="34"/>
      <c r="M530" s="32"/>
      <c r="N530" s="34"/>
      <c r="O530" s="34"/>
      <c r="P530" s="34"/>
    </row>
    <row r="531" spans="2:16" x14ac:dyDescent="0.3">
      <c r="B531" s="33"/>
      <c r="C531" s="34"/>
      <c r="D531" s="34"/>
      <c r="E531" s="34"/>
      <c r="F531" s="34"/>
      <c r="G531" s="34"/>
      <c r="H531" s="34"/>
      <c r="I531" s="34"/>
      <c r="J531" s="34"/>
      <c r="K531" s="35"/>
      <c r="L531" s="34"/>
      <c r="M531" s="32"/>
      <c r="N531" s="34"/>
      <c r="O531" s="34"/>
      <c r="P531" s="34"/>
    </row>
    <row r="532" spans="2:16" x14ac:dyDescent="0.3">
      <c r="B532" s="33"/>
      <c r="C532" s="34"/>
      <c r="D532" s="34"/>
      <c r="E532" s="34"/>
      <c r="F532" s="34"/>
      <c r="G532" s="34"/>
      <c r="H532" s="34"/>
      <c r="I532" s="34"/>
      <c r="J532" s="34"/>
      <c r="K532" s="35"/>
      <c r="L532" s="34"/>
      <c r="M532" s="32"/>
      <c r="N532" s="34"/>
      <c r="O532" s="34"/>
      <c r="P532" s="34"/>
    </row>
    <row r="533" spans="2:16" x14ac:dyDescent="0.3">
      <c r="B533" s="33"/>
      <c r="C533" s="34"/>
      <c r="D533" s="34"/>
      <c r="E533" s="34"/>
      <c r="F533" s="34"/>
      <c r="G533" s="34"/>
      <c r="H533" s="34"/>
      <c r="I533" s="34"/>
      <c r="J533" s="34"/>
      <c r="K533" s="35"/>
      <c r="L533" s="34"/>
      <c r="M533" s="32"/>
      <c r="N533" s="34"/>
      <c r="O533" s="34"/>
      <c r="P533" s="34"/>
    </row>
    <row r="534" spans="2:16" x14ac:dyDescent="0.3">
      <c r="B534" s="33"/>
      <c r="C534" s="34"/>
      <c r="D534" s="34"/>
      <c r="E534" s="34"/>
      <c r="F534" s="34"/>
      <c r="G534" s="34"/>
      <c r="H534" s="34"/>
      <c r="I534" s="34"/>
      <c r="J534" s="34"/>
      <c r="K534" s="35"/>
      <c r="L534" s="34"/>
      <c r="M534" s="32"/>
      <c r="N534" s="34"/>
      <c r="O534" s="34"/>
      <c r="P534" s="34"/>
    </row>
    <row r="535" spans="2:16" x14ac:dyDescent="0.3">
      <c r="B535" s="33"/>
      <c r="C535" s="34"/>
      <c r="D535" s="34"/>
      <c r="E535" s="34"/>
      <c r="F535" s="34"/>
      <c r="G535" s="34"/>
      <c r="H535" s="34"/>
      <c r="I535" s="34"/>
      <c r="J535" s="34"/>
      <c r="K535" s="35"/>
      <c r="L535" s="34"/>
      <c r="M535" s="32"/>
      <c r="N535" s="34"/>
      <c r="O535" s="34"/>
      <c r="P535" s="34"/>
    </row>
    <row r="536" spans="2:16" x14ac:dyDescent="0.3">
      <c r="B536" s="33"/>
      <c r="C536" s="34"/>
      <c r="D536" s="34"/>
      <c r="E536" s="34"/>
      <c r="F536" s="34"/>
      <c r="G536" s="34"/>
      <c r="H536" s="34"/>
      <c r="I536" s="34"/>
      <c r="J536" s="34"/>
      <c r="K536" s="35"/>
      <c r="L536" s="34"/>
      <c r="M536" s="32"/>
      <c r="N536" s="34"/>
      <c r="O536" s="34"/>
      <c r="P536" s="34"/>
    </row>
    <row r="537" spans="2:16" x14ac:dyDescent="0.3">
      <c r="B537" s="33"/>
      <c r="C537" s="34"/>
      <c r="D537" s="34"/>
      <c r="E537" s="34"/>
      <c r="F537" s="34"/>
      <c r="G537" s="34"/>
      <c r="H537" s="34"/>
      <c r="I537" s="34"/>
      <c r="J537" s="34"/>
      <c r="K537" s="35"/>
      <c r="L537" s="34"/>
      <c r="M537" s="32"/>
      <c r="N537" s="34"/>
      <c r="O537" s="34"/>
      <c r="P537" s="34"/>
    </row>
    <row r="538" spans="2:16" x14ac:dyDescent="0.3">
      <c r="B538" s="33"/>
      <c r="C538" s="34"/>
      <c r="D538" s="34"/>
      <c r="E538" s="34"/>
      <c r="F538" s="34"/>
      <c r="G538" s="34"/>
      <c r="H538" s="34"/>
      <c r="I538" s="34"/>
      <c r="J538" s="34"/>
      <c r="K538" s="35"/>
      <c r="L538" s="34"/>
      <c r="M538" s="32"/>
      <c r="N538" s="34"/>
      <c r="O538" s="34"/>
      <c r="P538" s="34"/>
    </row>
    <row r="539" spans="2:16" x14ac:dyDescent="0.3">
      <c r="B539" s="33"/>
      <c r="C539" s="34"/>
      <c r="D539" s="34"/>
      <c r="E539" s="34"/>
      <c r="F539" s="34"/>
      <c r="G539" s="34"/>
      <c r="H539" s="34"/>
      <c r="I539" s="34"/>
      <c r="J539" s="34"/>
      <c r="K539" s="35"/>
      <c r="L539" s="34"/>
      <c r="M539" s="32"/>
      <c r="N539" s="34"/>
      <c r="O539" s="34"/>
      <c r="P539" s="34"/>
    </row>
    <row r="540" spans="2:16" x14ac:dyDescent="0.3">
      <c r="B540" s="33"/>
      <c r="C540" s="34"/>
      <c r="D540" s="34"/>
      <c r="E540" s="34"/>
      <c r="F540" s="34"/>
      <c r="G540" s="34"/>
      <c r="H540" s="34"/>
      <c r="I540" s="34"/>
      <c r="J540" s="34"/>
      <c r="K540" s="35"/>
      <c r="L540" s="34"/>
      <c r="M540" s="32"/>
      <c r="N540" s="34"/>
      <c r="O540" s="34"/>
      <c r="P540" s="34"/>
    </row>
    <row r="541" spans="2:16" x14ac:dyDescent="0.3">
      <c r="B541" s="33"/>
      <c r="C541" s="34"/>
      <c r="D541" s="34"/>
      <c r="E541" s="34"/>
      <c r="F541" s="34"/>
      <c r="G541" s="34"/>
      <c r="H541" s="34"/>
      <c r="I541" s="34"/>
      <c r="J541" s="34"/>
      <c r="K541" s="35"/>
      <c r="L541" s="34"/>
      <c r="M541" s="32"/>
      <c r="N541" s="34"/>
      <c r="O541" s="34"/>
      <c r="P541" s="34"/>
    </row>
    <row r="542" spans="2:16" x14ac:dyDescent="0.3">
      <c r="B542" s="33"/>
      <c r="C542" s="34"/>
      <c r="D542" s="34"/>
      <c r="E542" s="34"/>
      <c r="F542" s="34"/>
      <c r="G542" s="34"/>
      <c r="H542" s="34"/>
      <c r="I542" s="34"/>
      <c r="J542" s="34"/>
      <c r="K542" s="35"/>
      <c r="L542" s="34"/>
      <c r="M542" s="32"/>
      <c r="N542" s="34"/>
      <c r="O542" s="34"/>
      <c r="P542" s="34"/>
    </row>
    <row r="543" spans="2:16" x14ac:dyDescent="0.3">
      <c r="B543" s="33"/>
      <c r="C543" s="34"/>
      <c r="D543" s="34"/>
      <c r="E543" s="34"/>
      <c r="F543" s="34"/>
      <c r="G543" s="34"/>
      <c r="H543" s="34"/>
      <c r="I543" s="34"/>
      <c r="J543" s="34"/>
      <c r="K543" s="35"/>
      <c r="L543" s="34"/>
      <c r="M543" s="32"/>
      <c r="N543" s="34"/>
      <c r="O543" s="34"/>
      <c r="P543" s="34"/>
    </row>
    <row r="544" spans="2:16" x14ac:dyDescent="0.3">
      <c r="B544" s="33"/>
      <c r="C544" s="34"/>
      <c r="D544" s="34"/>
      <c r="E544" s="34"/>
      <c r="F544" s="34"/>
      <c r="G544" s="34"/>
      <c r="H544" s="34"/>
      <c r="I544" s="34"/>
      <c r="J544" s="34"/>
      <c r="K544" s="35"/>
      <c r="L544" s="34"/>
      <c r="M544" s="32"/>
      <c r="N544" s="34"/>
      <c r="O544" s="34"/>
      <c r="P544" s="34"/>
    </row>
    <row r="545" spans="2:16" x14ac:dyDescent="0.3">
      <c r="B545" s="33"/>
      <c r="C545" s="34"/>
      <c r="D545" s="34"/>
      <c r="E545" s="34"/>
      <c r="F545" s="34"/>
      <c r="G545" s="34"/>
      <c r="H545" s="34"/>
      <c r="I545" s="34"/>
      <c r="J545" s="34"/>
      <c r="K545" s="35"/>
      <c r="L545" s="34"/>
      <c r="M545" s="32"/>
      <c r="N545" s="34"/>
      <c r="O545" s="34"/>
      <c r="P545" s="34"/>
    </row>
    <row r="546" spans="2:16" x14ac:dyDescent="0.3">
      <c r="B546" s="33"/>
      <c r="C546" s="34"/>
      <c r="D546" s="34"/>
      <c r="E546" s="34"/>
      <c r="F546" s="34"/>
      <c r="G546" s="34"/>
      <c r="H546" s="34"/>
      <c r="I546" s="34"/>
      <c r="J546" s="34"/>
      <c r="K546" s="35"/>
      <c r="L546" s="34"/>
      <c r="M546" s="32"/>
      <c r="N546" s="34"/>
      <c r="O546" s="34"/>
      <c r="P546" s="34"/>
    </row>
    <row r="547" spans="2:16" x14ac:dyDescent="0.3">
      <c r="B547" s="33"/>
      <c r="C547" s="34"/>
      <c r="D547" s="34"/>
      <c r="E547" s="34"/>
      <c r="F547" s="34"/>
      <c r="G547" s="34"/>
      <c r="H547" s="34"/>
      <c r="I547" s="34"/>
      <c r="J547" s="34"/>
      <c r="K547" s="35"/>
      <c r="L547" s="34"/>
      <c r="M547" s="32"/>
      <c r="N547" s="34"/>
      <c r="O547" s="34"/>
      <c r="P547" s="34"/>
    </row>
    <row r="548" spans="2:16" x14ac:dyDescent="0.3">
      <c r="B548" s="33"/>
      <c r="C548" s="34"/>
      <c r="D548" s="34"/>
      <c r="E548" s="34"/>
      <c r="F548" s="34"/>
      <c r="G548" s="34"/>
      <c r="H548" s="34"/>
      <c r="I548" s="34"/>
      <c r="J548" s="34"/>
      <c r="K548" s="35"/>
      <c r="L548" s="34"/>
      <c r="M548" s="32"/>
      <c r="N548" s="34"/>
      <c r="O548" s="34"/>
      <c r="P548" s="34"/>
    </row>
    <row r="549" spans="2:16" x14ac:dyDescent="0.3">
      <c r="B549" s="33"/>
      <c r="C549" s="34"/>
      <c r="D549" s="34"/>
      <c r="E549" s="34"/>
      <c r="F549" s="34"/>
      <c r="G549" s="34"/>
      <c r="H549" s="34"/>
      <c r="I549" s="34"/>
      <c r="J549" s="34"/>
      <c r="K549" s="35"/>
      <c r="L549" s="34"/>
      <c r="M549" s="32"/>
      <c r="N549" s="34"/>
      <c r="O549" s="34"/>
      <c r="P549" s="34"/>
    </row>
    <row r="550" spans="2:16" x14ac:dyDescent="0.3">
      <c r="B550" s="33"/>
      <c r="C550" s="34"/>
      <c r="D550" s="34"/>
      <c r="E550" s="34"/>
      <c r="F550" s="34"/>
      <c r="G550" s="34"/>
      <c r="H550" s="34"/>
      <c r="I550" s="34"/>
      <c r="J550" s="34"/>
      <c r="K550" s="35"/>
      <c r="L550" s="34"/>
      <c r="M550" s="32"/>
      <c r="N550" s="34"/>
      <c r="O550" s="34"/>
      <c r="P550" s="34"/>
    </row>
    <row r="551" spans="2:16" x14ac:dyDescent="0.3">
      <c r="B551" s="33"/>
      <c r="C551" s="34"/>
      <c r="D551" s="34"/>
      <c r="E551" s="34"/>
      <c r="F551" s="34"/>
      <c r="G551" s="34"/>
      <c r="H551" s="34"/>
      <c r="I551" s="34"/>
      <c r="J551" s="34"/>
      <c r="K551" s="35"/>
      <c r="L551" s="34"/>
      <c r="M551" s="32"/>
      <c r="N551" s="34"/>
      <c r="O551" s="34"/>
      <c r="P551" s="34"/>
    </row>
    <row r="552" spans="2:16" x14ac:dyDescent="0.3">
      <c r="B552" s="33"/>
      <c r="C552" s="34"/>
      <c r="D552" s="34"/>
      <c r="E552" s="34"/>
      <c r="F552" s="34"/>
      <c r="G552" s="34"/>
      <c r="H552" s="34"/>
      <c r="I552" s="34"/>
      <c r="J552" s="34"/>
      <c r="K552" s="35"/>
      <c r="L552" s="34"/>
      <c r="M552" s="32"/>
      <c r="N552" s="34"/>
      <c r="O552" s="34"/>
      <c r="P552" s="34"/>
    </row>
    <row r="553" spans="2:16" x14ac:dyDescent="0.3">
      <c r="B553" s="33"/>
      <c r="C553" s="34"/>
      <c r="D553" s="34"/>
      <c r="E553" s="34"/>
      <c r="F553" s="34"/>
      <c r="G553" s="34"/>
      <c r="H553" s="34"/>
      <c r="I553" s="34"/>
      <c r="J553" s="34"/>
      <c r="K553" s="35"/>
      <c r="L553" s="34"/>
      <c r="M553" s="32"/>
      <c r="N553" s="34"/>
      <c r="O553" s="34"/>
      <c r="P553" s="34"/>
    </row>
    <row r="554" spans="2:16" x14ac:dyDescent="0.3">
      <c r="B554" s="33"/>
      <c r="C554" s="34"/>
      <c r="D554" s="34"/>
      <c r="E554" s="34"/>
      <c r="F554" s="34"/>
      <c r="G554" s="34"/>
      <c r="H554" s="34"/>
      <c r="I554" s="34"/>
      <c r="J554" s="34"/>
      <c r="K554" s="35"/>
      <c r="L554" s="34"/>
      <c r="M554" s="32"/>
      <c r="N554" s="34"/>
      <c r="O554" s="34"/>
      <c r="P554" s="34"/>
    </row>
    <row r="555" spans="2:16" x14ac:dyDescent="0.3">
      <c r="B555" s="33"/>
      <c r="C555" s="34"/>
      <c r="D555" s="34"/>
      <c r="E555" s="34"/>
      <c r="F555" s="34"/>
      <c r="G555" s="34"/>
      <c r="H555" s="34"/>
      <c r="I555" s="34"/>
      <c r="J555" s="34"/>
      <c r="K555" s="35"/>
      <c r="L555" s="34"/>
      <c r="M555" s="32"/>
      <c r="N555" s="34"/>
      <c r="O555" s="34"/>
      <c r="P555" s="34"/>
    </row>
    <row r="556" spans="2:16" x14ac:dyDescent="0.3">
      <c r="B556" s="33"/>
      <c r="C556" s="34"/>
      <c r="D556" s="34"/>
      <c r="E556" s="34"/>
      <c r="F556" s="34"/>
      <c r="G556" s="34"/>
      <c r="H556" s="34"/>
      <c r="I556" s="34"/>
      <c r="J556" s="34"/>
      <c r="K556" s="35"/>
      <c r="L556" s="34"/>
      <c r="M556" s="32"/>
      <c r="N556" s="34"/>
      <c r="O556" s="34"/>
      <c r="P556" s="34"/>
    </row>
    <row r="557" spans="2:16" x14ac:dyDescent="0.3">
      <c r="B557" s="33"/>
      <c r="C557" s="34"/>
      <c r="D557" s="34"/>
      <c r="E557" s="34"/>
      <c r="F557" s="34"/>
      <c r="G557" s="34"/>
      <c r="H557" s="34"/>
      <c r="I557" s="34"/>
      <c r="J557" s="34"/>
      <c r="K557" s="35"/>
      <c r="L557" s="34"/>
      <c r="M557" s="32"/>
      <c r="N557" s="34"/>
      <c r="O557" s="34"/>
      <c r="P557" s="34"/>
    </row>
    <row r="558" spans="2:16" x14ac:dyDescent="0.3">
      <c r="B558" s="33"/>
      <c r="C558" s="34"/>
      <c r="D558" s="34"/>
      <c r="E558" s="34"/>
      <c r="F558" s="34"/>
      <c r="G558" s="34"/>
      <c r="H558" s="34"/>
      <c r="I558" s="34"/>
      <c r="J558" s="34"/>
      <c r="K558" s="35"/>
      <c r="L558" s="34"/>
      <c r="M558" s="32"/>
      <c r="N558" s="34"/>
      <c r="O558" s="34"/>
      <c r="P558" s="34"/>
    </row>
    <row r="559" spans="2:16" x14ac:dyDescent="0.3">
      <c r="B559" s="33"/>
      <c r="C559" s="34"/>
      <c r="D559" s="34"/>
      <c r="E559" s="34"/>
      <c r="F559" s="34"/>
      <c r="G559" s="34"/>
      <c r="H559" s="34"/>
      <c r="I559" s="34"/>
      <c r="J559" s="34"/>
      <c r="K559" s="35"/>
      <c r="L559" s="34"/>
      <c r="M559" s="32"/>
      <c r="N559" s="34"/>
      <c r="O559" s="34"/>
      <c r="P559" s="34"/>
    </row>
    <row r="560" spans="2:16" x14ac:dyDescent="0.3">
      <c r="B560" s="33"/>
      <c r="C560" s="34"/>
      <c r="D560" s="34"/>
      <c r="E560" s="34"/>
      <c r="F560" s="34"/>
      <c r="G560" s="34"/>
      <c r="H560" s="34"/>
      <c r="I560" s="34"/>
      <c r="J560" s="34"/>
      <c r="K560" s="35"/>
      <c r="L560" s="34"/>
      <c r="M560" s="32"/>
      <c r="N560" s="34"/>
      <c r="O560" s="34"/>
      <c r="P560" s="34"/>
    </row>
    <row r="561" spans="2:16" x14ac:dyDescent="0.3">
      <c r="B561" s="33"/>
      <c r="C561" s="34"/>
      <c r="D561" s="34"/>
      <c r="E561" s="34"/>
      <c r="F561" s="34"/>
      <c r="G561" s="34"/>
      <c r="H561" s="34"/>
      <c r="I561" s="34"/>
      <c r="J561" s="34"/>
      <c r="K561" s="35"/>
      <c r="L561" s="34"/>
      <c r="M561" s="32"/>
      <c r="N561" s="34"/>
      <c r="O561" s="34"/>
      <c r="P561" s="34"/>
    </row>
    <row r="562" spans="2:16" x14ac:dyDescent="0.3">
      <c r="B562" s="33"/>
      <c r="C562" s="34"/>
      <c r="D562" s="34"/>
      <c r="E562" s="34"/>
      <c r="F562" s="34"/>
      <c r="G562" s="34"/>
      <c r="H562" s="34"/>
      <c r="I562" s="34"/>
      <c r="J562" s="34"/>
      <c r="K562" s="35"/>
      <c r="L562" s="34"/>
      <c r="M562" s="32"/>
      <c r="N562" s="34"/>
      <c r="O562" s="34"/>
      <c r="P562" s="34"/>
    </row>
    <row r="563" spans="2:16" x14ac:dyDescent="0.3">
      <c r="B563" s="33"/>
      <c r="C563" s="34"/>
      <c r="D563" s="34"/>
      <c r="E563" s="34"/>
      <c r="F563" s="34"/>
      <c r="G563" s="34"/>
      <c r="H563" s="34"/>
      <c r="I563" s="34"/>
      <c r="J563" s="34"/>
      <c r="K563" s="35"/>
      <c r="L563" s="34"/>
      <c r="M563" s="32"/>
      <c r="N563" s="34"/>
      <c r="O563" s="34"/>
      <c r="P563" s="34"/>
    </row>
    <row r="564" spans="2:16" x14ac:dyDescent="0.3">
      <c r="B564" s="33"/>
      <c r="C564" s="34"/>
      <c r="D564" s="34"/>
      <c r="E564" s="34"/>
      <c r="F564" s="34"/>
      <c r="G564" s="34"/>
      <c r="H564" s="34"/>
      <c r="I564" s="34"/>
      <c r="J564" s="34"/>
      <c r="K564" s="35"/>
      <c r="L564" s="34"/>
      <c r="M564" s="32"/>
      <c r="N564" s="34"/>
      <c r="O564" s="34"/>
      <c r="P564" s="34"/>
    </row>
    <row r="565" spans="2:16" x14ac:dyDescent="0.3">
      <c r="B565" s="33"/>
      <c r="C565" s="34"/>
      <c r="D565" s="34"/>
      <c r="E565" s="34"/>
      <c r="F565" s="34"/>
      <c r="G565" s="34"/>
      <c r="H565" s="34"/>
      <c r="I565" s="34"/>
      <c r="J565" s="34"/>
      <c r="K565" s="35"/>
      <c r="L565" s="34"/>
      <c r="M565" s="32"/>
      <c r="N565" s="34"/>
      <c r="O565" s="34"/>
      <c r="P565" s="34"/>
    </row>
    <row r="566" spans="2:16" x14ac:dyDescent="0.3">
      <c r="B566" s="33"/>
      <c r="C566" s="34"/>
      <c r="D566" s="34"/>
      <c r="E566" s="34"/>
      <c r="F566" s="34"/>
      <c r="G566" s="34"/>
      <c r="H566" s="34"/>
      <c r="I566" s="34"/>
      <c r="J566" s="34"/>
      <c r="K566" s="35"/>
      <c r="L566" s="34"/>
      <c r="M566" s="32"/>
      <c r="N566" s="34"/>
      <c r="O566" s="34"/>
      <c r="P566" s="34"/>
    </row>
    <row r="567" spans="2:16" x14ac:dyDescent="0.3">
      <c r="B567" s="33"/>
      <c r="C567" s="34"/>
      <c r="D567" s="34"/>
      <c r="E567" s="34"/>
      <c r="F567" s="34"/>
      <c r="G567" s="34"/>
      <c r="H567" s="34"/>
      <c r="I567" s="34"/>
      <c r="J567" s="34"/>
      <c r="K567" s="35"/>
      <c r="L567" s="34"/>
      <c r="M567" s="32"/>
      <c r="N567" s="34"/>
      <c r="O567" s="34"/>
      <c r="P567" s="34"/>
    </row>
    <row r="568" spans="2:16" x14ac:dyDescent="0.3">
      <c r="B568" s="33"/>
      <c r="C568" s="34"/>
      <c r="D568" s="34"/>
      <c r="E568" s="34"/>
      <c r="F568" s="34"/>
      <c r="G568" s="34"/>
      <c r="H568" s="34"/>
      <c r="I568" s="34"/>
      <c r="J568" s="34"/>
      <c r="K568" s="35"/>
      <c r="L568" s="34"/>
      <c r="M568" s="32"/>
      <c r="N568" s="34"/>
      <c r="O568" s="34"/>
      <c r="P568" s="34"/>
    </row>
    <row r="569" spans="2:16" x14ac:dyDescent="0.3">
      <c r="B569" s="33"/>
      <c r="C569" s="34"/>
      <c r="D569" s="34"/>
      <c r="E569" s="34"/>
      <c r="F569" s="34"/>
      <c r="G569" s="34"/>
      <c r="H569" s="34"/>
      <c r="I569" s="34"/>
      <c r="J569" s="34"/>
      <c r="K569" s="35"/>
      <c r="L569" s="34"/>
      <c r="M569" s="32"/>
      <c r="N569" s="34"/>
      <c r="O569" s="34"/>
      <c r="P569" s="34"/>
    </row>
    <row r="570" spans="2:16" x14ac:dyDescent="0.3">
      <c r="B570" s="33"/>
      <c r="C570" s="34"/>
      <c r="D570" s="34"/>
      <c r="E570" s="34"/>
      <c r="F570" s="34"/>
      <c r="G570" s="34"/>
      <c r="H570" s="34"/>
      <c r="I570" s="34"/>
      <c r="J570" s="34"/>
      <c r="K570" s="35"/>
      <c r="L570" s="34"/>
      <c r="M570" s="32"/>
      <c r="N570" s="34"/>
      <c r="O570" s="34"/>
      <c r="P570" s="34"/>
    </row>
    <row r="571" spans="2:16" x14ac:dyDescent="0.3">
      <c r="B571" s="33"/>
      <c r="C571" s="34"/>
      <c r="D571" s="34"/>
      <c r="E571" s="34"/>
      <c r="F571" s="34"/>
      <c r="G571" s="34"/>
      <c r="H571" s="34"/>
      <c r="I571" s="34"/>
      <c r="J571" s="34"/>
      <c r="K571" s="35"/>
      <c r="L571" s="34"/>
      <c r="M571" s="32"/>
      <c r="N571" s="34"/>
      <c r="O571" s="34"/>
      <c r="P571" s="34"/>
    </row>
    <row r="572" spans="2:16" x14ac:dyDescent="0.3">
      <c r="B572" s="33"/>
      <c r="C572" s="34"/>
      <c r="D572" s="34"/>
      <c r="E572" s="34"/>
      <c r="F572" s="34"/>
      <c r="G572" s="34"/>
      <c r="H572" s="34"/>
      <c r="I572" s="34"/>
      <c r="J572" s="34"/>
      <c r="K572" s="35"/>
      <c r="L572" s="34"/>
      <c r="M572" s="32"/>
      <c r="N572" s="34"/>
      <c r="O572" s="34"/>
      <c r="P572" s="34"/>
    </row>
    <row r="573" spans="2:16" x14ac:dyDescent="0.3">
      <c r="B573" s="33"/>
      <c r="C573" s="34"/>
      <c r="D573" s="34"/>
      <c r="E573" s="34"/>
      <c r="F573" s="34"/>
      <c r="G573" s="34"/>
      <c r="H573" s="34"/>
      <c r="I573" s="34"/>
      <c r="J573" s="34"/>
      <c r="K573" s="35"/>
      <c r="L573" s="34"/>
      <c r="M573" s="32"/>
      <c r="N573" s="34"/>
      <c r="O573" s="34"/>
      <c r="P573" s="34"/>
    </row>
    <row r="574" spans="2:16" x14ac:dyDescent="0.3">
      <c r="B574" s="33"/>
      <c r="C574" s="34"/>
      <c r="D574" s="34"/>
      <c r="E574" s="34"/>
      <c r="F574" s="34"/>
      <c r="G574" s="34"/>
      <c r="H574" s="34"/>
      <c r="I574" s="34"/>
      <c r="J574" s="34"/>
      <c r="K574" s="35"/>
      <c r="L574" s="34"/>
      <c r="M574" s="34"/>
      <c r="N574" s="34"/>
      <c r="O574" s="34"/>
      <c r="P574" s="34"/>
    </row>
    <row r="575" spans="2:16" x14ac:dyDescent="0.3">
      <c r="B575" s="33"/>
      <c r="C575" s="34"/>
      <c r="D575" s="34"/>
      <c r="E575" s="34"/>
      <c r="F575" s="34"/>
      <c r="G575" s="34"/>
      <c r="H575" s="34"/>
      <c r="I575" s="34"/>
      <c r="J575" s="34"/>
      <c r="K575" s="35"/>
      <c r="L575" s="34"/>
      <c r="M575" s="34"/>
      <c r="N575" s="34"/>
      <c r="O575" s="34"/>
      <c r="P575" s="34"/>
    </row>
    <row r="576" spans="2:16" x14ac:dyDescent="0.3">
      <c r="B576" s="33"/>
      <c r="C576" s="34"/>
      <c r="D576" s="34"/>
      <c r="E576" s="34"/>
      <c r="F576" s="34"/>
      <c r="G576" s="34"/>
      <c r="H576" s="34"/>
      <c r="I576" s="34"/>
      <c r="J576" s="34"/>
      <c r="K576" s="35"/>
      <c r="L576" s="34"/>
      <c r="M576" s="34"/>
      <c r="N576" s="34"/>
      <c r="O576" s="34"/>
      <c r="P576" s="34"/>
    </row>
    <row r="577" spans="2:16" x14ac:dyDescent="0.3">
      <c r="B577" s="33"/>
      <c r="C577" s="34"/>
      <c r="D577" s="34"/>
      <c r="E577" s="34"/>
      <c r="F577" s="34"/>
      <c r="G577" s="34"/>
      <c r="H577" s="34"/>
      <c r="I577" s="34"/>
      <c r="J577" s="34"/>
      <c r="K577" s="35"/>
      <c r="L577" s="34"/>
      <c r="M577" s="34"/>
      <c r="N577" s="34"/>
      <c r="O577" s="34"/>
      <c r="P577" s="34"/>
    </row>
    <row r="578" spans="2:16" x14ac:dyDescent="0.3">
      <c r="B578" s="33"/>
      <c r="C578" s="34"/>
      <c r="D578" s="34"/>
      <c r="E578" s="34"/>
      <c r="F578" s="34"/>
      <c r="G578" s="34"/>
      <c r="H578" s="34"/>
      <c r="I578" s="34"/>
      <c r="J578" s="34"/>
      <c r="K578" s="35"/>
      <c r="L578" s="34"/>
      <c r="M578" s="34"/>
      <c r="N578" s="34"/>
      <c r="O578" s="34"/>
      <c r="P578" s="34"/>
    </row>
    <row r="579" spans="2:16" x14ac:dyDescent="0.3">
      <c r="B579" s="33"/>
      <c r="C579" s="34"/>
      <c r="D579" s="34"/>
      <c r="E579" s="34"/>
      <c r="F579" s="34"/>
      <c r="G579" s="34"/>
      <c r="H579" s="34"/>
      <c r="I579" s="34"/>
      <c r="J579" s="34"/>
      <c r="K579" s="35"/>
      <c r="L579" s="34"/>
      <c r="M579" s="34"/>
      <c r="N579" s="34"/>
      <c r="O579" s="34"/>
      <c r="P579" s="34"/>
    </row>
    <row r="580" spans="2:16" x14ac:dyDescent="0.3">
      <c r="B580" s="33"/>
      <c r="C580" s="34"/>
      <c r="D580" s="34"/>
      <c r="E580" s="34"/>
      <c r="F580" s="34"/>
      <c r="G580" s="34"/>
      <c r="H580" s="34"/>
      <c r="I580" s="34"/>
      <c r="J580" s="34"/>
      <c r="K580" s="35"/>
      <c r="L580" s="34"/>
      <c r="M580" s="34"/>
      <c r="N580" s="34"/>
      <c r="O580" s="34"/>
      <c r="P580" s="34"/>
    </row>
    <row r="581" spans="2:16" x14ac:dyDescent="0.3">
      <c r="B581" s="33"/>
      <c r="C581" s="34"/>
      <c r="D581" s="34"/>
      <c r="E581" s="34"/>
      <c r="F581" s="34"/>
      <c r="G581" s="34"/>
      <c r="H581" s="34"/>
      <c r="I581" s="34"/>
      <c r="J581" s="34"/>
      <c r="K581" s="35"/>
      <c r="L581" s="34"/>
      <c r="M581" s="34"/>
      <c r="N581" s="34"/>
      <c r="O581" s="34"/>
      <c r="P581" s="34"/>
    </row>
    <row r="582" spans="2:16" x14ac:dyDescent="0.3">
      <c r="B582" s="33"/>
      <c r="C582" s="34"/>
      <c r="D582" s="34"/>
      <c r="E582" s="34"/>
      <c r="F582" s="34"/>
      <c r="G582" s="34"/>
      <c r="H582" s="34"/>
      <c r="I582" s="34"/>
      <c r="J582" s="34"/>
      <c r="K582" s="35"/>
      <c r="L582" s="34"/>
      <c r="M582" s="34"/>
      <c r="N582" s="34"/>
      <c r="O582" s="34"/>
      <c r="P582" s="34"/>
    </row>
    <row r="583" spans="2:16" x14ac:dyDescent="0.3">
      <c r="B583" s="33"/>
      <c r="C583" s="34"/>
      <c r="D583" s="34"/>
      <c r="E583" s="34"/>
      <c r="F583" s="34"/>
      <c r="G583" s="34"/>
      <c r="H583" s="34"/>
      <c r="I583" s="34"/>
      <c r="J583" s="34"/>
      <c r="K583" s="35"/>
      <c r="L583" s="34"/>
      <c r="M583" s="34"/>
      <c r="N583" s="34"/>
      <c r="O583" s="34"/>
      <c r="P583" s="34"/>
    </row>
    <row r="584" spans="2:16" x14ac:dyDescent="0.3">
      <c r="B584" s="33"/>
      <c r="C584" s="34"/>
      <c r="D584" s="34"/>
      <c r="E584" s="34"/>
      <c r="F584" s="34"/>
      <c r="G584" s="34"/>
      <c r="H584" s="34"/>
      <c r="I584" s="34"/>
      <c r="J584" s="34"/>
      <c r="K584" s="35"/>
      <c r="L584" s="34"/>
      <c r="M584" s="34"/>
      <c r="N584" s="34"/>
      <c r="O584" s="34"/>
      <c r="P584" s="34"/>
    </row>
    <row r="585" spans="2:16" x14ac:dyDescent="0.3">
      <c r="B585" s="33"/>
      <c r="C585" s="34"/>
      <c r="D585" s="34"/>
      <c r="E585" s="34"/>
      <c r="F585" s="34"/>
      <c r="G585" s="34"/>
      <c r="H585" s="34"/>
      <c r="I585" s="34"/>
      <c r="J585" s="34"/>
      <c r="K585" s="35"/>
      <c r="L585" s="34"/>
      <c r="M585" s="34"/>
      <c r="N585" s="34"/>
      <c r="O585" s="34"/>
      <c r="P585" s="34"/>
    </row>
    <row r="586" spans="2:16" x14ac:dyDescent="0.3">
      <c r="B586" s="33"/>
      <c r="C586" s="34"/>
      <c r="D586" s="34"/>
      <c r="E586" s="34"/>
      <c r="F586" s="34"/>
      <c r="G586" s="34"/>
      <c r="H586" s="34"/>
      <c r="I586" s="34"/>
      <c r="J586" s="34"/>
      <c r="K586" s="35"/>
      <c r="L586" s="34"/>
      <c r="M586" s="34"/>
      <c r="N586" s="34"/>
      <c r="O586" s="34"/>
      <c r="P586" s="34"/>
    </row>
    <row r="587" spans="2:16" x14ac:dyDescent="0.3">
      <c r="B587" s="33"/>
      <c r="C587" s="34"/>
      <c r="D587" s="34"/>
      <c r="E587" s="34"/>
      <c r="F587" s="34"/>
      <c r="G587" s="34"/>
      <c r="H587" s="34"/>
      <c r="I587" s="34"/>
      <c r="J587" s="34"/>
      <c r="K587" s="35"/>
      <c r="L587" s="34"/>
      <c r="M587" s="34"/>
      <c r="N587" s="34"/>
      <c r="O587" s="34"/>
      <c r="P587" s="34"/>
    </row>
    <row r="588" spans="2:16" x14ac:dyDescent="0.3">
      <c r="B588" s="33"/>
      <c r="C588" s="34"/>
      <c r="D588" s="34"/>
      <c r="E588" s="34"/>
      <c r="F588" s="34"/>
      <c r="G588" s="34"/>
      <c r="H588" s="34"/>
      <c r="I588" s="34"/>
      <c r="J588" s="34"/>
      <c r="K588" s="35"/>
      <c r="L588" s="34"/>
      <c r="M588" s="34"/>
      <c r="N588" s="34"/>
      <c r="O588" s="34"/>
      <c r="P588" s="34"/>
    </row>
    <row r="589" spans="2:16" x14ac:dyDescent="0.3">
      <c r="B589" s="33"/>
      <c r="C589" s="34"/>
      <c r="D589" s="34"/>
      <c r="E589" s="34"/>
      <c r="F589" s="34"/>
      <c r="G589" s="34"/>
      <c r="H589" s="34"/>
      <c r="I589" s="34"/>
      <c r="J589" s="34"/>
      <c r="K589" s="35"/>
      <c r="L589" s="34"/>
      <c r="M589" s="34"/>
      <c r="N589" s="34"/>
      <c r="O589" s="34"/>
      <c r="P589" s="34"/>
    </row>
    <row r="590" spans="2:16" x14ac:dyDescent="0.3">
      <c r="B590" s="33"/>
      <c r="C590" s="34"/>
      <c r="D590" s="34"/>
      <c r="E590" s="34"/>
      <c r="F590" s="34"/>
      <c r="G590" s="34"/>
      <c r="H590" s="34"/>
      <c r="I590" s="34"/>
      <c r="J590" s="34"/>
      <c r="K590" s="35"/>
      <c r="L590" s="34"/>
      <c r="M590" s="34"/>
      <c r="N590" s="34"/>
      <c r="O590" s="34"/>
      <c r="P590" s="34"/>
    </row>
    <row r="591" spans="2:16" x14ac:dyDescent="0.3">
      <c r="B591" s="33"/>
      <c r="C591" s="34"/>
      <c r="D591" s="34"/>
      <c r="E591" s="34"/>
      <c r="F591" s="34"/>
      <c r="G591" s="34"/>
      <c r="H591" s="34"/>
      <c r="I591" s="34"/>
      <c r="J591" s="34"/>
      <c r="K591" s="35"/>
      <c r="L591" s="34"/>
      <c r="M591" s="34"/>
      <c r="N591" s="34"/>
      <c r="O591" s="34"/>
      <c r="P591" s="34"/>
    </row>
    <row r="592" spans="2:16" x14ac:dyDescent="0.3">
      <c r="B592" s="33"/>
      <c r="C592" s="34"/>
      <c r="D592" s="34"/>
      <c r="E592" s="34"/>
      <c r="F592" s="34"/>
      <c r="G592" s="34"/>
      <c r="H592" s="34"/>
      <c r="I592" s="34"/>
      <c r="J592" s="34"/>
      <c r="K592" s="35"/>
      <c r="L592" s="34"/>
      <c r="M592" s="34"/>
      <c r="N592" s="34"/>
      <c r="O592" s="34"/>
      <c r="P592" s="34"/>
    </row>
    <row r="593" spans="2:16" x14ac:dyDescent="0.3">
      <c r="B593" s="33"/>
      <c r="C593" s="34"/>
      <c r="D593" s="34"/>
      <c r="E593" s="34"/>
      <c r="F593" s="34"/>
      <c r="G593" s="34"/>
      <c r="H593" s="34"/>
      <c r="I593" s="34"/>
      <c r="J593" s="34"/>
      <c r="K593" s="35"/>
      <c r="L593" s="34"/>
      <c r="M593" s="34"/>
      <c r="N593" s="34"/>
      <c r="O593" s="34"/>
      <c r="P593" s="34"/>
    </row>
    <row r="594" spans="2:16" x14ac:dyDescent="0.3">
      <c r="B594" s="33"/>
      <c r="C594" s="34"/>
      <c r="D594" s="34"/>
      <c r="E594" s="34"/>
      <c r="F594" s="34"/>
      <c r="G594" s="34"/>
      <c r="H594" s="34"/>
      <c r="I594" s="34"/>
      <c r="J594" s="34"/>
      <c r="K594" s="35"/>
      <c r="L594" s="34"/>
      <c r="M594" s="34"/>
      <c r="N594" s="34"/>
      <c r="O594" s="34"/>
      <c r="P594" s="34"/>
    </row>
    <row r="595" spans="2:16" x14ac:dyDescent="0.3">
      <c r="B595" s="33"/>
      <c r="C595" s="34"/>
      <c r="D595" s="34"/>
      <c r="E595" s="34"/>
      <c r="F595" s="34"/>
      <c r="G595" s="34"/>
      <c r="H595" s="34"/>
      <c r="I595" s="34"/>
      <c r="J595" s="34"/>
      <c r="K595" s="35"/>
      <c r="L595" s="34"/>
      <c r="M595" s="34"/>
      <c r="N595" s="34"/>
      <c r="O595" s="34"/>
      <c r="P595" s="34"/>
    </row>
    <row r="596" spans="2:16" x14ac:dyDescent="0.3">
      <c r="B596" s="33"/>
      <c r="C596" s="34"/>
      <c r="D596" s="34"/>
      <c r="E596" s="34"/>
      <c r="F596" s="34"/>
      <c r="G596" s="34"/>
      <c r="H596" s="34"/>
      <c r="I596" s="34"/>
      <c r="J596" s="34"/>
      <c r="K596" s="35"/>
      <c r="L596" s="34"/>
      <c r="M596" s="34"/>
      <c r="N596" s="34"/>
      <c r="O596" s="34"/>
      <c r="P596" s="34"/>
    </row>
    <row r="597" spans="2:16" x14ac:dyDescent="0.3">
      <c r="B597" s="33"/>
      <c r="C597" s="34"/>
      <c r="D597" s="34"/>
      <c r="E597" s="34"/>
      <c r="F597" s="34"/>
      <c r="G597" s="34"/>
      <c r="H597" s="34"/>
      <c r="I597" s="34"/>
      <c r="J597" s="34"/>
      <c r="K597" s="35"/>
      <c r="L597" s="34"/>
      <c r="M597" s="34"/>
      <c r="N597" s="34"/>
      <c r="O597" s="34"/>
      <c r="P597" s="34"/>
    </row>
    <row r="598" spans="2:16" x14ac:dyDescent="0.3">
      <c r="B598" s="33"/>
      <c r="C598" s="34"/>
      <c r="D598" s="34"/>
      <c r="E598" s="34"/>
      <c r="F598" s="34"/>
      <c r="G598" s="34"/>
      <c r="H598" s="34"/>
      <c r="I598" s="34"/>
      <c r="J598" s="34"/>
      <c r="K598" s="35"/>
      <c r="L598" s="34"/>
      <c r="M598" s="34"/>
      <c r="N598" s="34"/>
      <c r="O598" s="34"/>
      <c r="P598" s="34"/>
    </row>
    <row r="599" spans="2:16" x14ac:dyDescent="0.3">
      <c r="B599" s="33"/>
      <c r="C599" s="34"/>
      <c r="D599" s="34"/>
      <c r="E599" s="34"/>
      <c r="F599" s="34"/>
      <c r="G599" s="34"/>
      <c r="H599" s="34"/>
      <c r="I599" s="34"/>
      <c r="J599" s="34"/>
      <c r="K599" s="35"/>
      <c r="L599" s="34"/>
      <c r="M599" s="34"/>
      <c r="N599" s="34"/>
      <c r="O599" s="34"/>
      <c r="P599" s="34"/>
    </row>
    <row r="600" spans="2:16" x14ac:dyDescent="0.3">
      <c r="B600" s="33"/>
      <c r="C600" s="34"/>
      <c r="D600" s="34"/>
      <c r="E600" s="34"/>
      <c r="F600" s="34"/>
      <c r="G600" s="34"/>
      <c r="H600" s="34"/>
      <c r="I600" s="34"/>
      <c r="J600" s="34"/>
      <c r="K600" s="35"/>
      <c r="L600" s="34"/>
      <c r="M600" s="34"/>
      <c r="N600" s="34"/>
      <c r="O600" s="34"/>
      <c r="P600" s="34"/>
    </row>
    <row r="601" spans="2:16" x14ac:dyDescent="0.3">
      <c r="B601" s="33"/>
      <c r="C601" s="34"/>
      <c r="D601" s="34"/>
      <c r="E601" s="34"/>
      <c r="F601" s="34"/>
      <c r="G601" s="34"/>
      <c r="H601" s="34"/>
      <c r="I601" s="34"/>
      <c r="J601" s="34"/>
      <c r="K601" s="35"/>
      <c r="L601" s="34"/>
      <c r="M601" s="34"/>
      <c r="N601" s="34"/>
      <c r="O601" s="34"/>
      <c r="P601" s="34"/>
    </row>
    <row r="602" spans="2:16" x14ac:dyDescent="0.3">
      <c r="B602" s="33"/>
      <c r="C602" s="34"/>
      <c r="D602" s="34"/>
      <c r="E602" s="34"/>
      <c r="F602" s="34"/>
      <c r="G602" s="34"/>
      <c r="H602" s="34"/>
      <c r="I602" s="34"/>
      <c r="J602" s="34"/>
      <c r="K602" s="35"/>
      <c r="L602" s="34"/>
      <c r="M602" s="34"/>
      <c r="N602" s="34"/>
      <c r="O602" s="34"/>
      <c r="P602" s="34"/>
    </row>
    <row r="603" spans="2:16" x14ac:dyDescent="0.3">
      <c r="B603" s="33"/>
      <c r="C603" s="34"/>
      <c r="D603" s="34"/>
      <c r="E603" s="34"/>
      <c r="F603" s="34"/>
      <c r="G603" s="34"/>
      <c r="H603" s="34"/>
      <c r="I603" s="34"/>
      <c r="J603" s="34"/>
      <c r="K603" s="35"/>
      <c r="L603" s="34"/>
      <c r="M603" s="34"/>
      <c r="N603" s="34"/>
      <c r="O603" s="34"/>
      <c r="P603" s="34"/>
    </row>
    <row r="604" spans="2:16" x14ac:dyDescent="0.3">
      <c r="B604" s="33"/>
      <c r="C604" s="34"/>
      <c r="D604" s="34"/>
      <c r="E604" s="34"/>
      <c r="F604" s="34"/>
      <c r="G604" s="34"/>
      <c r="H604" s="34"/>
      <c r="I604" s="34"/>
      <c r="J604" s="34"/>
      <c r="K604" s="35"/>
      <c r="L604" s="34"/>
      <c r="M604" s="34"/>
      <c r="N604" s="34"/>
      <c r="O604" s="34"/>
      <c r="P604" s="34"/>
    </row>
    <row r="605" spans="2:16" x14ac:dyDescent="0.3">
      <c r="B605" s="33"/>
      <c r="C605" s="34"/>
      <c r="D605" s="34"/>
      <c r="E605" s="34"/>
      <c r="F605" s="34"/>
      <c r="G605" s="34"/>
      <c r="H605" s="34"/>
      <c r="I605" s="34"/>
      <c r="J605" s="34"/>
      <c r="K605" s="35"/>
      <c r="L605" s="34"/>
      <c r="M605" s="34"/>
      <c r="N605" s="34"/>
      <c r="O605" s="34"/>
      <c r="P605" s="34"/>
    </row>
    <row r="606" spans="2:16" x14ac:dyDescent="0.3">
      <c r="B606" s="33"/>
      <c r="C606" s="34"/>
      <c r="D606" s="34"/>
      <c r="E606" s="34"/>
      <c r="F606" s="34"/>
      <c r="G606" s="34"/>
      <c r="H606" s="34"/>
      <c r="I606" s="34"/>
      <c r="J606" s="34"/>
      <c r="K606" s="35"/>
      <c r="L606" s="34"/>
      <c r="M606" s="34"/>
      <c r="N606" s="34"/>
      <c r="O606" s="34"/>
      <c r="P606" s="34"/>
    </row>
    <row r="607" spans="2:16" x14ac:dyDescent="0.3">
      <c r="B607" s="33"/>
      <c r="C607" s="34"/>
      <c r="D607" s="34"/>
      <c r="E607" s="34"/>
      <c r="F607" s="34"/>
      <c r="G607" s="34"/>
      <c r="H607" s="34"/>
      <c r="I607" s="34"/>
      <c r="J607" s="34"/>
      <c r="K607" s="35"/>
      <c r="L607" s="34"/>
      <c r="M607" s="34"/>
      <c r="N607" s="34"/>
      <c r="O607" s="34"/>
      <c r="P607" s="34"/>
    </row>
    <row r="608" spans="2:16" x14ac:dyDescent="0.3">
      <c r="B608" s="33"/>
      <c r="C608" s="34"/>
      <c r="D608" s="34"/>
      <c r="E608" s="34"/>
      <c r="F608" s="34"/>
      <c r="G608" s="34"/>
      <c r="H608" s="34"/>
      <c r="I608" s="34"/>
      <c r="J608" s="34"/>
      <c r="K608" s="35"/>
      <c r="L608" s="34"/>
      <c r="M608" s="34"/>
      <c r="N608" s="34"/>
      <c r="O608" s="34"/>
      <c r="P608" s="34"/>
    </row>
    <row r="609" spans="2:16" x14ac:dyDescent="0.3">
      <c r="B609" s="33"/>
      <c r="C609" s="34"/>
      <c r="D609" s="34"/>
      <c r="E609" s="34"/>
      <c r="F609" s="34"/>
      <c r="G609" s="34"/>
      <c r="H609" s="34"/>
      <c r="I609" s="34"/>
      <c r="J609" s="34"/>
      <c r="K609" s="35"/>
      <c r="L609" s="34"/>
      <c r="M609" s="34"/>
      <c r="N609" s="34"/>
      <c r="O609" s="34"/>
      <c r="P609" s="34"/>
    </row>
    <row r="610" spans="2:16" x14ac:dyDescent="0.3">
      <c r="B610" s="33"/>
      <c r="C610" s="34"/>
      <c r="D610" s="34"/>
      <c r="E610" s="34"/>
      <c r="F610" s="34"/>
      <c r="G610" s="34"/>
      <c r="H610" s="34"/>
      <c r="I610" s="34"/>
      <c r="J610" s="34"/>
      <c r="K610" s="35"/>
      <c r="L610" s="34"/>
      <c r="M610" s="34"/>
      <c r="N610" s="34"/>
      <c r="O610" s="34"/>
      <c r="P610" s="34"/>
    </row>
    <row r="611" spans="2:16" x14ac:dyDescent="0.3">
      <c r="B611" s="33"/>
      <c r="C611" s="34"/>
      <c r="D611" s="34"/>
      <c r="E611" s="34"/>
      <c r="F611" s="34"/>
      <c r="G611" s="34"/>
      <c r="H611" s="34"/>
      <c r="I611" s="34"/>
      <c r="J611" s="34"/>
      <c r="K611" s="35"/>
      <c r="L611" s="34"/>
      <c r="M611" s="34"/>
      <c r="N611" s="34"/>
      <c r="O611" s="34"/>
      <c r="P611" s="34"/>
    </row>
    <row r="612" spans="2:16" x14ac:dyDescent="0.3">
      <c r="B612" s="33"/>
      <c r="C612" s="34"/>
      <c r="D612" s="34"/>
      <c r="E612" s="34"/>
      <c r="F612" s="34"/>
      <c r="G612" s="34"/>
      <c r="H612" s="34"/>
      <c r="I612" s="34"/>
      <c r="J612" s="34"/>
      <c r="K612" s="35"/>
      <c r="L612" s="34"/>
      <c r="M612" s="34"/>
      <c r="N612" s="34"/>
      <c r="O612" s="34"/>
      <c r="P612" s="34"/>
    </row>
    <row r="613" spans="2:16" x14ac:dyDescent="0.3">
      <c r="B613" s="33"/>
      <c r="C613" s="34"/>
      <c r="D613" s="34"/>
      <c r="E613" s="34"/>
      <c r="F613" s="34"/>
      <c r="G613" s="34"/>
      <c r="H613" s="34"/>
      <c r="I613" s="34"/>
      <c r="J613" s="34"/>
      <c r="K613" s="35"/>
      <c r="L613" s="34"/>
      <c r="M613" s="34"/>
      <c r="N613" s="34"/>
      <c r="O613" s="34"/>
      <c r="P613" s="34"/>
    </row>
    <row r="614" spans="2:16" x14ac:dyDescent="0.3">
      <c r="B614" s="33"/>
      <c r="C614" s="34"/>
      <c r="D614" s="34"/>
      <c r="E614" s="34"/>
      <c r="F614" s="34"/>
      <c r="G614" s="34"/>
      <c r="H614" s="34"/>
      <c r="I614" s="34"/>
      <c r="J614" s="34"/>
      <c r="K614" s="35"/>
      <c r="L614" s="34"/>
      <c r="M614" s="34"/>
      <c r="N614" s="34"/>
      <c r="O614" s="34"/>
      <c r="P614" s="34"/>
    </row>
    <row r="615" spans="2:16" x14ac:dyDescent="0.3">
      <c r="B615" s="33"/>
      <c r="C615" s="34"/>
      <c r="D615" s="34"/>
      <c r="E615" s="34"/>
      <c r="F615" s="34"/>
      <c r="G615" s="34"/>
      <c r="H615" s="34"/>
      <c r="I615" s="34"/>
      <c r="J615" s="34"/>
      <c r="K615" s="35"/>
      <c r="L615" s="34"/>
      <c r="M615" s="34"/>
      <c r="N615" s="34"/>
      <c r="O615" s="34"/>
      <c r="P615" s="34"/>
    </row>
    <row r="616" spans="2:16" x14ac:dyDescent="0.3">
      <c r="B616" s="33"/>
      <c r="C616" s="34"/>
      <c r="D616" s="34"/>
      <c r="E616" s="34"/>
      <c r="F616" s="34"/>
      <c r="G616" s="34"/>
      <c r="H616" s="34"/>
      <c r="I616" s="34"/>
      <c r="J616" s="34"/>
      <c r="K616" s="35"/>
      <c r="L616" s="34"/>
      <c r="M616" s="34"/>
      <c r="N616" s="34"/>
      <c r="O616" s="34"/>
      <c r="P616" s="34"/>
    </row>
    <row r="617" spans="2:16" x14ac:dyDescent="0.3">
      <c r="B617" s="33"/>
      <c r="C617" s="34"/>
      <c r="D617" s="34"/>
      <c r="E617" s="34"/>
      <c r="F617" s="34"/>
      <c r="G617" s="34"/>
      <c r="H617" s="34"/>
      <c r="I617" s="34"/>
      <c r="J617" s="34"/>
      <c r="K617" s="35"/>
      <c r="L617" s="34"/>
      <c r="M617" s="34"/>
      <c r="N617" s="34"/>
      <c r="O617" s="34"/>
      <c r="P617" s="34"/>
    </row>
    <row r="618" spans="2:16" x14ac:dyDescent="0.3">
      <c r="B618" s="33"/>
      <c r="C618" s="34"/>
      <c r="D618" s="34"/>
      <c r="E618" s="34"/>
      <c r="F618" s="34"/>
      <c r="G618" s="34"/>
      <c r="H618" s="34"/>
      <c r="I618" s="34"/>
      <c r="J618" s="34"/>
      <c r="K618" s="35"/>
      <c r="L618" s="34"/>
      <c r="M618" s="34"/>
      <c r="N618" s="34"/>
      <c r="O618" s="34"/>
      <c r="P618" s="34"/>
    </row>
    <row r="619" spans="2:16" x14ac:dyDescent="0.3">
      <c r="B619" s="33"/>
      <c r="C619" s="34"/>
      <c r="D619" s="34"/>
      <c r="E619" s="34"/>
      <c r="F619" s="34"/>
      <c r="G619" s="34"/>
      <c r="H619" s="34"/>
      <c r="I619" s="34"/>
      <c r="J619" s="34"/>
      <c r="K619" s="35"/>
      <c r="L619" s="34"/>
      <c r="M619" s="34"/>
      <c r="N619" s="34"/>
      <c r="O619" s="34"/>
      <c r="P619" s="34"/>
    </row>
    <row r="620" spans="2:16" x14ac:dyDescent="0.3">
      <c r="B620" s="33"/>
      <c r="C620" s="34"/>
      <c r="D620" s="34"/>
      <c r="E620" s="34"/>
      <c r="F620" s="34"/>
      <c r="G620" s="34"/>
      <c r="H620" s="34"/>
      <c r="I620" s="34"/>
      <c r="J620" s="34"/>
      <c r="K620" s="35"/>
      <c r="L620" s="34"/>
      <c r="M620" s="34"/>
      <c r="N620" s="34"/>
      <c r="O620" s="34"/>
      <c r="P620" s="34"/>
    </row>
    <row r="621" spans="2:16" x14ac:dyDescent="0.3">
      <c r="B621" s="33"/>
      <c r="C621" s="34"/>
      <c r="D621" s="34"/>
      <c r="E621" s="34"/>
      <c r="F621" s="34"/>
      <c r="G621" s="34"/>
      <c r="H621" s="34"/>
      <c r="I621" s="34"/>
      <c r="J621" s="34"/>
      <c r="K621" s="35"/>
      <c r="L621" s="34"/>
      <c r="M621" s="34"/>
      <c r="N621" s="34"/>
      <c r="O621" s="34"/>
      <c r="P621" s="34"/>
    </row>
    <row r="622" spans="2:16" x14ac:dyDescent="0.3">
      <c r="B622" s="33"/>
      <c r="C622" s="34"/>
      <c r="D622" s="34"/>
      <c r="E622" s="34"/>
      <c r="F622" s="34"/>
      <c r="G622" s="34"/>
      <c r="H622" s="34"/>
      <c r="I622" s="34"/>
      <c r="J622" s="34"/>
      <c r="K622" s="35"/>
      <c r="L622" s="34"/>
      <c r="M622" s="34"/>
      <c r="N622" s="34"/>
      <c r="O622" s="34"/>
      <c r="P622" s="34"/>
    </row>
    <row r="623" spans="2:16" x14ac:dyDescent="0.3">
      <c r="B623" s="33"/>
      <c r="C623" s="34"/>
      <c r="D623" s="34"/>
      <c r="E623" s="34"/>
      <c r="F623" s="34"/>
      <c r="G623" s="34"/>
      <c r="H623" s="34"/>
      <c r="I623" s="34"/>
      <c r="J623" s="34"/>
      <c r="K623" s="35"/>
      <c r="L623" s="34"/>
      <c r="M623" s="34"/>
      <c r="N623" s="34"/>
      <c r="O623" s="34"/>
      <c r="P623" s="34"/>
    </row>
    <row r="624" spans="2:16" x14ac:dyDescent="0.3">
      <c r="B624" s="33"/>
      <c r="C624" s="34"/>
      <c r="D624" s="34"/>
      <c r="E624" s="34"/>
      <c r="F624" s="34"/>
      <c r="G624" s="34"/>
      <c r="H624" s="34"/>
      <c r="I624" s="34"/>
      <c r="J624" s="34"/>
      <c r="K624" s="35"/>
      <c r="L624" s="34"/>
      <c r="M624" s="34"/>
      <c r="N624" s="34"/>
      <c r="O624" s="34"/>
      <c r="P624" s="34"/>
    </row>
    <row r="625" spans="2:16" x14ac:dyDescent="0.3">
      <c r="B625" s="33"/>
      <c r="C625" s="34"/>
      <c r="D625" s="34"/>
      <c r="E625" s="34"/>
      <c r="F625" s="34"/>
      <c r="G625" s="34"/>
      <c r="H625" s="34"/>
      <c r="I625" s="34"/>
      <c r="J625" s="34"/>
      <c r="K625" s="35"/>
      <c r="L625" s="34"/>
      <c r="M625" s="34"/>
      <c r="N625" s="34"/>
      <c r="O625" s="34"/>
      <c r="P625" s="34"/>
    </row>
    <row r="626" spans="2:16" x14ac:dyDescent="0.3">
      <c r="B626" s="33"/>
      <c r="C626" s="34"/>
      <c r="D626" s="34"/>
      <c r="E626" s="34"/>
      <c r="F626" s="34"/>
      <c r="G626" s="34"/>
      <c r="H626" s="34"/>
      <c r="I626" s="34"/>
      <c r="J626" s="34"/>
      <c r="K626" s="35"/>
      <c r="L626" s="34"/>
      <c r="M626" s="34"/>
      <c r="N626" s="34"/>
      <c r="O626" s="34"/>
      <c r="P626" s="34"/>
    </row>
    <row r="627" spans="2:16" x14ac:dyDescent="0.3">
      <c r="B627" s="33"/>
      <c r="C627" s="34"/>
      <c r="D627" s="34"/>
      <c r="E627" s="34"/>
      <c r="F627" s="34"/>
      <c r="G627" s="34"/>
      <c r="H627" s="34"/>
      <c r="I627" s="34"/>
      <c r="J627" s="34"/>
      <c r="K627" s="35"/>
      <c r="L627" s="34"/>
      <c r="M627" s="34"/>
      <c r="N627" s="34"/>
      <c r="O627" s="34"/>
      <c r="P627" s="34"/>
    </row>
    <row r="628" spans="2:16" x14ac:dyDescent="0.3">
      <c r="B628" s="33"/>
      <c r="C628" s="34"/>
      <c r="D628" s="34"/>
      <c r="E628" s="34"/>
      <c r="F628" s="34"/>
      <c r="G628" s="34"/>
      <c r="H628" s="34"/>
      <c r="I628" s="34"/>
      <c r="J628" s="34"/>
      <c r="K628" s="35"/>
      <c r="L628" s="34"/>
      <c r="M628" s="34"/>
      <c r="N628" s="34"/>
      <c r="O628" s="34"/>
      <c r="P628" s="34"/>
    </row>
    <row r="629" spans="2:16" x14ac:dyDescent="0.3">
      <c r="B629" s="33"/>
      <c r="C629" s="34"/>
      <c r="D629" s="34"/>
      <c r="E629" s="34"/>
      <c r="F629" s="34"/>
      <c r="G629" s="34"/>
      <c r="H629" s="34"/>
      <c r="I629" s="34"/>
      <c r="J629" s="34"/>
      <c r="K629" s="35"/>
      <c r="L629" s="34"/>
      <c r="M629" s="34"/>
      <c r="N629" s="34"/>
      <c r="O629" s="34"/>
      <c r="P629" s="34"/>
    </row>
    <row r="630" spans="2:16" x14ac:dyDescent="0.3">
      <c r="B630" s="33"/>
      <c r="C630" s="34"/>
      <c r="D630" s="34"/>
      <c r="E630" s="34"/>
      <c r="F630" s="34"/>
      <c r="G630" s="34"/>
      <c r="H630" s="34"/>
      <c r="I630" s="34"/>
      <c r="J630" s="34"/>
      <c r="K630" s="35"/>
      <c r="L630" s="34"/>
      <c r="M630" s="34"/>
      <c r="N630" s="34"/>
      <c r="O630" s="34"/>
      <c r="P630" s="34"/>
    </row>
    <row r="631" spans="2:16" x14ac:dyDescent="0.3">
      <c r="B631" s="33"/>
      <c r="C631" s="34"/>
      <c r="D631" s="34"/>
      <c r="E631" s="34"/>
      <c r="F631" s="34"/>
      <c r="G631" s="34"/>
      <c r="H631" s="34"/>
      <c r="I631" s="34"/>
      <c r="J631" s="34"/>
      <c r="K631" s="35"/>
      <c r="L631" s="34"/>
      <c r="M631" s="34"/>
      <c r="N631" s="34"/>
      <c r="O631" s="34"/>
      <c r="P631" s="34"/>
    </row>
    <row r="632" spans="2:16" x14ac:dyDescent="0.3">
      <c r="B632" s="33"/>
      <c r="C632" s="34"/>
      <c r="D632" s="34"/>
      <c r="E632" s="34"/>
      <c r="F632" s="34"/>
      <c r="G632" s="34"/>
      <c r="H632" s="34"/>
      <c r="I632" s="34"/>
      <c r="J632" s="34"/>
      <c r="K632" s="35"/>
      <c r="L632" s="34"/>
      <c r="M632" s="34"/>
      <c r="N632" s="34"/>
      <c r="O632" s="34"/>
      <c r="P632" s="34"/>
    </row>
    <row r="633" spans="2:16" x14ac:dyDescent="0.3">
      <c r="B633" s="33"/>
      <c r="C633" s="34"/>
      <c r="D633" s="34"/>
      <c r="E633" s="34"/>
      <c r="F633" s="34"/>
      <c r="G633" s="34"/>
      <c r="H633" s="34"/>
      <c r="I633" s="34"/>
      <c r="J633" s="34"/>
      <c r="K633" s="35"/>
      <c r="L633" s="34"/>
      <c r="M633" s="34"/>
      <c r="N633" s="34"/>
      <c r="O633" s="34"/>
      <c r="P633" s="34"/>
    </row>
    <row r="634" spans="2:16" x14ac:dyDescent="0.3">
      <c r="B634" s="33"/>
      <c r="C634" s="34"/>
      <c r="D634" s="34"/>
      <c r="E634" s="34"/>
      <c r="F634" s="34"/>
      <c r="G634" s="34"/>
      <c r="H634" s="34"/>
      <c r="I634" s="34"/>
      <c r="J634" s="34"/>
      <c r="K634" s="35"/>
      <c r="L634" s="34"/>
      <c r="M634" s="34"/>
      <c r="N634" s="34"/>
      <c r="O634" s="34"/>
      <c r="P634" s="34"/>
    </row>
    <row r="635" spans="2:16" x14ac:dyDescent="0.3">
      <c r="B635" s="33"/>
      <c r="C635" s="34"/>
      <c r="D635" s="34"/>
      <c r="E635" s="34"/>
      <c r="F635" s="34"/>
      <c r="G635" s="34"/>
      <c r="H635" s="34"/>
      <c r="I635" s="34"/>
      <c r="J635" s="34"/>
      <c r="K635" s="35"/>
      <c r="L635" s="34"/>
      <c r="M635" s="34"/>
      <c r="N635" s="34"/>
      <c r="O635" s="34"/>
      <c r="P635" s="34"/>
    </row>
    <row r="636" spans="2:16" x14ac:dyDescent="0.3">
      <c r="B636" s="33"/>
      <c r="C636" s="34"/>
      <c r="D636" s="34"/>
      <c r="E636" s="34"/>
      <c r="F636" s="34"/>
      <c r="G636" s="34"/>
      <c r="H636" s="34"/>
      <c r="I636" s="34"/>
      <c r="J636" s="34"/>
      <c r="K636" s="35"/>
      <c r="L636" s="34"/>
      <c r="M636" s="34"/>
      <c r="N636" s="34"/>
      <c r="O636" s="34"/>
      <c r="P636" s="34"/>
    </row>
    <row r="637" spans="2:16" x14ac:dyDescent="0.3">
      <c r="B637" s="33"/>
      <c r="C637" s="34"/>
      <c r="D637" s="34"/>
      <c r="E637" s="34"/>
      <c r="F637" s="34"/>
      <c r="G637" s="34"/>
      <c r="H637" s="34"/>
      <c r="I637" s="34"/>
      <c r="J637" s="34"/>
      <c r="K637" s="35"/>
      <c r="L637" s="34"/>
      <c r="M637" s="34"/>
      <c r="N637" s="34"/>
      <c r="O637" s="34"/>
      <c r="P637" s="34"/>
    </row>
    <row r="638" spans="2:16" x14ac:dyDescent="0.3">
      <c r="B638" s="33"/>
      <c r="C638" s="34"/>
      <c r="D638" s="34"/>
      <c r="E638" s="34"/>
      <c r="F638" s="34"/>
      <c r="G638" s="34"/>
      <c r="H638" s="34"/>
      <c r="I638" s="34"/>
      <c r="J638" s="34"/>
      <c r="K638" s="35"/>
      <c r="L638" s="34"/>
      <c r="M638" s="34"/>
      <c r="N638" s="34"/>
      <c r="O638" s="34"/>
      <c r="P638" s="34"/>
    </row>
    <row r="639" spans="2:16" x14ac:dyDescent="0.3">
      <c r="B639" s="33"/>
      <c r="C639" s="34"/>
      <c r="D639" s="34"/>
      <c r="E639" s="34"/>
      <c r="F639" s="34"/>
      <c r="G639" s="34"/>
      <c r="H639" s="34"/>
      <c r="I639" s="34"/>
      <c r="J639" s="34"/>
      <c r="K639" s="35"/>
      <c r="L639" s="34"/>
      <c r="M639" s="34"/>
      <c r="N639" s="34"/>
      <c r="O639" s="34"/>
      <c r="P639" s="34"/>
    </row>
    <row r="640" spans="2:16" x14ac:dyDescent="0.3">
      <c r="B640" s="33"/>
      <c r="C640" s="34"/>
      <c r="D640" s="34"/>
      <c r="E640" s="34"/>
      <c r="F640" s="34"/>
      <c r="G640" s="34"/>
      <c r="H640" s="34"/>
      <c r="I640" s="34"/>
      <c r="J640" s="34"/>
      <c r="K640" s="35"/>
      <c r="L640" s="34"/>
      <c r="M640" s="34"/>
      <c r="N640" s="34"/>
      <c r="O640" s="34"/>
      <c r="P640" s="34"/>
    </row>
    <row r="641" spans="2:16" x14ac:dyDescent="0.3">
      <c r="B641" s="33"/>
      <c r="C641" s="34"/>
      <c r="D641" s="34"/>
      <c r="E641" s="34"/>
      <c r="F641" s="34"/>
      <c r="G641" s="34"/>
      <c r="H641" s="34"/>
      <c r="I641" s="34"/>
      <c r="J641" s="34"/>
      <c r="K641" s="35"/>
      <c r="L641" s="34"/>
      <c r="M641" s="34"/>
      <c r="N641" s="34"/>
      <c r="O641" s="34"/>
      <c r="P641" s="34"/>
    </row>
    <row r="642" spans="2:16" x14ac:dyDescent="0.3">
      <c r="B642" s="33"/>
      <c r="C642" s="34"/>
      <c r="D642" s="34"/>
      <c r="E642" s="34"/>
      <c r="F642" s="34"/>
      <c r="G642" s="34"/>
      <c r="H642" s="34"/>
      <c r="I642" s="34"/>
      <c r="J642" s="34"/>
      <c r="K642" s="35"/>
      <c r="L642" s="34"/>
      <c r="M642" s="34"/>
      <c r="N642" s="34"/>
      <c r="O642" s="34"/>
      <c r="P642" s="34"/>
    </row>
    <row r="643" spans="2:16" x14ac:dyDescent="0.3">
      <c r="B643" s="33"/>
      <c r="C643" s="34"/>
      <c r="D643" s="34"/>
      <c r="E643" s="34"/>
      <c r="F643" s="34"/>
      <c r="G643" s="34"/>
      <c r="H643" s="34"/>
      <c r="I643" s="34"/>
      <c r="J643" s="34"/>
      <c r="K643" s="35"/>
      <c r="L643" s="34"/>
      <c r="M643" s="34"/>
      <c r="N643" s="34"/>
      <c r="O643" s="34"/>
      <c r="P643" s="34"/>
    </row>
    <row r="644" spans="2:16" x14ac:dyDescent="0.3">
      <c r="B644" s="33"/>
      <c r="C644" s="34"/>
      <c r="D644" s="34"/>
      <c r="E644" s="34"/>
      <c r="F644" s="34"/>
      <c r="G644" s="34"/>
      <c r="H644" s="34"/>
      <c r="I644" s="34"/>
      <c r="J644" s="34"/>
      <c r="K644" s="35"/>
      <c r="L644" s="34"/>
      <c r="M644" s="34"/>
      <c r="N644" s="34"/>
      <c r="O644" s="34"/>
      <c r="P644" s="34"/>
    </row>
    <row r="645" spans="2:16" x14ac:dyDescent="0.3">
      <c r="B645" s="33"/>
      <c r="C645" s="34"/>
      <c r="D645" s="34"/>
      <c r="E645" s="34"/>
      <c r="F645" s="34"/>
      <c r="G645" s="34"/>
      <c r="H645" s="34"/>
      <c r="I645" s="34"/>
      <c r="J645" s="34"/>
      <c r="K645" s="35"/>
      <c r="L645" s="34"/>
      <c r="M645" s="34"/>
      <c r="N645" s="34"/>
      <c r="O645" s="34"/>
      <c r="P645" s="34"/>
    </row>
    <row r="646" spans="2:16" x14ac:dyDescent="0.3">
      <c r="B646" s="33"/>
      <c r="C646" s="34"/>
      <c r="D646" s="34"/>
      <c r="E646" s="34"/>
      <c r="F646" s="34"/>
      <c r="G646" s="34"/>
      <c r="H646" s="34"/>
      <c r="I646" s="34"/>
      <c r="J646" s="34"/>
      <c r="K646" s="35"/>
      <c r="L646" s="34"/>
      <c r="M646" s="34"/>
      <c r="N646" s="34"/>
      <c r="O646" s="34"/>
      <c r="P646" s="34"/>
    </row>
    <row r="647" spans="2:16" x14ac:dyDescent="0.3">
      <c r="B647" s="33"/>
      <c r="C647" s="34"/>
      <c r="D647" s="34"/>
      <c r="E647" s="34"/>
      <c r="F647" s="34"/>
      <c r="G647" s="34"/>
      <c r="H647" s="34"/>
      <c r="I647" s="34"/>
      <c r="J647" s="34"/>
      <c r="K647" s="35"/>
      <c r="L647" s="34"/>
      <c r="M647" s="34"/>
      <c r="N647" s="34"/>
      <c r="O647" s="34"/>
      <c r="P647" s="34"/>
    </row>
    <row r="648" spans="2:16" x14ac:dyDescent="0.3">
      <c r="B648" s="33"/>
      <c r="C648" s="34"/>
      <c r="D648" s="34"/>
      <c r="E648" s="34"/>
      <c r="F648" s="34"/>
      <c r="G648" s="34"/>
      <c r="H648" s="34"/>
      <c r="I648" s="34"/>
      <c r="J648" s="34"/>
      <c r="K648" s="35"/>
      <c r="L648" s="34"/>
      <c r="M648" s="34"/>
      <c r="N648" s="34"/>
      <c r="O648" s="34"/>
      <c r="P648" s="34"/>
    </row>
    <row r="649" spans="2:16" x14ac:dyDescent="0.3">
      <c r="B649" s="33"/>
      <c r="C649" s="34"/>
      <c r="D649" s="34"/>
      <c r="E649" s="34"/>
      <c r="F649" s="34"/>
      <c r="G649" s="34"/>
      <c r="H649" s="34"/>
      <c r="I649" s="34"/>
      <c r="J649" s="34"/>
      <c r="K649" s="35"/>
      <c r="L649" s="34"/>
      <c r="M649" s="34"/>
      <c r="N649" s="34"/>
      <c r="O649" s="34"/>
      <c r="P649" s="34"/>
    </row>
    <row r="650" spans="2:16" x14ac:dyDescent="0.3">
      <c r="B650" s="33"/>
      <c r="C650" s="34"/>
      <c r="D650" s="34"/>
      <c r="E650" s="34"/>
      <c r="F650" s="34"/>
      <c r="G650" s="34"/>
      <c r="H650" s="34"/>
      <c r="I650" s="34"/>
      <c r="J650" s="34"/>
      <c r="K650" s="35"/>
      <c r="L650" s="34"/>
      <c r="M650" s="34"/>
      <c r="N650" s="34"/>
      <c r="O650" s="34"/>
      <c r="P650" s="34"/>
    </row>
    <row r="651" spans="2:16" x14ac:dyDescent="0.3">
      <c r="B651" s="33"/>
      <c r="C651" s="34"/>
      <c r="D651" s="34"/>
      <c r="E651" s="34"/>
      <c r="F651" s="34"/>
      <c r="G651" s="34"/>
      <c r="H651" s="34"/>
      <c r="I651" s="34"/>
      <c r="J651" s="34"/>
      <c r="K651" s="35"/>
      <c r="L651" s="34"/>
      <c r="M651" s="34"/>
      <c r="N651" s="34"/>
      <c r="O651" s="34"/>
      <c r="P651" s="34"/>
    </row>
    <row r="652" spans="2:16" x14ac:dyDescent="0.3">
      <c r="B652" s="33"/>
      <c r="C652" s="34"/>
      <c r="D652" s="34"/>
      <c r="E652" s="34"/>
      <c r="F652" s="34"/>
      <c r="G652" s="34"/>
      <c r="H652" s="34"/>
      <c r="I652" s="34"/>
      <c r="J652" s="34"/>
      <c r="K652" s="35"/>
      <c r="L652" s="34"/>
      <c r="M652" s="34"/>
      <c r="N652" s="34"/>
      <c r="O652" s="34"/>
      <c r="P652" s="34"/>
    </row>
    <row r="653" spans="2:16" x14ac:dyDescent="0.3">
      <c r="B653" s="33"/>
      <c r="C653" s="34"/>
      <c r="D653" s="34"/>
      <c r="E653" s="34"/>
      <c r="F653" s="34"/>
      <c r="G653" s="34"/>
      <c r="H653" s="34"/>
      <c r="I653" s="34"/>
      <c r="J653" s="34"/>
      <c r="K653" s="35"/>
      <c r="L653" s="34"/>
      <c r="M653" s="34"/>
      <c r="N653" s="34"/>
      <c r="O653" s="34"/>
      <c r="P653" s="34"/>
    </row>
    <row r="654" spans="2:16" x14ac:dyDescent="0.3">
      <c r="B654" s="33"/>
      <c r="C654" s="34"/>
      <c r="D654" s="34"/>
      <c r="E654" s="34"/>
      <c r="F654" s="34"/>
      <c r="G654" s="34"/>
      <c r="H654" s="34"/>
      <c r="I654" s="34"/>
      <c r="J654" s="34"/>
      <c r="K654" s="35"/>
      <c r="L654" s="34"/>
      <c r="M654" s="34"/>
      <c r="N654" s="34"/>
      <c r="O654" s="34"/>
      <c r="P654" s="34"/>
    </row>
    <row r="655" spans="2:16" x14ac:dyDescent="0.3">
      <c r="B655" s="33"/>
      <c r="C655" s="34"/>
      <c r="D655" s="34"/>
      <c r="E655" s="34"/>
      <c r="F655" s="34"/>
      <c r="G655" s="34"/>
      <c r="H655" s="34"/>
      <c r="I655" s="34"/>
      <c r="J655" s="34"/>
      <c r="K655" s="35"/>
      <c r="L655" s="34"/>
      <c r="M655" s="34"/>
      <c r="N655" s="34"/>
      <c r="O655" s="34"/>
      <c r="P655" s="34"/>
    </row>
    <row r="656" spans="2:16" x14ac:dyDescent="0.3">
      <c r="B656" s="33"/>
      <c r="C656" s="34"/>
      <c r="D656" s="34"/>
      <c r="E656" s="34"/>
      <c r="F656" s="34"/>
      <c r="G656" s="34"/>
      <c r="H656" s="34"/>
      <c r="I656" s="34"/>
      <c r="J656" s="34"/>
      <c r="K656" s="35"/>
      <c r="L656" s="34"/>
      <c r="M656" s="34"/>
      <c r="N656" s="34"/>
      <c r="O656" s="34"/>
      <c r="P656" s="34"/>
    </row>
    <row r="657" spans="2:16" x14ac:dyDescent="0.3">
      <c r="B657" s="33"/>
      <c r="C657" s="34"/>
      <c r="D657" s="34"/>
      <c r="E657" s="34"/>
      <c r="F657" s="34"/>
      <c r="G657" s="34"/>
      <c r="H657" s="34"/>
      <c r="I657" s="34"/>
      <c r="J657" s="34"/>
      <c r="K657" s="35"/>
      <c r="L657" s="34"/>
      <c r="M657" s="34"/>
      <c r="N657" s="34"/>
      <c r="O657" s="34"/>
      <c r="P657" s="34"/>
    </row>
    <row r="658" spans="2:16" x14ac:dyDescent="0.3">
      <c r="B658" s="33"/>
      <c r="C658" s="34"/>
      <c r="D658" s="34"/>
      <c r="E658" s="34"/>
      <c r="F658" s="34"/>
      <c r="G658" s="34"/>
      <c r="H658" s="34"/>
      <c r="I658" s="34"/>
      <c r="J658" s="34"/>
      <c r="K658" s="35"/>
      <c r="L658" s="34"/>
      <c r="M658" s="34"/>
      <c r="N658" s="34"/>
      <c r="O658" s="34"/>
      <c r="P658" s="34"/>
    </row>
    <row r="659" spans="2:16" x14ac:dyDescent="0.3">
      <c r="B659" s="33"/>
      <c r="C659" s="34"/>
      <c r="D659" s="34"/>
      <c r="E659" s="34"/>
      <c r="F659" s="34"/>
      <c r="G659" s="34"/>
      <c r="H659" s="34"/>
      <c r="I659" s="34"/>
      <c r="J659" s="34"/>
      <c r="K659" s="35"/>
      <c r="L659" s="34"/>
      <c r="M659" s="34"/>
      <c r="N659" s="34"/>
      <c r="O659" s="34"/>
      <c r="P659" s="34"/>
    </row>
    <row r="660" spans="2:16" x14ac:dyDescent="0.3">
      <c r="B660" s="33"/>
      <c r="C660" s="34"/>
      <c r="D660" s="34"/>
      <c r="E660" s="34"/>
      <c r="F660" s="34"/>
      <c r="G660" s="34"/>
      <c r="H660" s="34"/>
      <c r="I660" s="34"/>
      <c r="J660" s="34"/>
      <c r="K660" s="35"/>
      <c r="L660" s="34"/>
      <c r="M660" s="34"/>
      <c r="N660" s="34"/>
      <c r="O660" s="34"/>
      <c r="P660" s="34"/>
    </row>
    <row r="661" spans="2:16" x14ac:dyDescent="0.3">
      <c r="B661" s="33"/>
      <c r="C661" s="34"/>
      <c r="D661" s="34"/>
      <c r="E661" s="34"/>
      <c r="F661" s="34"/>
      <c r="G661" s="34"/>
      <c r="H661" s="34"/>
      <c r="I661" s="34"/>
      <c r="J661" s="34"/>
      <c r="K661" s="35"/>
      <c r="L661" s="34"/>
      <c r="M661" s="34"/>
      <c r="N661" s="34"/>
      <c r="O661" s="34"/>
      <c r="P661" s="34"/>
    </row>
    <row r="662" spans="2:16" x14ac:dyDescent="0.3">
      <c r="B662" s="33"/>
      <c r="C662" s="34"/>
      <c r="D662" s="34"/>
      <c r="E662" s="34"/>
      <c r="F662" s="34"/>
      <c r="G662" s="34"/>
      <c r="H662" s="34"/>
      <c r="I662" s="34"/>
      <c r="J662" s="34"/>
      <c r="K662" s="35"/>
      <c r="L662" s="34"/>
      <c r="M662" s="34"/>
      <c r="N662" s="34"/>
      <c r="O662" s="34"/>
      <c r="P662" s="34"/>
    </row>
    <row r="663" spans="2:16" x14ac:dyDescent="0.3">
      <c r="B663" s="33"/>
      <c r="C663" s="34"/>
      <c r="D663" s="34"/>
      <c r="E663" s="34"/>
      <c r="F663" s="34"/>
      <c r="G663" s="34"/>
      <c r="H663" s="34"/>
      <c r="I663" s="34"/>
      <c r="J663" s="34"/>
      <c r="K663" s="35"/>
      <c r="L663" s="34"/>
      <c r="M663" s="34"/>
      <c r="N663" s="34"/>
      <c r="O663" s="34"/>
      <c r="P663" s="34"/>
    </row>
    <row r="664" spans="2:16" x14ac:dyDescent="0.3">
      <c r="B664" s="33"/>
      <c r="C664" s="34"/>
      <c r="D664" s="34"/>
      <c r="E664" s="34"/>
      <c r="F664" s="34"/>
      <c r="G664" s="34"/>
      <c r="H664" s="34"/>
      <c r="I664" s="34"/>
      <c r="J664" s="34"/>
      <c r="K664" s="35"/>
      <c r="L664" s="34"/>
      <c r="M664" s="34"/>
      <c r="N664" s="34"/>
      <c r="O664" s="34"/>
      <c r="P664" s="34"/>
    </row>
    <row r="665" spans="2:16" x14ac:dyDescent="0.3">
      <c r="B665" s="33"/>
      <c r="C665" s="34"/>
      <c r="D665" s="34"/>
      <c r="E665" s="34"/>
      <c r="F665" s="34"/>
      <c r="G665" s="34"/>
      <c r="H665" s="34"/>
      <c r="I665" s="34"/>
      <c r="J665" s="34"/>
      <c r="K665" s="35"/>
      <c r="L665" s="34"/>
      <c r="M665" s="34"/>
      <c r="N665" s="34"/>
      <c r="O665" s="34"/>
      <c r="P665" s="34"/>
    </row>
    <row r="666" spans="2:16" x14ac:dyDescent="0.3">
      <c r="B666" s="33"/>
      <c r="C666" s="34"/>
      <c r="D666" s="34"/>
      <c r="E666" s="34"/>
      <c r="F666" s="34"/>
      <c r="G666" s="34"/>
      <c r="H666" s="34"/>
      <c r="I666" s="34"/>
      <c r="J666" s="34"/>
      <c r="K666" s="35"/>
      <c r="L666" s="34"/>
      <c r="M666" s="34"/>
      <c r="N666" s="34"/>
      <c r="O666" s="34"/>
      <c r="P666" s="34"/>
    </row>
    <row r="667" spans="2:16" x14ac:dyDescent="0.3">
      <c r="B667" s="33"/>
      <c r="C667" s="34"/>
      <c r="D667" s="34"/>
      <c r="E667" s="34"/>
      <c r="F667" s="34"/>
      <c r="G667" s="34"/>
      <c r="H667" s="34"/>
      <c r="I667" s="34"/>
      <c r="J667" s="34"/>
      <c r="K667" s="35"/>
      <c r="L667" s="34"/>
      <c r="M667" s="34"/>
      <c r="N667" s="34"/>
      <c r="O667" s="34"/>
      <c r="P667" s="34"/>
    </row>
    <row r="668" spans="2:16" x14ac:dyDescent="0.3">
      <c r="B668" s="33"/>
      <c r="C668" s="34"/>
      <c r="D668" s="34"/>
      <c r="E668" s="34"/>
      <c r="F668" s="34"/>
      <c r="G668" s="34"/>
      <c r="H668" s="34"/>
      <c r="I668" s="34"/>
      <c r="J668" s="34"/>
      <c r="K668" s="35"/>
      <c r="L668" s="34"/>
      <c r="M668" s="34"/>
      <c r="N668" s="34"/>
      <c r="O668" s="34"/>
      <c r="P668" s="34"/>
    </row>
    <row r="669" spans="2:16" x14ac:dyDescent="0.3">
      <c r="B669" s="33"/>
      <c r="C669" s="34"/>
      <c r="D669" s="34"/>
      <c r="E669" s="34"/>
      <c r="F669" s="34"/>
      <c r="G669" s="34"/>
      <c r="H669" s="34"/>
      <c r="I669" s="34"/>
      <c r="J669" s="34"/>
      <c r="K669" s="35"/>
      <c r="L669" s="34"/>
      <c r="M669" s="34"/>
      <c r="N669" s="34"/>
      <c r="O669" s="34"/>
      <c r="P669" s="34"/>
    </row>
    <row r="670" spans="2:16" x14ac:dyDescent="0.3">
      <c r="B670" s="33"/>
      <c r="C670" s="34"/>
      <c r="D670" s="34"/>
      <c r="E670" s="34"/>
      <c r="F670" s="34"/>
      <c r="G670" s="34"/>
      <c r="H670" s="34"/>
      <c r="I670" s="34"/>
      <c r="J670" s="34"/>
      <c r="K670" s="35"/>
      <c r="L670" s="34"/>
      <c r="M670" s="34"/>
      <c r="N670" s="34"/>
      <c r="O670" s="34"/>
      <c r="P670" s="34"/>
    </row>
    <row r="671" spans="2:16" x14ac:dyDescent="0.3">
      <c r="B671" s="33"/>
      <c r="C671" s="34"/>
      <c r="D671" s="34"/>
      <c r="E671" s="34"/>
      <c r="F671" s="34"/>
      <c r="G671" s="34"/>
      <c r="H671" s="34"/>
      <c r="I671" s="34"/>
      <c r="J671" s="34"/>
      <c r="K671" s="35"/>
      <c r="L671" s="34"/>
      <c r="M671" s="34"/>
      <c r="N671" s="34"/>
      <c r="O671" s="34"/>
      <c r="P671" s="34"/>
    </row>
    <row r="672" spans="2:16" x14ac:dyDescent="0.3">
      <c r="B672" s="33"/>
      <c r="C672" s="34"/>
      <c r="D672" s="34"/>
      <c r="E672" s="34"/>
      <c r="F672" s="34"/>
      <c r="G672" s="34"/>
      <c r="H672" s="34"/>
      <c r="I672" s="34"/>
      <c r="J672" s="34"/>
      <c r="K672" s="35"/>
      <c r="L672" s="34"/>
      <c r="M672" s="34"/>
      <c r="N672" s="34"/>
      <c r="O672" s="34"/>
      <c r="P672" s="34"/>
    </row>
    <row r="673" spans="2:16" x14ac:dyDescent="0.3">
      <c r="B673" s="33"/>
      <c r="C673" s="34"/>
      <c r="D673" s="34"/>
      <c r="E673" s="34"/>
      <c r="F673" s="34"/>
      <c r="G673" s="34"/>
      <c r="H673" s="34"/>
      <c r="I673" s="34"/>
      <c r="J673" s="34"/>
      <c r="K673" s="35"/>
      <c r="L673" s="34"/>
      <c r="M673" s="34"/>
      <c r="N673" s="34"/>
      <c r="O673" s="34"/>
      <c r="P673" s="34"/>
    </row>
    <row r="674" spans="2:16" x14ac:dyDescent="0.3">
      <c r="B674" s="33"/>
      <c r="C674" s="34"/>
      <c r="D674" s="34"/>
      <c r="E674" s="34"/>
      <c r="F674" s="34"/>
      <c r="G674" s="34"/>
      <c r="H674" s="34"/>
      <c r="I674" s="34"/>
      <c r="J674" s="34"/>
      <c r="K674" s="35"/>
      <c r="L674" s="34"/>
      <c r="M674" s="34"/>
      <c r="N674" s="34"/>
      <c r="O674" s="34"/>
      <c r="P674" s="34"/>
    </row>
    <row r="675" spans="2:16" x14ac:dyDescent="0.3">
      <c r="B675" s="33"/>
      <c r="C675" s="34"/>
      <c r="D675" s="34"/>
      <c r="E675" s="34"/>
      <c r="F675" s="34"/>
      <c r="G675" s="34"/>
      <c r="H675" s="34"/>
      <c r="I675" s="34"/>
      <c r="J675" s="34"/>
      <c r="K675" s="35"/>
      <c r="L675" s="34"/>
      <c r="M675" s="34"/>
      <c r="N675" s="34"/>
      <c r="O675" s="34"/>
      <c r="P675" s="34"/>
    </row>
    <row r="676" spans="2:16" x14ac:dyDescent="0.3">
      <c r="B676" s="33"/>
      <c r="C676" s="34"/>
      <c r="D676" s="34"/>
      <c r="E676" s="34"/>
      <c r="F676" s="34"/>
      <c r="G676" s="34"/>
      <c r="H676" s="34"/>
      <c r="I676" s="34"/>
      <c r="J676" s="34"/>
      <c r="K676" s="35"/>
      <c r="L676" s="34"/>
      <c r="M676" s="34"/>
      <c r="N676" s="34"/>
      <c r="O676" s="34"/>
      <c r="P676" s="34"/>
    </row>
    <row r="677" spans="2:16" x14ac:dyDescent="0.3">
      <c r="B677" s="33"/>
      <c r="C677" s="34"/>
      <c r="D677" s="34"/>
      <c r="E677" s="34"/>
      <c r="F677" s="34"/>
      <c r="G677" s="34"/>
      <c r="H677" s="34"/>
      <c r="I677" s="34"/>
      <c r="J677" s="34"/>
      <c r="K677" s="35"/>
      <c r="L677" s="34"/>
      <c r="M677" s="34"/>
      <c r="N677" s="34"/>
      <c r="O677" s="34"/>
      <c r="P677" s="34"/>
    </row>
    <row r="678" spans="2:16" x14ac:dyDescent="0.3">
      <c r="B678" s="33"/>
      <c r="C678" s="34"/>
      <c r="D678" s="34"/>
      <c r="E678" s="34"/>
      <c r="F678" s="34"/>
      <c r="G678" s="34"/>
      <c r="H678" s="34"/>
      <c r="I678" s="34"/>
      <c r="J678" s="34"/>
      <c r="K678" s="35"/>
      <c r="L678" s="34"/>
      <c r="M678" s="34"/>
      <c r="N678" s="34"/>
      <c r="O678" s="34"/>
      <c r="P678" s="34"/>
    </row>
    <row r="679" spans="2:16" x14ac:dyDescent="0.3">
      <c r="B679" s="33"/>
      <c r="C679" s="34"/>
      <c r="D679" s="34"/>
      <c r="E679" s="34"/>
      <c r="F679" s="34"/>
      <c r="G679" s="34"/>
      <c r="H679" s="34"/>
      <c r="I679" s="34"/>
      <c r="J679" s="34"/>
      <c r="K679" s="35"/>
      <c r="L679" s="34"/>
      <c r="M679" s="34"/>
      <c r="N679" s="34"/>
      <c r="O679" s="34"/>
      <c r="P679" s="34"/>
    </row>
    <row r="680" spans="2:16" x14ac:dyDescent="0.3">
      <c r="B680" s="33"/>
      <c r="C680" s="34"/>
      <c r="D680" s="34"/>
      <c r="E680" s="34"/>
      <c r="F680" s="34"/>
      <c r="G680" s="34"/>
      <c r="H680" s="34"/>
      <c r="I680" s="34"/>
      <c r="J680" s="34"/>
      <c r="K680" s="35"/>
      <c r="L680" s="34"/>
      <c r="M680" s="34"/>
      <c r="N680" s="34"/>
      <c r="O680" s="34"/>
      <c r="P680" s="34"/>
    </row>
    <row r="681" spans="2:16" x14ac:dyDescent="0.3">
      <c r="B681" s="33"/>
      <c r="C681" s="34"/>
      <c r="D681" s="34"/>
      <c r="E681" s="34"/>
      <c r="F681" s="34"/>
      <c r="G681" s="34"/>
      <c r="H681" s="34"/>
      <c r="I681" s="34"/>
      <c r="J681" s="34"/>
      <c r="K681" s="35"/>
      <c r="L681" s="34"/>
      <c r="M681" s="34"/>
      <c r="N681" s="34"/>
      <c r="O681" s="34"/>
      <c r="P681" s="34"/>
    </row>
    <row r="682" spans="2:16" x14ac:dyDescent="0.3">
      <c r="B682" s="33"/>
      <c r="C682" s="34"/>
      <c r="D682" s="34"/>
      <c r="E682" s="34"/>
      <c r="F682" s="34"/>
      <c r="G682" s="34"/>
      <c r="H682" s="34"/>
      <c r="I682" s="34"/>
      <c r="J682" s="34"/>
      <c r="K682" s="35"/>
      <c r="L682" s="34"/>
      <c r="M682" s="34"/>
      <c r="N682" s="34"/>
      <c r="O682" s="34"/>
      <c r="P682" s="34"/>
    </row>
    <row r="683" spans="2:16" x14ac:dyDescent="0.3">
      <c r="B683" s="33"/>
      <c r="C683" s="34"/>
      <c r="D683" s="34"/>
      <c r="E683" s="34"/>
      <c r="F683" s="34"/>
      <c r="G683" s="34"/>
      <c r="H683" s="34"/>
      <c r="I683" s="34"/>
      <c r="J683" s="34"/>
      <c r="K683" s="35"/>
      <c r="L683" s="34"/>
      <c r="M683" s="34"/>
      <c r="N683" s="34"/>
      <c r="O683" s="34"/>
      <c r="P683" s="34"/>
    </row>
    <row r="684" spans="2:16" x14ac:dyDescent="0.3">
      <c r="B684" s="33"/>
      <c r="C684" s="34"/>
      <c r="D684" s="34"/>
      <c r="E684" s="34"/>
      <c r="F684" s="34"/>
      <c r="G684" s="34"/>
      <c r="H684" s="34"/>
      <c r="I684" s="34"/>
      <c r="J684" s="34"/>
      <c r="K684" s="35"/>
      <c r="L684" s="34"/>
      <c r="M684" s="34"/>
      <c r="N684" s="34"/>
      <c r="O684" s="34"/>
      <c r="P684" s="34"/>
    </row>
    <row r="685" spans="2:16" x14ac:dyDescent="0.3">
      <c r="B685" s="33"/>
      <c r="C685" s="34"/>
      <c r="D685" s="34"/>
      <c r="E685" s="34"/>
      <c r="F685" s="34"/>
      <c r="G685" s="34"/>
      <c r="H685" s="34"/>
      <c r="I685" s="34"/>
      <c r="J685" s="34"/>
      <c r="K685" s="35"/>
      <c r="L685" s="34"/>
      <c r="M685" s="34"/>
      <c r="N685" s="34"/>
      <c r="O685" s="34"/>
      <c r="P685" s="34"/>
    </row>
    <row r="686" spans="2:16" x14ac:dyDescent="0.3">
      <c r="B686" s="33"/>
      <c r="C686" s="34"/>
      <c r="D686" s="34"/>
      <c r="E686" s="34"/>
      <c r="F686" s="34"/>
      <c r="G686" s="34"/>
      <c r="H686" s="34"/>
      <c r="I686" s="34"/>
      <c r="J686" s="34"/>
      <c r="K686" s="35"/>
      <c r="L686" s="34"/>
      <c r="M686" s="34"/>
      <c r="N686" s="34"/>
      <c r="O686" s="34"/>
      <c r="P686" s="34"/>
    </row>
    <row r="687" spans="2:16" x14ac:dyDescent="0.3">
      <c r="B687" s="33"/>
      <c r="C687" s="34"/>
      <c r="D687" s="34"/>
      <c r="E687" s="34"/>
      <c r="F687" s="34"/>
      <c r="G687" s="34"/>
      <c r="H687" s="34"/>
      <c r="I687" s="34"/>
      <c r="J687" s="34"/>
      <c r="K687" s="35"/>
      <c r="L687" s="34"/>
      <c r="M687" s="34"/>
      <c r="N687" s="34"/>
      <c r="O687" s="34"/>
      <c r="P687" s="34"/>
    </row>
    <row r="688" spans="2:16" x14ac:dyDescent="0.3">
      <c r="B688" s="33"/>
      <c r="C688" s="34"/>
      <c r="D688" s="34"/>
      <c r="E688" s="34"/>
      <c r="F688" s="34"/>
      <c r="G688" s="34"/>
      <c r="H688" s="34"/>
      <c r="I688" s="34"/>
      <c r="J688" s="34"/>
      <c r="K688" s="35"/>
      <c r="L688" s="34"/>
      <c r="M688" s="34"/>
      <c r="N688" s="34"/>
      <c r="O688" s="34"/>
      <c r="P688" s="34"/>
    </row>
    <row r="689" spans="2:16" x14ac:dyDescent="0.3">
      <c r="B689" s="33"/>
      <c r="C689" s="34"/>
      <c r="D689" s="34"/>
      <c r="E689" s="34"/>
      <c r="F689" s="34"/>
      <c r="G689" s="34"/>
      <c r="H689" s="34"/>
      <c r="I689" s="34"/>
      <c r="J689" s="34"/>
      <c r="K689" s="35"/>
      <c r="L689" s="34"/>
      <c r="M689" s="34"/>
      <c r="N689" s="34"/>
      <c r="O689" s="34"/>
      <c r="P689" s="34"/>
    </row>
    <row r="690" spans="2:16" x14ac:dyDescent="0.3">
      <c r="B690" s="33"/>
      <c r="C690" s="34"/>
      <c r="D690" s="34"/>
      <c r="E690" s="34"/>
      <c r="F690" s="34"/>
      <c r="G690" s="34"/>
      <c r="H690" s="34"/>
      <c r="I690" s="34"/>
      <c r="J690" s="34"/>
      <c r="K690" s="35"/>
      <c r="L690" s="34"/>
      <c r="M690" s="34"/>
      <c r="N690" s="34"/>
      <c r="O690" s="34"/>
      <c r="P690" s="34"/>
    </row>
    <row r="691" spans="2:16" x14ac:dyDescent="0.3">
      <c r="B691" s="33"/>
      <c r="C691" s="34"/>
      <c r="D691" s="34"/>
      <c r="E691" s="34"/>
      <c r="F691" s="34"/>
      <c r="G691" s="34"/>
      <c r="H691" s="34"/>
      <c r="I691" s="34"/>
      <c r="J691" s="34"/>
      <c r="K691" s="35"/>
      <c r="L691" s="34"/>
      <c r="M691" s="34"/>
      <c r="N691" s="34"/>
      <c r="O691" s="34"/>
      <c r="P691" s="34"/>
    </row>
    <row r="692" spans="2:16" x14ac:dyDescent="0.3">
      <c r="B692" s="33"/>
      <c r="C692" s="34"/>
      <c r="D692" s="34"/>
      <c r="E692" s="34"/>
      <c r="F692" s="34"/>
      <c r="G692" s="34"/>
      <c r="H692" s="34"/>
      <c r="I692" s="34"/>
      <c r="J692" s="34"/>
      <c r="K692" s="35"/>
      <c r="L692" s="34"/>
      <c r="M692" s="34"/>
      <c r="N692" s="34"/>
      <c r="O692" s="34"/>
      <c r="P692" s="34"/>
    </row>
    <row r="693" spans="2:16" x14ac:dyDescent="0.3">
      <c r="B693" s="33"/>
      <c r="C693" s="34"/>
      <c r="D693" s="34"/>
      <c r="E693" s="34"/>
      <c r="F693" s="34"/>
      <c r="G693" s="34"/>
      <c r="H693" s="34"/>
      <c r="I693" s="34"/>
      <c r="J693" s="34"/>
      <c r="K693" s="35"/>
      <c r="L693" s="34"/>
      <c r="M693" s="34"/>
      <c r="N693" s="34"/>
      <c r="O693" s="34"/>
      <c r="P693" s="34"/>
    </row>
    <row r="694" spans="2:16" x14ac:dyDescent="0.3">
      <c r="B694" s="33"/>
      <c r="C694" s="34"/>
      <c r="D694" s="34"/>
      <c r="E694" s="34"/>
      <c r="F694" s="34"/>
      <c r="G694" s="34"/>
      <c r="H694" s="34"/>
      <c r="I694" s="34"/>
      <c r="J694" s="34"/>
      <c r="K694" s="35"/>
      <c r="L694" s="34"/>
      <c r="M694" s="34"/>
      <c r="N694" s="34"/>
      <c r="O694" s="34"/>
      <c r="P694" s="34"/>
    </row>
    <row r="695" spans="2:16" x14ac:dyDescent="0.3">
      <c r="B695" s="33"/>
      <c r="C695" s="34"/>
      <c r="D695" s="34"/>
      <c r="E695" s="34"/>
      <c r="F695" s="34"/>
      <c r="G695" s="34"/>
      <c r="H695" s="34"/>
      <c r="I695" s="34"/>
      <c r="J695" s="34"/>
      <c r="K695" s="35"/>
      <c r="L695" s="34"/>
      <c r="M695" s="34"/>
      <c r="N695" s="34"/>
      <c r="O695" s="34"/>
      <c r="P695" s="34"/>
    </row>
    <row r="696" spans="2:16" x14ac:dyDescent="0.3">
      <c r="B696" s="33"/>
      <c r="C696" s="34"/>
      <c r="D696" s="34"/>
      <c r="E696" s="34"/>
      <c r="F696" s="34"/>
      <c r="G696" s="34"/>
      <c r="H696" s="34"/>
      <c r="I696" s="34"/>
      <c r="J696" s="34"/>
      <c r="K696" s="35"/>
      <c r="L696" s="34"/>
      <c r="M696" s="34"/>
      <c r="N696" s="34"/>
      <c r="O696" s="34"/>
      <c r="P696" s="34"/>
    </row>
    <row r="697" spans="2:16" x14ac:dyDescent="0.3">
      <c r="B697" s="33"/>
      <c r="C697" s="34"/>
      <c r="D697" s="34"/>
      <c r="E697" s="34"/>
      <c r="F697" s="34"/>
      <c r="G697" s="34"/>
      <c r="H697" s="34"/>
      <c r="I697" s="34"/>
      <c r="J697" s="34"/>
      <c r="K697" s="35"/>
      <c r="L697" s="34"/>
      <c r="M697" s="34"/>
      <c r="N697" s="34"/>
      <c r="O697" s="34"/>
      <c r="P697" s="34"/>
    </row>
    <row r="698" spans="2:16" x14ac:dyDescent="0.3">
      <c r="B698" s="33"/>
      <c r="C698" s="34"/>
      <c r="D698" s="34"/>
      <c r="E698" s="34"/>
      <c r="F698" s="34"/>
      <c r="G698" s="34"/>
      <c r="H698" s="34"/>
      <c r="I698" s="34"/>
      <c r="J698" s="34"/>
      <c r="K698" s="35"/>
      <c r="L698" s="34"/>
      <c r="M698" s="34"/>
      <c r="N698" s="34"/>
      <c r="O698" s="34"/>
      <c r="P698" s="34"/>
    </row>
    <row r="699" spans="2:16" x14ac:dyDescent="0.3">
      <c r="B699" s="33"/>
      <c r="C699" s="34"/>
      <c r="D699" s="34"/>
      <c r="E699" s="34"/>
      <c r="F699" s="34"/>
      <c r="G699" s="34"/>
      <c r="H699" s="34"/>
      <c r="I699" s="34"/>
      <c r="J699" s="34"/>
      <c r="K699" s="35"/>
      <c r="L699" s="34"/>
      <c r="M699" s="34"/>
      <c r="N699" s="34"/>
      <c r="O699" s="34"/>
      <c r="P699" s="34"/>
    </row>
    <row r="700" spans="2:16" x14ac:dyDescent="0.3">
      <c r="B700" s="33"/>
      <c r="C700" s="34"/>
      <c r="D700" s="34"/>
      <c r="E700" s="34"/>
      <c r="F700" s="34"/>
      <c r="G700" s="34"/>
      <c r="H700" s="34"/>
      <c r="I700" s="34"/>
      <c r="J700" s="34"/>
      <c r="K700" s="35"/>
      <c r="L700" s="34"/>
      <c r="M700" s="34"/>
      <c r="N700" s="34"/>
      <c r="O700" s="34"/>
      <c r="P700" s="34"/>
    </row>
    <row r="701" spans="2:16" x14ac:dyDescent="0.3">
      <c r="B701" s="33"/>
      <c r="C701" s="34"/>
      <c r="D701" s="34"/>
      <c r="E701" s="34"/>
      <c r="F701" s="34"/>
      <c r="G701" s="34"/>
      <c r="H701" s="34"/>
      <c r="I701" s="34"/>
      <c r="J701" s="34"/>
      <c r="K701" s="35"/>
      <c r="L701" s="34"/>
      <c r="M701" s="34"/>
      <c r="N701" s="34"/>
      <c r="O701" s="34"/>
      <c r="P701" s="34"/>
    </row>
    <row r="702" spans="2:16" x14ac:dyDescent="0.3">
      <c r="B702" s="33"/>
      <c r="C702" s="34"/>
      <c r="D702" s="34"/>
      <c r="E702" s="34"/>
      <c r="F702" s="34"/>
      <c r="G702" s="34"/>
      <c r="H702" s="34"/>
      <c r="I702" s="34"/>
      <c r="J702" s="34"/>
      <c r="K702" s="35"/>
      <c r="L702" s="34"/>
      <c r="M702" s="34"/>
      <c r="N702" s="34"/>
      <c r="O702" s="34"/>
      <c r="P702" s="34"/>
    </row>
    <row r="703" spans="2:16" x14ac:dyDescent="0.3">
      <c r="B703" s="33"/>
      <c r="C703" s="34"/>
      <c r="D703" s="34"/>
      <c r="E703" s="34"/>
      <c r="F703" s="34"/>
      <c r="G703" s="34"/>
      <c r="H703" s="34"/>
      <c r="I703" s="34"/>
      <c r="J703" s="34"/>
      <c r="K703" s="35"/>
      <c r="L703" s="34"/>
      <c r="M703" s="34"/>
      <c r="N703" s="34"/>
      <c r="O703" s="34"/>
      <c r="P703" s="34"/>
    </row>
    <row r="704" spans="2:16" x14ac:dyDescent="0.3">
      <c r="B704" s="33"/>
      <c r="C704" s="34"/>
      <c r="D704" s="34"/>
      <c r="E704" s="34"/>
      <c r="F704" s="34"/>
      <c r="G704" s="34"/>
      <c r="H704" s="34"/>
      <c r="I704" s="34"/>
      <c r="J704" s="34"/>
      <c r="K704" s="35"/>
      <c r="L704" s="34"/>
      <c r="M704" s="34"/>
      <c r="N704" s="34"/>
      <c r="O704" s="34"/>
      <c r="P704" s="34"/>
    </row>
    <row r="705" spans="2:16" x14ac:dyDescent="0.3">
      <c r="B705" s="33"/>
      <c r="C705" s="34"/>
      <c r="D705" s="34"/>
      <c r="E705" s="34"/>
      <c r="F705" s="34"/>
      <c r="G705" s="34"/>
      <c r="H705" s="34"/>
      <c r="I705" s="34"/>
      <c r="J705" s="34"/>
      <c r="K705" s="35"/>
      <c r="L705" s="34"/>
      <c r="M705" s="34"/>
      <c r="N705" s="34"/>
      <c r="O705" s="34"/>
      <c r="P705" s="34"/>
    </row>
    <row r="706" spans="2:16" x14ac:dyDescent="0.3">
      <c r="B706" s="33"/>
      <c r="C706" s="34"/>
      <c r="D706" s="34"/>
      <c r="E706" s="34"/>
      <c r="F706" s="34"/>
      <c r="G706" s="34"/>
      <c r="H706" s="34"/>
      <c r="I706" s="34"/>
      <c r="J706" s="34"/>
      <c r="K706" s="35"/>
      <c r="L706" s="34"/>
      <c r="M706" s="34"/>
      <c r="N706" s="34"/>
      <c r="O706" s="34"/>
      <c r="P706" s="34"/>
    </row>
    <row r="707" spans="2:16" x14ac:dyDescent="0.3">
      <c r="B707" s="33"/>
      <c r="C707" s="34"/>
      <c r="D707" s="34"/>
      <c r="E707" s="34"/>
      <c r="F707" s="34"/>
      <c r="G707" s="34"/>
      <c r="H707" s="34"/>
      <c r="I707" s="34"/>
      <c r="J707" s="34"/>
      <c r="K707" s="35"/>
      <c r="L707" s="34"/>
      <c r="M707" s="34"/>
      <c r="N707" s="34"/>
      <c r="O707" s="34"/>
      <c r="P707" s="34"/>
    </row>
    <row r="708" spans="2:16" x14ac:dyDescent="0.3">
      <c r="B708" s="33"/>
      <c r="C708" s="34"/>
      <c r="D708" s="34"/>
      <c r="E708" s="34"/>
      <c r="F708" s="34"/>
      <c r="G708" s="34"/>
      <c r="H708" s="34"/>
      <c r="I708" s="34"/>
      <c r="J708" s="34"/>
      <c r="K708" s="35"/>
      <c r="L708" s="34"/>
      <c r="M708" s="34"/>
      <c r="N708" s="34"/>
      <c r="O708" s="34"/>
      <c r="P708" s="34"/>
    </row>
    <row r="709" spans="2:16" x14ac:dyDescent="0.3">
      <c r="B709" s="33"/>
      <c r="C709" s="34"/>
      <c r="D709" s="34"/>
      <c r="E709" s="34"/>
      <c r="F709" s="34"/>
      <c r="G709" s="34"/>
      <c r="H709" s="34"/>
      <c r="I709" s="34"/>
      <c r="J709" s="34"/>
      <c r="K709" s="35"/>
      <c r="L709" s="34"/>
      <c r="M709" s="34"/>
      <c r="N709" s="34"/>
      <c r="O709" s="34"/>
      <c r="P709" s="34"/>
    </row>
    <row r="710" spans="2:16" x14ac:dyDescent="0.3">
      <c r="B710" s="33"/>
      <c r="C710" s="34"/>
      <c r="D710" s="34"/>
      <c r="E710" s="34"/>
      <c r="F710" s="34"/>
      <c r="G710" s="34"/>
      <c r="H710" s="34"/>
      <c r="I710" s="34"/>
      <c r="J710" s="34"/>
      <c r="K710" s="35"/>
      <c r="L710" s="34"/>
      <c r="M710" s="34"/>
      <c r="N710" s="34"/>
      <c r="O710" s="34"/>
      <c r="P710" s="34"/>
    </row>
    <row r="711" spans="2:16" x14ac:dyDescent="0.3">
      <c r="B711" s="33"/>
      <c r="C711" s="34"/>
      <c r="D711" s="34"/>
      <c r="E711" s="34"/>
      <c r="F711" s="34"/>
      <c r="G711" s="34"/>
      <c r="H711" s="34"/>
      <c r="I711" s="34"/>
      <c r="J711" s="34"/>
      <c r="K711" s="35"/>
      <c r="L711" s="34"/>
      <c r="M711" s="34"/>
      <c r="N711" s="34"/>
      <c r="O711" s="34"/>
      <c r="P711" s="34"/>
    </row>
    <row r="712" spans="2:16" x14ac:dyDescent="0.3">
      <c r="B712" s="33"/>
      <c r="C712" s="34"/>
      <c r="D712" s="34"/>
      <c r="E712" s="34"/>
      <c r="F712" s="34"/>
      <c r="G712" s="34"/>
      <c r="H712" s="34"/>
      <c r="I712" s="34"/>
      <c r="J712" s="34"/>
      <c r="K712" s="35"/>
      <c r="L712" s="34"/>
      <c r="M712" s="34"/>
      <c r="N712" s="34"/>
      <c r="O712" s="34"/>
      <c r="P712" s="34"/>
    </row>
    <row r="713" spans="2:16" x14ac:dyDescent="0.3">
      <c r="B713" s="33"/>
      <c r="C713" s="34"/>
      <c r="D713" s="34"/>
      <c r="E713" s="34"/>
      <c r="F713" s="34"/>
      <c r="G713" s="34"/>
      <c r="H713" s="34"/>
      <c r="I713" s="34"/>
      <c r="J713" s="34"/>
      <c r="K713" s="35"/>
      <c r="L713" s="34"/>
      <c r="M713" s="34"/>
      <c r="N713" s="34"/>
      <c r="O713" s="34"/>
      <c r="P713" s="34"/>
    </row>
    <row r="714" spans="2:16" x14ac:dyDescent="0.3">
      <c r="B714" s="33"/>
      <c r="C714" s="34"/>
      <c r="D714" s="34"/>
      <c r="E714" s="34"/>
      <c r="F714" s="34"/>
      <c r="G714" s="34"/>
      <c r="H714" s="34"/>
      <c r="I714" s="34"/>
      <c r="J714" s="34"/>
      <c r="K714" s="35"/>
      <c r="L714" s="34"/>
      <c r="M714" s="34"/>
      <c r="N714" s="34"/>
      <c r="O714" s="34"/>
      <c r="P714" s="34"/>
    </row>
    <row r="715" spans="2:16" x14ac:dyDescent="0.3">
      <c r="B715" s="33"/>
      <c r="C715" s="34"/>
      <c r="D715" s="34"/>
      <c r="E715" s="34"/>
      <c r="F715" s="34"/>
      <c r="G715" s="34"/>
      <c r="H715" s="34"/>
      <c r="I715" s="34"/>
      <c r="J715" s="34"/>
      <c r="K715" s="35"/>
      <c r="L715" s="34"/>
      <c r="M715" s="34"/>
      <c r="N715" s="34"/>
      <c r="O715" s="34"/>
      <c r="P715" s="34"/>
    </row>
    <row r="716" spans="2:16" x14ac:dyDescent="0.3">
      <c r="B716" s="33"/>
      <c r="C716" s="34"/>
      <c r="D716" s="34"/>
      <c r="E716" s="34"/>
      <c r="F716" s="34"/>
      <c r="G716" s="34"/>
      <c r="H716" s="34"/>
      <c r="I716" s="34"/>
      <c r="J716" s="34"/>
      <c r="K716" s="35"/>
      <c r="L716" s="34"/>
      <c r="M716" s="34"/>
      <c r="N716" s="34"/>
      <c r="O716" s="34"/>
      <c r="P716" s="34"/>
    </row>
    <row r="717" spans="2:16" x14ac:dyDescent="0.3">
      <c r="B717" s="33"/>
      <c r="C717" s="34"/>
      <c r="D717" s="34"/>
      <c r="E717" s="34"/>
      <c r="F717" s="34"/>
      <c r="G717" s="34"/>
      <c r="H717" s="34"/>
      <c r="I717" s="34"/>
      <c r="J717" s="34"/>
      <c r="K717" s="35"/>
      <c r="L717" s="34"/>
      <c r="M717" s="34"/>
      <c r="N717" s="34"/>
      <c r="O717" s="34"/>
      <c r="P717" s="34"/>
    </row>
    <row r="718" spans="2:16" x14ac:dyDescent="0.3">
      <c r="B718" s="33"/>
      <c r="C718" s="34"/>
      <c r="D718" s="34"/>
      <c r="E718" s="34"/>
      <c r="F718" s="34"/>
      <c r="G718" s="34"/>
      <c r="H718" s="34"/>
      <c r="I718" s="34"/>
      <c r="J718" s="34"/>
      <c r="K718" s="35"/>
      <c r="L718" s="34"/>
      <c r="M718" s="34"/>
      <c r="N718" s="34"/>
      <c r="O718" s="34"/>
      <c r="P718" s="34"/>
    </row>
    <row r="719" spans="2:16" x14ac:dyDescent="0.3">
      <c r="B719" s="33"/>
      <c r="C719" s="34"/>
      <c r="D719" s="34"/>
      <c r="E719" s="34"/>
      <c r="F719" s="34"/>
      <c r="G719" s="34"/>
      <c r="H719" s="34"/>
      <c r="I719" s="34"/>
      <c r="J719" s="34"/>
      <c r="K719" s="35"/>
      <c r="L719" s="34"/>
      <c r="M719" s="34"/>
      <c r="N719" s="34"/>
      <c r="O719" s="34"/>
      <c r="P719" s="34"/>
    </row>
    <row r="720" spans="2:16" x14ac:dyDescent="0.3">
      <c r="B720" s="33"/>
      <c r="C720" s="34"/>
      <c r="D720" s="34"/>
      <c r="E720" s="34"/>
      <c r="F720" s="34"/>
      <c r="G720" s="34"/>
      <c r="H720" s="34"/>
      <c r="I720" s="34"/>
      <c r="J720" s="34"/>
      <c r="K720" s="35"/>
      <c r="L720" s="34"/>
      <c r="M720" s="34"/>
      <c r="N720" s="34"/>
      <c r="O720" s="34"/>
      <c r="P720" s="34"/>
    </row>
    <row r="721" spans="2:16" x14ac:dyDescent="0.3">
      <c r="B721" s="33"/>
      <c r="C721" s="34"/>
      <c r="D721" s="34"/>
      <c r="E721" s="34"/>
      <c r="F721" s="34"/>
      <c r="G721" s="34"/>
      <c r="H721" s="34"/>
      <c r="I721" s="34"/>
      <c r="J721" s="34"/>
      <c r="K721" s="35"/>
      <c r="L721" s="34"/>
      <c r="M721" s="34"/>
      <c r="N721" s="34"/>
      <c r="O721" s="34"/>
      <c r="P721" s="34"/>
    </row>
    <row r="722" spans="2:16" x14ac:dyDescent="0.3">
      <c r="B722" s="33"/>
      <c r="C722" s="34"/>
      <c r="D722" s="34"/>
      <c r="E722" s="34"/>
      <c r="F722" s="34"/>
      <c r="G722" s="34"/>
      <c r="H722" s="34"/>
      <c r="I722" s="34"/>
      <c r="J722" s="34"/>
      <c r="K722" s="35"/>
      <c r="L722" s="34"/>
      <c r="M722" s="34"/>
      <c r="N722" s="34"/>
      <c r="O722" s="34"/>
      <c r="P722" s="34"/>
    </row>
    <row r="723" spans="2:16" x14ac:dyDescent="0.3">
      <c r="B723" s="33"/>
      <c r="C723" s="34"/>
      <c r="D723" s="34"/>
      <c r="E723" s="34"/>
      <c r="F723" s="34"/>
      <c r="G723" s="34"/>
      <c r="H723" s="34"/>
      <c r="I723" s="34"/>
      <c r="J723" s="34"/>
      <c r="K723" s="35"/>
      <c r="L723" s="34"/>
      <c r="M723" s="34"/>
      <c r="N723" s="34"/>
      <c r="O723" s="34"/>
      <c r="P723" s="34"/>
    </row>
    <row r="724" spans="2:16" x14ac:dyDescent="0.3">
      <c r="B724" s="33"/>
      <c r="C724" s="34"/>
      <c r="D724" s="34"/>
      <c r="E724" s="34"/>
      <c r="F724" s="34"/>
      <c r="G724" s="34"/>
      <c r="H724" s="34"/>
      <c r="I724" s="34"/>
      <c r="J724" s="34"/>
      <c r="K724" s="35"/>
      <c r="L724" s="34"/>
      <c r="M724" s="34"/>
      <c r="N724" s="34"/>
      <c r="O724" s="34"/>
      <c r="P724" s="34"/>
    </row>
    <row r="725" spans="2:16" x14ac:dyDescent="0.3">
      <c r="B725" s="33"/>
      <c r="C725" s="34"/>
      <c r="D725" s="34"/>
      <c r="E725" s="34"/>
      <c r="F725" s="34"/>
      <c r="G725" s="34"/>
      <c r="H725" s="34"/>
      <c r="I725" s="34"/>
      <c r="J725" s="34"/>
      <c r="K725" s="35"/>
      <c r="L725" s="34"/>
      <c r="M725" s="34"/>
      <c r="N725" s="34"/>
      <c r="O725" s="34"/>
      <c r="P725" s="34"/>
    </row>
    <row r="726" spans="2:16" x14ac:dyDescent="0.3">
      <c r="B726" s="33"/>
      <c r="C726" s="34"/>
      <c r="D726" s="34"/>
      <c r="E726" s="34"/>
      <c r="F726" s="34"/>
      <c r="G726" s="34"/>
      <c r="H726" s="34"/>
      <c r="I726" s="34"/>
      <c r="J726" s="34"/>
      <c r="K726" s="35"/>
      <c r="L726" s="34"/>
      <c r="M726" s="34"/>
      <c r="N726" s="34"/>
      <c r="O726" s="34"/>
      <c r="P726" s="34"/>
    </row>
    <row r="727" spans="2:16" x14ac:dyDescent="0.3">
      <c r="B727" s="33"/>
      <c r="C727" s="34"/>
      <c r="D727" s="34"/>
      <c r="E727" s="34"/>
      <c r="F727" s="34"/>
      <c r="G727" s="34"/>
      <c r="H727" s="34"/>
      <c r="I727" s="34"/>
      <c r="J727" s="34"/>
      <c r="K727" s="35"/>
      <c r="L727" s="34"/>
      <c r="M727" s="34"/>
      <c r="N727" s="34"/>
      <c r="O727" s="34"/>
      <c r="P727" s="34"/>
    </row>
    <row r="728" spans="2:16" x14ac:dyDescent="0.3">
      <c r="B728" s="33"/>
      <c r="C728" s="34"/>
      <c r="D728" s="34"/>
      <c r="E728" s="34"/>
      <c r="F728" s="34"/>
      <c r="G728" s="34"/>
      <c r="H728" s="34"/>
      <c r="I728" s="34"/>
      <c r="J728" s="34"/>
      <c r="K728" s="35"/>
      <c r="L728" s="34"/>
      <c r="M728" s="34"/>
      <c r="N728" s="34"/>
      <c r="O728" s="34"/>
      <c r="P728" s="34"/>
    </row>
    <row r="729" spans="2:16" x14ac:dyDescent="0.3">
      <c r="B729" s="33"/>
      <c r="C729" s="34"/>
      <c r="D729" s="34"/>
      <c r="E729" s="34"/>
      <c r="F729" s="34"/>
      <c r="G729" s="34"/>
      <c r="H729" s="34"/>
      <c r="I729" s="34"/>
      <c r="J729" s="34"/>
      <c r="K729" s="35"/>
      <c r="L729" s="34"/>
      <c r="M729" s="34"/>
      <c r="N729" s="34"/>
      <c r="O729" s="34"/>
      <c r="P729" s="34"/>
    </row>
    <row r="730" spans="2:16" x14ac:dyDescent="0.3">
      <c r="B730" s="33"/>
      <c r="C730" s="34"/>
      <c r="D730" s="34"/>
      <c r="E730" s="34"/>
      <c r="F730" s="34"/>
      <c r="G730" s="34"/>
      <c r="H730" s="34"/>
      <c r="I730" s="34"/>
      <c r="J730" s="34"/>
      <c r="K730" s="35"/>
      <c r="L730" s="34"/>
      <c r="M730" s="34"/>
      <c r="N730" s="34"/>
      <c r="O730" s="34"/>
      <c r="P730" s="34"/>
    </row>
    <row r="731" spans="2:16" x14ac:dyDescent="0.3">
      <c r="B731" s="33"/>
      <c r="C731" s="34"/>
      <c r="D731" s="34"/>
      <c r="E731" s="34"/>
      <c r="F731" s="34"/>
      <c r="G731" s="34"/>
      <c r="H731" s="34"/>
      <c r="I731" s="34"/>
      <c r="J731" s="34"/>
      <c r="K731" s="35"/>
      <c r="L731" s="34"/>
      <c r="M731" s="34"/>
      <c r="N731" s="34"/>
      <c r="O731" s="34"/>
      <c r="P731" s="34"/>
    </row>
    <row r="732" spans="2:16" x14ac:dyDescent="0.3">
      <c r="B732" s="33"/>
      <c r="C732" s="34"/>
      <c r="D732" s="34"/>
      <c r="E732" s="34"/>
      <c r="F732" s="34"/>
      <c r="G732" s="34"/>
      <c r="H732" s="34"/>
      <c r="I732" s="34"/>
      <c r="J732" s="34"/>
      <c r="K732" s="35"/>
      <c r="L732" s="34"/>
      <c r="M732" s="34"/>
      <c r="N732" s="34"/>
      <c r="O732" s="34"/>
      <c r="P732" s="34"/>
    </row>
    <row r="733" spans="2:16" x14ac:dyDescent="0.3">
      <c r="B733" s="33"/>
      <c r="C733" s="34"/>
      <c r="D733" s="34"/>
      <c r="E733" s="34"/>
      <c r="F733" s="34"/>
      <c r="G733" s="34"/>
      <c r="H733" s="34"/>
      <c r="I733" s="34"/>
      <c r="J733" s="34"/>
      <c r="K733" s="35"/>
      <c r="L733" s="34"/>
      <c r="M733" s="34"/>
      <c r="N733" s="34"/>
      <c r="O733" s="34"/>
      <c r="P733" s="34"/>
    </row>
    <row r="734" spans="2:16" x14ac:dyDescent="0.3">
      <c r="B734" s="33"/>
      <c r="C734" s="34"/>
      <c r="D734" s="34"/>
      <c r="E734" s="34"/>
      <c r="F734" s="34"/>
      <c r="G734" s="34"/>
      <c r="H734" s="34"/>
      <c r="I734" s="34"/>
      <c r="J734" s="34"/>
      <c r="K734" s="35"/>
      <c r="L734" s="34"/>
      <c r="M734" s="34"/>
      <c r="N734" s="34"/>
      <c r="O734" s="34"/>
      <c r="P734" s="34"/>
    </row>
    <row r="735" spans="2:16" x14ac:dyDescent="0.3">
      <c r="B735" s="33"/>
      <c r="C735" s="34"/>
      <c r="D735" s="34"/>
      <c r="E735" s="34"/>
      <c r="F735" s="34"/>
      <c r="G735" s="34"/>
      <c r="H735" s="34"/>
      <c r="I735" s="34"/>
      <c r="J735" s="34"/>
      <c r="K735" s="35"/>
      <c r="L735" s="34"/>
      <c r="M735" s="34"/>
      <c r="N735" s="34"/>
      <c r="O735" s="34"/>
      <c r="P735" s="34"/>
    </row>
    <row r="736" spans="2:16" x14ac:dyDescent="0.3">
      <c r="B736" s="33"/>
      <c r="C736" s="34"/>
      <c r="D736" s="34"/>
      <c r="E736" s="34"/>
      <c r="F736" s="34"/>
      <c r="G736" s="34"/>
      <c r="H736" s="34"/>
      <c r="I736" s="34"/>
      <c r="J736" s="34"/>
      <c r="K736" s="35"/>
      <c r="L736" s="34"/>
      <c r="M736" s="34"/>
      <c r="N736" s="34"/>
      <c r="O736" s="34"/>
      <c r="P736" s="34"/>
    </row>
    <row r="737" spans="2:16" x14ac:dyDescent="0.3">
      <c r="B737" s="33"/>
      <c r="C737" s="34"/>
      <c r="D737" s="34"/>
      <c r="E737" s="34"/>
      <c r="F737" s="34"/>
      <c r="G737" s="34"/>
      <c r="H737" s="34"/>
      <c r="I737" s="34"/>
      <c r="J737" s="34"/>
      <c r="K737" s="35"/>
      <c r="L737" s="34"/>
      <c r="M737" s="34"/>
      <c r="N737" s="34"/>
      <c r="O737" s="34"/>
      <c r="P737" s="34"/>
    </row>
    <row r="738" spans="2:16" x14ac:dyDescent="0.3">
      <c r="B738" s="33"/>
      <c r="C738" s="34"/>
      <c r="D738" s="34"/>
      <c r="E738" s="34"/>
      <c r="F738" s="34"/>
      <c r="G738" s="34"/>
      <c r="H738" s="34"/>
      <c r="I738" s="34"/>
      <c r="J738" s="34"/>
      <c r="K738" s="35"/>
      <c r="L738" s="34"/>
      <c r="M738" s="34"/>
      <c r="N738" s="34"/>
      <c r="O738" s="34"/>
      <c r="P738" s="34"/>
    </row>
    <row r="739" spans="2:16" x14ac:dyDescent="0.3">
      <c r="B739" s="33"/>
      <c r="C739" s="34"/>
      <c r="D739" s="34"/>
      <c r="E739" s="34"/>
      <c r="F739" s="34"/>
      <c r="G739" s="34"/>
      <c r="H739" s="34"/>
      <c r="I739" s="34"/>
      <c r="J739" s="34"/>
      <c r="K739" s="35"/>
      <c r="L739" s="34"/>
      <c r="M739" s="34"/>
      <c r="N739" s="34"/>
      <c r="O739" s="34"/>
      <c r="P739" s="34"/>
    </row>
    <row r="740" spans="2:16" x14ac:dyDescent="0.3">
      <c r="B740" s="33"/>
      <c r="C740" s="34"/>
      <c r="D740" s="34"/>
      <c r="E740" s="34"/>
      <c r="F740" s="34"/>
      <c r="G740" s="34"/>
      <c r="H740" s="34"/>
      <c r="I740" s="34"/>
      <c r="J740" s="34"/>
      <c r="K740" s="35"/>
      <c r="L740" s="34"/>
      <c r="M740" s="34"/>
      <c r="N740" s="34"/>
      <c r="O740" s="34"/>
      <c r="P740" s="34"/>
    </row>
    <row r="741" spans="2:16" x14ac:dyDescent="0.3">
      <c r="B741" s="33"/>
      <c r="C741" s="34"/>
      <c r="D741" s="34"/>
      <c r="E741" s="34"/>
      <c r="F741" s="34"/>
      <c r="G741" s="34"/>
      <c r="H741" s="34"/>
      <c r="I741" s="34"/>
      <c r="J741" s="34"/>
      <c r="K741" s="35"/>
      <c r="L741" s="34"/>
      <c r="M741" s="34"/>
      <c r="N741" s="34"/>
      <c r="O741" s="34"/>
      <c r="P741" s="34"/>
    </row>
    <row r="742" spans="2:16" x14ac:dyDescent="0.3">
      <c r="B742" s="33"/>
      <c r="C742" s="34"/>
      <c r="D742" s="34"/>
      <c r="E742" s="34"/>
      <c r="F742" s="34"/>
      <c r="G742" s="34"/>
      <c r="H742" s="34"/>
      <c r="I742" s="34"/>
      <c r="J742" s="34"/>
      <c r="K742" s="35"/>
      <c r="L742" s="34"/>
      <c r="M742" s="34"/>
      <c r="N742" s="34"/>
      <c r="O742" s="34"/>
      <c r="P742" s="34"/>
    </row>
    <row r="743" spans="2:16" x14ac:dyDescent="0.3">
      <c r="B743" s="33"/>
      <c r="C743" s="34"/>
      <c r="D743" s="34"/>
      <c r="E743" s="34"/>
      <c r="F743" s="34"/>
      <c r="G743" s="34"/>
      <c r="H743" s="34"/>
      <c r="I743" s="34"/>
      <c r="J743" s="34"/>
      <c r="K743" s="35"/>
      <c r="L743" s="34"/>
      <c r="M743" s="34"/>
      <c r="N743" s="34"/>
      <c r="O743" s="34"/>
      <c r="P743" s="34"/>
    </row>
    <row r="744" spans="2:16" x14ac:dyDescent="0.3">
      <c r="B744" s="33"/>
      <c r="C744" s="34"/>
      <c r="D744" s="34"/>
      <c r="E744" s="34"/>
      <c r="F744" s="34"/>
      <c r="G744" s="34"/>
      <c r="H744" s="34"/>
      <c r="I744" s="34"/>
      <c r="J744" s="34"/>
      <c r="K744" s="35"/>
      <c r="L744" s="34"/>
      <c r="M744" s="34"/>
      <c r="N744" s="34"/>
      <c r="O744" s="34"/>
      <c r="P744" s="34"/>
    </row>
    <row r="745" spans="2:16" x14ac:dyDescent="0.3">
      <c r="B745" s="33"/>
      <c r="C745" s="34"/>
      <c r="D745" s="34"/>
      <c r="E745" s="34"/>
      <c r="F745" s="34"/>
      <c r="G745" s="34"/>
      <c r="H745" s="34"/>
      <c r="I745" s="34"/>
      <c r="J745" s="34"/>
      <c r="K745" s="35"/>
      <c r="L745" s="34"/>
      <c r="M745" s="34"/>
      <c r="N745" s="34"/>
      <c r="O745" s="34"/>
      <c r="P745" s="34"/>
    </row>
    <row r="746" spans="2:16" x14ac:dyDescent="0.3">
      <c r="B746" s="33"/>
      <c r="C746" s="34"/>
      <c r="D746" s="34"/>
      <c r="E746" s="34"/>
      <c r="F746" s="34"/>
      <c r="G746" s="34"/>
      <c r="H746" s="34"/>
      <c r="I746" s="34"/>
      <c r="J746" s="34"/>
      <c r="K746" s="35"/>
      <c r="L746" s="34"/>
      <c r="M746" s="34"/>
      <c r="N746" s="34"/>
      <c r="O746" s="34"/>
      <c r="P746" s="34"/>
    </row>
    <row r="747" spans="2:16" x14ac:dyDescent="0.3">
      <c r="B747" s="33"/>
      <c r="C747" s="34"/>
      <c r="D747" s="34"/>
      <c r="E747" s="34"/>
      <c r="F747" s="34"/>
      <c r="G747" s="34"/>
      <c r="H747" s="34"/>
      <c r="I747" s="34"/>
      <c r="J747" s="34"/>
      <c r="K747" s="35"/>
      <c r="L747" s="34"/>
      <c r="M747" s="34"/>
      <c r="N747" s="34"/>
      <c r="O747" s="34"/>
      <c r="P747" s="34"/>
    </row>
    <row r="748" spans="2:16" x14ac:dyDescent="0.3">
      <c r="B748" s="33"/>
      <c r="C748" s="34"/>
      <c r="D748" s="34"/>
      <c r="E748" s="34"/>
      <c r="F748" s="34"/>
      <c r="G748" s="34"/>
      <c r="H748" s="34"/>
      <c r="I748" s="34"/>
      <c r="J748" s="34"/>
      <c r="K748" s="35"/>
      <c r="L748" s="34"/>
      <c r="M748" s="34"/>
      <c r="N748" s="34"/>
      <c r="O748" s="34"/>
      <c r="P748" s="34"/>
    </row>
    <row r="749" spans="2:16" x14ac:dyDescent="0.3">
      <c r="B749" s="33"/>
      <c r="C749" s="34"/>
      <c r="D749" s="34"/>
      <c r="E749" s="34"/>
      <c r="F749" s="34"/>
      <c r="G749" s="34"/>
      <c r="H749" s="34"/>
      <c r="I749" s="34"/>
      <c r="J749" s="34"/>
      <c r="K749" s="35"/>
      <c r="L749" s="34"/>
      <c r="M749" s="34"/>
      <c r="N749" s="34"/>
      <c r="O749" s="34"/>
      <c r="P749" s="34"/>
    </row>
    <row r="750" spans="2:16" x14ac:dyDescent="0.3">
      <c r="B750" s="33"/>
      <c r="C750" s="34"/>
      <c r="D750" s="34"/>
      <c r="E750" s="34"/>
      <c r="F750" s="34"/>
      <c r="G750" s="34"/>
      <c r="H750" s="34"/>
      <c r="I750" s="34"/>
      <c r="J750" s="34"/>
      <c r="K750" s="35"/>
      <c r="L750" s="34"/>
      <c r="M750" s="34"/>
      <c r="N750" s="34"/>
      <c r="O750" s="34"/>
      <c r="P750" s="34"/>
    </row>
    <row r="751" spans="2:16" x14ac:dyDescent="0.3">
      <c r="B751" s="33"/>
      <c r="C751" s="34"/>
      <c r="D751" s="34"/>
      <c r="E751" s="34"/>
      <c r="F751" s="34"/>
      <c r="G751" s="34"/>
      <c r="H751" s="34"/>
      <c r="I751" s="34"/>
      <c r="J751" s="34"/>
      <c r="K751" s="35"/>
      <c r="L751" s="34"/>
      <c r="M751" s="34"/>
      <c r="N751" s="34"/>
      <c r="O751" s="34"/>
      <c r="P751" s="34"/>
    </row>
    <row r="752" spans="2:16" x14ac:dyDescent="0.3">
      <c r="B752" s="33"/>
      <c r="C752" s="34"/>
      <c r="D752" s="34"/>
      <c r="E752" s="34"/>
      <c r="F752" s="34"/>
      <c r="G752" s="34"/>
      <c r="H752" s="34"/>
      <c r="I752" s="34"/>
      <c r="J752" s="34"/>
      <c r="K752" s="35"/>
      <c r="L752" s="34"/>
      <c r="M752" s="34"/>
      <c r="N752" s="34"/>
      <c r="O752" s="34"/>
      <c r="P752" s="34"/>
    </row>
    <row r="753" spans="2:16" x14ac:dyDescent="0.3">
      <c r="B753" s="33"/>
      <c r="C753" s="34"/>
      <c r="D753" s="34"/>
      <c r="E753" s="34"/>
      <c r="F753" s="34"/>
      <c r="G753" s="34"/>
      <c r="H753" s="34"/>
      <c r="I753" s="34"/>
      <c r="J753" s="34"/>
      <c r="K753" s="35"/>
      <c r="L753" s="34"/>
      <c r="M753" s="34"/>
      <c r="N753" s="34"/>
      <c r="O753" s="34"/>
      <c r="P753" s="34"/>
    </row>
    <row r="754" spans="2:16" x14ac:dyDescent="0.3">
      <c r="B754" s="33"/>
      <c r="C754" s="34"/>
      <c r="D754" s="34"/>
      <c r="E754" s="34"/>
      <c r="F754" s="34"/>
      <c r="G754" s="34"/>
      <c r="H754" s="34"/>
      <c r="I754" s="34"/>
      <c r="J754" s="34"/>
      <c r="K754" s="35"/>
      <c r="L754" s="34"/>
      <c r="M754" s="34"/>
      <c r="N754" s="34"/>
      <c r="O754" s="34"/>
      <c r="P754" s="34"/>
    </row>
    <row r="755" spans="2:16" x14ac:dyDescent="0.3">
      <c r="B755" s="33"/>
      <c r="C755" s="34"/>
      <c r="D755" s="34"/>
      <c r="E755" s="34"/>
      <c r="F755" s="34"/>
      <c r="G755" s="34"/>
      <c r="H755" s="34"/>
      <c r="I755" s="34"/>
      <c r="J755" s="34"/>
      <c r="K755" s="35"/>
      <c r="L755" s="34"/>
      <c r="M755" s="34"/>
      <c r="N755" s="34"/>
      <c r="O755" s="34"/>
      <c r="P755" s="34"/>
    </row>
    <row r="756" spans="2:16" x14ac:dyDescent="0.3">
      <c r="B756" s="33"/>
      <c r="C756" s="34"/>
      <c r="D756" s="34"/>
      <c r="E756" s="34"/>
      <c r="F756" s="34"/>
      <c r="G756" s="34"/>
      <c r="H756" s="34"/>
      <c r="I756" s="34"/>
      <c r="J756" s="34"/>
      <c r="K756" s="35"/>
      <c r="L756" s="34"/>
      <c r="M756" s="34"/>
      <c r="N756" s="34"/>
      <c r="O756" s="34"/>
      <c r="P756" s="34"/>
    </row>
    <row r="757" spans="2:16" x14ac:dyDescent="0.3">
      <c r="B757" s="33"/>
      <c r="C757" s="34"/>
      <c r="D757" s="34"/>
      <c r="E757" s="34"/>
      <c r="F757" s="34"/>
      <c r="G757" s="34"/>
      <c r="H757" s="34"/>
      <c r="I757" s="34"/>
      <c r="J757" s="34"/>
      <c r="K757" s="35"/>
      <c r="L757" s="34"/>
      <c r="M757" s="34"/>
      <c r="N757" s="34"/>
      <c r="O757" s="34"/>
      <c r="P757" s="34"/>
    </row>
    <row r="758" spans="2:16" x14ac:dyDescent="0.3">
      <c r="B758" s="33"/>
      <c r="C758" s="34"/>
      <c r="D758" s="34"/>
      <c r="E758" s="34"/>
      <c r="F758" s="34"/>
      <c r="G758" s="34"/>
      <c r="H758" s="34"/>
      <c r="I758" s="34"/>
      <c r="J758" s="34"/>
      <c r="K758" s="35"/>
      <c r="L758" s="34"/>
      <c r="M758" s="34"/>
      <c r="N758" s="34"/>
      <c r="O758" s="34"/>
      <c r="P758" s="34"/>
    </row>
    <row r="759" spans="2:16" x14ac:dyDescent="0.3">
      <c r="B759" s="33"/>
      <c r="C759" s="34"/>
      <c r="D759" s="34"/>
      <c r="E759" s="34"/>
      <c r="F759" s="34"/>
      <c r="G759" s="34"/>
      <c r="H759" s="34"/>
      <c r="I759" s="34"/>
      <c r="J759" s="34"/>
      <c r="K759" s="35"/>
      <c r="L759" s="34"/>
      <c r="M759" s="34"/>
      <c r="N759" s="34"/>
      <c r="O759" s="34"/>
      <c r="P759" s="34"/>
    </row>
    <row r="760" spans="2:16" x14ac:dyDescent="0.3">
      <c r="B760" s="33"/>
      <c r="C760" s="34"/>
      <c r="D760" s="34"/>
      <c r="E760" s="34"/>
      <c r="F760" s="34"/>
      <c r="G760" s="34"/>
      <c r="H760" s="34"/>
      <c r="I760" s="34"/>
      <c r="J760" s="34"/>
      <c r="K760" s="35"/>
      <c r="L760" s="34"/>
      <c r="M760" s="34"/>
      <c r="N760" s="34"/>
      <c r="O760" s="34"/>
      <c r="P760" s="34"/>
    </row>
    <row r="761" spans="2:16" x14ac:dyDescent="0.3">
      <c r="B761" s="33"/>
      <c r="C761" s="34"/>
      <c r="D761" s="34"/>
      <c r="E761" s="34"/>
      <c r="F761" s="34"/>
      <c r="G761" s="34"/>
      <c r="H761" s="34"/>
      <c r="I761" s="34"/>
      <c r="J761" s="34"/>
      <c r="K761" s="35"/>
      <c r="L761" s="34"/>
      <c r="M761" s="34"/>
      <c r="N761" s="34"/>
      <c r="O761" s="34"/>
      <c r="P761" s="34"/>
    </row>
    <row r="762" spans="2:16" x14ac:dyDescent="0.3">
      <c r="B762" s="33"/>
      <c r="C762" s="34"/>
      <c r="D762" s="34"/>
      <c r="E762" s="34"/>
      <c r="F762" s="34"/>
      <c r="G762" s="34"/>
      <c r="H762" s="34"/>
      <c r="I762" s="34"/>
      <c r="J762" s="34"/>
      <c r="K762" s="35"/>
      <c r="L762" s="34"/>
      <c r="M762" s="34"/>
      <c r="N762" s="34"/>
      <c r="O762" s="34"/>
      <c r="P762" s="34"/>
    </row>
    <row r="763" spans="2:16" x14ac:dyDescent="0.3">
      <c r="B763" s="33"/>
      <c r="C763" s="34"/>
      <c r="D763" s="34"/>
      <c r="E763" s="34"/>
      <c r="F763" s="34"/>
      <c r="G763" s="34"/>
      <c r="H763" s="34"/>
      <c r="I763" s="34"/>
      <c r="J763" s="34"/>
      <c r="K763" s="35"/>
      <c r="L763" s="34"/>
      <c r="M763" s="34"/>
      <c r="N763" s="34"/>
      <c r="O763" s="34"/>
      <c r="P763" s="34"/>
    </row>
    <row r="764" spans="2:16" x14ac:dyDescent="0.3">
      <c r="B764" s="33"/>
      <c r="C764" s="34"/>
      <c r="D764" s="34"/>
      <c r="E764" s="34"/>
      <c r="F764" s="34"/>
      <c r="G764" s="34"/>
      <c r="H764" s="34"/>
      <c r="I764" s="34"/>
      <c r="J764" s="34"/>
      <c r="K764" s="35"/>
      <c r="L764" s="34"/>
      <c r="M764" s="34"/>
      <c r="N764" s="34"/>
      <c r="O764" s="34"/>
      <c r="P764" s="34"/>
    </row>
    <row r="765" spans="2:16" x14ac:dyDescent="0.3">
      <c r="B765" s="33"/>
      <c r="C765" s="34"/>
      <c r="D765" s="34"/>
      <c r="E765" s="34"/>
      <c r="F765" s="34"/>
      <c r="G765" s="34"/>
      <c r="H765" s="34"/>
      <c r="I765" s="34"/>
      <c r="J765" s="34"/>
      <c r="K765" s="35"/>
      <c r="L765" s="34"/>
      <c r="M765" s="34"/>
      <c r="N765" s="34"/>
      <c r="O765" s="34"/>
      <c r="P765" s="34"/>
    </row>
    <row r="766" spans="2:16" x14ac:dyDescent="0.3">
      <c r="B766" s="33"/>
      <c r="C766" s="34"/>
      <c r="D766" s="34"/>
      <c r="E766" s="34"/>
      <c r="F766" s="34"/>
      <c r="G766" s="34"/>
      <c r="H766" s="34"/>
      <c r="I766" s="34"/>
      <c r="J766" s="34"/>
      <c r="K766" s="35"/>
      <c r="L766" s="34"/>
      <c r="M766" s="34"/>
      <c r="N766" s="34"/>
      <c r="O766" s="34"/>
      <c r="P766" s="34"/>
    </row>
    <row r="767" spans="2:16" x14ac:dyDescent="0.3">
      <c r="B767" s="33"/>
      <c r="C767" s="34"/>
      <c r="D767" s="34"/>
      <c r="E767" s="34"/>
      <c r="F767" s="34"/>
      <c r="G767" s="34"/>
      <c r="H767" s="34"/>
      <c r="I767" s="34"/>
      <c r="J767" s="34"/>
      <c r="K767" s="35"/>
      <c r="L767" s="34"/>
      <c r="M767" s="34"/>
      <c r="N767" s="34"/>
      <c r="O767" s="34"/>
      <c r="P767" s="34"/>
    </row>
    <row r="768" spans="2:16" x14ac:dyDescent="0.3">
      <c r="B768" s="33"/>
      <c r="C768" s="34"/>
      <c r="D768" s="34"/>
      <c r="E768" s="34"/>
      <c r="F768" s="34"/>
      <c r="G768" s="34"/>
      <c r="H768" s="34"/>
      <c r="I768" s="34"/>
      <c r="J768" s="34"/>
      <c r="K768" s="35"/>
      <c r="L768" s="34"/>
      <c r="M768" s="34"/>
      <c r="N768" s="34"/>
      <c r="O768" s="34"/>
      <c r="P768" s="34"/>
    </row>
    <row r="769" spans="2:16" x14ac:dyDescent="0.3">
      <c r="B769" s="33"/>
      <c r="C769" s="34"/>
      <c r="D769" s="34"/>
      <c r="E769" s="34"/>
      <c r="F769" s="34"/>
      <c r="G769" s="34"/>
      <c r="H769" s="34"/>
      <c r="I769" s="34"/>
      <c r="J769" s="34"/>
      <c r="K769" s="35"/>
      <c r="L769" s="34"/>
      <c r="M769" s="34"/>
      <c r="N769" s="34"/>
      <c r="O769" s="34"/>
      <c r="P769" s="34"/>
    </row>
    <row r="770" spans="2:16" x14ac:dyDescent="0.3">
      <c r="B770" s="33"/>
      <c r="C770" s="34"/>
      <c r="D770" s="34"/>
      <c r="E770" s="34"/>
      <c r="F770" s="34"/>
      <c r="G770" s="34"/>
      <c r="H770" s="34"/>
      <c r="I770" s="34"/>
      <c r="J770" s="34"/>
      <c r="K770" s="35"/>
      <c r="L770" s="34"/>
      <c r="M770" s="34"/>
      <c r="N770" s="34"/>
      <c r="O770" s="34"/>
      <c r="P770" s="34"/>
    </row>
    <row r="771" spans="2:16" x14ac:dyDescent="0.3">
      <c r="B771" s="33"/>
      <c r="C771" s="34"/>
      <c r="D771" s="34"/>
      <c r="E771" s="34"/>
      <c r="F771" s="34"/>
      <c r="G771" s="34"/>
      <c r="H771" s="34"/>
      <c r="I771" s="34"/>
      <c r="J771" s="34"/>
      <c r="K771" s="35"/>
      <c r="L771" s="34"/>
      <c r="M771" s="34"/>
      <c r="N771" s="34"/>
      <c r="O771" s="34"/>
      <c r="P771" s="34"/>
    </row>
    <row r="772" spans="2:16" x14ac:dyDescent="0.3">
      <c r="B772" s="33"/>
      <c r="C772" s="34"/>
      <c r="D772" s="34"/>
      <c r="E772" s="34"/>
      <c r="F772" s="34"/>
      <c r="G772" s="34"/>
      <c r="H772" s="34"/>
      <c r="I772" s="34"/>
      <c r="J772" s="34"/>
      <c r="K772" s="35"/>
      <c r="L772" s="34"/>
      <c r="M772" s="34"/>
      <c r="N772" s="34"/>
      <c r="O772" s="34"/>
      <c r="P772" s="34"/>
    </row>
    <row r="773" spans="2:16" x14ac:dyDescent="0.3">
      <c r="B773" s="33"/>
      <c r="C773" s="34"/>
      <c r="D773" s="34"/>
      <c r="E773" s="34"/>
      <c r="F773" s="34"/>
      <c r="G773" s="34"/>
      <c r="H773" s="34"/>
      <c r="I773" s="34"/>
      <c r="J773" s="34"/>
      <c r="K773" s="35"/>
      <c r="L773" s="34"/>
      <c r="M773" s="34"/>
      <c r="N773" s="34"/>
      <c r="O773" s="34"/>
      <c r="P773" s="34"/>
    </row>
    <row r="774" spans="2:16" x14ac:dyDescent="0.3">
      <c r="B774" s="33"/>
      <c r="C774" s="34"/>
      <c r="D774" s="34"/>
      <c r="E774" s="34"/>
      <c r="F774" s="34"/>
      <c r="G774" s="34"/>
      <c r="H774" s="34"/>
      <c r="I774" s="34"/>
      <c r="J774" s="34"/>
      <c r="K774" s="35"/>
      <c r="L774" s="34"/>
      <c r="M774" s="34"/>
      <c r="N774" s="34"/>
      <c r="O774" s="34"/>
      <c r="P774" s="34"/>
    </row>
    <row r="775" spans="2:16" x14ac:dyDescent="0.3">
      <c r="B775" s="33"/>
      <c r="C775" s="34"/>
      <c r="D775" s="34"/>
      <c r="E775" s="34"/>
      <c r="F775" s="34"/>
      <c r="G775" s="34"/>
      <c r="H775" s="34"/>
      <c r="I775" s="34"/>
      <c r="J775" s="34"/>
      <c r="K775" s="35"/>
      <c r="L775" s="34"/>
      <c r="M775" s="34"/>
      <c r="N775" s="34"/>
      <c r="O775" s="34"/>
      <c r="P775" s="34"/>
    </row>
    <row r="776" spans="2:16" x14ac:dyDescent="0.3">
      <c r="B776" s="33"/>
      <c r="C776" s="34"/>
      <c r="D776" s="34"/>
      <c r="E776" s="34"/>
      <c r="F776" s="34"/>
      <c r="G776" s="34"/>
      <c r="H776" s="34"/>
      <c r="I776" s="34"/>
      <c r="J776" s="34"/>
      <c r="K776" s="35"/>
      <c r="L776" s="34"/>
      <c r="M776" s="34"/>
      <c r="N776" s="34"/>
      <c r="O776" s="34"/>
      <c r="P776" s="34"/>
    </row>
    <row r="777" spans="2:16" x14ac:dyDescent="0.3">
      <c r="B777" s="33"/>
      <c r="C777" s="34"/>
      <c r="D777" s="34"/>
      <c r="E777" s="34"/>
      <c r="F777" s="34"/>
      <c r="G777" s="34"/>
      <c r="H777" s="34"/>
      <c r="I777" s="34"/>
      <c r="J777" s="34"/>
      <c r="K777" s="35"/>
      <c r="L777" s="34"/>
      <c r="M777" s="34"/>
      <c r="N777" s="34"/>
      <c r="O777" s="34"/>
      <c r="P777" s="34"/>
    </row>
    <row r="778" spans="2:16" x14ac:dyDescent="0.3">
      <c r="B778" s="33"/>
      <c r="C778" s="34"/>
      <c r="D778" s="34"/>
      <c r="E778" s="34"/>
      <c r="F778" s="34"/>
      <c r="G778" s="34"/>
      <c r="H778" s="34"/>
      <c r="I778" s="34"/>
      <c r="J778" s="34"/>
      <c r="K778" s="35"/>
      <c r="L778" s="34"/>
      <c r="M778" s="34"/>
      <c r="N778" s="34"/>
      <c r="O778" s="34"/>
      <c r="P778" s="34"/>
    </row>
    <row r="779" spans="2:16" x14ac:dyDescent="0.3">
      <c r="B779" s="33"/>
      <c r="C779" s="34"/>
      <c r="D779" s="34"/>
      <c r="E779" s="34"/>
      <c r="F779" s="34"/>
      <c r="G779" s="34"/>
      <c r="H779" s="34"/>
      <c r="I779" s="34"/>
      <c r="J779" s="34"/>
      <c r="K779" s="35"/>
      <c r="L779" s="34"/>
      <c r="M779" s="34"/>
      <c r="N779" s="34"/>
      <c r="O779" s="34"/>
      <c r="P779" s="34"/>
    </row>
    <row r="780" spans="2:16" x14ac:dyDescent="0.3">
      <c r="B780" s="33"/>
      <c r="C780" s="34"/>
      <c r="D780" s="34"/>
      <c r="E780" s="34"/>
      <c r="F780" s="34"/>
      <c r="G780" s="34"/>
      <c r="H780" s="34"/>
      <c r="I780" s="34"/>
      <c r="J780" s="34"/>
      <c r="K780" s="35"/>
      <c r="L780" s="34"/>
      <c r="M780" s="34"/>
      <c r="N780" s="34"/>
      <c r="O780" s="34"/>
      <c r="P780" s="34"/>
    </row>
    <row r="781" spans="2:16" x14ac:dyDescent="0.3">
      <c r="B781" s="33"/>
      <c r="C781" s="34"/>
      <c r="D781" s="34"/>
      <c r="E781" s="34"/>
      <c r="F781" s="34"/>
      <c r="G781" s="34"/>
      <c r="H781" s="34"/>
      <c r="I781" s="34"/>
      <c r="J781" s="34"/>
      <c r="K781" s="35"/>
      <c r="L781" s="34"/>
      <c r="M781" s="34"/>
      <c r="N781" s="34"/>
      <c r="O781" s="34"/>
      <c r="P781" s="34"/>
    </row>
    <row r="782" spans="2:16" x14ac:dyDescent="0.3">
      <c r="B782" s="33"/>
      <c r="C782" s="34"/>
      <c r="D782" s="34"/>
      <c r="E782" s="34"/>
      <c r="F782" s="34"/>
      <c r="G782" s="34"/>
      <c r="H782" s="34"/>
      <c r="I782" s="34"/>
      <c r="J782" s="34"/>
      <c r="K782" s="35"/>
      <c r="L782" s="34"/>
      <c r="M782" s="34"/>
      <c r="N782" s="34"/>
      <c r="O782" s="34"/>
      <c r="P782" s="34"/>
    </row>
    <row r="783" spans="2:16" x14ac:dyDescent="0.3">
      <c r="B783" s="33"/>
      <c r="C783" s="34"/>
      <c r="D783" s="34"/>
      <c r="E783" s="34"/>
      <c r="F783" s="34"/>
      <c r="G783" s="34"/>
      <c r="H783" s="34"/>
      <c r="I783" s="34"/>
      <c r="J783" s="34"/>
      <c r="K783" s="35"/>
      <c r="L783" s="34"/>
      <c r="M783" s="34"/>
      <c r="N783" s="34"/>
      <c r="O783" s="34"/>
      <c r="P783" s="34"/>
    </row>
    <row r="784" spans="2:16" x14ac:dyDescent="0.3">
      <c r="B784" s="33"/>
      <c r="C784" s="34"/>
      <c r="D784" s="34"/>
      <c r="E784" s="34"/>
      <c r="F784" s="34"/>
      <c r="G784" s="34"/>
      <c r="H784" s="34"/>
      <c r="I784" s="34"/>
      <c r="J784" s="34"/>
      <c r="K784" s="35"/>
      <c r="L784" s="34"/>
      <c r="M784" s="34"/>
      <c r="N784" s="34"/>
      <c r="O784" s="34"/>
      <c r="P784" s="34"/>
    </row>
    <row r="785" spans="2:16" x14ac:dyDescent="0.3">
      <c r="B785" s="33"/>
      <c r="C785" s="34"/>
      <c r="D785" s="34"/>
      <c r="E785" s="34"/>
      <c r="F785" s="34"/>
      <c r="G785" s="34"/>
      <c r="H785" s="34"/>
      <c r="I785" s="34"/>
      <c r="J785" s="34"/>
      <c r="K785" s="35"/>
      <c r="L785" s="34"/>
      <c r="M785" s="34"/>
      <c r="N785" s="34"/>
      <c r="O785" s="34"/>
      <c r="P785" s="34"/>
    </row>
    <row r="786" spans="2:16" x14ac:dyDescent="0.3">
      <c r="B786" s="33"/>
      <c r="C786" s="34"/>
      <c r="D786" s="34"/>
      <c r="E786" s="34"/>
      <c r="F786" s="34"/>
      <c r="G786" s="34"/>
      <c r="H786" s="34"/>
      <c r="I786" s="34"/>
      <c r="J786" s="34"/>
      <c r="K786" s="35"/>
      <c r="L786" s="34"/>
      <c r="M786" s="34"/>
      <c r="N786" s="34"/>
      <c r="O786" s="34"/>
      <c r="P786" s="34"/>
    </row>
    <row r="787" spans="2:16" x14ac:dyDescent="0.3">
      <c r="B787" s="33"/>
      <c r="C787" s="34"/>
      <c r="D787" s="34"/>
      <c r="E787" s="34"/>
      <c r="F787" s="34"/>
      <c r="G787" s="34"/>
      <c r="H787" s="34"/>
      <c r="I787" s="34"/>
      <c r="J787" s="34"/>
      <c r="K787" s="35"/>
      <c r="L787" s="34"/>
      <c r="M787" s="34"/>
      <c r="N787" s="34"/>
      <c r="O787" s="34"/>
      <c r="P787" s="34"/>
    </row>
    <row r="788" spans="2:16" x14ac:dyDescent="0.3">
      <c r="B788" s="33"/>
      <c r="C788" s="34"/>
      <c r="D788" s="34"/>
      <c r="E788" s="34"/>
      <c r="F788" s="34"/>
      <c r="G788" s="34"/>
      <c r="H788" s="34"/>
      <c r="I788" s="34"/>
      <c r="J788" s="34"/>
      <c r="K788" s="35"/>
      <c r="L788" s="34"/>
      <c r="M788" s="34"/>
      <c r="N788" s="34"/>
      <c r="O788" s="34"/>
      <c r="P788" s="34"/>
    </row>
    <row r="789" spans="2:16" x14ac:dyDescent="0.3">
      <c r="B789" s="33"/>
      <c r="C789" s="34"/>
      <c r="D789" s="34"/>
      <c r="E789" s="34"/>
      <c r="F789" s="34"/>
      <c r="G789" s="34"/>
      <c r="H789" s="34"/>
      <c r="I789" s="34"/>
      <c r="J789" s="34"/>
      <c r="K789" s="35"/>
      <c r="L789" s="34"/>
      <c r="M789" s="34"/>
      <c r="N789" s="34"/>
      <c r="O789" s="34"/>
      <c r="P789" s="34"/>
    </row>
    <row r="790" spans="2:16" x14ac:dyDescent="0.3">
      <c r="B790" s="33"/>
      <c r="C790" s="34"/>
      <c r="D790" s="34"/>
      <c r="E790" s="34"/>
      <c r="F790" s="34"/>
      <c r="G790" s="34"/>
      <c r="H790" s="34"/>
      <c r="I790" s="34"/>
      <c r="J790" s="34"/>
      <c r="K790" s="35"/>
      <c r="L790" s="34"/>
      <c r="M790" s="34"/>
      <c r="N790" s="34"/>
      <c r="O790" s="34"/>
      <c r="P790" s="34"/>
    </row>
    <row r="791" spans="2:16" x14ac:dyDescent="0.3">
      <c r="B791" s="33"/>
      <c r="C791" s="34"/>
      <c r="D791" s="34"/>
      <c r="E791" s="34"/>
      <c r="F791" s="34"/>
      <c r="G791" s="34"/>
      <c r="H791" s="34"/>
      <c r="I791" s="34"/>
      <c r="J791" s="34"/>
      <c r="K791" s="35"/>
      <c r="L791" s="34"/>
      <c r="M791" s="34"/>
      <c r="N791" s="34"/>
      <c r="O791" s="34"/>
      <c r="P791" s="34"/>
    </row>
    <row r="792" spans="2:16" x14ac:dyDescent="0.3">
      <c r="B792" s="33"/>
      <c r="C792" s="34"/>
      <c r="D792" s="34"/>
      <c r="E792" s="34"/>
      <c r="F792" s="34"/>
      <c r="G792" s="34"/>
      <c r="H792" s="34"/>
      <c r="I792" s="34"/>
      <c r="J792" s="34"/>
      <c r="K792" s="35"/>
      <c r="L792" s="34"/>
      <c r="M792" s="34"/>
      <c r="N792" s="34"/>
      <c r="O792" s="34"/>
      <c r="P792" s="34"/>
    </row>
    <row r="793" spans="2:16" x14ac:dyDescent="0.3">
      <c r="B793" s="33"/>
      <c r="C793" s="34"/>
      <c r="D793" s="34"/>
      <c r="E793" s="34"/>
      <c r="F793" s="34"/>
      <c r="G793" s="34"/>
      <c r="H793" s="34"/>
      <c r="I793" s="34"/>
      <c r="J793" s="34"/>
      <c r="K793" s="35"/>
      <c r="L793" s="34"/>
      <c r="M793" s="34"/>
      <c r="N793" s="34"/>
      <c r="O793" s="34"/>
      <c r="P793" s="34"/>
    </row>
    <row r="794" spans="2:16" x14ac:dyDescent="0.3">
      <c r="B794" s="33"/>
      <c r="C794" s="34"/>
      <c r="D794" s="34"/>
      <c r="E794" s="34"/>
      <c r="F794" s="34"/>
      <c r="G794" s="34"/>
      <c r="H794" s="34"/>
      <c r="I794" s="34"/>
      <c r="J794" s="34"/>
      <c r="K794" s="35"/>
      <c r="L794" s="34"/>
      <c r="M794" s="34"/>
      <c r="N794" s="34"/>
      <c r="O794" s="34"/>
      <c r="P794" s="34"/>
    </row>
    <row r="795" spans="2:16" x14ac:dyDescent="0.3">
      <c r="B795" s="33"/>
      <c r="C795" s="34"/>
      <c r="D795" s="34"/>
      <c r="E795" s="34"/>
      <c r="F795" s="34"/>
      <c r="G795" s="34"/>
      <c r="H795" s="34"/>
      <c r="I795" s="34"/>
      <c r="J795" s="34"/>
      <c r="K795" s="35"/>
      <c r="L795" s="34"/>
      <c r="M795" s="34"/>
      <c r="N795" s="34"/>
      <c r="O795" s="34"/>
      <c r="P795" s="34"/>
    </row>
    <row r="796" spans="2:16" x14ac:dyDescent="0.3">
      <c r="B796" s="33"/>
      <c r="C796" s="34"/>
      <c r="D796" s="34"/>
      <c r="E796" s="34"/>
      <c r="F796" s="34"/>
      <c r="G796" s="34"/>
      <c r="H796" s="34"/>
      <c r="I796" s="34"/>
      <c r="J796" s="34"/>
      <c r="K796" s="35"/>
      <c r="L796" s="34"/>
      <c r="M796" s="34"/>
      <c r="N796" s="34"/>
      <c r="O796" s="34"/>
      <c r="P796" s="34"/>
    </row>
    <row r="797" spans="2:16" x14ac:dyDescent="0.3">
      <c r="B797" s="33"/>
      <c r="C797" s="34"/>
      <c r="D797" s="34"/>
      <c r="E797" s="34"/>
      <c r="F797" s="34"/>
      <c r="G797" s="34"/>
      <c r="H797" s="34"/>
      <c r="I797" s="34"/>
      <c r="J797" s="34"/>
      <c r="K797" s="35"/>
      <c r="L797" s="34"/>
      <c r="M797" s="34"/>
      <c r="N797" s="34"/>
      <c r="O797" s="34"/>
      <c r="P797" s="34"/>
    </row>
    <row r="798" spans="2:16" x14ac:dyDescent="0.3">
      <c r="B798" s="33"/>
      <c r="C798" s="34"/>
      <c r="D798" s="34"/>
      <c r="E798" s="34"/>
      <c r="F798" s="34"/>
      <c r="G798" s="34"/>
      <c r="H798" s="34"/>
      <c r="I798" s="34"/>
      <c r="J798" s="34"/>
      <c r="K798" s="35"/>
      <c r="L798" s="34"/>
      <c r="M798" s="34"/>
      <c r="N798" s="34"/>
      <c r="O798" s="34"/>
      <c r="P798" s="34"/>
    </row>
    <row r="799" spans="2:16" x14ac:dyDescent="0.3">
      <c r="B799" s="33"/>
      <c r="C799" s="34"/>
      <c r="D799" s="34"/>
      <c r="E799" s="34"/>
      <c r="F799" s="34"/>
      <c r="G799" s="34"/>
      <c r="H799" s="34"/>
      <c r="I799" s="34"/>
      <c r="J799" s="34"/>
      <c r="K799" s="35"/>
      <c r="L799" s="34"/>
      <c r="M799" s="34"/>
      <c r="N799" s="34"/>
      <c r="O799" s="34"/>
      <c r="P799" s="34"/>
    </row>
    <row r="800" spans="2:16" x14ac:dyDescent="0.3">
      <c r="B800" s="33"/>
      <c r="C800" s="34"/>
      <c r="D800" s="34"/>
      <c r="E800" s="34"/>
      <c r="F800" s="34"/>
      <c r="G800" s="34"/>
      <c r="H800" s="34"/>
      <c r="I800" s="34"/>
      <c r="J800" s="34"/>
      <c r="K800" s="35"/>
      <c r="L800" s="34"/>
      <c r="M800" s="34"/>
      <c r="N800" s="34"/>
      <c r="O800" s="34"/>
      <c r="P800" s="34"/>
    </row>
    <row r="801" spans="2:16" x14ac:dyDescent="0.3">
      <c r="B801" s="33"/>
      <c r="C801" s="34"/>
      <c r="D801" s="34"/>
      <c r="E801" s="34"/>
      <c r="F801" s="34"/>
      <c r="G801" s="34"/>
      <c r="H801" s="34"/>
      <c r="I801" s="34"/>
      <c r="J801" s="34"/>
      <c r="K801" s="35"/>
      <c r="L801" s="34"/>
      <c r="M801" s="34"/>
      <c r="N801" s="34"/>
      <c r="O801" s="34"/>
      <c r="P801" s="34"/>
    </row>
    <row r="802" spans="2:16" x14ac:dyDescent="0.3">
      <c r="B802" s="33"/>
      <c r="C802" s="34"/>
      <c r="D802" s="34"/>
      <c r="E802" s="34"/>
      <c r="F802" s="34"/>
      <c r="G802" s="34"/>
      <c r="H802" s="34"/>
      <c r="I802" s="34"/>
      <c r="J802" s="34"/>
      <c r="K802" s="35"/>
      <c r="L802" s="34"/>
      <c r="M802" s="34"/>
      <c r="N802" s="34"/>
      <c r="O802" s="34"/>
      <c r="P802" s="34"/>
    </row>
    <row r="803" spans="2:16" x14ac:dyDescent="0.3">
      <c r="B803" s="33"/>
      <c r="C803" s="34"/>
      <c r="D803" s="34"/>
      <c r="E803" s="34"/>
      <c r="F803" s="34"/>
      <c r="G803" s="34"/>
      <c r="H803" s="34"/>
      <c r="I803" s="34"/>
      <c r="J803" s="34"/>
      <c r="K803" s="35"/>
      <c r="L803" s="34"/>
      <c r="M803" s="34"/>
      <c r="N803" s="34"/>
      <c r="O803" s="34"/>
      <c r="P803" s="34"/>
    </row>
    <row r="804" spans="2:16" x14ac:dyDescent="0.3">
      <c r="B804" s="33"/>
      <c r="C804" s="34"/>
      <c r="D804" s="34"/>
      <c r="E804" s="34"/>
      <c r="F804" s="34"/>
      <c r="G804" s="34"/>
      <c r="H804" s="34"/>
      <c r="I804" s="34"/>
      <c r="J804" s="34"/>
      <c r="K804" s="35"/>
      <c r="L804" s="34"/>
      <c r="M804" s="34"/>
      <c r="N804" s="34"/>
      <c r="O804" s="34"/>
      <c r="P804" s="34"/>
    </row>
    <row r="805" spans="2:16" x14ac:dyDescent="0.3">
      <c r="B805" s="33"/>
      <c r="C805" s="34"/>
      <c r="D805" s="34"/>
      <c r="E805" s="34"/>
      <c r="F805" s="34"/>
      <c r="G805" s="34"/>
      <c r="H805" s="34"/>
      <c r="I805" s="34"/>
      <c r="J805" s="34"/>
      <c r="K805" s="35"/>
      <c r="L805" s="34"/>
      <c r="M805" s="34"/>
      <c r="N805" s="34"/>
      <c r="O805" s="34"/>
      <c r="P805" s="34"/>
    </row>
    <row r="806" spans="2:16" x14ac:dyDescent="0.3">
      <c r="B806" s="33"/>
      <c r="C806" s="34"/>
      <c r="D806" s="34"/>
      <c r="E806" s="34"/>
      <c r="F806" s="34"/>
      <c r="G806" s="34"/>
      <c r="H806" s="34"/>
      <c r="I806" s="34"/>
      <c r="J806" s="34"/>
      <c r="K806" s="35"/>
      <c r="L806" s="34"/>
      <c r="M806" s="34"/>
      <c r="N806" s="34"/>
      <c r="O806" s="34"/>
      <c r="P806" s="34"/>
    </row>
    <row r="807" spans="2:16" x14ac:dyDescent="0.3">
      <c r="B807" s="33"/>
      <c r="C807" s="34"/>
      <c r="D807" s="34"/>
      <c r="E807" s="34"/>
      <c r="F807" s="34"/>
      <c r="G807" s="34"/>
      <c r="H807" s="34"/>
      <c r="I807" s="34"/>
      <c r="J807" s="34"/>
      <c r="K807" s="35"/>
      <c r="L807" s="34"/>
      <c r="M807" s="34"/>
      <c r="N807" s="34"/>
      <c r="O807" s="34"/>
      <c r="P807" s="34"/>
    </row>
    <row r="808" spans="2:16" x14ac:dyDescent="0.3">
      <c r="B808" s="33"/>
      <c r="C808" s="34"/>
      <c r="D808" s="34"/>
      <c r="E808" s="34"/>
      <c r="F808" s="34"/>
      <c r="G808" s="34"/>
      <c r="H808" s="34"/>
      <c r="I808" s="34"/>
      <c r="J808" s="34"/>
      <c r="K808" s="35"/>
      <c r="L808" s="34"/>
      <c r="M808" s="34"/>
      <c r="N808" s="34"/>
      <c r="O808" s="34"/>
      <c r="P808" s="34"/>
    </row>
    <row r="809" spans="2:16" x14ac:dyDescent="0.3">
      <c r="B809" s="33"/>
      <c r="C809" s="34"/>
      <c r="D809" s="34"/>
      <c r="E809" s="34"/>
      <c r="F809" s="34"/>
      <c r="G809" s="34"/>
      <c r="H809" s="34"/>
      <c r="I809" s="34"/>
      <c r="J809" s="34"/>
      <c r="K809" s="35"/>
      <c r="L809" s="34"/>
      <c r="M809" s="34"/>
      <c r="N809" s="34"/>
      <c r="O809" s="34"/>
      <c r="P809" s="34"/>
    </row>
    <row r="810" spans="2:16" x14ac:dyDescent="0.3">
      <c r="B810" s="33"/>
      <c r="C810" s="34"/>
      <c r="D810" s="34"/>
      <c r="E810" s="34"/>
      <c r="F810" s="34"/>
      <c r="G810" s="34"/>
      <c r="H810" s="34"/>
      <c r="I810" s="34"/>
      <c r="J810" s="34"/>
      <c r="K810" s="35"/>
      <c r="L810" s="34"/>
      <c r="M810" s="34"/>
      <c r="N810" s="34"/>
      <c r="O810" s="34"/>
      <c r="P810" s="34"/>
    </row>
    <row r="811" spans="2:16" x14ac:dyDescent="0.3">
      <c r="B811" s="33"/>
      <c r="C811" s="34"/>
      <c r="D811" s="34"/>
      <c r="E811" s="34"/>
      <c r="F811" s="34"/>
      <c r="G811" s="34"/>
      <c r="H811" s="34"/>
      <c r="I811" s="34"/>
      <c r="J811" s="34"/>
      <c r="K811" s="35"/>
      <c r="L811" s="34"/>
      <c r="M811" s="34"/>
      <c r="N811" s="34"/>
      <c r="O811" s="34"/>
      <c r="P811" s="34"/>
    </row>
    <row r="812" spans="2:16" x14ac:dyDescent="0.3">
      <c r="B812" s="33"/>
      <c r="C812" s="34"/>
      <c r="D812" s="34"/>
      <c r="E812" s="34"/>
      <c r="F812" s="34"/>
      <c r="G812" s="34"/>
      <c r="H812" s="34"/>
      <c r="I812" s="34"/>
      <c r="J812" s="34"/>
      <c r="K812" s="35"/>
      <c r="L812" s="34"/>
      <c r="M812" s="34"/>
      <c r="N812" s="34"/>
      <c r="O812" s="34"/>
      <c r="P812" s="34"/>
    </row>
    <row r="813" spans="2:16" x14ac:dyDescent="0.3">
      <c r="B813" s="33"/>
      <c r="C813" s="34"/>
      <c r="D813" s="34"/>
      <c r="E813" s="34"/>
      <c r="F813" s="34"/>
      <c r="G813" s="34"/>
      <c r="H813" s="34"/>
      <c r="I813" s="34"/>
      <c r="J813" s="34"/>
      <c r="K813" s="35"/>
      <c r="L813" s="34"/>
      <c r="M813" s="34"/>
      <c r="N813" s="34"/>
      <c r="O813" s="34"/>
      <c r="P813" s="34"/>
    </row>
    <row r="814" spans="2:16" x14ac:dyDescent="0.3">
      <c r="B814" s="33"/>
      <c r="C814" s="34"/>
      <c r="D814" s="34"/>
      <c r="E814" s="34"/>
      <c r="F814" s="34"/>
      <c r="G814" s="34"/>
      <c r="H814" s="34"/>
      <c r="I814" s="34"/>
      <c r="J814" s="34"/>
      <c r="K814" s="35"/>
      <c r="L814" s="34"/>
      <c r="M814" s="34"/>
      <c r="N814" s="34"/>
      <c r="O814" s="34"/>
      <c r="P814" s="34"/>
    </row>
    <row r="815" spans="2:16" x14ac:dyDescent="0.3">
      <c r="B815" s="33"/>
      <c r="C815" s="34"/>
      <c r="D815" s="34"/>
      <c r="E815" s="34"/>
      <c r="F815" s="34"/>
      <c r="G815" s="34"/>
      <c r="H815" s="34"/>
      <c r="I815" s="34"/>
      <c r="J815" s="34"/>
      <c r="K815" s="35"/>
      <c r="L815" s="34"/>
      <c r="M815" s="34"/>
      <c r="N815" s="34"/>
      <c r="O815" s="34"/>
      <c r="P815" s="34"/>
    </row>
    <row r="816" spans="2:16" x14ac:dyDescent="0.3">
      <c r="B816" s="33"/>
      <c r="C816" s="34"/>
      <c r="D816" s="34"/>
      <c r="E816" s="34"/>
      <c r="F816" s="34"/>
      <c r="G816" s="34"/>
      <c r="H816" s="34"/>
      <c r="I816" s="34"/>
      <c r="J816" s="34"/>
      <c r="K816" s="35"/>
      <c r="L816" s="34"/>
      <c r="M816" s="34"/>
      <c r="N816" s="34"/>
      <c r="O816" s="34"/>
      <c r="P816" s="34"/>
    </row>
    <row r="817" spans="2:16" x14ac:dyDescent="0.3">
      <c r="B817" s="33"/>
      <c r="C817" s="34"/>
      <c r="D817" s="34"/>
      <c r="E817" s="34"/>
      <c r="F817" s="34"/>
      <c r="G817" s="34"/>
      <c r="H817" s="34"/>
      <c r="I817" s="34"/>
      <c r="J817" s="34"/>
      <c r="K817" s="35"/>
      <c r="L817" s="34"/>
      <c r="M817" s="34"/>
      <c r="N817" s="34"/>
      <c r="O817" s="34"/>
      <c r="P817" s="34"/>
    </row>
    <row r="818" spans="2:16" x14ac:dyDescent="0.3">
      <c r="B818" s="33"/>
      <c r="C818" s="34"/>
      <c r="D818" s="34"/>
      <c r="E818" s="34"/>
      <c r="F818" s="34"/>
      <c r="G818" s="34"/>
      <c r="H818" s="34"/>
      <c r="I818" s="34"/>
      <c r="J818" s="34"/>
      <c r="K818" s="35"/>
      <c r="L818" s="34"/>
      <c r="M818" s="34"/>
      <c r="N818" s="34"/>
      <c r="O818" s="34"/>
      <c r="P818" s="34"/>
    </row>
    <row r="819" spans="2:16" x14ac:dyDescent="0.3">
      <c r="B819" s="33"/>
      <c r="C819" s="34"/>
      <c r="D819" s="34"/>
      <c r="E819" s="34"/>
      <c r="F819" s="34"/>
      <c r="G819" s="34"/>
      <c r="H819" s="34"/>
      <c r="I819" s="34"/>
      <c r="J819" s="34"/>
      <c r="K819" s="35"/>
      <c r="L819" s="34"/>
      <c r="M819" s="34"/>
      <c r="N819" s="34"/>
      <c r="O819" s="34"/>
      <c r="P819" s="34"/>
    </row>
    <row r="820" spans="2:16" x14ac:dyDescent="0.3">
      <c r="B820" s="33"/>
      <c r="C820" s="34"/>
      <c r="D820" s="34"/>
      <c r="E820" s="34"/>
      <c r="F820" s="34"/>
      <c r="G820" s="34"/>
      <c r="H820" s="34"/>
      <c r="I820" s="34"/>
      <c r="J820" s="34"/>
      <c r="K820" s="35"/>
      <c r="L820" s="34"/>
      <c r="M820" s="34"/>
      <c r="N820" s="34"/>
      <c r="O820" s="34"/>
      <c r="P820" s="34"/>
    </row>
    <row r="821" spans="2:16" x14ac:dyDescent="0.3">
      <c r="B821" s="33"/>
      <c r="C821" s="34"/>
      <c r="D821" s="34"/>
      <c r="E821" s="34"/>
      <c r="F821" s="34"/>
      <c r="G821" s="34"/>
      <c r="H821" s="34"/>
      <c r="I821" s="34"/>
      <c r="J821" s="34"/>
      <c r="K821" s="35"/>
      <c r="L821" s="34"/>
      <c r="M821" s="34"/>
      <c r="N821" s="34"/>
      <c r="O821" s="34"/>
      <c r="P821" s="34"/>
    </row>
    <row r="822" spans="2:16" x14ac:dyDescent="0.3">
      <c r="B822" s="33"/>
      <c r="C822" s="34"/>
      <c r="D822" s="34"/>
      <c r="E822" s="34"/>
      <c r="F822" s="34"/>
      <c r="G822" s="34"/>
      <c r="H822" s="34"/>
      <c r="I822" s="34"/>
      <c r="J822" s="34"/>
      <c r="K822" s="35"/>
      <c r="L822" s="34"/>
      <c r="M822" s="34"/>
      <c r="N822" s="34"/>
      <c r="O822" s="34"/>
      <c r="P822" s="34"/>
    </row>
    <row r="823" spans="2:16" x14ac:dyDescent="0.3">
      <c r="B823" s="33"/>
      <c r="C823" s="34"/>
      <c r="D823" s="34"/>
      <c r="E823" s="34"/>
      <c r="F823" s="34"/>
      <c r="G823" s="34"/>
      <c r="H823" s="34"/>
      <c r="I823" s="34"/>
      <c r="J823" s="34"/>
      <c r="K823" s="35"/>
      <c r="L823" s="34"/>
      <c r="M823" s="34"/>
      <c r="N823" s="34"/>
      <c r="O823" s="34"/>
      <c r="P823" s="34"/>
    </row>
    <row r="824" spans="2:16" x14ac:dyDescent="0.3">
      <c r="B824" s="33"/>
      <c r="C824" s="34"/>
      <c r="D824" s="34"/>
      <c r="E824" s="34"/>
      <c r="F824" s="34"/>
      <c r="G824" s="34"/>
      <c r="H824" s="34"/>
      <c r="I824" s="34"/>
      <c r="J824" s="34"/>
      <c r="K824" s="35"/>
      <c r="L824" s="34"/>
      <c r="M824" s="34"/>
      <c r="N824" s="34"/>
      <c r="O824" s="34"/>
      <c r="P824" s="34"/>
    </row>
    <row r="825" spans="2:16" x14ac:dyDescent="0.3">
      <c r="B825" s="33"/>
      <c r="C825" s="34"/>
      <c r="D825" s="34"/>
      <c r="E825" s="34"/>
      <c r="F825" s="34"/>
      <c r="G825" s="34"/>
      <c r="H825" s="34"/>
      <c r="I825" s="34"/>
      <c r="J825" s="34"/>
      <c r="K825" s="35"/>
      <c r="L825" s="34"/>
      <c r="M825" s="34"/>
      <c r="N825" s="34"/>
      <c r="O825" s="34"/>
      <c r="P825" s="34"/>
    </row>
    <row r="826" spans="2:16" x14ac:dyDescent="0.3">
      <c r="B826" s="33"/>
      <c r="C826" s="34"/>
      <c r="D826" s="34"/>
      <c r="E826" s="34"/>
      <c r="F826" s="34"/>
      <c r="G826" s="34"/>
      <c r="H826" s="34"/>
      <c r="I826" s="34"/>
      <c r="J826" s="34"/>
      <c r="K826" s="35"/>
      <c r="L826" s="34"/>
      <c r="M826" s="34"/>
      <c r="N826" s="34"/>
      <c r="O826" s="34"/>
      <c r="P826" s="34"/>
    </row>
    <row r="827" spans="2:16" x14ac:dyDescent="0.3">
      <c r="B827" s="33"/>
      <c r="C827" s="34"/>
      <c r="D827" s="34"/>
      <c r="E827" s="34"/>
      <c r="F827" s="34"/>
      <c r="G827" s="34"/>
      <c r="H827" s="34"/>
      <c r="I827" s="34"/>
      <c r="J827" s="34"/>
      <c r="K827" s="35"/>
      <c r="L827" s="34"/>
      <c r="M827" s="34"/>
      <c r="N827" s="34"/>
      <c r="O827" s="34"/>
      <c r="P827" s="34"/>
    </row>
    <row r="828" spans="2:16" x14ac:dyDescent="0.3">
      <c r="B828" s="33"/>
      <c r="C828" s="34"/>
      <c r="D828" s="34"/>
      <c r="E828" s="34"/>
      <c r="F828" s="34"/>
      <c r="G828" s="34"/>
      <c r="H828" s="34"/>
      <c r="I828" s="34"/>
      <c r="J828" s="34"/>
      <c r="K828" s="35"/>
      <c r="L828" s="34"/>
      <c r="M828" s="34"/>
      <c r="N828" s="34"/>
      <c r="O828" s="34"/>
      <c r="P828" s="34"/>
    </row>
    <row r="829" spans="2:16" x14ac:dyDescent="0.3">
      <c r="B829" s="33"/>
      <c r="C829" s="34"/>
      <c r="D829" s="34"/>
      <c r="E829" s="34"/>
      <c r="F829" s="34"/>
      <c r="G829" s="34"/>
      <c r="H829" s="34"/>
      <c r="I829" s="34"/>
      <c r="J829" s="34"/>
      <c r="K829" s="35"/>
      <c r="L829" s="34"/>
      <c r="M829" s="34"/>
      <c r="N829" s="34"/>
      <c r="O829" s="34"/>
      <c r="P829" s="34"/>
    </row>
    <row r="830" spans="2:16" x14ac:dyDescent="0.3">
      <c r="B830" s="33"/>
      <c r="C830" s="34"/>
      <c r="D830" s="34"/>
      <c r="E830" s="34"/>
      <c r="F830" s="34"/>
      <c r="G830" s="34"/>
      <c r="H830" s="34"/>
      <c r="I830" s="34"/>
      <c r="J830" s="34"/>
      <c r="K830" s="35"/>
      <c r="L830" s="34"/>
      <c r="M830" s="34"/>
      <c r="N830" s="34"/>
      <c r="O830" s="34"/>
      <c r="P830" s="34"/>
    </row>
    <row r="831" spans="2:16" x14ac:dyDescent="0.3">
      <c r="B831" s="33"/>
      <c r="C831" s="34"/>
      <c r="D831" s="34"/>
      <c r="E831" s="34"/>
      <c r="F831" s="34"/>
      <c r="G831" s="34"/>
      <c r="H831" s="34"/>
      <c r="I831" s="34"/>
      <c r="J831" s="34"/>
      <c r="K831" s="35"/>
      <c r="L831" s="34"/>
      <c r="M831" s="34"/>
      <c r="N831" s="34"/>
      <c r="O831" s="34"/>
      <c r="P831" s="34"/>
    </row>
    <row r="832" spans="2:16" x14ac:dyDescent="0.3">
      <c r="B832" s="33"/>
      <c r="C832" s="34"/>
      <c r="D832" s="34"/>
      <c r="E832" s="34"/>
      <c r="F832" s="34"/>
      <c r="G832" s="34"/>
      <c r="H832" s="34"/>
      <c r="I832" s="34"/>
      <c r="J832" s="34"/>
      <c r="K832" s="35"/>
      <c r="L832" s="34"/>
      <c r="M832" s="34"/>
      <c r="N832" s="34"/>
      <c r="O832" s="34"/>
      <c r="P832" s="34"/>
    </row>
    <row r="833" spans="2:16" x14ac:dyDescent="0.3">
      <c r="B833" s="33"/>
      <c r="C833" s="34"/>
      <c r="D833" s="34"/>
      <c r="E833" s="34"/>
      <c r="F833" s="34"/>
      <c r="G833" s="34"/>
      <c r="H833" s="34"/>
      <c r="I833" s="34"/>
      <c r="J833" s="34"/>
      <c r="K833" s="35"/>
      <c r="L833" s="34"/>
      <c r="M833" s="34"/>
      <c r="N833" s="34"/>
      <c r="O833" s="34"/>
      <c r="P833" s="34"/>
    </row>
    <row r="834" spans="2:16" x14ac:dyDescent="0.3">
      <c r="B834" s="33"/>
      <c r="C834" s="34"/>
      <c r="D834" s="34"/>
      <c r="E834" s="34"/>
      <c r="F834" s="34"/>
      <c r="G834" s="34"/>
      <c r="H834" s="34"/>
      <c r="I834" s="34"/>
      <c r="J834" s="34"/>
      <c r="K834" s="35"/>
      <c r="L834" s="34"/>
      <c r="M834" s="34"/>
      <c r="N834" s="34"/>
      <c r="O834" s="34"/>
      <c r="P834" s="34"/>
    </row>
    <row r="835" spans="2:16" x14ac:dyDescent="0.3">
      <c r="B835" s="33"/>
      <c r="C835" s="34"/>
      <c r="D835" s="34"/>
      <c r="E835" s="34"/>
      <c r="F835" s="34"/>
      <c r="G835" s="34"/>
      <c r="H835" s="34"/>
      <c r="I835" s="34"/>
      <c r="J835" s="34"/>
      <c r="K835" s="35"/>
      <c r="L835" s="34"/>
      <c r="M835" s="34"/>
      <c r="N835" s="34"/>
      <c r="O835" s="34"/>
      <c r="P835" s="34"/>
    </row>
    <row r="836" spans="2:16" x14ac:dyDescent="0.3">
      <c r="B836" s="33"/>
      <c r="C836" s="34"/>
      <c r="D836" s="34"/>
      <c r="E836" s="34"/>
      <c r="F836" s="34"/>
      <c r="G836" s="34"/>
      <c r="H836" s="34"/>
      <c r="I836" s="34"/>
      <c r="J836" s="34"/>
      <c r="K836" s="35"/>
      <c r="L836" s="34"/>
      <c r="M836" s="34"/>
      <c r="N836" s="34"/>
      <c r="O836" s="34"/>
      <c r="P836" s="34"/>
    </row>
    <row r="837" spans="2:16" x14ac:dyDescent="0.3">
      <c r="B837" s="33"/>
      <c r="C837" s="34"/>
      <c r="D837" s="34"/>
      <c r="E837" s="34"/>
      <c r="F837" s="34"/>
      <c r="G837" s="34"/>
      <c r="H837" s="34"/>
      <c r="I837" s="34"/>
      <c r="J837" s="34"/>
      <c r="K837" s="35"/>
      <c r="L837" s="34"/>
      <c r="M837" s="34"/>
      <c r="N837" s="34"/>
      <c r="O837" s="34"/>
      <c r="P837" s="34"/>
    </row>
    <row r="838" spans="2:16" x14ac:dyDescent="0.3">
      <c r="B838" s="33"/>
      <c r="C838" s="34"/>
      <c r="D838" s="34"/>
      <c r="E838" s="34"/>
      <c r="F838" s="34"/>
      <c r="G838" s="34"/>
      <c r="H838" s="34"/>
      <c r="I838" s="34"/>
      <c r="J838" s="34"/>
      <c r="K838" s="35"/>
      <c r="L838" s="34"/>
      <c r="M838" s="34"/>
      <c r="N838" s="34"/>
      <c r="O838" s="34"/>
      <c r="P838" s="34"/>
    </row>
    <row r="839" spans="2:16" x14ac:dyDescent="0.3">
      <c r="K839" s="40"/>
    </row>
    <row r="840" spans="2:16" x14ac:dyDescent="0.3">
      <c r="K840" s="40"/>
    </row>
    <row r="841" spans="2:16" x14ac:dyDescent="0.3">
      <c r="K841" s="40"/>
    </row>
    <row r="842" spans="2:16" x14ac:dyDescent="0.3">
      <c r="K842" s="40"/>
    </row>
    <row r="843" spans="2:16" x14ac:dyDescent="0.3">
      <c r="K843" s="40"/>
    </row>
    <row r="844" spans="2:16" x14ac:dyDescent="0.3">
      <c r="K844" s="40"/>
    </row>
    <row r="845" spans="2:16" x14ac:dyDescent="0.3">
      <c r="K845" s="40"/>
    </row>
    <row r="846" spans="2:16" x14ac:dyDescent="0.3">
      <c r="K846" s="40"/>
    </row>
    <row r="847" spans="2:16" x14ac:dyDescent="0.3">
      <c r="K847" s="40"/>
    </row>
    <row r="848" spans="2:16"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row r="1162" spans="11:11" x14ac:dyDescent="0.3">
      <c r="K1162" s="40"/>
    </row>
    <row r="1163" spans="11:11" x14ac:dyDescent="0.3">
      <c r="K1163" s="40"/>
    </row>
    <row r="1164" spans="11:11" x14ac:dyDescent="0.3">
      <c r="K1164" s="40"/>
    </row>
    <row r="1165" spans="11:11" x14ac:dyDescent="0.3">
      <c r="K1165" s="40"/>
    </row>
    <row r="1166" spans="11:11" x14ac:dyDescent="0.3">
      <c r="K1166" s="40"/>
    </row>
    <row r="1167" spans="11:11" x14ac:dyDescent="0.3">
      <c r="K1167" s="40"/>
    </row>
    <row r="1168" spans="11:11" x14ac:dyDescent="0.3">
      <c r="K1168" s="40"/>
    </row>
    <row r="1169" spans="11:11" x14ac:dyDescent="0.3">
      <c r="K1169" s="40"/>
    </row>
    <row r="1170" spans="11:11" x14ac:dyDescent="0.3">
      <c r="K1170" s="40"/>
    </row>
    <row r="1171" spans="11:11" x14ac:dyDescent="0.3">
      <c r="K1171" s="40"/>
    </row>
    <row r="1172" spans="11:11" x14ac:dyDescent="0.3">
      <c r="K1172" s="40"/>
    </row>
    <row r="1173" spans="11:11" x14ac:dyDescent="0.3">
      <c r="K1173" s="40"/>
    </row>
    <row r="1174" spans="11:11" x14ac:dyDescent="0.3">
      <c r="K1174" s="40"/>
    </row>
    <row r="1175" spans="11:11" x14ac:dyDescent="0.3">
      <c r="K1175" s="40"/>
    </row>
    <row r="1176" spans="11:11" x14ac:dyDescent="0.3">
      <c r="K1176" s="40"/>
    </row>
    <row r="1177" spans="11:11" x14ac:dyDescent="0.3">
      <c r="K1177" s="40"/>
    </row>
    <row r="1178" spans="11:11" x14ac:dyDescent="0.3">
      <c r="K1178" s="40"/>
    </row>
    <row r="1179" spans="11:11" x14ac:dyDescent="0.3">
      <c r="K1179" s="40"/>
    </row>
    <row r="1180" spans="11:11" x14ac:dyDescent="0.3">
      <c r="K1180" s="40"/>
    </row>
    <row r="1181" spans="11:11" x14ac:dyDescent="0.3">
      <c r="K1181" s="40"/>
    </row>
    <row r="1182" spans="11:11" x14ac:dyDescent="0.3">
      <c r="K1182" s="40"/>
    </row>
    <row r="1183" spans="11:11" x14ac:dyDescent="0.3">
      <c r="K1183" s="40"/>
    </row>
    <row r="1184" spans="11:11" x14ac:dyDescent="0.3">
      <c r="K1184" s="40"/>
    </row>
    <row r="1185" spans="11:11" x14ac:dyDescent="0.3">
      <c r="K1185" s="40"/>
    </row>
    <row r="1186" spans="11:11" x14ac:dyDescent="0.3">
      <c r="K1186" s="40"/>
    </row>
    <row r="1187" spans="11:11" x14ac:dyDescent="0.3">
      <c r="K1187" s="40"/>
    </row>
    <row r="1188" spans="11:11" x14ac:dyDescent="0.3">
      <c r="K1188" s="40"/>
    </row>
    <row r="1189" spans="11:11" x14ac:dyDescent="0.3">
      <c r="K1189" s="40"/>
    </row>
    <row r="1190" spans="11:11" x14ac:dyDescent="0.3">
      <c r="K1190" s="40"/>
    </row>
    <row r="1191" spans="11:11" x14ac:dyDescent="0.3">
      <c r="K1191" s="40"/>
    </row>
    <row r="1192" spans="11:11" x14ac:dyDescent="0.3">
      <c r="K1192" s="40"/>
    </row>
    <row r="1193" spans="11:11" x14ac:dyDescent="0.3">
      <c r="K1193" s="40"/>
    </row>
    <row r="1194" spans="11:11" x14ac:dyDescent="0.3">
      <c r="K1194" s="40"/>
    </row>
    <row r="1195" spans="11:11" x14ac:dyDescent="0.3">
      <c r="K1195" s="40"/>
    </row>
    <row r="1196" spans="11:11" x14ac:dyDescent="0.3">
      <c r="K1196" s="40"/>
    </row>
    <row r="1197" spans="11:11" x14ac:dyDescent="0.3">
      <c r="K1197" s="40"/>
    </row>
    <row r="1198" spans="11:11" x14ac:dyDescent="0.3">
      <c r="K1198" s="40"/>
    </row>
    <row r="1199" spans="11:11" x14ac:dyDescent="0.3">
      <c r="K1199" s="40"/>
    </row>
    <row r="1200" spans="11:11" x14ac:dyDescent="0.3">
      <c r="K1200" s="40"/>
    </row>
    <row r="1201" spans="11:11" x14ac:dyDescent="0.3">
      <c r="K1201" s="40"/>
    </row>
    <row r="1202" spans="11:11" x14ac:dyDescent="0.3">
      <c r="K1202" s="40"/>
    </row>
    <row r="1203" spans="11:11" x14ac:dyDescent="0.3">
      <c r="K1203" s="40"/>
    </row>
    <row r="1204" spans="11:11" x14ac:dyDescent="0.3">
      <c r="K1204" s="40"/>
    </row>
    <row r="1205" spans="11:11" x14ac:dyDescent="0.3">
      <c r="K1205" s="40"/>
    </row>
    <row r="1206" spans="11:11" x14ac:dyDescent="0.3">
      <c r="K1206" s="40"/>
    </row>
    <row r="1207" spans="11:11" x14ac:dyDescent="0.3">
      <c r="K1207" s="40"/>
    </row>
    <row r="1208" spans="11:11" x14ac:dyDescent="0.3">
      <c r="K1208" s="40"/>
    </row>
    <row r="1209" spans="11:11" x14ac:dyDescent="0.3">
      <c r="K1209" s="40"/>
    </row>
    <row r="1210" spans="11:11" x14ac:dyDescent="0.3">
      <c r="K1210" s="40"/>
    </row>
    <row r="1211" spans="11:11" x14ac:dyDescent="0.3">
      <c r="K1211" s="40"/>
    </row>
    <row r="1212" spans="11:11" x14ac:dyDescent="0.3">
      <c r="K1212" s="40"/>
    </row>
    <row r="1213" spans="11:11" x14ac:dyDescent="0.3">
      <c r="K1213" s="40"/>
    </row>
    <row r="1214" spans="11:11" x14ac:dyDescent="0.3">
      <c r="K1214" s="40"/>
    </row>
    <row r="1215" spans="11:11" x14ac:dyDescent="0.3">
      <c r="K1215" s="40"/>
    </row>
    <row r="1216" spans="11:11" x14ac:dyDescent="0.3">
      <c r="K1216" s="40"/>
    </row>
    <row r="1217" spans="11:11" x14ac:dyDescent="0.3">
      <c r="K1217" s="40"/>
    </row>
    <row r="1218" spans="11:11" x14ac:dyDescent="0.3">
      <c r="K1218" s="40"/>
    </row>
    <row r="1219" spans="11:11" x14ac:dyDescent="0.3">
      <c r="K1219" s="40"/>
    </row>
    <row r="1220" spans="11:11" x14ac:dyDescent="0.3">
      <c r="K1220" s="40"/>
    </row>
    <row r="1221" spans="11:11" x14ac:dyDescent="0.3">
      <c r="K1221" s="40"/>
    </row>
  </sheetData>
  <phoneticPr fontId="0" type="noConversion"/>
  <pageMargins left="0.75" right="0.75" top="1" bottom="1" header="0.5" footer="0.5"/>
  <headerFooter alignWithMargins="0"/>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633"/>
  <sheetViews>
    <sheetView workbookViewId="0">
      <pane ySplit="8" topLeftCell="A88" activePane="bottomLeft" state="frozen"/>
      <selection pane="bottomLeft" activeCell="D104" sqref="D104"/>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1" width="11.6328125" style="17" customWidth="1"/>
    <col min="12" max="19" width="9.08984375" style="17"/>
    <col min="20" max="20" width="24.90625" style="17" customWidth="1"/>
    <col min="21" max="27" width="9.08984375" style="17"/>
    <col min="28" max="28" width="8.453125" style="17" customWidth="1"/>
    <col min="29" max="29" width="9.08984375" style="17"/>
    <col min="30" max="32" width="9.90625" style="17" bestFit="1" customWidth="1"/>
    <col min="33" max="16384" width="9.08984375" style="17"/>
  </cols>
  <sheetData>
    <row r="1" spans="1:19" x14ac:dyDescent="0.3">
      <c r="A1" s="61" t="s">
        <v>146</v>
      </c>
      <c r="B1" s="17" t="str">
        <f>model</f>
        <v>ME Grain &amp; Pulse</v>
      </c>
      <c r="E1" s="55" t="s">
        <v>106</v>
      </c>
      <c r="F1" s="55" t="s">
        <v>182</v>
      </c>
      <c r="G1" s="55" t="s">
        <v>108</v>
      </c>
    </row>
    <row r="2" spans="1:19" x14ac:dyDescent="0.3">
      <c r="E2" s="55" t="s">
        <v>104</v>
      </c>
      <c r="F2" s="26">
        <f>Data!B132</f>
        <v>282.5</v>
      </c>
      <c r="G2" s="24">
        <f>F2/$F$4</f>
        <v>0.93339060331725365</v>
      </c>
    </row>
    <row r="3" spans="1:19" x14ac:dyDescent="0.3">
      <c r="E3" s="55" t="s">
        <v>105</v>
      </c>
      <c r="F3" s="76">
        <f>(Data!B180*48)/100</f>
        <v>20.16</v>
      </c>
      <c r="G3" s="57">
        <f>F3/$F$4</f>
        <v>6.6609396682746305E-2</v>
      </c>
    </row>
    <row r="4" spans="1:19" x14ac:dyDescent="0.3">
      <c r="F4" s="26">
        <f>SUM(F2:F3)</f>
        <v>302.66000000000003</v>
      </c>
      <c r="G4" s="24">
        <f>SUM(G2:G3)</f>
        <v>1</v>
      </c>
    </row>
    <row r="5" spans="1:19" x14ac:dyDescent="0.3">
      <c r="A5" s="7" t="s">
        <v>100</v>
      </c>
      <c r="B5" s="8" t="s">
        <v>92</v>
      </c>
      <c r="C5" s="65">
        <f>potato</f>
        <v>0</v>
      </c>
      <c r="D5" s="4" t="s">
        <v>93</v>
      </c>
    </row>
    <row r="6" spans="1:19" x14ac:dyDescent="0.3">
      <c r="F6" s="24">
        <f>5/4</f>
        <v>1.25</v>
      </c>
      <c r="G6" s="17" t="s">
        <v>194</v>
      </c>
    </row>
    <row r="7" spans="1:19" ht="13.5" x14ac:dyDescent="0.35">
      <c r="A7" s="5" t="s">
        <v>0</v>
      </c>
    </row>
    <row r="8" spans="1:19" s="27" customFormat="1" ht="26" x14ac:dyDescent="0.3">
      <c r="A8" s="41"/>
      <c r="B8" s="391" t="s">
        <v>919</v>
      </c>
      <c r="C8" s="42" t="s">
        <v>21</v>
      </c>
      <c r="D8" s="42" t="s">
        <v>22</v>
      </c>
      <c r="E8" s="227" t="s">
        <v>900</v>
      </c>
      <c r="F8" s="42" t="s">
        <v>23</v>
      </c>
      <c r="G8" s="42" t="s">
        <v>24</v>
      </c>
      <c r="H8" s="42" t="s">
        <v>65</v>
      </c>
    </row>
    <row r="9" spans="1:19" x14ac:dyDescent="0.3">
      <c r="A9" s="10"/>
      <c r="B9" s="10"/>
      <c r="C9" s="43"/>
      <c r="D9" s="43"/>
      <c r="E9" s="43"/>
      <c r="F9" s="44"/>
      <c r="G9" s="44"/>
      <c r="H9" s="44"/>
      <c r="J9" s="45" t="s">
        <v>244</v>
      </c>
    </row>
    <row r="10" spans="1:19" x14ac:dyDescent="0.3">
      <c r="A10" s="3" t="s">
        <v>13</v>
      </c>
      <c r="B10" s="3"/>
    </row>
    <row r="11" spans="1:19" x14ac:dyDescent="0.3">
      <c r="A11" s="6" t="s">
        <v>25</v>
      </c>
      <c r="B11" s="397">
        <v>1</v>
      </c>
      <c r="C11" s="282">
        <f>N14</f>
        <v>20.937417964165224</v>
      </c>
      <c r="D11" s="34" t="s">
        <v>111</v>
      </c>
      <c r="E11" s="226">
        <f>C11*potato</f>
        <v>0</v>
      </c>
      <c r="F11" s="283">
        <v>13.5666666666667</v>
      </c>
      <c r="G11" s="114">
        <f>C11*F11</f>
        <v>284.05097038050889</v>
      </c>
      <c r="H11" s="110">
        <f>B11*G11*potato</f>
        <v>0</v>
      </c>
      <c r="K11" s="41" t="s">
        <v>413</v>
      </c>
      <c r="L11" s="41" t="s">
        <v>108</v>
      </c>
      <c r="M11" s="41" t="s">
        <v>414</v>
      </c>
      <c r="N11" s="41" t="s">
        <v>419</v>
      </c>
    </row>
    <row r="12" spans="1:19" x14ac:dyDescent="0.3">
      <c r="A12" s="6" t="s">
        <v>5</v>
      </c>
      <c r="B12" s="397">
        <v>1</v>
      </c>
      <c r="C12" s="46">
        <v>13.2</v>
      </c>
      <c r="D12" s="34" t="s">
        <v>112</v>
      </c>
      <c r="E12" s="226">
        <f>C12*potato</f>
        <v>0</v>
      </c>
      <c r="F12" s="283">
        <f>1.5+(1.5*Data!$L$275)</f>
        <v>2.7602827330865032</v>
      </c>
      <c r="G12" s="114">
        <f>C12*F12</f>
        <v>36.435732076741843</v>
      </c>
      <c r="H12" s="110">
        <f>B12*G12*potato</f>
        <v>0</v>
      </c>
      <c r="I12" s="108">
        <f>SUM(H11:H12)</f>
        <v>0</v>
      </c>
      <c r="J12" s="55" t="s">
        <v>415</v>
      </c>
      <c r="K12" s="54">
        <v>6670000</v>
      </c>
      <c r="L12" s="143">
        <f>K12/$K$14</f>
        <v>0.81251640716695506</v>
      </c>
      <c r="M12" s="144">
        <v>8</v>
      </c>
      <c r="N12" s="17">
        <f>20</f>
        <v>20</v>
      </c>
    </row>
    <row r="13" spans="1:19" x14ac:dyDescent="0.3">
      <c r="A13" s="3" t="s">
        <v>1</v>
      </c>
      <c r="B13" s="3"/>
      <c r="C13" s="46"/>
      <c r="D13" s="34"/>
      <c r="E13" s="34"/>
      <c r="F13" s="104"/>
      <c r="G13" s="114"/>
      <c r="H13" s="110"/>
      <c r="J13" s="55" t="s">
        <v>417</v>
      </c>
      <c r="K13" s="71">
        <v>1539065</v>
      </c>
      <c r="L13" s="57">
        <f>K13/$K$14</f>
        <v>0.18748359283304494</v>
      </c>
      <c r="M13" s="150">
        <v>8.5500000000000007</v>
      </c>
      <c r="N13" s="27">
        <f>25</f>
        <v>25</v>
      </c>
    </row>
    <row r="14" spans="1:19" x14ac:dyDescent="0.3">
      <c r="A14" s="6" t="s">
        <v>248</v>
      </c>
      <c r="B14" s="397">
        <v>1</v>
      </c>
      <c r="C14" s="278">
        <f>IF(Data!G128=1, 1150/2000, 450/2000)</f>
        <v>0.57499999999999996</v>
      </c>
      <c r="D14" s="34" t="s">
        <v>26</v>
      </c>
      <c r="E14" s="226">
        <f>C14*potato</f>
        <v>0</v>
      </c>
      <c r="F14" s="608">
        <v>575</v>
      </c>
      <c r="G14" s="114">
        <f>C14*F14</f>
        <v>330.625</v>
      </c>
      <c r="H14" s="110">
        <f>B14*G14*potato</f>
        <v>0</v>
      </c>
      <c r="K14" s="145">
        <f>SUM(K12:K13)</f>
        <v>8209065</v>
      </c>
      <c r="L14" s="81">
        <f>SUM(L12:L13)</f>
        <v>1</v>
      </c>
      <c r="M14" s="256">
        <f>SUMPRODUCT($L$12:$L$13,M12:M13)</f>
        <v>8.1031159760581755</v>
      </c>
      <c r="N14" s="261">
        <f>SUMPRODUCT($L$12:$L$13,N12:N13)</f>
        <v>20.937417964165224</v>
      </c>
      <c r="O14" s="23"/>
      <c r="P14" s="74"/>
    </row>
    <row r="15" spans="1:19" x14ac:dyDescent="0.3">
      <c r="A15" s="6" t="s">
        <v>249</v>
      </c>
      <c r="B15" s="397">
        <v>1</v>
      </c>
      <c r="C15" s="278">
        <f>126/2000</f>
        <v>6.3E-2</v>
      </c>
      <c r="D15" s="34" t="s">
        <v>26</v>
      </c>
      <c r="E15" s="226">
        <f>C15*potato</f>
        <v>0</v>
      </c>
      <c r="F15" s="608">
        <v>600</v>
      </c>
      <c r="G15" s="114">
        <f>C15*F15</f>
        <v>37.799999999999997</v>
      </c>
      <c r="H15" s="110">
        <f>B15*G15*potato</f>
        <v>0</v>
      </c>
      <c r="J15" s="23"/>
      <c r="K15" s="23"/>
      <c r="O15" s="23"/>
      <c r="P15" s="74"/>
    </row>
    <row r="16" spans="1:19" x14ac:dyDescent="0.3">
      <c r="A16" s="9" t="s">
        <v>86</v>
      </c>
      <c r="B16" s="397">
        <v>1</v>
      </c>
      <c r="C16" s="83">
        <f>0</f>
        <v>0</v>
      </c>
      <c r="D16" s="48" t="s">
        <v>26</v>
      </c>
      <c r="E16" s="48">
        <f>C16*potato</f>
        <v>0</v>
      </c>
      <c r="F16" s="122">
        <f>230+(230*Data!$F$81)</f>
        <v>440</v>
      </c>
      <c r="G16" s="123">
        <f>C16*F16</f>
        <v>0</v>
      </c>
      <c r="H16" s="123">
        <f>B16*G16*potato</f>
        <v>0</v>
      </c>
      <c r="I16" s="108">
        <f>SUM(H14:H16)</f>
        <v>0</v>
      </c>
      <c r="J16" s="45" t="s">
        <v>85</v>
      </c>
      <c r="Q16" s="55" t="s">
        <v>245</v>
      </c>
      <c r="R16" s="55" t="s">
        <v>246</v>
      </c>
      <c r="S16" s="55" t="s">
        <v>235</v>
      </c>
    </row>
    <row r="17" spans="1:19" x14ac:dyDescent="0.3">
      <c r="A17" s="6" t="s">
        <v>2</v>
      </c>
      <c r="B17" s="397">
        <v>1</v>
      </c>
      <c r="C17" s="369">
        <f>limeapp</f>
        <v>0.2</v>
      </c>
      <c r="D17" s="34" t="s">
        <v>26</v>
      </c>
      <c r="E17" s="226">
        <f>C17*potato</f>
        <v>0</v>
      </c>
      <c r="F17" s="109">
        <f>lime</f>
        <v>38.260869565217391</v>
      </c>
      <c r="G17" s="114">
        <f>C17*F17</f>
        <v>7.6521739130434785</v>
      </c>
      <c r="H17" s="110">
        <f>B17*G17*potato</f>
        <v>0</v>
      </c>
      <c r="J17" s="45" t="s">
        <v>87</v>
      </c>
      <c r="Q17" s="64">
        <f>49/267</f>
        <v>0.18352059925093633</v>
      </c>
      <c r="R17" s="68">
        <v>60</v>
      </c>
      <c r="S17" s="80">
        <f>60/2000</f>
        <v>0.03</v>
      </c>
    </row>
    <row r="18" spans="1:19" x14ac:dyDescent="0.3">
      <c r="A18" s="3" t="s">
        <v>1476</v>
      </c>
      <c r="B18" s="3"/>
      <c r="C18" s="46"/>
      <c r="D18" s="34"/>
      <c r="E18" s="34"/>
      <c r="F18" s="104"/>
      <c r="G18" s="114"/>
      <c r="H18" s="110"/>
      <c r="Q18" s="64">
        <f>0.01</f>
        <v>0.01</v>
      </c>
      <c r="R18" s="68">
        <f>(Q18*R17)/Q17</f>
        <v>3.2693877551020405</v>
      </c>
      <c r="S18" s="80">
        <f>(Q18*S17)/Q17</f>
        <v>1.6346938775510201E-3</v>
      </c>
    </row>
    <row r="19" spans="1:19" x14ac:dyDescent="0.3">
      <c r="A19" s="6" t="s">
        <v>17</v>
      </c>
      <c r="B19" s="6"/>
      <c r="C19" s="46"/>
      <c r="D19" s="34"/>
      <c r="E19" s="34"/>
      <c r="F19" s="104"/>
      <c r="G19" s="114"/>
      <c r="H19" s="110"/>
    </row>
    <row r="20" spans="1:19" x14ac:dyDescent="0.3">
      <c r="A20" s="6" t="s">
        <v>387</v>
      </c>
      <c r="B20" s="397">
        <v>1</v>
      </c>
      <c r="C20" s="278">
        <f>0.75+0.33</f>
        <v>1.08</v>
      </c>
      <c r="D20" s="34" t="s">
        <v>112</v>
      </c>
      <c r="E20" s="226">
        <f>C20*potato</f>
        <v>0</v>
      </c>
      <c r="F20" s="283">
        <f>17+(17*Data!$L$275)</f>
        <v>31.283204308313703</v>
      </c>
      <c r="G20" s="114">
        <f>C20*F20</f>
        <v>33.785860652978805</v>
      </c>
      <c r="H20" s="110">
        <f>B20*G20*potato</f>
        <v>0</v>
      </c>
    </row>
    <row r="21" spans="1:19" x14ac:dyDescent="0.3">
      <c r="A21" s="6" t="s">
        <v>388</v>
      </c>
      <c r="B21" s="397">
        <v>1</v>
      </c>
      <c r="C21" s="278">
        <v>1.25</v>
      </c>
      <c r="D21" s="34" t="s">
        <v>195</v>
      </c>
      <c r="E21" s="226">
        <f>C21*potato</f>
        <v>0</v>
      </c>
      <c r="F21" s="283">
        <f>12+(12*Data!$L$275)</f>
        <v>22.082261864692025</v>
      </c>
      <c r="G21" s="114">
        <f>C21*F21</f>
        <v>27.602827330865033</v>
      </c>
      <c r="H21" s="110">
        <f>B21*G21*potato</f>
        <v>0</v>
      </c>
      <c r="I21" s="108">
        <f>SUM(H20:H21)</f>
        <v>0</v>
      </c>
    </row>
    <row r="22" spans="1:19" ht="12.75" customHeight="1" x14ac:dyDescent="0.3">
      <c r="A22" s="6" t="s">
        <v>15</v>
      </c>
      <c r="B22" s="6"/>
      <c r="C22" s="46"/>
      <c r="D22" s="34"/>
      <c r="E22" s="34"/>
      <c r="F22" s="104"/>
      <c r="G22" s="114"/>
      <c r="H22" s="110"/>
      <c r="I22" s="108"/>
    </row>
    <row r="23" spans="1:19" x14ac:dyDescent="0.3">
      <c r="A23" s="6" t="s">
        <v>389</v>
      </c>
      <c r="B23" s="397">
        <v>1</v>
      </c>
      <c r="C23" s="278">
        <v>6.2</v>
      </c>
      <c r="D23" s="34" t="s">
        <v>114</v>
      </c>
      <c r="E23" s="226">
        <f>C23*potato</f>
        <v>0</v>
      </c>
      <c r="F23" s="283">
        <f>5.71+(5.71*Data!$L$275)</f>
        <v>10.507476270615957</v>
      </c>
      <c r="G23" s="114">
        <f>C23*F23</f>
        <v>65.146352877818927</v>
      </c>
      <c r="H23" s="110">
        <f>B23*G23*potato</f>
        <v>0</v>
      </c>
      <c r="I23" s="108"/>
    </row>
    <row r="24" spans="1:19" x14ac:dyDescent="0.3">
      <c r="A24" s="284" t="s">
        <v>420</v>
      </c>
      <c r="B24" s="397">
        <v>1</v>
      </c>
      <c r="C24" s="278">
        <f>8*1.13*(13/8)</f>
        <v>14.689999999999998</v>
      </c>
      <c r="D24" s="34" t="s">
        <v>112</v>
      </c>
      <c r="E24" s="226">
        <f>C24*potato</f>
        <v>0</v>
      </c>
      <c r="F24" s="283">
        <f>2.4+(2.4*Data!$L$275)</f>
        <v>4.4164523729384051</v>
      </c>
      <c r="G24" s="114">
        <f>C24*F24</f>
        <v>64.877685358465158</v>
      </c>
      <c r="H24" s="110">
        <f>B24*G24*potato</f>
        <v>0</v>
      </c>
      <c r="I24" s="108"/>
    </row>
    <row r="25" spans="1:19" x14ac:dyDescent="0.3">
      <c r="A25" s="6" t="s">
        <v>390</v>
      </c>
      <c r="B25" s="397">
        <v>1</v>
      </c>
      <c r="C25" s="278">
        <f>2*3.2</f>
        <v>6.4</v>
      </c>
      <c r="D25" s="34" t="s">
        <v>114</v>
      </c>
      <c r="E25" s="226">
        <f>C25*potato</f>
        <v>0</v>
      </c>
      <c r="F25" s="283">
        <f>1.34+(1.34*Data!$L$275)</f>
        <v>2.4658525748906097</v>
      </c>
      <c r="G25" s="114">
        <f>C25*F25</f>
        <v>15.781456479299903</v>
      </c>
      <c r="H25" s="110">
        <f>B25*G25*potato</f>
        <v>0</v>
      </c>
      <c r="I25" s="108">
        <f>SUM(H23:H25)</f>
        <v>0</v>
      </c>
    </row>
    <row r="26" spans="1:19" x14ac:dyDescent="0.3">
      <c r="A26" s="6" t="s">
        <v>16</v>
      </c>
      <c r="B26" s="6"/>
      <c r="C26" s="46"/>
      <c r="D26" s="34"/>
      <c r="E26" s="34"/>
      <c r="F26" s="104"/>
      <c r="G26" s="114"/>
      <c r="H26" s="110"/>
      <c r="I26" s="108"/>
    </row>
    <row r="27" spans="1:19" x14ac:dyDescent="0.3">
      <c r="A27" s="6" t="s">
        <v>165</v>
      </c>
      <c r="B27" s="397">
        <v>1</v>
      </c>
      <c r="C27" s="278">
        <v>6.2</v>
      </c>
      <c r="D27" s="34" t="s">
        <v>166</v>
      </c>
      <c r="E27" s="226">
        <f>C27*potato</f>
        <v>0</v>
      </c>
      <c r="F27" s="283">
        <f>5.7+(5.7*Data!$L$275)</f>
        <v>10.489074385728713</v>
      </c>
      <c r="G27" s="114">
        <f>C27*F27</f>
        <v>65.032261191518032</v>
      </c>
      <c r="H27" s="110">
        <f>B27*G27*potato</f>
        <v>0</v>
      </c>
      <c r="I27" s="108"/>
    </row>
    <row r="28" spans="1:19" x14ac:dyDescent="0.3">
      <c r="A28" s="6" t="s">
        <v>120</v>
      </c>
      <c r="B28" s="397">
        <v>1</v>
      </c>
      <c r="C28" s="278">
        <v>6</v>
      </c>
      <c r="D28" s="34" t="s">
        <v>114</v>
      </c>
      <c r="E28" s="226">
        <f>C28*potato</f>
        <v>0</v>
      </c>
      <c r="F28" s="283">
        <f>1.1+(1.1*Data!$L$275)</f>
        <v>2.0242073375967693</v>
      </c>
      <c r="G28" s="114">
        <f>C28*F28</f>
        <v>12.145244025580617</v>
      </c>
      <c r="H28" s="110">
        <f>B28*G28*potato</f>
        <v>0</v>
      </c>
      <c r="I28" s="108">
        <f>SUM(H27:H28)</f>
        <v>0</v>
      </c>
    </row>
    <row r="29" spans="1:19" x14ac:dyDescent="0.3">
      <c r="A29" s="6" t="s">
        <v>18</v>
      </c>
      <c r="B29" s="6"/>
      <c r="C29" s="46"/>
      <c r="D29" s="34"/>
      <c r="E29" s="34"/>
      <c r="F29" s="104"/>
      <c r="G29" s="114"/>
      <c r="H29" s="110"/>
      <c r="I29" s="108"/>
    </row>
    <row r="30" spans="1:19" x14ac:dyDescent="0.3">
      <c r="A30" s="6" t="s">
        <v>27</v>
      </c>
      <c r="B30" s="397">
        <v>1</v>
      </c>
      <c r="C30" s="278">
        <v>2</v>
      </c>
      <c r="D30" s="34" t="s">
        <v>113</v>
      </c>
      <c r="E30" s="226">
        <f>C30*potato</f>
        <v>0</v>
      </c>
      <c r="F30" s="283">
        <f>10.75+(10.75*Data!$L$275)</f>
        <v>19.782026253786604</v>
      </c>
      <c r="G30" s="114">
        <f>C30*F30</f>
        <v>39.564052507573209</v>
      </c>
      <c r="H30" s="110">
        <f>B30*G30*potato</f>
        <v>0</v>
      </c>
      <c r="I30" s="108">
        <f>SUM(H29:H30)</f>
        <v>0</v>
      </c>
    </row>
    <row r="31" spans="1:19" x14ac:dyDescent="0.3">
      <c r="A31" s="6" t="s">
        <v>1114</v>
      </c>
      <c r="B31" s="6"/>
      <c r="C31" s="46"/>
      <c r="D31" s="34"/>
      <c r="E31" s="34"/>
      <c r="F31" s="104"/>
      <c r="G31" s="114"/>
      <c r="H31" s="110"/>
      <c r="I31" s="108"/>
    </row>
    <row r="32" spans="1:19" x14ac:dyDescent="0.3">
      <c r="A32" s="6" t="s">
        <v>1116</v>
      </c>
      <c r="B32" s="397">
        <v>1</v>
      </c>
      <c r="C32" s="359">
        <v>3.8726667183022201E-3</v>
      </c>
      <c r="D32" s="34" t="s">
        <v>119</v>
      </c>
      <c r="E32" s="226">
        <f>C32*potato</f>
        <v>0</v>
      </c>
      <c r="F32" s="283">
        <v>45</v>
      </c>
      <c r="G32" s="114">
        <f>C32*F32</f>
        <v>0.1742700023235999</v>
      </c>
      <c r="H32" s="110">
        <f>B32*G32*potato</f>
        <v>0</v>
      </c>
      <c r="I32" s="108"/>
    </row>
    <row r="33" spans="1:28" x14ac:dyDescent="0.3">
      <c r="A33" s="6" t="s">
        <v>1117</v>
      </c>
      <c r="B33" s="397">
        <v>1</v>
      </c>
      <c r="C33" s="278">
        <v>7.6530612244898003E-2</v>
      </c>
      <c r="D33" s="34" t="s">
        <v>119</v>
      </c>
      <c r="E33" s="226">
        <f>C33*potato</f>
        <v>0</v>
      </c>
      <c r="F33" s="283">
        <v>714</v>
      </c>
      <c r="G33" s="114">
        <f>C33*F33</f>
        <v>54.642857142857174</v>
      </c>
      <c r="H33" s="110">
        <f>B33*G33*potato</f>
        <v>0</v>
      </c>
      <c r="I33" s="108"/>
    </row>
    <row r="34" spans="1:28" x14ac:dyDescent="0.3">
      <c r="A34" s="6" t="s">
        <v>1118</v>
      </c>
      <c r="B34" s="397">
        <v>1</v>
      </c>
      <c r="C34" s="278">
        <v>1.82215743440233E-2</v>
      </c>
      <c r="D34" s="34" t="s">
        <v>119</v>
      </c>
      <c r="E34" s="226">
        <f>C34*potato</f>
        <v>0</v>
      </c>
      <c r="F34" s="283">
        <v>249.5</v>
      </c>
      <c r="G34" s="114">
        <f>C34*F34</f>
        <v>4.546282798833813</v>
      </c>
      <c r="H34" s="110">
        <f>B34*G34*potato</f>
        <v>0</v>
      </c>
      <c r="I34" s="108">
        <f>SUM(H32:H34)</f>
        <v>0</v>
      </c>
    </row>
    <row r="35" spans="1:28" x14ac:dyDescent="0.3">
      <c r="A35" s="6" t="s">
        <v>1115</v>
      </c>
      <c r="B35" s="6"/>
      <c r="C35" s="46"/>
      <c r="D35" s="34"/>
      <c r="E35" s="34"/>
      <c r="F35" s="104"/>
      <c r="G35" s="114"/>
      <c r="H35" s="110"/>
    </row>
    <row r="36" spans="1:28" x14ac:dyDescent="0.3">
      <c r="A36" s="6" t="s">
        <v>118</v>
      </c>
      <c r="B36" s="397">
        <v>1</v>
      </c>
      <c r="C36" s="278">
        <v>1</v>
      </c>
      <c r="D36" s="34" t="s">
        <v>119</v>
      </c>
      <c r="E36" s="226">
        <f>C36*potato</f>
        <v>0</v>
      </c>
      <c r="F36" s="283">
        <f>15+(15*Data!$L$275)</f>
        <v>27.602827330865033</v>
      </c>
      <c r="G36" s="114">
        <f>C36*F36</f>
        <v>27.602827330865033</v>
      </c>
      <c r="H36" s="110">
        <f>B36*G36*potato</f>
        <v>0</v>
      </c>
      <c r="I36" s="108">
        <f>SUM(H35:H36)</f>
        <v>0</v>
      </c>
      <c r="J36" s="108">
        <f>SUM(H19:H36)</f>
        <v>0</v>
      </c>
      <c r="K36" s="108"/>
      <c r="T36" s="6"/>
      <c r="U36" s="46"/>
      <c r="V36" s="34"/>
      <c r="W36" s="104"/>
      <c r="X36" s="114"/>
      <c r="Y36" s="110"/>
      <c r="Z36" s="108"/>
      <c r="AA36" s="108"/>
      <c r="AB36" s="108"/>
    </row>
    <row r="37" spans="1:28" x14ac:dyDescent="0.3">
      <c r="A37" s="3" t="s">
        <v>14</v>
      </c>
      <c r="B37" s="3"/>
      <c r="C37" s="46"/>
      <c r="D37" s="34"/>
      <c r="E37" s="34"/>
      <c r="F37" s="104"/>
      <c r="G37" s="114"/>
      <c r="H37" s="110"/>
    </row>
    <row r="38" spans="1:28" x14ac:dyDescent="0.3">
      <c r="A38" s="22" t="s">
        <v>299</v>
      </c>
      <c r="B38" s="22"/>
      <c r="C38" s="46"/>
      <c r="D38" s="34"/>
      <c r="E38" s="34"/>
      <c r="F38" s="167"/>
      <c r="G38" s="114"/>
      <c r="H38" s="110"/>
    </row>
    <row r="39" spans="1:28" x14ac:dyDescent="0.3">
      <c r="A39" s="6" t="s">
        <v>1428</v>
      </c>
      <c r="B39" s="397">
        <v>1</v>
      </c>
      <c r="C39" s="156">
        <f>Data!H503</f>
        <v>0.25632748278140399</v>
      </c>
      <c r="D39" s="34" t="s">
        <v>115</v>
      </c>
      <c r="E39" s="226">
        <f t="shared" ref="E39:E58" si="0">C39*potato</f>
        <v>0</v>
      </c>
      <c r="F39" s="167">
        <f>_wage_</f>
        <v>12.29</v>
      </c>
      <c r="G39" s="114">
        <f t="shared" ref="G39:G53" si="1">C39*F39</f>
        <v>3.1502647633834551</v>
      </c>
      <c r="H39" s="110">
        <f t="shared" ref="H39:H58" si="2">B39*G39*potato</f>
        <v>0</v>
      </c>
    </row>
    <row r="40" spans="1:28" x14ac:dyDescent="0.3">
      <c r="A40" s="6" t="s">
        <v>485</v>
      </c>
      <c r="B40" s="397">
        <v>1</v>
      </c>
      <c r="C40" s="156">
        <f>Data!H504</f>
        <v>0.39334140580266497</v>
      </c>
      <c r="D40" s="34" t="s">
        <v>115</v>
      </c>
      <c r="E40" s="226">
        <f t="shared" si="0"/>
        <v>0</v>
      </c>
      <c r="F40" s="167">
        <f>_wage_</f>
        <v>12.29</v>
      </c>
      <c r="G40" s="114">
        <f t="shared" si="1"/>
        <v>4.834165877314752</v>
      </c>
      <c r="H40" s="110">
        <f t="shared" si="2"/>
        <v>0</v>
      </c>
    </row>
    <row r="41" spans="1:28" x14ac:dyDescent="0.3">
      <c r="A41" s="22" t="s">
        <v>300</v>
      </c>
      <c r="B41" s="397">
        <v>1</v>
      </c>
      <c r="C41" s="156">
        <f>Data!H505</f>
        <v>0.48</v>
      </c>
      <c r="D41" s="34" t="s">
        <v>115</v>
      </c>
      <c r="E41" s="226">
        <f t="shared" si="0"/>
        <v>0</v>
      </c>
      <c r="F41" s="167">
        <f>_wage_</f>
        <v>12.29</v>
      </c>
      <c r="G41" s="114">
        <f t="shared" si="1"/>
        <v>5.8991999999999996</v>
      </c>
      <c r="H41" s="110">
        <f t="shared" si="2"/>
        <v>0</v>
      </c>
      <c r="K41" s="73"/>
      <c r="L41" s="45"/>
    </row>
    <row r="42" spans="1:28" x14ac:dyDescent="0.3">
      <c r="A42" s="22" t="s">
        <v>581</v>
      </c>
      <c r="B42" s="397">
        <v>1</v>
      </c>
      <c r="C42" s="156">
        <f>Data!H506</f>
        <v>8.3333333333333329E-2</v>
      </c>
      <c r="D42" s="34" t="s">
        <v>115</v>
      </c>
      <c r="E42" s="226">
        <f t="shared" si="0"/>
        <v>0</v>
      </c>
      <c r="F42" s="167">
        <f t="shared" ref="F42:F58" si="3">_wage_</f>
        <v>12.29</v>
      </c>
      <c r="G42" s="114">
        <f t="shared" si="1"/>
        <v>1.0241666666666664</v>
      </c>
      <c r="H42" s="110">
        <f t="shared" si="2"/>
        <v>0</v>
      </c>
      <c r="I42" s="90"/>
      <c r="J42" s="91"/>
      <c r="K42" s="73"/>
      <c r="L42" s="45"/>
    </row>
    <row r="43" spans="1:28" x14ac:dyDescent="0.3">
      <c r="A43" s="22" t="s">
        <v>302</v>
      </c>
      <c r="B43" s="397">
        <v>1</v>
      </c>
      <c r="C43" s="156">
        <f>Data!H507</f>
        <v>0.2</v>
      </c>
      <c r="D43" s="34" t="s">
        <v>115</v>
      </c>
      <c r="E43" s="226">
        <f t="shared" si="0"/>
        <v>0</v>
      </c>
      <c r="F43" s="167">
        <f t="shared" si="3"/>
        <v>12.29</v>
      </c>
      <c r="G43" s="114">
        <f t="shared" si="1"/>
        <v>2.4580000000000002</v>
      </c>
      <c r="H43" s="110">
        <f t="shared" si="2"/>
        <v>0</v>
      </c>
      <c r="I43" s="90"/>
      <c r="J43" s="91"/>
      <c r="K43" s="73"/>
      <c r="L43" s="45"/>
    </row>
    <row r="44" spans="1:28" x14ac:dyDescent="0.3">
      <c r="A44" s="22" t="s">
        <v>303</v>
      </c>
      <c r="B44" s="397">
        <v>1</v>
      </c>
      <c r="C44" s="156">
        <f>Data!H508</f>
        <v>1.6500000000000001</v>
      </c>
      <c r="D44" s="34" t="s">
        <v>115</v>
      </c>
      <c r="E44" s="226">
        <f t="shared" si="0"/>
        <v>0</v>
      </c>
      <c r="F44" s="167">
        <f t="shared" si="3"/>
        <v>12.29</v>
      </c>
      <c r="G44" s="114">
        <f t="shared" si="1"/>
        <v>20.278500000000001</v>
      </c>
      <c r="H44" s="110">
        <f t="shared" si="2"/>
        <v>0</v>
      </c>
      <c r="I44" s="90"/>
      <c r="J44" s="91"/>
      <c r="K44" s="73"/>
      <c r="L44" s="45"/>
    </row>
    <row r="45" spans="1:28" x14ac:dyDescent="0.3">
      <c r="A45" s="285" t="s">
        <v>304</v>
      </c>
      <c r="B45" s="397">
        <v>2</v>
      </c>
      <c r="C45" s="156">
        <f>Data!H509</f>
        <v>0.13168724279835406</v>
      </c>
      <c r="D45" s="34" t="s">
        <v>115</v>
      </c>
      <c r="E45" s="226">
        <f t="shared" si="0"/>
        <v>0</v>
      </c>
      <c r="F45" s="167">
        <f t="shared" si="3"/>
        <v>12.29</v>
      </c>
      <c r="G45" s="114">
        <f t="shared" si="1"/>
        <v>1.6184362139917712</v>
      </c>
      <c r="H45" s="110">
        <f t="shared" si="2"/>
        <v>0</v>
      </c>
      <c r="I45" s="90"/>
      <c r="J45" s="91"/>
      <c r="K45" s="73"/>
      <c r="L45" s="45"/>
    </row>
    <row r="46" spans="1:28" x14ac:dyDescent="0.3">
      <c r="A46" s="22" t="s">
        <v>305</v>
      </c>
      <c r="B46" s="397">
        <v>1</v>
      </c>
      <c r="C46" s="156">
        <f>Data!H510</f>
        <v>0.58333333333333404</v>
      </c>
      <c r="D46" s="34" t="s">
        <v>115</v>
      </c>
      <c r="E46" s="226">
        <f t="shared" si="0"/>
        <v>0</v>
      </c>
      <c r="F46" s="167">
        <f t="shared" si="3"/>
        <v>12.29</v>
      </c>
      <c r="G46" s="114">
        <f t="shared" si="1"/>
        <v>7.1691666666666745</v>
      </c>
      <c r="H46" s="110">
        <f t="shared" si="2"/>
        <v>0</v>
      </c>
      <c r="I46" s="90"/>
      <c r="J46" s="91"/>
      <c r="K46" s="73"/>
      <c r="L46" s="45"/>
    </row>
    <row r="47" spans="1:28" x14ac:dyDescent="0.3">
      <c r="A47" s="22" t="s">
        <v>306</v>
      </c>
      <c r="B47" s="397">
        <v>1</v>
      </c>
      <c r="C47" s="156">
        <f>Data!H511</f>
        <v>0.2</v>
      </c>
      <c r="D47" s="34" t="s">
        <v>115</v>
      </c>
      <c r="E47" s="226">
        <f t="shared" si="0"/>
        <v>0</v>
      </c>
      <c r="F47" s="167">
        <f t="shared" si="3"/>
        <v>12.29</v>
      </c>
      <c r="G47" s="114">
        <f t="shared" si="1"/>
        <v>2.4580000000000002</v>
      </c>
      <c r="H47" s="110">
        <f t="shared" si="2"/>
        <v>0</v>
      </c>
      <c r="I47" s="90"/>
      <c r="J47" s="91"/>
      <c r="K47" s="73"/>
      <c r="L47" s="45"/>
    </row>
    <row r="48" spans="1:28" x14ac:dyDescent="0.3">
      <c r="A48" s="22" t="s">
        <v>307</v>
      </c>
      <c r="B48" s="397">
        <v>1</v>
      </c>
      <c r="C48" s="156">
        <f>Data!H512</f>
        <v>0.58333333333333404</v>
      </c>
      <c r="D48" s="34" t="s">
        <v>115</v>
      </c>
      <c r="E48" s="226">
        <f t="shared" si="0"/>
        <v>0</v>
      </c>
      <c r="F48" s="167">
        <f t="shared" si="3"/>
        <v>12.29</v>
      </c>
      <c r="G48" s="114">
        <f t="shared" si="1"/>
        <v>7.1691666666666745</v>
      </c>
      <c r="H48" s="110">
        <f t="shared" si="2"/>
        <v>0</v>
      </c>
      <c r="J48" s="288">
        <v>2</v>
      </c>
      <c r="K48" s="289" t="s">
        <v>398</v>
      </c>
      <c r="L48" s="285"/>
      <c r="M48" s="45"/>
    </row>
    <row r="49" spans="1:15" x14ac:dyDescent="0.3">
      <c r="A49" s="286" t="s">
        <v>920</v>
      </c>
      <c r="B49" s="397">
        <v>13</v>
      </c>
      <c r="C49" s="156">
        <f>Data!H513</f>
        <v>0.13168724279835406</v>
      </c>
      <c r="D49" s="34" t="s">
        <v>115</v>
      </c>
      <c r="E49" s="226">
        <f t="shared" si="0"/>
        <v>0</v>
      </c>
      <c r="F49" s="167">
        <f t="shared" si="3"/>
        <v>12.29</v>
      </c>
      <c r="G49" s="114">
        <f t="shared" si="1"/>
        <v>1.6184362139917712</v>
      </c>
      <c r="H49" s="110">
        <f t="shared" si="2"/>
        <v>0</v>
      </c>
      <c r="J49" s="290">
        <v>13</v>
      </c>
      <c r="K49" s="286" t="s">
        <v>311</v>
      </c>
      <c r="L49" s="291"/>
      <c r="M49" s="45"/>
    </row>
    <row r="50" spans="1:15" x14ac:dyDescent="0.3">
      <c r="A50" s="277" t="s">
        <v>921</v>
      </c>
      <c r="B50" s="397">
        <v>6</v>
      </c>
      <c r="C50" s="156">
        <f>Data!H514</f>
        <v>0</v>
      </c>
      <c r="D50" s="34" t="s">
        <v>115</v>
      </c>
      <c r="E50" s="226">
        <f t="shared" si="0"/>
        <v>0</v>
      </c>
      <c r="F50" s="167">
        <f t="shared" si="3"/>
        <v>12.29</v>
      </c>
      <c r="G50" s="110">
        <f t="shared" si="1"/>
        <v>0</v>
      </c>
      <c r="H50" s="110">
        <f t="shared" si="2"/>
        <v>0</v>
      </c>
      <c r="J50" s="292">
        <f>PotBud!G7</f>
        <v>0</v>
      </c>
      <c r="K50" s="293" t="s">
        <v>167</v>
      </c>
      <c r="L50" s="294">
        <v>0</v>
      </c>
      <c r="M50" s="297" t="s">
        <v>313</v>
      </c>
    </row>
    <row r="51" spans="1:15" x14ac:dyDescent="0.3">
      <c r="A51" s="287" t="s">
        <v>924</v>
      </c>
      <c r="B51" s="397">
        <v>2</v>
      </c>
      <c r="C51" s="156">
        <f>Data!H515</f>
        <v>0.13168724279835406</v>
      </c>
      <c r="D51" s="34" t="s">
        <v>115</v>
      </c>
      <c r="E51" s="226">
        <f t="shared" si="0"/>
        <v>0</v>
      </c>
      <c r="F51" s="167">
        <f t="shared" si="3"/>
        <v>12.29</v>
      </c>
      <c r="G51" s="114">
        <f t="shared" si="1"/>
        <v>1.6184362139917712</v>
      </c>
      <c r="H51" s="110">
        <f t="shared" si="2"/>
        <v>0</v>
      </c>
      <c r="J51" s="295">
        <v>2</v>
      </c>
      <c r="K51" s="296" t="s">
        <v>312</v>
      </c>
      <c r="L51" s="287"/>
      <c r="M51" s="45"/>
    </row>
    <row r="52" spans="1:15" x14ac:dyDescent="0.3">
      <c r="A52" s="22" t="s">
        <v>1480</v>
      </c>
      <c r="B52" s="397">
        <v>2</v>
      </c>
      <c r="C52" s="156">
        <f>Data!H516</f>
        <v>0.72521097046413552</v>
      </c>
      <c r="D52" s="34" t="s">
        <v>115</v>
      </c>
      <c r="E52" s="226">
        <f t="shared" ref="E52" si="4">C52*potato</f>
        <v>0</v>
      </c>
      <c r="F52" s="167">
        <f t="shared" ref="F52" si="5">_wage_</f>
        <v>12.29</v>
      </c>
      <c r="G52" s="114">
        <f t="shared" si="1"/>
        <v>8.9128428270042246</v>
      </c>
      <c r="H52" s="110">
        <f t="shared" ref="H52" si="6">B52*G52*potato</f>
        <v>0</v>
      </c>
      <c r="J52" s="45"/>
      <c r="K52" s="45"/>
      <c r="L52" s="45"/>
      <c r="M52" s="45"/>
    </row>
    <row r="53" spans="1:15" x14ac:dyDescent="0.3">
      <c r="A53" s="22" t="s">
        <v>309</v>
      </c>
      <c r="B53" s="397">
        <f>1+2</f>
        <v>3</v>
      </c>
      <c r="C53" s="156">
        <f>Data!H517</f>
        <v>0.72521097046413552</v>
      </c>
      <c r="D53" s="34" t="s">
        <v>115</v>
      </c>
      <c r="E53" s="226">
        <f t="shared" si="0"/>
        <v>0</v>
      </c>
      <c r="F53" s="167">
        <f t="shared" si="3"/>
        <v>12.29</v>
      </c>
      <c r="G53" s="114">
        <f t="shared" si="1"/>
        <v>8.9128428270042246</v>
      </c>
      <c r="H53" s="110">
        <f t="shared" si="2"/>
        <v>0</v>
      </c>
    </row>
    <row r="54" spans="1:15" x14ac:dyDescent="0.3">
      <c r="A54" s="9" t="s">
        <v>1022</v>
      </c>
      <c r="B54" s="397">
        <v>1</v>
      </c>
      <c r="C54" s="47">
        <f>Data!H518*Data!$F$135</f>
        <v>0</v>
      </c>
      <c r="D54" s="48" t="s">
        <v>115</v>
      </c>
      <c r="E54" s="48">
        <f t="shared" si="0"/>
        <v>0</v>
      </c>
      <c r="F54" s="118">
        <f>_wage_</f>
        <v>12.29</v>
      </c>
      <c r="G54" s="465">
        <f>C54*F54</f>
        <v>0</v>
      </c>
      <c r="H54" s="123">
        <f t="shared" si="2"/>
        <v>0</v>
      </c>
    </row>
    <row r="55" spans="1:15" x14ac:dyDescent="0.3">
      <c r="A55" s="6" t="s">
        <v>310</v>
      </c>
      <c r="B55" s="397">
        <f>4/2</f>
        <v>2</v>
      </c>
      <c r="C55" s="156">
        <f>Data!H519</f>
        <v>1.2</v>
      </c>
      <c r="D55" s="34" t="s">
        <v>115</v>
      </c>
      <c r="E55" s="226">
        <f t="shared" si="0"/>
        <v>0</v>
      </c>
      <c r="F55" s="167">
        <f t="shared" si="3"/>
        <v>12.29</v>
      </c>
      <c r="G55" s="114">
        <f>C55*F55</f>
        <v>14.747999999999998</v>
      </c>
      <c r="H55" s="110">
        <f t="shared" si="2"/>
        <v>0</v>
      </c>
    </row>
    <row r="56" spans="1:15" x14ac:dyDescent="0.3">
      <c r="A56" s="9" t="s">
        <v>1022</v>
      </c>
      <c r="B56" s="397">
        <v>1</v>
      </c>
      <c r="C56" s="47">
        <f>Data!H520*Data!$F$135</f>
        <v>0</v>
      </c>
      <c r="D56" s="48" t="s">
        <v>115</v>
      </c>
      <c r="E56" s="48">
        <f t="shared" si="0"/>
        <v>0</v>
      </c>
      <c r="F56" s="118">
        <f>_wage_</f>
        <v>12.29</v>
      </c>
      <c r="G56" s="465">
        <f>C56*F56</f>
        <v>0</v>
      </c>
      <c r="H56" s="123">
        <f t="shared" si="2"/>
        <v>0</v>
      </c>
      <c r="J56" s="45" t="s">
        <v>84</v>
      </c>
    </row>
    <row r="57" spans="1:15" x14ac:dyDescent="0.3">
      <c r="A57" s="22" t="s">
        <v>1103</v>
      </c>
      <c r="B57" s="397">
        <f>6/2</f>
        <v>3</v>
      </c>
      <c r="C57" s="156">
        <f>Data!H521</f>
        <v>1.2</v>
      </c>
      <c r="D57" s="34" t="s">
        <v>115</v>
      </c>
      <c r="E57" s="226">
        <f>C57*potato</f>
        <v>0</v>
      </c>
      <c r="F57" s="167">
        <f t="shared" si="3"/>
        <v>12.29</v>
      </c>
      <c r="G57" s="114">
        <f>C57*F57</f>
        <v>14.747999999999998</v>
      </c>
      <c r="H57" s="110">
        <f>B57*G57*potato</f>
        <v>0</v>
      </c>
      <c r="J57" s="45" t="s">
        <v>243</v>
      </c>
    </row>
    <row r="58" spans="1:15" x14ac:dyDescent="0.3">
      <c r="A58" s="22" t="s">
        <v>297</v>
      </c>
      <c r="B58" s="397">
        <v>1</v>
      </c>
      <c r="C58" s="156">
        <f>Data!H522</f>
        <v>8.3333333333333329E-2</v>
      </c>
      <c r="D58" s="34" t="s">
        <v>115</v>
      </c>
      <c r="E58" s="226">
        <f t="shared" si="0"/>
        <v>0</v>
      </c>
      <c r="F58" s="167">
        <f t="shared" si="3"/>
        <v>12.29</v>
      </c>
      <c r="G58" s="114">
        <f>C58*F58</f>
        <v>1.0241666666666664</v>
      </c>
      <c r="H58" s="110">
        <f t="shared" si="2"/>
        <v>0</v>
      </c>
    </row>
    <row r="59" spans="1:15" x14ac:dyDescent="0.3">
      <c r="A59" s="22" t="s">
        <v>298</v>
      </c>
      <c r="B59" s="22"/>
      <c r="C59" s="24"/>
      <c r="F59" s="168"/>
      <c r="G59" s="114"/>
      <c r="H59" s="110"/>
      <c r="J59" s="67" t="s">
        <v>1095</v>
      </c>
      <c r="K59" s="67" t="s">
        <v>1096</v>
      </c>
      <c r="L59" s="67" t="s">
        <v>1111</v>
      </c>
      <c r="M59" s="67" t="s">
        <v>1112</v>
      </c>
    </row>
    <row r="60" spans="1:15" x14ac:dyDescent="0.3">
      <c r="A60" s="6" t="s">
        <v>1109</v>
      </c>
      <c r="B60" s="397">
        <v>1</v>
      </c>
      <c r="C60" s="369">
        <f>IF(Data!$D$4=1,(M60/potato),0)</f>
        <v>0</v>
      </c>
      <c r="D60" s="34" t="s">
        <v>115</v>
      </c>
      <c r="E60" s="226">
        <f>C60*potato</f>
        <v>0</v>
      </c>
      <c r="F60" s="611">
        <f>_wage_</f>
        <v>12.29</v>
      </c>
      <c r="G60" s="168">
        <f>C60*F60</f>
        <v>0</v>
      </c>
      <c r="H60" s="110">
        <f>B60*G60*potato</f>
        <v>0</v>
      </c>
      <c r="J60" s="612">
        <f>6</f>
        <v>6</v>
      </c>
      <c r="K60" s="614">
        <v>0.5</v>
      </c>
      <c r="L60" s="17">
        <f>J60*K60</f>
        <v>3</v>
      </c>
      <c r="M60" s="615">
        <f>L60*$N$60</f>
        <v>0</v>
      </c>
      <c r="N60" s="616">
        <f>PotBud!B9/PotOprC!N61</f>
        <v>0</v>
      </c>
      <c r="O60" s="4" t="s">
        <v>1113</v>
      </c>
    </row>
    <row r="61" spans="1:15" x14ac:dyDescent="0.3">
      <c r="A61" s="6" t="s">
        <v>1110</v>
      </c>
      <c r="B61" s="397">
        <v>1</v>
      </c>
      <c r="C61" s="369">
        <f>IF(Data!$D$4=1,(M61/potato),0)</f>
        <v>0</v>
      </c>
      <c r="D61" s="34" t="s">
        <v>115</v>
      </c>
      <c r="E61" s="226">
        <f>C61*potato</f>
        <v>0</v>
      </c>
      <c r="F61" s="611">
        <f>_wage_</f>
        <v>12.29</v>
      </c>
      <c r="G61" s="168">
        <f>C61*F61</f>
        <v>0</v>
      </c>
      <c r="H61" s="110">
        <f>B61*G61*potato</f>
        <v>0</v>
      </c>
      <c r="I61" s="108">
        <f>SUM(H38:H61)</f>
        <v>0</v>
      </c>
      <c r="J61" s="612">
        <v>1</v>
      </c>
      <c r="K61" s="612">
        <v>2</v>
      </c>
      <c r="L61" s="17">
        <f>J61*K61</f>
        <v>2</v>
      </c>
      <c r="M61" s="615">
        <f>L61*$N$60</f>
        <v>0</v>
      </c>
      <c r="N61" s="397">
        <f>AVERAGE(340,470)</f>
        <v>405</v>
      </c>
      <c r="O61" s="4" t="s">
        <v>1094</v>
      </c>
    </row>
    <row r="62" spans="1:15" x14ac:dyDescent="0.3">
      <c r="A62" s="3" t="s">
        <v>66</v>
      </c>
      <c r="B62" s="3"/>
      <c r="C62" s="46"/>
      <c r="D62" s="34"/>
      <c r="E62" s="34"/>
      <c r="F62" s="167"/>
      <c r="G62" s="114"/>
      <c r="H62" s="110"/>
    </row>
    <row r="63" spans="1:15" x14ac:dyDescent="0.3">
      <c r="A63" s="22" t="s">
        <v>299</v>
      </c>
      <c r="B63" s="22"/>
      <c r="C63" s="46"/>
      <c r="D63" s="34"/>
      <c r="E63" s="34"/>
      <c r="F63" s="167"/>
      <c r="G63" s="114"/>
      <c r="H63" s="110"/>
    </row>
    <row r="64" spans="1:15" x14ac:dyDescent="0.3">
      <c r="A64" s="6" t="s">
        <v>1428</v>
      </c>
      <c r="B64" s="405">
        <f t="shared" ref="B64:B76" si="7">B39</f>
        <v>1</v>
      </c>
      <c r="C64" s="156">
        <f>Data!R503</f>
        <v>0.6028033322985753</v>
      </c>
      <c r="D64" s="34" t="s">
        <v>116</v>
      </c>
      <c r="E64" s="226">
        <f t="shared" ref="E64:E83" si="8">C64*potato</f>
        <v>0</v>
      </c>
      <c r="F64" s="167">
        <f>diesel_fuel</f>
        <v>2.56</v>
      </c>
      <c r="G64" s="114">
        <f t="shared" ref="G64:G80" si="9">B64*C64*F64</f>
        <v>1.5431765306843528</v>
      </c>
      <c r="H64" s="110">
        <f t="shared" ref="H64:H83" si="10">B64*G64*potato</f>
        <v>0</v>
      </c>
    </row>
    <row r="65" spans="1:13" x14ac:dyDescent="0.3">
      <c r="A65" s="6" t="s">
        <v>485</v>
      </c>
      <c r="B65" s="405">
        <f t="shared" si="7"/>
        <v>1</v>
      </c>
      <c r="C65" s="156">
        <f>Data!R504</f>
        <v>0.83039215686274503</v>
      </c>
      <c r="D65" s="34" t="s">
        <v>116</v>
      </c>
      <c r="E65" s="226">
        <f t="shared" si="8"/>
        <v>0</v>
      </c>
      <c r="F65" s="167">
        <f>diesel_fuel</f>
        <v>2.56</v>
      </c>
      <c r="G65" s="114">
        <f t="shared" si="9"/>
        <v>2.1258039215686275</v>
      </c>
      <c r="H65" s="110">
        <f t="shared" si="10"/>
        <v>0</v>
      </c>
    </row>
    <row r="66" spans="1:13" x14ac:dyDescent="0.3">
      <c r="A66" s="22" t="s">
        <v>300</v>
      </c>
      <c r="B66" s="405">
        <f t="shared" si="7"/>
        <v>1</v>
      </c>
      <c r="C66" s="156">
        <f>Data!R505</f>
        <v>0.2</v>
      </c>
      <c r="D66" s="34" t="s">
        <v>116</v>
      </c>
      <c r="E66" s="226">
        <f t="shared" si="8"/>
        <v>0</v>
      </c>
      <c r="F66" s="167">
        <f>diesel_fuel</f>
        <v>2.56</v>
      </c>
      <c r="G66" s="114">
        <f t="shared" si="9"/>
        <v>0.51200000000000001</v>
      </c>
      <c r="H66" s="110">
        <f t="shared" si="10"/>
        <v>0</v>
      </c>
    </row>
    <row r="67" spans="1:13" x14ac:dyDescent="0.3">
      <c r="A67" s="22" t="s">
        <v>581</v>
      </c>
      <c r="B67" s="405">
        <f t="shared" si="7"/>
        <v>1</v>
      </c>
      <c r="C67" s="156">
        <f>Data!R506</f>
        <v>0.13183670241332496</v>
      </c>
      <c r="D67" s="34" t="s">
        <v>116</v>
      </c>
      <c r="E67" s="226">
        <f t="shared" si="8"/>
        <v>0</v>
      </c>
      <c r="F67" s="167">
        <f t="shared" ref="F67:F83" si="11">diesel_fuel</f>
        <v>2.56</v>
      </c>
      <c r="G67" s="114">
        <f t="shared" si="9"/>
        <v>0.3375019581781119</v>
      </c>
      <c r="H67" s="110">
        <f t="shared" si="10"/>
        <v>0</v>
      </c>
      <c r="I67" s="90"/>
      <c r="J67" s="91"/>
    </row>
    <row r="68" spans="1:13" x14ac:dyDescent="0.3">
      <c r="A68" s="22" t="s">
        <v>302</v>
      </c>
      <c r="B68" s="405">
        <f t="shared" si="7"/>
        <v>1</v>
      </c>
      <c r="C68" s="156">
        <f>Data!R507</f>
        <v>0.13608956894943086</v>
      </c>
      <c r="D68" s="34" t="s">
        <v>116</v>
      </c>
      <c r="E68" s="226">
        <f t="shared" si="8"/>
        <v>0</v>
      </c>
      <c r="F68" s="167">
        <f t="shared" si="11"/>
        <v>2.56</v>
      </c>
      <c r="G68" s="114">
        <f t="shared" si="9"/>
        <v>0.34838929651054301</v>
      </c>
      <c r="H68" s="110">
        <f t="shared" si="10"/>
        <v>0</v>
      </c>
      <c r="I68" s="90"/>
      <c r="J68" s="91"/>
    </row>
    <row r="69" spans="1:13" x14ac:dyDescent="0.3">
      <c r="A69" s="22" t="s">
        <v>303</v>
      </c>
      <c r="B69" s="405">
        <f t="shared" si="7"/>
        <v>1</v>
      </c>
      <c r="C69" s="156">
        <f>Data!R508</f>
        <v>1.13572830673271</v>
      </c>
      <c r="D69" s="34" t="s">
        <v>116</v>
      </c>
      <c r="E69" s="226">
        <f t="shared" si="8"/>
        <v>0</v>
      </c>
      <c r="F69" s="167">
        <f t="shared" si="11"/>
        <v>2.56</v>
      </c>
      <c r="G69" s="114">
        <f t="shared" si="9"/>
        <v>2.9074644652357375</v>
      </c>
      <c r="H69" s="110">
        <f t="shared" si="10"/>
        <v>0</v>
      </c>
      <c r="I69" s="90"/>
      <c r="J69" s="91"/>
    </row>
    <row r="70" spans="1:13" x14ac:dyDescent="0.3">
      <c r="A70" s="285" t="s">
        <v>399</v>
      </c>
      <c r="B70" s="405">
        <f t="shared" si="7"/>
        <v>2</v>
      </c>
      <c r="C70" s="156">
        <f>Data!R509</f>
        <v>0.11981642612033799</v>
      </c>
      <c r="D70" s="34" t="s">
        <v>116</v>
      </c>
      <c r="E70" s="226">
        <f t="shared" si="8"/>
        <v>0</v>
      </c>
      <c r="F70" s="167">
        <f t="shared" si="11"/>
        <v>2.56</v>
      </c>
      <c r="G70" s="114">
        <f t="shared" si="9"/>
        <v>0.61346010173613053</v>
      </c>
      <c r="H70" s="110">
        <f t="shared" si="10"/>
        <v>0</v>
      </c>
      <c r="I70" s="90"/>
      <c r="J70" s="91"/>
    </row>
    <row r="71" spans="1:13" x14ac:dyDescent="0.3">
      <c r="A71" s="22" t="s">
        <v>305</v>
      </c>
      <c r="B71" s="405">
        <f t="shared" si="7"/>
        <v>1</v>
      </c>
      <c r="C71" s="156">
        <f>Data!R510</f>
        <v>0.2871835443037975</v>
      </c>
      <c r="D71" s="34" t="s">
        <v>116</v>
      </c>
      <c r="E71" s="226">
        <f t="shared" si="8"/>
        <v>0</v>
      </c>
      <c r="F71" s="167">
        <f t="shared" si="11"/>
        <v>2.56</v>
      </c>
      <c r="G71" s="114">
        <f t="shared" si="9"/>
        <v>0.73518987341772157</v>
      </c>
      <c r="H71" s="110">
        <f t="shared" si="10"/>
        <v>0</v>
      </c>
      <c r="I71" s="90"/>
    </row>
    <row r="72" spans="1:13" x14ac:dyDescent="0.3">
      <c r="A72" s="22" t="s">
        <v>306</v>
      </c>
      <c r="B72" s="405">
        <f t="shared" si="7"/>
        <v>1</v>
      </c>
      <c r="C72" s="156">
        <f>Data!R511</f>
        <v>0.11981642612033799</v>
      </c>
      <c r="D72" s="34" t="s">
        <v>116</v>
      </c>
      <c r="E72" s="226">
        <f t="shared" si="8"/>
        <v>0</v>
      </c>
      <c r="F72" s="167">
        <f t="shared" si="11"/>
        <v>2.56</v>
      </c>
      <c r="G72" s="114">
        <f t="shared" si="9"/>
        <v>0.30673005086806526</v>
      </c>
      <c r="H72" s="110">
        <f t="shared" si="10"/>
        <v>0</v>
      </c>
      <c r="I72" s="90"/>
      <c r="J72" s="91"/>
    </row>
    <row r="73" spans="1:13" x14ac:dyDescent="0.3">
      <c r="A73" s="22" t="s">
        <v>307</v>
      </c>
      <c r="B73" s="405">
        <f t="shared" si="7"/>
        <v>1</v>
      </c>
      <c r="C73" s="156">
        <f>Data!R512</f>
        <v>0.2871835443037975</v>
      </c>
      <c r="D73" s="34" t="s">
        <v>116</v>
      </c>
      <c r="E73" s="226">
        <f t="shared" si="8"/>
        <v>0</v>
      </c>
      <c r="F73" s="167">
        <f t="shared" si="11"/>
        <v>2.56</v>
      </c>
      <c r="G73" s="114">
        <f t="shared" si="9"/>
        <v>0.73518987341772157</v>
      </c>
      <c r="H73" s="110">
        <f t="shared" si="10"/>
        <v>0</v>
      </c>
      <c r="J73" s="288">
        <f>J48</f>
        <v>2</v>
      </c>
      <c r="K73" s="289" t="s">
        <v>398</v>
      </c>
      <c r="L73" s="285"/>
    </row>
    <row r="74" spans="1:13" x14ac:dyDescent="0.3">
      <c r="A74" s="286" t="s">
        <v>421</v>
      </c>
      <c r="B74" s="405">
        <f t="shared" si="7"/>
        <v>13</v>
      </c>
      <c r="C74" s="156">
        <f>Data!R513</f>
        <v>0.11981642612033799</v>
      </c>
      <c r="D74" s="34" t="s">
        <v>116</v>
      </c>
      <c r="E74" s="226">
        <f t="shared" si="8"/>
        <v>0</v>
      </c>
      <c r="F74" s="167">
        <f t="shared" si="11"/>
        <v>2.56</v>
      </c>
      <c r="G74" s="114">
        <f t="shared" si="9"/>
        <v>3.9874906612848489</v>
      </c>
      <c r="H74" s="110">
        <f t="shared" si="10"/>
        <v>0</v>
      </c>
      <c r="J74" s="290">
        <v>13</v>
      </c>
      <c r="K74" s="286" t="s">
        <v>311</v>
      </c>
      <c r="L74" s="291"/>
    </row>
    <row r="75" spans="1:13" x14ac:dyDescent="0.3">
      <c r="A75" s="277" t="s">
        <v>308</v>
      </c>
      <c r="B75" s="405">
        <f t="shared" si="7"/>
        <v>6</v>
      </c>
      <c r="C75" s="156">
        <f>Data!R514</f>
        <v>0</v>
      </c>
      <c r="D75" s="34" t="s">
        <v>116</v>
      </c>
      <c r="E75" s="226">
        <f t="shared" si="8"/>
        <v>0</v>
      </c>
      <c r="F75" s="167">
        <f t="shared" si="11"/>
        <v>2.56</v>
      </c>
      <c r="G75" s="110">
        <f t="shared" si="9"/>
        <v>0</v>
      </c>
      <c r="H75" s="110">
        <f t="shared" si="10"/>
        <v>0</v>
      </c>
      <c r="J75" s="292">
        <f>J50</f>
        <v>0</v>
      </c>
      <c r="K75" s="298" t="s">
        <v>167</v>
      </c>
      <c r="L75" s="294">
        <f>L50</f>
        <v>0</v>
      </c>
      <c r="M75" s="297" t="s">
        <v>313</v>
      </c>
    </row>
    <row r="76" spans="1:13" x14ac:dyDescent="0.3">
      <c r="A76" s="287" t="s">
        <v>392</v>
      </c>
      <c r="B76" s="405">
        <f t="shared" si="7"/>
        <v>2</v>
      </c>
      <c r="C76" s="156">
        <f>Data!R515</f>
        <v>0.11981642612033799</v>
      </c>
      <c r="D76" s="34" t="s">
        <v>116</v>
      </c>
      <c r="E76" s="226">
        <f t="shared" si="8"/>
        <v>0</v>
      </c>
      <c r="F76" s="167">
        <f t="shared" si="11"/>
        <v>2.56</v>
      </c>
      <c r="G76" s="114">
        <f t="shared" si="9"/>
        <v>0.61346010173613053</v>
      </c>
      <c r="H76" s="110">
        <f t="shared" si="10"/>
        <v>0</v>
      </c>
      <c r="J76" s="295">
        <f>J51</f>
        <v>2</v>
      </c>
      <c r="K76" s="296" t="s">
        <v>312</v>
      </c>
      <c r="L76" s="287"/>
    </row>
    <row r="77" spans="1:13" x14ac:dyDescent="0.3">
      <c r="A77" s="22" t="s">
        <v>1480</v>
      </c>
      <c r="B77" s="397">
        <v>2</v>
      </c>
      <c r="C77" s="156">
        <f>Data!R516</f>
        <v>0.6</v>
      </c>
      <c r="D77" s="34" t="s">
        <v>116</v>
      </c>
      <c r="E77" s="226">
        <f t="shared" ref="E77" si="12">C77*potato</f>
        <v>0</v>
      </c>
      <c r="F77" s="167">
        <f t="shared" ref="F77" si="13">diesel_fuel</f>
        <v>2.56</v>
      </c>
      <c r="G77" s="114">
        <f t="shared" si="9"/>
        <v>3.0720000000000001</v>
      </c>
      <c r="H77" s="110">
        <f t="shared" ref="H77" si="14">B77*G77*potato</f>
        <v>0</v>
      </c>
    </row>
    <row r="78" spans="1:13" x14ac:dyDescent="0.3">
      <c r="A78" s="22" t="s">
        <v>309</v>
      </c>
      <c r="B78" s="397">
        <v>1</v>
      </c>
      <c r="C78" s="156">
        <f>Data!R517</f>
        <v>2.0342167721519</v>
      </c>
      <c r="D78" s="34" t="s">
        <v>116</v>
      </c>
      <c r="E78" s="226">
        <f t="shared" si="8"/>
        <v>0</v>
      </c>
      <c r="F78" s="167">
        <f t="shared" si="11"/>
        <v>2.56</v>
      </c>
      <c r="G78" s="114">
        <f t="shared" si="9"/>
        <v>5.2075949367088645</v>
      </c>
      <c r="H78" s="110">
        <f t="shared" si="10"/>
        <v>0</v>
      </c>
      <c r="J78" s="90"/>
      <c r="K78" s="91"/>
    </row>
    <row r="79" spans="1:13" x14ac:dyDescent="0.3">
      <c r="A79" s="9" t="s">
        <v>1022</v>
      </c>
      <c r="B79" s="405">
        <f>B54</f>
        <v>1</v>
      </c>
      <c r="C79" s="47">
        <f>Data!R518*Data!$F$135</f>
        <v>0</v>
      </c>
      <c r="D79" s="48" t="s">
        <v>117</v>
      </c>
      <c r="E79" s="83">
        <f>C79*potato</f>
        <v>0</v>
      </c>
      <c r="F79" s="118">
        <f>diesel_fuel</f>
        <v>2.56</v>
      </c>
      <c r="G79" s="465">
        <f>B79*C79*F79</f>
        <v>0</v>
      </c>
      <c r="H79" s="123">
        <f>B79*G79*potato</f>
        <v>0</v>
      </c>
      <c r="J79" s="45"/>
    </row>
    <row r="80" spans="1:13" x14ac:dyDescent="0.3">
      <c r="A80" s="6" t="s">
        <v>310</v>
      </c>
      <c r="B80" s="397">
        <v>1</v>
      </c>
      <c r="C80" s="156">
        <f>Data!R519</f>
        <v>1.3608956894943085</v>
      </c>
      <c r="D80" s="34" t="s">
        <v>116</v>
      </c>
      <c r="E80" s="226">
        <f t="shared" si="8"/>
        <v>0</v>
      </c>
      <c r="F80" s="167">
        <f t="shared" si="11"/>
        <v>2.56</v>
      </c>
      <c r="G80" s="114">
        <f t="shared" si="9"/>
        <v>3.4838929651054298</v>
      </c>
      <c r="H80" s="110">
        <f t="shared" si="10"/>
        <v>0</v>
      </c>
    </row>
    <row r="81" spans="1:14" x14ac:dyDescent="0.3">
      <c r="A81" s="9" t="s">
        <v>1022</v>
      </c>
      <c r="B81" s="405">
        <f>B56</f>
        <v>1</v>
      </c>
      <c r="C81" s="47">
        <f>Data!R520*Data!$F$135</f>
        <v>0</v>
      </c>
      <c r="D81" s="48" t="s">
        <v>117</v>
      </c>
      <c r="E81" s="83">
        <f t="shared" si="8"/>
        <v>0</v>
      </c>
      <c r="F81" s="118">
        <f>diesel_fuel</f>
        <v>2.56</v>
      </c>
      <c r="G81" s="465">
        <f>B81*C81*F81</f>
        <v>0</v>
      </c>
      <c r="H81" s="123">
        <f t="shared" si="10"/>
        <v>0</v>
      </c>
      <c r="J81" s="45" t="s">
        <v>82</v>
      </c>
    </row>
    <row r="82" spans="1:14" x14ac:dyDescent="0.3">
      <c r="A82" s="22" t="s">
        <v>1103</v>
      </c>
      <c r="B82" s="405">
        <f>B57</f>
        <v>3</v>
      </c>
      <c r="C82" s="156">
        <f>Data!R521</f>
        <v>7.0000000000000007E-2</v>
      </c>
      <c r="D82" s="34" t="s">
        <v>116</v>
      </c>
      <c r="E82" s="226">
        <f>C82*potato</f>
        <v>0</v>
      </c>
      <c r="F82" s="167">
        <f t="shared" si="11"/>
        <v>2.56</v>
      </c>
      <c r="G82" s="114">
        <f>B82*C82*F82</f>
        <v>0.53760000000000008</v>
      </c>
      <c r="H82" s="110">
        <f>B82*G82*potato</f>
        <v>0</v>
      </c>
      <c r="J82" s="45" t="s">
        <v>83</v>
      </c>
    </row>
    <row r="83" spans="1:14" x14ac:dyDescent="0.3">
      <c r="A83" s="22" t="s">
        <v>297</v>
      </c>
      <c r="B83" s="405">
        <f>B58</f>
        <v>1</v>
      </c>
      <c r="C83" s="156">
        <f>Data!R522</f>
        <v>0.13183670241332496</v>
      </c>
      <c r="D83" s="34" t="s">
        <v>116</v>
      </c>
      <c r="E83" s="226">
        <f t="shared" si="8"/>
        <v>0</v>
      </c>
      <c r="F83" s="167">
        <f t="shared" si="11"/>
        <v>2.56</v>
      </c>
      <c r="G83" s="114">
        <f>B83*C83*F83</f>
        <v>0.3375019581781119</v>
      </c>
      <c r="H83" s="110">
        <f t="shared" si="10"/>
        <v>0</v>
      </c>
    </row>
    <row r="84" spans="1:14" x14ac:dyDescent="0.3">
      <c r="A84" s="22" t="s">
        <v>298</v>
      </c>
      <c r="B84" s="46"/>
      <c r="C84" s="46"/>
      <c r="D84" s="34"/>
      <c r="E84" s="34"/>
      <c r="F84" s="611"/>
      <c r="G84" s="114"/>
      <c r="H84" s="110"/>
      <c r="J84" s="67" t="s">
        <v>1105</v>
      </c>
      <c r="K84" s="67" t="s">
        <v>1106</v>
      </c>
      <c r="L84" s="67" t="s">
        <v>1107</v>
      </c>
      <c r="M84" s="67" t="s">
        <v>1108</v>
      </c>
      <c r="N84" s="67" t="s">
        <v>764</v>
      </c>
    </row>
    <row r="85" spans="1:14" x14ac:dyDescent="0.3">
      <c r="A85" s="6" t="s">
        <v>1109</v>
      </c>
      <c r="B85" s="397">
        <v>1</v>
      </c>
      <c r="C85" s="369">
        <f>IF(Data!$D$4=1,(K85/potato),0)</f>
        <v>0</v>
      </c>
      <c r="D85" s="34" t="s">
        <v>116</v>
      </c>
      <c r="E85" s="226">
        <f>C85*potato</f>
        <v>0</v>
      </c>
      <c r="F85" s="611">
        <f>diesel_fuel</f>
        <v>2.56</v>
      </c>
      <c r="G85" s="168">
        <f>B85*C85*F85</f>
        <v>0</v>
      </c>
      <c r="H85" s="110">
        <f>B85*G85*potato</f>
        <v>0</v>
      </c>
      <c r="J85" s="612">
        <v>2</v>
      </c>
      <c r="K85" s="598">
        <f>J85*N60</f>
        <v>0</v>
      </c>
      <c r="L85" s="55" t="s">
        <v>45</v>
      </c>
      <c r="M85" s="55" t="s">
        <v>45</v>
      </c>
      <c r="N85" s="55" t="s">
        <v>45</v>
      </c>
    </row>
    <row r="86" spans="1:14" x14ac:dyDescent="0.3">
      <c r="A86" s="6" t="s">
        <v>1110</v>
      </c>
      <c r="B86" s="397">
        <v>1</v>
      </c>
      <c r="C86" s="369">
        <f>IF(Data!$D$4=1,(K86/potato),0)</f>
        <v>0</v>
      </c>
      <c r="D86" s="34" t="s">
        <v>116</v>
      </c>
      <c r="E86" s="226">
        <f>C86*potato</f>
        <v>0</v>
      </c>
      <c r="F86" s="611">
        <f>diesel_fuel</f>
        <v>2.56</v>
      </c>
      <c r="G86" s="168">
        <f>B86*C86*F86</f>
        <v>0</v>
      </c>
      <c r="H86" s="110">
        <f>B86*G86*potato</f>
        <v>0</v>
      </c>
      <c r="I86" s="108">
        <f>SUM(H61:H86)</f>
        <v>0</v>
      </c>
      <c r="J86" s="55" t="s">
        <v>45</v>
      </c>
      <c r="K86" s="598">
        <f>L86/N86</f>
        <v>0</v>
      </c>
      <c r="L86" s="613">
        <f>M86*N60</f>
        <v>0</v>
      </c>
      <c r="M86" s="612">
        <v>43</v>
      </c>
      <c r="N86" s="612">
        <v>5</v>
      </c>
    </row>
    <row r="87" spans="1:14" x14ac:dyDescent="0.3">
      <c r="A87" s="3" t="s">
        <v>20</v>
      </c>
      <c r="B87" s="397">
        <v>1</v>
      </c>
      <c r="C87" s="34" t="s">
        <v>45</v>
      </c>
      <c r="D87" s="34" t="s">
        <v>45</v>
      </c>
      <c r="E87" s="34" t="s">
        <v>45</v>
      </c>
      <c r="F87" s="55" t="s">
        <v>45</v>
      </c>
      <c r="G87" s="114" t="e">
        <f>H87/potato</f>
        <v>#DIV/0!</v>
      </c>
      <c r="H87" s="110">
        <f>B87*lube*SUM(H63:H86)</f>
        <v>0</v>
      </c>
    </row>
    <row r="88" spans="1:14" x14ac:dyDescent="0.3">
      <c r="A88" s="3" t="s">
        <v>67</v>
      </c>
      <c r="B88" s="397">
        <v>1</v>
      </c>
      <c r="C88" s="34" t="s">
        <v>45</v>
      </c>
      <c r="D88" s="34" t="s">
        <v>45</v>
      </c>
      <c r="E88" s="34" t="s">
        <v>45</v>
      </c>
      <c r="F88" s="55" t="s">
        <v>45</v>
      </c>
      <c r="G88" s="114" t="e">
        <f>H88/potato</f>
        <v>#DIV/0!</v>
      </c>
      <c r="H88" s="110">
        <f>IF(Data!D4=1, B88*PotOwnC!J76*Data!D4, 0)</f>
        <v>0</v>
      </c>
    </row>
    <row r="89" spans="1:14" x14ac:dyDescent="0.3">
      <c r="A89" s="3"/>
      <c r="B89" s="397">
        <v>1</v>
      </c>
      <c r="C89" s="46" t="s">
        <v>45</v>
      </c>
      <c r="D89" s="34" t="s">
        <v>45</v>
      </c>
      <c r="E89" s="34" t="s">
        <v>45</v>
      </c>
      <c r="F89" s="55" t="s">
        <v>45</v>
      </c>
      <c r="G89" s="114">
        <f>IF(Data!D4=1,(110.96-G88),0)</f>
        <v>0</v>
      </c>
      <c r="H89" s="110">
        <f>B89*G89*potato</f>
        <v>0</v>
      </c>
      <c r="I89" s="108">
        <f>SUM(H88:H89)</f>
        <v>0</v>
      </c>
    </row>
    <row r="90" spans="1:14" x14ac:dyDescent="0.3">
      <c r="A90" s="3" t="s">
        <v>170</v>
      </c>
      <c r="B90" s="397">
        <v>1</v>
      </c>
      <c r="C90" s="46" t="s">
        <v>45</v>
      </c>
      <c r="D90" s="34" t="s">
        <v>45</v>
      </c>
      <c r="E90" s="34" t="s">
        <v>45</v>
      </c>
      <c r="F90" s="55" t="s">
        <v>45</v>
      </c>
      <c r="G90" s="250">
        <v>57.592796181108099</v>
      </c>
      <c r="H90" s="110">
        <f>B90*G90*potato</f>
        <v>0</v>
      </c>
      <c r="I90" s="108"/>
    </row>
    <row r="91" spans="1:14" x14ac:dyDescent="0.3">
      <c r="A91" s="3" t="s">
        <v>75</v>
      </c>
      <c r="B91" s="397">
        <v>1</v>
      </c>
      <c r="C91" s="46" t="s">
        <v>45</v>
      </c>
      <c r="D91" s="34" t="s">
        <v>45</v>
      </c>
      <c r="E91" s="34" t="s">
        <v>45</v>
      </c>
      <c r="F91" s="114">
        <f>cropins</f>
        <v>3</v>
      </c>
      <c r="G91" s="114">
        <f>F91</f>
        <v>3</v>
      </c>
      <c r="H91" s="110">
        <f>B91*G91*potato</f>
        <v>0</v>
      </c>
    </row>
    <row r="92" spans="1:14" x14ac:dyDescent="0.3">
      <c r="A92" s="3"/>
      <c r="B92" s="397">
        <v>1</v>
      </c>
      <c r="F92" s="114"/>
      <c r="G92" s="250">
        <v>55.071025603934601</v>
      </c>
      <c r="H92" s="110">
        <f>B92*G92*potato</f>
        <v>0</v>
      </c>
      <c r="I92" s="108">
        <f>SUM(H91:H92)</f>
        <v>0</v>
      </c>
    </row>
    <row r="93" spans="1:14" x14ac:dyDescent="0.3">
      <c r="A93" s="69" t="s">
        <v>173</v>
      </c>
      <c r="B93" s="69"/>
      <c r="F93" s="114"/>
      <c r="G93" s="114"/>
      <c r="H93" s="110"/>
    </row>
    <row r="94" spans="1:14" x14ac:dyDescent="0.3">
      <c r="A94" s="70" t="s">
        <v>175</v>
      </c>
      <c r="B94" s="397">
        <v>1</v>
      </c>
      <c r="C94" s="46" t="s">
        <v>45</v>
      </c>
      <c r="D94" s="34" t="s">
        <v>45</v>
      </c>
      <c r="E94" s="34" t="s">
        <v>45</v>
      </c>
      <c r="F94" s="55" t="s">
        <v>45</v>
      </c>
      <c r="G94" s="250">
        <v>38.1309127730363</v>
      </c>
      <c r="H94" s="110">
        <f>B94*G94*potato</f>
        <v>0</v>
      </c>
      <c r="I94" s="108">
        <f>SUM(H94:H94)</f>
        <v>0</v>
      </c>
      <c r="J94" s="17" t="s">
        <v>193</v>
      </c>
    </row>
    <row r="95" spans="1:14" x14ac:dyDescent="0.3">
      <c r="A95" s="70" t="s">
        <v>176</v>
      </c>
      <c r="B95" s="397">
        <v>1</v>
      </c>
      <c r="C95" s="46" t="s">
        <v>45</v>
      </c>
      <c r="D95" s="34" t="s">
        <v>45</v>
      </c>
      <c r="E95" s="34" t="s">
        <v>45</v>
      </c>
      <c r="F95" s="55" t="s">
        <v>45</v>
      </c>
      <c r="G95" s="272">
        <v>0</v>
      </c>
      <c r="H95" s="110">
        <f>B95*G95*potato</f>
        <v>0</v>
      </c>
      <c r="I95" s="108"/>
    </row>
    <row r="96" spans="1:14" x14ac:dyDescent="0.3">
      <c r="A96" s="70" t="s">
        <v>177</v>
      </c>
      <c r="B96" s="70"/>
      <c r="C96" s="114"/>
      <c r="D96" s="114"/>
      <c r="E96" s="114"/>
      <c r="F96" s="114"/>
      <c r="G96" s="114"/>
      <c r="H96" s="110"/>
    </row>
    <row r="97" spans="1:11" x14ac:dyDescent="0.3">
      <c r="A97" s="22" t="s">
        <v>174</v>
      </c>
      <c r="B97" s="397">
        <v>1</v>
      </c>
      <c r="C97" s="34" t="s">
        <v>45</v>
      </c>
      <c r="D97" s="34" t="s">
        <v>81</v>
      </c>
      <c r="E97" s="34" t="s">
        <v>45</v>
      </c>
      <c r="F97" s="110">
        <f>Data!D61</f>
        <v>50</v>
      </c>
      <c r="G97" s="114">
        <f>F97</f>
        <v>50</v>
      </c>
      <c r="H97" s="110">
        <f>B97*G97*potato*Data!E57*Data!D4</f>
        <v>0</v>
      </c>
      <c r="J97" s="17" t="e">
        <f>H97/potato</f>
        <v>#DIV/0!</v>
      </c>
    </row>
    <row r="98" spans="1:11" x14ac:dyDescent="0.3">
      <c r="A98" s="22" t="s">
        <v>224</v>
      </c>
      <c r="B98" s="397">
        <v>1</v>
      </c>
      <c r="C98" s="34" t="s">
        <v>45</v>
      </c>
      <c r="D98" s="34" t="s">
        <v>225</v>
      </c>
      <c r="E98" s="34" t="s">
        <v>45</v>
      </c>
      <c r="F98" s="55" t="s">
        <v>45</v>
      </c>
      <c r="G98" s="114" t="e">
        <f>H98/potato</f>
        <v>#DIV/0!</v>
      </c>
      <c r="H98" s="110">
        <f>B98*(14000*Data!D4*(C5/320))</f>
        <v>0</v>
      </c>
      <c r="I98" s="108">
        <f>SUM(H97:H98)</f>
        <v>0</v>
      </c>
    </row>
    <row r="99" spans="1:11" x14ac:dyDescent="0.3">
      <c r="A99" s="70" t="s">
        <v>178</v>
      </c>
      <c r="B99" s="397">
        <v>1</v>
      </c>
      <c r="C99" s="34" t="s">
        <v>45</v>
      </c>
      <c r="D99" s="34" t="s">
        <v>45</v>
      </c>
      <c r="E99" s="34" t="s">
        <v>45</v>
      </c>
      <c r="F99" s="55" t="s">
        <v>45</v>
      </c>
      <c r="G99" s="272">
        <v>0</v>
      </c>
      <c r="H99" s="110">
        <f>B99*((G99*potato)+((Data!D132/Data!B132)*G99*potato*PotOprC!J99))</f>
        <v>0</v>
      </c>
      <c r="J99" s="292">
        <f>PotBud!G7</f>
        <v>0</v>
      </c>
      <c r="K99" s="293" t="s">
        <v>167</v>
      </c>
    </row>
    <row r="100" spans="1:11" x14ac:dyDescent="0.3">
      <c r="A100" s="70" t="s">
        <v>179</v>
      </c>
      <c r="B100" s="397">
        <v>1</v>
      </c>
      <c r="C100" s="34" t="s">
        <v>45</v>
      </c>
      <c r="D100" s="34" t="s">
        <v>45</v>
      </c>
      <c r="E100" s="34" t="s">
        <v>45</v>
      </c>
      <c r="F100" s="55" t="s">
        <v>45</v>
      </c>
      <c r="G100" s="272">
        <v>0</v>
      </c>
      <c r="H100" s="110">
        <f>B100*G100*potato</f>
        <v>0</v>
      </c>
      <c r="J100" s="17" t="s">
        <v>192</v>
      </c>
    </row>
    <row r="101" spans="1:11" x14ac:dyDescent="0.3">
      <c r="A101" s="9" t="s">
        <v>247</v>
      </c>
      <c r="B101" s="397">
        <v>1</v>
      </c>
      <c r="C101" s="47" t="s">
        <v>45</v>
      </c>
      <c r="D101" s="48" t="s">
        <v>45</v>
      </c>
      <c r="E101" s="48" t="s">
        <v>45</v>
      </c>
      <c r="F101" s="118" t="s">
        <v>45</v>
      </c>
      <c r="G101" s="465">
        <f>(G100*Data!F135)</f>
        <v>0</v>
      </c>
      <c r="H101" s="124">
        <f>B101*G101*potato</f>
        <v>0</v>
      </c>
      <c r="I101" s="108">
        <f>SUM(H100:H101)</f>
        <v>0</v>
      </c>
    </row>
    <row r="102" spans="1:11" x14ac:dyDescent="0.3">
      <c r="A102" s="70" t="s">
        <v>180</v>
      </c>
      <c r="B102" s="397">
        <v>1</v>
      </c>
      <c r="F102" s="114"/>
      <c r="G102" s="272">
        <v>0</v>
      </c>
      <c r="H102" s="110">
        <f>B102*G102*potato</f>
        <v>0</v>
      </c>
    </row>
    <row r="103" spans="1:11" x14ac:dyDescent="0.3">
      <c r="A103" s="22" t="s">
        <v>181</v>
      </c>
      <c r="B103" s="397">
        <v>1</v>
      </c>
      <c r="C103" s="46" t="s">
        <v>45</v>
      </c>
      <c r="D103" s="46" t="s">
        <v>45</v>
      </c>
      <c r="E103" s="46" t="s">
        <v>45</v>
      </c>
      <c r="F103" s="114">
        <v>2.5000000000000001E-2</v>
      </c>
      <c r="G103" s="114">
        <f>(F103*Data!B132+F103*Data!D132*PotOprC!J103)</f>
        <v>7.0625</v>
      </c>
      <c r="H103" s="110">
        <f>B103*G103*potato</f>
        <v>0</v>
      </c>
      <c r="I103" s="108">
        <f>SUM(H102:H103)</f>
        <v>0</v>
      </c>
      <c r="J103" s="292">
        <f>PotBud!G7</f>
        <v>0</v>
      </c>
      <c r="K103" s="293" t="s">
        <v>167</v>
      </c>
    </row>
    <row r="104" spans="1:11" x14ac:dyDescent="0.3">
      <c r="A104" s="3" t="s">
        <v>73</v>
      </c>
      <c r="B104" s="3"/>
      <c r="F104" s="114"/>
      <c r="G104" s="119" t="e">
        <f>SUM(G9:G103)</f>
        <v>#DIV/0!</v>
      </c>
      <c r="H104" s="125">
        <f>SUM(H9:H103)</f>
        <v>0</v>
      </c>
    </row>
    <row r="105" spans="1:11" x14ac:dyDescent="0.3">
      <c r="F105" s="114"/>
      <c r="G105" s="114"/>
      <c r="H105" s="109"/>
    </row>
    <row r="106" spans="1:11" ht="39" x14ac:dyDescent="0.3">
      <c r="A106" s="3" t="s">
        <v>69</v>
      </c>
      <c r="B106" s="3"/>
      <c r="C106" s="25" t="s">
        <v>70</v>
      </c>
      <c r="D106" s="25" t="s">
        <v>71</v>
      </c>
      <c r="E106" s="25"/>
      <c r="F106" s="114"/>
      <c r="G106" s="120" t="s">
        <v>1292</v>
      </c>
      <c r="H106" s="126" t="s">
        <v>72</v>
      </c>
    </row>
    <row r="107" spans="1:11" x14ac:dyDescent="0.3">
      <c r="A107" s="3"/>
      <c r="B107" s="3"/>
      <c r="C107" s="35">
        <f>_int_oper_</f>
        <v>4.7341710603787002E-2</v>
      </c>
      <c r="D107" s="34">
        <f>Data!$B$48</f>
        <v>7</v>
      </c>
      <c r="E107" s="34"/>
      <c r="F107" s="114"/>
      <c r="G107" s="104" t="e">
        <f>H107/potato</f>
        <v>#DIV/0!</v>
      </c>
      <c r="H107" s="109">
        <f>C107*(D107/12)*(H104)</f>
        <v>0</v>
      </c>
    </row>
    <row r="108" spans="1:11" x14ac:dyDescent="0.3">
      <c r="F108" s="114"/>
      <c r="G108" s="103"/>
      <c r="H108" s="127"/>
    </row>
    <row r="109" spans="1:11" ht="14" thickBot="1" x14ac:dyDescent="0.4">
      <c r="A109" s="1" t="s">
        <v>74</v>
      </c>
      <c r="B109" s="1"/>
      <c r="F109" s="114"/>
      <c r="G109" s="121" t="e">
        <f>G104+G107</f>
        <v>#DIV/0!</v>
      </c>
      <c r="H109" s="128">
        <f>H104+H107</f>
        <v>0</v>
      </c>
    </row>
    <row r="110" spans="1:11" ht="13.5" thickTop="1" x14ac:dyDescent="0.3">
      <c r="F110" s="34"/>
      <c r="G110" s="34"/>
      <c r="H110" s="49"/>
    </row>
    <row r="111" spans="1:11" x14ac:dyDescent="0.3">
      <c r="F111" s="34"/>
      <c r="G111" s="34"/>
      <c r="H111" s="49"/>
    </row>
    <row r="112" spans="1:11" x14ac:dyDescent="0.3">
      <c r="F112" s="34"/>
      <c r="G112" s="34"/>
      <c r="H112" s="49"/>
    </row>
    <row r="113" spans="6:8" x14ac:dyDescent="0.3">
      <c r="F113" s="34"/>
      <c r="G113" s="34"/>
      <c r="H113" s="49"/>
    </row>
    <row r="114" spans="6:8" x14ac:dyDescent="0.3">
      <c r="F114" s="34"/>
      <c r="G114" s="34"/>
      <c r="H114" s="49"/>
    </row>
    <row r="115" spans="6:8" x14ac:dyDescent="0.3">
      <c r="F115" s="34"/>
      <c r="G115" s="34"/>
      <c r="H115" s="49"/>
    </row>
    <row r="116" spans="6:8" x14ac:dyDescent="0.3">
      <c r="F116" s="34"/>
      <c r="G116" s="34"/>
      <c r="H116" s="49"/>
    </row>
    <row r="117" spans="6:8" x14ac:dyDescent="0.3">
      <c r="F117" s="34"/>
      <c r="G117" s="34"/>
      <c r="H117" s="49"/>
    </row>
    <row r="118" spans="6:8" x14ac:dyDescent="0.3">
      <c r="F118" s="34"/>
      <c r="G118" s="34"/>
      <c r="H118" s="49"/>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row>
    <row r="613" spans="6:8" x14ac:dyDescent="0.3">
      <c r="F613" s="34"/>
    </row>
    <row r="614" spans="6:8" x14ac:dyDescent="0.3">
      <c r="F614" s="34"/>
    </row>
    <row r="615" spans="6:8" x14ac:dyDescent="0.3">
      <c r="F615" s="34"/>
    </row>
    <row r="616" spans="6:8" x14ac:dyDescent="0.3">
      <c r="F616" s="34"/>
    </row>
    <row r="617" spans="6:8" x14ac:dyDescent="0.3">
      <c r="F617" s="34"/>
    </row>
    <row r="618" spans="6:8" x14ac:dyDescent="0.3">
      <c r="F618" s="34"/>
    </row>
    <row r="619" spans="6:8" x14ac:dyDescent="0.3">
      <c r="F619" s="34"/>
    </row>
    <row r="620" spans="6:8" x14ac:dyDescent="0.3">
      <c r="F620" s="34"/>
    </row>
    <row r="621" spans="6:8" x14ac:dyDescent="0.3">
      <c r="F621" s="34"/>
    </row>
    <row r="622" spans="6:8" x14ac:dyDescent="0.3">
      <c r="F622" s="34"/>
    </row>
    <row r="623" spans="6:8" x14ac:dyDescent="0.3">
      <c r="F623" s="34"/>
    </row>
    <row r="624" spans="6:8" x14ac:dyDescent="0.3">
      <c r="F624" s="34"/>
    </row>
    <row r="625" spans="6:6" x14ac:dyDescent="0.3">
      <c r="F625" s="34"/>
    </row>
    <row r="626" spans="6:6" x14ac:dyDescent="0.3">
      <c r="F626" s="34"/>
    </row>
    <row r="627" spans="6:6" x14ac:dyDescent="0.3">
      <c r="F627" s="34"/>
    </row>
    <row r="628" spans="6:6" x14ac:dyDescent="0.3">
      <c r="F628" s="34"/>
    </row>
    <row r="629" spans="6:6" x14ac:dyDescent="0.3">
      <c r="F629" s="34"/>
    </row>
    <row r="630" spans="6:6" x14ac:dyDescent="0.3">
      <c r="F630" s="34"/>
    </row>
    <row r="631" spans="6:6" x14ac:dyDescent="0.3">
      <c r="F631" s="34"/>
    </row>
    <row r="632" spans="6:6" x14ac:dyDescent="0.3">
      <c r="F632" s="34"/>
    </row>
    <row r="633" spans="6:6" x14ac:dyDescent="0.3">
      <c r="F633" s="34"/>
    </row>
  </sheetData>
  <phoneticPr fontId="0" type="noConversion"/>
  <pageMargins left="0.75" right="0.75" top="1" bottom="1" header="0.5" footer="0.5"/>
  <pageSetup scale="49"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1183"/>
  <sheetViews>
    <sheetView workbookViewId="0">
      <pane ySplit="6" topLeftCell="A36" activePane="bottomLeft" state="frozen"/>
      <selection pane="bottomLeft" activeCell="G42" sqref="G42"/>
    </sheetView>
  </sheetViews>
  <sheetFormatPr defaultColWidth="9.08984375" defaultRowHeight="13" x14ac:dyDescent="0.3"/>
  <cols>
    <col min="1" max="1" width="50.81640625" style="27" customWidth="1"/>
    <col min="2" max="2" width="8.6328125" style="27" customWidth="1"/>
    <col min="3" max="3" width="9.6328125" style="17" customWidth="1"/>
    <col min="4" max="4" width="9.08984375" style="17" customWidth="1"/>
    <col min="5" max="5" width="9" style="17" customWidth="1"/>
    <col min="6" max="6" width="8.54296875" style="17" customWidth="1"/>
    <col min="7" max="7" width="7.6328125" style="17" customWidth="1"/>
    <col min="8" max="8" width="11.6328125" style="17" customWidth="1"/>
    <col min="9" max="10" width="11.90625" style="17" customWidth="1"/>
    <col min="11" max="11" width="9" style="17" bestFit="1" customWidth="1"/>
    <col min="12" max="12" width="10.36328125" style="17" bestFit="1" customWidth="1"/>
    <col min="13" max="13" width="9.6328125" style="17" customWidth="1"/>
    <col min="14" max="14" width="3.90625" style="17" customWidth="1"/>
    <col min="15" max="15" width="9.08984375" style="17"/>
    <col min="16" max="16" width="7.453125" style="17" customWidth="1"/>
    <col min="17" max="21" width="8.453125" style="17" customWidth="1"/>
    <col min="22" max="24" width="9.08984375" style="17"/>
    <col min="25" max="25" width="2.36328125" style="17" customWidth="1"/>
    <col min="26" max="16384" width="9.08984375" style="17"/>
  </cols>
  <sheetData>
    <row r="1" spans="1:22" x14ac:dyDescent="0.3">
      <c r="A1" s="61" t="s">
        <v>146</v>
      </c>
      <c r="B1" s="17" t="str">
        <f>model</f>
        <v>ME Grain &amp; Pulse</v>
      </c>
    </row>
    <row r="4" spans="1:22" x14ac:dyDescent="0.3">
      <c r="A4" s="16" t="s">
        <v>99</v>
      </c>
      <c r="B4" s="8" t="s">
        <v>92</v>
      </c>
      <c r="C4" s="65">
        <f>potato</f>
        <v>0</v>
      </c>
      <c r="D4" s="4" t="s">
        <v>93</v>
      </c>
    </row>
    <row r="5" spans="1:22" x14ac:dyDescent="0.3">
      <c r="H5" s="28"/>
    </row>
    <row r="6" spans="1:22"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22" x14ac:dyDescent="0.3">
      <c r="A7" s="13"/>
      <c r="B7" s="29"/>
      <c r="C7" s="30"/>
      <c r="D7" s="31"/>
      <c r="E7" s="31"/>
      <c r="F7" s="18"/>
      <c r="G7" s="18"/>
      <c r="H7" s="32"/>
      <c r="I7" s="31"/>
      <c r="J7" s="31"/>
      <c r="K7" s="31"/>
      <c r="L7" s="31"/>
      <c r="M7" s="31"/>
    </row>
    <row r="8" spans="1:22" x14ac:dyDescent="0.3">
      <c r="A8" s="14" t="s">
        <v>3</v>
      </c>
      <c r="D8" s="111" t="s">
        <v>462</v>
      </c>
    </row>
    <row r="9" spans="1:22" x14ac:dyDescent="0.3">
      <c r="A9" s="664" t="str">
        <f>Data!A292</f>
        <v>Large tractor (200 hp) - LARGE SIZE</v>
      </c>
      <c r="B9" s="247">
        <v>0</v>
      </c>
      <c r="C9" s="34" t="str">
        <f>Data!C292</f>
        <v>tractor</v>
      </c>
      <c r="D9" s="109">
        <f>Data!D292*Data!H4</f>
        <v>0</v>
      </c>
      <c r="E9" s="109">
        <f>D9*B9</f>
        <v>0</v>
      </c>
      <c r="F9" s="109">
        <f>Data!I292*E9</f>
        <v>0</v>
      </c>
      <c r="G9" s="819">
        <f>Data!F292</f>
        <v>20</v>
      </c>
      <c r="H9" s="112">
        <f>(E9*(_int_inv_*(1+_int_inv_)^G9)/((1+_int_inv_)^G9-1))-(F9*_int_inv_/((1+_int_inv_)^G9-1))</f>
        <v>0</v>
      </c>
      <c r="I9" s="35">
        <f>Data!H292</f>
        <v>1.6659574468085105E-2</v>
      </c>
      <c r="J9" s="109">
        <f>E9*I9</f>
        <v>0</v>
      </c>
      <c r="K9" s="36">
        <f t="shared" ref="K9:K17" si="0">_tax_ins_</f>
        <v>6.7999999999999996E-3</v>
      </c>
      <c r="L9" s="109">
        <f>E9*K9</f>
        <v>0</v>
      </c>
      <c r="M9" s="109">
        <f>H9+J9+L9</f>
        <v>0</v>
      </c>
      <c r="N9" s="34"/>
      <c r="O9" s="34"/>
      <c r="P9" s="34"/>
      <c r="Q9" s="34"/>
      <c r="R9" s="34"/>
      <c r="S9" s="34"/>
      <c r="T9" s="34"/>
      <c r="U9" s="34"/>
      <c r="V9" s="34"/>
    </row>
    <row r="10" spans="1:22" x14ac:dyDescent="0.3">
      <c r="A10" s="664" t="str">
        <f>Data!A291</f>
        <v>Large tractor (160 hp) - LARGE SIZE</v>
      </c>
      <c r="B10" s="247">
        <v>0</v>
      </c>
      <c r="C10" s="34" t="str">
        <f>Data!C291</f>
        <v>tractor</v>
      </c>
      <c r="D10" s="109">
        <f>Data!D291*Data!H4</f>
        <v>0</v>
      </c>
      <c r="E10" s="109">
        <f>D10*B10</f>
        <v>0</v>
      </c>
      <c r="F10" s="109">
        <f>Data!I291*E10</f>
        <v>0</v>
      </c>
      <c r="G10" s="819">
        <f>Data!F291</f>
        <v>30</v>
      </c>
      <c r="H10" s="112">
        <f t="shared" ref="H10:H64" si="1">(E10*(_int_inv_*(1+_int_inv_)^G10)/((1+_int_inv_)^G10-1))-(F10*_int_inv_/((1+_int_inv_)^G10-1))</f>
        <v>0</v>
      </c>
      <c r="I10" s="35">
        <f>Data!H291</f>
        <v>1.6666666666666666E-2</v>
      </c>
      <c r="J10" s="109">
        <f>E10*I10</f>
        <v>0</v>
      </c>
      <c r="K10" s="36">
        <f t="shared" si="0"/>
        <v>6.7999999999999996E-3</v>
      </c>
      <c r="L10" s="109">
        <f>E10*K10</f>
        <v>0</v>
      </c>
      <c r="M10" s="109">
        <f>H10+J10+L10</f>
        <v>0</v>
      </c>
      <c r="N10" s="34"/>
      <c r="O10" s="34"/>
      <c r="P10" s="34"/>
      <c r="Q10" s="34"/>
      <c r="R10" s="34"/>
      <c r="S10" s="34"/>
      <c r="T10" s="34"/>
      <c r="U10" s="34"/>
      <c r="V10" s="34"/>
    </row>
    <row r="11" spans="1:22" x14ac:dyDescent="0.3">
      <c r="A11" s="664" t="str">
        <f>Data!A293</f>
        <v>Large tractor (160 hp) - LARGE SIZE (potato)</v>
      </c>
      <c r="B11" s="247">
        <v>0</v>
      </c>
      <c r="C11" s="34" t="str">
        <f>Data!C293</f>
        <v>tractor</v>
      </c>
      <c r="D11" s="109">
        <f>Data!D293*Data!AP4</f>
        <v>0</v>
      </c>
      <c r="E11" s="109">
        <f>D11*B11</f>
        <v>0</v>
      </c>
      <c r="F11" s="109">
        <f>Data!I293*E11</f>
        <v>0</v>
      </c>
      <c r="G11" s="819">
        <f>Data!F293</f>
        <v>20</v>
      </c>
      <c r="H11" s="112">
        <f>IF(Data!$D$4=0,0,(E11*(_int_inv_*(1+_int_inv_)^G11)/((1+_int_inv_)^G11-1))-(F11*_int_inv_/((1+_int_inv_)^G11-1)))</f>
        <v>0</v>
      </c>
      <c r="I11" s="35">
        <f>Data!H293</f>
        <v>1.6666666666666666E-2</v>
      </c>
      <c r="J11" s="109">
        <f>E11*I11</f>
        <v>0</v>
      </c>
      <c r="K11" s="36">
        <f t="shared" si="0"/>
        <v>6.7999999999999996E-3</v>
      </c>
      <c r="L11" s="109">
        <f>E11*K11</f>
        <v>0</v>
      </c>
      <c r="M11" s="109">
        <f>H11+J11+L11</f>
        <v>0</v>
      </c>
      <c r="N11" s="34"/>
      <c r="O11" s="34"/>
      <c r="P11" s="34"/>
      <c r="Q11" s="34"/>
      <c r="R11" s="34"/>
      <c r="S11" s="34"/>
      <c r="T11" s="34"/>
      <c r="U11" s="34"/>
      <c r="V11" s="34"/>
    </row>
    <row r="12" spans="1:22" x14ac:dyDescent="0.3">
      <c r="A12" s="664" t="str">
        <f>Data!A285</f>
        <v>Large tractor (160 hp) - MEDIUM SIZE</v>
      </c>
      <c r="B12" s="247">
        <v>1</v>
      </c>
      <c r="C12" s="34" t="str">
        <f>Data!C285</f>
        <v>tractor</v>
      </c>
      <c r="D12" s="109">
        <f>Data!D285*Data!H4</f>
        <v>0</v>
      </c>
      <c r="E12" s="109">
        <f>D12*B12</f>
        <v>0</v>
      </c>
      <c r="F12" s="109">
        <f>Data!I285*E12</f>
        <v>0</v>
      </c>
      <c r="G12" s="819">
        <f>Data!F285</f>
        <v>30</v>
      </c>
      <c r="H12" s="112">
        <f t="shared" si="1"/>
        <v>0</v>
      </c>
      <c r="I12" s="35">
        <f>Data!H285</f>
        <v>1.6666666666666666E-2</v>
      </c>
      <c r="J12" s="109">
        <f>E12*I12</f>
        <v>0</v>
      </c>
      <c r="K12" s="36">
        <f t="shared" si="0"/>
        <v>6.7999999999999996E-3</v>
      </c>
      <c r="L12" s="109">
        <f>E12*K12</f>
        <v>0</v>
      </c>
      <c r="M12" s="109">
        <f>H12+J12+L12</f>
        <v>0</v>
      </c>
      <c r="N12" s="34"/>
      <c r="O12" s="34"/>
      <c r="P12" s="34"/>
      <c r="Q12" s="34"/>
      <c r="R12" s="34"/>
      <c r="S12" s="34"/>
      <c r="T12" s="34"/>
      <c r="U12" s="34"/>
      <c r="V12" s="34"/>
    </row>
    <row r="13" spans="1:22" x14ac:dyDescent="0.3">
      <c r="A13" s="664" t="str">
        <f>Data!A283</f>
        <v>Medium tractor (105 hp) - MEDIUM SIZE</v>
      </c>
      <c r="B13" s="247">
        <v>1</v>
      </c>
      <c r="C13" s="34" t="str">
        <f>Data!C283</f>
        <v>tractor</v>
      </c>
      <c r="D13" s="109">
        <f>Data!D283*Data!H4</f>
        <v>0</v>
      </c>
      <c r="E13" s="109">
        <f>D13*B13</f>
        <v>0</v>
      </c>
      <c r="F13" s="109">
        <f>Data!I283*E13</f>
        <v>0</v>
      </c>
      <c r="G13" s="819">
        <f>Data!F283</f>
        <v>40</v>
      </c>
      <c r="H13" s="112">
        <f t="shared" si="1"/>
        <v>0</v>
      </c>
      <c r="I13" s="35">
        <f>Data!H283</f>
        <v>1.35E-2</v>
      </c>
      <c r="J13" s="109">
        <f>E13*I13</f>
        <v>0</v>
      </c>
      <c r="K13" s="36">
        <f t="shared" si="0"/>
        <v>6.7999999999999996E-3</v>
      </c>
      <c r="L13" s="109">
        <f>E13*K13</f>
        <v>0</v>
      </c>
      <c r="M13" s="109">
        <f>H13+J13+L13</f>
        <v>0</v>
      </c>
      <c r="N13" s="34"/>
      <c r="O13" s="34"/>
      <c r="P13" s="34"/>
      <c r="Q13" s="34"/>
      <c r="R13" s="34"/>
      <c r="S13" s="34"/>
      <c r="T13" s="34"/>
      <c r="U13" s="34"/>
      <c r="V13" s="34"/>
    </row>
    <row r="14" spans="1:22" ht="13.25" customHeight="1" x14ac:dyDescent="0.3">
      <c r="A14" s="664" t="str">
        <f>Data!A287</f>
        <v>Medium tractor (105 hp) - MEDIUM SIZE (potato)</v>
      </c>
      <c r="B14" s="247">
        <v>0</v>
      </c>
      <c r="C14" s="34" t="str">
        <f>Data!C287</f>
        <v>tractor</v>
      </c>
      <c r="D14" s="109">
        <f>Data!D287*Data!H4</f>
        <v>0</v>
      </c>
      <c r="E14" s="109">
        <f t="shared" ref="E14:E15" si="2">D14*B14</f>
        <v>0</v>
      </c>
      <c r="F14" s="109">
        <f>Data!I287*E14</f>
        <v>0</v>
      </c>
      <c r="G14" s="819">
        <f>Data!F287</f>
        <v>40</v>
      </c>
      <c r="H14" s="112">
        <f>IF(Data!$D$4=0,0,(E14*(_int_inv_*(1+_int_inv_)^G14)/((1+_int_inv_)^G14-1))-(F14*_int_inv_/((1+_int_inv_)^G14-1)))</f>
        <v>0</v>
      </c>
      <c r="I14" s="35">
        <f>Data!H287</f>
        <v>1.35E-2</v>
      </c>
      <c r="J14" s="109">
        <f t="shared" ref="J14:J15" si="3">E14*I14</f>
        <v>0</v>
      </c>
      <c r="K14" s="36">
        <f t="shared" si="0"/>
        <v>6.7999999999999996E-3</v>
      </c>
      <c r="L14" s="109">
        <f t="shared" ref="L14:L15" si="4">E14*K14</f>
        <v>0</v>
      </c>
      <c r="M14" s="109">
        <f t="shared" ref="M14:M15" si="5">H14+J14+L14</f>
        <v>0</v>
      </c>
      <c r="N14" s="34"/>
      <c r="O14" s="34"/>
      <c r="P14" s="34"/>
      <c r="Q14" s="34"/>
      <c r="R14" s="34"/>
      <c r="S14" s="34"/>
      <c r="T14" s="34"/>
      <c r="U14" s="34"/>
      <c r="V14" s="34"/>
    </row>
    <row r="15" spans="1:22" x14ac:dyDescent="0.3">
      <c r="A15" s="664" t="str">
        <f>Data!A281</f>
        <v>Medium tractor (105 hp) - SMALL SIZE (potato)</v>
      </c>
      <c r="B15" s="247">
        <v>0</v>
      </c>
      <c r="C15" s="34" t="str">
        <f>Data!C281</f>
        <v>tractor</v>
      </c>
      <c r="D15" s="109">
        <f>Data!D281*Data!H4</f>
        <v>0</v>
      </c>
      <c r="E15" s="109">
        <f t="shared" si="2"/>
        <v>0</v>
      </c>
      <c r="F15" s="109">
        <f>Data!I281*E15</f>
        <v>0</v>
      </c>
      <c r="G15" s="819">
        <f>Data!F281</f>
        <v>50</v>
      </c>
      <c r="H15" s="112">
        <f>IF(Data!$D$4=0,0,(E15*(_int_inv_*(1+_int_inv_)^G15)/((1+_int_inv_)^G15-1))-(F15*_int_inv_/((1+_int_inv_)^G15-1)))</f>
        <v>0</v>
      </c>
      <c r="I15" s="35">
        <f>Data!H281</f>
        <v>1.35E-2</v>
      </c>
      <c r="J15" s="109">
        <f t="shared" si="3"/>
        <v>0</v>
      </c>
      <c r="K15" s="36">
        <f t="shared" si="0"/>
        <v>6.7999999999999996E-3</v>
      </c>
      <c r="L15" s="109">
        <f t="shared" si="4"/>
        <v>0</v>
      </c>
      <c r="M15" s="109">
        <f t="shared" si="5"/>
        <v>0</v>
      </c>
      <c r="N15" s="34"/>
      <c r="O15" s="34"/>
      <c r="P15" s="34"/>
      <c r="Q15" s="34"/>
      <c r="R15" s="34"/>
      <c r="S15" s="34"/>
      <c r="T15" s="34"/>
      <c r="U15" s="34"/>
      <c r="V15" s="34"/>
    </row>
    <row r="16" spans="1:22" x14ac:dyDescent="0.3">
      <c r="A16" s="664" t="str">
        <f>Data!A278</f>
        <v>Medium/Large tractor (130 hp) - SMALL SIZE</v>
      </c>
      <c r="B16" s="247">
        <v>0</v>
      </c>
      <c r="C16" s="34" t="str">
        <f>Data!C278</f>
        <v>tractor</v>
      </c>
      <c r="D16" s="109">
        <f>Data!D278*Data!H4</f>
        <v>0</v>
      </c>
      <c r="E16" s="109">
        <f t="shared" ref="E16:E17" si="6">D16*B16</f>
        <v>0</v>
      </c>
      <c r="F16" s="109">
        <f>Data!I278*E16</f>
        <v>0</v>
      </c>
      <c r="G16" s="819">
        <f>Data!F278</f>
        <v>50</v>
      </c>
      <c r="H16" s="112">
        <f t="shared" ref="H16:H17" si="7">(E16*(_int_inv_*(1+_int_inv_)^G16)/((1+_int_inv_)^G16-1))-(F16*_int_inv_/((1+_int_inv_)^G16-1))</f>
        <v>0</v>
      </c>
      <c r="I16" s="35">
        <f>Data!H278</f>
        <v>1.3500000000000002E-2</v>
      </c>
      <c r="J16" s="109">
        <f t="shared" ref="J16:J17" si="8">E16*I16</f>
        <v>0</v>
      </c>
      <c r="K16" s="36">
        <f t="shared" si="0"/>
        <v>6.7999999999999996E-3</v>
      </c>
      <c r="L16" s="109">
        <f t="shared" ref="L16:L17" si="9">E16*K16</f>
        <v>0</v>
      </c>
      <c r="M16" s="109">
        <f t="shared" ref="M16:M17" si="10">H16+J16+L16</f>
        <v>0</v>
      </c>
      <c r="N16" s="34"/>
      <c r="O16" s="34"/>
      <c r="P16" s="34"/>
      <c r="Q16" s="34"/>
      <c r="R16" s="34"/>
      <c r="S16" s="34"/>
      <c r="T16" s="34"/>
      <c r="U16" s="34"/>
      <c r="V16" s="34"/>
    </row>
    <row r="17" spans="1:23" x14ac:dyDescent="0.3">
      <c r="A17" s="664" t="str">
        <f>Data!A276</f>
        <v>Smaller tractor (75 hp) - SMALL SIZE</v>
      </c>
      <c r="B17" s="247">
        <v>0</v>
      </c>
      <c r="C17" s="34" t="str">
        <f>Data!C276</f>
        <v>tractor</v>
      </c>
      <c r="D17" s="109">
        <f>Data!D276*Data!H4</f>
        <v>0</v>
      </c>
      <c r="E17" s="109">
        <f t="shared" si="6"/>
        <v>0</v>
      </c>
      <c r="F17" s="109">
        <f>Data!I276*E17</f>
        <v>0</v>
      </c>
      <c r="G17" s="819">
        <f>Data!F276</f>
        <v>50</v>
      </c>
      <c r="H17" s="112">
        <f t="shared" si="7"/>
        <v>0</v>
      </c>
      <c r="I17" s="35">
        <f>Data!H276</f>
        <v>1.4153846153846152E-2</v>
      </c>
      <c r="J17" s="109">
        <f t="shared" si="8"/>
        <v>0</v>
      </c>
      <c r="K17" s="36">
        <f t="shared" si="0"/>
        <v>6.7999999999999996E-3</v>
      </c>
      <c r="L17" s="109">
        <f t="shared" si="9"/>
        <v>0</v>
      </c>
      <c r="M17" s="109">
        <f t="shared" si="10"/>
        <v>0</v>
      </c>
      <c r="N17" s="34"/>
      <c r="O17" s="34"/>
      <c r="P17" s="34"/>
      <c r="Q17" s="34"/>
      <c r="R17" s="34"/>
      <c r="S17" s="34"/>
      <c r="T17" s="34"/>
      <c r="U17" s="34"/>
      <c r="V17" s="34"/>
    </row>
    <row r="18" spans="1:23" x14ac:dyDescent="0.3">
      <c r="B18" s="33"/>
      <c r="C18" s="34"/>
      <c r="D18" s="109"/>
      <c r="E18" s="109"/>
      <c r="F18" s="109"/>
      <c r="G18" s="32"/>
      <c r="H18" s="112"/>
      <c r="I18" s="35"/>
      <c r="J18" s="109"/>
      <c r="K18" s="35"/>
      <c r="L18" s="109"/>
      <c r="M18" s="109"/>
      <c r="N18" s="32"/>
      <c r="O18" s="34"/>
      <c r="P18" s="34"/>
      <c r="Q18" s="34"/>
      <c r="R18" s="34"/>
      <c r="S18" s="34"/>
      <c r="T18" s="34"/>
      <c r="U18" s="34"/>
      <c r="V18" s="34"/>
    </row>
    <row r="19" spans="1:23" x14ac:dyDescent="0.3">
      <c r="A19" s="14" t="s">
        <v>35</v>
      </c>
      <c r="D19" s="110"/>
      <c r="E19" s="110"/>
      <c r="F19" s="109"/>
      <c r="H19" s="112"/>
      <c r="J19" s="110"/>
      <c r="L19" s="110"/>
      <c r="M19" s="109"/>
    </row>
    <row r="20" spans="1:23" x14ac:dyDescent="0.3">
      <c r="A20" s="664" t="str">
        <f>Data!A297</f>
        <v>Bulk Body Truck(s) - SMALL SIZE</v>
      </c>
      <c r="B20" s="33">
        <f>Data!B297*Data!M297</f>
        <v>0</v>
      </c>
      <c r="C20" s="34" t="str">
        <f>Data!C297</f>
        <v>truck</v>
      </c>
      <c r="D20" s="109">
        <f>Data!D297*Data!J4</f>
        <v>0</v>
      </c>
      <c r="E20" s="109">
        <f>D20*B20</f>
        <v>0</v>
      </c>
      <c r="F20" s="109">
        <f>Data!I297*E20</f>
        <v>0</v>
      </c>
      <c r="G20" s="819">
        <f>Data!F297</f>
        <v>40</v>
      </c>
      <c r="H20" s="112">
        <f t="shared" si="1"/>
        <v>0</v>
      </c>
      <c r="I20" s="35">
        <f>Data!H297</f>
        <v>0.02</v>
      </c>
      <c r="J20" s="109">
        <f>E20*I20</f>
        <v>0</v>
      </c>
      <c r="K20" s="36">
        <f t="shared" ref="K20:K25" si="11">_tax_ins_</f>
        <v>6.7999999999999996E-3</v>
      </c>
      <c r="L20" s="109">
        <f>E20*K20</f>
        <v>0</v>
      </c>
      <c r="M20" s="109">
        <f>H20+J20+L20</f>
        <v>0</v>
      </c>
      <c r="N20" s="34"/>
      <c r="O20" s="34"/>
      <c r="P20" s="34"/>
      <c r="Q20" s="34"/>
      <c r="R20" s="34"/>
    </row>
    <row r="21" spans="1:23" x14ac:dyDescent="0.3">
      <c r="A21" s="664" t="str">
        <f>Data!A298</f>
        <v>Bulk Body Truck(s) - MEDIUM SIZE</v>
      </c>
      <c r="B21" s="33">
        <f>Data!B298*Data!M298</f>
        <v>9</v>
      </c>
      <c r="C21" s="34" t="str">
        <f>Data!C298</f>
        <v>truck</v>
      </c>
      <c r="D21" s="109">
        <f>Data!D298*Data!J4</f>
        <v>0</v>
      </c>
      <c r="E21" s="109">
        <f t="shared" ref="E21:E22" si="12">D21*B21</f>
        <v>0</v>
      </c>
      <c r="F21" s="109">
        <f>Data!I298*E21</f>
        <v>0</v>
      </c>
      <c r="G21" s="819">
        <f>Data!F298</f>
        <v>40</v>
      </c>
      <c r="H21" s="112">
        <f t="shared" ref="H21:H22" si="13">(E21*(_int_inv_*(1+_int_inv_)^G21)/((1+_int_inv_)^G21-1))-(F21*_int_inv_/((1+_int_inv_)^G21-1))</f>
        <v>0</v>
      </c>
      <c r="I21" s="35">
        <f>Data!H298</f>
        <v>0.02</v>
      </c>
      <c r="J21" s="109">
        <f t="shared" ref="J21:J22" si="14">E21*I21</f>
        <v>0</v>
      </c>
      <c r="K21" s="36">
        <f t="shared" si="11"/>
        <v>6.7999999999999996E-3</v>
      </c>
      <c r="L21" s="109">
        <f t="shared" ref="L21:L22" si="15">E21*K21</f>
        <v>0</v>
      </c>
      <c r="M21" s="109">
        <f t="shared" ref="M21:M22" si="16">H21+J21+L21</f>
        <v>0</v>
      </c>
      <c r="N21" s="34"/>
      <c r="O21" s="34"/>
      <c r="P21" s="34"/>
      <c r="Q21" s="34"/>
      <c r="R21" s="34"/>
    </row>
    <row r="22" spans="1:23" x14ac:dyDescent="0.3">
      <c r="A22" s="664" t="str">
        <f>Data!A299</f>
        <v>Bulk Body Truck(s) - LARGE SIZE</v>
      </c>
      <c r="B22" s="33">
        <f>Data!B299*Data!M299</f>
        <v>0</v>
      </c>
      <c r="C22" s="34" t="str">
        <f>Data!C299</f>
        <v>truck</v>
      </c>
      <c r="D22" s="109">
        <f>Data!D299*Data!J4</f>
        <v>0</v>
      </c>
      <c r="E22" s="109">
        <f t="shared" si="12"/>
        <v>0</v>
      </c>
      <c r="F22" s="109">
        <f>Data!I299*E22</f>
        <v>0</v>
      </c>
      <c r="G22" s="819">
        <f>Data!F299</f>
        <v>40</v>
      </c>
      <c r="H22" s="112">
        <f t="shared" si="13"/>
        <v>0</v>
      </c>
      <c r="I22" s="35">
        <f>Data!H299</f>
        <v>0.02</v>
      </c>
      <c r="J22" s="109">
        <f t="shared" si="14"/>
        <v>0</v>
      </c>
      <c r="K22" s="36">
        <f t="shared" si="11"/>
        <v>6.7999999999999996E-3</v>
      </c>
      <c r="L22" s="109">
        <f t="shared" si="15"/>
        <v>0</v>
      </c>
      <c r="M22" s="109">
        <f t="shared" si="16"/>
        <v>0</v>
      </c>
      <c r="N22" s="34"/>
      <c r="O22" s="34"/>
      <c r="P22" s="34"/>
      <c r="Q22" s="34"/>
      <c r="R22" s="34"/>
    </row>
    <row r="23" spans="1:23" x14ac:dyDescent="0.3">
      <c r="A23" s="664" t="str">
        <f>Data!A304</f>
        <v>Bulk Body Trucks</v>
      </c>
      <c r="B23" s="247">
        <v>2</v>
      </c>
      <c r="C23" s="34" t="str">
        <f>Data!C304</f>
        <v>truck</v>
      </c>
      <c r="D23" s="109">
        <f>Data!D304*Data!L4</f>
        <v>0</v>
      </c>
      <c r="E23" s="109">
        <f>D23*B23</f>
        <v>0</v>
      </c>
      <c r="F23" s="109">
        <f>Data!I304*E23</f>
        <v>0</v>
      </c>
      <c r="G23" s="34">
        <f>Data!F304</f>
        <v>10</v>
      </c>
      <c r="H23" s="112">
        <f>(E23*(_int_inv_*(1+_int_inv_)^G23)/((1+_int_inv_)^G23-1))-(F23*_int_inv_/((1+_int_inv_)^G23-1))</f>
        <v>0</v>
      </c>
      <c r="I23" s="35">
        <f>Data!H304</f>
        <v>4.4999999999999998E-2</v>
      </c>
      <c r="J23" s="109">
        <f>E23*I23</f>
        <v>0</v>
      </c>
      <c r="K23" s="36">
        <f t="shared" si="11"/>
        <v>6.7999999999999996E-3</v>
      </c>
      <c r="L23" s="109">
        <f>E23*K23</f>
        <v>0</v>
      </c>
      <c r="M23" s="109">
        <f>H23+J23+L23</f>
        <v>0</v>
      </c>
      <c r="N23" s="34"/>
      <c r="O23" s="34"/>
      <c r="P23" s="34"/>
      <c r="Q23" s="34"/>
      <c r="R23" s="34"/>
    </row>
    <row r="24" spans="1:23" x14ac:dyDescent="0.3">
      <c r="A24" s="664" t="str">
        <f>Data!A305</f>
        <v>Water Truck</v>
      </c>
      <c r="B24" s="163">
        <f>Data!B305</f>
        <v>0</v>
      </c>
      <c r="C24" s="34" t="str">
        <f>Data!C305</f>
        <v>truck</v>
      </c>
      <c r="D24" s="109">
        <f>Data!D305*Data!D4</f>
        <v>0</v>
      </c>
      <c r="E24" s="109">
        <f>D24*B24</f>
        <v>0</v>
      </c>
      <c r="F24" s="109">
        <f>Data!I305*E24</f>
        <v>0</v>
      </c>
      <c r="G24" s="90">
        <f>Data!F305</f>
        <v>15</v>
      </c>
      <c r="H24" s="112">
        <f t="shared" si="1"/>
        <v>0</v>
      </c>
      <c r="I24" s="162">
        <f>Data!H305</f>
        <v>4.4999999999999998E-2</v>
      </c>
      <c r="J24" s="109">
        <f>E24*I24</f>
        <v>0</v>
      </c>
      <c r="K24" s="36">
        <f t="shared" si="11"/>
        <v>6.7999999999999996E-3</v>
      </c>
      <c r="L24" s="109">
        <f>E24*K24</f>
        <v>0</v>
      </c>
      <c r="M24" s="109">
        <f>H24+J24+L24</f>
        <v>0</v>
      </c>
      <c r="N24" s="34"/>
      <c r="O24" s="34"/>
      <c r="P24" s="34"/>
      <c r="Q24" s="34"/>
      <c r="R24" s="34"/>
      <c r="S24" s="34"/>
      <c r="T24" s="34"/>
      <c r="U24" s="34"/>
      <c r="V24" s="34"/>
    </row>
    <row r="25" spans="1:23" x14ac:dyDescent="0.3">
      <c r="A25" s="664" t="str">
        <f>Data!A306</f>
        <v>3/4 Ton Farm Pickup</v>
      </c>
      <c r="B25" s="163">
        <f>Data!B306</f>
        <v>0</v>
      </c>
      <c r="C25" s="34" t="str">
        <f>Data!C306</f>
        <v>truck</v>
      </c>
      <c r="D25" s="109">
        <f>Data!D306*Data!D4</f>
        <v>0</v>
      </c>
      <c r="E25" s="109">
        <f>D25*B25</f>
        <v>0</v>
      </c>
      <c r="F25" s="109">
        <f>Data!I306*E25</f>
        <v>0</v>
      </c>
      <c r="G25" s="90">
        <f>Data!F306</f>
        <v>7</v>
      </c>
      <c r="H25" s="112">
        <f t="shared" si="1"/>
        <v>0</v>
      </c>
      <c r="I25" s="162">
        <f>Data!H306</f>
        <v>4.4999999999999998E-2</v>
      </c>
      <c r="J25" s="109">
        <f>E25*I25</f>
        <v>0</v>
      </c>
      <c r="K25" s="36">
        <f t="shared" si="11"/>
        <v>6.7999999999999996E-3</v>
      </c>
      <c r="L25" s="109">
        <f>E25*K25</f>
        <v>0</v>
      </c>
      <c r="M25" s="109">
        <f>H25+J25+L25</f>
        <v>0</v>
      </c>
      <c r="N25" s="34"/>
      <c r="O25" s="34"/>
      <c r="P25" s="34"/>
      <c r="Q25" s="34"/>
      <c r="R25" s="34"/>
      <c r="S25" s="34"/>
      <c r="T25" s="34"/>
      <c r="U25" s="34"/>
      <c r="V25" s="34"/>
    </row>
    <row r="26" spans="1:23" x14ac:dyDescent="0.3">
      <c r="B26" s="33"/>
      <c r="C26" s="34"/>
      <c r="D26" s="109"/>
      <c r="E26" s="109"/>
      <c r="F26" s="109"/>
      <c r="G26" s="32"/>
      <c r="H26" s="112"/>
      <c r="I26" s="35"/>
      <c r="J26" s="109"/>
      <c r="K26" s="35"/>
      <c r="L26" s="109"/>
      <c r="M26" s="109"/>
      <c r="N26" s="34"/>
      <c r="O26" s="34"/>
      <c r="P26" s="34"/>
      <c r="Q26" s="34"/>
      <c r="R26" s="34"/>
      <c r="S26" s="34"/>
      <c r="T26" s="34"/>
      <c r="U26" s="34"/>
      <c r="V26" s="34"/>
    </row>
    <row r="27" spans="1:23" x14ac:dyDescent="0.3">
      <c r="A27" s="14" t="s">
        <v>6</v>
      </c>
      <c r="B27" s="33"/>
      <c r="C27" s="33"/>
      <c r="D27" s="33"/>
      <c r="E27" s="109"/>
      <c r="F27" s="109"/>
      <c r="G27" s="34"/>
      <c r="H27" s="112"/>
      <c r="I27" s="35"/>
      <c r="J27" s="109"/>
      <c r="K27" s="35"/>
      <c r="L27" s="109"/>
      <c r="M27" s="109"/>
      <c r="N27" s="34"/>
      <c r="O27" s="34"/>
      <c r="P27" s="34"/>
      <c r="Q27" s="34"/>
      <c r="R27" s="34"/>
      <c r="S27" s="34"/>
      <c r="T27" s="34"/>
      <c r="U27" s="34"/>
      <c r="V27" s="34"/>
    </row>
    <row r="28" spans="1:23" x14ac:dyDescent="0.3">
      <c r="A28" s="6" t="str">
        <f>Data!A313</f>
        <v>Chisel Plow (15 ft) - SMALL SIZE</v>
      </c>
      <c r="B28" s="33">
        <f>Data!B313</f>
        <v>0</v>
      </c>
      <c r="C28" s="34" t="str">
        <f>Data!C313</f>
        <v>chisel plow</v>
      </c>
      <c r="D28" s="109">
        <f>Data!D313*Data!P4</f>
        <v>0</v>
      </c>
      <c r="E28" s="109">
        <f>D28*B28</f>
        <v>0</v>
      </c>
      <c r="F28" s="109">
        <f>Data!I313*E28</f>
        <v>0</v>
      </c>
      <c r="G28" s="819">
        <f>Data!F313</f>
        <v>40</v>
      </c>
      <c r="H28" s="112">
        <f>(E28*(_int_inv_*(1+_int_inv_)^G28)/((1+_int_inv_)^G28-1))-(F28*_int_inv_/((1+_int_inv_)^G28-1))</f>
        <v>0</v>
      </c>
      <c r="I28" s="35">
        <f>Data!H313</f>
        <v>2.433684210526316E-2</v>
      </c>
      <c r="J28" s="109">
        <f>E28*I28</f>
        <v>0</v>
      </c>
      <c r="K28" s="36">
        <f>_tax_ins_</f>
        <v>6.7999999999999996E-3</v>
      </c>
      <c r="L28" s="109">
        <f>E28*K28</f>
        <v>0</v>
      </c>
      <c r="M28" s="109">
        <f>H28+J28+L28</f>
        <v>0</v>
      </c>
      <c r="N28" s="34"/>
      <c r="O28" s="34"/>
      <c r="P28" s="34"/>
      <c r="Q28" s="34"/>
      <c r="R28" s="34"/>
      <c r="S28" s="34"/>
      <c r="T28" s="34"/>
      <c r="U28" s="34"/>
      <c r="V28" s="34"/>
      <c r="W28" s="34"/>
    </row>
    <row r="29" spans="1:23" x14ac:dyDescent="0.3">
      <c r="A29" s="6" t="str">
        <f>Data!A316</f>
        <v>Disk Harrow (12 ft) - SMALL SIZE</v>
      </c>
      <c r="B29" s="33">
        <f>Data!B316</f>
        <v>0</v>
      </c>
      <c r="C29" s="34" t="str">
        <f>Data!C316</f>
        <v>disk harrow</v>
      </c>
      <c r="D29" s="109">
        <f>Data!D316*Data!P4</f>
        <v>0</v>
      </c>
      <c r="E29" s="109">
        <f>D29*B29</f>
        <v>0</v>
      </c>
      <c r="F29" s="109">
        <f>Data!I316*E29</f>
        <v>0</v>
      </c>
      <c r="G29" s="819">
        <f>Data!F316</f>
        <v>50</v>
      </c>
      <c r="H29" s="112">
        <f>(E29*(_int_inv_*(1+_int_inv_)^G29)/((1+_int_inv_)^G29-1))-(F29*_int_inv_/((1+_int_inv_)^G29-1))</f>
        <v>0</v>
      </c>
      <c r="I29" s="35">
        <f>Data!H316</f>
        <v>2.2825263157894737E-2</v>
      </c>
      <c r="J29" s="109">
        <f>E29*I29</f>
        <v>0</v>
      </c>
      <c r="K29" s="36">
        <f>_tax_ins_</f>
        <v>6.7999999999999996E-3</v>
      </c>
      <c r="L29" s="109">
        <f>E29*K29</f>
        <v>0</v>
      </c>
      <c r="M29" s="109">
        <f>H29+J29+L29</f>
        <v>0</v>
      </c>
      <c r="N29" s="34"/>
      <c r="O29" s="34"/>
      <c r="P29" s="34"/>
      <c r="Q29" s="34"/>
      <c r="R29" s="34"/>
      <c r="S29" s="34"/>
      <c r="T29" s="34"/>
      <c r="U29" s="34"/>
      <c r="V29" s="34"/>
      <c r="W29" s="34"/>
    </row>
    <row r="30" spans="1:23" ht="13.25" customHeight="1" x14ac:dyDescent="0.3">
      <c r="A30" s="6" t="str">
        <f>Data!A319</f>
        <v>Soil Conditioner/Field Cultivator (18 ft) - SMALL SIZE</v>
      </c>
      <c r="B30" s="33">
        <f>Data!B319</f>
        <v>0</v>
      </c>
      <c r="C30" s="34" t="str">
        <f>Data!C319</f>
        <v>condit.</v>
      </c>
      <c r="D30" s="109">
        <f>Data!D319*Data!P4</f>
        <v>0</v>
      </c>
      <c r="E30" s="109">
        <f>D30*B30</f>
        <v>0</v>
      </c>
      <c r="F30" s="109">
        <f>Data!I319*E30</f>
        <v>0</v>
      </c>
      <c r="G30" s="819">
        <f>Data!F319</f>
        <v>40</v>
      </c>
      <c r="H30" s="112">
        <f>(E30*(_int_inv_*(1+_int_inv_)^G30)/((1+_int_inv_)^G30-1))-(F30*_int_inv_/((1+_int_inv_)^G30-1))</f>
        <v>0</v>
      </c>
      <c r="I30" s="35">
        <f>Data!H319</f>
        <v>3.245E-2</v>
      </c>
      <c r="J30" s="109">
        <f>E30*I30</f>
        <v>0</v>
      </c>
      <c r="K30" s="36">
        <f>_tax_ins_</f>
        <v>6.7999999999999996E-3</v>
      </c>
      <c r="L30" s="109">
        <f>E30*K30</f>
        <v>0</v>
      </c>
      <c r="M30" s="109">
        <f>H30+J30+L30</f>
        <v>0</v>
      </c>
      <c r="N30" s="34"/>
      <c r="O30" s="34"/>
      <c r="P30" s="34"/>
      <c r="Q30" s="34"/>
      <c r="R30" s="34"/>
      <c r="S30" s="34"/>
      <c r="T30" s="34"/>
      <c r="U30" s="34"/>
      <c r="V30" s="34"/>
      <c r="W30" s="34"/>
    </row>
    <row r="31" spans="1:23" x14ac:dyDescent="0.3">
      <c r="A31" s="6" t="str">
        <f>Data!A322</f>
        <v>Cultivators - 6 row (15 ft) - SMALL SIZE</v>
      </c>
      <c r="B31" s="163">
        <f>Data!B322</f>
        <v>0</v>
      </c>
      <c r="C31" s="34" t="str">
        <f>Data!C322</f>
        <v>cultivator</v>
      </c>
      <c r="D31" s="109">
        <f>Data!D322*Data!D4</f>
        <v>0</v>
      </c>
      <c r="E31" s="109">
        <f>D31*B31</f>
        <v>0</v>
      </c>
      <c r="F31" s="109">
        <f>Data!I322*E31</f>
        <v>0</v>
      </c>
      <c r="G31" s="823">
        <f>Data!F322</f>
        <v>50</v>
      </c>
      <c r="H31" s="112">
        <f>(E31*(_int_inv_*(1+_int_inv_)^G31)/((1+_int_inv_)^G31-1))-(F31*_int_inv_/((1+_int_inv_)^G31-1))</f>
        <v>0</v>
      </c>
      <c r="I31" s="162">
        <f>Data!H322</f>
        <v>2.3395714285714287E-2</v>
      </c>
      <c r="J31" s="109">
        <f>E31*I31</f>
        <v>0</v>
      </c>
      <c r="K31" s="36">
        <f>_tax_ins_</f>
        <v>6.7999999999999996E-3</v>
      </c>
      <c r="L31" s="109">
        <f>E31*K31</f>
        <v>0</v>
      </c>
      <c r="M31" s="109">
        <f>H31+J31+L31</f>
        <v>0</v>
      </c>
      <c r="N31" s="34"/>
      <c r="O31" s="34"/>
      <c r="P31" s="34"/>
      <c r="Q31" s="34"/>
      <c r="R31" s="34"/>
      <c r="S31" s="34"/>
      <c r="T31" s="34"/>
      <c r="U31" s="34"/>
      <c r="V31" s="34"/>
    </row>
    <row r="32" spans="1:23" x14ac:dyDescent="0.3">
      <c r="A32" s="6" t="str">
        <f>Data!A328</f>
        <v>Rock Picker</v>
      </c>
      <c r="B32" s="163">
        <f>Data!B328</f>
        <v>0</v>
      </c>
      <c r="C32" s="34" t="str">
        <f>Data!C328</f>
        <v>rock picker</v>
      </c>
      <c r="D32" s="109">
        <f>Data!D328*Data!D4</f>
        <v>0</v>
      </c>
      <c r="E32" s="109">
        <f>D32*B32</f>
        <v>0</v>
      </c>
      <c r="F32" s="109">
        <f>Data!I328*E32</f>
        <v>0</v>
      </c>
      <c r="G32" s="90">
        <f>Data!F328</f>
        <v>10</v>
      </c>
      <c r="H32" s="112">
        <f>(E32*(_int_inv_*(1+_int_inv_)^G32)/((1+_int_inv_)^G32-1))-(F32*_int_inv_/((1+_int_inv_)^G32-1))</f>
        <v>0</v>
      </c>
      <c r="I32" s="162">
        <f>Data!H328</f>
        <v>4.4999999999999998E-2</v>
      </c>
      <c r="J32" s="109">
        <f>E32*I32</f>
        <v>0</v>
      </c>
      <c r="K32" s="36">
        <f>_tax_ins_</f>
        <v>6.7999999999999996E-3</v>
      </c>
      <c r="L32" s="109">
        <f>E32*K32</f>
        <v>0</v>
      </c>
      <c r="M32" s="109">
        <f>H32+J32+L32</f>
        <v>0</v>
      </c>
      <c r="N32" s="34"/>
      <c r="O32" s="34"/>
      <c r="P32" s="34"/>
      <c r="Q32" s="34"/>
      <c r="R32" s="34"/>
      <c r="S32" s="34"/>
      <c r="T32" s="34"/>
      <c r="U32" s="34"/>
      <c r="V32" s="34"/>
    </row>
    <row r="33" spans="1:32" x14ac:dyDescent="0.3">
      <c r="B33" s="33"/>
      <c r="C33" s="34"/>
      <c r="D33" s="109"/>
      <c r="E33" s="109"/>
      <c r="F33" s="109"/>
      <c r="G33" s="32"/>
      <c r="H33" s="112"/>
      <c r="I33" s="35"/>
      <c r="J33" s="109"/>
      <c r="K33" s="36"/>
      <c r="L33" s="109"/>
      <c r="M33" s="109"/>
      <c r="N33" s="34"/>
      <c r="O33" s="34"/>
      <c r="P33" s="34"/>
      <c r="Q33" s="34"/>
      <c r="R33" s="34"/>
      <c r="S33" s="34"/>
      <c r="T33" s="34"/>
      <c r="U33" s="34"/>
      <c r="V33" s="34"/>
    </row>
    <row r="34" spans="1:32" x14ac:dyDescent="0.3">
      <c r="A34" s="14" t="s">
        <v>4</v>
      </c>
      <c r="B34" s="33"/>
      <c r="C34" s="34"/>
      <c r="E34" s="109"/>
      <c r="F34" s="109"/>
      <c r="G34" s="34"/>
      <c r="H34" s="112"/>
      <c r="I34" s="35"/>
      <c r="J34" s="109"/>
      <c r="K34" s="35"/>
      <c r="L34" s="109"/>
      <c r="M34" s="109"/>
      <c r="N34" s="34"/>
      <c r="O34" s="34"/>
      <c r="P34" s="34"/>
      <c r="Q34" s="34"/>
      <c r="R34" s="34"/>
      <c r="S34" s="34"/>
      <c r="T34" s="34"/>
      <c r="U34" s="34"/>
      <c r="V34" s="34"/>
    </row>
    <row r="35" spans="1:32" x14ac:dyDescent="0.3">
      <c r="A35" s="6" t="str">
        <f>Data!A332</f>
        <v>Seed Treater</v>
      </c>
      <c r="B35" s="163">
        <f>Data!B332</f>
        <v>0</v>
      </c>
      <c r="C35" s="34" t="str">
        <f>Data!C332</f>
        <v>treater</v>
      </c>
      <c r="D35" s="109">
        <f>Data!D332*Data!D4</f>
        <v>0</v>
      </c>
      <c r="E35" s="109">
        <f>D35*B35</f>
        <v>0</v>
      </c>
      <c r="F35" s="109">
        <f>Data!I332*E35</f>
        <v>0</v>
      </c>
      <c r="G35" s="90">
        <f>Data!F332</f>
        <v>33</v>
      </c>
      <c r="H35" s="112">
        <f t="shared" si="1"/>
        <v>0</v>
      </c>
      <c r="I35" s="164">
        <f>Data!H332</f>
        <v>4.4999999999999998E-2</v>
      </c>
      <c r="J35" s="109">
        <f>E35*I35</f>
        <v>0</v>
      </c>
      <c r="K35" s="36">
        <f>_tax_ins_</f>
        <v>6.7999999999999996E-3</v>
      </c>
      <c r="L35" s="109">
        <f>E35*K35</f>
        <v>0</v>
      </c>
      <c r="M35" s="109">
        <f>H35+J35+L35</f>
        <v>0</v>
      </c>
      <c r="N35" s="34"/>
      <c r="O35" s="34"/>
      <c r="P35" s="34"/>
      <c r="Q35" s="34"/>
      <c r="R35" s="34"/>
      <c r="S35" s="34"/>
      <c r="T35" s="34"/>
      <c r="U35" s="34"/>
      <c r="V35" s="34"/>
    </row>
    <row r="36" spans="1:32" x14ac:dyDescent="0.3">
      <c r="A36" s="6" t="str">
        <f>Data!A333</f>
        <v>Seed Cutter</v>
      </c>
      <c r="B36" s="163">
        <f>Data!B333</f>
        <v>0</v>
      </c>
      <c r="C36" s="34" t="str">
        <f>Data!C333</f>
        <v>cutter</v>
      </c>
      <c r="D36" s="109">
        <f>Data!D333*Data!D4</f>
        <v>0</v>
      </c>
      <c r="E36" s="109">
        <f>D36*B36</f>
        <v>0</v>
      </c>
      <c r="F36" s="109">
        <f>Data!I333*E36</f>
        <v>0</v>
      </c>
      <c r="G36" s="90">
        <f>Data!F333</f>
        <v>33</v>
      </c>
      <c r="H36" s="112">
        <f t="shared" si="1"/>
        <v>0</v>
      </c>
      <c r="I36" s="164">
        <f>Data!H333</f>
        <v>4.4999999999999998E-2</v>
      </c>
      <c r="J36" s="109">
        <f>E36*I36</f>
        <v>0</v>
      </c>
      <c r="K36" s="36">
        <f>_tax_ins_</f>
        <v>6.7999999999999996E-3</v>
      </c>
      <c r="L36" s="109">
        <f>E36*K36</f>
        <v>0</v>
      </c>
      <c r="M36" s="109">
        <f>H36+J36+L36</f>
        <v>0</v>
      </c>
      <c r="N36" s="34"/>
      <c r="O36" s="34"/>
      <c r="P36" s="34"/>
      <c r="Q36" s="34"/>
      <c r="R36" s="34"/>
      <c r="S36" s="34"/>
      <c r="T36" s="34"/>
      <c r="U36" s="34"/>
      <c r="V36" s="34"/>
    </row>
    <row r="37" spans="1:32" x14ac:dyDescent="0.3">
      <c r="A37" s="6" t="str">
        <f>Data!A334</f>
        <v xml:space="preserve">Fertilizer Spreader </v>
      </c>
      <c r="B37" s="247">
        <v>1</v>
      </c>
      <c r="C37" s="34" t="str">
        <f>Data!C334</f>
        <v>fert.spread</v>
      </c>
      <c r="D37" s="109">
        <f>Data!D334*Data!N4</f>
        <v>0</v>
      </c>
      <c r="E37" s="109">
        <f>D37*B37</f>
        <v>0</v>
      </c>
      <c r="F37" s="109">
        <f>Data!I334*E37</f>
        <v>0</v>
      </c>
      <c r="G37" s="60">
        <f>Data!F334</f>
        <v>10</v>
      </c>
      <c r="H37" s="112">
        <f t="shared" si="1"/>
        <v>0</v>
      </c>
      <c r="I37" s="35">
        <f>Data!H334</f>
        <v>4.4999999999999998E-2</v>
      </c>
      <c r="J37" s="109">
        <f>E37*I37</f>
        <v>0</v>
      </c>
      <c r="K37" s="36">
        <f>_tax_ins_</f>
        <v>6.7999999999999996E-3</v>
      </c>
      <c r="L37" s="109">
        <f>E37*K37</f>
        <v>0</v>
      </c>
      <c r="M37" s="109">
        <f>H37+J37+L37</f>
        <v>0</v>
      </c>
    </row>
    <row r="38" spans="1:32" x14ac:dyDescent="0.3">
      <c r="A38" s="6" t="str">
        <f>Data!A341</f>
        <v>Potato Planter</v>
      </c>
      <c r="B38" s="163">
        <f>Data!B341</f>
        <v>0</v>
      </c>
      <c r="C38" s="34" t="str">
        <f>Data!C341</f>
        <v>planter</v>
      </c>
      <c r="D38" s="109">
        <f>Data!D341*Data!D4</f>
        <v>0</v>
      </c>
      <c r="E38" s="109">
        <f>D38*B38</f>
        <v>0</v>
      </c>
      <c r="F38" s="109">
        <f>Data!I341*E38</f>
        <v>0</v>
      </c>
      <c r="G38" s="90">
        <f>Data!F341</f>
        <v>10</v>
      </c>
      <c r="H38" s="112">
        <f t="shared" si="1"/>
        <v>0</v>
      </c>
      <c r="I38" s="162">
        <f>Data!H341</f>
        <v>4.4999999999999998E-2</v>
      </c>
      <c r="J38" s="109">
        <f>E38*I38</f>
        <v>0</v>
      </c>
      <c r="K38" s="36">
        <f>_tax_ins_</f>
        <v>6.7999999999999996E-3</v>
      </c>
      <c r="L38" s="109">
        <f>E38*K38</f>
        <v>0</v>
      </c>
      <c r="M38" s="109">
        <f>H38+J38+L38</f>
        <v>0</v>
      </c>
      <c r="N38" s="34"/>
      <c r="O38" s="34"/>
      <c r="P38" s="34"/>
      <c r="Q38" s="34"/>
      <c r="R38" s="34"/>
      <c r="S38" s="34"/>
      <c r="T38" s="34"/>
      <c r="U38" s="34"/>
      <c r="V38" s="34"/>
    </row>
    <row r="39" spans="1:32" x14ac:dyDescent="0.3">
      <c r="A39" s="6" t="str">
        <f>Data!A342</f>
        <v>Potato Planter Filler</v>
      </c>
      <c r="B39" s="163">
        <f>Data!B342</f>
        <v>0</v>
      </c>
      <c r="C39" s="34" t="str">
        <f>Data!C342</f>
        <v>filler</v>
      </c>
      <c r="D39" s="109">
        <f>Data!D342*Data!D4</f>
        <v>0</v>
      </c>
      <c r="E39" s="109">
        <f>D39*B39</f>
        <v>0</v>
      </c>
      <c r="F39" s="109">
        <f>Data!I342*E39</f>
        <v>0</v>
      </c>
      <c r="G39" s="90">
        <f>Data!F342</f>
        <v>33</v>
      </c>
      <c r="H39" s="112">
        <f t="shared" si="1"/>
        <v>0</v>
      </c>
      <c r="I39" s="162">
        <f>Data!H342</f>
        <v>4.4999999999999998E-2</v>
      </c>
      <c r="J39" s="109">
        <f>E39*I39</f>
        <v>0</v>
      </c>
      <c r="K39" s="36">
        <f>_tax_ins_</f>
        <v>6.7999999999999996E-3</v>
      </c>
      <c r="L39" s="109">
        <f>E39*K39</f>
        <v>0</v>
      </c>
      <c r="M39" s="109">
        <f>H39+J39+L39</f>
        <v>0</v>
      </c>
      <c r="N39" s="34"/>
      <c r="O39" s="34"/>
      <c r="P39" s="34"/>
      <c r="Q39" s="34"/>
      <c r="R39" s="34"/>
      <c r="S39" s="34"/>
      <c r="T39" s="34"/>
      <c r="U39" s="34"/>
      <c r="V39" s="34"/>
    </row>
    <row r="40" spans="1:32" x14ac:dyDescent="0.3">
      <c r="B40" s="33"/>
      <c r="C40" s="34"/>
      <c r="D40" s="109"/>
      <c r="E40" s="109"/>
      <c r="F40" s="109"/>
      <c r="G40" s="32"/>
      <c r="H40" s="112"/>
      <c r="I40" s="35"/>
      <c r="J40" s="109"/>
      <c r="K40" s="35"/>
      <c r="L40" s="109"/>
      <c r="M40" s="109"/>
      <c r="N40" s="34"/>
      <c r="O40" s="34"/>
      <c r="P40" s="34"/>
      <c r="Q40" s="34"/>
      <c r="R40" s="34"/>
      <c r="S40" s="34"/>
      <c r="T40" s="34"/>
      <c r="U40" s="34"/>
      <c r="V40" s="34"/>
    </row>
    <row r="41" spans="1:32" x14ac:dyDescent="0.3">
      <c r="A41" s="14" t="s">
        <v>7</v>
      </c>
      <c r="B41" s="33"/>
      <c r="C41" s="34"/>
      <c r="D41" s="109"/>
      <c r="E41" s="109"/>
      <c r="F41" s="109"/>
      <c r="G41" s="34"/>
      <c r="H41" s="112"/>
      <c r="I41" s="35"/>
      <c r="J41" s="109"/>
      <c r="K41" s="36"/>
      <c r="L41" s="109"/>
      <c r="M41" s="109"/>
      <c r="N41" s="34"/>
      <c r="O41" s="34"/>
      <c r="P41" s="34"/>
      <c r="Q41" s="34"/>
      <c r="R41" s="34"/>
      <c r="S41" s="34"/>
      <c r="T41" s="34"/>
      <c r="U41" s="34"/>
      <c r="V41" s="34"/>
    </row>
    <row r="42" spans="1:32" ht="12.75" customHeight="1" x14ac:dyDescent="0.3">
      <c r="A42" s="6" t="str">
        <f>Data!A353</f>
        <v>Sprayer (Tractor Mounted Boom, 50 ft) - SMALL SIZE</v>
      </c>
      <c r="B42" s="247">
        <v>1</v>
      </c>
      <c r="C42" s="34" t="str">
        <f>Data!C353</f>
        <v>sprayer</v>
      </c>
      <c r="D42" s="109">
        <f>Data!D353*Data!P4</f>
        <v>0</v>
      </c>
      <c r="E42" s="109">
        <f>D42*B42</f>
        <v>0</v>
      </c>
      <c r="F42" s="109">
        <f>Data!I353*E42</f>
        <v>0</v>
      </c>
      <c r="G42" s="34">
        <f>Data!F353</f>
        <v>50</v>
      </c>
      <c r="H42" s="112">
        <f t="shared" si="1"/>
        <v>0</v>
      </c>
      <c r="I42" s="35">
        <f>Data!H353</f>
        <v>4.4999999999999998E-2</v>
      </c>
      <c r="J42" s="109">
        <f>E42*I42</f>
        <v>0</v>
      </c>
      <c r="K42" s="36">
        <f>_tax_ins_</f>
        <v>6.7999999999999996E-3</v>
      </c>
      <c r="L42" s="109">
        <f>E42*K42</f>
        <v>0</v>
      </c>
      <c r="M42" s="109">
        <f>H42+J42+L42</f>
        <v>0</v>
      </c>
      <c r="N42" s="34"/>
      <c r="O42" s="34"/>
      <c r="P42" s="34"/>
      <c r="Q42" s="34"/>
      <c r="R42" s="34"/>
      <c r="S42" s="34"/>
      <c r="T42" s="34"/>
      <c r="U42" s="34"/>
      <c r="V42" s="34"/>
    </row>
    <row r="43" spans="1:32" x14ac:dyDescent="0.3">
      <c r="A43" s="6"/>
      <c r="B43" s="33"/>
      <c r="C43" s="34"/>
      <c r="D43" s="109"/>
      <c r="E43" s="109"/>
      <c r="F43" s="109"/>
      <c r="G43" s="34"/>
      <c r="H43" s="112"/>
      <c r="I43" s="35"/>
      <c r="J43" s="109"/>
      <c r="K43" s="36"/>
      <c r="L43" s="109"/>
      <c r="M43" s="109"/>
      <c r="N43" s="34"/>
      <c r="O43" s="34"/>
      <c r="P43" s="34"/>
      <c r="Q43" s="34"/>
      <c r="R43" s="34"/>
      <c r="S43" s="34"/>
      <c r="T43" s="34"/>
      <c r="U43" s="34"/>
      <c r="V43" s="34"/>
    </row>
    <row r="44" spans="1:32" x14ac:dyDescent="0.3">
      <c r="A44" s="14" t="s">
        <v>183</v>
      </c>
      <c r="B44" s="33"/>
      <c r="C44" s="34"/>
      <c r="D44" s="109"/>
      <c r="E44" s="109"/>
      <c r="F44" s="109"/>
      <c r="G44" s="34"/>
      <c r="H44" s="112"/>
      <c r="I44" s="35"/>
      <c r="J44" s="109"/>
      <c r="K44" s="36"/>
      <c r="L44" s="109"/>
      <c r="M44" s="109"/>
      <c r="N44" s="34"/>
      <c r="O44" s="34"/>
      <c r="P44" s="34"/>
      <c r="Q44" s="34"/>
      <c r="R44" s="34"/>
      <c r="S44" s="34"/>
      <c r="T44" s="34"/>
      <c r="U44" s="34"/>
      <c r="V44" s="34"/>
    </row>
    <row r="45" spans="1:32" x14ac:dyDescent="0.3">
      <c r="A45" s="6" t="str">
        <f>Data!A359</f>
        <v>Irrigation Travel Guns</v>
      </c>
      <c r="B45" s="163">
        <f>Data!B359</f>
        <v>0</v>
      </c>
      <c r="C45" s="34" t="str">
        <f>Data!C359</f>
        <v>irrig.travel</v>
      </c>
      <c r="D45" s="109">
        <f>Data!D359*Data!AX4</f>
        <v>0</v>
      </c>
      <c r="E45" s="109">
        <f>D45*B45*N45</f>
        <v>0</v>
      </c>
      <c r="F45" s="109">
        <f>Data!I359*E45*N45</f>
        <v>0</v>
      </c>
      <c r="G45" s="90">
        <f>Data!F359</f>
        <v>10</v>
      </c>
      <c r="H45" s="112">
        <f t="shared" si="1"/>
        <v>0</v>
      </c>
      <c r="I45" s="162">
        <f>Data!H359</f>
        <v>4.4999999999999998E-2</v>
      </c>
      <c r="J45" s="109">
        <f>E45*I45*N45</f>
        <v>0</v>
      </c>
      <c r="K45" s="36">
        <f>_tax_ins_</f>
        <v>6.7999999999999996E-3</v>
      </c>
      <c r="L45" s="109">
        <f>E45*K45*N45</f>
        <v>0</v>
      </c>
      <c r="M45" s="109">
        <f>H45+J45+L45</f>
        <v>0</v>
      </c>
      <c r="N45" s="247">
        <v>0</v>
      </c>
      <c r="O45" s="299" t="s">
        <v>167</v>
      </c>
      <c r="P45" s="34"/>
      <c r="Q45" s="34"/>
      <c r="R45" s="34"/>
      <c r="S45" s="34"/>
      <c r="T45" s="34"/>
      <c r="U45" s="34"/>
      <c r="V45" s="34"/>
      <c r="W45" s="34"/>
      <c r="X45" s="34"/>
      <c r="Y45" s="34"/>
      <c r="Z45" s="34"/>
      <c r="AA45" s="34"/>
      <c r="AB45" s="34"/>
      <c r="AC45" s="34"/>
      <c r="AD45" s="34"/>
      <c r="AE45" s="34"/>
      <c r="AF45" s="34"/>
    </row>
    <row r="46" spans="1:32" x14ac:dyDescent="0.3">
      <c r="A46" s="6" t="str">
        <f>Data!A360</f>
        <v>Irrigation Pumps</v>
      </c>
      <c r="B46" s="163">
        <f>Data!B360</f>
        <v>0</v>
      </c>
      <c r="C46" s="34" t="str">
        <f>Data!C360</f>
        <v>irrig.pumps</v>
      </c>
      <c r="D46" s="109">
        <f>Data!D360*Data!AX4</f>
        <v>0</v>
      </c>
      <c r="E46" s="109">
        <f>D46*B46*N46</f>
        <v>0</v>
      </c>
      <c r="F46" s="109">
        <f>Data!I360*E46*N46</f>
        <v>0</v>
      </c>
      <c r="G46" s="90">
        <f>Data!F360</f>
        <v>10</v>
      </c>
      <c r="H46" s="112">
        <f t="shared" si="1"/>
        <v>0</v>
      </c>
      <c r="I46" s="162">
        <f>Data!H360</f>
        <v>4.4999999999999998E-2</v>
      </c>
      <c r="J46" s="109">
        <f>E46*I46*N46</f>
        <v>0</v>
      </c>
      <c r="K46" s="36">
        <f>_tax_ins_</f>
        <v>6.7999999999999996E-3</v>
      </c>
      <c r="L46" s="109">
        <f>E46*K46*N46</f>
        <v>0</v>
      </c>
      <c r="M46" s="109">
        <f>H46+J46+L46</f>
        <v>0</v>
      </c>
      <c r="N46" s="247">
        <v>0</v>
      </c>
      <c r="O46" s="299" t="s">
        <v>167</v>
      </c>
      <c r="P46" s="34"/>
      <c r="Q46" s="34"/>
      <c r="R46" s="34"/>
      <c r="S46" s="34"/>
      <c r="T46" s="34"/>
      <c r="U46" s="34"/>
      <c r="V46" s="34"/>
      <c r="W46" s="34"/>
      <c r="X46" s="34"/>
      <c r="Y46" s="34"/>
      <c r="Z46" s="34"/>
      <c r="AA46" s="34"/>
      <c r="AB46" s="34"/>
      <c r="AC46" s="34"/>
      <c r="AD46" s="34"/>
      <c r="AE46" s="34"/>
      <c r="AF46" s="34"/>
    </row>
    <row r="47" spans="1:32" x14ac:dyDescent="0.3">
      <c r="A47" s="6" t="str">
        <f>Data!A361</f>
        <v>Irrigation Power Unit</v>
      </c>
      <c r="B47" s="163">
        <f>Data!B361</f>
        <v>0</v>
      </c>
      <c r="C47" s="34" t="str">
        <f>Data!C361</f>
        <v>irrig.power</v>
      </c>
      <c r="D47" s="109">
        <f>Data!D361*Data!AX4</f>
        <v>0</v>
      </c>
      <c r="E47" s="109">
        <f>D47*B47*N47</f>
        <v>0</v>
      </c>
      <c r="F47" s="109">
        <f>Data!I361*E47*N47</f>
        <v>0</v>
      </c>
      <c r="G47" s="90">
        <f>Data!F361</f>
        <v>10</v>
      </c>
      <c r="H47" s="112">
        <f t="shared" si="1"/>
        <v>0</v>
      </c>
      <c r="I47" s="162">
        <f>Data!H361</f>
        <v>4.4999999999999998E-2</v>
      </c>
      <c r="J47" s="109">
        <f>E47*I47*N47</f>
        <v>0</v>
      </c>
      <c r="K47" s="36">
        <f>_tax_ins_</f>
        <v>6.7999999999999996E-3</v>
      </c>
      <c r="L47" s="109">
        <f>E47*K47*N47</f>
        <v>0</v>
      </c>
      <c r="M47" s="109">
        <f>H47+J47+L47</f>
        <v>0</v>
      </c>
      <c r="N47" s="247">
        <v>0</v>
      </c>
      <c r="O47" s="299" t="s">
        <v>167</v>
      </c>
      <c r="P47" s="34"/>
      <c r="Q47" s="34"/>
      <c r="R47" s="34"/>
      <c r="S47" s="34"/>
      <c r="T47" s="34"/>
      <c r="U47" s="34"/>
      <c r="V47" s="34"/>
      <c r="W47" s="34"/>
      <c r="X47" s="34"/>
      <c r="Y47" s="34"/>
      <c r="Z47" s="34"/>
      <c r="AA47" s="34"/>
      <c r="AB47" s="34"/>
      <c r="AC47" s="34"/>
      <c r="AD47" s="34"/>
      <c r="AE47" s="34"/>
      <c r="AF47" s="34"/>
    </row>
    <row r="48" spans="1:32" x14ac:dyDescent="0.3">
      <c r="A48" s="6" t="str">
        <f>Data!A362</f>
        <v>Irrigation PTO Pump</v>
      </c>
      <c r="B48" s="163">
        <f>Data!B362</f>
        <v>0</v>
      </c>
      <c r="C48" s="34" t="str">
        <f>Data!C362</f>
        <v>irrig.pto</v>
      </c>
      <c r="D48" s="109">
        <f>Data!D362*Data!AX4</f>
        <v>0</v>
      </c>
      <c r="E48" s="109">
        <f>D48*B48*N48</f>
        <v>0</v>
      </c>
      <c r="F48" s="109">
        <f>Data!I362*E48*N48</f>
        <v>0</v>
      </c>
      <c r="G48" s="90">
        <f>Data!F362</f>
        <v>10</v>
      </c>
      <c r="H48" s="112">
        <f t="shared" si="1"/>
        <v>0</v>
      </c>
      <c r="I48" s="162">
        <f>Data!H362</f>
        <v>4.4999999999999998E-2</v>
      </c>
      <c r="J48" s="109">
        <f>E48*I48*N48</f>
        <v>0</v>
      </c>
      <c r="K48" s="36">
        <f>_tax_ins_</f>
        <v>6.7999999999999996E-3</v>
      </c>
      <c r="L48" s="109">
        <f>E48*K48*N48</f>
        <v>0</v>
      </c>
      <c r="M48" s="109">
        <f>H48+J48+L48</f>
        <v>0</v>
      </c>
      <c r="N48" s="247">
        <v>0</v>
      </c>
      <c r="O48" s="299" t="s">
        <v>167</v>
      </c>
      <c r="P48" s="34"/>
      <c r="Q48" s="34"/>
      <c r="R48" s="34"/>
      <c r="S48" s="34"/>
      <c r="T48" s="34"/>
      <c r="U48" s="34"/>
      <c r="V48" s="34"/>
      <c r="W48" s="34"/>
      <c r="X48" s="34"/>
      <c r="Y48" s="34"/>
      <c r="Z48" s="34"/>
      <c r="AA48" s="34"/>
      <c r="AB48" s="34"/>
      <c r="AC48" s="34"/>
      <c r="AD48" s="34"/>
      <c r="AE48" s="34"/>
      <c r="AF48" s="34"/>
    </row>
    <row r="49" spans="1:23" ht="12.75" customHeight="1" x14ac:dyDescent="0.3">
      <c r="A49" s="6" t="str">
        <f>Data!A363</f>
        <v xml:space="preserve">Irrigation Center Pivot </v>
      </c>
      <c r="B49" s="163">
        <f>Data!B363</f>
        <v>0</v>
      </c>
      <c r="C49" s="34" t="str">
        <f>Data!C363</f>
        <v>irrig.cp</v>
      </c>
      <c r="D49" s="109">
        <f>Data!D363*Data!AX4</f>
        <v>0</v>
      </c>
      <c r="E49" s="109">
        <f>D49*B49*N49</f>
        <v>0</v>
      </c>
      <c r="F49" s="109">
        <f>Data!I363*E49*N49</f>
        <v>0</v>
      </c>
      <c r="G49" s="90">
        <f>Data!F363</f>
        <v>10</v>
      </c>
      <c r="H49" s="112">
        <f t="shared" si="1"/>
        <v>0</v>
      </c>
      <c r="I49" s="162">
        <f>Data!H363</f>
        <v>4.4999999999999998E-2</v>
      </c>
      <c r="J49" s="109">
        <f>E49*I49*N49</f>
        <v>0</v>
      </c>
      <c r="K49" s="36">
        <f>_tax_ins_</f>
        <v>6.7999999999999996E-3</v>
      </c>
      <c r="L49" s="109">
        <f>E49*K49*N49</f>
        <v>0</v>
      </c>
      <c r="M49" s="109">
        <f>H49+J49+L49</f>
        <v>0</v>
      </c>
      <c r="N49" s="247">
        <v>0</v>
      </c>
      <c r="O49" s="299" t="s">
        <v>167</v>
      </c>
      <c r="P49" s="34"/>
      <c r="Q49" s="34"/>
      <c r="R49" s="34"/>
      <c r="S49" s="34"/>
      <c r="T49" s="34"/>
      <c r="U49" s="34"/>
      <c r="V49" s="34"/>
      <c r="W49" s="34"/>
    </row>
    <row r="50" spans="1:23" x14ac:dyDescent="0.3">
      <c r="B50" s="33"/>
      <c r="C50" s="34"/>
      <c r="D50" s="109"/>
      <c r="E50" s="109"/>
      <c r="F50" s="109"/>
      <c r="G50" s="34"/>
      <c r="H50" s="112"/>
      <c r="I50" s="35"/>
      <c r="J50" s="109"/>
      <c r="K50" s="36"/>
      <c r="L50" s="109"/>
      <c r="M50" s="109"/>
      <c r="N50" s="34"/>
      <c r="O50" s="34"/>
      <c r="P50" s="34"/>
      <c r="Q50" s="34"/>
      <c r="R50" s="34"/>
      <c r="S50" s="34"/>
      <c r="T50" s="34"/>
      <c r="U50" s="34"/>
      <c r="V50" s="34"/>
    </row>
    <row r="51" spans="1:23" x14ac:dyDescent="0.3">
      <c r="A51" s="14" t="s">
        <v>9</v>
      </c>
      <c r="B51" s="33"/>
      <c r="C51" s="34"/>
      <c r="E51" s="109"/>
      <c r="F51" s="109"/>
      <c r="G51" s="34"/>
      <c r="H51" s="112"/>
      <c r="I51" s="35"/>
      <c r="J51" s="109"/>
      <c r="K51" s="36"/>
      <c r="L51" s="109"/>
      <c r="M51" s="109"/>
      <c r="N51" s="34"/>
      <c r="O51" s="34"/>
      <c r="P51" s="34"/>
      <c r="Q51" s="34"/>
      <c r="R51" s="34"/>
      <c r="S51" s="34"/>
      <c r="T51" s="34"/>
      <c r="U51" s="34"/>
      <c r="V51" s="34"/>
    </row>
    <row r="52" spans="1:23" x14ac:dyDescent="0.3">
      <c r="A52" s="6" t="str">
        <f>Data!A367</f>
        <v>Harvester</v>
      </c>
      <c r="B52" s="163">
        <f>Data!B367</f>
        <v>0</v>
      </c>
      <c r="C52" s="34" t="str">
        <f>Data!C367</f>
        <v>harvester</v>
      </c>
      <c r="D52" s="109">
        <f>Data!D367*Data!D4</f>
        <v>0</v>
      </c>
      <c r="E52" s="109">
        <f>D52*B52</f>
        <v>0</v>
      </c>
      <c r="F52" s="109">
        <f>Data!I367*E52</f>
        <v>0</v>
      </c>
      <c r="G52" s="90">
        <f>Data!F367</f>
        <v>5</v>
      </c>
      <c r="H52" s="112">
        <f t="shared" si="1"/>
        <v>0</v>
      </c>
      <c r="I52" s="162">
        <f>Data!H367</f>
        <v>4.4999999999999998E-2</v>
      </c>
      <c r="J52" s="109">
        <f>E52*I52</f>
        <v>0</v>
      </c>
      <c r="K52" s="36">
        <f>_tax_ins_</f>
        <v>6.7999999999999996E-3</v>
      </c>
      <c r="L52" s="109">
        <f>E52*K52</f>
        <v>0</v>
      </c>
      <c r="M52" s="109">
        <f>H52+J52+L52</f>
        <v>0</v>
      </c>
      <c r="N52" s="34"/>
      <c r="O52" s="34"/>
      <c r="P52" s="34"/>
      <c r="Q52" s="34"/>
      <c r="R52" s="34"/>
      <c r="S52" s="34"/>
      <c r="T52" s="34"/>
      <c r="U52" s="34"/>
      <c r="V52" s="34"/>
    </row>
    <row r="53" spans="1:23" x14ac:dyDescent="0.3">
      <c r="A53" s="6" t="str">
        <f>Data!A368</f>
        <v>Windrower</v>
      </c>
      <c r="B53" s="163">
        <f>Data!B368</f>
        <v>0</v>
      </c>
      <c r="C53" s="34" t="str">
        <f>Data!C368</f>
        <v>windrowers</v>
      </c>
      <c r="D53" s="109">
        <f>Data!D368*Data!D4</f>
        <v>0</v>
      </c>
      <c r="E53" s="109">
        <f>D53*B53</f>
        <v>0</v>
      </c>
      <c r="F53" s="109">
        <f>Data!I368*E53</f>
        <v>0</v>
      </c>
      <c r="G53" s="90">
        <f>Data!F368</f>
        <v>7</v>
      </c>
      <c r="H53" s="112">
        <f t="shared" si="1"/>
        <v>0</v>
      </c>
      <c r="I53" s="162">
        <f>Data!H368</f>
        <v>4.4999999999999998E-2</v>
      </c>
      <c r="J53" s="109">
        <f>E53*I53</f>
        <v>0</v>
      </c>
      <c r="K53" s="36">
        <f>_tax_ins_</f>
        <v>6.7999999999999996E-3</v>
      </c>
      <c r="L53" s="109">
        <f>E53*K53</f>
        <v>0</v>
      </c>
      <c r="M53" s="109">
        <f>H53+J53+L53</f>
        <v>0</v>
      </c>
      <c r="N53" s="34"/>
      <c r="O53" s="34"/>
      <c r="P53" s="34"/>
      <c r="Q53" s="34"/>
      <c r="R53" s="34"/>
      <c r="S53" s="34"/>
      <c r="T53" s="34"/>
      <c r="U53" s="34"/>
      <c r="V53" s="34"/>
    </row>
    <row r="54" spans="1:23" x14ac:dyDescent="0.3">
      <c r="A54" s="6"/>
      <c r="B54" s="33"/>
      <c r="C54" s="33"/>
      <c r="D54" s="109"/>
      <c r="E54" s="109"/>
      <c r="F54" s="109"/>
      <c r="G54" s="34"/>
      <c r="H54" s="112"/>
      <c r="I54" s="35"/>
      <c r="J54" s="109"/>
      <c r="K54" s="36"/>
      <c r="L54" s="109"/>
      <c r="M54" s="109"/>
      <c r="N54" s="34"/>
      <c r="O54" s="34"/>
      <c r="P54" s="34"/>
      <c r="Q54" s="34"/>
      <c r="R54" s="34"/>
      <c r="S54" s="34"/>
      <c r="T54" s="34"/>
      <c r="U54" s="34"/>
      <c r="V54" s="34"/>
    </row>
    <row r="55" spans="1:23" x14ac:dyDescent="0.3">
      <c r="A55" s="14" t="s">
        <v>357</v>
      </c>
      <c r="B55" s="33"/>
      <c r="C55" s="34"/>
      <c r="D55" s="111" t="s">
        <v>462</v>
      </c>
      <c r="E55" s="109"/>
      <c r="F55" s="109"/>
      <c r="G55" s="34"/>
      <c r="H55" s="112"/>
      <c r="I55" s="35"/>
      <c r="J55" s="109"/>
      <c r="K55" s="36"/>
      <c r="L55" s="109"/>
      <c r="M55" s="109"/>
    </row>
    <row r="56" spans="1:23" x14ac:dyDescent="0.3">
      <c r="A56" s="6" t="str">
        <f>Data!A395</f>
        <v>Fuel Tanks - SMALL SIZE</v>
      </c>
      <c r="B56" s="33">
        <f>Data!B395</f>
        <v>0</v>
      </c>
      <c r="C56" s="34" t="str">
        <f>Data!C395</f>
        <v>fuel tank</v>
      </c>
      <c r="D56" s="109">
        <f>Data!D395*Data!H4</f>
        <v>0</v>
      </c>
      <c r="E56" s="109">
        <f>D56*B56</f>
        <v>0</v>
      </c>
      <c r="F56" s="109">
        <f>Data!I395*E56</f>
        <v>0</v>
      </c>
      <c r="G56" s="60">
        <f>Data!F395</f>
        <v>50</v>
      </c>
      <c r="H56" s="112">
        <f>(E56*(_int_inv_*(1+_int_inv_)^G56)/((1+_int_inv_)^G56-1))-(F56*_int_inv_/((1+_int_inv_)^G56-1))</f>
        <v>0</v>
      </c>
      <c r="I56" s="35">
        <f>Data!H395</f>
        <v>0.02</v>
      </c>
      <c r="J56" s="109">
        <f>E56*I56</f>
        <v>0</v>
      </c>
      <c r="K56" s="36">
        <f>_tax_ins_</f>
        <v>6.7999999999999996E-3</v>
      </c>
      <c r="L56" s="104">
        <f>E56*K56</f>
        <v>0</v>
      </c>
      <c r="M56" s="109">
        <f>H56+J56+L56</f>
        <v>0</v>
      </c>
    </row>
    <row r="57" spans="1:23" x14ac:dyDescent="0.3">
      <c r="A57" s="6" t="str">
        <f>Data!A396</f>
        <v>Shop Tools - SMALL SIZE</v>
      </c>
      <c r="B57" s="33">
        <f>Data!B396</f>
        <v>0</v>
      </c>
      <c r="C57" s="34" t="str">
        <f>Data!C396</f>
        <v>shop tools</v>
      </c>
      <c r="D57" s="109">
        <f>Data!D396*Data!H4</f>
        <v>0</v>
      </c>
      <c r="E57" s="109">
        <f>D57*B57</f>
        <v>0</v>
      </c>
      <c r="F57" s="109">
        <f>Data!I396*E57</f>
        <v>0</v>
      </c>
      <c r="G57" s="60">
        <f>Data!F396</f>
        <v>50</v>
      </c>
      <c r="H57" s="112">
        <f>(E57*(_int_inv_*(1+_int_inv_)^G57)/((1+_int_inv_)^G57-1))-(F57*_int_inv_/((1+_int_inv_)^G57-1))</f>
        <v>0</v>
      </c>
      <c r="I57" s="35">
        <f>Data!H396</f>
        <v>0.02</v>
      </c>
      <c r="J57" s="109">
        <f>E57*I57</f>
        <v>0</v>
      </c>
      <c r="K57" s="36">
        <f>_tax_ins_</f>
        <v>6.7999999999999996E-3</v>
      </c>
      <c r="L57" s="109">
        <f>E57*K57</f>
        <v>0</v>
      </c>
      <c r="M57" s="109">
        <f>H57+J57+L57</f>
        <v>0</v>
      </c>
    </row>
    <row r="58" spans="1:23" x14ac:dyDescent="0.3">
      <c r="A58" s="6"/>
      <c r="B58" s="33"/>
      <c r="C58" s="34"/>
      <c r="D58" s="109"/>
      <c r="E58" s="109"/>
      <c r="F58" s="109"/>
      <c r="G58" s="34"/>
      <c r="H58" s="112"/>
      <c r="I58" s="35"/>
      <c r="J58" s="109"/>
      <c r="K58" s="36"/>
      <c r="L58" s="109"/>
      <c r="M58" s="109"/>
      <c r="N58" s="34"/>
      <c r="O58" s="34"/>
      <c r="P58" s="34"/>
      <c r="Q58" s="34"/>
      <c r="R58" s="34"/>
      <c r="S58" s="34"/>
      <c r="T58" s="34"/>
      <c r="U58" s="34"/>
      <c r="V58" s="34"/>
    </row>
    <row r="59" spans="1:23" x14ac:dyDescent="0.3">
      <c r="A59" s="14" t="s">
        <v>10</v>
      </c>
      <c r="B59" s="33"/>
      <c r="C59" s="34"/>
      <c r="D59" s="109"/>
      <c r="E59" s="109"/>
      <c r="F59" s="109"/>
      <c r="G59" s="34"/>
      <c r="H59" s="112"/>
      <c r="I59" s="35"/>
      <c r="J59" s="109"/>
      <c r="K59" s="36"/>
      <c r="L59" s="109"/>
      <c r="M59" s="109"/>
      <c r="N59" s="34"/>
      <c r="O59" s="34"/>
      <c r="P59" s="34"/>
      <c r="Q59" s="34"/>
      <c r="R59" s="34"/>
      <c r="S59" s="34"/>
      <c r="T59" s="34"/>
      <c r="U59" s="34"/>
      <c r="V59" s="34"/>
    </row>
    <row r="60" spans="1:23" x14ac:dyDescent="0.3">
      <c r="A60" s="6" t="str">
        <f>Data!A409</f>
        <v>Skidsteer</v>
      </c>
      <c r="B60" s="163">
        <f>Data!B409</f>
        <v>0</v>
      </c>
      <c r="C60" s="34" t="str">
        <f>Data!C409</f>
        <v>skidsteer</v>
      </c>
      <c r="D60" s="109">
        <f>Data!D409*Data!D4</f>
        <v>0</v>
      </c>
      <c r="E60" s="109">
        <f>D60*B60</f>
        <v>0</v>
      </c>
      <c r="F60" s="109">
        <f>Data!I409*E60</f>
        <v>0</v>
      </c>
      <c r="G60" s="90">
        <f>Data!F409</f>
        <v>6</v>
      </c>
      <c r="H60" s="112">
        <f t="shared" si="1"/>
        <v>0</v>
      </c>
      <c r="I60" s="162">
        <f>Data!H409</f>
        <v>4.4999999999999998E-2</v>
      </c>
      <c r="J60" s="109">
        <f>E60*I60</f>
        <v>0</v>
      </c>
      <c r="K60" s="36">
        <f>_tax_ins_</f>
        <v>6.7999999999999996E-3</v>
      </c>
      <c r="L60" s="109">
        <f>E60*K60</f>
        <v>0</v>
      </c>
      <c r="M60" s="109">
        <f>H60+J60+L60</f>
        <v>0</v>
      </c>
      <c r="N60" s="34"/>
      <c r="O60" s="34"/>
      <c r="P60" s="34"/>
      <c r="Q60" s="34"/>
      <c r="R60" s="34"/>
      <c r="S60" s="34"/>
      <c r="T60" s="34"/>
      <c r="U60" s="34"/>
      <c r="V60" s="34"/>
    </row>
    <row r="61" spans="1:23" x14ac:dyDescent="0.3">
      <c r="A61" s="6" t="str">
        <f>Data!A410</f>
        <v>Bin Piler</v>
      </c>
      <c r="B61" s="163">
        <f>Data!B410</f>
        <v>0</v>
      </c>
      <c r="C61" s="34" t="str">
        <f>Data!C410</f>
        <v>bin piler</v>
      </c>
      <c r="D61" s="109">
        <f>Data!D410*Data!D4</f>
        <v>0</v>
      </c>
      <c r="E61" s="109">
        <f>D61*B61</f>
        <v>0</v>
      </c>
      <c r="F61" s="109">
        <f>Data!I410*E61</f>
        <v>0</v>
      </c>
      <c r="G61" s="90">
        <f>Data!F410</f>
        <v>20</v>
      </c>
      <c r="H61" s="112">
        <f t="shared" si="1"/>
        <v>0</v>
      </c>
      <c r="I61" s="162">
        <f>Data!H410</f>
        <v>4.4999999999999998E-2</v>
      </c>
      <c r="J61" s="109">
        <f>E61*I61</f>
        <v>0</v>
      </c>
      <c r="K61" s="36">
        <f>_tax_ins_</f>
        <v>6.7999999999999996E-3</v>
      </c>
      <c r="L61" s="109">
        <f>E61*K61</f>
        <v>0</v>
      </c>
      <c r="M61" s="109">
        <f>H61+J61+L61</f>
        <v>0</v>
      </c>
      <c r="N61" s="34"/>
      <c r="O61" s="34"/>
      <c r="P61" s="34"/>
      <c r="Q61" s="34"/>
      <c r="R61" s="34"/>
      <c r="S61" s="34"/>
      <c r="T61" s="34"/>
      <c r="U61" s="34"/>
      <c r="V61" s="34"/>
    </row>
    <row r="62" spans="1:23" x14ac:dyDescent="0.3">
      <c r="A62" s="6" t="str">
        <f>Data!A411</f>
        <v>Conveyors</v>
      </c>
      <c r="B62" s="163">
        <f>Data!B411</f>
        <v>0</v>
      </c>
      <c r="C62" s="34" t="str">
        <f>Data!C411</f>
        <v>conveyor</v>
      </c>
      <c r="D62" s="109">
        <f>Data!D411*Data!D4</f>
        <v>0</v>
      </c>
      <c r="E62" s="109">
        <f>D62*B62</f>
        <v>0</v>
      </c>
      <c r="F62" s="109">
        <f>Data!I411*E62</f>
        <v>0</v>
      </c>
      <c r="G62" s="90">
        <f>Data!F411</f>
        <v>20</v>
      </c>
      <c r="H62" s="112">
        <f t="shared" si="1"/>
        <v>0</v>
      </c>
      <c r="I62" s="162">
        <f>Data!H411</f>
        <v>4.4999999999999998E-2</v>
      </c>
      <c r="J62" s="109">
        <f>E62*I62</f>
        <v>0</v>
      </c>
      <c r="K62" s="36">
        <f>_tax_ins_</f>
        <v>6.7999999999999996E-3</v>
      </c>
      <c r="L62" s="109">
        <f>E62*K62</f>
        <v>0</v>
      </c>
      <c r="M62" s="109">
        <f>H62+J62+L62</f>
        <v>0</v>
      </c>
      <c r="N62" s="34"/>
      <c r="O62" s="34"/>
      <c r="P62" s="34"/>
      <c r="Q62" s="34"/>
      <c r="R62" s="34"/>
      <c r="S62" s="34"/>
      <c r="T62" s="34"/>
      <c r="U62" s="34"/>
      <c r="V62" s="34"/>
    </row>
    <row r="63" spans="1:23" x14ac:dyDescent="0.3">
      <c r="A63" s="6" t="str">
        <f>Data!A412</f>
        <v>Packing Line (Haines)</v>
      </c>
      <c r="B63" s="163">
        <f>Data!B412</f>
        <v>0</v>
      </c>
      <c r="C63" s="34" t="str">
        <f>Data!C412</f>
        <v>packing line</v>
      </c>
      <c r="D63" s="109">
        <f>Data!D412*Data!D4</f>
        <v>0</v>
      </c>
      <c r="E63" s="109">
        <f>D63*B63</f>
        <v>0</v>
      </c>
      <c r="F63" s="109">
        <f>Data!I412*E63</f>
        <v>0</v>
      </c>
      <c r="G63" s="90">
        <f>Data!F412</f>
        <v>20</v>
      </c>
      <c r="H63" s="112">
        <f t="shared" si="1"/>
        <v>0</v>
      </c>
      <c r="I63" s="162">
        <f>Data!H412</f>
        <v>4.4999999999999998E-2</v>
      </c>
      <c r="J63" s="109">
        <f>E63*I63</f>
        <v>0</v>
      </c>
      <c r="K63" s="36">
        <f>_tax_ins_</f>
        <v>6.7999999999999996E-3</v>
      </c>
      <c r="L63" s="109">
        <f>E63*K63</f>
        <v>0</v>
      </c>
      <c r="M63" s="109">
        <f>H63+J63+L63</f>
        <v>0</v>
      </c>
      <c r="N63" s="34"/>
      <c r="O63" s="34"/>
      <c r="P63" s="34"/>
      <c r="Q63" s="34"/>
      <c r="R63" s="34"/>
      <c r="S63" s="34"/>
      <c r="T63" s="34"/>
      <c r="U63" s="34"/>
      <c r="V63" s="34"/>
    </row>
    <row r="64" spans="1:23" x14ac:dyDescent="0.3">
      <c r="A64" s="6" t="str">
        <f>Data!A413</f>
        <v>Hopper</v>
      </c>
      <c r="B64" s="163">
        <f>Data!B413</f>
        <v>0</v>
      </c>
      <c r="C64" s="34" t="str">
        <f>Data!C413</f>
        <v>hopper</v>
      </c>
      <c r="D64" s="109">
        <f>Data!D413*Data!D4</f>
        <v>0</v>
      </c>
      <c r="E64" s="109">
        <f>D64*B64</f>
        <v>0</v>
      </c>
      <c r="F64" s="109">
        <f>Data!I413*E64</f>
        <v>0</v>
      </c>
      <c r="G64" s="90">
        <f>Data!F413</f>
        <v>20</v>
      </c>
      <c r="H64" s="112">
        <f t="shared" si="1"/>
        <v>0</v>
      </c>
      <c r="I64" s="162">
        <f>Data!H413</f>
        <v>4.4999999999999998E-2</v>
      </c>
      <c r="J64" s="109">
        <f>E64*I64</f>
        <v>0</v>
      </c>
      <c r="K64" s="36">
        <f>_tax_ins_</f>
        <v>6.7999999999999996E-3</v>
      </c>
      <c r="L64" s="109">
        <f>E64*K64</f>
        <v>0</v>
      </c>
      <c r="M64" s="109">
        <f>H64+J64+L64</f>
        <v>0</v>
      </c>
      <c r="N64" s="34"/>
      <c r="O64" s="34"/>
      <c r="P64" s="34"/>
      <c r="Q64" s="34"/>
      <c r="R64" s="34"/>
      <c r="S64" s="34"/>
      <c r="T64" s="34"/>
      <c r="U64" s="34"/>
      <c r="V64" s="34"/>
    </row>
    <row r="65" spans="1:22" x14ac:dyDescent="0.3">
      <c r="B65" s="33"/>
      <c r="C65" s="34"/>
      <c r="D65" s="109"/>
      <c r="E65" s="109"/>
      <c r="F65" s="109"/>
      <c r="G65" s="32"/>
      <c r="H65" s="112"/>
      <c r="I65" s="35"/>
      <c r="J65" s="109"/>
      <c r="K65" s="36"/>
      <c r="L65" s="110"/>
      <c r="M65" s="109"/>
      <c r="N65" s="34"/>
      <c r="O65" s="34"/>
      <c r="P65" s="34"/>
      <c r="Q65" s="34"/>
      <c r="R65" s="34"/>
      <c r="S65" s="34"/>
      <c r="T65" s="34"/>
      <c r="U65" s="34"/>
      <c r="V65" s="34"/>
    </row>
    <row r="66" spans="1:22" x14ac:dyDescent="0.3">
      <c r="A66" s="14" t="s">
        <v>12</v>
      </c>
      <c r="B66" s="33">
        <f>Data!B56</f>
        <v>0</v>
      </c>
      <c r="C66" s="868" t="str">
        <f>Data!H51</f>
        <v>acre(s)</v>
      </c>
      <c r="D66" s="109">
        <f>Data!F61</f>
        <v>1000</v>
      </c>
      <c r="E66" s="109">
        <f>D66*B66</f>
        <v>0</v>
      </c>
      <c r="F66" s="864" t="s">
        <v>45</v>
      </c>
      <c r="G66" s="865" t="s">
        <v>45</v>
      </c>
      <c r="H66" s="112">
        <f>E66*_int_inv_</f>
        <v>0</v>
      </c>
      <c r="I66" s="35">
        <f>Data!H61</f>
        <v>0.01</v>
      </c>
      <c r="J66" s="109">
        <f>E66*I66</f>
        <v>0</v>
      </c>
      <c r="K66" s="36">
        <f>_tax_ins_</f>
        <v>6.7999999999999996E-3</v>
      </c>
      <c r="L66" s="109">
        <f>E66*K66</f>
        <v>0</v>
      </c>
      <c r="M66" s="109">
        <f>H66+J66+L66</f>
        <v>0</v>
      </c>
      <c r="N66" s="34"/>
      <c r="O66" s="34"/>
      <c r="P66" s="34"/>
      <c r="Q66" s="34"/>
      <c r="R66" s="34"/>
      <c r="S66" s="34"/>
      <c r="T66" s="34"/>
      <c r="U66" s="34"/>
      <c r="V66" s="34"/>
    </row>
    <row r="67" spans="1:22" x14ac:dyDescent="0.3">
      <c r="B67" s="33"/>
      <c r="C67" s="34"/>
      <c r="D67" s="109"/>
      <c r="E67" s="109"/>
      <c r="F67" s="109"/>
      <c r="G67" s="38"/>
      <c r="H67" s="112"/>
      <c r="I67" s="35"/>
      <c r="J67" s="109"/>
      <c r="K67" s="36"/>
      <c r="L67" s="109"/>
      <c r="M67" s="109"/>
      <c r="N67" s="34"/>
      <c r="O67" s="34"/>
      <c r="P67" s="34"/>
      <c r="Q67" s="34"/>
      <c r="R67" s="34"/>
      <c r="S67" s="34"/>
      <c r="T67" s="34"/>
      <c r="U67" s="34"/>
      <c r="V67" s="34"/>
    </row>
    <row r="68" spans="1:22" x14ac:dyDescent="0.3">
      <c r="A68" s="14" t="s">
        <v>1229</v>
      </c>
      <c r="B68" s="33"/>
      <c r="C68" s="34"/>
      <c r="D68" s="109"/>
      <c r="E68" s="109"/>
      <c r="F68" s="109"/>
      <c r="G68" s="34"/>
      <c r="H68" s="112"/>
      <c r="I68" s="35"/>
      <c r="J68" s="109"/>
      <c r="K68" s="36"/>
      <c r="L68" s="110"/>
      <c r="M68" s="109"/>
      <c r="N68" s="34"/>
      <c r="O68" s="34"/>
      <c r="P68" s="34"/>
      <c r="Q68" s="34"/>
      <c r="R68" s="34"/>
      <c r="S68" s="34"/>
      <c r="T68" s="34"/>
      <c r="U68" s="34"/>
      <c r="V68" s="34"/>
    </row>
    <row r="69" spans="1:22" x14ac:dyDescent="0.3">
      <c r="A69" s="6" t="str">
        <f>Data!A495</f>
        <v>Shop/Loading Shed - SMALL SIZE</v>
      </c>
      <c r="B69" s="33">
        <f>Data!B495</f>
        <v>0</v>
      </c>
      <c r="C69" s="34" t="str">
        <f>Data!C495</f>
        <v>building</v>
      </c>
      <c r="D69" s="109">
        <f>Data!D495*Data!H4</f>
        <v>0</v>
      </c>
      <c r="E69" s="109">
        <f>D69*B69</f>
        <v>0</v>
      </c>
      <c r="F69" s="109">
        <f>Data!I495*E69</f>
        <v>0</v>
      </c>
      <c r="G69" s="34">
        <f>Data!F495</f>
        <v>33</v>
      </c>
      <c r="H69" s="112">
        <f>(E69*(_int_inv_*(1+_int_inv_)^G69)/((1+_int_inv_)^G69-1))-(F69*_int_inv_/((1+_int_inv_)^G69-1))</f>
        <v>0</v>
      </c>
      <c r="I69" s="35">
        <f>Data!H495</f>
        <v>0.01</v>
      </c>
      <c r="J69" s="109">
        <f>E69*I69</f>
        <v>0</v>
      </c>
      <c r="K69" s="36">
        <f>_tax_ins_</f>
        <v>6.7999999999999996E-3</v>
      </c>
      <c r="L69" s="109">
        <f>E69*K69</f>
        <v>0</v>
      </c>
      <c r="M69" s="109">
        <f>H69+J69+L69</f>
        <v>0</v>
      </c>
      <c r="N69" s="34"/>
      <c r="O69" s="34"/>
      <c r="P69" s="34"/>
      <c r="Q69" s="34"/>
      <c r="R69" s="34"/>
      <c r="S69" s="34"/>
      <c r="T69" s="34"/>
      <c r="U69" s="34"/>
      <c r="V69" s="34"/>
    </row>
    <row r="70" spans="1:22" x14ac:dyDescent="0.3">
      <c r="A70" s="6" t="str">
        <f>Data!A498</f>
        <v>Potato Storage</v>
      </c>
      <c r="B70" s="33">
        <f>Data!B498</f>
        <v>0</v>
      </c>
      <c r="C70" s="34" t="str">
        <f>Data!C498</f>
        <v>building</v>
      </c>
      <c r="D70" s="109">
        <f>Data!D498*Data!D4</f>
        <v>0</v>
      </c>
      <c r="E70" s="109">
        <f>D70*B70</f>
        <v>0</v>
      </c>
      <c r="F70" s="109">
        <f>Data!I498*E70</f>
        <v>0</v>
      </c>
      <c r="G70" s="34">
        <f>Data!F498</f>
        <v>33</v>
      </c>
      <c r="H70" s="112">
        <f>(E70*(_int_inv_*(1+_int_inv_)^G70)/((1+_int_inv_)^G70-1))-(F70*_int_inv_/((1+_int_inv_)^G70-1))</f>
        <v>0</v>
      </c>
      <c r="I70" s="35">
        <f>Data!H498</f>
        <v>4.4999999999999998E-2</v>
      </c>
      <c r="J70" s="109">
        <f>E70*I70</f>
        <v>0</v>
      </c>
      <c r="K70" s="36">
        <f>_tax_ins_</f>
        <v>6.7999999999999996E-3</v>
      </c>
      <c r="L70" s="109">
        <f>E70*K70</f>
        <v>0</v>
      </c>
      <c r="M70" s="109">
        <f>H70+J70+L70</f>
        <v>0</v>
      </c>
      <c r="N70" s="34"/>
      <c r="O70" s="34"/>
      <c r="P70" s="34"/>
      <c r="Q70" s="34"/>
      <c r="R70" s="34"/>
      <c r="S70" s="34"/>
      <c r="T70" s="34"/>
      <c r="U70" s="34"/>
      <c r="V70" s="34"/>
    </row>
    <row r="71" spans="1:22" x14ac:dyDescent="0.3">
      <c r="B71" s="33"/>
      <c r="C71" s="34"/>
      <c r="D71" s="109"/>
      <c r="E71" s="109"/>
      <c r="F71" s="109"/>
      <c r="G71" s="34"/>
      <c r="H71" s="112"/>
      <c r="I71" s="35"/>
      <c r="J71" s="109"/>
      <c r="K71" s="36"/>
      <c r="L71" s="110"/>
      <c r="M71" s="109"/>
      <c r="N71" s="34"/>
      <c r="O71" s="34"/>
      <c r="P71" s="34"/>
      <c r="Q71" s="34"/>
      <c r="R71" s="34"/>
      <c r="S71" s="34"/>
      <c r="T71" s="34"/>
      <c r="U71" s="34"/>
      <c r="V71" s="34"/>
    </row>
    <row r="72" spans="1:22" x14ac:dyDescent="0.3">
      <c r="A72" s="14" t="s">
        <v>19</v>
      </c>
      <c r="B72" s="865" t="s">
        <v>45</v>
      </c>
      <c r="C72" s="864" t="s">
        <v>45</v>
      </c>
      <c r="D72" s="864" t="s">
        <v>45</v>
      </c>
      <c r="E72" s="864" t="s">
        <v>45</v>
      </c>
      <c r="F72" s="864" t="s">
        <v>45</v>
      </c>
      <c r="G72" s="865" t="s">
        <v>45</v>
      </c>
      <c r="H72" s="864" t="s">
        <v>45</v>
      </c>
      <c r="I72" s="865" t="s">
        <v>45</v>
      </c>
      <c r="J72" s="864" t="s">
        <v>45</v>
      </c>
      <c r="K72" s="865" t="s">
        <v>45</v>
      </c>
      <c r="L72" s="864" t="s">
        <v>45</v>
      </c>
      <c r="M72" s="864" t="s">
        <v>45</v>
      </c>
      <c r="N72" s="34"/>
      <c r="O72" s="34"/>
      <c r="P72" s="34"/>
      <c r="Q72" s="34"/>
      <c r="R72" s="34"/>
      <c r="S72" s="34"/>
      <c r="T72" s="34"/>
      <c r="U72" s="34"/>
      <c r="V72" s="34"/>
    </row>
    <row r="73" spans="1:22" x14ac:dyDescent="0.3">
      <c r="A73" s="14"/>
      <c r="B73" s="33"/>
      <c r="C73" s="34"/>
      <c r="D73" s="109"/>
      <c r="E73" s="109"/>
      <c r="F73" s="109"/>
      <c r="G73" s="34"/>
      <c r="H73" s="112"/>
      <c r="I73" s="35"/>
      <c r="J73" s="109"/>
      <c r="K73" s="35"/>
      <c r="L73" s="110"/>
      <c r="M73" s="109"/>
      <c r="N73" s="34"/>
      <c r="O73" s="34"/>
      <c r="P73" s="34"/>
      <c r="Q73" s="34"/>
      <c r="R73" s="34"/>
      <c r="S73" s="34"/>
      <c r="T73" s="34"/>
      <c r="U73" s="34"/>
      <c r="V73" s="34"/>
    </row>
    <row r="74" spans="1:22" x14ac:dyDescent="0.3">
      <c r="A74" s="14" t="s">
        <v>64</v>
      </c>
      <c r="B74" s="865" t="s">
        <v>45</v>
      </c>
      <c r="C74" s="864" t="s">
        <v>45</v>
      </c>
      <c r="D74" s="866">
        <v>0</v>
      </c>
      <c r="E74" s="866">
        <v>0</v>
      </c>
      <c r="F74" s="866">
        <v>0</v>
      </c>
      <c r="G74" s="247">
        <v>1</v>
      </c>
      <c r="H74" s="112">
        <f>(E74*(_int_inv_*(1+_int_inv_)^G74)/((1+_int_inv_)^G74-1))-(F74*_int_inv_/((1+_int_inv_)^G74-1))</f>
        <v>0</v>
      </c>
      <c r="I74" s="251">
        <v>0.01</v>
      </c>
      <c r="J74" s="109">
        <f>E74*I74</f>
        <v>0</v>
      </c>
      <c r="K74" s="36">
        <f>_tax_ins_</f>
        <v>6.7999999999999996E-3</v>
      </c>
      <c r="L74" s="109">
        <f>E74*K74</f>
        <v>0</v>
      </c>
      <c r="M74" s="109">
        <f>H74+J74+L74</f>
        <v>0</v>
      </c>
      <c r="N74" s="34"/>
      <c r="O74" s="34"/>
      <c r="P74" s="34"/>
      <c r="Q74" s="34"/>
      <c r="R74" s="34"/>
      <c r="S74" s="34"/>
      <c r="T74" s="34"/>
      <c r="U74" s="34"/>
      <c r="V74" s="34"/>
    </row>
    <row r="75" spans="1:22" x14ac:dyDescent="0.3">
      <c r="B75" s="33"/>
      <c r="C75" s="34"/>
      <c r="D75" s="109"/>
      <c r="E75" s="109"/>
      <c r="F75" s="109"/>
      <c r="G75" s="34"/>
      <c r="H75" s="112"/>
      <c r="I75" s="35"/>
      <c r="J75" s="110"/>
      <c r="K75" s="35"/>
      <c r="L75" s="110"/>
      <c r="M75" s="109"/>
      <c r="N75" s="34"/>
      <c r="O75" s="34"/>
      <c r="P75" s="34"/>
      <c r="Q75" s="34"/>
      <c r="R75" s="34"/>
      <c r="S75" s="34"/>
      <c r="T75" s="34"/>
      <c r="U75" s="34"/>
      <c r="V75" s="34"/>
    </row>
    <row r="76" spans="1:22" ht="13.5" x14ac:dyDescent="0.35">
      <c r="A76" s="1" t="s">
        <v>68</v>
      </c>
      <c r="B76" s="33"/>
      <c r="C76" s="34"/>
      <c r="D76" s="109"/>
      <c r="E76" s="109">
        <f>SUM(E7:E74)</f>
        <v>0</v>
      </c>
      <c r="F76" s="109">
        <f>SUM(F7:F74)</f>
        <v>0</v>
      </c>
      <c r="G76" s="34"/>
      <c r="H76" s="112">
        <f>SUM(H7:H74)</f>
        <v>0</v>
      </c>
      <c r="I76" s="35"/>
      <c r="J76" s="109">
        <f>SUM(J7:J74)</f>
        <v>0</v>
      </c>
      <c r="K76" s="35"/>
      <c r="L76" s="109">
        <f>SUM(L7:L74)</f>
        <v>0</v>
      </c>
      <c r="M76" s="109">
        <f>SUM(M7:M74)</f>
        <v>0</v>
      </c>
      <c r="N76" s="34"/>
      <c r="O76" s="34"/>
      <c r="P76" s="34"/>
      <c r="Q76" s="34"/>
      <c r="R76" s="34"/>
      <c r="S76" s="34"/>
      <c r="T76" s="34"/>
      <c r="U76" s="34"/>
      <c r="V76" s="34"/>
    </row>
    <row r="77" spans="1:22" x14ac:dyDescent="0.3">
      <c r="B77" s="33"/>
      <c r="C77" s="34"/>
      <c r="D77" s="32"/>
      <c r="E77" s="32"/>
      <c r="F77" s="32"/>
      <c r="G77" s="34"/>
      <c r="H77" s="32"/>
      <c r="I77" s="35"/>
      <c r="J77" s="34"/>
      <c r="K77" s="35"/>
      <c r="L77" s="34"/>
      <c r="M77" s="32"/>
      <c r="N77" s="34"/>
      <c r="O77" s="34"/>
      <c r="P77" s="34"/>
      <c r="Q77" s="34"/>
      <c r="R77" s="34"/>
      <c r="S77" s="34"/>
      <c r="T77" s="34"/>
      <c r="U77" s="34"/>
      <c r="V77" s="34"/>
    </row>
    <row r="78" spans="1:22" x14ac:dyDescent="0.3">
      <c r="B78" s="33"/>
      <c r="C78" s="34"/>
      <c r="D78" s="32"/>
      <c r="E78" s="32"/>
      <c r="F78" s="32"/>
      <c r="G78" s="32"/>
      <c r="H78" s="32"/>
      <c r="I78" s="35"/>
      <c r="J78" s="34"/>
      <c r="K78" s="35"/>
      <c r="L78" s="34"/>
      <c r="M78" s="32"/>
      <c r="N78" s="34"/>
      <c r="O78" s="34"/>
      <c r="P78" s="34"/>
      <c r="Q78" s="34"/>
      <c r="R78" s="34"/>
      <c r="S78" s="34"/>
      <c r="T78" s="34"/>
      <c r="U78" s="34"/>
      <c r="V78" s="34"/>
    </row>
    <row r="79" spans="1:22" x14ac:dyDescent="0.3">
      <c r="B79" s="33"/>
      <c r="C79" s="34"/>
      <c r="D79" s="8" t="s">
        <v>136</v>
      </c>
      <c r="E79" s="32"/>
      <c r="F79" s="32"/>
      <c r="G79" s="34"/>
      <c r="H79" s="32"/>
      <c r="I79" s="35"/>
      <c r="J79" s="34"/>
      <c r="K79" s="35"/>
      <c r="L79" s="34"/>
      <c r="M79" s="32"/>
      <c r="N79" s="34"/>
      <c r="O79" s="34"/>
      <c r="P79" s="34"/>
      <c r="Q79" s="34"/>
      <c r="R79" s="34"/>
      <c r="S79" s="34"/>
      <c r="T79" s="34"/>
      <c r="U79" s="34"/>
      <c r="V79" s="34"/>
    </row>
    <row r="80" spans="1:22" x14ac:dyDescent="0.3">
      <c r="B80" s="33"/>
      <c r="D80" s="55" t="s">
        <v>133</v>
      </c>
      <c r="E80" s="112">
        <f>SUM(E7:E65)</f>
        <v>0</v>
      </c>
      <c r="F80" s="32"/>
      <c r="G80" s="34"/>
      <c r="H80" s="32"/>
      <c r="I80" s="35"/>
      <c r="J80" s="34"/>
      <c r="K80" s="35"/>
      <c r="L80" s="34"/>
      <c r="M80" s="32"/>
      <c r="N80" s="34"/>
      <c r="O80" s="34"/>
      <c r="P80" s="34"/>
      <c r="Q80" s="34"/>
      <c r="R80" s="34"/>
      <c r="S80" s="34"/>
      <c r="T80" s="34"/>
      <c r="U80" s="34"/>
      <c r="V80" s="34"/>
    </row>
    <row r="81" spans="1:22" x14ac:dyDescent="0.3">
      <c r="B81" s="33"/>
      <c r="D81" s="55" t="s">
        <v>134</v>
      </c>
      <c r="E81" s="112">
        <f>SUM(E66:E67)</f>
        <v>0</v>
      </c>
      <c r="F81" s="32"/>
      <c r="G81" s="34"/>
      <c r="H81" s="32"/>
      <c r="I81" s="35"/>
      <c r="J81" s="34"/>
      <c r="K81" s="35"/>
      <c r="L81" s="34"/>
      <c r="M81" s="32"/>
      <c r="N81" s="34"/>
      <c r="O81" s="34"/>
      <c r="P81" s="34"/>
      <c r="Q81" s="34"/>
      <c r="R81" s="34"/>
      <c r="S81" s="34"/>
      <c r="T81" s="34"/>
      <c r="U81" s="34"/>
      <c r="V81" s="34"/>
    </row>
    <row r="82" spans="1:22" x14ac:dyDescent="0.3">
      <c r="B82" s="33"/>
      <c r="D82" s="62" t="s">
        <v>135</v>
      </c>
      <c r="E82" s="113">
        <f>SUM(E69:E71)</f>
        <v>0</v>
      </c>
      <c r="F82" s="32"/>
      <c r="G82" s="34"/>
      <c r="H82" s="32"/>
      <c r="I82" s="34"/>
      <c r="J82" s="34"/>
      <c r="K82" s="35"/>
      <c r="L82" s="34"/>
      <c r="M82" s="32"/>
      <c r="N82" s="34"/>
      <c r="O82" s="34"/>
      <c r="P82" s="34"/>
      <c r="Q82" s="34"/>
      <c r="R82" s="34"/>
      <c r="S82" s="34"/>
      <c r="T82" s="34"/>
      <c r="U82" s="34"/>
      <c r="V82" s="34"/>
    </row>
    <row r="83" spans="1:22" x14ac:dyDescent="0.3">
      <c r="A83" s="17"/>
      <c r="B83" s="33"/>
      <c r="C83" s="34"/>
      <c r="D83" s="61" t="s">
        <v>138</v>
      </c>
      <c r="E83" s="112">
        <f>SUM(E80:E82)</f>
        <v>0</v>
      </c>
      <c r="F83" s="32"/>
      <c r="G83" s="34"/>
      <c r="H83" s="32"/>
      <c r="I83" s="34"/>
      <c r="J83" s="34"/>
      <c r="K83" s="35"/>
      <c r="L83" s="34"/>
      <c r="M83" s="32"/>
      <c r="N83" s="34"/>
      <c r="O83" s="34"/>
      <c r="P83" s="34"/>
      <c r="Q83" s="34"/>
      <c r="R83" s="34"/>
      <c r="S83" s="34"/>
      <c r="T83" s="34"/>
      <c r="U83" s="34"/>
      <c r="V83" s="34"/>
    </row>
    <row r="84" spans="1:22" x14ac:dyDescent="0.3">
      <c r="A84" s="17"/>
      <c r="B84" s="33"/>
      <c r="C84" s="34"/>
      <c r="D84" s="32"/>
      <c r="E84" s="32"/>
      <c r="F84" s="32"/>
      <c r="G84" s="34"/>
      <c r="H84" s="32"/>
      <c r="I84" s="34"/>
      <c r="J84" s="34"/>
      <c r="K84" s="35"/>
      <c r="L84" s="34"/>
      <c r="M84" s="32"/>
      <c r="N84" s="34"/>
      <c r="O84" s="34"/>
      <c r="P84" s="34"/>
      <c r="Q84" s="34"/>
      <c r="R84" s="34"/>
      <c r="S84" s="34"/>
      <c r="T84" s="34"/>
      <c r="U84" s="34"/>
      <c r="V84" s="34"/>
    </row>
    <row r="85" spans="1:22" x14ac:dyDescent="0.3">
      <c r="A85" s="17"/>
      <c r="B85" s="33"/>
      <c r="C85" s="34"/>
      <c r="D85" s="32"/>
      <c r="E85" s="32"/>
      <c r="F85" s="32"/>
      <c r="G85" s="34"/>
      <c r="H85" s="32"/>
      <c r="I85" s="34"/>
      <c r="J85" s="34"/>
      <c r="K85" s="35"/>
      <c r="L85" s="34"/>
      <c r="M85" s="32"/>
      <c r="N85" s="34"/>
      <c r="O85" s="34"/>
      <c r="P85" s="34"/>
      <c r="Q85" s="34"/>
      <c r="R85" s="34"/>
      <c r="S85" s="34"/>
      <c r="T85" s="34"/>
      <c r="U85" s="34"/>
      <c r="V85" s="34"/>
    </row>
    <row r="86" spans="1:22" x14ac:dyDescent="0.3">
      <c r="A86" s="17"/>
      <c r="B86" s="33"/>
      <c r="C86" s="34"/>
      <c r="D86" s="32"/>
      <c r="E86" s="32"/>
      <c r="F86" s="32"/>
      <c r="G86" s="34"/>
      <c r="H86" s="32"/>
      <c r="I86" s="34"/>
      <c r="J86" s="34"/>
      <c r="K86" s="35"/>
      <c r="L86" s="34"/>
      <c r="M86" s="32"/>
      <c r="N86" s="34"/>
      <c r="O86" s="34"/>
      <c r="P86" s="34"/>
      <c r="Q86" s="34"/>
      <c r="R86" s="34"/>
      <c r="S86" s="34"/>
      <c r="T86" s="34"/>
      <c r="U86" s="34"/>
      <c r="V86" s="34"/>
    </row>
    <row r="87" spans="1:22" x14ac:dyDescent="0.3">
      <c r="A87" s="17"/>
      <c r="B87" s="33"/>
      <c r="C87" s="34"/>
      <c r="D87" s="32"/>
      <c r="E87" s="32"/>
      <c r="F87" s="32"/>
      <c r="G87" s="34"/>
      <c r="H87" s="32"/>
      <c r="I87" s="34"/>
      <c r="J87" s="34"/>
      <c r="K87" s="35"/>
      <c r="L87" s="34"/>
      <c r="M87" s="32"/>
      <c r="N87" s="34"/>
      <c r="O87" s="34"/>
      <c r="P87" s="34"/>
      <c r="Q87" s="34"/>
      <c r="R87" s="34"/>
      <c r="S87" s="34"/>
      <c r="T87" s="34"/>
      <c r="U87" s="34"/>
      <c r="V87" s="34"/>
    </row>
    <row r="88" spans="1:22" x14ac:dyDescent="0.3">
      <c r="A88" s="17"/>
      <c r="B88" s="33"/>
      <c r="C88" s="34"/>
      <c r="D88" s="32"/>
      <c r="E88" s="32"/>
      <c r="F88" s="32"/>
      <c r="G88" s="34"/>
      <c r="H88" s="32"/>
      <c r="I88" s="34"/>
      <c r="J88" s="34"/>
      <c r="K88" s="35"/>
      <c r="L88" s="34"/>
      <c r="M88" s="32"/>
      <c r="N88" s="34"/>
      <c r="O88" s="34"/>
      <c r="P88" s="34"/>
      <c r="Q88" s="34"/>
      <c r="R88" s="34"/>
      <c r="S88" s="34"/>
      <c r="T88" s="34"/>
      <c r="U88" s="34"/>
      <c r="V88" s="34"/>
    </row>
    <row r="89" spans="1:22" x14ac:dyDescent="0.3">
      <c r="A89" s="17"/>
      <c r="B89" s="33"/>
      <c r="C89" s="34"/>
      <c r="D89" s="32"/>
      <c r="E89" s="32"/>
      <c r="F89" s="32"/>
      <c r="G89" s="34"/>
      <c r="H89" s="32"/>
      <c r="I89" s="34"/>
      <c r="J89" s="34"/>
      <c r="K89" s="35"/>
      <c r="L89" s="34"/>
      <c r="M89" s="32"/>
      <c r="N89" s="34"/>
      <c r="O89" s="34"/>
      <c r="P89" s="34"/>
      <c r="Q89" s="34"/>
      <c r="R89" s="34"/>
      <c r="S89" s="34"/>
      <c r="T89" s="34"/>
      <c r="U89" s="34"/>
      <c r="V89" s="34"/>
    </row>
    <row r="90" spans="1:22" x14ac:dyDescent="0.3">
      <c r="A90" s="17"/>
      <c r="B90" s="33"/>
      <c r="C90" s="34"/>
      <c r="D90" s="32"/>
      <c r="E90" s="32"/>
      <c r="F90" s="32"/>
      <c r="G90" s="34"/>
      <c r="H90" s="32"/>
      <c r="I90" s="34"/>
      <c r="J90" s="34"/>
      <c r="K90" s="35"/>
      <c r="L90" s="34"/>
      <c r="M90" s="32"/>
      <c r="N90" s="34"/>
      <c r="O90" s="34"/>
      <c r="P90" s="34"/>
      <c r="Q90" s="34"/>
      <c r="R90" s="34"/>
      <c r="S90" s="34"/>
      <c r="T90" s="34"/>
      <c r="U90" s="34"/>
      <c r="V90" s="34"/>
    </row>
    <row r="91" spans="1:22" x14ac:dyDescent="0.3">
      <c r="A91" s="17"/>
      <c r="B91" s="33"/>
      <c r="C91" s="34"/>
      <c r="D91" s="32"/>
      <c r="E91" s="32"/>
      <c r="F91" s="32"/>
      <c r="G91" s="34"/>
      <c r="H91" s="32"/>
      <c r="I91" s="34"/>
      <c r="J91" s="34"/>
      <c r="K91" s="35"/>
      <c r="L91" s="34"/>
      <c r="M91" s="32"/>
      <c r="N91" s="34"/>
      <c r="O91" s="34"/>
      <c r="P91" s="34"/>
      <c r="Q91" s="34"/>
      <c r="R91" s="34"/>
      <c r="S91" s="34"/>
      <c r="T91" s="34"/>
      <c r="U91" s="34"/>
      <c r="V91" s="34"/>
    </row>
    <row r="92" spans="1:22" x14ac:dyDescent="0.3">
      <c r="A92" s="17"/>
      <c r="B92" s="33"/>
      <c r="C92" s="34"/>
      <c r="D92" s="32"/>
      <c r="E92" s="32"/>
      <c r="F92" s="32"/>
      <c r="G92" s="34"/>
      <c r="H92" s="32"/>
      <c r="I92" s="34"/>
      <c r="J92" s="34"/>
      <c r="K92" s="35"/>
      <c r="L92" s="34"/>
      <c r="M92" s="32"/>
      <c r="N92" s="34"/>
      <c r="O92" s="34"/>
      <c r="P92" s="34"/>
      <c r="Q92" s="34"/>
      <c r="R92" s="34"/>
      <c r="S92" s="34"/>
      <c r="T92" s="34"/>
      <c r="U92" s="34"/>
      <c r="V92" s="34"/>
    </row>
    <row r="93" spans="1:22" x14ac:dyDescent="0.3">
      <c r="A93" s="17"/>
      <c r="B93" s="33"/>
      <c r="C93" s="34"/>
      <c r="D93" s="32"/>
      <c r="E93" s="32"/>
      <c r="F93" s="32"/>
      <c r="G93" s="34"/>
      <c r="H93" s="32"/>
      <c r="I93" s="34"/>
      <c r="J93" s="34"/>
      <c r="K93" s="35"/>
      <c r="L93" s="34"/>
      <c r="M93" s="32"/>
      <c r="N93" s="34"/>
      <c r="O93" s="34"/>
      <c r="P93" s="34"/>
      <c r="Q93" s="34"/>
      <c r="R93" s="34"/>
      <c r="S93" s="34"/>
      <c r="T93" s="34"/>
      <c r="U93" s="34"/>
      <c r="V93" s="34"/>
    </row>
    <row r="94" spans="1:22" x14ac:dyDescent="0.3">
      <c r="A94" s="17"/>
      <c r="B94" s="33"/>
      <c r="C94" s="34"/>
      <c r="D94" s="32"/>
      <c r="E94" s="32"/>
      <c r="F94" s="32"/>
      <c r="G94" s="34"/>
      <c r="H94" s="32"/>
      <c r="I94" s="34"/>
      <c r="J94" s="34"/>
      <c r="K94" s="35"/>
      <c r="L94" s="34"/>
      <c r="M94" s="32"/>
      <c r="N94" s="34"/>
      <c r="O94" s="34"/>
      <c r="P94" s="34"/>
      <c r="Q94" s="34"/>
      <c r="R94" s="34"/>
      <c r="S94" s="34"/>
      <c r="T94" s="34"/>
      <c r="U94" s="34"/>
      <c r="V94" s="34"/>
    </row>
    <row r="95" spans="1:22" x14ac:dyDescent="0.3">
      <c r="A95" s="17"/>
      <c r="B95" s="33"/>
      <c r="C95" s="34"/>
      <c r="D95" s="32"/>
      <c r="E95" s="32"/>
      <c r="F95" s="32"/>
      <c r="G95" s="34"/>
      <c r="H95" s="32"/>
      <c r="I95" s="34"/>
      <c r="J95" s="34"/>
      <c r="K95" s="35"/>
      <c r="L95" s="34"/>
      <c r="M95" s="32"/>
      <c r="N95" s="34"/>
      <c r="O95" s="34"/>
      <c r="P95" s="34"/>
      <c r="Q95" s="34"/>
      <c r="R95" s="34"/>
      <c r="S95" s="34"/>
      <c r="T95" s="34"/>
      <c r="U95" s="34"/>
      <c r="V95" s="34"/>
    </row>
    <row r="96" spans="1:22" x14ac:dyDescent="0.3">
      <c r="A96" s="17"/>
      <c r="B96" s="33"/>
      <c r="C96" s="34"/>
      <c r="D96" s="32"/>
      <c r="E96" s="32"/>
      <c r="F96" s="32"/>
      <c r="G96" s="34"/>
      <c r="H96" s="32"/>
      <c r="I96" s="34"/>
      <c r="J96" s="34"/>
      <c r="K96" s="35"/>
      <c r="L96" s="34"/>
      <c r="M96" s="32"/>
      <c r="N96" s="34"/>
      <c r="O96" s="34"/>
      <c r="P96" s="34"/>
      <c r="Q96" s="34"/>
      <c r="R96" s="34"/>
      <c r="S96" s="34"/>
      <c r="T96" s="34"/>
      <c r="U96" s="34"/>
      <c r="V96" s="34"/>
    </row>
    <row r="97" spans="1:22" x14ac:dyDescent="0.3">
      <c r="A97" s="17"/>
      <c r="B97" s="33"/>
      <c r="C97" s="34"/>
      <c r="D97" s="32"/>
      <c r="E97" s="32"/>
      <c r="F97" s="32"/>
      <c r="G97" s="34"/>
      <c r="H97" s="32"/>
      <c r="I97" s="34"/>
      <c r="J97" s="34"/>
      <c r="K97" s="35"/>
      <c r="L97" s="34"/>
      <c r="M97" s="32"/>
      <c r="N97" s="34"/>
      <c r="O97" s="34"/>
      <c r="P97" s="34"/>
      <c r="Q97" s="34"/>
      <c r="R97" s="34"/>
      <c r="S97" s="34"/>
      <c r="T97" s="34"/>
      <c r="U97" s="34"/>
      <c r="V97" s="34"/>
    </row>
    <row r="98" spans="1:22" x14ac:dyDescent="0.3">
      <c r="A98" s="17"/>
      <c r="B98" s="33"/>
      <c r="C98" s="34"/>
      <c r="D98" s="32"/>
      <c r="E98" s="32"/>
      <c r="F98" s="32"/>
      <c r="G98" s="34"/>
      <c r="H98" s="32"/>
      <c r="I98" s="34"/>
      <c r="J98" s="34"/>
      <c r="K98" s="35"/>
      <c r="L98" s="34"/>
      <c r="M98" s="32"/>
      <c r="N98" s="34"/>
      <c r="O98" s="34"/>
      <c r="P98" s="34"/>
      <c r="Q98" s="34"/>
      <c r="R98" s="34"/>
      <c r="S98" s="34"/>
      <c r="T98" s="34"/>
      <c r="U98" s="34"/>
      <c r="V98" s="34"/>
    </row>
    <row r="99" spans="1:22" x14ac:dyDescent="0.3">
      <c r="A99" s="17"/>
      <c r="B99" s="33"/>
      <c r="C99" s="34"/>
      <c r="D99" s="32"/>
      <c r="E99" s="32"/>
      <c r="F99" s="32"/>
      <c r="G99" s="34"/>
      <c r="H99" s="32"/>
      <c r="I99" s="34"/>
      <c r="J99" s="34"/>
      <c r="K99" s="35"/>
      <c r="L99" s="34"/>
      <c r="M99" s="32"/>
      <c r="N99" s="34"/>
      <c r="O99" s="34"/>
      <c r="P99" s="34"/>
      <c r="Q99" s="34"/>
      <c r="R99" s="34"/>
      <c r="S99" s="34"/>
      <c r="T99" s="34"/>
      <c r="U99" s="34"/>
      <c r="V99" s="34"/>
    </row>
    <row r="100" spans="1:22" x14ac:dyDescent="0.3">
      <c r="A100" s="17"/>
      <c r="B100" s="33"/>
      <c r="C100" s="34"/>
      <c r="D100" s="32"/>
      <c r="E100" s="32"/>
      <c r="F100" s="32"/>
      <c r="G100" s="34"/>
      <c r="H100" s="32"/>
      <c r="I100" s="34"/>
      <c r="J100" s="34"/>
      <c r="K100" s="35"/>
      <c r="L100" s="34"/>
      <c r="M100" s="32"/>
      <c r="N100" s="34"/>
      <c r="O100" s="34"/>
      <c r="P100" s="34"/>
      <c r="Q100" s="34"/>
      <c r="R100" s="34"/>
      <c r="S100" s="34"/>
      <c r="T100" s="34"/>
      <c r="U100" s="34"/>
      <c r="V100" s="34"/>
    </row>
    <row r="101" spans="1:22" x14ac:dyDescent="0.3">
      <c r="A101" s="17"/>
      <c r="B101" s="33"/>
      <c r="C101" s="34"/>
      <c r="D101" s="32"/>
      <c r="E101" s="32"/>
      <c r="F101" s="32"/>
      <c r="G101" s="34"/>
      <c r="H101" s="32"/>
      <c r="I101" s="34"/>
      <c r="J101" s="34"/>
      <c r="K101" s="35"/>
      <c r="L101" s="34"/>
      <c r="M101" s="32"/>
      <c r="N101" s="34"/>
      <c r="O101" s="34"/>
      <c r="P101" s="34"/>
      <c r="Q101" s="34"/>
      <c r="R101" s="34"/>
      <c r="S101" s="34"/>
      <c r="T101" s="34"/>
      <c r="U101" s="34"/>
      <c r="V101" s="34"/>
    </row>
    <row r="102" spans="1:22" x14ac:dyDescent="0.3">
      <c r="A102" s="17"/>
      <c r="B102" s="33"/>
      <c r="C102" s="34"/>
      <c r="D102" s="32"/>
      <c r="E102" s="32"/>
      <c r="F102" s="32"/>
      <c r="G102" s="34"/>
      <c r="H102" s="32"/>
      <c r="I102" s="34"/>
      <c r="J102" s="34"/>
      <c r="K102" s="35"/>
      <c r="L102" s="34"/>
      <c r="M102" s="32"/>
      <c r="N102" s="34"/>
      <c r="O102" s="34"/>
      <c r="P102" s="34"/>
      <c r="Q102" s="34"/>
      <c r="R102" s="34"/>
      <c r="S102" s="34"/>
      <c r="T102" s="34"/>
      <c r="U102" s="34"/>
      <c r="V102" s="34"/>
    </row>
    <row r="103" spans="1:22" x14ac:dyDescent="0.3">
      <c r="A103" s="17"/>
      <c r="B103" s="33"/>
      <c r="C103" s="34"/>
      <c r="D103" s="32"/>
      <c r="E103" s="32"/>
      <c r="F103" s="32"/>
      <c r="G103" s="34"/>
      <c r="H103" s="32"/>
      <c r="I103" s="34"/>
      <c r="J103" s="34"/>
      <c r="K103" s="35"/>
      <c r="L103" s="34"/>
      <c r="M103" s="32"/>
      <c r="N103" s="34"/>
      <c r="O103" s="34"/>
      <c r="P103" s="34"/>
      <c r="Q103" s="34"/>
      <c r="R103" s="34"/>
      <c r="S103" s="34"/>
      <c r="T103" s="34"/>
      <c r="U103" s="34"/>
      <c r="V103" s="34"/>
    </row>
    <row r="104" spans="1:22" x14ac:dyDescent="0.3">
      <c r="A104" s="17"/>
      <c r="B104" s="33"/>
      <c r="C104" s="34"/>
      <c r="D104" s="32"/>
      <c r="E104" s="32"/>
      <c r="F104" s="32"/>
      <c r="G104" s="34"/>
      <c r="H104" s="32"/>
      <c r="I104" s="34"/>
      <c r="J104" s="34"/>
      <c r="K104" s="35"/>
      <c r="L104" s="34"/>
      <c r="M104" s="32"/>
      <c r="N104" s="34"/>
      <c r="O104" s="34"/>
      <c r="P104" s="34"/>
      <c r="Q104" s="34"/>
      <c r="R104" s="34"/>
      <c r="S104" s="34"/>
      <c r="T104" s="34"/>
      <c r="U104" s="34"/>
      <c r="V104" s="34"/>
    </row>
    <row r="105" spans="1:22" x14ac:dyDescent="0.3">
      <c r="A105" s="17"/>
      <c r="B105" s="33"/>
      <c r="C105" s="34"/>
      <c r="D105" s="32"/>
      <c r="E105" s="32"/>
      <c r="F105" s="32"/>
      <c r="G105" s="34"/>
      <c r="H105" s="32"/>
      <c r="I105" s="34"/>
      <c r="J105" s="34"/>
      <c r="K105" s="35"/>
      <c r="L105" s="34"/>
      <c r="M105" s="32"/>
      <c r="N105" s="34"/>
      <c r="O105" s="34"/>
      <c r="P105" s="34"/>
      <c r="Q105" s="34"/>
      <c r="R105" s="34"/>
      <c r="S105" s="34"/>
      <c r="T105" s="34"/>
      <c r="U105" s="34"/>
      <c r="V105" s="34"/>
    </row>
    <row r="106" spans="1:22" x14ac:dyDescent="0.3">
      <c r="A106" s="17"/>
      <c r="B106" s="33"/>
      <c r="C106" s="34"/>
      <c r="D106" s="32"/>
      <c r="E106" s="32"/>
      <c r="F106" s="32"/>
      <c r="G106" s="34"/>
      <c r="H106" s="32"/>
      <c r="I106" s="34"/>
      <c r="J106" s="34"/>
      <c r="K106" s="35"/>
      <c r="L106" s="34"/>
      <c r="M106" s="32"/>
      <c r="N106" s="34"/>
      <c r="O106" s="34"/>
      <c r="P106" s="34"/>
      <c r="Q106" s="34"/>
      <c r="R106" s="34"/>
      <c r="S106" s="34"/>
      <c r="T106" s="34"/>
      <c r="U106" s="34"/>
      <c r="V106" s="34"/>
    </row>
    <row r="107" spans="1:22" x14ac:dyDescent="0.3">
      <c r="A107" s="17"/>
      <c r="B107" s="33"/>
      <c r="C107" s="34"/>
      <c r="D107" s="32"/>
      <c r="E107" s="32"/>
      <c r="F107" s="32"/>
      <c r="G107" s="34"/>
      <c r="H107" s="32"/>
      <c r="I107" s="34"/>
      <c r="J107" s="34"/>
      <c r="K107" s="35"/>
      <c r="L107" s="34"/>
      <c r="M107" s="32"/>
      <c r="N107" s="34"/>
      <c r="O107" s="34"/>
      <c r="P107" s="34"/>
      <c r="Q107" s="34"/>
      <c r="R107" s="34"/>
      <c r="S107" s="34"/>
      <c r="T107" s="34"/>
      <c r="U107" s="34"/>
      <c r="V107" s="34"/>
    </row>
    <row r="108" spans="1:22" x14ac:dyDescent="0.3">
      <c r="A108" s="17"/>
      <c r="B108" s="33"/>
      <c r="C108" s="34"/>
      <c r="D108" s="32"/>
      <c r="E108" s="32"/>
      <c r="F108" s="32"/>
      <c r="G108" s="34"/>
      <c r="H108" s="32"/>
      <c r="I108" s="34"/>
      <c r="J108" s="34"/>
      <c r="K108" s="35"/>
      <c r="L108" s="34"/>
      <c r="M108" s="32"/>
      <c r="N108" s="34"/>
      <c r="O108" s="34"/>
      <c r="P108" s="34"/>
      <c r="Q108" s="34"/>
      <c r="R108" s="34"/>
      <c r="S108" s="34"/>
      <c r="T108" s="34"/>
      <c r="U108" s="34"/>
      <c r="V108" s="34"/>
    </row>
    <row r="109" spans="1:22" x14ac:dyDescent="0.3">
      <c r="A109" s="17"/>
      <c r="B109" s="33"/>
      <c r="C109" s="34"/>
      <c r="D109" s="39"/>
      <c r="E109" s="39"/>
      <c r="F109" s="39"/>
      <c r="G109" s="34"/>
      <c r="H109" s="32"/>
      <c r="I109" s="34"/>
      <c r="J109" s="34"/>
      <c r="K109" s="35"/>
      <c r="L109" s="34"/>
      <c r="M109" s="32"/>
      <c r="N109" s="34"/>
      <c r="O109" s="34"/>
      <c r="P109" s="34"/>
      <c r="Q109" s="34"/>
      <c r="R109" s="34"/>
      <c r="S109" s="34"/>
      <c r="T109" s="34"/>
      <c r="U109" s="34"/>
      <c r="V109" s="34"/>
    </row>
    <row r="110" spans="1:22" x14ac:dyDescent="0.3">
      <c r="A110" s="17"/>
      <c r="B110" s="33"/>
      <c r="C110" s="34"/>
      <c r="D110" s="39"/>
      <c r="E110" s="39"/>
      <c r="F110" s="39"/>
      <c r="G110" s="34"/>
      <c r="H110" s="32"/>
      <c r="I110" s="34"/>
      <c r="J110" s="34"/>
      <c r="K110" s="35"/>
      <c r="L110" s="34"/>
      <c r="M110" s="32"/>
      <c r="N110" s="34"/>
      <c r="O110" s="34"/>
      <c r="P110" s="34"/>
      <c r="Q110" s="34"/>
      <c r="R110" s="34"/>
      <c r="S110" s="34"/>
      <c r="T110" s="34"/>
      <c r="U110" s="34"/>
      <c r="V110" s="34"/>
    </row>
    <row r="111" spans="1:22" x14ac:dyDescent="0.3">
      <c r="A111" s="17"/>
      <c r="B111" s="33"/>
      <c r="C111" s="34"/>
      <c r="D111" s="39"/>
      <c r="E111" s="39"/>
      <c r="F111" s="39"/>
      <c r="G111" s="34"/>
      <c r="H111" s="32"/>
      <c r="I111" s="34"/>
      <c r="J111" s="34"/>
      <c r="K111" s="35"/>
      <c r="L111" s="34"/>
      <c r="M111" s="32"/>
      <c r="N111" s="34"/>
      <c r="O111" s="34"/>
      <c r="P111" s="34"/>
      <c r="Q111" s="34"/>
      <c r="R111" s="34"/>
      <c r="S111" s="34"/>
      <c r="T111" s="34"/>
      <c r="U111" s="34"/>
      <c r="V111" s="34"/>
    </row>
    <row r="112" spans="1:22" x14ac:dyDescent="0.3">
      <c r="A112" s="17"/>
      <c r="B112" s="33"/>
      <c r="C112" s="34"/>
      <c r="D112" s="39"/>
      <c r="E112" s="39"/>
      <c r="F112" s="39"/>
      <c r="G112" s="34"/>
      <c r="H112" s="32"/>
      <c r="I112" s="34"/>
      <c r="J112" s="34"/>
      <c r="K112" s="35"/>
      <c r="L112" s="34"/>
      <c r="M112" s="32"/>
      <c r="N112" s="34"/>
      <c r="O112" s="34"/>
      <c r="P112" s="34"/>
      <c r="Q112" s="34"/>
      <c r="R112" s="34"/>
      <c r="S112" s="34"/>
      <c r="T112" s="34"/>
      <c r="U112" s="34"/>
      <c r="V112" s="34"/>
    </row>
    <row r="113" spans="1:22" x14ac:dyDescent="0.3">
      <c r="A113" s="17"/>
      <c r="B113" s="33"/>
      <c r="C113" s="34"/>
      <c r="D113" s="39"/>
      <c r="E113" s="39"/>
      <c r="F113" s="39"/>
      <c r="G113" s="34"/>
      <c r="H113" s="32"/>
      <c r="I113" s="34"/>
      <c r="J113" s="34"/>
      <c r="K113" s="35"/>
      <c r="L113" s="34"/>
      <c r="M113" s="32"/>
      <c r="N113" s="34"/>
      <c r="O113" s="34"/>
      <c r="P113" s="34"/>
      <c r="Q113" s="34"/>
      <c r="R113" s="34"/>
      <c r="S113" s="34"/>
      <c r="T113" s="34"/>
      <c r="U113" s="34"/>
      <c r="V113" s="34"/>
    </row>
    <row r="114" spans="1:22" x14ac:dyDescent="0.3">
      <c r="A114" s="17"/>
      <c r="B114" s="33"/>
      <c r="C114" s="34"/>
      <c r="D114" s="39"/>
      <c r="E114" s="39"/>
      <c r="F114" s="39"/>
      <c r="G114" s="34"/>
      <c r="H114" s="32"/>
      <c r="I114" s="34"/>
      <c r="J114" s="34"/>
      <c r="K114" s="35"/>
      <c r="L114" s="34"/>
      <c r="M114" s="32"/>
      <c r="N114" s="34"/>
      <c r="O114" s="34"/>
      <c r="P114" s="34"/>
      <c r="Q114" s="34"/>
      <c r="R114" s="34"/>
      <c r="S114" s="34"/>
      <c r="T114" s="34"/>
      <c r="U114" s="34"/>
      <c r="V114" s="34"/>
    </row>
    <row r="115" spans="1:22" x14ac:dyDescent="0.3">
      <c r="A115" s="17"/>
      <c r="B115" s="33"/>
      <c r="C115" s="34"/>
      <c r="D115" s="39"/>
      <c r="E115" s="39"/>
      <c r="F115" s="39"/>
      <c r="G115" s="34"/>
      <c r="H115" s="32"/>
      <c r="I115" s="34"/>
      <c r="J115" s="34"/>
      <c r="K115" s="35"/>
      <c r="L115" s="34"/>
      <c r="M115" s="32"/>
      <c r="N115" s="34"/>
      <c r="O115" s="34"/>
      <c r="P115" s="34"/>
      <c r="Q115" s="34"/>
      <c r="R115" s="34"/>
      <c r="S115" s="34"/>
      <c r="T115" s="34"/>
      <c r="U115" s="34"/>
      <c r="V115" s="34"/>
    </row>
    <row r="116" spans="1:22" x14ac:dyDescent="0.3">
      <c r="A116" s="17"/>
      <c r="B116" s="33"/>
      <c r="C116" s="34"/>
      <c r="D116" s="39"/>
      <c r="E116" s="39"/>
      <c r="F116" s="39"/>
      <c r="G116" s="34"/>
      <c r="H116" s="32"/>
      <c r="I116" s="34"/>
      <c r="J116" s="34"/>
      <c r="K116" s="35"/>
      <c r="L116" s="34"/>
      <c r="M116" s="32"/>
      <c r="N116" s="34"/>
      <c r="O116" s="34"/>
      <c r="P116" s="34"/>
      <c r="Q116" s="34"/>
      <c r="R116" s="34"/>
      <c r="S116" s="34"/>
      <c r="T116" s="34"/>
      <c r="U116" s="34"/>
      <c r="V116" s="34"/>
    </row>
    <row r="117" spans="1:22" x14ac:dyDescent="0.3">
      <c r="A117" s="17"/>
      <c r="B117" s="33"/>
      <c r="C117" s="34"/>
      <c r="D117" s="39"/>
      <c r="E117" s="39"/>
      <c r="F117" s="39"/>
      <c r="G117" s="34"/>
      <c r="H117" s="32"/>
      <c r="I117" s="34"/>
      <c r="J117" s="34"/>
      <c r="K117" s="35"/>
      <c r="L117" s="34"/>
      <c r="M117" s="32"/>
      <c r="N117" s="34"/>
      <c r="O117" s="34"/>
      <c r="P117" s="34"/>
      <c r="Q117" s="34"/>
      <c r="R117" s="34"/>
      <c r="S117" s="34"/>
      <c r="T117" s="34"/>
      <c r="U117" s="34"/>
      <c r="V117" s="34"/>
    </row>
    <row r="118" spans="1:22" x14ac:dyDescent="0.3">
      <c r="A118" s="17"/>
      <c r="B118" s="33"/>
      <c r="C118" s="34"/>
      <c r="D118" s="39"/>
      <c r="E118" s="39"/>
      <c r="F118" s="39"/>
      <c r="G118" s="34"/>
      <c r="H118" s="32"/>
      <c r="I118" s="34"/>
      <c r="J118" s="34"/>
      <c r="K118" s="35"/>
      <c r="L118" s="34"/>
      <c r="M118" s="32"/>
      <c r="N118" s="34"/>
      <c r="O118" s="34"/>
      <c r="P118" s="34"/>
      <c r="Q118" s="34"/>
      <c r="R118" s="34"/>
      <c r="S118" s="34"/>
      <c r="T118" s="34"/>
      <c r="U118" s="34"/>
      <c r="V118" s="34"/>
    </row>
    <row r="119" spans="1:22" x14ac:dyDescent="0.3">
      <c r="A119" s="17"/>
      <c r="B119" s="33"/>
      <c r="C119" s="34"/>
      <c r="D119" s="39"/>
      <c r="E119" s="39"/>
      <c r="F119" s="39"/>
      <c r="G119" s="34"/>
      <c r="H119" s="32"/>
      <c r="I119" s="34"/>
      <c r="J119" s="34"/>
      <c r="K119" s="35"/>
      <c r="L119" s="34"/>
      <c r="M119" s="32"/>
      <c r="N119" s="34"/>
      <c r="O119" s="34"/>
      <c r="P119" s="34"/>
      <c r="Q119" s="34"/>
      <c r="R119" s="34"/>
      <c r="S119" s="34"/>
      <c r="T119" s="34"/>
      <c r="U119" s="34"/>
      <c r="V119" s="34"/>
    </row>
    <row r="120" spans="1:22" x14ac:dyDescent="0.3">
      <c r="A120" s="17"/>
      <c r="B120" s="33"/>
      <c r="C120" s="34"/>
      <c r="D120" s="39"/>
      <c r="E120" s="39"/>
      <c r="F120" s="39"/>
      <c r="G120" s="34"/>
      <c r="H120" s="32"/>
      <c r="I120" s="34"/>
      <c r="J120" s="34"/>
      <c r="K120" s="35"/>
      <c r="L120" s="34"/>
      <c r="M120" s="32"/>
      <c r="N120" s="34"/>
      <c r="O120" s="34"/>
      <c r="P120" s="34"/>
      <c r="Q120" s="34"/>
      <c r="R120" s="34"/>
      <c r="S120" s="34"/>
      <c r="T120" s="34"/>
      <c r="U120" s="34"/>
      <c r="V120" s="34"/>
    </row>
    <row r="121" spans="1:22" x14ac:dyDescent="0.3">
      <c r="A121" s="17"/>
      <c r="B121" s="33"/>
      <c r="C121" s="34"/>
      <c r="D121" s="39"/>
      <c r="E121" s="39"/>
      <c r="F121" s="39"/>
      <c r="G121" s="34"/>
      <c r="H121" s="32"/>
      <c r="I121" s="34"/>
      <c r="J121" s="34"/>
      <c r="K121" s="35"/>
      <c r="L121" s="34"/>
      <c r="M121" s="32"/>
      <c r="N121" s="34"/>
      <c r="O121" s="34"/>
      <c r="P121" s="34"/>
      <c r="Q121" s="34"/>
      <c r="R121" s="34"/>
      <c r="S121" s="34"/>
      <c r="T121" s="34"/>
      <c r="U121" s="34"/>
      <c r="V121" s="34"/>
    </row>
    <row r="122" spans="1:22" x14ac:dyDescent="0.3">
      <c r="A122" s="17"/>
      <c r="B122" s="33"/>
      <c r="C122" s="34"/>
      <c r="D122" s="39"/>
      <c r="E122" s="39"/>
      <c r="F122" s="39"/>
      <c r="G122" s="34"/>
      <c r="H122" s="32"/>
      <c r="I122" s="34"/>
      <c r="J122" s="34"/>
      <c r="K122" s="35"/>
      <c r="L122" s="34"/>
      <c r="M122" s="32"/>
      <c r="N122" s="34"/>
      <c r="O122" s="34"/>
      <c r="P122" s="34"/>
      <c r="Q122" s="34"/>
      <c r="R122" s="34"/>
      <c r="S122" s="34"/>
      <c r="T122" s="34"/>
      <c r="U122" s="34"/>
      <c r="V122" s="34"/>
    </row>
    <row r="123" spans="1:22" x14ac:dyDescent="0.3">
      <c r="A123" s="17"/>
      <c r="B123" s="33"/>
      <c r="C123" s="34"/>
      <c r="D123" s="39"/>
      <c r="E123" s="39"/>
      <c r="F123" s="39"/>
      <c r="G123" s="34"/>
      <c r="H123" s="32"/>
      <c r="I123" s="34"/>
      <c r="J123" s="34"/>
      <c r="K123" s="35"/>
      <c r="L123" s="34"/>
      <c r="M123" s="32"/>
      <c r="N123" s="34"/>
      <c r="O123" s="34"/>
      <c r="P123" s="34"/>
      <c r="Q123" s="34"/>
      <c r="R123" s="34"/>
      <c r="S123" s="34"/>
      <c r="T123" s="34"/>
      <c r="U123" s="34"/>
      <c r="V123" s="34"/>
    </row>
    <row r="124" spans="1:22" x14ac:dyDescent="0.3">
      <c r="A124" s="17"/>
      <c r="B124" s="33"/>
      <c r="C124" s="34"/>
      <c r="D124" s="39"/>
      <c r="E124" s="39"/>
      <c r="F124" s="39"/>
      <c r="G124" s="34"/>
      <c r="H124" s="32"/>
      <c r="I124" s="34"/>
      <c r="J124" s="34"/>
      <c r="K124" s="35"/>
      <c r="L124" s="34"/>
      <c r="M124" s="32"/>
      <c r="N124" s="34"/>
      <c r="O124" s="34"/>
      <c r="P124" s="34"/>
      <c r="Q124" s="34"/>
      <c r="R124" s="34"/>
      <c r="S124" s="34"/>
      <c r="T124" s="34"/>
      <c r="U124" s="34"/>
      <c r="V124" s="34"/>
    </row>
    <row r="125" spans="1:22" x14ac:dyDescent="0.3">
      <c r="A125" s="17"/>
      <c r="B125" s="33"/>
      <c r="C125" s="34"/>
      <c r="D125" s="39"/>
      <c r="E125" s="39"/>
      <c r="F125" s="39"/>
      <c r="G125" s="34"/>
      <c r="H125" s="32"/>
      <c r="I125" s="34"/>
      <c r="J125" s="34"/>
      <c r="K125" s="35"/>
      <c r="L125" s="34"/>
      <c r="M125" s="32"/>
      <c r="N125" s="34"/>
      <c r="O125" s="34"/>
      <c r="P125" s="34"/>
      <c r="Q125" s="34"/>
      <c r="R125" s="34"/>
      <c r="S125" s="34"/>
      <c r="T125" s="34"/>
      <c r="U125" s="34"/>
      <c r="V125" s="34"/>
    </row>
    <row r="126" spans="1:22" x14ac:dyDescent="0.3">
      <c r="A126" s="17"/>
      <c r="B126" s="33"/>
      <c r="C126" s="34"/>
      <c r="D126" s="39"/>
      <c r="E126" s="39"/>
      <c r="F126" s="39"/>
      <c r="G126" s="34"/>
      <c r="H126" s="32"/>
      <c r="I126" s="34"/>
      <c r="J126" s="34"/>
      <c r="K126" s="35"/>
      <c r="L126" s="34"/>
      <c r="M126" s="32"/>
      <c r="N126" s="34"/>
      <c r="O126" s="34"/>
      <c r="P126" s="34"/>
      <c r="Q126" s="34"/>
      <c r="R126" s="34"/>
      <c r="S126" s="34"/>
      <c r="T126" s="34"/>
      <c r="U126" s="34"/>
      <c r="V126" s="34"/>
    </row>
    <row r="127" spans="1:22" x14ac:dyDescent="0.3">
      <c r="A127" s="17"/>
      <c r="B127" s="33"/>
      <c r="C127" s="34"/>
      <c r="D127" s="39"/>
      <c r="E127" s="39"/>
      <c r="F127" s="39"/>
      <c r="G127" s="34"/>
      <c r="H127" s="32"/>
      <c r="I127" s="34"/>
      <c r="J127" s="34"/>
      <c r="K127" s="35"/>
      <c r="L127" s="34"/>
      <c r="M127" s="32"/>
      <c r="N127" s="34"/>
      <c r="O127" s="34"/>
      <c r="P127" s="34"/>
      <c r="Q127" s="34"/>
      <c r="R127" s="34"/>
      <c r="S127" s="34"/>
      <c r="T127" s="34"/>
      <c r="U127" s="34"/>
      <c r="V127" s="34"/>
    </row>
    <row r="128" spans="1:22" x14ac:dyDescent="0.3">
      <c r="A128" s="17"/>
      <c r="B128" s="33"/>
      <c r="C128" s="34"/>
      <c r="D128" s="39"/>
      <c r="E128" s="39"/>
      <c r="F128" s="39"/>
      <c r="G128" s="34"/>
      <c r="H128" s="32"/>
      <c r="I128" s="34"/>
      <c r="J128" s="34"/>
      <c r="K128" s="35"/>
      <c r="L128" s="34"/>
      <c r="M128" s="32"/>
      <c r="N128" s="34"/>
      <c r="O128" s="34"/>
      <c r="P128" s="34"/>
      <c r="Q128" s="34"/>
      <c r="R128" s="34"/>
      <c r="S128" s="34"/>
      <c r="T128" s="34"/>
      <c r="U128" s="34"/>
      <c r="V128" s="34"/>
    </row>
    <row r="129" spans="1:22" x14ac:dyDescent="0.3">
      <c r="A129" s="17"/>
      <c r="B129" s="33"/>
      <c r="C129" s="34"/>
      <c r="D129" s="39"/>
      <c r="E129" s="39"/>
      <c r="F129" s="39"/>
      <c r="G129" s="34"/>
      <c r="H129" s="32"/>
      <c r="I129" s="34"/>
      <c r="J129" s="34"/>
      <c r="K129" s="35"/>
      <c r="L129" s="34"/>
      <c r="M129" s="32"/>
      <c r="N129" s="34"/>
      <c r="O129" s="34"/>
      <c r="P129" s="34"/>
      <c r="Q129" s="34"/>
      <c r="R129" s="34"/>
      <c r="S129" s="34"/>
      <c r="T129" s="34"/>
      <c r="U129" s="34"/>
      <c r="V129" s="34"/>
    </row>
    <row r="130" spans="1:22" x14ac:dyDescent="0.3">
      <c r="A130" s="17"/>
      <c r="B130" s="33"/>
      <c r="C130" s="34"/>
      <c r="D130" s="39"/>
      <c r="E130" s="39"/>
      <c r="F130" s="39"/>
      <c r="G130" s="34"/>
      <c r="H130" s="32"/>
      <c r="I130" s="34"/>
      <c r="J130" s="34"/>
      <c r="K130" s="35"/>
      <c r="L130" s="34"/>
      <c r="M130" s="32"/>
      <c r="N130" s="34"/>
      <c r="O130" s="34"/>
      <c r="P130" s="34"/>
      <c r="Q130" s="34"/>
      <c r="R130" s="34"/>
      <c r="S130" s="34"/>
      <c r="T130" s="34"/>
      <c r="U130" s="34"/>
      <c r="V130" s="34"/>
    </row>
    <row r="131" spans="1:22" x14ac:dyDescent="0.3">
      <c r="A131" s="17"/>
      <c r="B131" s="33"/>
      <c r="C131" s="34"/>
      <c r="D131" s="39"/>
      <c r="E131" s="39"/>
      <c r="F131" s="39"/>
      <c r="G131" s="34"/>
      <c r="H131" s="32"/>
      <c r="I131" s="34"/>
      <c r="J131" s="34"/>
      <c r="K131" s="35"/>
      <c r="L131" s="34"/>
      <c r="M131" s="32"/>
      <c r="N131" s="34"/>
      <c r="O131" s="34"/>
      <c r="P131" s="34"/>
      <c r="Q131" s="34"/>
      <c r="R131" s="34"/>
      <c r="S131" s="34"/>
      <c r="T131" s="34"/>
      <c r="U131" s="34"/>
      <c r="V131" s="34"/>
    </row>
    <row r="132" spans="1:22" x14ac:dyDescent="0.3">
      <c r="A132" s="17"/>
      <c r="B132" s="33"/>
      <c r="C132" s="34"/>
      <c r="D132" s="39"/>
      <c r="E132" s="39"/>
      <c r="F132" s="39"/>
      <c r="G132" s="34"/>
      <c r="H132" s="32"/>
      <c r="I132" s="34"/>
      <c r="J132" s="34"/>
      <c r="K132" s="35"/>
      <c r="L132" s="34"/>
      <c r="M132" s="32"/>
      <c r="N132" s="34"/>
      <c r="O132" s="34"/>
      <c r="P132" s="34"/>
      <c r="Q132" s="34"/>
      <c r="R132" s="34"/>
      <c r="S132" s="34"/>
      <c r="T132" s="34"/>
      <c r="U132" s="34"/>
      <c r="V132" s="34"/>
    </row>
    <row r="133" spans="1:22" x14ac:dyDescent="0.3">
      <c r="A133" s="17"/>
      <c r="B133" s="33"/>
      <c r="C133" s="34"/>
      <c r="D133" s="39"/>
      <c r="E133" s="39"/>
      <c r="F133" s="39"/>
      <c r="G133" s="34"/>
      <c r="H133" s="32"/>
      <c r="I133" s="34"/>
      <c r="J133" s="34"/>
      <c r="K133" s="35"/>
      <c r="L133" s="34"/>
      <c r="M133" s="32"/>
      <c r="N133" s="34"/>
      <c r="O133" s="34"/>
      <c r="P133" s="34"/>
      <c r="Q133" s="34"/>
      <c r="R133" s="34"/>
      <c r="S133" s="34"/>
      <c r="T133" s="34"/>
      <c r="U133" s="34"/>
      <c r="V133" s="34"/>
    </row>
    <row r="134" spans="1:22" x14ac:dyDescent="0.3">
      <c r="A134" s="17"/>
      <c r="B134" s="33"/>
      <c r="C134" s="34"/>
      <c r="D134" s="39"/>
      <c r="E134" s="39"/>
      <c r="F134" s="39"/>
      <c r="G134" s="34"/>
      <c r="H134" s="32"/>
      <c r="I134" s="34"/>
      <c r="J134" s="34"/>
      <c r="K134" s="35"/>
      <c r="L134" s="34"/>
      <c r="M134" s="32"/>
      <c r="N134" s="34"/>
      <c r="O134" s="34"/>
      <c r="P134" s="34"/>
      <c r="Q134" s="34"/>
      <c r="R134" s="34"/>
      <c r="S134" s="34"/>
      <c r="T134" s="34"/>
      <c r="U134" s="34"/>
      <c r="V134" s="34"/>
    </row>
    <row r="135" spans="1:22" x14ac:dyDescent="0.3">
      <c r="A135" s="17"/>
      <c r="B135" s="33"/>
      <c r="C135" s="34"/>
      <c r="D135" s="39"/>
      <c r="E135" s="39"/>
      <c r="F135" s="39"/>
      <c r="G135" s="34"/>
      <c r="H135" s="32"/>
      <c r="I135" s="34"/>
      <c r="J135" s="34"/>
      <c r="K135" s="35"/>
      <c r="L135" s="34"/>
      <c r="M135" s="32"/>
      <c r="N135" s="34"/>
      <c r="O135" s="34"/>
      <c r="P135" s="34"/>
      <c r="Q135" s="34"/>
      <c r="R135" s="34"/>
      <c r="S135" s="34"/>
      <c r="T135" s="34"/>
      <c r="U135" s="34"/>
      <c r="V135" s="34"/>
    </row>
    <row r="136" spans="1:22" x14ac:dyDescent="0.3">
      <c r="A136" s="17"/>
      <c r="B136" s="33"/>
      <c r="C136" s="34"/>
      <c r="D136" s="39"/>
      <c r="E136" s="39"/>
      <c r="F136" s="39"/>
      <c r="G136" s="34"/>
      <c r="H136" s="32"/>
      <c r="I136" s="34"/>
      <c r="J136" s="34"/>
      <c r="K136" s="35"/>
      <c r="L136" s="34"/>
      <c r="M136" s="32"/>
      <c r="N136" s="34"/>
      <c r="O136" s="34"/>
      <c r="P136" s="34"/>
      <c r="Q136" s="34"/>
      <c r="R136" s="34"/>
      <c r="S136" s="34"/>
      <c r="T136" s="34"/>
      <c r="U136" s="34"/>
      <c r="V136" s="34"/>
    </row>
    <row r="137" spans="1:22" x14ac:dyDescent="0.3">
      <c r="A137" s="17"/>
      <c r="B137" s="33"/>
      <c r="C137" s="34"/>
      <c r="D137" s="39"/>
      <c r="E137" s="39"/>
      <c r="F137" s="39"/>
      <c r="G137" s="34"/>
      <c r="H137" s="32"/>
      <c r="I137" s="34"/>
      <c r="J137" s="34"/>
      <c r="K137" s="35"/>
      <c r="L137" s="34"/>
      <c r="M137" s="32"/>
      <c r="N137" s="34"/>
      <c r="O137" s="34"/>
      <c r="P137" s="34"/>
      <c r="Q137" s="34"/>
      <c r="R137" s="34"/>
      <c r="S137" s="34"/>
      <c r="T137" s="34"/>
      <c r="U137" s="34"/>
      <c r="V137" s="34"/>
    </row>
    <row r="138" spans="1:22" x14ac:dyDescent="0.3">
      <c r="A138" s="17"/>
      <c r="B138" s="33"/>
      <c r="C138" s="34"/>
      <c r="D138" s="39"/>
      <c r="E138" s="39"/>
      <c r="F138" s="39"/>
      <c r="G138" s="34"/>
      <c r="H138" s="32"/>
      <c r="I138" s="34"/>
      <c r="J138" s="34"/>
      <c r="K138" s="35"/>
      <c r="L138" s="34"/>
      <c r="M138" s="32"/>
      <c r="N138" s="34"/>
      <c r="O138" s="34"/>
      <c r="P138" s="34"/>
      <c r="Q138" s="34"/>
      <c r="R138" s="34"/>
      <c r="S138" s="34"/>
      <c r="T138" s="34"/>
      <c r="U138" s="34"/>
      <c r="V138" s="34"/>
    </row>
    <row r="139" spans="1:22" x14ac:dyDescent="0.3">
      <c r="A139" s="17"/>
      <c r="B139" s="33"/>
      <c r="C139" s="34"/>
      <c r="D139" s="39"/>
      <c r="E139" s="39"/>
      <c r="F139" s="39"/>
      <c r="G139" s="34"/>
      <c r="H139" s="32"/>
      <c r="I139" s="34"/>
      <c r="J139" s="34"/>
      <c r="K139" s="35"/>
      <c r="L139" s="34"/>
      <c r="M139" s="32"/>
      <c r="N139" s="34"/>
      <c r="O139" s="34"/>
      <c r="P139" s="34"/>
      <c r="Q139" s="34"/>
      <c r="R139" s="34"/>
      <c r="S139" s="34"/>
      <c r="T139" s="34"/>
      <c r="U139" s="34"/>
      <c r="V139" s="34"/>
    </row>
    <row r="140" spans="1:22" x14ac:dyDescent="0.3">
      <c r="A140" s="17"/>
      <c r="B140" s="33"/>
      <c r="C140" s="34"/>
      <c r="D140" s="39"/>
      <c r="E140" s="39"/>
      <c r="F140" s="39"/>
      <c r="G140" s="34"/>
      <c r="H140" s="32"/>
      <c r="I140" s="34"/>
      <c r="J140" s="34"/>
      <c r="K140" s="35"/>
      <c r="L140" s="34"/>
      <c r="M140" s="32"/>
      <c r="N140" s="34"/>
      <c r="O140" s="34"/>
      <c r="P140" s="34"/>
      <c r="Q140" s="34"/>
      <c r="R140" s="34"/>
      <c r="S140" s="34"/>
      <c r="T140" s="34"/>
      <c r="U140" s="34"/>
      <c r="V140" s="34"/>
    </row>
    <row r="141" spans="1:22" x14ac:dyDescent="0.3">
      <c r="A141" s="17"/>
      <c r="B141" s="33"/>
      <c r="C141" s="34"/>
      <c r="D141" s="39"/>
      <c r="E141" s="39"/>
      <c r="F141" s="39"/>
      <c r="G141" s="34"/>
      <c r="H141" s="32"/>
      <c r="I141" s="34"/>
      <c r="J141" s="34"/>
      <c r="K141" s="35"/>
      <c r="L141" s="34"/>
      <c r="M141" s="32"/>
      <c r="N141" s="34"/>
      <c r="O141" s="34"/>
      <c r="P141" s="34"/>
      <c r="Q141" s="34"/>
      <c r="R141" s="34"/>
      <c r="S141" s="34"/>
      <c r="T141" s="34"/>
      <c r="U141" s="34"/>
      <c r="V141" s="34"/>
    </row>
    <row r="142" spans="1:22" x14ac:dyDescent="0.3">
      <c r="A142" s="17"/>
      <c r="B142" s="33"/>
      <c r="C142" s="34"/>
      <c r="D142" s="39"/>
      <c r="E142" s="39"/>
      <c r="F142" s="39"/>
      <c r="G142" s="34"/>
      <c r="H142" s="32"/>
      <c r="I142" s="34"/>
      <c r="J142" s="34"/>
      <c r="K142" s="35"/>
      <c r="L142" s="34"/>
      <c r="M142" s="32"/>
      <c r="N142" s="34"/>
      <c r="O142" s="34"/>
      <c r="P142" s="34"/>
      <c r="Q142" s="34"/>
      <c r="R142" s="34"/>
      <c r="S142" s="34"/>
      <c r="T142" s="34"/>
      <c r="U142" s="34"/>
      <c r="V142" s="34"/>
    </row>
    <row r="143" spans="1:22" x14ac:dyDescent="0.3">
      <c r="A143" s="17"/>
      <c r="B143" s="33"/>
      <c r="C143" s="34"/>
      <c r="D143" s="39"/>
      <c r="E143" s="39"/>
      <c r="F143" s="39"/>
      <c r="G143" s="34"/>
      <c r="H143" s="32"/>
      <c r="I143" s="34"/>
      <c r="J143" s="34"/>
      <c r="K143" s="35"/>
      <c r="L143" s="34"/>
      <c r="M143" s="32"/>
      <c r="N143" s="34"/>
      <c r="O143" s="34"/>
      <c r="P143" s="34"/>
      <c r="Q143" s="34"/>
      <c r="R143" s="34"/>
      <c r="S143" s="34"/>
      <c r="T143" s="34"/>
      <c r="U143" s="34"/>
      <c r="V143" s="34"/>
    </row>
    <row r="144" spans="1:22" x14ac:dyDescent="0.3">
      <c r="A144" s="17"/>
      <c r="B144" s="33"/>
      <c r="C144" s="34"/>
      <c r="D144" s="39"/>
      <c r="E144" s="39"/>
      <c r="F144" s="39"/>
      <c r="G144" s="34"/>
      <c r="H144" s="32"/>
      <c r="I144" s="34"/>
      <c r="J144" s="34"/>
      <c r="K144" s="35"/>
      <c r="L144" s="34"/>
      <c r="M144" s="32"/>
      <c r="N144" s="34"/>
      <c r="O144" s="34"/>
      <c r="P144" s="34"/>
      <c r="Q144" s="34"/>
      <c r="R144" s="34"/>
      <c r="S144" s="34"/>
      <c r="T144" s="34"/>
      <c r="U144" s="34"/>
      <c r="V144" s="34"/>
    </row>
    <row r="145" spans="1:22" x14ac:dyDescent="0.3">
      <c r="A145" s="17"/>
      <c r="B145" s="33"/>
      <c r="C145" s="34"/>
      <c r="D145" s="39"/>
      <c r="E145" s="39"/>
      <c r="F145" s="39"/>
      <c r="G145" s="34"/>
      <c r="H145" s="32"/>
      <c r="I145" s="34"/>
      <c r="J145" s="34"/>
      <c r="K145" s="35"/>
      <c r="L145" s="34"/>
      <c r="M145" s="32"/>
      <c r="N145" s="34"/>
      <c r="O145" s="34"/>
      <c r="P145" s="34"/>
      <c r="Q145" s="34"/>
      <c r="R145" s="34"/>
      <c r="S145" s="34"/>
      <c r="T145" s="34"/>
      <c r="U145" s="34"/>
      <c r="V145" s="34"/>
    </row>
    <row r="146" spans="1:22" x14ac:dyDescent="0.3">
      <c r="A146" s="17"/>
      <c r="B146" s="33"/>
      <c r="C146" s="34"/>
      <c r="D146" s="39"/>
      <c r="E146" s="39"/>
      <c r="F146" s="39"/>
      <c r="G146" s="34"/>
      <c r="H146" s="32"/>
      <c r="I146" s="34"/>
      <c r="J146" s="34"/>
      <c r="K146" s="35"/>
      <c r="L146" s="34"/>
      <c r="M146" s="32"/>
      <c r="N146" s="34"/>
      <c r="O146" s="34"/>
      <c r="P146" s="34"/>
      <c r="Q146" s="34"/>
      <c r="R146" s="34"/>
      <c r="S146" s="34"/>
      <c r="T146" s="34"/>
      <c r="U146" s="34"/>
      <c r="V146" s="34"/>
    </row>
    <row r="147" spans="1:22" x14ac:dyDescent="0.3">
      <c r="A147" s="17"/>
      <c r="B147" s="33"/>
      <c r="C147" s="34"/>
      <c r="D147" s="39"/>
      <c r="E147" s="39"/>
      <c r="F147" s="39"/>
      <c r="G147" s="34"/>
      <c r="H147" s="32"/>
      <c r="I147" s="34"/>
      <c r="J147" s="34"/>
      <c r="K147" s="35"/>
      <c r="L147" s="34"/>
      <c r="M147" s="32"/>
      <c r="N147" s="34"/>
      <c r="O147" s="34"/>
      <c r="P147" s="34"/>
      <c r="Q147" s="34"/>
      <c r="R147" s="34"/>
      <c r="S147" s="34"/>
      <c r="T147" s="34"/>
      <c r="U147" s="34"/>
      <c r="V147" s="34"/>
    </row>
    <row r="148" spans="1:22" x14ac:dyDescent="0.3">
      <c r="A148" s="17"/>
      <c r="B148" s="33"/>
      <c r="C148" s="34"/>
      <c r="D148" s="39"/>
      <c r="E148" s="39"/>
      <c r="F148" s="39"/>
      <c r="G148" s="34"/>
      <c r="H148" s="32"/>
      <c r="I148" s="34"/>
      <c r="J148" s="34"/>
      <c r="K148" s="35"/>
      <c r="L148" s="34"/>
      <c r="M148" s="32"/>
      <c r="N148" s="34"/>
      <c r="O148" s="34"/>
      <c r="P148" s="34"/>
      <c r="Q148" s="34"/>
      <c r="R148" s="34"/>
      <c r="S148" s="34"/>
      <c r="T148" s="34"/>
      <c r="U148" s="34"/>
      <c r="V148" s="34"/>
    </row>
    <row r="149" spans="1:22" x14ac:dyDescent="0.3">
      <c r="A149" s="17"/>
      <c r="B149" s="33"/>
      <c r="C149" s="34"/>
      <c r="D149" s="39"/>
      <c r="E149" s="39"/>
      <c r="F149" s="39"/>
      <c r="G149" s="34"/>
      <c r="H149" s="32"/>
      <c r="I149" s="34"/>
      <c r="J149" s="34"/>
      <c r="K149" s="35"/>
      <c r="L149" s="34"/>
      <c r="M149" s="32"/>
      <c r="N149" s="34"/>
      <c r="O149" s="34"/>
      <c r="P149" s="34"/>
      <c r="Q149" s="34"/>
      <c r="R149" s="34"/>
      <c r="S149" s="34"/>
      <c r="T149" s="34"/>
      <c r="U149" s="34"/>
      <c r="V149" s="34"/>
    </row>
    <row r="150" spans="1:22" x14ac:dyDescent="0.3">
      <c r="A150" s="17"/>
      <c r="B150" s="33"/>
      <c r="C150" s="34"/>
      <c r="D150" s="39"/>
      <c r="E150" s="39"/>
      <c r="F150" s="39"/>
      <c r="G150" s="34"/>
      <c r="H150" s="32"/>
      <c r="I150" s="34"/>
      <c r="J150" s="34"/>
      <c r="K150" s="35"/>
      <c r="L150" s="34"/>
      <c r="M150" s="32"/>
      <c r="N150" s="34"/>
      <c r="O150" s="34"/>
      <c r="P150" s="34"/>
      <c r="Q150" s="34"/>
      <c r="R150" s="34"/>
      <c r="S150" s="34"/>
      <c r="T150" s="34"/>
      <c r="U150" s="34"/>
      <c r="V150" s="34"/>
    </row>
    <row r="151" spans="1:22" x14ac:dyDescent="0.3">
      <c r="A151" s="17"/>
      <c r="B151" s="33"/>
      <c r="C151" s="34"/>
      <c r="D151" s="39"/>
      <c r="E151" s="39"/>
      <c r="F151" s="39"/>
      <c r="G151" s="34"/>
      <c r="H151" s="32"/>
      <c r="I151" s="34"/>
      <c r="J151" s="34"/>
      <c r="K151" s="35"/>
      <c r="L151" s="34"/>
      <c r="M151" s="32"/>
      <c r="N151" s="34"/>
      <c r="O151" s="34"/>
      <c r="P151" s="34"/>
      <c r="Q151" s="34"/>
      <c r="R151" s="34"/>
      <c r="S151" s="34"/>
      <c r="T151" s="34"/>
      <c r="U151" s="34"/>
      <c r="V151" s="34"/>
    </row>
    <row r="152" spans="1:22" x14ac:dyDescent="0.3">
      <c r="A152" s="17"/>
      <c r="B152" s="33"/>
      <c r="C152" s="34"/>
      <c r="D152" s="39"/>
      <c r="E152" s="39"/>
      <c r="F152" s="39"/>
      <c r="G152" s="34"/>
      <c r="H152" s="32"/>
      <c r="I152" s="34"/>
      <c r="J152" s="34"/>
      <c r="K152" s="35"/>
      <c r="L152" s="34"/>
      <c r="M152" s="32"/>
      <c r="N152" s="34"/>
      <c r="O152" s="34"/>
      <c r="P152" s="34"/>
      <c r="Q152" s="34"/>
      <c r="R152" s="34"/>
      <c r="S152" s="34"/>
      <c r="T152" s="34"/>
      <c r="U152" s="34"/>
      <c r="V152" s="34"/>
    </row>
    <row r="153" spans="1:22" x14ac:dyDescent="0.3">
      <c r="A153" s="17"/>
      <c r="B153" s="33"/>
      <c r="C153" s="34"/>
      <c r="D153" s="39"/>
      <c r="E153" s="39"/>
      <c r="F153" s="39"/>
      <c r="G153" s="34"/>
      <c r="H153" s="32"/>
      <c r="I153" s="34"/>
      <c r="J153" s="34"/>
      <c r="K153" s="35"/>
      <c r="L153" s="34"/>
      <c r="M153" s="32"/>
      <c r="N153" s="34"/>
      <c r="O153" s="34"/>
      <c r="P153" s="34"/>
      <c r="Q153" s="34"/>
      <c r="R153" s="34"/>
      <c r="S153" s="34"/>
      <c r="T153" s="34"/>
      <c r="U153" s="34"/>
      <c r="V153" s="34"/>
    </row>
    <row r="154" spans="1:22" x14ac:dyDescent="0.3">
      <c r="A154" s="17"/>
      <c r="B154" s="33"/>
      <c r="C154" s="34"/>
      <c r="D154" s="39"/>
      <c r="E154" s="39"/>
      <c r="F154" s="39"/>
      <c r="G154" s="34"/>
      <c r="H154" s="32"/>
      <c r="I154" s="34"/>
      <c r="J154" s="34"/>
      <c r="K154" s="35"/>
      <c r="L154" s="34"/>
      <c r="M154" s="32"/>
      <c r="N154" s="34"/>
      <c r="O154" s="34"/>
      <c r="P154" s="34"/>
      <c r="Q154" s="34"/>
      <c r="R154" s="34"/>
      <c r="S154" s="34"/>
      <c r="T154" s="34"/>
      <c r="U154" s="34"/>
      <c r="V154" s="34"/>
    </row>
    <row r="155" spans="1:22" x14ac:dyDescent="0.3">
      <c r="A155" s="17"/>
      <c r="B155" s="33"/>
      <c r="C155" s="34"/>
      <c r="D155" s="39"/>
      <c r="E155" s="39"/>
      <c r="F155" s="39"/>
      <c r="G155" s="34"/>
      <c r="H155" s="32"/>
      <c r="I155" s="34"/>
      <c r="J155" s="34"/>
      <c r="K155" s="35"/>
      <c r="L155" s="34"/>
      <c r="M155" s="32"/>
      <c r="N155" s="34"/>
      <c r="O155" s="34"/>
      <c r="P155" s="34"/>
      <c r="Q155" s="34"/>
      <c r="R155" s="34"/>
      <c r="S155" s="34"/>
      <c r="T155" s="34"/>
      <c r="U155" s="34"/>
      <c r="V155" s="34"/>
    </row>
    <row r="156" spans="1:22" x14ac:dyDescent="0.3">
      <c r="A156" s="17"/>
      <c r="B156" s="33"/>
      <c r="C156" s="34"/>
      <c r="D156" s="39"/>
      <c r="E156" s="39"/>
      <c r="F156" s="39"/>
      <c r="G156" s="34"/>
      <c r="H156" s="32"/>
      <c r="I156" s="34"/>
      <c r="J156" s="34"/>
      <c r="K156" s="35"/>
      <c r="L156" s="34"/>
      <c r="M156" s="32"/>
      <c r="N156" s="34"/>
      <c r="O156" s="34"/>
      <c r="P156" s="34"/>
      <c r="Q156" s="34"/>
      <c r="R156" s="34"/>
      <c r="S156" s="34"/>
      <c r="T156" s="34"/>
      <c r="U156" s="34"/>
      <c r="V156" s="34"/>
    </row>
    <row r="157" spans="1:22" x14ac:dyDescent="0.3">
      <c r="A157" s="17"/>
      <c r="B157" s="33"/>
      <c r="C157" s="34"/>
      <c r="D157" s="39"/>
      <c r="E157" s="39"/>
      <c r="F157" s="39"/>
      <c r="G157" s="34"/>
      <c r="H157" s="32"/>
      <c r="I157" s="34"/>
      <c r="J157" s="34"/>
      <c r="K157" s="35"/>
      <c r="L157" s="34"/>
      <c r="M157" s="32"/>
      <c r="N157" s="34"/>
      <c r="O157" s="34"/>
      <c r="P157" s="34"/>
      <c r="Q157" s="34"/>
      <c r="R157" s="34"/>
      <c r="S157" s="34"/>
      <c r="T157" s="34"/>
      <c r="U157" s="34"/>
      <c r="V157" s="34"/>
    </row>
    <row r="158" spans="1:22" x14ac:dyDescent="0.3">
      <c r="A158" s="17"/>
      <c r="B158" s="33"/>
      <c r="C158" s="34"/>
      <c r="D158" s="39"/>
      <c r="E158" s="39"/>
      <c r="F158" s="39"/>
      <c r="G158" s="34"/>
      <c r="H158" s="32"/>
      <c r="I158" s="34"/>
      <c r="J158" s="34"/>
      <c r="K158" s="35"/>
      <c r="L158" s="34"/>
      <c r="M158" s="32"/>
      <c r="N158" s="34"/>
      <c r="O158" s="34"/>
      <c r="P158" s="34"/>
      <c r="Q158" s="34"/>
      <c r="R158" s="34"/>
      <c r="S158" s="34"/>
      <c r="T158" s="34"/>
      <c r="U158" s="34"/>
      <c r="V158" s="34"/>
    </row>
    <row r="159" spans="1:22" x14ac:dyDescent="0.3">
      <c r="A159" s="17"/>
      <c r="B159" s="33"/>
      <c r="C159" s="34"/>
      <c r="D159" s="39"/>
      <c r="E159" s="39"/>
      <c r="F159" s="39"/>
      <c r="G159" s="34"/>
      <c r="H159" s="32"/>
      <c r="I159" s="34"/>
      <c r="J159" s="34"/>
      <c r="K159" s="35"/>
      <c r="L159" s="34"/>
      <c r="M159" s="32"/>
      <c r="N159" s="34"/>
      <c r="O159" s="34"/>
      <c r="P159" s="34"/>
      <c r="Q159" s="34"/>
      <c r="R159" s="34"/>
      <c r="S159" s="34"/>
      <c r="T159" s="34"/>
      <c r="U159" s="34"/>
      <c r="V159" s="34"/>
    </row>
    <row r="160" spans="1:22" x14ac:dyDescent="0.3">
      <c r="A160" s="17"/>
      <c r="B160" s="33"/>
      <c r="C160" s="34"/>
      <c r="D160" s="39"/>
      <c r="E160" s="39"/>
      <c r="F160" s="39"/>
      <c r="G160" s="34"/>
      <c r="H160" s="32"/>
      <c r="I160" s="34"/>
      <c r="J160" s="34"/>
      <c r="K160" s="35"/>
      <c r="L160" s="34"/>
      <c r="M160" s="32"/>
      <c r="N160" s="34"/>
      <c r="O160" s="34"/>
      <c r="P160" s="34"/>
      <c r="Q160" s="34"/>
      <c r="R160" s="34"/>
      <c r="S160" s="34"/>
      <c r="T160" s="34"/>
      <c r="U160" s="34"/>
      <c r="V160" s="34"/>
    </row>
    <row r="161" spans="1:22" x14ac:dyDescent="0.3">
      <c r="A161" s="17"/>
      <c r="B161" s="33"/>
      <c r="C161" s="34"/>
      <c r="D161" s="39"/>
      <c r="E161" s="39"/>
      <c r="F161" s="39"/>
      <c r="G161" s="34"/>
      <c r="H161" s="32"/>
      <c r="I161" s="34"/>
      <c r="J161" s="34"/>
      <c r="K161" s="35"/>
      <c r="L161" s="34"/>
      <c r="M161" s="32"/>
      <c r="N161" s="34"/>
      <c r="O161" s="34"/>
      <c r="P161" s="34"/>
      <c r="Q161" s="34"/>
      <c r="R161" s="34"/>
      <c r="S161" s="34"/>
      <c r="T161" s="34"/>
      <c r="U161" s="34"/>
      <c r="V161" s="34"/>
    </row>
    <row r="162" spans="1:22" x14ac:dyDescent="0.3">
      <c r="A162" s="17"/>
      <c r="B162" s="33"/>
      <c r="C162" s="34"/>
      <c r="D162" s="39"/>
      <c r="E162" s="39"/>
      <c r="F162" s="39"/>
      <c r="G162" s="34"/>
      <c r="H162" s="32"/>
      <c r="I162" s="34"/>
      <c r="J162" s="34"/>
      <c r="K162" s="35"/>
      <c r="L162" s="34"/>
      <c r="M162" s="32"/>
      <c r="N162" s="34"/>
      <c r="O162" s="34"/>
      <c r="P162" s="34"/>
      <c r="Q162" s="34"/>
      <c r="R162" s="34"/>
      <c r="S162" s="34"/>
      <c r="T162" s="34"/>
      <c r="U162" s="34"/>
      <c r="V162" s="34"/>
    </row>
    <row r="163" spans="1:22" x14ac:dyDescent="0.3">
      <c r="A163" s="17"/>
      <c r="B163" s="33"/>
      <c r="C163" s="34"/>
      <c r="D163" s="39"/>
      <c r="E163" s="39"/>
      <c r="F163" s="39"/>
      <c r="G163" s="34"/>
      <c r="H163" s="32"/>
      <c r="I163" s="34"/>
      <c r="J163" s="34"/>
      <c r="K163" s="35"/>
      <c r="L163" s="34"/>
      <c r="M163" s="32"/>
      <c r="N163" s="34"/>
      <c r="O163" s="34"/>
      <c r="P163" s="34"/>
      <c r="Q163" s="34"/>
      <c r="R163" s="34"/>
      <c r="S163" s="34"/>
      <c r="T163" s="34"/>
      <c r="U163" s="34"/>
      <c r="V163" s="34"/>
    </row>
    <row r="164" spans="1:22" x14ac:dyDescent="0.3">
      <c r="A164" s="17"/>
      <c r="B164" s="33"/>
      <c r="C164" s="34"/>
      <c r="D164" s="39"/>
      <c r="E164" s="39"/>
      <c r="F164" s="39"/>
      <c r="G164" s="34"/>
      <c r="H164" s="32"/>
      <c r="I164" s="34"/>
      <c r="J164" s="34"/>
      <c r="K164" s="35"/>
      <c r="L164" s="34"/>
      <c r="M164" s="32"/>
      <c r="N164" s="34"/>
      <c r="O164" s="34"/>
      <c r="P164" s="34"/>
      <c r="Q164" s="34"/>
      <c r="R164" s="34"/>
      <c r="S164" s="34"/>
      <c r="T164" s="34"/>
      <c r="U164" s="34"/>
      <c r="V164" s="34"/>
    </row>
    <row r="165" spans="1:22" x14ac:dyDescent="0.3">
      <c r="A165" s="17"/>
      <c r="B165" s="33"/>
      <c r="C165" s="34"/>
      <c r="D165" s="39"/>
      <c r="E165" s="39"/>
      <c r="F165" s="39"/>
      <c r="G165" s="34"/>
      <c r="H165" s="32"/>
      <c r="I165" s="34"/>
      <c r="J165" s="34"/>
      <c r="K165" s="35"/>
      <c r="L165" s="34"/>
      <c r="M165" s="32"/>
      <c r="N165" s="34"/>
      <c r="O165" s="34"/>
      <c r="P165" s="34"/>
      <c r="Q165" s="34"/>
      <c r="R165" s="34"/>
      <c r="S165" s="34"/>
      <c r="T165" s="34"/>
      <c r="U165" s="34"/>
      <c r="V165" s="34"/>
    </row>
    <row r="166" spans="1:22" x14ac:dyDescent="0.3">
      <c r="A166" s="17"/>
      <c r="B166" s="33"/>
      <c r="C166" s="34"/>
      <c r="D166" s="39"/>
      <c r="E166" s="39"/>
      <c r="F166" s="39"/>
      <c r="G166" s="34"/>
      <c r="H166" s="32"/>
      <c r="I166" s="34"/>
      <c r="J166" s="34"/>
      <c r="K166" s="35"/>
      <c r="L166" s="34"/>
      <c r="M166" s="32"/>
      <c r="N166" s="34"/>
      <c r="O166" s="34"/>
      <c r="P166" s="34"/>
      <c r="Q166" s="34"/>
      <c r="R166" s="34"/>
      <c r="S166" s="34"/>
      <c r="T166" s="34"/>
      <c r="U166" s="34"/>
      <c r="V166" s="34"/>
    </row>
    <row r="167" spans="1:22" x14ac:dyDescent="0.3">
      <c r="A167" s="17"/>
      <c r="B167" s="33"/>
      <c r="C167" s="34"/>
      <c r="D167" s="39"/>
      <c r="E167" s="39"/>
      <c r="F167" s="39"/>
      <c r="G167" s="34"/>
      <c r="H167" s="32"/>
      <c r="I167" s="34"/>
      <c r="J167" s="34"/>
      <c r="K167" s="35"/>
      <c r="L167" s="34"/>
      <c r="M167" s="32"/>
      <c r="N167" s="34"/>
      <c r="O167" s="34"/>
      <c r="P167" s="34"/>
      <c r="Q167" s="34"/>
      <c r="R167" s="34"/>
      <c r="S167" s="34"/>
      <c r="T167" s="34"/>
      <c r="U167" s="34"/>
      <c r="V167" s="34"/>
    </row>
    <row r="168" spans="1:22" x14ac:dyDescent="0.3">
      <c r="A168" s="17"/>
      <c r="B168" s="33"/>
      <c r="C168" s="34"/>
      <c r="D168" s="39"/>
      <c r="E168" s="39"/>
      <c r="F168" s="39"/>
      <c r="G168" s="34"/>
      <c r="H168" s="32"/>
      <c r="I168" s="34"/>
      <c r="J168" s="34"/>
      <c r="K168" s="35"/>
      <c r="L168" s="34"/>
      <c r="M168" s="32"/>
      <c r="N168" s="34"/>
      <c r="O168" s="34"/>
      <c r="P168" s="34"/>
      <c r="Q168" s="34"/>
      <c r="R168" s="34"/>
      <c r="S168" s="34"/>
      <c r="T168" s="34"/>
      <c r="U168" s="34"/>
      <c r="V168" s="34"/>
    </row>
    <row r="169" spans="1:22" x14ac:dyDescent="0.3">
      <c r="A169" s="17"/>
      <c r="B169" s="33"/>
      <c r="C169" s="34"/>
      <c r="D169" s="39"/>
      <c r="E169" s="39"/>
      <c r="F169" s="39"/>
      <c r="G169" s="34"/>
      <c r="H169" s="32"/>
      <c r="I169" s="34"/>
      <c r="J169" s="34"/>
      <c r="K169" s="35"/>
      <c r="L169" s="34"/>
      <c r="M169" s="32"/>
      <c r="N169" s="34"/>
      <c r="O169" s="34"/>
      <c r="P169" s="34"/>
      <c r="Q169" s="34"/>
      <c r="R169" s="34"/>
      <c r="S169" s="34"/>
      <c r="T169" s="34"/>
      <c r="U169" s="34"/>
      <c r="V169" s="34"/>
    </row>
    <row r="170" spans="1:22" x14ac:dyDescent="0.3">
      <c r="A170" s="17"/>
      <c r="B170" s="33"/>
      <c r="C170" s="34"/>
      <c r="D170" s="39"/>
      <c r="E170" s="39"/>
      <c r="F170" s="39"/>
      <c r="G170" s="34"/>
      <c r="H170" s="32"/>
      <c r="I170" s="34"/>
      <c r="J170" s="34"/>
      <c r="K170" s="35"/>
      <c r="L170" s="34"/>
      <c r="M170" s="32"/>
      <c r="N170" s="34"/>
      <c r="O170" s="34"/>
      <c r="P170" s="34"/>
      <c r="Q170" s="34"/>
      <c r="R170" s="34"/>
      <c r="S170" s="34"/>
      <c r="T170" s="34"/>
      <c r="U170" s="34"/>
      <c r="V170" s="34"/>
    </row>
    <row r="171" spans="1:22" x14ac:dyDescent="0.3">
      <c r="A171" s="17"/>
      <c r="B171" s="33"/>
      <c r="C171" s="34"/>
      <c r="D171" s="39"/>
      <c r="E171" s="39"/>
      <c r="F171" s="39"/>
      <c r="G171" s="34"/>
      <c r="H171" s="32"/>
      <c r="I171" s="34"/>
      <c r="J171" s="34"/>
      <c r="K171" s="35"/>
      <c r="L171" s="34"/>
      <c r="M171" s="32"/>
      <c r="N171" s="34"/>
      <c r="O171" s="34"/>
      <c r="P171" s="34"/>
      <c r="Q171" s="34"/>
      <c r="R171" s="34"/>
      <c r="S171" s="34"/>
      <c r="T171" s="34"/>
      <c r="U171" s="34"/>
      <c r="V171" s="34"/>
    </row>
    <row r="172" spans="1:22" x14ac:dyDescent="0.3">
      <c r="A172" s="17"/>
      <c r="B172" s="33"/>
      <c r="C172" s="34"/>
      <c r="D172" s="39"/>
      <c r="E172" s="39"/>
      <c r="F172" s="39"/>
      <c r="G172" s="34"/>
      <c r="H172" s="32"/>
      <c r="I172" s="34"/>
      <c r="J172" s="34"/>
      <c r="K172" s="35"/>
      <c r="L172" s="34"/>
      <c r="M172" s="32"/>
      <c r="N172" s="34"/>
      <c r="O172" s="34"/>
      <c r="P172" s="34"/>
      <c r="Q172" s="34"/>
      <c r="R172" s="34"/>
      <c r="S172" s="34"/>
      <c r="T172" s="34"/>
      <c r="U172" s="34"/>
      <c r="V172" s="34"/>
    </row>
    <row r="173" spans="1:22" x14ac:dyDescent="0.3">
      <c r="A173" s="17"/>
      <c r="B173" s="33"/>
      <c r="C173" s="34"/>
      <c r="D173" s="39"/>
      <c r="E173" s="39"/>
      <c r="F173" s="39"/>
      <c r="G173" s="34"/>
      <c r="H173" s="32"/>
      <c r="I173" s="34"/>
      <c r="J173" s="34"/>
      <c r="K173" s="35"/>
      <c r="L173" s="34"/>
      <c r="M173" s="32"/>
      <c r="N173" s="34"/>
      <c r="O173" s="34"/>
      <c r="P173" s="34"/>
      <c r="Q173" s="34"/>
      <c r="R173" s="34"/>
      <c r="S173" s="34"/>
      <c r="T173" s="34"/>
      <c r="U173" s="34"/>
      <c r="V173" s="34"/>
    </row>
    <row r="174" spans="1:22" x14ac:dyDescent="0.3">
      <c r="A174" s="17"/>
      <c r="B174" s="33"/>
      <c r="C174" s="34"/>
      <c r="D174" s="39"/>
      <c r="E174" s="39"/>
      <c r="F174" s="39"/>
      <c r="G174" s="34"/>
      <c r="H174" s="32"/>
      <c r="I174" s="34"/>
      <c r="J174" s="34"/>
      <c r="K174" s="35"/>
      <c r="L174" s="34"/>
      <c r="M174" s="32"/>
      <c r="N174" s="34"/>
      <c r="O174" s="34"/>
      <c r="P174" s="34"/>
      <c r="Q174" s="34"/>
      <c r="R174" s="34"/>
      <c r="S174" s="34"/>
      <c r="T174" s="34"/>
      <c r="U174" s="34"/>
      <c r="V174" s="34"/>
    </row>
    <row r="175" spans="1:22" x14ac:dyDescent="0.3">
      <c r="A175" s="17"/>
      <c r="B175" s="33"/>
      <c r="C175" s="34"/>
      <c r="D175" s="39"/>
      <c r="E175" s="39"/>
      <c r="F175" s="39"/>
      <c r="G175" s="34"/>
      <c r="H175" s="32"/>
      <c r="I175" s="34"/>
      <c r="J175" s="34"/>
      <c r="K175" s="35"/>
      <c r="L175" s="34"/>
      <c r="M175" s="32"/>
      <c r="N175" s="34"/>
      <c r="O175" s="34"/>
      <c r="P175" s="34"/>
      <c r="Q175" s="34"/>
      <c r="R175" s="34"/>
      <c r="S175" s="34"/>
      <c r="T175" s="34"/>
      <c r="U175" s="34"/>
      <c r="V175" s="34"/>
    </row>
    <row r="176" spans="1:22" x14ac:dyDescent="0.3">
      <c r="A176" s="17"/>
      <c r="B176" s="33"/>
      <c r="C176" s="34"/>
      <c r="D176" s="39"/>
      <c r="E176" s="39"/>
      <c r="F176" s="39"/>
      <c r="G176" s="34"/>
      <c r="H176" s="32"/>
      <c r="I176" s="34"/>
      <c r="J176" s="34"/>
      <c r="K176" s="35"/>
      <c r="L176" s="34"/>
      <c r="M176" s="32"/>
      <c r="N176" s="34"/>
      <c r="O176" s="34"/>
      <c r="P176" s="34"/>
      <c r="Q176" s="34"/>
      <c r="R176" s="34"/>
      <c r="S176" s="34"/>
      <c r="T176" s="34"/>
      <c r="U176" s="34"/>
      <c r="V176" s="34"/>
    </row>
    <row r="177" spans="1:22" x14ac:dyDescent="0.3">
      <c r="A177" s="17"/>
      <c r="B177" s="33"/>
      <c r="C177" s="34"/>
      <c r="D177" s="39"/>
      <c r="E177" s="39"/>
      <c r="F177" s="39"/>
      <c r="G177" s="34"/>
      <c r="H177" s="32"/>
      <c r="I177" s="34"/>
      <c r="J177" s="34"/>
      <c r="K177" s="35"/>
      <c r="L177" s="34"/>
      <c r="M177" s="32"/>
      <c r="N177" s="34"/>
      <c r="O177" s="34"/>
      <c r="P177" s="34"/>
      <c r="Q177" s="34"/>
      <c r="R177" s="34"/>
      <c r="S177" s="34"/>
      <c r="T177" s="34"/>
      <c r="U177" s="34"/>
      <c r="V177" s="34"/>
    </row>
    <row r="178" spans="1:22" x14ac:dyDescent="0.3">
      <c r="A178" s="17"/>
      <c r="B178" s="33"/>
      <c r="C178" s="34"/>
      <c r="D178" s="39"/>
      <c r="E178" s="39"/>
      <c r="F178" s="39"/>
      <c r="G178" s="34"/>
      <c r="H178" s="32"/>
      <c r="I178" s="34"/>
      <c r="J178" s="34"/>
      <c r="K178" s="35"/>
      <c r="L178" s="34"/>
      <c r="M178" s="32"/>
      <c r="N178" s="34"/>
      <c r="O178" s="34"/>
      <c r="P178" s="34"/>
      <c r="Q178" s="34"/>
      <c r="R178" s="34"/>
      <c r="S178" s="34"/>
      <c r="T178" s="34"/>
      <c r="U178" s="34"/>
      <c r="V178" s="34"/>
    </row>
    <row r="179" spans="1:22" x14ac:dyDescent="0.3">
      <c r="A179" s="17"/>
      <c r="B179" s="33"/>
      <c r="C179" s="34"/>
      <c r="D179" s="39"/>
      <c r="E179" s="39"/>
      <c r="F179" s="39"/>
      <c r="G179" s="34"/>
      <c r="H179" s="32"/>
      <c r="I179" s="34"/>
      <c r="J179" s="34"/>
      <c r="K179" s="35"/>
      <c r="L179" s="34"/>
      <c r="M179" s="32"/>
      <c r="N179" s="34"/>
      <c r="O179" s="34"/>
      <c r="P179" s="34"/>
      <c r="Q179" s="34"/>
      <c r="R179" s="34"/>
      <c r="S179" s="34"/>
      <c r="T179" s="34"/>
      <c r="U179" s="34"/>
      <c r="V179" s="34"/>
    </row>
    <row r="180" spans="1:22" x14ac:dyDescent="0.3">
      <c r="A180" s="17"/>
      <c r="B180" s="33"/>
      <c r="C180" s="34"/>
      <c r="D180" s="39"/>
      <c r="E180" s="39"/>
      <c r="F180" s="39"/>
      <c r="G180" s="34"/>
      <c r="H180" s="32"/>
      <c r="I180" s="34"/>
      <c r="J180" s="34"/>
      <c r="K180" s="35"/>
      <c r="L180" s="34"/>
      <c r="M180" s="32"/>
      <c r="N180" s="34"/>
      <c r="O180" s="34"/>
      <c r="P180" s="34"/>
      <c r="Q180" s="34"/>
      <c r="R180" s="34"/>
      <c r="S180" s="34"/>
      <c r="T180" s="34"/>
      <c r="U180" s="34"/>
      <c r="V180" s="34"/>
    </row>
    <row r="181" spans="1:22" x14ac:dyDescent="0.3">
      <c r="A181" s="17"/>
      <c r="B181" s="33"/>
      <c r="C181" s="34"/>
      <c r="D181" s="39"/>
      <c r="E181" s="39"/>
      <c r="F181" s="39"/>
      <c r="G181" s="34"/>
      <c r="H181" s="32"/>
      <c r="I181" s="34"/>
      <c r="J181" s="34"/>
      <c r="K181" s="35"/>
      <c r="L181" s="34"/>
      <c r="M181" s="32"/>
      <c r="N181" s="34"/>
      <c r="O181" s="34"/>
      <c r="P181" s="34"/>
      <c r="Q181" s="34"/>
      <c r="R181" s="34"/>
      <c r="S181" s="34"/>
      <c r="T181" s="34"/>
      <c r="U181" s="34"/>
      <c r="V181" s="34"/>
    </row>
    <row r="182" spans="1:22" x14ac:dyDescent="0.3">
      <c r="A182" s="17"/>
      <c r="B182" s="33"/>
      <c r="C182" s="34"/>
      <c r="D182" s="39"/>
      <c r="E182" s="39"/>
      <c r="F182" s="39"/>
      <c r="G182" s="34"/>
      <c r="H182" s="32"/>
      <c r="I182" s="34"/>
      <c r="J182" s="34"/>
      <c r="K182" s="35"/>
      <c r="L182" s="34"/>
      <c r="M182" s="32"/>
      <c r="N182" s="34"/>
      <c r="O182" s="34"/>
      <c r="P182" s="34"/>
      <c r="Q182" s="34"/>
      <c r="R182" s="34"/>
      <c r="S182" s="34"/>
      <c r="T182" s="34"/>
      <c r="U182" s="34"/>
      <c r="V182" s="34"/>
    </row>
    <row r="183" spans="1:22" x14ac:dyDescent="0.3">
      <c r="A183" s="17"/>
      <c r="B183" s="33"/>
      <c r="C183" s="34"/>
      <c r="D183" s="39"/>
      <c r="E183" s="39"/>
      <c r="F183" s="39"/>
      <c r="G183" s="34"/>
      <c r="H183" s="32"/>
      <c r="I183" s="34"/>
      <c r="J183" s="34"/>
      <c r="K183" s="35"/>
      <c r="L183" s="34"/>
      <c r="M183" s="32"/>
      <c r="N183" s="34"/>
      <c r="O183" s="34"/>
      <c r="P183" s="34"/>
      <c r="Q183" s="34"/>
      <c r="R183" s="34"/>
      <c r="S183" s="34"/>
      <c r="T183" s="34"/>
      <c r="U183" s="34"/>
      <c r="V183" s="34"/>
    </row>
    <row r="184" spans="1:22" x14ac:dyDescent="0.3">
      <c r="A184" s="17"/>
      <c r="B184" s="33"/>
      <c r="C184" s="34"/>
      <c r="D184" s="39"/>
      <c r="E184" s="39"/>
      <c r="F184" s="39"/>
      <c r="G184" s="34"/>
      <c r="H184" s="32"/>
      <c r="I184" s="34"/>
      <c r="J184" s="34"/>
      <c r="K184" s="35"/>
      <c r="L184" s="34"/>
      <c r="M184" s="32"/>
      <c r="N184" s="34"/>
      <c r="O184" s="34"/>
      <c r="P184" s="34"/>
      <c r="Q184" s="34"/>
      <c r="R184" s="34"/>
      <c r="S184" s="34"/>
      <c r="T184" s="34"/>
      <c r="U184" s="34"/>
      <c r="V184" s="34"/>
    </row>
    <row r="185" spans="1:22" x14ac:dyDescent="0.3">
      <c r="A185" s="17"/>
      <c r="B185" s="33"/>
      <c r="C185" s="34"/>
      <c r="D185" s="39"/>
      <c r="E185" s="39"/>
      <c r="F185" s="39"/>
      <c r="G185" s="34"/>
      <c r="H185" s="32"/>
      <c r="I185" s="34"/>
      <c r="J185" s="34"/>
      <c r="K185" s="35"/>
      <c r="L185" s="34"/>
      <c r="M185" s="32"/>
      <c r="N185" s="34"/>
      <c r="O185" s="34"/>
      <c r="P185" s="34"/>
      <c r="Q185" s="34"/>
      <c r="R185" s="34"/>
      <c r="S185" s="34"/>
      <c r="T185" s="34"/>
      <c r="U185" s="34"/>
      <c r="V185" s="34"/>
    </row>
    <row r="186" spans="1:22" x14ac:dyDescent="0.3">
      <c r="A186" s="17"/>
      <c r="B186" s="33"/>
      <c r="C186" s="34"/>
      <c r="D186" s="39"/>
      <c r="E186" s="39"/>
      <c r="F186" s="39"/>
      <c r="G186" s="34"/>
      <c r="H186" s="32"/>
      <c r="I186" s="34"/>
      <c r="J186" s="34"/>
      <c r="K186" s="35"/>
      <c r="L186" s="34"/>
      <c r="M186" s="32"/>
      <c r="N186" s="34"/>
      <c r="O186" s="34"/>
      <c r="P186" s="34"/>
      <c r="Q186" s="34"/>
      <c r="R186" s="34"/>
      <c r="S186" s="34"/>
      <c r="T186" s="34"/>
      <c r="U186" s="34"/>
      <c r="V186" s="34"/>
    </row>
    <row r="187" spans="1:22" x14ac:dyDescent="0.3">
      <c r="A187" s="17"/>
      <c r="B187" s="33"/>
      <c r="C187" s="34"/>
      <c r="D187" s="39"/>
      <c r="E187" s="39"/>
      <c r="F187" s="39"/>
      <c r="G187" s="34"/>
      <c r="H187" s="32"/>
      <c r="I187" s="34"/>
      <c r="J187" s="34"/>
      <c r="K187" s="35"/>
      <c r="L187" s="34"/>
      <c r="M187" s="32"/>
      <c r="N187" s="34"/>
      <c r="O187" s="34"/>
      <c r="P187" s="34"/>
      <c r="Q187" s="34"/>
      <c r="R187" s="34"/>
      <c r="S187" s="34"/>
      <c r="T187" s="34"/>
      <c r="U187" s="34"/>
      <c r="V187" s="34"/>
    </row>
    <row r="188" spans="1:22" x14ac:dyDescent="0.3">
      <c r="A188" s="17"/>
      <c r="B188" s="33"/>
      <c r="C188" s="34"/>
      <c r="D188" s="39"/>
      <c r="E188" s="39"/>
      <c r="F188" s="39"/>
      <c r="G188" s="34"/>
      <c r="H188" s="32"/>
      <c r="I188" s="34"/>
      <c r="J188" s="34"/>
      <c r="K188" s="35"/>
      <c r="L188" s="34"/>
      <c r="M188" s="32"/>
      <c r="N188" s="34"/>
      <c r="O188" s="34"/>
      <c r="P188" s="34"/>
      <c r="Q188" s="34"/>
      <c r="R188" s="34"/>
      <c r="S188" s="34"/>
      <c r="T188" s="34"/>
      <c r="U188" s="34"/>
      <c r="V188" s="34"/>
    </row>
    <row r="189" spans="1:22" x14ac:dyDescent="0.3">
      <c r="A189" s="17"/>
      <c r="B189" s="33"/>
      <c r="C189" s="34"/>
      <c r="D189" s="39"/>
      <c r="E189" s="39"/>
      <c r="F189" s="39"/>
      <c r="G189" s="34"/>
      <c r="H189" s="32"/>
      <c r="I189" s="34"/>
      <c r="J189" s="34"/>
      <c r="K189" s="35"/>
      <c r="L189" s="34"/>
      <c r="M189" s="32"/>
      <c r="N189" s="34"/>
      <c r="O189" s="34"/>
      <c r="P189" s="34"/>
      <c r="Q189" s="34"/>
      <c r="R189" s="34"/>
      <c r="S189" s="34"/>
      <c r="T189" s="34"/>
      <c r="U189" s="34"/>
      <c r="V189" s="34"/>
    </row>
    <row r="190" spans="1:22" x14ac:dyDescent="0.3">
      <c r="A190" s="17"/>
      <c r="B190" s="33"/>
      <c r="C190" s="34"/>
      <c r="D190" s="39"/>
      <c r="E190" s="39"/>
      <c r="F190" s="39"/>
      <c r="G190" s="34"/>
      <c r="H190" s="32"/>
      <c r="I190" s="34"/>
      <c r="J190" s="34"/>
      <c r="K190" s="35"/>
      <c r="L190" s="34"/>
      <c r="M190" s="32"/>
      <c r="N190" s="34"/>
      <c r="O190" s="34"/>
      <c r="P190" s="34"/>
      <c r="Q190" s="34"/>
      <c r="R190" s="34"/>
      <c r="S190" s="34"/>
      <c r="T190" s="34"/>
      <c r="U190" s="34"/>
      <c r="V190" s="34"/>
    </row>
    <row r="191" spans="1:22" x14ac:dyDescent="0.3">
      <c r="A191" s="17"/>
      <c r="B191" s="33"/>
      <c r="C191" s="34"/>
      <c r="D191" s="39"/>
      <c r="E191" s="39"/>
      <c r="F191" s="39"/>
      <c r="G191" s="34"/>
      <c r="H191" s="32"/>
      <c r="I191" s="34"/>
      <c r="J191" s="34"/>
      <c r="K191" s="35"/>
      <c r="L191" s="34"/>
      <c r="M191" s="32"/>
      <c r="N191" s="34"/>
      <c r="O191" s="34"/>
      <c r="P191" s="34"/>
      <c r="Q191" s="34"/>
      <c r="R191" s="34"/>
      <c r="S191" s="34"/>
      <c r="T191" s="34"/>
      <c r="U191" s="34"/>
      <c r="V191" s="34"/>
    </row>
    <row r="192" spans="1:22" x14ac:dyDescent="0.3">
      <c r="A192" s="17"/>
      <c r="B192" s="33"/>
      <c r="C192" s="34"/>
      <c r="D192" s="39"/>
      <c r="E192" s="39"/>
      <c r="F192" s="39"/>
      <c r="G192" s="34"/>
      <c r="H192" s="32"/>
      <c r="I192" s="34"/>
      <c r="J192" s="34"/>
      <c r="K192" s="35"/>
      <c r="L192" s="34"/>
      <c r="M192" s="32"/>
      <c r="N192" s="34"/>
      <c r="O192" s="34"/>
      <c r="P192" s="34"/>
      <c r="Q192" s="34"/>
      <c r="R192" s="34"/>
      <c r="S192" s="34"/>
      <c r="T192" s="34"/>
      <c r="U192" s="34"/>
      <c r="V192" s="34"/>
    </row>
    <row r="193" spans="1:22" x14ac:dyDescent="0.3">
      <c r="A193" s="17"/>
      <c r="B193" s="33"/>
      <c r="C193" s="34"/>
      <c r="D193" s="39"/>
      <c r="E193" s="39"/>
      <c r="F193" s="39"/>
      <c r="G193" s="34"/>
      <c r="H193" s="32"/>
      <c r="I193" s="34"/>
      <c r="J193" s="34"/>
      <c r="K193" s="35"/>
      <c r="L193" s="34"/>
      <c r="M193" s="32"/>
      <c r="N193" s="34"/>
      <c r="O193" s="34"/>
      <c r="P193" s="34"/>
      <c r="Q193" s="34"/>
      <c r="R193" s="34"/>
      <c r="S193" s="34"/>
      <c r="T193" s="34"/>
      <c r="U193" s="34"/>
      <c r="V193" s="34"/>
    </row>
    <row r="194" spans="1:22" x14ac:dyDescent="0.3">
      <c r="A194" s="17"/>
      <c r="B194" s="33"/>
      <c r="C194" s="34"/>
      <c r="D194" s="39"/>
      <c r="E194" s="39"/>
      <c r="F194" s="39"/>
      <c r="G194" s="34"/>
      <c r="H194" s="32"/>
      <c r="I194" s="34"/>
      <c r="J194" s="34"/>
      <c r="K194" s="35"/>
      <c r="L194" s="34"/>
      <c r="M194" s="32"/>
      <c r="N194" s="34"/>
      <c r="O194" s="34"/>
      <c r="P194" s="34"/>
      <c r="Q194" s="34"/>
      <c r="R194" s="34"/>
      <c r="S194" s="34"/>
      <c r="T194" s="34"/>
      <c r="U194" s="34"/>
      <c r="V194" s="34"/>
    </row>
    <row r="195" spans="1:22" x14ac:dyDescent="0.3">
      <c r="A195" s="17"/>
      <c r="B195" s="33"/>
      <c r="C195" s="34"/>
      <c r="D195" s="39"/>
      <c r="E195" s="39"/>
      <c r="F195" s="39"/>
      <c r="G195" s="34"/>
      <c r="H195" s="32"/>
      <c r="I195" s="34"/>
      <c r="J195" s="34"/>
      <c r="K195" s="35"/>
      <c r="L195" s="34"/>
      <c r="M195" s="32"/>
      <c r="N195" s="34"/>
      <c r="O195" s="34"/>
      <c r="P195" s="34"/>
      <c r="Q195" s="34"/>
      <c r="R195" s="34"/>
      <c r="S195" s="34"/>
      <c r="T195" s="34"/>
      <c r="U195" s="34"/>
      <c r="V195" s="34"/>
    </row>
    <row r="196" spans="1:22" x14ac:dyDescent="0.3">
      <c r="A196" s="17"/>
      <c r="B196" s="33"/>
      <c r="C196" s="34"/>
      <c r="D196" s="39"/>
      <c r="E196" s="39"/>
      <c r="F196" s="39"/>
      <c r="G196" s="34"/>
      <c r="H196" s="32"/>
      <c r="I196" s="34"/>
      <c r="J196" s="34"/>
      <c r="K196" s="35"/>
      <c r="L196" s="34"/>
      <c r="M196" s="32"/>
      <c r="N196" s="34"/>
      <c r="O196" s="34"/>
      <c r="P196" s="34"/>
      <c r="Q196" s="34"/>
      <c r="R196" s="34"/>
      <c r="S196" s="34"/>
      <c r="T196" s="34"/>
      <c r="U196" s="34"/>
      <c r="V196" s="34"/>
    </row>
    <row r="197" spans="1:22" x14ac:dyDescent="0.3">
      <c r="A197" s="17"/>
      <c r="B197" s="33"/>
      <c r="C197" s="34"/>
      <c r="D197" s="39"/>
      <c r="E197" s="39"/>
      <c r="F197" s="39"/>
      <c r="G197" s="34"/>
      <c r="H197" s="32"/>
      <c r="I197" s="34"/>
      <c r="J197" s="34"/>
      <c r="K197" s="35"/>
      <c r="L197" s="34"/>
      <c r="M197" s="32"/>
      <c r="N197" s="34"/>
      <c r="O197" s="34"/>
      <c r="P197" s="34"/>
      <c r="Q197" s="34"/>
      <c r="R197" s="34"/>
      <c r="S197" s="34"/>
      <c r="T197" s="34"/>
      <c r="U197" s="34"/>
      <c r="V197" s="34"/>
    </row>
    <row r="198" spans="1:22" x14ac:dyDescent="0.3">
      <c r="A198" s="17"/>
      <c r="B198" s="33"/>
      <c r="C198" s="34"/>
      <c r="D198" s="39"/>
      <c r="E198" s="39"/>
      <c r="F198" s="39"/>
      <c r="G198" s="34"/>
      <c r="H198" s="32"/>
      <c r="I198" s="34"/>
      <c r="J198" s="34"/>
      <c r="K198" s="35"/>
      <c r="L198" s="34"/>
      <c r="M198" s="32"/>
      <c r="N198" s="34"/>
      <c r="O198" s="34"/>
      <c r="P198" s="34"/>
      <c r="Q198" s="34"/>
      <c r="R198" s="34"/>
      <c r="S198" s="34"/>
      <c r="T198" s="34"/>
      <c r="U198" s="34"/>
      <c r="V198" s="34"/>
    </row>
    <row r="199" spans="1:22" x14ac:dyDescent="0.3">
      <c r="A199" s="17"/>
      <c r="B199" s="33"/>
      <c r="C199" s="34"/>
      <c r="D199" s="39"/>
      <c r="E199" s="39"/>
      <c r="F199" s="39"/>
      <c r="G199" s="34"/>
      <c r="H199" s="32"/>
      <c r="I199" s="34"/>
      <c r="J199" s="34"/>
      <c r="K199" s="35"/>
      <c r="L199" s="34"/>
      <c r="M199" s="32"/>
      <c r="N199" s="34"/>
      <c r="O199" s="34"/>
      <c r="P199" s="34"/>
      <c r="Q199" s="34"/>
      <c r="R199" s="34"/>
      <c r="S199" s="34"/>
      <c r="T199" s="34"/>
      <c r="U199" s="34"/>
      <c r="V199" s="34"/>
    </row>
    <row r="200" spans="1:22" x14ac:dyDescent="0.3">
      <c r="A200" s="17"/>
      <c r="B200" s="33"/>
      <c r="C200" s="34"/>
      <c r="D200" s="39"/>
      <c r="E200" s="39"/>
      <c r="F200" s="39"/>
      <c r="G200" s="34"/>
      <c r="H200" s="32"/>
      <c r="I200" s="34"/>
      <c r="J200" s="34"/>
      <c r="K200" s="35"/>
      <c r="L200" s="34"/>
      <c r="M200" s="32"/>
      <c r="N200" s="34"/>
      <c r="O200" s="34"/>
      <c r="P200" s="34"/>
      <c r="Q200" s="34"/>
      <c r="R200" s="34"/>
      <c r="S200" s="34"/>
      <c r="T200" s="34"/>
      <c r="U200" s="34"/>
      <c r="V200" s="34"/>
    </row>
    <row r="201" spans="1:22" x14ac:dyDescent="0.3">
      <c r="A201" s="17"/>
      <c r="B201" s="33"/>
      <c r="C201" s="34"/>
      <c r="D201" s="39"/>
      <c r="E201" s="39"/>
      <c r="F201" s="39"/>
      <c r="G201" s="34"/>
      <c r="H201" s="32"/>
      <c r="I201" s="34"/>
      <c r="J201" s="34"/>
      <c r="K201" s="35"/>
      <c r="L201" s="34"/>
      <c r="M201" s="32"/>
      <c r="N201" s="34"/>
      <c r="O201" s="34"/>
      <c r="P201" s="34"/>
      <c r="Q201" s="34"/>
      <c r="R201" s="34"/>
      <c r="S201" s="34"/>
      <c r="T201" s="34"/>
      <c r="U201" s="34"/>
      <c r="V201" s="34"/>
    </row>
    <row r="202" spans="1:22" x14ac:dyDescent="0.3">
      <c r="A202" s="17"/>
      <c r="B202" s="33"/>
      <c r="C202" s="34"/>
      <c r="D202" s="39"/>
      <c r="E202" s="39"/>
      <c r="F202" s="39"/>
      <c r="G202" s="34"/>
      <c r="H202" s="32"/>
      <c r="I202" s="34"/>
      <c r="J202" s="34"/>
      <c r="K202" s="35"/>
      <c r="L202" s="34"/>
      <c r="M202" s="32"/>
      <c r="N202" s="34"/>
      <c r="O202" s="34"/>
      <c r="P202" s="34"/>
      <c r="Q202" s="34"/>
      <c r="R202" s="34"/>
      <c r="S202" s="34"/>
      <c r="T202" s="34"/>
      <c r="U202" s="34"/>
      <c r="V202" s="34"/>
    </row>
    <row r="203" spans="1:22" x14ac:dyDescent="0.3">
      <c r="A203" s="17"/>
      <c r="B203" s="33"/>
      <c r="C203" s="34"/>
      <c r="D203" s="39"/>
      <c r="E203" s="39"/>
      <c r="F203" s="39"/>
      <c r="G203" s="34"/>
      <c r="H203" s="32"/>
      <c r="I203" s="34"/>
      <c r="J203" s="34"/>
      <c r="K203" s="35"/>
      <c r="L203" s="34"/>
      <c r="M203" s="32"/>
      <c r="N203" s="34"/>
      <c r="O203" s="34"/>
      <c r="P203" s="34"/>
      <c r="Q203" s="34"/>
      <c r="R203" s="34"/>
      <c r="S203" s="34"/>
      <c r="T203" s="34"/>
      <c r="U203" s="34"/>
      <c r="V203" s="34"/>
    </row>
    <row r="204" spans="1:22" x14ac:dyDescent="0.3">
      <c r="A204" s="17"/>
      <c r="B204" s="33"/>
      <c r="C204" s="34"/>
      <c r="D204" s="39"/>
      <c r="E204" s="39"/>
      <c r="F204" s="39"/>
      <c r="G204" s="34"/>
      <c r="H204" s="32"/>
      <c r="I204" s="34"/>
      <c r="J204" s="34"/>
      <c r="K204" s="35"/>
      <c r="L204" s="34"/>
      <c r="M204" s="32"/>
      <c r="N204" s="34"/>
      <c r="O204" s="34"/>
      <c r="P204" s="34"/>
      <c r="Q204" s="34"/>
      <c r="R204" s="34"/>
      <c r="S204" s="34"/>
      <c r="T204" s="34"/>
      <c r="U204" s="34"/>
      <c r="V204" s="34"/>
    </row>
    <row r="205" spans="1:22" x14ac:dyDescent="0.3">
      <c r="A205" s="17"/>
      <c r="B205" s="33"/>
      <c r="C205" s="34"/>
      <c r="D205" s="39"/>
      <c r="E205" s="39"/>
      <c r="F205" s="39"/>
      <c r="G205" s="34"/>
      <c r="H205" s="32"/>
      <c r="I205" s="34"/>
      <c r="J205" s="34"/>
      <c r="K205" s="35"/>
      <c r="L205" s="34"/>
      <c r="M205" s="32"/>
      <c r="N205" s="34"/>
      <c r="O205" s="34"/>
      <c r="P205" s="34"/>
      <c r="Q205" s="34"/>
      <c r="R205" s="34"/>
      <c r="S205" s="34"/>
      <c r="T205" s="34"/>
      <c r="U205" s="34"/>
      <c r="V205" s="34"/>
    </row>
    <row r="206" spans="1:22" x14ac:dyDescent="0.3">
      <c r="A206" s="17"/>
      <c r="B206" s="33"/>
      <c r="C206" s="34"/>
      <c r="D206" s="39"/>
      <c r="E206" s="39"/>
      <c r="F206" s="39"/>
      <c r="G206" s="34"/>
      <c r="H206" s="32"/>
      <c r="I206" s="34"/>
      <c r="J206" s="34"/>
      <c r="K206" s="35"/>
      <c r="L206" s="34"/>
      <c r="M206" s="32"/>
      <c r="N206" s="34"/>
      <c r="O206" s="34"/>
      <c r="P206" s="34"/>
      <c r="Q206" s="34"/>
      <c r="R206" s="34"/>
      <c r="S206" s="34"/>
      <c r="T206" s="34"/>
      <c r="U206" s="34"/>
      <c r="V206" s="34"/>
    </row>
    <row r="207" spans="1:22" x14ac:dyDescent="0.3">
      <c r="A207" s="17"/>
      <c r="B207" s="33"/>
      <c r="C207" s="34"/>
      <c r="D207" s="39"/>
      <c r="E207" s="39"/>
      <c r="F207" s="39"/>
      <c r="G207" s="34"/>
      <c r="H207" s="32"/>
      <c r="I207" s="34"/>
      <c r="J207" s="34"/>
      <c r="K207" s="35"/>
      <c r="L207" s="34"/>
      <c r="M207" s="32"/>
      <c r="N207" s="34"/>
      <c r="O207" s="34"/>
      <c r="P207" s="34"/>
      <c r="Q207" s="34"/>
      <c r="R207" s="34"/>
      <c r="S207" s="34"/>
      <c r="T207" s="34"/>
      <c r="U207" s="34"/>
      <c r="V207" s="34"/>
    </row>
    <row r="208" spans="1:22" x14ac:dyDescent="0.3">
      <c r="A208" s="17"/>
      <c r="B208" s="33"/>
      <c r="C208" s="34"/>
      <c r="D208" s="39"/>
      <c r="E208" s="39"/>
      <c r="F208" s="39"/>
      <c r="G208" s="34"/>
      <c r="H208" s="32"/>
      <c r="I208" s="34"/>
      <c r="J208" s="34"/>
      <c r="K208" s="35"/>
      <c r="L208" s="34"/>
      <c r="M208" s="32"/>
      <c r="N208" s="34"/>
      <c r="O208" s="34"/>
      <c r="P208" s="34"/>
      <c r="Q208" s="34"/>
      <c r="R208" s="34"/>
      <c r="S208" s="34"/>
      <c r="T208" s="34"/>
      <c r="U208" s="34"/>
      <c r="V208" s="34"/>
    </row>
    <row r="209" spans="1:22" x14ac:dyDescent="0.3">
      <c r="A209" s="17"/>
      <c r="B209" s="33"/>
      <c r="C209" s="34"/>
      <c r="D209" s="39"/>
      <c r="E209" s="39"/>
      <c r="F209" s="39"/>
      <c r="G209" s="34"/>
      <c r="H209" s="32"/>
      <c r="I209" s="34"/>
      <c r="J209" s="34"/>
      <c r="K209" s="35"/>
      <c r="L209" s="34"/>
      <c r="M209" s="32"/>
      <c r="N209" s="34"/>
      <c r="O209" s="34"/>
      <c r="P209" s="34"/>
      <c r="Q209" s="34"/>
      <c r="R209" s="34"/>
      <c r="S209" s="34"/>
      <c r="T209" s="34"/>
      <c r="U209" s="34"/>
      <c r="V209" s="34"/>
    </row>
    <row r="210" spans="1:22" x14ac:dyDescent="0.3">
      <c r="A210" s="17"/>
      <c r="B210" s="33"/>
      <c r="C210" s="34"/>
      <c r="D210" s="39"/>
      <c r="E210" s="39"/>
      <c r="F210" s="39"/>
      <c r="G210" s="34"/>
      <c r="H210" s="32"/>
      <c r="I210" s="34"/>
      <c r="J210" s="34"/>
      <c r="K210" s="35"/>
      <c r="L210" s="34"/>
      <c r="M210" s="32"/>
      <c r="N210" s="34"/>
      <c r="O210" s="34"/>
      <c r="P210" s="34"/>
      <c r="Q210" s="34"/>
      <c r="R210" s="34"/>
      <c r="S210" s="34"/>
      <c r="T210" s="34"/>
      <c r="U210" s="34"/>
      <c r="V210" s="34"/>
    </row>
    <row r="211" spans="1:22" x14ac:dyDescent="0.3">
      <c r="A211" s="17"/>
      <c r="B211" s="33"/>
      <c r="C211" s="34"/>
      <c r="D211" s="39"/>
      <c r="E211" s="39"/>
      <c r="F211" s="39"/>
      <c r="G211" s="34"/>
      <c r="H211" s="32"/>
      <c r="I211" s="34"/>
      <c r="J211" s="34"/>
      <c r="K211" s="35"/>
      <c r="L211" s="34"/>
      <c r="M211" s="32"/>
      <c r="N211" s="34"/>
      <c r="O211" s="34"/>
      <c r="P211" s="34"/>
      <c r="Q211" s="34"/>
      <c r="R211" s="34"/>
      <c r="S211" s="34"/>
      <c r="T211" s="34"/>
      <c r="U211" s="34"/>
      <c r="V211" s="34"/>
    </row>
    <row r="212" spans="1:22" x14ac:dyDescent="0.3">
      <c r="A212" s="17"/>
      <c r="B212" s="33"/>
      <c r="C212" s="34"/>
      <c r="D212" s="39"/>
      <c r="E212" s="39"/>
      <c r="F212" s="39"/>
      <c r="G212" s="34"/>
      <c r="H212" s="32"/>
      <c r="I212" s="34"/>
      <c r="J212" s="34"/>
      <c r="K212" s="35"/>
      <c r="L212" s="34"/>
      <c r="M212" s="32"/>
      <c r="N212" s="34"/>
      <c r="O212" s="34"/>
      <c r="P212" s="34"/>
      <c r="Q212" s="34"/>
      <c r="R212" s="34"/>
      <c r="S212" s="34"/>
      <c r="T212" s="34"/>
      <c r="U212" s="34"/>
      <c r="V212" s="34"/>
    </row>
    <row r="213" spans="1:22" x14ac:dyDescent="0.3">
      <c r="A213" s="17"/>
      <c r="B213" s="33"/>
      <c r="C213" s="34"/>
      <c r="D213" s="39"/>
      <c r="E213" s="39"/>
      <c r="F213" s="39"/>
      <c r="G213" s="34"/>
      <c r="H213" s="32"/>
      <c r="I213" s="34"/>
      <c r="J213" s="34"/>
      <c r="K213" s="35"/>
      <c r="L213" s="34"/>
      <c r="M213" s="32"/>
      <c r="N213" s="34"/>
      <c r="O213" s="34"/>
      <c r="P213" s="34"/>
      <c r="Q213" s="34"/>
      <c r="R213" s="34"/>
      <c r="S213" s="34"/>
      <c r="T213" s="34"/>
      <c r="U213" s="34"/>
      <c r="V213" s="34"/>
    </row>
    <row r="214" spans="1:22" x14ac:dyDescent="0.3">
      <c r="A214" s="17"/>
      <c r="B214" s="33"/>
      <c r="C214" s="34"/>
      <c r="D214" s="39"/>
      <c r="E214" s="39"/>
      <c r="F214" s="39"/>
      <c r="G214" s="34"/>
      <c r="H214" s="34"/>
      <c r="I214" s="34"/>
      <c r="J214" s="34"/>
      <c r="K214" s="35"/>
      <c r="L214" s="34"/>
      <c r="M214" s="32"/>
      <c r="N214" s="34"/>
      <c r="O214" s="34"/>
      <c r="P214" s="34"/>
      <c r="Q214" s="34"/>
      <c r="R214" s="34"/>
      <c r="S214" s="34"/>
      <c r="T214" s="34"/>
      <c r="U214" s="34"/>
      <c r="V214" s="34"/>
    </row>
    <row r="215" spans="1:22" x14ac:dyDescent="0.3">
      <c r="A215" s="17"/>
      <c r="B215" s="33"/>
      <c r="C215" s="34"/>
      <c r="D215" s="39"/>
      <c r="E215" s="39"/>
      <c r="F215" s="39"/>
      <c r="G215" s="34"/>
      <c r="H215" s="34"/>
      <c r="I215" s="34"/>
      <c r="J215" s="34"/>
      <c r="K215" s="35"/>
      <c r="L215" s="34"/>
      <c r="M215" s="32"/>
      <c r="N215" s="34"/>
      <c r="O215" s="34"/>
      <c r="P215" s="34"/>
      <c r="Q215" s="34"/>
      <c r="R215" s="34"/>
      <c r="S215" s="34"/>
      <c r="T215" s="34"/>
      <c r="U215" s="34"/>
      <c r="V215" s="34"/>
    </row>
    <row r="216" spans="1:22" x14ac:dyDescent="0.3">
      <c r="A216" s="17"/>
      <c r="B216" s="33"/>
      <c r="C216" s="34"/>
      <c r="D216" s="39"/>
      <c r="E216" s="39"/>
      <c r="F216" s="39"/>
      <c r="G216" s="34"/>
      <c r="H216" s="34"/>
      <c r="I216" s="34"/>
      <c r="J216" s="34"/>
      <c r="K216" s="35"/>
      <c r="L216" s="34"/>
      <c r="M216" s="32"/>
      <c r="N216" s="34"/>
      <c r="O216" s="34"/>
      <c r="P216" s="34"/>
      <c r="Q216" s="34"/>
      <c r="R216" s="34"/>
      <c r="S216" s="34"/>
      <c r="T216" s="34"/>
      <c r="U216" s="34"/>
      <c r="V216" s="34"/>
    </row>
    <row r="217" spans="1:22" x14ac:dyDescent="0.3">
      <c r="A217" s="17"/>
      <c r="B217" s="33"/>
      <c r="C217" s="34"/>
      <c r="D217" s="39"/>
      <c r="E217" s="39"/>
      <c r="F217" s="39"/>
      <c r="G217" s="34"/>
      <c r="H217" s="34"/>
      <c r="I217" s="34"/>
      <c r="J217" s="34"/>
      <c r="K217" s="35"/>
      <c r="L217" s="34"/>
      <c r="M217" s="32"/>
      <c r="N217" s="34"/>
      <c r="O217" s="34"/>
      <c r="P217" s="34"/>
      <c r="Q217" s="34"/>
      <c r="R217" s="34"/>
      <c r="S217" s="34"/>
      <c r="T217" s="34"/>
      <c r="U217" s="34"/>
      <c r="V217" s="34"/>
    </row>
    <row r="218" spans="1:22" x14ac:dyDescent="0.3">
      <c r="A218" s="17"/>
      <c r="B218" s="33"/>
      <c r="C218" s="34"/>
      <c r="D218" s="39"/>
      <c r="E218" s="39"/>
      <c r="F218" s="39"/>
      <c r="G218" s="34"/>
      <c r="H218" s="34"/>
      <c r="I218" s="34"/>
      <c r="J218" s="34"/>
      <c r="K218" s="35"/>
      <c r="L218" s="34"/>
      <c r="M218" s="32"/>
      <c r="N218" s="34"/>
      <c r="O218" s="34"/>
      <c r="P218" s="34"/>
      <c r="Q218" s="34"/>
      <c r="R218" s="34"/>
      <c r="S218" s="34"/>
      <c r="T218" s="34"/>
      <c r="U218" s="34"/>
      <c r="V218" s="34"/>
    </row>
    <row r="219" spans="1:22" x14ac:dyDescent="0.3">
      <c r="A219" s="17"/>
      <c r="B219" s="33"/>
      <c r="C219" s="34"/>
      <c r="D219" s="39"/>
      <c r="E219" s="39"/>
      <c r="F219" s="39"/>
      <c r="G219" s="34"/>
      <c r="H219" s="34"/>
      <c r="I219" s="34"/>
      <c r="J219" s="34"/>
      <c r="K219" s="35"/>
      <c r="L219" s="34"/>
      <c r="M219" s="32"/>
      <c r="N219" s="34"/>
      <c r="O219" s="34"/>
      <c r="P219" s="34"/>
      <c r="Q219" s="34"/>
      <c r="R219" s="34"/>
      <c r="S219" s="34"/>
      <c r="T219" s="34"/>
      <c r="U219" s="34"/>
      <c r="V219" s="34"/>
    </row>
    <row r="220" spans="1:22" x14ac:dyDescent="0.3">
      <c r="A220" s="17"/>
      <c r="B220" s="33"/>
      <c r="C220" s="34"/>
      <c r="D220" s="39"/>
      <c r="E220" s="39"/>
      <c r="F220" s="39"/>
      <c r="G220" s="34"/>
      <c r="H220" s="34"/>
      <c r="I220" s="34"/>
      <c r="J220" s="34"/>
      <c r="K220" s="35"/>
      <c r="L220" s="34"/>
      <c r="M220" s="32"/>
      <c r="N220" s="34"/>
      <c r="O220" s="34"/>
      <c r="P220" s="34"/>
      <c r="Q220" s="34"/>
      <c r="R220" s="34"/>
      <c r="S220" s="34"/>
      <c r="T220" s="34"/>
      <c r="U220" s="34"/>
      <c r="V220" s="34"/>
    </row>
    <row r="221" spans="1:22" x14ac:dyDescent="0.3">
      <c r="A221" s="17"/>
      <c r="B221" s="33"/>
      <c r="C221" s="34"/>
      <c r="D221" s="39"/>
      <c r="E221" s="39"/>
      <c r="F221" s="39"/>
      <c r="G221" s="34"/>
      <c r="H221" s="34"/>
      <c r="I221" s="34"/>
      <c r="J221" s="34"/>
      <c r="K221" s="35"/>
      <c r="L221" s="34"/>
      <c r="M221" s="32"/>
      <c r="N221" s="34"/>
      <c r="O221" s="34"/>
      <c r="P221" s="34"/>
      <c r="Q221" s="34"/>
      <c r="R221" s="34"/>
      <c r="S221" s="34"/>
      <c r="T221" s="34"/>
      <c r="U221" s="34"/>
      <c r="V221" s="34"/>
    </row>
    <row r="222" spans="1:22" x14ac:dyDescent="0.3">
      <c r="A222" s="17"/>
      <c r="B222" s="33"/>
      <c r="C222" s="34"/>
      <c r="D222" s="39"/>
      <c r="E222" s="39"/>
      <c r="F222" s="39"/>
      <c r="G222" s="34"/>
      <c r="H222" s="34"/>
      <c r="I222" s="34"/>
      <c r="J222" s="34"/>
      <c r="K222" s="35"/>
      <c r="L222" s="34"/>
      <c r="M222" s="32"/>
      <c r="N222" s="34"/>
      <c r="O222" s="34"/>
      <c r="P222" s="34"/>
      <c r="Q222" s="34"/>
      <c r="R222" s="34"/>
      <c r="S222" s="34"/>
      <c r="T222" s="34"/>
      <c r="U222" s="34"/>
      <c r="V222" s="34"/>
    </row>
    <row r="223" spans="1:22" x14ac:dyDescent="0.3">
      <c r="A223" s="17"/>
      <c r="B223" s="33"/>
      <c r="C223" s="34"/>
      <c r="D223" s="39"/>
      <c r="E223" s="39"/>
      <c r="F223" s="39"/>
      <c r="G223" s="34"/>
      <c r="H223" s="34"/>
      <c r="I223" s="34"/>
      <c r="J223" s="34"/>
      <c r="K223" s="35"/>
      <c r="L223" s="34"/>
      <c r="M223" s="32"/>
      <c r="N223" s="34"/>
      <c r="O223" s="34"/>
      <c r="P223" s="34"/>
      <c r="Q223" s="34"/>
      <c r="R223" s="34"/>
      <c r="S223" s="34"/>
      <c r="T223" s="34"/>
      <c r="U223" s="34"/>
      <c r="V223" s="34"/>
    </row>
    <row r="224" spans="1:22" x14ac:dyDescent="0.3">
      <c r="A224" s="17"/>
      <c r="B224" s="33"/>
      <c r="C224" s="34"/>
      <c r="D224" s="39"/>
      <c r="E224" s="39"/>
      <c r="F224" s="39"/>
      <c r="G224" s="34"/>
      <c r="H224" s="34"/>
      <c r="I224" s="34"/>
      <c r="J224" s="34"/>
      <c r="K224" s="35"/>
      <c r="L224" s="34"/>
      <c r="M224" s="32"/>
      <c r="N224" s="34"/>
      <c r="O224" s="34"/>
      <c r="P224" s="34"/>
      <c r="Q224" s="34"/>
      <c r="R224" s="34"/>
      <c r="S224" s="34"/>
      <c r="T224" s="34"/>
      <c r="U224" s="34"/>
      <c r="V224" s="34"/>
    </row>
    <row r="225" spans="1:22" x14ac:dyDescent="0.3">
      <c r="A225" s="17"/>
      <c r="B225" s="33"/>
      <c r="C225" s="34"/>
      <c r="D225" s="39"/>
      <c r="E225" s="39"/>
      <c r="F225" s="39"/>
      <c r="G225" s="34"/>
      <c r="H225" s="34"/>
      <c r="I225" s="34"/>
      <c r="J225" s="34"/>
      <c r="K225" s="35"/>
      <c r="L225" s="34"/>
      <c r="M225" s="32"/>
      <c r="N225" s="34"/>
      <c r="O225" s="34"/>
      <c r="P225" s="34"/>
      <c r="Q225" s="34"/>
      <c r="R225" s="34"/>
      <c r="S225" s="34"/>
      <c r="T225" s="34"/>
      <c r="U225" s="34"/>
      <c r="V225" s="34"/>
    </row>
    <row r="226" spans="1:22" x14ac:dyDescent="0.3">
      <c r="A226" s="17"/>
      <c r="B226" s="33"/>
      <c r="C226" s="34"/>
      <c r="D226" s="39"/>
      <c r="E226" s="39"/>
      <c r="F226" s="39"/>
      <c r="G226" s="34"/>
      <c r="H226" s="34"/>
      <c r="I226" s="34"/>
      <c r="J226" s="34"/>
      <c r="K226" s="35"/>
      <c r="L226" s="34"/>
      <c r="M226" s="32"/>
      <c r="N226" s="34"/>
      <c r="O226" s="34"/>
      <c r="P226" s="34"/>
      <c r="Q226" s="34"/>
      <c r="R226" s="34"/>
      <c r="S226" s="34"/>
      <c r="T226" s="34"/>
      <c r="U226" s="34"/>
      <c r="V226" s="34"/>
    </row>
    <row r="227" spans="1:22" x14ac:dyDescent="0.3">
      <c r="A227" s="17"/>
      <c r="B227" s="33"/>
      <c r="C227" s="34"/>
      <c r="D227" s="34"/>
      <c r="E227" s="34"/>
      <c r="F227" s="34"/>
      <c r="G227" s="34"/>
      <c r="H227" s="34"/>
      <c r="I227" s="34"/>
      <c r="J227" s="34"/>
      <c r="K227" s="35"/>
      <c r="L227" s="34"/>
      <c r="M227" s="32"/>
      <c r="N227" s="34"/>
      <c r="O227" s="34"/>
      <c r="P227" s="34"/>
      <c r="Q227" s="34"/>
      <c r="R227" s="34"/>
      <c r="S227" s="34"/>
      <c r="T227" s="34"/>
      <c r="U227" s="34"/>
      <c r="V227" s="34"/>
    </row>
    <row r="228" spans="1:22" x14ac:dyDescent="0.3">
      <c r="A228" s="17"/>
      <c r="B228" s="33"/>
      <c r="C228" s="34"/>
      <c r="D228" s="34"/>
      <c r="E228" s="34"/>
      <c r="F228" s="34"/>
      <c r="G228" s="34"/>
      <c r="H228" s="34"/>
      <c r="I228" s="34"/>
      <c r="J228" s="34"/>
      <c r="K228" s="35"/>
      <c r="L228" s="34"/>
      <c r="M228" s="32"/>
      <c r="N228" s="34"/>
      <c r="O228" s="34"/>
      <c r="P228" s="34"/>
      <c r="Q228" s="34"/>
      <c r="R228" s="34"/>
      <c r="S228" s="34"/>
      <c r="T228" s="34"/>
      <c r="U228" s="34"/>
      <c r="V228" s="34"/>
    </row>
    <row r="229" spans="1:22" x14ac:dyDescent="0.3">
      <c r="A229" s="17"/>
      <c r="B229" s="33"/>
      <c r="C229" s="34"/>
      <c r="D229" s="34"/>
      <c r="E229" s="34"/>
      <c r="F229" s="34"/>
      <c r="G229" s="34"/>
      <c r="H229" s="34"/>
      <c r="I229" s="34"/>
      <c r="J229" s="34"/>
      <c r="K229" s="35"/>
      <c r="L229" s="34"/>
      <c r="M229" s="32"/>
      <c r="N229" s="34"/>
      <c r="O229" s="34"/>
      <c r="P229" s="34"/>
      <c r="Q229" s="34"/>
      <c r="R229" s="34"/>
      <c r="S229" s="34"/>
      <c r="T229" s="34"/>
      <c r="U229" s="34"/>
      <c r="V229" s="34"/>
    </row>
    <row r="230" spans="1:22" x14ac:dyDescent="0.3">
      <c r="A230" s="17"/>
      <c r="B230" s="33"/>
      <c r="C230" s="34"/>
      <c r="D230" s="34"/>
      <c r="E230" s="34"/>
      <c r="F230" s="34"/>
      <c r="G230" s="34"/>
      <c r="H230" s="34"/>
      <c r="I230" s="34"/>
      <c r="J230" s="34"/>
      <c r="K230" s="35"/>
      <c r="L230" s="34"/>
      <c r="M230" s="32"/>
      <c r="N230" s="34"/>
      <c r="O230" s="34"/>
      <c r="P230" s="34"/>
      <c r="Q230" s="34"/>
      <c r="R230" s="34"/>
      <c r="S230" s="34"/>
      <c r="T230" s="34"/>
      <c r="U230" s="34"/>
      <c r="V230" s="34"/>
    </row>
    <row r="231" spans="1:22" x14ac:dyDescent="0.3">
      <c r="A231" s="17"/>
      <c r="B231" s="33"/>
      <c r="C231" s="34"/>
      <c r="D231" s="34"/>
      <c r="E231" s="34"/>
      <c r="F231" s="34"/>
      <c r="G231" s="34"/>
      <c r="H231" s="34"/>
      <c r="I231" s="34"/>
      <c r="J231" s="34"/>
      <c r="K231" s="35"/>
      <c r="L231" s="34"/>
      <c r="M231" s="32"/>
      <c r="N231" s="34"/>
      <c r="O231" s="34"/>
      <c r="P231" s="34"/>
      <c r="Q231" s="34"/>
      <c r="R231" s="34"/>
      <c r="S231" s="34"/>
      <c r="T231" s="34"/>
      <c r="U231" s="34"/>
      <c r="V231" s="34"/>
    </row>
    <row r="232" spans="1:22" x14ac:dyDescent="0.3">
      <c r="A232" s="17"/>
      <c r="B232" s="33"/>
      <c r="C232" s="34"/>
      <c r="D232" s="34"/>
      <c r="E232" s="34"/>
      <c r="F232" s="34"/>
      <c r="G232" s="34"/>
      <c r="H232" s="34"/>
      <c r="I232" s="34"/>
      <c r="J232" s="34"/>
      <c r="K232" s="35"/>
      <c r="L232" s="34"/>
      <c r="M232" s="32"/>
      <c r="N232" s="34"/>
      <c r="O232" s="34"/>
      <c r="P232" s="34"/>
      <c r="Q232" s="34"/>
      <c r="R232" s="34"/>
      <c r="S232" s="34"/>
      <c r="T232" s="34"/>
      <c r="U232" s="34"/>
      <c r="V232" s="34"/>
    </row>
    <row r="233" spans="1:22" x14ac:dyDescent="0.3">
      <c r="A233" s="17"/>
      <c r="B233" s="33"/>
      <c r="C233" s="34"/>
      <c r="D233" s="34"/>
      <c r="E233" s="34"/>
      <c r="F233" s="34"/>
      <c r="G233" s="34"/>
      <c r="H233" s="34"/>
      <c r="I233" s="34"/>
      <c r="J233" s="34"/>
      <c r="K233" s="35"/>
      <c r="L233" s="34"/>
      <c r="M233" s="32"/>
      <c r="N233" s="34"/>
      <c r="O233" s="34"/>
      <c r="P233" s="34"/>
      <c r="Q233" s="34"/>
      <c r="R233" s="34"/>
      <c r="S233" s="34"/>
      <c r="T233" s="34"/>
      <c r="U233" s="34"/>
      <c r="V233" s="34"/>
    </row>
    <row r="234" spans="1:22" x14ac:dyDescent="0.3">
      <c r="A234" s="17"/>
      <c r="B234" s="33"/>
      <c r="C234" s="34"/>
      <c r="D234" s="34"/>
      <c r="E234" s="34"/>
      <c r="F234" s="34"/>
      <c r="G234" s="34"/>
      <c r="H234" s="34"/>
      <c r="I234" s="34"/>
      <c r="J234" s="34"/>
      <c r="K234" s="35"/>
      <c r="L234" s="34"/>
      <c r="M234" s="32"/>
      <c r="N234" s="34"/>
      <c r="O234" s="34"/>
      <c r="P234" s="34"/>
      <c r="Q234" s="34"/>
      <c r="R234" s="34"/>
      <c r="S234" s="34"/>
      <c r="T234" s="34"/>
      <c r="U234" s="34"/>
      <c r="V234" s="34"/>
    </row>
    <row r="235" spans="1:22" x14ac:dyDescent="0.3">
      <c r="A235" s="17"/>
      <c r="B235" s="33"/>
      <c r="C235" s="34"/>
      <c r="D235" s="34"/>
      <c r="E235" s="34"/>
      <c r="F235" s="34"/>
      <c r="G235" s="34"/>
      <c r="H235" s="34"/>
      <c r="I235" s="34"/>
      <c r="J235" s="34"/>
      <c r="K235" s="35"/>
      <c r="L235" s="34"/>
      <c r="M235" s="32"/>
      <c r="N235" s="34"/>
      <c r="O235" s="34"/>
      <c r="P235" s="34"/>
      <c r="Q235" s="34"/>
      <c r="R235" s="34"/>
      <c r="S235" s="34"/>
      <c r="T235" s="34"/>
      <c r="U235" s="34"/>
      <c r="V235" s="34"/>
    </row>
    <row r="236" spans="1:22" x14ac:dyDescent="0.3">
      <c r="A236" s="17"/>
      <c r="B236" s="33"/>
      <c r="C236" s="34"/>
      <c r="D236" s="34"/>
      <c r="E236" s="34"/>
      <c r="F236" s="34"/>
      <c r="G236" s="34"/>
      <c r="H236" s="34"/>
      <c r="I236" s="34"/>
      <c r="J236" s="34"/>
      <c r="K236" s="35"/>
      <c r="L236" s="34"/>
      <c r="M236" s="32"/>
      <c r="N236" s="34"/>
      <c r="O236" s="34"/>
      <c r="P236" s="34"/>
      <c r="Q236" s="34"/>
      <c r="R236" s="34"/>
      <c r="S236" s="34"/>
      <c r="T236" s="34"/>
      <c r="U236" s="34"/>
      <c r="V236" s="34"/>
    </row>
    <row r="237" spans="1:22" x14ac:dyDescent="0.3">
      <c r="A237" s="17"/>
      <c r="B237" s="33"/>
      <c r="C237" s="34"/>
      <c r="D237" s="34"/>
      <c r="E237" s="34"/>
      <c r="F237" s="34"/>
      <c r="G237" s="34"/>
      <c r="H237" s="34"/>
      <c r="I237" s="34"/>
      <c r="J237" s="34"/>
      <c r="K237" s="35"/>
      <c r="L237" s="34"/>
      <c r="M237" s="32"/>
      <c r="N237" s="34"/>
      <c r="O237" s="34"/>
      <c r="P237" s="34"/>
      <c r="Q237" s="34"/>
      <c r="R237" s="34"/>
      <c r="S237" s="34"/>
      <c r="T237" s="34"/>
      <c r="U237" s="34"/>
      <c r="V237" s="34"/>
    </row>
    <row r="238" spans="1:22" x14ac:dyDescent="0.3">
      <c r="A238" s="17"/>
      <c r="B238" s="33"/>
      <c r="C238" s="34"/>
      <c r="D238" s="34"/>
      <c r="E238" s="34"/>
      <c r="F238" s="34"/>
      <c r="G238" s="34"/>
      <c r="H238" s="34"/>
      <c r="I238" s="34"/>
      <c r="J238" s="34"/>
      <c r="K238" s="35"/>
      <c r="L238" s="34"/>
      <c r="M238" s="32"/>
      <c r="N238" s="34"/>
      <c r="O238" s="34"/>
      <c r="P238" s="34"/>
      <c r="Q238" s="34"/>
      <c r="R238" s="34"/>
      <c r="S238" s="34"/>
      <c r="T238" s="34"/>
      <c r="U238" s="34"/>
      <c r="V238" s="34"/>
    </row>
    <row r="239" spans="1:22" x14ac:dyDescent="0.3">
      <c r="A239" s="17"/>
      <c r="B239" s="33"/>
      <c r="C239" s="34"/>
      <c r="D239" s="34"/>
      <c r="E239" s="34"/>
      <c r="F239" s="34"/>
      <c r="G239" s="34"/>
      <c r="H239" s="34"/>
      <c r="I239" s="34"/>
      <c r="J239" s="34"/>
      <c r="K239" s="35"/>
      <c r="L239" s="34"/>
      <c r="M239" s="32"/>
      <c r="N239" s="34"/>
      <c r="O239" s="34"/>
      <c r="P239" s="34"/>
      <c r="Q239" s="34"/>
      <c r="R239" s="34"/>
      <c r="S239" s="34"/>
      <c r="T239" s="34"/>
      <c r="U239" s="34"/>
      <c r="V239" s="34"/>
    </row>
    <row r="240" spans="1:22" x14ac:dyDescent="0.3">
      <c r="A240" s="17"/>
      <c r="B240" s="33"/>
      <c r="C240" s="34"/>
      <c r="D240" s="34"/>
      <c r="E240" s="34"/>
      <c r="F240" s="34"/>
      <c r="G240" s="34"/>
      <c r="H240" s="34"/>
      <c r="I240" s="34"/>
      <c r="J240" s="34"/>
      <c r="K240" s="35"/>
      <c r="L240" s="34"/>
      <c r="M240" s="32"/>
      <c r="N240" s="34"/>
      <c r="O240" s="34"/>
      <c r="P240" s="34"/>
      <c r="Q240" s="34"/>
      <c r="R240" s="34"/>
      <c r="S240" s="34"/>
      <c r="T240" s="34"/>
      <c r="U240" s="34"/>
      <c r="V240" s="34"/>
    </row>
    <row r="241" spans="1:22" x14ac:dyDescent="0.3">
      <c r="A241" s="17"/>
      <c r="B241" s="33"/>
      <c r="C241" s="34"/>
      <c r="D241" s="34"/>
      <c r="E241" s="34"/>
      <c r="F241" s="34"/>
      <c r="G241" s="34"/>
      <c r="H241" s="34"/>
      <c r="I241" s="34"/>
      <c r="J241" s="34"/>
      <c r="K241" s="35"/>
      <c r="L241" s="34"/>
      <c r="M241" s="32"/>
      <c r="N241" s="34"/>
      <c r="O241" s="34"/>
      <c r="P241" s="34"/>
      <c r="Q241" s="34"/>
      <c r="R241" s="34"/>
      <c r="S241" s="34"/>
      <c r="T241" s="34"/>
      <c r="U241" s="34"/>
      <c r="V241" s="34"/>
    </row>
    <row r="242" spans="1:22" x14ac:dyDescent="0.3">
      <c r="A242" s="17"/>
      <c r="B242" s="33"/>
      <c r="C242" s="34"/>
      <c r="D242" s="34"/>
      <c r="E242" s="34"/>
      <c r="F242" s="34"/>
      <c r="G242" s="34"/>
      <c r="H242" s="34"/>
      <c r="I242" s="34"/>
      <c r="J242" s="34"/>
      <c r="K242" s="35"/>
      <c r="L242" s="34"/>
      <c r="M242" s="32"/>
      <c r="N242" s="34"/>
      <c r="O242" s="34"/>
      <c r="P242" s="34"/>
      <c r="Q242" s="34"/>
      <c r="R242" s="34"/>
      <c r="S242" s="34"/>
      <c r="T242" s="34"/>
      <c r="U242" s="34"/>
      <c r="V242" s="34"/>
    </row>
    <row r="243" spans="1:22" x14ac:dyDescent="0.3">
      <c r="A243" s="17"/>
      <c r="B243" s="33"/>
      <c r="C243" s="34"/>
      <c r="D243" s="34"/>
      <c r="E243" s="34"/>
      <c r="F243" s="34"/>
      <c r="G243" s="34"/>
      <c r="H243" s="34"/>
      <c r="I243" s="34"/>
      <c r="J243" s="34"/>
      <c r="K243" s="35"/>
      <c r="L243" s="34"/>
      <c r="M243" s="32"/>
      <c r="N243" s="34"/>
      <c r="O243" s="34"/>
      <c r="P243" s="34"/>
      <c r="Q243" s="34"/>
      <c r="R243" s="34"/>
      <c r="S243" s="34"/>
      <c r="T243" s="34"/>
      <c r="U243" s="34"/>
      <c r="V243" s="34"/>
    </row>
    <row r="244" spans="1:22" x14ac:dyDescent="0.3">
      <c r="A244" s="17"/>
      <c r="B244" s="33"/>
      <c r="C244" s="34"/>
      <c r="D244" s="34"/>
      <c r="E244" s="34"/>
      <c r="F244" s="34"/>
      <c r="G244" s="34"/>
      <c r="H244" s="34"/>
      <c r="I244" s="34"/>
      <c r="J244" s="34"/>
      <c r="K244" s="35"/>
      <c r="L244" s="34"/>
      <c r="M244" s="32"/>
      <c r="N244" s="34"/>
      <c r="O244" s="34"/>
      <c r="P244" s="34"/>
      <c r="Q244" s="34"/>
      <c r="R244" s="34"/>
      <c r="S244" s="34"/>
      <c r="T244" s="34"/>
      <c r="U244" s="34"/>
      <c r="V244" s="34"/>
    </row>
    <row r="245" spans="1:22" x14ac:dyDescent="0.3">
      <c r="A245" s="17"/>
      <c r="B245" s="33"/>
      <c r="C245" s="34"/>
      <c r="D245" s="34"/>
      <c r="E245" s="34"/>
      <c r="F245" s="34"/>
      <c r="G245" s="34"/>
      <c r="H245" s="34"/>
      <c r="I245" s="34"/>
      <c r="J245" s="34"/>
      <c r="K245" s="35"/>
      <c r="L245" s="34"/>
      <c r="M245" s="32"/>
      <c r="N245" s="34"/>
      <c r="O245" s="34"/>
      <c r="P245" s="34"/>
      <c r="Q245" s="34"/>
      <c r="R245" s="34"/>
      <c r="S245" s="34"/>
      <c r="T245" s="34"/>
      <c r="U245" s="34"/>
      <c r="V245" s="34"/>
    </row>
    <row r="246" spans="1:22" x14ac:dyDescent="0.3">
      <c r="A246" s="17"/>
      <c r="B246" s="33"/>
      <c r="C246" s="34"/>
      <c r="D246" s="34"/>
      <c r="E246" s="34"/>
      <c r="F246" s="34"/>
      <c r="G246" s="34"/>
      <c r="H246" s="34"/>
      <c r="I246" s="34"/>
      <c r="J246" s="34"/>
      <c r="K246" s="35"/>
      <c r="L246" s="34"/>
      <c r="M246" s="32"/>
      <c r="N246" s="34"/>
      <c r="O246" s="34"/>
      <c r="P246" s="34"/>
      <c r="Q246" s="34"/>
      <c r="R246" s="34"/>
      <c r="S246" s="34"/>
      <c r="T246" s="34"/>
      <c r="U246" s="34"/>
      <c r="V246" s="34"/>
    </row>
    <row r="247" spans="1:22" x14ac:dyDescent="0.3">
      <c r="A247" s="17"/>
      <c r="B247" s="33"/>
      <c r="C247" s="34"/>
      <c r="D247" s="34"/>
      <c r="E247" s="34"/>
      <c r="F247" s="34"/>
      <c r="G247" s="34"/>
      <c r="H247" s="34"/>
      <c r="I247" s="34"/>
      <c r="J247" s="34"/>
      <c r="K247" s="35"/>
      <c r="L247" s="34"/>
      <c r="M247" s="32"/>
      <c r="N247" s="34"/>
      <c r="O247" s="34"/>
      <c r="P247" s="34"/>
      <c r="Q247" s="34"/>
      <c r="R247" s="34"/>
      <c r="S247" s="34"/>
      <c r="T247" s="34"/>
      <c r="U247" s="34"/>
      <c r="V247" s="34"/>
    </row>
    <row r="248" spans="1:22" x14ac:dyDescent="0.3">
      <c r="A248" s="17"/>
      <c r="B248" s="33"/>
      <c r="C248" s="34"/>
      <c r="D248" s="34"/>
      <c r="E248" s="34"/>
      <c r="F248" s="34"/>
      <c r="G248" s="34"/>
      <c r="H248" s="34"/>
      <c r="I248" s="34"/>
      <c r="J248" s="34"/>
      <c r="K248" s="35"/>
      <c r="L248" s="34"/>
      <c r="M248" s="32"/>
      <c r="N248" s="34"/>
      <c r="O248" s="34"/>
      <c r="P248" s="34"/>
      <c r="Q248" s="34"/>
      <c r="R248" s="34"/>
      <c r="S248" s="34"/>
      <c r="T248" s="34"/>
      <c r="U248" s="34"/>
      <c r="V248" s="34"/>
    </row>
    <row r="249" spans="1:22" x14ac:dyDescent="0.3">
      <c r="A249" s="17"/>
      <c r="B249" s="33"/>
      <c r="C249" s="34"/>
      <c r="D249" s="34"/>
      <c r="E249" s="34"/>
      <c r="F249" s="34"/>
      <c r="G249" s="34"/>
      <c r="H249" s="34"/>
      <c r="I249" s="34"/>
      <c r="J249" s="34"/>
      <c r="K249" s="35"/>
      <c r="L249" s="34"/>
      <c r="M249" s="32"/>
      <c r="N249" s="34"/>
      <c r="O249" s="34"/>
      <c r="P249" s="34"/>
      <c r="Q249" s="34"/>
      <c r="R249" s="34"/>
      <c r="S249" s="34"/>
      <c r="T249" s="34"/>
      <c r="U249" s="34"/>
      <c r="V249" s="34"/>
    </row>
    <row r="250" spans="1:22" x14ac:dyDescent="0.3">
      <c r="A250" s="17"/>
      <c r="B250" s="33"/>
      <c r="C250" s="34"/>
      <c r="D250" s="34"/>
      <c r="E250" s="34"/>
      <c r="F250" s="34"/>
      <c r="G250" s="34"/>
      <c r="H250" s="34"/>
      <c r="I250" s="34"/>
      <c r="J250" s="34"/>
      <c r="K250" s="35"/>
      <c r="L250" s="34"/>
      <c r="M250" s="32"/>
      <c r="N250" s="34"/>
      <c r="O250" s="34"/>
      <c r="P250" s="34"/>
      <c r="Q250" s="34"/>
      <c r="R250" s="34"/>
      <c r="S250" s="34"/>
      <c r="T250" s="34"/>
      <c r="U250" s="34"/>
      <c r="V250" s="34"/>
    </row>
    <row r="251" spans="1:22" x14ac:dyDescent="0.3">
      <c r="A251" s="17"/>
      <c r="B251" s="33"/>
      <c r="C251" s="34"/>
      <c r="D251" s="34"/>
      <c r="E251" s="34"/>
      <c r="F251" s="34"/>
      <c r="G251" s="34"/>
      <c r="H251" s="34"/>
      <c r="I251" s="34"/>
      <c r="J251" s="34"/>
      <c r="K251" s="35"/>
      <c r="L251" s="34"/>
      <c r="M251" s="32"/>
      <c r="N251" s="34"/>
      <c r="O251" s="34"/>
      <c r="P251" s="34"/>
      <c r="Q251" s="34"/>
      <c r="R251" s="34"/>
      <c r="S251" s="34"/>
      <c r="T251" s="34"/>
      <c r="U251" s="34"/>
      <c r="V251" s="34"/>
    </row>
    <row r="252" spans="1:22" x14ac:dyDescent="0.3">
      <c r="A252" s="17"/>
      <c r="B252" s="33"/>
      <c r="C252" s="34"/>
      <c r="D252" s="34"/>
      <c r="E252" s="34"/>
      <c r="F252" s="34"/>
      <c r="G252" s="34"/>
      <c r="H252" s="34"/>
      <c r="I252" s="34"/>
      <c r="J252" s="34"/>
      <c r="K252" s="35"/>
      <c r="L252" s="34"/>
      <c r="M252" s="32"/>
      <c r="N252" s="34"/>
      <c r="O252" s="34"/>
      <c r="P252" s="34"/>
      <c r="Q252" s="34"/>
      <c r="R252" s="34"/>
      <c r="S252" s="34"/>
      <c r="T252" s="34"/>
      <c r="U252" s="34"/>
      <c r="V252" s="34"/>
    </row>
    <row r="253" spans="1:22" x14ac:dyDescent="0.3">
      <c r="A253" s="17"/>
      <c r="B253" s="33"/>
      <c r="C253" s="34"/>
      <c r="D253" s="34"/>
      <c r="E253" s="34"/>
      <c r="F253" s="34"/>
      <c r="G253" s="34"/>
      <c r="H253" s="34"/>
      <c r="I253" s="34"/>
      <c r="J253" s="34"/>
      <c r="K253" s="35"/>
      <c r="L253" s="34"/>
      <c r="M253" s="32"/>
      <c r="N253" s="34"/>
      <c r="O253" s="34"/>
      <c r="P253" s="34"/>
      <c r="Q253" s="34"/>
      <c r="R253" s="34"/>
      <c r="S253" s="34"/>
      <c r="T253" s="34"/>
      <c r="U253" s="34"/>
      <c r="V253" s="34"/>
    </row>
    <row r="254" spans="1:22" x14ac:dyDescent="0.3">
      <c r="A254" s="17"/>
      <c r="B254" s="33"/>
      <c r="C254" s="34"/>
      <c r="D254" s="34"/>
      <c r="E254" s="34"/>
      <c r="F254" s="34"/>
      <c r="G254" s="34"/>
      <c r="H254" s="34"/>
      <c r="I254" s="34"/>
      <c r="J254" s="34"/>
      <c r="K254" s="35"/>
      <c r="L254" s="34"/>
      <c r="M254" s="32"/>
      <c r="N254" s="34"/>
      <c r="O254" s="34"/>
      <c r="P254" s="34"/>
      <c r="Q254" s="34"/>
      <c r="R254" s="34"/>
      <c r="S254" s="34"/>
      <c r="T254" s="34"/>
      <c r="U254" s="34"/>
      <c r="V254" s="34"/>
    </row>
    <row r="255" spans="1:22" x14ac:dyDescent="0.3">
      <c r="A255" s="17"/>
      <c r="B255" s="33"/>
      <c r="C255" s="34"/>
      <c r="D255" s="34"/>
      <c r="E255" s="34"/>
      <c r="F255" s="34"/>
      <c r="G255" s="34"/>
      <c r="H255" s="34"/>
      <c r="I255" s="34"/>
      <c r="J255" s="34"/>
      <c r="K255" s="35"/>
      <c r="L255" s="34"/>
      <c r="M255" s="32"/>
      <c r="N255" s="34"/>
      <c r="O255" s="34"/>
      <c r="P255" s="34"/>
      <c r="Q255" s="34"/>
      <c r="R255" s="34"/>
      <c r="S255" s="34"/>
      <c r="T255" s="34"/>
      <c r="U255" s="34"/>
      <c r="V255" s="34"/>
    </row>
    <row r="256" spans="1:22" x14ac:dyDescent="0.3">
      <c r="A256" s="17"/>
      <c r="B256" s="33"/>
      <c r="C256" s="34"/>
      <c r="D256" s="34"/>
      <c r="E256" s="34"/>
      <c r="F256" s="34"/>
      <c r="G256" s="34"/>
      <c r="H256" s="34"/>
      <c r="I256" s="34"/>
      <c r="J256" s="34"/>
      <c r="K256" s="35"/>
      <c r="L256" s="34"/>
      <c r="M256" s="32"/>
      <c r="N256" s="34"/>
      <c r="O256" s="34"/>
      <c r="P256" s="34"/>
      <c r="Q256" s="34"/>
      <c r="R256" s="34"/>
      <c r="S256" s="34"/>
      <c r="T256" s="34"/>
      <c r="U256" s="34"/>
      <c r="V256" s="34"/>
    </row>
    <row r="257" spans="1:22" x14ac:dyDescent="0.3">
      <c r="A257" s="17"/>
      <c r="B257" s="33"/>
      <c r="C257" s="34"/>
      <c r="D257" s="34"/>
      <c r="E257" s="34"/>
      <c r="F257" s="34"/>
      <c r="G257" s="34"/>
      <c r="H257" s="34"/>
      <c r="I257" s="34"/>
      <c r="J257" s="34"/>
      <c r="K257" s="35"/>
      <c r="L257" s="34"/>
      <c r="M257" s="32"/>
      <c r="N257" s="34"/>
      <c r="O257" s="34"/>
      <c r="P257" s="34"/>
      <c r="Q257" s="34"/>
      <c r="R257" s="34"/>
      <c r="S257" s="34"/>
      <c r="T257" s="34"/>
      <c r="U257" s="34"/>
      <c r="V257" s="34"/>
    </row>
    <row r="258" spans="1:22" x14ac:dyDescent="0.3">
      <c r="A258" s="17"/>
      <c r="B258" s="33"/>
      <c r="C258" s="34"/>
      <c r="D258" s="34"/>
      <c r="E258" s="34"/>
      <c r="F258" s="34"/>
      <c r="G258" s="34"/>
      <c r="H258" s="34"/>
      <c r="I258" s="34"/>
      <c r="J258" s="34"/>
      <c r="K258" s="35"/>
      <c r="L258" s="34"/>
      <c r="M258" s="32"/>
      <c r="N258" s="34"/>
      <c r="O258" s="34"/>
      <c r="P258" s="34"/>
      <c r="Q258" s="34"/>
      <c r="R258" s="34"/>
      <c r="S258" s="34"/>
      <c r="T258" s="34"/>
      <c r="U258" s="34"/>
      <c r="V258" s="34"/>
    </row>
    <row r="259" spans="1:22" x14ac:dyDescent="0.3">
      <c r="A259" s="17"/>
      <c r="B259" s="33"/>
      <c r="C259" s="34"/>
      <c r="D259" s="34"/>
      <c r="E259" s="34"/>
      <c r="F259" s="34"/>
      <c r="G259" s="34"/>
      <c r="H259" s="34"/>
      <c r="I259" s="34"/>
      <c r="J259" s="34"/>
      <c r="K259" s="35"/>
      <c r="L259" s="34"/>
      <c r="M259" s="32"/>
      <c r="N259" s="34"/>
      <c r="O259" s="34"/>
      <c r="P259" s="34"/>
      <c r="Q259" s="34"/>
      <c r="R259" s="34"/>
      <c r="S259" s="34"/>
      <c r="T259" s="34"/>
      <c r="U259" s="34"/>
      <c r="V259" s="34"/>
    </row>
    <row r="260" spans="1:22" x14ac:dyDescent="0.3">
      <c r="A260" s="17"/>
      <c r="B260" s="33"/>
      <c r="C260" s="34"/>
      <c r="D260" s="34"/>
      <c r="E260" s="34"/>
      <c r="F260" s="34"/>
      <c r="G260" s="34"/>
      <c r="H260" s="34"/>
      <c r="I260" s="34"/>
      <c r="J260" s="34"/>
      <c r="K260" s="35"/>
      <c r="L260" s="34"/>
      <c r="M260" s="32"/>
      <c r="N260" s="34"/>
      <c r="O260" s="34"/>
      <c r="P260" s="34"/>
      <c r="Q260" s="34"/>
      <c r="R260" s="34"/>
      <c r="S260" s="34"/>
      <c r="T260" s="34"/>
      <c r="U260" s="34"/>
      <c r="V260" s="34"/>
    </row>
    <row r="261" spans="1:22" x14ac:dyDescent="0.3">
      <c r="A261" s="17"/>
      <c r="B261" s="33"/>
      <c r="C261" s="34"/>
      <c r="D261" s="34"/>
      <c r="E261" s="34"/>
      <c r="F261" s="34"/>
      <c r="G261" s="34"/>
      <c r="H261" s="34"/>
      <c r="I261" s="34"/>
      <c r="J261" s="34"/>
      <c r="K261" s="35"/>
      <c r="L261" s="34"/>
      <c r="M261" s="32"/>
      <c r="N261" s="34"/>
      <c r="O261" s="34"/>
      <c r="P261" s="34"/>
      <c r="Q261" s="34"/>
      <c r="R261" s="34"/>
      <c r="S261" s="34"/>
      <c r="T261" s="34"/>
      <c r="U261" s="34"/>
      <c r="V261" s="34"/>
    </row>
    <row r="262" spans="1:22" x14ac:dyDescent="0.3">
      <c r="A262" s="17"/>
      <c r="B262" s="33"/>
      <c r="C262" s="34"/>
      <c r="D262" s="34"/>
      <c r="E262" s="34"/>
      <c r="F262" s="34"/>
      <c r="G262" s="34"/>
      <c r="H262" s="34"/>
      <c r="I262" s="34"/>
      <c r="J262" s="34"/>
      <c r="K262" s="35"/>
      <c r="L262" s="34"/>
      <c r="M262" s="32"/>
      <c r="N262" s="34"/>
      <c r="O262" s="34"/>
      <c r="P262" s="34"/>
      <c r="Q262" s="34"/>
      <c r="R262" s="34"/>
      <c r="S262" s="34"/>
      <c r="T262" s="34"/>
      <c r="U262" s="34"/>
      <c r="V262" s="34"/>
    </row>
    <row r="263" spans="1:22" x14ac:dyDescent="0.3">
      <c r="A263" s="17"/>
      <c r="B263" s="33"/>
      <c r="C263" s="34"/>
      <c r="D263" s="34"/>
      <c r="E263" s="34"/>
      <c r="F263" s="34"/>
      <c r="G263" s="34"/>
      <c r="H263" s="34"/>
      <c r="I263" s="34"/>
      <c r="J263" s="34"/>
      <c r="K263" s="35"/>
      <c r="L263" s="34"/>
      <c r="M263" s="32"/>
      <c r="N263" s="34"/>
      <c r="O263" s="34"/>
      <c r="P263" s="34"/>
      <c r="Q263" s="34"/>
      <c r="R263" s="34"/>
      <c r="S263" s="34"/>
      <c r="T263" s="34"/>
      <c r="U263" s="34"/>
      <c r="V263" s="34"/>
    </row>
    <row r="264" spans="1:22" x14ac:dyDescent="0.3">
      <c r="A264" s="17"/>
      <c r="B264" s="33"/>
      <c r="C264" s="34"/>
      <c r="D264" s="34"/>
      <c r="E264" s="34"/>
      <c r="F264" s="34"/>
      <c r="G264" s="34"/>
      <c r="H264" s="34"/>
      <c r="I264" s="34"/>
      <c r="J264" s="34"/>
      <c r="K264" s="35"/>
      <c r="L264" s="34"/>
      <c r="M264" s="32"/>
      <c r="N264" s="34"/>
      <c r="O264" s="34"/>
      <c r="P264" s="34"/>
      <c r="Q264" s="34"/>
      <c r="R264" s="34"/>
      <c r="S264" s="34"/>
      <c r="T264" s="34"/>
      <c r="U264" s="34"/>
      <c r="V264" s="34"/>
    </row>
    <row r="265" spans="1:22" x14ac:dyDescent="0.3">
      <c r="A265" s="17"/>
      <c r="B265" s="33"/>
      <c r="C265" s="34"/>
      <c r="D265" s="34"/>
      <c r="E265" s="34"/>
      <c r="F265" s="34"/>
      <c r="G265" s="34"/>
      <c r="H265" s="34"/>
      <c r="I265" s="34"/>
      <c r="J265" s="34"/>
      <c r="K265" s="35"/>
      <c r="L265" s="34"/>
      <c r="M265" s="32"/>
      <c r="N265" s="34"/>
      <c r="O265" s="34"/>
      <c r="P265" s="34"/>
      <c r="Q265" s="34"/>
      <c r="R265" s="34"/>
      <c r="S265" s="34"/>
      <c r="T265" s="34"/>
      <c r="U265" s="34"/>
      <c r="V265" s="34"/>
    </row>
    <row r="266" spans="1:22" x14ac:dyDescent="0.3">
      <c r="A266" s="17"/>
      <c r="B266" s="33"/>
      <c r="C266" s="34"/>
      <c r="D266" s="34"/>
      <c r="E266" s="34"/>
      <c r="F266" s="34"/>
      <c r="G266" s="34"/>
      <c r="H266" s="34"/>
      <c r="I266" s="34"/>
      <c r="J266" s="34"/>
      <c r="K266" s="35"/>
      <c r="L266" s="34"/>
      <c r="M266" s="32"/>
      <c r="N266" s="34"/>
      <c r="O266" s="34"/>
      <c r="P266" s="34"/>
      <c r="Q266" s="34"/>
      <c r="R266" s="34"/>
      <c r="S266" s="34"/>
      <c r="T266" s="34"/>
      <c r="U266" s="34"/>
      <c r="V266" s="34"/>
    </row>
    <row r="267" spans="1:22" x14ac:dyDescent="0.3">
      <c r="A267" s="17"/>
      <c r="B267" s="33"/>
      <c r="C267" s="34"/>
      <c r="D267" s="34"/>
      <c r="E267" s="34"/>
      <c r="F267" s="34"/>
      <c r="G267" s="34"/>
      <c r="H267" s="34"/>
      <c r="I267" s="34"/>
      <c r="J267" s="34"/>
      <c r="K267" s="35"/>
      <c r="L267" s="34"/>
      <c r="M267" s="32"/>
      <c r="N267" s="34"/>
      <c r="O267" s="34"/>
      <c r="P267" s="34"/>
      <c r="Q267" s="34"/>
      <c r="R267" s="34"/>
      <c r="S267" s="34"/>
      <c r="T267" s="34"/>
      <c r="U267" s="34"/>
      <c r="V267" s="34"/>
    </row>
    <row r="268" spans="1:22" x14ac:dyDescent="0.3">
      <c r="A268" s="17"/>
      <c r="B268" s="33"/>
      <c r="C268" s="34"/>
      <c r="D268" s="34"/>
      <c r="E268" s="34"/>
      <c r="F268" s="34"/>
      <c r="G268" s="34"/>
      <c r="H268" s="34"/>
      <c r="I268" s="34"/>
      <c r="J268" s="34"/>
      <c r="K268" s="35"/>
      <c r="L268" s="34"/>
      <c r="M268" s="32"/>
      <c r="N268" s="34"/>
      <c r="O268" s="34"/>
      <c r="P268" s="34"/>
      <c r="Q268" s="34"/>
      <c r="R268" s="34"/>
      <c r="S268" s="34"/>
      <c r="T268" s="34"/>
      <c r="U268" s="34"/>
      <c r="V268" s="34"/>
    </row>
    <row r="269" spans="1:22" x14ac:dyDescent="0.3">
      <c r="A269" s="17"/>
      <c r="B269" s="33"/>
      <c r="C269" s="34"/>
      <c r="D269" s="34"/>
      <c r="E269" s="34"/>
      <c r="F269" s="34"/>
      <c r="G269" s="34"/>
      <c r="H269" s="34"/>
      <c r="I269" s="34"/>
      <c r="J269" s="34"/>
      <c r="K269" s="35"/>
      <c r="L269" s="34"/>
      <c r="M269" s="32"/>
      <c r="N269" s="34"/>
      <c r="O269" s="34"/>
      <c r="P269" s="34"/>
      <c r="Q269" s="34"/>
      <c r="R269" s="34"/>
      <c r="S269" s="34"/>
      <c r="T269" s="34"/>
      <c r="U269" s="34"/>
      <c r="V269" s="34"/>
    </row>
    <row r="270" spans="1:22" x14ac:dyDescent="0.3">
      <c r="A270" s="17"/>
      <c r="B270" s="33"/>
      <c r="C270" s="34"/>
      <c r="D270" s="34"/>
      <c r="E270" s="34"/>
      <c r="F270" s="34"/>
      <c r="G270" s="34"/>
      <c r="H270" s="34"/>
      <c r="I270" s="34"/>
      <c r="J270" s="34"/>
      <c r="K270" s="35"/>
      <c r="L270" s="34"/>
      <c r="M270" s="32"/>
      <c r="N270" s="34"/>
      <c r="O270" s="34"/>
      <c r="P270" s="34"/>
      <c r="Q270" s="34"/>
      <c r="R270" s="34"/>
      <c r="S270" s="34"/>
      <c r="T270" s="34"/>
      <c r="U270" s="34"/>
      <c r="V270" s="34"/>
    </row>
    <row r="271" spans="1:22" x14ac:dyDescent="0.3">
      <c r="A271" s="17"/>
      <c r="B271" s="33"/>
      <c r="C271" s="34"/>
      <c r="D271" s="34"/>
      <c r="E271" s="34"/>
      <c r="F271" s="34"/>
      <c r="G271" s="34"/>
      <c r="H271" s="34"/>
      <c r="I271" s="34"/>
      <c r="J271" s="34"/>
      <c r="K271" s="35"/>
      <c r="L271" s="34"/>
      <c r="M271" s="32"/>
      <c r="N271" s="34"/>
      <c r="O271" s="34"/>
      <c r="P271" s="34"/>
      <c r="Q271" s="34"/>
      <c r="R271" s="34"/>
      <c r="S271" s="34"/>
      <c r="T271" s="34"/>
      <c r="U271" s="34"/>
      <c r="V271" s="34"/>
    </row>
    <row r="272" spans="1:22" x14ac:dyDescent="0.3">
      <c r="A272" s="17"/>
      <c r="B272" s="33"/>
      <c r="C272" s="34"/>
      <c r="D272" s="34"/>
      <c r="E272" s="34"/>
      <c r="F272" s="34"/>
      <c r="G272" s="34"/>
      <c r="H272" s="34"/>
      <c r="I272" s="34"/>
      <c r="J272" s="34"/>
      <c r="K272" s="35"/>
      <c r="L272" s="34"/>
      <c r="M272" s="32"/>
      <c r="N272" s="34"/>
      <c r="O272" s="34"/>
      <c r="P272" s="34"/>
      <c r="Q272" s="34"/>
      <c r="R272" s="34"/>
      <c r="S272" s="34"/>
      <c r="T272" s="34"/>
      <c r="U272" s="34"/>
      <c r="V272" s="34"/>
    </row>
    <row r="273" spans="1:22" x14ac:dyDescent="0.3">
      <c r="A273" s="17"/>
      <c r="B273" s="33"/>
      <c r="C273" s="34"/>
      <c r="D273" s="34"/>
      <c r="E273" s="34"/>
      <c r="F273" s="34"/>
      <c r="G273" s="34"/>
      <c r="H273" s="34"/>
      <c r="I273" s="34"/>
      <c r="J273" s="34"/>
      <c r="K273" s="35"/>
      <c r="L273" s="34"/>
      <c r="M273" s="32"/>
      <c r="N273" s="34"/>
      <c r="O273" s="34"/>
      <c r="P273" s="34"/>
      <c r="Q273" s="34"/>
      <c r="R273" s="34"/>
      <c r="S273" s="34"/>
      <c r="T273" s="34"/>
      <c r="U273" s="34"/>
      <c r="V273" s="34"/>
    </row>
    <row r="274" spans="1:22" x14ac:dyDescent="0.3">
      <c r="A274" s="17"/>
      <c r="B274" s="33"/>
      <c r="C274" s="34"/>
      <c r="D274" s="34"/>
      <c r="E274" s="34"/>
      <c r="F274" s="34"/>
      <c r="G274" s="34"/>
      <c r="H274" s="34"/>
      <c r="I274" s="34"/>
      <c r="J274" s="34"/>
      <c r="K274" s="35"/>
      <c r="L274" s="34"/>
      <c r="M274" s="32"/>
      <c r="N274" s="34"/>
      <c r="O274" s="34"/>
      <c r="P274" s="34"/>
      <c r="Q274" s="34"/>
      <c r="R274" s="34"/>
      <c r="S274" s="34"/>
      <c r="T274" s="34"/>
      <c r="U274" s="34"/>
      <c r="V274" s="34"/>
    </row>
    <row r="275" spans="1:22" x14ac:dyDescent="0.3">
      <c r="A275" s="17"/>
      <c r="B275" s="33"/>
      <c r="C275" s="34"/>
      <c r="D275" s="34"/>
      <c r="E275" s="34"/>
      <c r="F275" s="34"/>
      <c r="G275" s="34"/>
      <c r="H275" s="34"/>
      <c r="I275" s="34"/>
      <c r="J275" s="34"/>
      <c r="K275" s="35"/>
      <c r="L275" s="34"/>
      <c r="M275" s="32"/>
      <c r="N275" s="34"/>
      <c r="O275" s="34"/>
      <c r="P275" s="34"/>
      <c r="Q275" s="34"/>
      <c r="R275" s="34"/>
      <c r="S275" s="34"/>
      <c r="T275" s="34"/>
      <c r="U275" s="34"/>
      <c r="V275" s="34"/>
    </row>
    <row r="276" spans="1:22" x14ac:dyDescent="0.3">
      <c r="A276" s="17"/>
      <c r="B276" s="33"/>
      <c r="C276" s="34"/>
      <c r="D276" s="34"/>
      <c r="E276" s="34"/>
      <c r="F276" s="34"/>
      <c r="G276" s="34"/>
      <c r="H276" s="34"/>
      <c r="I276" s="34"/>
      <c r="J276" s="34"/>
      <c r="K276" s="35"/>
      <c r="L276" s="34"/>
      <c r="M276" s="32"/>
      <c r="N276" s="34"/>
      <c r="O276" s="34"/>
      <c r="P276" s="34"/>
      <c r="Q276" s="34"/>
      <c r="R276" s="34"/>
      <c r="S276" s="34"/>
      <c r="T276" s="34"/>
      <c r="U276" s="34"/>
      <c r="V276" s="34"/>
    </row>
    <row r="277" spans="1:22" x14ac:dyDescent="0.3">
      <c r="A277" s="17"/>
      <c r="B277" s="33"/>
      <c r="C277" s="34"/>
      <c r="D277" s="34"/>
      <c r="E277" s="34"/>
      <c r="F277" s="34"/>
      <c r="G277" s="34"/>
      <c r="H277" s="34"/>
      <c r="I277" s="34"/>
      <c r="J277" s="34"/>
      <c r="K277" s="35"/>
      <c r="L277" s="34"/>
      <c r="M277" s="32"/>
      <c r="N277" s="34"/>
      <c r="O277" s="34"/>
      <c r="P277" s="34"/>
      <c r="Q277" s="34"/>
      <c r="R277" s="34"/>
      <c r="S277" s="34"/>
      <c r="T277" s="34"/>
      <c r="U277" s="34"/>
      <c r="V277" s="34"/>
    </row>
    <row r="278" spans="1:22" x14ac:dyDescent="0.3">
      <c r="A278" s="17"/>
      <c r="B278" s="33"/>
      <c r="C278" s="34"/>
      <c r="D278" s="34"/>
      <c r="E278" s="34"/>
      <c r="F278" s="34"/>
      <c r="G278" s="34"/>
      <c r="H278" s="34"/>
      <c r="I278" s="34"/>
      <c r="J278" s="34"/>
      <c r="K278" s="35"/>
      <c r="L278" s="34"/>
      <c r="M278" s="32"/>
      <c r="N278" s="34"/>
      <c r="O278" s="34"/>
      <c r="P278" s="34"/>
      <c r="Q278" s="34"/>
      <c r="R278" s="34"/>
      <c r="S278" s="34"/>
      <c r="T278" s="34"/>
      <c r="U278" s="34"/>
      <c r="V278" s="34"/>
    </row>
    <row r="279" spans="1:22" x14ac:dyDescent="0.3">
      <c r="A279" s="17"/>
      <c r="B279" s="33"/>
      <c r="C279" s="34"/>
      <c r="D279" s="34"/>
      <c r="E279" s="34"/>
      <c r="F279" s="34"/>
      <c r="G279" s="34"/>
      <c r="H279" s="34"/>
      <c r="I279" s="34"/>
      <c r="J279" s="34"/>
      <c r="K279" s="35"/>
      <c r="L279" s="34"/>
      <c r="M279" s="32"/>
      <c r="N279" s="34"/>
      <c r="O279" s="34"/>
      <c r="P279" s="34"/>
      <c r="Q279" s="34"/>
      <c r="R279" s="34"/>
      <c r="S279" s="34"/>
      <c r="T279" s="34"/>
      <c r="U279" s="34"/>
      <c r="V279" s="34"/>
    </row>
    <row r="280" spans="1:22" x14ac:dyDescent="0.3">
      <c r="A280" s="17"/>
      <c r="B280" s="33"/>
      <c r="C280" s="34"/>
      <c r="D280" s="34"/>
      <c r="E280" s="34"/>
      <c r="F280" s="34"/>
      <c r="G280" s="34"/>
      <c r="H280" s="34"/>
      <c r="I280" s="34"/>
      <c r="J280" s="34"/>
      <c r="K280" s="35"/>
      <c r="L280" s="34"/>
      <c r="M280" s="32"/>
      <c r="N280" s="34"/>
      <c r="O280" s="34"/>
      <c r="P280" s="34"/>
      <c r="Q280" s="34"/>
      <c r="R280" s="34"/>
      <c r="S280" s="34"/>
      <c r="T280" s="34"/>
      <c r="U280" s="34"/>
      <c r="V280" s="34"/>
    </row>
    <row r="281" spans="1:22" x14ac:dyDescent="0.3">
      <c r="A281" s="17"/>
      <c r="B281" s="33"/>
      <c r="C281" s="34"/>
      <c r="D281" s="34"/>
      <c r="E281" s="34"/>
      <c r="F281" s="34"/>
      <c r="G281" s="34"/>
      <c r="H281" s="34"/>
      <c r="I281" s="34"/>
      <c r="J281" s="34"/>
      <c r="K281" s="35"/>
      <c r="L281" s="34"/>
      <c r="M281" s="32"/>
      <c r="N281" s="34"/>
      <c r="O281" s="34"/>
      <c r="P281" s="34"/>
      <c r="Q281" s="34"/>
      <c r="R281" s="34"/>
      <c r="S281" s="34"/>
      <c r="T281" s="34"/>
      <c r="U281" s="34"/>
      <c r="V281" s="34"/>
    </row>
    <row r="282" spans="1:22" x14ac:dyDescent="0.3">
      <c r="A282" s="17"/>
      <c r="B282" s="33"/>
      <c r="C282" s="34"/>
      <c r="D282" s="34"/>
      <c r="E282" s="34"/>
      <c r="F282" s="34"/>
      <c r="G282" s="34"/>
      <c r="H282" s="34"/>
      <c r="I282" s="34"/>
      <c r="J282" s="34"/>
      <c r="K282" s="35"/>
      <c r="L282" s="34"/>
      <c r="M282" s="32"/>
      <c r="N282" s="34"/>
      <c r="O282" s="34"/>
      <c r="P282" s="34"/>
      <c r="Q282" s="34"/>
      <c r="R282" s="34"/>
      <c r="S282" s="34"/>
      <c r="T282" s="34"/>
      <c r="U282" s="34"/>
      <c r="V282" s="34"/>
    </row>
    <row r="283" spans="1:22" x14ac:dyDescent="0.3">
      <c r="A283" s="17"/>
      <c r="B283" s="33"/>
      <c r="C283" s="34"/>
      <c r="D283" s="34"/>
      <c r="E283" s="34"/>
      <c r="F283" s="34"/>
      <c r="G283" s="34"/>
      <c r="H283" s="34"/>
      <c r="I283" s="34"/>
      <c r="J283" s="34"/>
      <c r="K283" s="35"/>
      <c r="L283" s="34"/>
      <c r="M283" s="32"/>
      <c r="N283" s="34"/>
      <c r="O283" s="34"/>
      <c r="P283" s="34"/>
      <c r="Q283" s="34"/>
      <c r="R283" s="34"/>
      <c r="S283" s="34"/>
      <c r="T283" s="34"/>
      <c r="U283" s="34"/>
      <c r="V283" s="34"/>
    </row>
    <row r="284" spans="1:22" x14ac:dyDescent="0.3">
      <c r="A284" s="17"/>
      <c r="B284" s="33"/>
      <c r="C284" s="34"/>
      <c r="D284" s="34"/>
      <c r="E284" s="34"/>
      <c r="F284" s="34"/>
      <c r="G284" s="34"/>
      <c r="H284" s="34"/>
      <c r="I284" s="34"/>
      <c r="J284" s="34"/>
      <c r="K284" s="35"/>
      <c r="L284" s="34"/>
      <c r="M284" s="32"/>
      <c r="N284" s="34"/>
      <c r="O284" s="34"/>
      <c r="P284" s="34"/>
      <c r="Q284" s="34"/>
      <c r="R284" s="34"/>
      <c r="S284" s="34"/>
      <c r="T284" s="34"/>
      <c r="U284" s="34"/>
      <c r="V284" s="34"/>
    </row>
    <row r="285" spans="1:22" x14ac:dyDescent="0.3">
      <c r="A285" s="17"/>
      <c r="B285" s="33"/>
      <c r="C285" s="34"/>
      <c r="D285" s="34"/>
      <c r="E285" s="34"/>
      <c r="F285" s="34"/>
      <c r="G285" s="34"/>
      <c r="H285" s="34"/>
      <c r="I285" s="34"/>
      <c r="J285" s="34"/>
      <c r="K285" s="35"/>
      <c r="L285" s="34"/>
      <c r="M285" s="32"/>
      <c r="N285" s="34"/>
      <c r="O285" s="34"/>
      <c r="P285" s="34"/>
      <c r="Q285" s="34"/>
      <c r="R285" s="34"/>
      <c r="S285" s="34"/>
      <c r="T285" s="34"/>
      <c r="U285" s="34"/>
      <c r="V285" s="34"/>
    </row>
    <row r="286" spans="1:22" x14ac:dyDescent="0.3">
      <c r="A286" s="17"/>
      <c r="B286" s="33"/>
      <c r="C286" s="34"/>
      <c r="D286" s="34"/>
      <c r="E286" s="34"/>
      <c r="F286" s="34"/>
      <c r="G286" s="34"/>
      <c r="H286" s="34"/>
      <c r="I286" s="34"/>
      <c r="J286" s="34"/>
      <c r="K286" s="35"/>
      <c r="L286" s="34"/>
      <c r="M286" s="32"/>
      <c r="N286" s="34"/>
      <c r="O286" s="34"/>
      <c r="P286" s="34"/>
      <c r="Q286" s="34"/>
      <c r="R286" s="34"/>
      <c r="S286" s="34"/>
      <c r="T286" s="34"/>
      <c r="U286" s="34"/>
      <c r="V286" s="34"/>
    </row>
    <row r="287" spans="1:22" x14ac:dyDescent="0.3">
      <c r="A287" s="17"/>
      <c r="B287" s="33"/>
      <c r="C287" s="34"/>
      <c r="D287" s="34"/>
      <c r="E287" s="34"/>
      <c r="F287" s="34"/>
      <c r="G287" s="34"/>
      <c r="H287" s="34"/>
      <c r="I287" s="34"/>
      <c r="J287" s="34"/>
      <c r="K287" s="35"/>
      <c r="L287" s="34"/>
      <c r="M287" s="32"/>
      <c r="N287" s="34"/>
      <c r="O287" s="34"/>
      <c r="P287" s="34"/>
      <c r="Q287" s="34"/>
      <c r="R287" s="34"/>
      <c r="S287" s="34"/>
      <c r="T287" s="34"/>
      <c r="U287" s="34"/>
      <c r="V287" s="34"/>
    </row>
    <row r="288" spans="1:22" x14ac:dyDescent="0.3">
      <c r="A288" s="17"/>
      <c r="B288" s="33"/>
      <c r="C288" s="34"/>
      <c r="D288" s="34"/>
      <c r="E288" s="34"/>
      <c r="F288" s="34"/>
      <c r="G288" s="34"/>
      <c r="H288" s="34"/>
      <c r="I288" s="34"/>
      <c r="J288" s="34"/>
      <c r="K288" s="35"/>
      <c r="L288" s="34"/>
      <c r="M288" s="32"/>
      <c r="N288" s="34"/>
      <c r="O288" s="34"/>
      <c r="P288" s="34"/>
      <c r="Q288" s="34"/>
      <c r="R288" s="34"/>
      <c r="S288" s="34"/>
      <c r="T288" s="34"/>
      <c r="U288" s="34"/>
      <c r="V288" s="34"/>
    </row>
    <row r="289" spans="1:22" x14ac:dyDescent="0.3">
      <c r="A289" s="17"/>
      <c r="B289" s="33"/>
      <c r="C289" s="34"/>
      <c r="D289" s="34"/>
      <c r="E289" s="34"/>
      <c r="F289" s="34"/>
      <c r="G289" s="34"/>
      <c r="H289" s="34"/>
      <c r="I289" s="34"/>
      <c r="J289" s="34"/>
      <c r="K289" s="35"/>
      <c r="L289" s="34"/>
      <c r="M289" s="32"/>
      <c r="N289" s="34"/>
      <c r="O289" s="34"/>
      <c r="P289" s="34"/>
      <c r="Q289" s="34"/>
      <c r="R289" s="34"/>
      <c r="S289" s="34"/>
      <c r="T289" s="34"/>
      <c r="U289" s="34"/>
      <c r="V289" s="34"/>
    </row>
    <row r="290" spans="1:22" x14ac:dyDescent="0.3">
      <c r="A290" s="17"/>
      <c r="B290" s="33"/>
      <c r="C290" s="34"/>
      <c r="D290" s="34"/>
      <c r="E290" s="34"/>
      <c r="F290" s="34"/>
      <c r="G290" s="34"/>
      <c r="H290" s="34"/>
      <c r="I290" s="34"/>
      <c r="J290" s="34"/>
      <c r="K290" s="35"/>
      <c r="L290" s="34"/>
      <c r="M290" s="32"/>
      <c r="N290" s="34"/>
      <c r="O290" s="34"/>
      <c r="P290" s="34"/>
      <c r="Q290" s="34"/>
      <c r="R290" s="34"/>
      <c r="S290" s="34"/>
      <c r="T290" s="34"/>
      <c r="U290" s="34"/>
      <c r="V290" s="34"/>
    </row>
    <row r="291" spans="1:22" x14ac:dyDescent="0.3">
      <c r="A291" s="17"/>
      <c r="B291" s="33"/>
      <c r="C291" s="34"/>
      <c r="D291" s="34"/>
      <c r="E291" s="34"/>
      <c r="F291" s="34"/>
      <c r="G291" s="34"/>
      <c r="H291" s="34"/>
      <c r="I291" s="34"/>
      <c r="J291" s="34"/>
      <c r="K291" s="35"/>
      <c r="L291" s="34"/>
      <c r="M291" s="32"/>
      <c r="N291" s="34"/>
      <c r="O291" s="34"/>
      <c r="P291" s="34"/>
      <c r="Q291" s="34"/>
      <c r="R291" s="34"/>
      <c r="S291" s="34"/>
      <c r="T291" s="34"/>
      <c r="U291" s="34"/>
      <c r="V291" s="34"/>
    </row>
    <row r="292" spans="1:22" x14ac:dyDescent="0.3">
      <c r="A292" s="17"/>
      <c r="B292" s="33"/>
      <c r="C292" s="34"/>
      <c r="D292" s="34"/>
      <c r="E292" s="34"/>
      <c r="F292" s="34"/>
      <c r="G292" s="34"/>
      <c r="H292" s="34"/>
      <c r="I292" s="34"/>
      <c r="J292" s="34"/>
      <c r="K292" s="35"/>
      <c r="L292" s="34"/>
      <c r="M292" s="32"/>
      <c r="N292" s="34"/>
      <c r="O292" s="34"/>
      <c r="P292" s="34"/>
      <c r="Q292" s="34"/>
      <c r="R292" s="34"/>
      <c r="S292" s="34"/>
      <c r="T292" s="34"/>
      <c r="U292" s="34"/>
      <c r="V292" s="34"/>
    </row>
    <row r="293" spans="1:22" x14ac:dyDescent="0.3">
      <c r="A293" s="17"/>
      <c r="B293" s="33"/>
      <c r="C293" s="34"/>
      <c r="D293" s="34"/>
      <c r="E293" s="34"/>
      <c r="F293" s="34"/>
      <c r="G293" s="34"/>
      <c r="H293" s="34"/>
      <c r="I293" s="34"/>
      <c r="J293" s="34"/>
      <c r="K293" s="35"/>
      <c r="L293" s="34"/>
      <c r="M293" s="32"/>
      <c r="N293" s="34"/>
      <c r="O293" s="34"/>
      <c r="P293" s="34"/>
      <c r="Q293" s="34"/>
      <c r="R293" s="34"/>
      <c r="S293" s="34"/>
      <c r="T293" s="34"/>
      <c r="U293" s="34"/>
      <c r="V293" s="34"/>
    </row>
    <row r="294" spans="1:22" x14ac:dyDescent="0.3">
      <c r="A294" s="17"/>
      <c r="B294" s="33"/>
      <c r="C294" s="34"/>
      <c r="D294" s="34"/>
      <c r="E294" s="34"/>
      <c r="F294" s="34"/>
      <c r="G294" s="34"/>
      <c r="H294" s="34"/>
      <c r="I294" s="34"/>
      <c r="J294" s="34"/>
      <c r="K294" s="35"/>
      <c r="L294" s="34"/>
      <c r="M294" s="32"/>
      <c r="N294" s="34"/>
      <c r="O294" s="34"/>
      <c r="P294" s="34"/>
      <c r="Q294" s="34"/>
      <c r="R294" s="34"/>
      <c r="S294" s="34"/>
      <c r="T294" s="34"/>
      <c r="U294" s="34"/>
      <c r="V294" s="34"/>
    </row>
    <row r="295" spans="1:22" x14ac:dyDescent="0.3">
      <c r="A295" s="17"/>
      <c r="B295" s="33"/>
      <c r="C295" s="34"/>
      <c r="D295" s="34"/>
      <c r="E295" s="34"/>
      <c r="F295" s="34"/>
      <c r="G295" s="34"/>
      <c r="H295" s="34"/>
      <c r="I295" s="34"/>
      <c r="J295" s="34"/>
      <c r="K295" s="35"/>
      <c r="L295" s="34"/>
      <c r="M295" s="32"/>
      <c r="N295" s="34"/>
      <c r="O295" s="34"/>
      <c r="P295" s="34"/>
      <c r="Q295" s="34"/>
      <c r="R295" s="34"/>
      <c r="S295" s="34"/>
      <c r="T295" s="34"/>
      <c r="U295" s="34"/>
      <c r="V295" s="34"/>
    </row>
    <row r="296" spans="1:22" x14ac:dyDescent="0.3">
      <c r="A296" s="17"/>
      <c r="B296" s="33"/>
      <c r="C296" s="34"/>
      <c r="D296" s="34"/>
      <c r="E296" s="34"/>
      <c r="F296" s="34"/>
      <c r="G296" s="34"/>
      <c r="H296" s="34"/>
      <c r="I296" s="34"/>
      <c r="J296" s="34"/>
      <c r="K296" s="35"/>
      <c r="L296" s="34"/>
      <c r="M296" s="32"/>
      <c r="N296" s="34"/>
      <c r="O296" s="34"/>
      <c r="P296" s="34"/>
      <c r="Q296" s="34"/>
      <c r="R296" s="34"/>
      <c r="S296" s="34"/>
      <c r="T296" s="34"/>
      <c r="U296" s="34"/>
      <c r="V296" s="34"/>
    </row>
    <row r="297" spans="1:22" x14ac:dyDescent="0.3">
      <c r="A297" s="17"/>
      <c r="B297" s="33"/>
      <c r="C297" s="34"/>
      <c r="D297" s="34"/>
      <c r="E297" s="34"/>
      <c r="F297" s="34"/>
      <c r="G297" s="34"/>
      <c r="H297" s="34"/>
      <c r="I297" s="34"/>
      <c r="J297" s="34"/>
      <c r="K297" s="35"/>
      <c r="L297" s="34"/>
      <c r="M297" s="32"/>
      <c r="N297" s="34"/>
      <c r="O297" s="34"/>
      <c r="P297" s="34"/>
      <c r="Q297" s="34"/>
      <c r="R297" s="34"/>
      <c r="S297" s="34"/>
      <c r="T297" s="34"/>
      <c r="U297" s="34"/>
      <c r="V297" s="34"/>
    </row>
    <row r="298" spans="1:22" x14ac:dyDescent="0.3">
      <c r="A298" s="17"/>
      <c r="B298" s="33"/>
      <c r="C298" s="34"/>
      <c r="D298" s="34"/>
      <c r="E298" s="34"/>
      <c r="F298" s="34"/>
      <c r="G298" s="34"/>
      <c r="H298" s="34"/>
      <c r="I298" s="34"/>
      <c r="J298" s="34"/>
      <c r="K298" s="35"/>
      <c r="L298" s="34"/>
      <c r="M298" s="32"/>
      <c r="N298" s="34"/>
      <c r="O298" s="34"/>
      <c r="P298" s="34"/>
      <c r="Q298" s="34"/>
      <c r="R298" s="34"/>
      <c r="S298" s="34"/>
      <c r="T298" s="34"/>
      <c r="U298" s="34"/>
      <c r="V298" s="34"/>
    </row>
    <row r="299" spans="1:22" x14ac:dyDescent="0.3">
      <c r="A299" s="17"/>
      <c r="B299" s="33"/>
      <c r="C299" s="34"/>
      <c r="D299" s="34"/>
      <c r="E299" s="34"/>
      <c r="F299" s="34"/>
      <c r="G299" s="34"/>
      <c r="H299" s="34"/>
      <c r="I299" s="34"/>
      <c r="J299" s="34"/>
      <c r="K299" s="35"/>
      <c r="L299" s="34"/>
      <c r="M299" s="32"/>
      <c r="N299" s="34"/>
      <c r="O299" s="34"/>
      <c r="P299" s="34"/>
      <c r="Q299" s="34"/>
      <c r="R299" s="34"/>
      <c r="S299" s="34"/>
      <c r="T299" s="34"/>
      <c r="U299" s="34"/>
      <c r="V299" s="34"/>
    </row>
    <row r="300" spans="1:22" x14ac:dyDescent="0.3">
      <c r="A300" s="17"/>
      <c r="B300" s="33"/>
      <c r="C300" s="34"/>
      <c r="D300" s="34"/>
      <c r="E300" s="34"/>
      <c r="F300" s="34"/>
      <c r="G300" s="34"/>
      <c r="H300" s="34"/>
      <c r="I300" s="34"/>
      <c r="J300" s="34"/>
      <c r="K300" s="35"/>
      <c r="L300" s="34"/>
      <c r="M300" s="32"/>
      <c r="N300" s="34"/>
      <c r="O300" s="34"/>
      <c r="P300" s="34"/>
      <c r="Q300" s="34"/>
      <c r="R300" s="34"/>
      <c r="S300" s="34"/>
      <c r="T300" s="34"/>
      <c r="U300" s="34"/>
      <c r="V300" s="34"/>
    </row>
    <row r="301" spans="1:22" x14ac:dyDescent="0.3">
      <c r="A301" s="17"/>
      <c r="B301" s="33"/>
      <c r="C301" s="34"/>
      <c r="D301" s="34"/>
      <c r="E301" s="34"/>
      <c r="F301" s="34"/>
      <c r="G301" s="34"/>
      <c r="H301" s="34"/>
      <c r="I301" s="34"/>
      <c r="J301" s="34"/>
      <c r="K301" s="35"/>
      <c r="L301" s="34"/>
      <c r="M301" s="32"/>
      <c r="N301" s="34"/>
      <c r="O301" s="34"/>
      <c r="P301" s="34"/>
      <c r="Q301" s="34"/>
      <c r="R301" s="34"/>
      <c r="S301" s="34"/>
      <c r="T301" s="34"/>
      <c r="U301" s="34"/>
      <c r="V301" s="34"/>
    </row>
    <row r="302" spans="1:22" x14ac:dyDescent="0.3">
      <c r="A302" s="17"/>
      <c r="B302" s="33"/>
      <c r="C302" s="34"/>
      <c r="D302" s="34"/>
      <c r="E302" s="34"/>
      <c r="F302" s="34"/>
      <c r="G302" s="34"/>
      <c r="H302" s="34"/>
      <c r="I302" s="34"/>
      <c r="J302" s="34"/>
      <c r="K302" s="35"/>
      <c r="L302" s="34"/>
      <c r="M302" s="32"/>
      <c r="N302" s="34"/>
      <c r="O302" s="34"/>
      <c r="P302" s="34"/>
      <c r="Q302" s="34"/>
      <c r="R302" s="34"/>
      <c r="S302" s="34"/>
      <c r="T302" s="34"/>
      <c r="U302" s="34"/>
      <c r="V302" s="34"/>
    </row>
    <row r="303" spans="1:22" x14ac:dyDescent="0.3">
      <c r="A303" s="17"/>
      <c r="B303" s="33"/>
      <c r="C303" s="34"/>
      <c r="D303" s="34"/>
      <c r="E303" s="34"/>
      <c r="F303" s="34"/>
      <c r="G303" s="34"/>
      <c r="H303" s="34"/>
      <c r="I303" s="34"/>
      <c r="J303" s="34"/>
      <c r="K303" s="35"/>
      <c r="L303" s="34"/>
      <c r="M303" s="32"/>
      <c r="N303" s="34"/>
      <c r="O303" s="34"/>
      <c r="P303" s="34"/>
      <c r="Q303" s="34"/>
      <c r="R303" s="34"/>
      <c r="S303" s="34"/>
      <c r="T303" s="34"/>
      <c r="U303" s="34"/>
      <c r="V303" s="34"/>
    </row>
    <row r="304" spans="1:22" x14ac:dyDescent="0.3">
      <c r="A304" s="17"/>
      <c r="B304" s="33"/>
      <c r="C304" s="34"/>
      <c r="D304" s="34"/>
      <c r="E304" s="34"/>
      <c r="F304" s="34"/>
      <c r="G304" s="34"/>
      <c r="H304" s="34"/>
      <c r="I304" s="34"/>
      <c r="J304" s="34"/>
      <c r="K304" s="35"/>
      <c r="L304" s="34"/>
      <c r="M304" s="32"/>
      <c r="N304" s="34"/>
      <c r="O304" s="34"/>
      <c r="P304" s="34"/>
      <c r="Q304" s="34"/>
      <c r="R304" s="34"/>
      <c r="S304" s="34"/>
      <c r="T304" s="34"/>
      <c r="U304" s="34"/>
      <c r="V304" s="34"/>
    </row>
    <row r="305" spans="1:22" x14ac:dyDescent="0.3">
      <c r="A305" s="17"/>
      <c r="B305" s="33"/>
      <c r="C305" s="34"/>
      <c r="D305" s="34"/>
      <c r="E305" s="34"/>
      <c r="F305" s="34"/>
      <c r="G305" s="34"/>
      <c r="H305" s="34"/>
      <c r="I305" s="34"/>
      <c r="J305" s="34"/>
      <c r="K305" s="35"/>
      <c r="L305" s="34"/>
      <c r="M305" s="32"/>
      <c r="N305" s="34"/>
      <c r="O305" s="34"/>
      <c r="P305" s="34"/>
      <c r="Q305" s="34"/>
      <c r="R305" s="34"/>
      <c r="S305" s="34"/>
      <c r="T305" s="34"/>
      <c r="U305" s="34"/>
      <c r="V305" s="34"/>
    </row>
    <row r="306" spans="1:22" x14ac:dyDescent="0.3">
      <c r="A306" s="17"/>
      <c r="B306" s="33"/>
      <c r="C306" s="34"/>
      <c r="D306" s="34"/>
      <c r="E306" s="34"/>
      <c r="F306" s="34"/>
      <c r="G306" s="34"/>
      <c r="H306" s="34"/>
      <c r="I306" s="34"/>
      <c r="J306" s="34"/>
      <c r="K306" s="35"/>
      <c r="L306" s="34"/>
      <c r="M306" s="32"/>
      <c r="N306" s="34"/>
      <c r="O306" s="34"/>
      <c r="P306" s="34"/>
      <c r="Q306" s="34"/>
      <c r="R306" s="34"/>
      <c r="S306" s="34"/>
      <c r="T306" s="34"/>
      <c r="U306" s="34"/>
      <c r="V306" s="34"/>
    </row>
    <row r="307" spans="1:22" x14ac:dyDescent="0.3">
      <c r="A307" s="17"/>
      <c r="B307" s="33"/>
      <c r="C307" s="34"/>
      <c r="D307" s="34"/>
      <c r="E307" s="34"/>
      <c r="F307" s="34"/>
      <c r="G307" s="34"/>
      <c r="H307" s="34"/>
      <c r="I307" s="34"/>
      <c r="J307" s="34"/>
      <c r="K307" s="35"/>
      <c r="L307" s="34"/>
      <c r="M307" s="32"/>
      <c r="N307" s="34"/>
      <c r="O307" s="34"/>
      <c r="P307" s="34"/>
      <c r="Q307" s="34"/>
      <c r="R307" s="34"/>
      <c r="S307" s="34"/>
      <c r="T307" s="34"/>
      <c r="U307" s="34"/>
      <c r="V307" s="34"/>
    </row>
    <row r="308" spans="1:22" x14ac:dyDescent="0.3">
      <c r="A308" s="17"/>
      <c r="B308" s="33"/>
      <c r="C308" s="34"/>
      <c r="D308" s="34"/>
      <c r="E308" s="34"/>
      <c r="F308" s="34"/>
      <c r="G308" s="34"/>
      <c r="H308" s="34"/>
      <c r="I308" s="34"/>
      <c r="J308" s="34"/>
      <c r="K308" s="35"/>
      <c r="L308" s="34"/>
      <c r="M308" s="32"/>
      <c r="N308" s="34"/>
      <c r="O308" s="34"/>
      <c r="P308" s="34"/>
      <c r="Q308" s="34"/>
      <c r="R308" s="34"/>
      <c r="S308" s="34"/>
      <c r="T308" s="34"/>
      <c r="U308" s="34"/>
      <c r="V308" s="34"/>
    </row>
    <row r="309" spans="1:22" x14ac:dyDescent="0.3">
      <c r="A309" s="17"/>
      <c r="B309" s="33"/>
      <c r="C309" s="34"/>
      <c r="D309" s="34"/>
      <c r="E309" s="34"/>
      <c r="F309" s="34"/>
      <c r="G309" s="34"/>
      <c r="H309" s="34"/>
      <c r="I309" s="34"/>
      <c r="J309" s="34"/>
      <c r="K309" s="35"/>
      <c r="L309" s="34"/>
      <c r="M309" s="32"/>
      <c r="N309" s="34"/>
      <c r="O309" s="34"/>
      <c r="P309" s="34"/>
      <c r="Q309" s="34"/>
      <c r="R309" s="34"/>
      <c r="S309" s="34"/>
      <c r="T309" s="34"/>
      <c r="U309" s="34"/>
      <c r="V309" s="34"/>
    </row>
    <row r="310" spans="1:22" x14ac:dyDescent="0.3">
      <c r="A310" s="17"/>
      <c r="B310" s="33"/>
      <c r="C310" s="34"/>
      <c r="D310" s="34"/>
      <c r="E310" s="34"/>
      <c r="F310" s="34"/>
      <c r="G310" s="34"/>
      <c r="H310" s="34"/>
      <c r="I310" s="34"/>
      <c r="J310" s="34"/>
      <c r="K310" s="35"/>
      <c r="L310" s="34"/>
      <c r="M310" s="32"/>
      <c r="N310" s="34"/>
      <c r="O310" s="34"/>
      <c r="P310" s="34"/>
      <c r="Q310" s="34"/>
      <c r="R310" s="34"/>
      <c r="S310" s="34"/>
      <c r="T310" s="34"/>
      <c r="U310" s="34"/>
      <c r="V310" s="34"/>
    </row>
    <row r="311" spans="1:22" x14ac:dyDescent="0.3">
      <c r="A311" s="17"/>
      <c r="B311" s="33"/>
      <c r="C311" s="34"/>
      <c r="D311" s="34"/>
      <c r="E311" s="34"/>
      <c r="F311" s="34"/>
      <c r="G311" s="34"/>
      <c r="H311" s="34"/>
      <c r="I311" s="34"/>
      <c r="J311" s="34"/>
      <c r="K311" s="35"/>
      <c r="L311" s="34"/>
      <c r="M311" s="32"/>
      <c r="N311" s="34"/>
      <c r="O311" s="34"/>
      <c r="P311" s="34"/>
      <c r="Q311" s="34"/>
      <c r="R311" s="34"/>
      <c r="S311" s="34"/>
      <c r="T311" s="34"/>
      <c r="U311" s="34"/>
      <c r="V311" s="34"/>
    </row>
    <row r="312" spans="1:22" x14ac:dyDescent="0.3">
      <c r="A312" s="17"/>
      <c r="B312" s="33"/>
      <c r="C312" s="34"/>
      <c r="D312" s="34"/>
      <c r="E312" s="34"/>
      <c r="F312" s="34"/>
      <c r="G312" s="34"/>
      <c r="H312" s="34"/>
      <c r="I312" s="34"/>
      <c r="J312" s="34"/>
      <c r="K312" s="35"/>
      <c r="L312" s="34"/>
      <c r="M312" s="32"/>
      <c r="N312" s="34"/>
      <c r="O312" s="34"/>
      <c r="P312" s="34"/>
      <c r="Q312" s="34"/>
      <c r="R312" s="34"/>
      <c r="S312" s="34"/>
      <c r="T312" s="34"/>
      <c r="U312" s="34"/>
      <c r="V312" s="34"/>
    </row>
    <row r="313" spans="1:22" x14ac:dyDescent="0.3">
      <c r="A313" s="17"/>
      <c r="B313" s="33"/>
      <c r="C313" s="34"/>
      <c r="D313" s="34"/>
      <c r="E313" s="34"/>
      <c r="F313" s="34"/>
      <c r="G313" s="34"/>
      <c r="H313" s="34"/>
      <c r="I313" s="34"/>
      <c r="J313" s="34"/>
      <c r="K313" s="35"/>
      <c r="L313" s="34"/>
      <c r="M313" s="32"/>
      <c r="N313" s="34"/>
      <c r="O313" s="34"/>
      <c r="P313" s="34"/>
      <c r="Q313" s="34"/>
      <c r="R313" s="34"/>
      <c r="S313" s="34"/>
      <c r="T313" s="34"/>
      <c r="U313" s="34"/>
      <c r="V313" s="34"/>
    </row>
    <row r="314" spans="1:22" x14ac:dyDescent="0.3">
      <c r="A314" s="17"/>
      <c r="B314" s="33"/>
      <c r="C314" s="34"/>
      <c r="D314" s="34"/>
      <c r="E314" s="34"/>
      <c r="F314" s="34"/>
      <c r="G314" s="34"/>
      <c r="H314" s="34"/>
      <c r="I314" s="34"/>
      <c r="J314" s="34"/>
      <c r="K314" s="35"/>
      <c r="L314" s="34"/>
      <c r="M314" s="32"/>
      <c r="N314" s="34"/>
      <c r="O314" s="34"/>
      <c r="P314" s="34"/>
      <c r="Q314" s="34"/>
      <c r="R314" s="34"/>
      <c r="S314" s="34"/>
      <c r="T314" s="34"/>
      <c r="U314" s="34"/>
      <c r="V314" s="34"/>
    </row>
    <row r="315" spans="1:22" x14ac:dyDescent="0.3">
      <c r="A315" s="17"/>
      <c r="B315" s="33"/>
      <c r="C315" s="34"/>
      <c r="D315" s="34"/>
      <c r="E315" s="34"/>
      <c r="F315" s="34"/>
      <c r="G315" s="34"/>
      <c r="H315" s="34"/>
      <c r="I315" s="34"/>
      <c r="J315" s="34"/>
      <c r="K315" s="35"/>
      <c r="L315" s="34"/>
      <c r="M315" s="32"/>
      <c r="N315" s="34"/>
      <c r="O315" s="34"/>
      <c r="P315" s="34"/>
      <c r="Q315" s="34"/>
      <c r="R315" s="34"/>
      <c r="S315" s="34"/>
      <c r="T315" s="34"/>
      <c r="U315" s="34"/>
      <c r="V315" s="34"/>
    </row>
    <row r="316" spans="1:22" x14ac:dyDescent="0.3">
      <c r="A316" s="17"/>
      <c r="B316" s="33"/>
      <c r="C316" s="34"/>
      <c r="D316" s="34"/>
      <c r="E316" s="34"/>
      <c r="F316" s="34"/>
      <c r="G316" s="34"/>
      <c r="H316" s="34"/>
      <c r="I316" s="34"/>
      <c r="J316" s="34"/>
      <c r="K316" s="35"/>
      <c r="L316" s="34"/>
      <c r="M316" s="32"/>
      <c r="N316" s="34"/>
      <c r="O316" s="34"/>
      <c r="P316" s="34"/>
      <c r="Q316" s="34"/>
      <c r="R316" s="34"/>
      <c r="S316" s="34"/>
      <c r="T316" s="34"/>
      <c r="U316" s="34"/>
      <c r="V316" s="34"/>
    </row>
    <row r="317" spans="1:22" x14ac:dyDescent="0.3">
      <c r="A317" s="17"/>
      <c r="B317" s="33"/>
      <c r="C317" s="34"/>
      <c r="D317" s="34"/>
      <c r="E317" s="34"/>
      <c r="F317" s="34"/>
      <c r="G317" s="34"/>
      <c r="H317" s="34"/>
      <c r="I317" s="34"/>
      <c r="J317" s="34"/>
      <c r="K317" s="35"/>
      <c r="L317" s="34"/>
      <c r="M317" s="32"/>
      <c r="N317" s="34"/>
      <c r="O317" s="34"/>
      <c r="P317" s="34"/>
      <c r="Q317" s="34"/>
      <c r="R317" s="34"/>
      <c r="S317" s="34"/>
      <c r="T317" s="34"/>
      <c r="U317" s="34"/>
      <c r="V317" s="34"/>
    </row>
    <row r="318" spans="1:22" x14ac:dyDescent="0.3">
      <c r="A318" s="17"/>
      <c r="B318" s="33"/>
      <c r="C318" s="34"/>
      <c r="D318" s="34"/>
      <c r="E318" s="34"/>
      <c r="F318" s="34"/>
      <c r="G318" s="34"/>
      <c r="H318" s="34"/>
      <c r="I318" s="34"/>
      <c r="J318" s="34"/>
      <c r="K318" s="35"/>
      <c r="L318" s="34"/>
      <c r="M318" s="32"/>
      <c r="N318" s="34"/>
      <c r="O318" s="34"/>
      <c r="P318" s="34"/>
      <c r="Q318" s="34"/>
      <c r="R318" s="34"/>
      <c r="S318" s="34"/>
      <c r="T318" s="34"/>
      <c r="U318" s="34"/>
      <c r="V318" s="34"/>
    </row>
    <row r="319" spans="1:22" x14ac:dyDescent="0.3">
      <c r="A319" s="17"/>
      <c r="B319" s="33"/>
      <c r="C319" s="34"/>
      <c r="D319" s="34"/>
      <c r="E319" s="34"/>
      <c r="F319" s="34"/>
      <c r="G319" s="34"/>
      <c r="H319" s="34"/>
      <c r="I319" s="34"/>
      <c r="J319" s="34"/>
      <c r="K319" s="35"/>
      <c r="L319" s="34"/>
      <c r="M319" s="32"/>
      <c r="N319" s="34"/>
      <c r="O319" s="34"/>
      <c r="P319" s="34"/>
      <c r="Q319" s="34"/>
      <c r="R319" s="34"/>
      <c r="S319" s="34"/>
      <c r="T319" s="34"/>
      <c r="U319" s="34"/>
      <c r="V319" s="34"/>
    </row>
    <row r="320" spans="1:22" x14ac:dyDescent="0.3">
      <c r="A320" s="17"/>
      <c r="B320" s="33"/>
      <c r="C320" s="34"/>
      <c r="D320" s="34"/>
      <c r="E320" s="34"/>
      <c r="F320" s="34"/>
      <c r="G320" s="34"/>
      <c r="H320" s="34"/>
      <c r="I320" s="34"/>
      <c r="J320" s="34"/>
      <c r="K320" s="35"/>
      <c r="L320" s="34"/>
      <c r="M320" s="32"/>
      <c r="N320" s="34"/>
      <c r="O320" s="34"/>
      <c r="P320" s="34"/>
      <c r="Q320" s="34"/>
      <c r="R320" s="34"/>
      <c r="S320" s="34"/>
      <c r="T320" s="34"/>
      <c r="U320" s="34"/>
      <c r="V320" s="34"/>
    </row>
    <row r="321" spans="1:22" x14ac:dyDescent="0.3">
      <c r="A321" s="17"/>
      <c r="B321" s="33"/>
      <c r="C321" s="34"/>
      <c r="D321" s="34"/>
      <c r="E321" s="34"/>
      <c r="F321" s="34"/>
      <c r="G321" s="34"/>
      <c r="H321" s="34"/>
      <c r="I321" s="34"/>
      <c r="J321" s="34"/>
      <c r="K321" s="35"/>
      <c r="L321" s="34"/>
      <c r="M321" s="32"/>
      <c r="N321" s="34"/>
      <c r="O321" s="34"/>
      <c r="P321" s="34"/>
      <c r="Q321" s="34"/>
      <c r="R321" s="34"/>
      <c r="S321" s="34"/>
      <c r="T321" s="34"/>
      <c r="U321" s="34"/>
      <c r="V321" s="34"/>
    </row>
    <row r="322" spans="1:22" x14ac:dyDescent="0.3">
      <c r="A322" s="17"/>
      <c r="B322" s="33"/>
      <c r="C322" s="34"/>
      <c r="D322" s="34"/>
      <c r="E322" s="34"/>
      <c r="F322" s="34"/>
      <c r="G322" s="34"/>
      <c r="H322" s="34"/>
      <c r="I322" s="34"/>
      <c r="J322" s="34"/>
      <c r="K322" s="35"/>
      <c r="L322" s="34"/>
      <c r="M322" s="32"/>
      <c r="N322" s="34"/>
      <c r="O322" s="34"/>
      <c r="P322" s="34"/>
      <c r="Q322" s="34"/>
      <c r="R322" s="34"/>
      <c r="S322" s="34"/>
      <c r="T322" s="34"/>
      <c r="U322" s="34"/>
      <c r="V322" s="34"/>
    </row>
    <row r="323" spans="1:22" x14ac:dyDescent="0.3">
      <c r="A323" s="17"/>
      <c r="B323" s="33"/>
      <c r="C323" s="34"/>
      <c r="D323" s="34"/>
      <c r="E323" s="34"/>
      <c r="F323" s="34"/>
      <c r="G323" s="34"/>
      <c r="H323" s="34"/>
      <c r="I323" s="34"/>
      <c r="J323" s="34"/>
      <c r="K323" s="35"/>
      <c r="L323" s="34"/>
      <c r="M323" s="32"/>
      <c r="N323" s="34"/>
      <c r="O323" s="34"/>
      <c r="P323" s="34"/>
      <c r="Q323" s="34"/>
      <c r="R323" s="34"/>
      <c r="S323" s="34"/>
      <c r="T323" s="34"/>
      <c r="U323" s="34"/>
      <c r="V323" s="34"/>
    </row>
    <row r="324" spans="1:22" x14ac:dyDescent="0.3">
      <c r="A324" s="17"/>
      <c r="B324" s="33"/>
      <c r="C324" s="34"/>
      <c r="D324" s="34"/>
      <c r="E324" s="34"/>
      <c r="F324" s="34"/>
      <c r="G324" s="34"/>
      <c r="H324" s="34"/>
      <c r="I324" s="34"/>
      <c r="J324" s="34"/>
      <c r="K324" s="35"/>
      <c r="L324" s="34"/>
      <c r="M324" s="32"/>
      <c r="N324" s="34"/>
      <c r="O324" s="34"/>
      <c r="P324" s="34"/>
      <c r="Q324" s="34"/>
      <c r="R324" s="34"/>
      <c r="S324" s="34"/>
      <c r="T324" s="34"/>
      <c r="U324" s="34"/>
      <c r="V324" s="34"/>
    </row>
    <row r="325" spans="1:22" x14ac:dyDescent="0.3">
      <c r="A325" s="17"/>
      <c r="B325" s="33"/>
      <c r="C325" s="34"/>
      <c r="D325" s="34"/>
      <c r="E325" s="34"/>
      <c r="F325" s="34"/>
      <c r="G325" s="34"/>
      <c r="H325" s="34"/>
      <c r="I325" s="34"/>
      <c r="J325" s="34"/>
      <c r="K325" s="35"/>
      <c r="L325" s="34"/>
      <c r="M325" s="32"/>
      <c r="N325" s="34"/>
      <c r="O325" s="34"/>
      <c r="P325" s="34"/>
      <c r="Q325" s="34"/>
      <c r="R325" s="34"/>
      <c r="S325" s="34"/>
      <c r="T325" s="34"/>
      <c r="U325" s="34"/>
      <c r="V325" s="34"/>
    </row>
    <row r="326" spans="1:22" x14ac:dyDescent="0.3">
      <c r="A326" s="17"/>
      <c r="B326" s="33"/>
      <c r="C326" s="34"/>
      <c r="D326" s="34"/>
      <c r="E326" s="34"/>
      <c r="F326" s="34"/>
      <c r="G326" s="34"/>
      <c r="H326" s="34"/>
      <c r="I326" s="34"/>
      <c r="J326" s="34"/>
      <c r="K326" s="35"/>
      <c r="L326" s="34"/>
      <c r="M326" s="32"/>
      <c r="N326" s="34"/>
      <c r="O326" s="34"/>
      <c r="P326" s="34"/>
      <c r="Q326" s="34"/>
      <c r="R326" s="34"/>
      <c r="S326" s="34"/>
      <c r="T326" s="34"/>
      <c r="U326" s="34"/>
      <c r="V326" s="34"/>
    </row>
    <row r="327" spans="1:22" x14ac:dyDescent="0.3">
      <c r="A327" s="17"/>
      <c r="B327" s="33"/>
      <c r="C327" s="34"/>
      <c r="D327" s="34"/>
      <c r="E327" s="34"/>
      <c r="F327" s="34"/>
      <c r="G327" s="34"/>
      <c r="H327" s="34"/>
      <c r="I327" s="34"/>
      <c r="J327" s="34"/>
      <c r="K327" s="35"/>
      <c r="L327" s="34"/>
      <c r="M327" s="32"/>
      <c r="N327" s="34"/>
      <c r="O327" s="34"/>
      <c r="P327" s="34"/>
      <c r="Q327" s="34"/>
      <c r="R327" s="34"/>
      <c r="S327" s="34"/>
      <c r="T327" s="34"/>
      <c r="U327" s="34"/>
      <c r="V327" s="34"/>
    </row>
    <row r="328" spans="1:22" x14ac:dyDescent="0.3">
      <c r="A328" s="17"/>
      <c r="B328" s="33"/>
      <c r="C328" s="34"/>
      <c r="D328" s="34"/>
      <c r="E328" s="34"/>
      <c r="F328" s="34"/>
      <c r="G328" s="34"/>
      <c r="H328" s="34"/>
      <c r="I328" s="34"/>
      <c r="J328" s="34"/>
      <c r="K328" s="35"/>
      <c r="L328" s="34"/>
      <c r="M328" s="32"/>
      <c r="N328" s="34"/>
      <c r="O328" s="34"/>
      <c r="P328" s="34"/>
      <c r="Q328" s="34"/>
      <c r="R328" s="34"/>
      <c r="S328" s="34"/>
      <c r="T328" s="34"/>
      <c r="U328" s="34"/>
      <c r="V328" s="34"/>
    </row>
    <row r="329" spans="1:22" x14ac:dyDescent="0.3">
      <c r="A329" s="17"/>
      <c r="B329" s="33"/>
      <c r="C329" s="34"/>
      <c r="D329" s="34"/>
      <c r="E329" s="34"/>
      <c r="F329" s="34"/>
      <c r="G329" s="34"/>
      <c r="H329" s="34"/>
      <c r="I329" s="34"/>
      <c r="J329" s="34"/>
      <c r="K329" s="35"/>
      <c r="L329" s="34"/>
      <c r="M329" s="32"/>
      <c r="N329" s="34"/>
      <c r="O329" s="34"/>
      <c r="P329" s="34"/>
      <c r="Q329" s="34"/>
      <c r="R329" s="34"/>
      <c r="S329" s="34"/>
      <c r="T329" s="34"/>
      <c r="U329" s="34"/>
      <c r="V329" s="34"/>
    </row>
    <row r="330" spans="1:22" x14ac:dyDescent="0.3">
      <c r="A330" s="17"/>
      <c r="B330" s="33"/>
      <c r="C330" s="34"/>
      <c r="D330" s="34"/>
      <c r="E330" s="34"/>
      <c r="F330" s="34"/>
      <c r="G330" s="34"/>
      <c r="H330" s="34"/>
      <c r="I330" s="34"/>
      <c r="J330" s="34"/>
      <c r="K330" s="35"/>
      <c r="L330" s="34"/>
      <c r="M330" s="32"/>
      <c r="N330" s="34"/>
      <c r="O330" s="34"/>
      <c r="P330" s="34"/>
      <c r="Q330" s="34"/>
      <c r="R330" s="34"/>
      <c r="S330" s="34"/>
      <c r="T330" s="34"/>
      <c r="U330" s="34"/>
      <c r="V330" s="34"/>
    </row>
    <row r="331" spans="1:22" x14ac:dyDescent="0.3">
      <c r="A331" s="17"/>
      <c r="B331" s="33"/>
      <c r="C331" s="34"/>
      <c r="D331" s="34"/>
      <c r="E331" s="34"/>
      <c r="F331" s="34"/>
      <c r="G331" s="34"/>
      <c r="H331" s="34"/>
      <c r="I331" s="34"/>
      <c r="J331" s="34"/>
      <c r="K331" s="35"/>
      <c r="L331" s="34"/>
      <c r="M331" s="32"/>
      <c r="N331" s="34"/>
      <c r="O331" s="34"/>
      <c r="P331" s="34"/>
      <c r="Q331" s="34"/>
      <c r="R331" s="34"/>
      <c r="S331" s="34"/>
      <c r="T331" s="34"/>
      <c r="U331" s="34"/>
      <c r="V331" s="34"/>
    </row>
    <row r="332" spans="1:22" x14ac:dyDescent="0.3">
      <c r="A332" s="17"/>
      <c r="B332" s="33"/>
      <c r="C332" s="34"/>
      <c r="D332" s="34"/>
      <c r="E332" s="34"/>
      <c r="F332" s="34"/>
      <c r="G332" s="34"/>
      <c r="H332" s="34"/>
      <c r="I332" s="34"/>
      <c r="J332" s="34"/>
      <c r="K332" s="35"/>
      <c r="L332" s="34"/>
      <c r="M332" s="32"/>
      <c r="N332" s="34"/>
      <c r="O332" s="34"/>
      <c r="P332" s="34"/>
      <c r="Q332" s="34"/>
      <c r="R332" s="34"/>
      <c r="S332" s="34"/>
      <c r="T332" s="34"/>
      <c r="U332" s="34"/>
      <c r="V332" s="34"/>
    </row>
    <row r="333" spans="1:22" x14ac:dyDescent="0.3">
      <c r="A333" s="17"/>
      <c r="B333" s="33"/>
      <c r="C333" s="34"/>
      <c r="D333" s="34"/>
      <c r="E333" s="34"/>
      <c r="F333" s="34"/>
      <c r="G333" s="34"/>
      <c r="H333" s="34"/>
      <c r="I333" s="34"/>
      <c r="J333" s="34"/>
      <c r="K333" s="35"/>
      <c r="L333" s="34"/>
      <c r="M333" s="32"/>
      <c r="N333" s="34"/>
      <c r="O333" s="34"/>
      <c r="P333" s="34"/>
      <c r="Q333" s="34"/>
      <c r="R333" s="34"/>
      <c r="S333" s="34"/>
      <c r="T333" s="34"/>
      <c r="U333" s="34"/>
      <c r="V333" s="34"/>
    </row>
    <row r="334" spans="1:22" x14ac:dyDescent="0.3">
      <c r="A334" s="17"/>
      <c r="B334" s="33"/>
      <c r="C334" s="34"/>
      <c r="D334" s="34"/>
      <c r="E334" s="34"/>
      <c r="F334" s="34"/>
      <c r="G334" s="34"/>
      <c r="H334" s="34"/>
      <c r="I334" s="34"/>
      <c r="J334" s="34"/>
      <c r="K334" s="35"/>
      <c r="L334" s="34"/>
      <c r="M334" s="32"/>
      <c r="N334" s="34"/>
      <c r="O334" s="34"/>
      <c r="P334" s="34"/>
      <c r="Q334" s="34"/>
      <c r="R334" s="34"/>
      <c r="S334" s="34"/>
      <c r="T334" s="34"/>
      <c r="U334" s="34"/>
      <c r="V334" s="34"/>
    </row>
    <row r="335" spans="1:22" x14ac:dyDescent="0.3">
      <c r="A335" s="17"/>
      <c r="B335" s="33"/>
      <c r="C335" s="34"/>
      <c r="D335" s="34"/>
      <c r="E335" s="34"/>
      <c r="F335" s="34"/>
      <c r="G335" s="34"/>
      <c r="H335" s="34"/>
      <c r="I335" s="34"/>
      <c r="J335" s="34"/>
      <c r="K335" s="35"/>
      <c r="L335" s="34"/>
      <c r="M335" s="32"/>
      <c r="N335" s="34"/>
      <c r="O335" s="34"/>
      <c r="P335" s="34"/>
      <c r="Q335" s="34"/>
      <c r="R335" s="34"/>
      <c r="S335" s="34"/>
      <c r="T335" s="34"/>
      <c r="U335" s="34"/>
      <c r="V335" s="34"/>
    </row>
    <row r="336" spans="1:22" x14ac:dyDescent="0.3">
      <c r="A336" s="17"/>
      <c r="B336" s="33"/>
      <c r="C336" s="34"/>
      <c r="D336" s="34"/>
      <c r="E336" s="34"/>
      <c r="F336" s="34"/>
      <c r="G336" s="34"/>
      <c r="H336" s="34"/>
      <c r="I336" s="34"/>
      <c r="J336" s="34"/>
      <c r="K336" s="35"/>
      <c r="L336" s="34"/>
      <c r="M336" s="32"/>
      <c r="N336" s="34"/>
      <c r="O336" s="34"/>
      <c r="P336" s="34"/>
      <c r="Q336" s="34"/>
      <c r="R336" s="34"/>
      <c r="S336" s="34"/>
      <c r="T336" s="34"/>
      <c r="U336" s="34"/>
      <c r="V336" s="34"/>
    </row>
    <row r="337" spans="1:22" x14ac:dyDescent="0.3">
      <c r="A337" s="17"/>
      <c r="B337" s="33"/>
      <c r="C337" s="34"/>
      <c r="D337" s="34"/>
      <c r="E337" s="34"/>
      <c r="F337" s="34"/>
      <c r="G337" s="34"/>
      <c r="H337" s="34"/>
      <c r="I337" s="34"/>
      <c r="J337" s="34"/>
      <c r="K337" s="35"/>
      <c r="L337" s="34"/>
      <c r="M337" s="32"/>
      <c r="N337" s="34"/>
      <c r="O337" s="34"/>
      <c r="P337" s="34"/>
      <c r="Q337" s="34"/>
      <c r="R337" s="34"/>
      <c r="S337" s="34"/>
      <c r="T337" s="34"/>
      <c r="U337" s="34"/>
      <c r="V337" s="34"/>
    </row>
    <row r="338" spans="1:22" x14ac:dyDescent="0.3">
      <c r="A338" s="17"/>
      <c r="B338" s="33"/>
      <c r="C338" s="34"/>
      <c r="D338" s="34"/>
      <c r="E338" s="34"/>
      <c r="F338" s="34"/>
      <c r="G338" s="34"/>
      <c r="H338" s="34"/>
      <c r="I338" s="34"/>
      <c r="J338" s="34"/>
      <c r="K338" s="35"/>
      <c r="L338" s="34"/>
      <c r="M338" s="32"/>
      <c r="N338" s="34"/>
      <c r="O338" s="34"/>
      <c r="P338" s="34"/>
      <c r="Q338" s="34"/>
      <c r="R338" s="34"/>
      <c r="S338" s="34"/>
      <c r="T338" s="34"/>
      <c r="U338" s="34"/>
      <c r="V338" s="34"/>
    </row>
    <row r="339" spans="1:22" x14ac:dyDescent="0.3">
      <c r="A339" s="17"/>
      <c r="B339" s="33"/>
      <c r="C339" s="34"/>
      <c r="D339" s="34"/>
      <c r="E339" s="34"/>
      <c r="F339" s="34"/>
      <c r="G339" s="34"/>
      <c r="H339" s="34"/>
      <c r="I339" s="34"/>
      <c r="J339" s="34"/>
      <c r="K339" s="35"/>
      <c r="L339" s="34"/>
      <c r="M339" s="32"/>
      <c r="N339" s="34"/>
      <c r="O339" s="34"/>
      <c r="P339" s="34"/>
      <c r="Q339" s="34"/>
      <c r="R339" s="34"/>
      <c r="S339" s="34"/>
      <c r="T339" s="34"/>
      <c r="U339" s="34"/>
      <c r="V339" s="34"/>
    </row>
    <row r="340" spans="1:22" x14ac:dyDescent="0.3">
      <c r="A340" s="17"/>
      <c r="B340" s="33"/>
      <c r="C340" s="34"/>
      <c r="D340" s="34"/>
      <c r="E340" s="34"/>
      <c r="F340" s="34"/>
      <c r="G340" s="34"/>
      <c r="H340" s="34"/>
      <c r="I340" s="34"/>
      <c r="J340" s="34"/>
      <c r="K340" s="35"/>
      <c r="L340" s="34"/>
      <c r="M340" s="32"/>
      <c r="N340" s="34"/>
      <c r="O340" s="34"/>
      <c r="P340" s="34"/>
      <c r="Q340" s="34"/>
      <c r="R340" s="34"/>
      <c r="S340" s="34"/>
      <c r="T340" s="34"/>
      <c r="U340" s="34"/>
      <c r="V340" s="34"/>
    </row>
    <row r="341" spans="1:22" x14ac:dyDescent="0.3">
      <c r="A341" s="17"/>
      <c r="B341" s="33"/>
      <c r="C341" s="34"/>
      <c r="D341" s="34"/>
      <c r="E341" s="34"/>
      <c r="F341" s="34"/>
      <c r="G341" s="34"/>
      <c r="H341" s="34"/>
      <c r="I341" s="34"/>
      <c r="J341" s="34"/>
      <c r="K341" s="35"/>
      <c r="L341" s="34"/>
      <c r="M341" s="32"/>
      <c r="N341" s="34"/>
      <c r="O341" s="34"/>
      <c r="P341" s="34"/>
      <c r="Q341" s="34"/>
      <c r="R341" s="34"/>
      <c r="S341" s="34"/>
      <c r="T341" s="34"/>
      <c r="U341" s="34"/>
      <c r="V341" s="34"/>
    </row>
    <row r="342" spans="1:22" x14ac:dyDescent="0.3">
      <c r="A342" s="17"/>
      <c r="B342" s="33"/>
      <c r="C342" s="34"/>
      <c r="D342" s="34"/>
      <c r="E342" s="34"/>
      <c r="F342" s="34"/>
      <c r="G342" s="34"/>
      <c r="H342" s="34"/>
      <c r="I342" s="34"/>
      <c r="J342" s="34"/>
      <c r="K342" s="35"/>
      <c r="L342" s="34"/>
      <c r="M342" s="32"/>
      <c r="N342" s="34"/>
      <c r="O342" s="34"/>
      <c r="P342" s="34"/>
      <c r="Q342" s="34"/>
      <c r="R342" s="34"/>
      <c r="S342" s="34"/>
      <c r="T342" s="34"/>
      <c r="U342" s="34"/>
      <c r="V342" s="34"/>
    </row>
    <row r="343" spans="1:22" x14ac:dyDescent="0.3">
      <c r="A343" s="17"/>
      <c r="B343" s="33"/>
      <c r="C343" s="34"/>
      <c r="D343" s="34"/>
      <c r="E343" s="34"/>
      <c r="F343" s="34"/>
      <c r="G343" s="34"/>
      <c r="H343" s="34"/>
      <c r="I343" s="34"/>
      <c r="J343" s="34"/>
      <c r="K343" s="35"/>
      <c r="L343" s="34"/>
      <c r="M343" s="32"/>
      <c r="N343" s="34"/>
      <c r="O343" s="34"/>
      <c r="P343" s="34"/>
      <c r="Q343" s="34"/>
      <c r="R343" s="34"/>
      <c r="S343" s="34"/>
      <c r="T343" s="34"/>
      <c r="U343" s="34"/>
      <c r="V343" s="34"/>
    </row>
    <row r="344" spans="1:22" x14ac:dyDescent="0.3">
      <c r="A344" s="17"/>
      <c r="B344" s="33"/>
      <c r="C344" s="34"/>
      <c r="D344" s="34"/>
      <c r="E344" s="34"/>
      <c r="F344" s="34"/>
      <c r="G344" s="34"/>
      <c r="H344" s="34"/>
      <c r="I344" s="34"/>
      <c r="J344" s="34"/>
      <c r="K344" s="35"/>
      <c r="L344" s="34"/>
      <c r="M344" s="32"/>
      <c r="N344" s="34"/>
      <c r="O344" s="34"/>
      <c r="P344" s="34"/>
      <c r="Q344" s="34"/>
      <c r="R344" s="34"/>
      <c r="S344" s="34"/>
      <c r="T344" s="34"/>
      <c r="U344" s="34"/>
      <c r="V344" s="34"/>
    </row>
    <row r="345" spans="1:22" x14ac:dyDescent="0.3">
      <c r="A345" s="17"/>
      <c r="B345" s="33"/>
      <c r="C345" s="34"/>
      <c r="D345" s="34"/>
      <c r="E345" s="34"/>
      <c r="F345" s="34"/>
      <c r="G345" s="34"/>
      <c r="H345" s="34"/>
      <c r="I345" s="34"/>
      <c r="J345" s="34"/>
      <c r="K345" s="35"/>
      <c r="L345" s="34"/>
      <c r="M345" s="32"/>
      <c r="N345" s="34"/>
      <c r="O345" s="34"/>
      <c r="P345" s="34"/>
      <c r="Q345" s="34"/>
      <c r="R345" s="34"/>
      <c r="S345" s="34"/>
      <c r="T345" s="34"/>
      <c r="U345" s="34"/>
      <c r="V345" s="34"/>
    </row>
    <row r="346" spans="1:22" x14ac:dyDescent="0.3">
      <c r="A346" s="17"/>
      <c r="B346" s="33"/>
      <c r="C346" s="34"/>
      <c r="D346" s="34"/>
      <c r="E346" s="34"/>
      <c r="F346" s="34"/>
      <c r="G346" s="34"/>
      <c r="H346" s="34"/>
      <c r="I346" s="34"/>
      <c r="J346" s="34"/>
      <c r="K346" s="35"/>
      <c r="L346" s="34"/>
      <c r="M346" s="32"/>
      <c r="N346" s="34"/>
      <c r="O346" s="34"/>
      <c r="P346" s="34"/>
      <c r="Q346" s="34"/>
      <c r="R346" s="34"/>
      <c r="S346" s="34"/>
      <c r="T346" s="34"/>
      <c r="U346" s="34"/>
      <c r="V346" s="34"/>
    </row>
    <row r="347" spans="1:22" x14ac:dyDescent="0.3">
      <c r="A347" s="17"/>
      <c r="B347" s="33"/>
      <c r="C347" s="34"/>
      <c r="D347" s="34"/>
      <c r="E347" s="34"/>
      <c r="F347" s="34"/>
      <c r="G347" s="34"/>
      <c r="H347" s="34"/>
      <c r="I347" s="34"/>
      <c r="J347" s="34"/>
      <c r="K347" s="35"/>
      <c r="L347" s="34"/>
      <c r="M347" s="32"/>
      <c r="N347" s="34"/>
      <c r="O347" s="34"/>
      <c r="P347" s="34"/>
      <c r="Q347" s="34"/>
      <c r="R347" s="34"/>
      <c r="S347" s="34"/>
      <c r="T347" s="34"/>
      <c r="U347" s="34"/>
      <c r="V347" s="34"/>
    </row>
    <row r="348" spans="1:22" x14ac:dyDescent="0.3">
      <c r="A348" s="17"/>
      <c r="B348" s="33"/>
      <c r="C348" s="34"/>
      <c r="D348" s="34"/>
      <c r="E348" s="34"/>
      <c r="F348" s="34"/>
      <c r="G348" s="34"/>
      <c r="H348" s="34"/>
      <c r="I348" s="34"/>
      <c r="J348" s="34"/>
      <c r="K348" s="35"/>
      <c r="L348" s="34"/>
      <c r="M348" s="32"/>
      <c r="N348" s="34"/>
      <c r="O348" s="34"/>
      <c r="P348" s="34"/>
      <c r="Q348" s="34"/>
      <c r="R348" s="34"/>
      <c r="S348" s="34"/>
      <c r="T348" s="34"/>
      <c r="U348" s="34"/>
      <c r="V348" s="34"/>
    </row>
    <row r="349" spans="1:22" x14ac:dyDescent="0.3">
      <c r="A349" s="17"/>
      <c r="B349" s="33"/>
      <c r="C349" s="34"/>
      <c r="D349" s="34"/>
      <c r="E349" s="34"/>
      <c r="F349" s="34"/>
      <c r="G349" s="34"/>
      <c r="H349" s="34"/>
      <c r="I349" s="34"/>
      <c r="J349" s="34"/>
      <c r="K349" s="35"/>
      <c r="L349" s="34"/>
      <c r="M349" s="32"/>
      <c r="N349" s="34"/>
      <c r="O349" s="34"/>
      <c r="P349" s="34"/>
      <c r="Q349" s="34"/>
      <c r="R349" s="34"/>
      <c r="S349" s="34"/>
      <c r="T349" s="34"/>
      <c r="U349" s="34"/>
      <c r="V349" s="34"/>
    </row>
    <row r="350" spans="1:22" x14ac:dyDescent="0.3">
      <c r="A350" s="17"/>
      <c r="B350" s="33"/>
      <c r="C350" s="34"/>
      <c r="D350" s="34"/>
      <c r="E350" s="34"/>
      <c r="F350" s="34"/>
      <c r="G350" s="34"/>
      <c r="H350" s="34"/>
      <c r="I350" s="34"/>
      <c r="J350" s="34"/>
      <c r="K350" s="35"/>
      <c r="L350" s="34"/>
      <c r="M350" s="32"/>
      <c r="N350" s="34"/>
      <c r="O350" s="34"/>
      <c r="P350" s="34"/>
      <c r="Q350" s="34"/>
      <c r="R350" s="34"/>
      <c r="S350" s="34"/>
      <c r="T350" s="34"/>
      <c r="U350" s="34"/>
      <c r="V350" s="34"/>
    </row>
    <row r="351" spans="1:22" x14ac:dyDescent="0.3">
      <c r="A351" s="17"/>
      <c r="B351" s="33"/>
      <c r="C351" s="34"/>
      <c r="D351" s="34"/>
      <c r="E351" s="34"/>
      <c r="F351" s="34"/>
      <c r="G351" s="34"/>
      <c r="H351" s="34"/>
      <c r="I351" s="34"/>
      <c r="J351" s="34"/>
      <c r="K351" s="35"/>
      <c r="L351" s="34"/>
      <c r="M351" s="32"/>
      <c r="N351" s="34"/>
      <c r="O351" s="34"/>
      <c r="P351" s="34"/>
      <c r="Q351" s="34"/>
      <c r="R351" s="34"/>
      <c r="S351" s="34"/>
      <c r="T351" s="34"/>
      <c r="U351" s="34"/>
      <c r="V351" s="34"/>
    </row>
    <row r="352" spans="1:22" x14ac:dyDescent="0.3">
      <c r="A352" s="17"/>
      <c r="B352" s="33"/>
      <c r="C352" s="34"/>
      <c r="D352" s="34"/>
      <c r="E352" s="34"/>
      <c r="F352" s="34"/>
      <c r="G352" s="34"/>
      <c r="H352" s="34"/>
      <c r="I352" s="34"/>
      <c r="J352" s="34"/>
      <c r="K352" s="35"/>
      <c r="L352" s="34"/>
      <c r="M352" s="32"/>
      <c r="N352" s="34"/>
      <c r="O352" s="34"/>
      <c r="P352" s="34"/>
      <c r="Q352" s="34"/>
      <c r="R352" s="34"/>
      <c r="S352" s="34"/>
      <c r="T352" s="34"/>
      <c r="U352" s="34"/>
      <c r="V352" s="34"/>
    </row>
    <row r="353" spans="1:22" x14ac:dyDescent="0.3">
      <c r="A353" s="17"/>
      <c r="B353" s="33"/>
      <c r="C353" s="34"/>
      <c r="D353" s="34"/>
      <c r="E353" s="34"/>
      <c r="F353" s="34"/>
      <c r="G353" s="34"/>
      <c r="H353" s="34"/>
      <c r="I353" s="34"/>
      <c r="J353" s="34"/>
      <c r="K353" s="35"/>
      <c r="L353" s="34"/>
      <c r="M353" s="32"/>
      <c r="N353" s="34"/>
      <c r="O353" s="34"/>
      <c r="P353" s="34"/>
      <c r="Q353" s="34"/>
      <c r="R353" s="34"/>
      <c r="S353" s="34"/>
      <c r="T353" s="34"/>
      <c r="U353" s="34"/>
      <c r="V353" s="34"/>
    </row>
    <row r="354" spans="1:22" x14ac:dyDescent="0.3">
      <c r="A354" s="17"/>
      <c r="B354" s="33"/>
      <c r="C354" s="34"/>
      <c r="D354" s="34"/>
      <c r="E354" s="34"/>
      <c r="F354" s="34"/>
      <c r="G354" s="34"/>
      <c r="H354" s="34"/>
      <c r="I354" s="34"/>
      <c r="J354" s="34"/>
      <c r="K354" s="35"/>
      <c r="L354" s="34"/>
      <c r="M354" s="32"/>
      <c r="N354" s="34"/>
      <c r="O354" s="34"/>
      <c r="P354" s="34"/>
      <c r="Q354" s="34"/>
      <c r="R354" s="34"/>
      <c r="S354" s="34"/>
      <c r="T354" s="34"/>
      <c r="U354" s="34"/>
      <c r="V354" s="34"/>
    </row>
    <row r="355" spans="1:22" x14ac:dyDescent="0.3">
      <c r="A355" s="17"/>
      <c r="B355" s="33"/>
      <c r="C355" s="34"/>
      <c r="D355" s="34"/>
      <c r="E355" s="34"/>
      <c r="F355" s="34"/>
      <c r="G355" s="34"/>
      <c r="H355" s="34"/>
      <c r="I355" s="34"/>
      <c r="J355" s="34"/>
      <c r="K355" s="35"/>
      <c r="L355" s="34"/>
      <c r="M355" s="32"/>
      <c r="N355" s="34"/>
      <c r="O355" s="34"/>
      <c r="P355" s="34"/>
      <c r="Q355" s="34"/>
      <c r="R355" s="34"/>
      <c r="S355" s="34"/>
      <c r="T355" s="34"/>
      <c r="U355" s="34"/>
      <c r="V355" s="34"/>
    </row>
    <row r="356" spans="1:22" x14ac:dyDescent="0.3">
      <c r="A356" s="17"/>
      <c r="B356" s="33"/>
      <c r="C356" s="34"/>
      <c r="D356" s="34"/>
      <c r="E356" s="34"/>
      <c r="F356" s="34"/>
      <c r="G356" s="34"/>
      <c r="H356" s="34"/>
      <c r="I356" s="34"/>
      <c r="J356" s="34"/>
      <c r="K356" s="35"/>
      <c r="L356" s="34"/>
      <c r="M356" s="32"/>
      <c r="N356" s="34"/>
      <c r="O356" s="34"/>
      <c r="P356" s="34"/>
      <c r="Q356" s="34"/>
      <c r="R356" s="34"/>
      <c r="S356" s="34"/>
      <c r="T356" s="34"/>
      <c r="U356" s="34"/>
      <c r="V356" s="34"/>
    </row>
    <row r="357" spans="1:22" x14ac:dyDescent="0.3">
      <c r="A357" s="17"/>
      <c r="B357" s="33"/>
      <c r="C357" s="34"/>
      <c r="D357" s="34"/>
      <c r="E357" s="34"/>
      <c r="F357" s="34"/>
      <c r="G357" s="34"/>
      <c r="H357" s="34"/>
      <c r="I357" s="34"/>
      <c r="J357" s="34"/>
      <c r="K357" s="35"/>
      <c r="L357" s="34"/>
      <c r="M357" s="32"/>
      <c r="N357" s="34"/>
      <c r="O357" s="34"/>
      <c r="P357" s="34"/>
      <c r="Q357" s="34"/>
      <c r="R357" s="34"/>
      <c r="S357" s="34"/>
      <c r="T357" s="34"/>
      <c r="U357" s="34"/>
      <c r="V357" s="34"/>
    </row>
    <row r="358" spans="1:22" x14ac:dyDescent="0.3">
      <c r="A358" s="17"/>
      <c r="B358" s="33"/>
      <c r="C358" s="34"/>
      <c r="D358" s="34"/>
      <c r="E358" s="34"/>
      <c r="F358" s="34"/>
      <c r="G358" s="34"/>
      <c r="H358" s="34"/>
      <c r="I358" s="34"/>
      <c r="J358" s="34"/>
      <c r="K358" s="35"/>
      <c r="L358" s="34"/>
      <c r="M358" s="32"/>
      <c r="N358" s="34"/>
      <c r="O358" s="34"/>
      <c r="P358" s="34"/>
      <c r="Q358" s="34"/>
      <c r="R358" s="34"/>
      <c r="S358" s="34"/>
      <c r="T358" s="34"/>
      <c r="U358" s="34"/>
      <c r="V358" s="34"/>
    </row>
    <row r="359" spans="1:22" x14ac:dyDescent="0.3">
      <c r="A359" s="17"/>
      <c r="B359" s="33"/>
      <c r="C359" s="34"/>
      <c r="D359" s="34"/>
      <c r="E359" s="34"/>
      <c r="F359" s="34"/>
      <c r="G359" s="34"/>
      <c r="H359" s="34"/>
      <c r="I359" s="34"/>
      <c r="J359" s="34"/>
      <c r="K359" s="35"/>
      <c r="L359" s="34"/>
      <c r="M359" s="32"/>
      <c r="N359" s="34"/>
      <c r="O359" s="34"/>
      <c r="P359" s="34"/>
      <c r="Q359" s="34"/>
      <c r="R359" s="34"/>
      <c r="S359" s="34"/>
      <c r="T359" s="34"/>
      <c r="U359" s="34"/>
      <c r="V359" s="34"/>
    </row>
    <row r="360" spans="1:22" x14ac:dyDescent="0.3">
      <c r="A360" s="17"/>
      <c r="B360" s="33"/>
      <c r="C360" s="34"/>
      <c r="D360" s="34"/>
      <c r="E360" s="34"/>
      <c r="F360" s="34"/>
      <c r="G360" s="34"/>
      <c r="H360" s="34"/>
      <c r="I360" s="34"/>
      <c r="J360" s="34"/>
      <c r="K360" s="35"/>
      <c r="L360" s="34"/>
      <c r="M360" s="32"/>
      <c r="N360" s="34"/>
      <c r="O360" s="34"/>
      <c r="P360" s="34"/>
      <c r="Q360" s="34"/>
      <c r="R360" s="34"/>
      <c r="S360" s="34"/>
      <c r="T360" s="34"/>
      <c r="U360" s="34"/>
      <c r="V360" s="34"/>
    </row>
    <row r="361" spans="1:22" x14ac:dyDescent="0.3">
      <c r="A361" s="17"/>
      <c r="B361" s="33"/>
      <c r="C361" s="34"/>
      <c r="D361" s="34"/>
      <c r="E361" s="34"/>
      <c r="F361" s="34"/>
      <c r="G361" s="34"/>
      <c r="H361" s="34"/>
      <c r="I361" s="34"/>
      <c r="J361" s="34"/>
      <c r="K361" s="35"/>
      <c r="L361" s="34"/>
      <c r="M361" s="32"/>
      <c r="N361" s="34"/>
      <c r="O361" s="34"/>
      <c r="P361" s="34"/>
      <c r="Q361" s="34"/>
      <c r="R361" s="34"/>
      <c r="S361" s="34"/>
      <c r="T361" s="34"/>
      <c r="U361" s="34"/>
      <c r="V361" s="34"/>
    </row>
    <row r="362" spans="1:22" x14ac:dyDescent="0.3">
      <c r="A362" s="17"/>
      <c r="B362" s="33"/>
      <c r="C362" s="34"/>
      <c r="D362" s="34"/>
      <c r="E362" s="34"/>
      <c r="F362" s="34"/>
      <c r="G362" s="34"/>
      <c r="H362" s="34"/>
      <c r="I362" s="34"/>
      <c r="J362" s="34"/>
      <c r="K362" s="35"/>
      <c r="L362" s="34"/>
      <c r="M362" s="32"/>
      <c r="N362" s="34"/>
      <c r="O362" s="34"/>
      <c r="P362" s="34"/>
      <c r="Q362" s="34"/>
      <c r="R362" s="34"/>
      <c r="S362" s="34"/>
      <c r="T362" s="34"/>
      <c r="U362" s="34"/>
      <c r="V362" s="34"/>
    </row>
    <row r="363" spans="1:22" x14ac:dyDescent="0.3">
      <c r="A363" s="17"/>
      <c r="B363" s="33"/>
      <c r="C363" s="34"/>
      <c r="D363" s="34"/>
      <c r="E363" s="34"/>
      <c r="F363" s="34"/>
      <c r="G363" s="34"/>
      <c r="H363" s="34"/>
      <c r="I363" s="34"/>
      <c r="J363" s="34"/>
      <c r="K363" s="35"/>
      <c r="L363" s="34"/>
      <c r="M363" s="32"/>
      <c r="N363" s="34"/>
      <c r="O363" s="34"/>
      <c r="P363" s="34"/>
      <c r="Q363" s="34"/>
      <c r="R363" s="34"/>
      <c r="S363" s="34"/>
      <c r="T363" s="34"/>
      <c r="U363" s="34"/>
      <c r="V363" s="34"/>
    </row>
    <row r="364" spans="1:22" x14ac:dyDescent="0.3">
      <c r="A364" s="17"/>
      <c r="B364" s="33"/>
      <c r="C364" s="34"/>
      <c r="D364" s="34"/>
      <c r="E364" s="34"/>
      <c r="F364" s="34"/>
      <c r="G364" s="34"/>
      <c r="H364" s="34"/>
      <c r="I364" s="34"/>
      <c r="J364" s="34"/>
      <c r="K364" s="35"/>
      <c r="L364" s="34"/>
      <c r="M364" s="32"/>
      <c r="N364" s="34"/>
      <c r="O364" s="34"/>
      <c r="P364" s="34"/>
      <c r="Q364" s="34"/>
      <c r="R364" s="34"/>
      <c r="S364" s="34"/>
      <c r="T364" s="34"/>
      <c r="U364" s="34"/>
      <c r="V364" s="34"/>
    </row>
    <row r="365" spans="1:22" x14ac:dyDescent="0.3">
      <c r="A365" s="17"/>
      <c r="B365" s="33"/>
      <c r="C365" s="34"/>
      <c r="D365" s="34"/>
      <c r="E365" s="34"/>
      <c r="F365" s="34"/>
      <c r="G365" s="34"/>
      <c r="H365" s="34"/>
      <c r="I365" s="34"/>
      <c r="J365" s="34"/>
      <c r="K365" s="35"/>
      <c r="L365" s="34"/>
      <c r="M365" s="32"/>
      <c r="N365" s="34"/>
      <c r="O365" s="34"/>
      <c r="P365" s="34"/>
      <c r="Q365" s="34"/>
      <c r="R365" s="34"/>
      <c r="S365" s="34"/>
      <c r="T365" s="34"/>
      <c r="U365" s="34"/>
      <c r="V365" s="34"/>
    </row>
    <row r="366" spans="1:22" x14ac:dyDescent="0.3">
      <c r="A366" s="17"/>
      <c r="B366" s="33"/>
      <c r="C366" s="34"/>
      <c r="D366" s="34"/>
      <c r="E366" s="34"/>
      <c r="F366" s="34"/>
      <c r="G366" s="34"/>
      <c r="H366" s="34"/>
      <c r="I366" s="34"/>
      <c r="J366" s="34"/>
      <c r="K366" s="35"/>
      <c r="L366" s="34"/>
      <c r="M366" s="32"/>
      <c r="N366" s="34"/>
      <c r="O366" s="34"/>
      <c r="P366" s="34"/>
      <c r="Q366" s="34"/>
      <c r="R366" s="34"/>
      <c r="S366" s="34"/>
      <c r="T366" s="34"/>
      <c r="U366" s="34"/>
      <c r="V366" s="34"/>
    </row>
    <row r="367" spans="1:22" x14ac:dyDescent="0.3">
      <c r="A367" s="17"/>
      <c r="B367" s="33"/>
      <c r="C367" s="34"/>
      <c r="D367" s="34"/>
      <c r="E367" s="34"/>
      <c r="F367" s="34"/>
      <c r="G367" s="34"/>
      <c r="H367" s="34"/>
      <c r="I367" s="34"/>
      <c r="J367" s="34"/>
      <c r="K367" s="35"/>
      <c r="L367" s="34"/>
      <c r="M367" s="32"/>
      <c r="N367" s="34"/>
      <c r="O367" s="34"/>
      <c r="P367" s="34"/>
      <c r="Q367" s="34"/>
      <c r="R367" s="34"/>
      <c r="S367" s="34"/>
      <c r="T367" s="34"/>
      <c r="U367" s="34"/>
      <c r="V367" s="34"/>
    </row>
    <row r="368" spans="1:22" x14ac:dyDescent="0.3">
      <c r="A368" s="17"/>
      <c r="B368" s="33"/>
      <c r="C368" s="34"/>
      <c r="D368" s="34"/>
      <c r="E368" s="34"/>
      <c r="F368" s="34"/>
      <c r="G368" s="34"/>
      <c r="H368" s="34"/>
      <c r="I368" s="34"/>
      <c r="J368" s="34"/>
      <c r="K368" s="35"/>
      <c r="L368" s="34"/>
      <c r="M368" s="32"/>
      <c r="N368" s="34"/>
      <c r="O368" s="34"/>
      <c r="P368" s="34"/>
      <c r="Q368" s="34"/>
      <c r="R368" s="34"/>
      <c r="S368" s="34"/>
      <c r="T368" s="34"/>
      <c r="U368" s="34"/>
      <c r="V368" s="34"/>
    </row>
    <row r="369" spans="1:22" x14ac:dyDescent="0.3">
      <c r="A369" s="17"/>
      <c r="B369" s="33"/>
      <c r="C369" s="34"/>
      <c r="D369" s="34"/>
      <c r="E369" s="34"/>
      <c r="F369" s="34"/>
      <c r="G369" s="34"/>
      <c r="H369" s="34"/>
      <c r="I369" s="34"/>
      <c r="J369" s="34"/>
      <c r="K369" s="35"/>
      <c r="L369" s="34"/>
      <c r="M369" s="32"/>
      <c r="N369" s="34"/>
      <c r="O369" s="34"/>
      <c r="P369" s="34"/>
      <c r="Q369" s="34"/>
      <c r="R369" s="34"/>
      <c r="S369" s="34"/>
      <c r="T369" s="34"/>
      <c r="U369" s="34"/>
      <c r="V369" s="34"/>
    </row>
    <row r="370" spans="1:22" x14ac:dyDescent="0.3">
      <c r="A370" s="17"/>
      <c r="B370" s="33"/>
      <c r="C370" s="34"/>
      <c r="D370" s="34"/>
      <c r="E370" s="34"/>
      <c r="F370" s="34"/>
      <c r="G370" s="34"/>
      <c r="H370" s="34"/>
      <c r="I370" s="34"/>
      <c r="J370" s="34"/>
      <c r="K370" s="35"/>
      <c r="L370" s="34"/>
      <c r="M370" s="32"/>
      <c r="N370" s="34"/>
      <c r="O370" s="34"/>
      <c r="P370" s="34"/>
      <c r="Q370" s="34"/>
      <c r="R370" s="34"/>
      <c r="S370" s="34"/>
      <c r="T370" s="34"/>
      <c r="U370" s="34"/>
      <c r="V370" s="34"/>
    </row>
    <row r="371" spans="1:22" x14ac:dyDescent="0.3">
      <c r="A371" s="17"/>
      <c r="B371" s="33"/>
      <c r="C371" s="34"/>
      <c r="D371" s="34"/>
      <c r="E371" s="34"/>
      <c r="F371" s="34"/>
      <c r="G371" s="34"/>
      <c r="H371" s="34"/>
      <c r="I371" s="34"/>
      <c r="J371" s="34"/>
      <c r="K371" s="35"/>
      <c r="L371" s="34"/>
      <c r="M371" s="32"/>
      <c r="N371" s="34"/>
      <c r="O371" s="34"/>
      <c r="P371" s="34"/>
      <c r="Q371" s="34"/>
      <c r="R371" s="34"/>
      <c r="S371" s="34"/>
      <c r="T371" s="34"/>
      <c r="U371" s="34"/>
      <c r="V371" s="34"/>
    </row>
    <row r="372" spans="1:22" x14ac:dyDescent="0.3">
      <c r="A372" s="17"/>
      <c r="B372" s="33"/>
      <c r="C372" s="34"/>
      <c r="D372" s="34"/>
      <c r="E372" s="34"/>
      <c r="F372" s="34"/>
      <c r="G372" s="34"/>
      <c r="H372" s="34"/>
      <c r="I372" s="34"/>
      <c r="J372" s="34"/>
      <c r="K372" s="35"/>
      <c r="L372" s="34"/>
      <c r="M372" s="32"/>
      <c r="N372" s="34"/>
      <c r="O372" s="34"/>
      <c r="P372" s="34"/>
      <c r="Q372" s="34"/>
      <c r="R372" s="34"/>
      <c r="S372" s="34"/>
      <c r="T372" s="34"/>
      <c r="U372" s="34"/>
      <c r="V372" s="34"/>
    </row>
    <row r="373" spans="1:22" x14ac:dyDescent="0.3">
      <c r="A373" s="17"/>
      <c r="B373" s="33"/>
      <c r="C373" s="34"/>
      <c r="D373" s="34"/>
      <c r="E373" s="34"/>
      <c r="F373" s="34"/>
      <c r="G373" s="34"/>
      <c r="H373" s="34"/>
      <c r="I373" s="34"/>
      <c r="J373" s="34"/>
      <c r="K373" s="35"/>
      <c r="L373" s="34"/>
      <c r="M373" s="32"/>
      <c r="N373" s="34"/>
      <c r="O373" s="34"/>
      <c r="P373" s="34"/>
      <c r="Q373" s="34"/>
      <c r="R373" s="34"/>
      <c r="S373" s="34"/>
      <c r="T373" s="34"/>
      <c r="U373" s="34"/>
      <c r="V373" s="34"/>
    </row>
    <row r="374" spans="1:22" x14ac:dyDescent="0.3">
      <c r="A374" s="17"/>
      <c r="B374" s="33"/>
      <c r="C374" s="34"/>
      <c r="D374" s="34"/>
      <c r="E374" s="34"/>
      <c r="F374" s="34"/>
      <c r="G374" s="34"/>
      <c r="H374" s="34"/>
      <c r="I374" s="34"/>
      <c r="J374" s="34"/>
      <c r="K374" s="35"/>
      <c r="L374" s="34"/>
      <c r="M374" s="32"/>
      <c r="N374" s="34"/>
      <c r="O374" s="34"/>
      <c r="P374" s="34"/>
      <c r="Q374" s="34"/>
      <c r="R374" s="34"/>
      <c r="S374" s="34"/>
      <c r="T374" s="34"/>
      <c r="U374" s="34"/>
      <c r="V374" s="34"/>
    </row>
    <row r="375" spans="1:22" x14ac:dyDescent="0.3">
      <c r="A375" s="17"/>
      <c r="B375" s="33"/>
      <c r="C375" s="34"/>
      <c r="D375" s="34"/>
      <c r="E375" s="34"/>
      <c r="F375" s="34"/>
      <c r="G375" s="34"/>
      <c r="H375" s="34"/>
      <c r="I375" s="34"/>
      <c r="J375" s="34"/>
      <c r="K375" s="35"/>
      <c r="L375" s="34"/>
      <c r="M375" s="32"/>
      <c r="N375" s="34"/>
      <c r="O375" s="34"/>
      <c r="P375" s="34"/>
      <c r="Q375" s="34"/>
      <c r="R375" s="34"/>
      <c r="S375" s="34"/>
      <c r="T375" s="34"/>
      <c r="U375" s="34"/>
      <c r="V375" s="34"/>
    </row>
    <row r="376" spans="1:22" x14ac:dyDescent="0.3">
      <c r="A376" s="17"/>
      <c r="B376" s="33"/>
      <c r="C376" s="34"/>
      <c r="D376" s="34"/>
      <c r="E376" s="34"/>
      <c r="F376" s="34"/>
      <c r="G376" s="34"/>
      <c r="H376" s="34"/>
      <c r="I376" s="34"/>
      <c r="J376" s="34"/>
      <c r="K376" s="35"/>
      <c r="L376" s="34"/>
      <c r="M376" s="32"/>
      <c r="N376" s="34"/>
      <c r="O376" s="34"/>
      <c r="P376" s="34"/>
      <c r="Q376" s="34"/>
      <c r="R376" s="34"/>
      <c r="S376" s="34"/>
      <c r="T376" s="34"/>
      <c r="U376" s="34"/>
      <c r="V376" s="34"/>
    </row>
    <row r="377" spans="1:22" x14ac:dyDescent="0.3">
      <c r="A377" s="17"/>
      <c r="B377" s="33"/>
      <c r="C377" s="34"/>
      <c r="D377" s="34"/>
      <c r="E377" s="34"/>
      <c r="F377" s="34"/>
      <c r="G377" s="34"/>
      <c r="H377" s="34"/>
      <c r="I377" s="34"/>
      <c r="J377" s="34"/>
      <c r="K377" s="35"/>
      <c r="L377" s="34"/>
      <c r="M377" s="32"/>
      <c r="N377" s="34"/>
      <c r="O377" s="34"/>
      <c r="P377" s="34"/>
      <c r="Q377" s="34"/>
      <c r="R377" s="34"/>
      <c r="S377" s="34"/>
      <c r="T377" s="34"/>
      <c r="U377" s="34"/>
      <c r="V377" s="34"/>
    </row>
    <row r="378" spans="1:22" x14ac:dyDescent="0.3">
      <c r="A378" s="17"/>
      <c r="B378" s="33"/>
      <c r="C378" s="34"/>
      <c r="D378" s="34"/>
      <c r="E378" s="34"/>
      <c r="F378" s="34"/>
      <c r="G378" s="34"/>
      <c r="H378" s="34"/>
      <c r="I378" s="34"/>
      <c r="J378" s="34"/>
      <c r="K378" s="35"/>
      <c r="L378" s="34"/>
      <c r="M378" s="32"/>
      <c r="N378" s="34"/>
      <c r="O378" s="34"/>
      <c r="P378" s="34"/>
      <c r="Q378" s="34"/>
      <c r="R378" s="34"/>
      <c r="S378" s="34"/>
      <c r="T378" s="34"/>
      <c r="U378" s="34"/>
      <c r="V378" s="34"/>
    </row>
    <row r="379" spans="1:22" x14ac:dyDescent="0.3">
      <c r="A379" s="17"/>
      <c r="B379" s="33"/>
      <c r="C379" s="34"/>
      <c r="D379" s="34"/>
      <c r="E379" s="34"/>
      <c r="F379" s="34"/>
      <c r="G379" s="34"/>
      <c r="H379" s="34"/>
      <c r="I379" s="34"/>
      <c r="J379" s="34"/>
      <c r="K379" s="35"/>
      <c r="L379" s="34"/>
      <c r="M379" s="32"/>
      <c r="N379" s="34"/>
      <c r="O379" s="34"/>
      <c r="P379" s="34"/>
      <c r="Q379" s="34"/>
      <c r="R379" s="34"/>
      <c r="S379" s="34"/>
      <c r="T379" s="34"/>
      <c r="U379" s="34"/>
      <c r="V379" s="34"/>
    </row>
    <row r="380" spans="1:22" x14ac:dyDescent="0.3">
      <c r="A380" s="17"/>
      <c r="B380" s="33"/>
      <c r="C380" s="34"/>
      <c r="D380" s="34"/>
      <c r="E380" s="34"/>
      <c r="F380" s="34"/>
      <c r="G380" s="34"/>
      <c r="H380" s="34"/>
      <c r="I380" s="34"/>
      <c r="J380" s="34"/>
      <c r="K380" s="35"/>
      <c r="L380" s="34"/>
      <c r="M380" s="32"/>
      <c r="N380" s="34"/>
      <c r="O380" s="34"/>
      <c r="P380" s="34"/>
      <c r="Q380" s="34"/>
      <c r="R380" s="34"/>
      <c r="S380" s="34"/>
      <c r="T380" s="34"/>
      <c r="U380" s="34"/>
      <c r="V380" s="34"/>
    </row>
    <row r="381" spans="1:22" x14ac:dyDescent="0.3">
      <c r="A381" s="17"/>
      <c r="B381" s="33"/>
      <c r="C381" s="34"/>
      <c r="D381" s="34"/>
      <c r="E381" s="34"/>
      <c r="F381" s="34"/>
      <c r="G381" s="34"/>
      <c r="H381" s="34"/>
      <c r="I381" s="34"/>
      <c r="J381" s="34"/>
      <c r="K381" s="35"/>
      <c r="L381" s="34"/>
      <c r="M381" s="32"/>
      <c r="N381" s="34"/>
      <c r="O381" s="34"/>
      <c r="P381" s="34"/>
      <c r="Q381" s="34"/>
      <c r="R381" s="34"/>
      <c r="S381" s="34"/>
      <c r="T381" s="34"/>
      <c r="U381" s="34"/>
      <c r="V381" s="34"/>
    </row>
    <row r="382" spans="1:22" x14ac:dyDescent="0.3">
      <c r="A382" s="17"/>
      <c r="B382" s="33"/>
      <c r="C382" s="34"/>
      <c r="D382" s="34"/>
      <c r="E382" s="34"/>
      <c r="F382" s="34"/>
      <c r="G382" s="34"/>
      <c r="H382" s="34"/>
      <c r="I382" s="34"/>
      <c r="J382" s="34"/>
      <c r="K382" s="35"/>
      <c r="L382" s="34"/>
      <c r="M382" s="32"/>
      <c r="N382" s="34"/>
      <c r="O382" s="34"/>
      <c r="P382" s="34"/>
      <c r="Q382" s="34"/>
      <c r="R382" s="34"/>
      <c r="S382" s="34"/>
      <c r="T382" s="34"/>
      <c r="U382" s="34"/>
      <c r="V382" s="34"/>
    </row>
    <row r="383" spans="1:22" x14ac:dyDescent="0.3">
      <c r="A383" s="17"/>
      <c r="B383" s="33"/>
      <c r="C383" s="34"/>
      <c r="D383" s="34"/>
      <c r="E383" s="34"/>
      <c r="F383" s="34"/>
      <c r="G383" s="34"/>
      <c r="H383" s="34"/>
      <c r="I383" s="34"/>
      <c r="J383" s="34"/>
      <c r="K383" s="35"/>
      <c r="L383" s="34"/>
      <c r="M383" s="32"/>
      <c r="N383" s="34"/>
      <c r="O383" s="34"/>
      <c r="P383" s="34"/>
      <c r="Q383" s="34"/>
      <c r="R383" s="34"/>
      <c r="S383" s="34"/>
      <c r="T383" s="34"/>
      <c r="U383" s="34"/>
      <c r="V383" s="34"/>
    </row>
    <row r="384" spans="1:22" x14ac:dyDescent="0.3">
      <c r="A384" s="17"/>
      <c r="B384" s="33"/>
      <c r="C384" s="34"/>
      <c r="D384" s="34"/>
      <c r="E384" s="34"/>
      <c r="F384" s="34"/>
      <c r="G384" s="34"/>
      <c r="H384" s="34"/>
      <c r="I384" s="34"/>
      <c r="J384" s="34"/>
      <c r="K384" s="35"/>
      <c r="L384" s="34"/>
      <c r="M384" s="32"/>
      <c r="N384" s="34"/>
      <c r="O384" s="34"/>
      <c r="P384" s="34"/>
      <c r="Q384" s="34"/>
      <c r="R384" s="34"/>
      <c r="S384" s="34"/>
      <c r="T384" s="34"/>
      <c r="U384" s="34"/>
      <c r="V384" s="34"/>
    </row>
    <row r="385" spans="1:22" x14ac:dyDescent="0.3">
      <c r="A385" s="17"/>
      <c r="B385" s="33"/>
      <c r="C385" s="34"/>
      <c r="D385" s="34"/>
      <c r="E385" s="34"/>
      <c r="F385" s="34"/>
      <c r="G385" s="34"/>
      <c r="H385" s="34"/>
      <c r="I385" s="34"/>
      <c r="J385" s="34"/>
      <c r="K385" s="35"/>
      <c r="L385" s="34"/>
      <c r="M385" s="32"/>
      <c r="N385" s="34"/>
      <c r="O385" s="34"/>
      <c r="P385" s="34"/>
      <c r="Q385" s="34"/>
      <c r="R385" s="34"/>
      <c r="S385" s="34"/>
      <c r="T385" s="34"/>
      <c r="U385" s="34"/>
      <c r="V385" s="34"/>
    </row>
    <row r="386" spans="1:22" x14ac:dyDescent="0.3">
      <c r="A386" s="17"/>
      <c r="B386" s="33"/>
      <c r="C386" s="34"/>
      <c r="D386" s="34"/>
      <c r="E386" s="34"/>
      <c r="F386" s="34"/>
      <c r="G386" s="34"/>
      <c r="H386" s="34"/>
      <c r="I386" s="34"/>
      <c r="J386" s="34"/>
      <c r="K386" s="35"/>
      <c r="L386" s="34"/>
      <c r="M386" s="32"/>
      <c r="N386" s="34"/>
      <c r="O386" s="34"/>
      <c r="P386" s="34"/>
      <c r="Q386" s="34"/>
      <c r="R386" s="34"/>
      <c r="S386" s="34"/>
      <c r="T386" s="34"/>
      <c r="U386" s="34"/>
      <c r="V386" s="34"/>
    </row>
    <row r="387" spans="1:22" x14ac:dyDescent="0.3">
      <c r="A387" s="17"/>
      <c r="B387" s="33"/>
      <c r="C387" s="34"/>
      <c r="D387" s="34"/>
      <c r="E387" s="34"/>
      <c r="F387" s="34"/>
      <c r="G387" s="34"/>
      <c r="H387" s="34"/>
      <c r="I387" s="34"/>
      <c r="J387" s="34"/>
      <c r="K387" s="35"/>
      <c r="L387" s="34"/>
      <c r="M387" s="32"/>
      <c r="N387" s="34"/>
      <c r="O387" s="34"/>
      <c r="P387" s="34"/>
      <c r="Q387" s="34"/>
      <c r="R387" s="34"/>
      <c r="S387" s="34"/>
      <c r="T387" s="34"/>
      <c r="U387" s="34"/>
      <c r="V387" s="34"/>
    </row>
    <row r="388" spans="1:22" x14ac:dyDescent="0.3">
      <c r="A388" s="17"/>
      <c r="B388" s="33"/>
      <c r="C388" s="34"/>
      <c r="D388" s="34"/>
      <c r="E388" s="34"/>
      <c r="F388" s="34"/>
      <c r="G388" s="34"/>
      <c r="H388" s="34"/>
      <c r="I388" s="34"/>
      <c r="J388" s="34"/>
      <c r="K388" s="35"/>
      <c r="L388" s="34"/>
      <c r="M388" s="32"/>
      <c r="N388" s="34"/>
      <c r="O388" s="34"/>
      <c r="P388" s="34"/>
      <c r="Q388" s="34"/>
      <c r="R388" s="34"/>
      <c r="S388" s="34"/>
      <c r="T388" s="34"/>
      <c r="U388" s="34"/>
      <c r="V388" s="34"/>
    </row>
    <row r="389" spans="1:22" x14ac:dyDescent="0.3">
      <c r="A389" s="17"/>
      <c r="B389" s="33"/>
      <c r="C389" s="34"/>
      <c r="D389" s="34"/>
      <c r="E389" s="34"/>
      <c r="F389" s="34"/>
      <c r="G389" s="34"/>
      <c r="H389" s="34"/>
      <c r="I389" s="34"/>
      <c r="J389" s="34"/>
      <c r="K389" s="35"/>
      <c r="L389" s="34"/>
      <c r="M389" s="32"/>
      <c r="N389" s="34"/>
      <c r="O389" s="34"/>
      <c r="P389" s="34"/>
      <c r="Q389" s="34"/>
      <c r="R389" s="34"/>
      <c r="S389" s="34"/>
      <c r="T389" s="34"/>
      <c r="U389" s="34"/>
      <c r="V389" s="34"/>
    </row>
    <row r="390" spans="1:22" x14ac:dyDescent="0.3">
      <c r="A390" s="17"/>
      <c r="B390" s="33"/>
      <c r="C390" s="34"/>
      <c r="D390" s="34"/>
      <c r="E390" s="34"/>
      <c r="F390" s="34"/>
      <c r="G390" s="34"/>
      <c r="H390" s="34"/>
      <c r="I390" s="34"/>
      <c r="J390" s="34"/>
      <c r="K390" s="35"/>
      <c r="L390" s="34"/>
      <c r="M390" s="32"/>
      <c r="N390" s="34"/>
      <c r="O390" s="34"/>
      <c r="P390" s="34"/>
      <c r="Q390" s="34"/>
      <c r="R390" s="34"/>
      <c r="S390" s="34"/>
      <c r="T390" s="34"/>
      <c r="U390" s="34"/>
      <c r="V390" s="34"/>
    </row>
    <row r="391" spans="1:22" x14ac:dyDescent="0.3">
      <c r="A391" s="17"/>
      <c r="B391" s="33"/>
      <c r="C391" s="34"/>
      <c r="D391" s="34"/>
      <c r="E391" s="34"/>
      <c r="F391" s="34"/>
      <c r="G391" s="34"/>
      <c r="H391" s="34"/>
      <c r="I391" s="34"/>
      <c r="J391" s="34"/>
      <c r="K391" s="35"/>
      <c r="L391" s="34"/>
      <c r="M391" s="32"/>
      <c r="N391" s="34"/>
      <c r="O391" s="34"/>
      <c r="P391" s="34"/>
      <c r="Q391" s="34"/>
      <c r="R391" s="34"/>
      <c r="S391" s="34"/>
      <c r="T391" s="34"/>
      <c r="U391" s="34"/>
      <c r="V391" s="34"/>
    </row>
    <row r="392" spans="1:22" x14ac:dyDescent="0.3">
      <c r="A392" s="17"/>
      <c r="B392" s="33"/>
      <c r="C392" s="34"/>
      <c r="D392" s="34"/>
      <c r="E392" s="34"/>
      <c r="F392" s="34"/>
      <c r="G392" s="34"/>
      <c r="H392" s="34"/>
      <c r="I392" s="34"/>
      <c r="J392" s="34"/>
      <c r="K392" s="35"/>
      <c r="L392" s="34"/>
      <c r="M392" s="32"/>
      <c r="N392" s="34"/>
      <c r="O392" s="34"/>
      <c r="P392" s="34"/>
      <c r="Q392" s="34"/>
      <c r="R392" s="34"/>
      <c r="S392" s="34"/>
      <c r="T392" s="34"/>
      <c r="U392" s="34"/>
      <c r="V392" s="34"/>
    </row>
    <row r="393" spans="1:22" x14ac:dyDescent="0.3">
      <c r="A393" s="17"/>
      <c r="B393" s="33"/>
      <c r="C393" s="34"/>
      <c r="D393" s="34"/>
      <c r="E393" s="34"/>
      <c r="F393" s="34"/>
      <c r="G393" s="34"/>
      <c r="H393" s="34"/>
      <c r="I393" s="34"/>
      <c r="J393" s="34"/>
      <c r="K393" s="35"/>
      <c r="L393" s="34"/>
      <c r="M393" s="32"/>
      <c r="N393" s="34"/>
      <c r="O393" s="34"/>
      <c r="P393" s="34"/>
      <c r="Q393" s="34"/>
      <c r="R393" s="34"/>
      <c r="S393" s="34"/>
      <c r="T393" s="34"/>
      <c r="U393" s="34"/>
      <c r="V393" s="34"/>
    </row>
    <row r="394" spans="1:22" x14ac:dyDescent="0.3">
      <c r="A394" s="17"/>
      <c r="B394" s="33"/>
      <c r="C394" s="34"/>
      <c r="D394" s="34"/>
      <c r="E394" s="34"/>
      <c r="F394" s="34"/>
      <c r="G394" s="34"/>
      <c r="H394" s="34"/>
      <c r="I394" s="34"/>
      <c r="J394" s="34"/>
      <c r="K394" s="35"/>
      <c r="L394" s="34"/>
      <c r="M394" s="32"/>
      <c r="N394" s="34"/>
      <c r="O394" s="34"/>
      <c r="P394" s="34"/>
      <c r="Q394" s="34"/>
      <c r="R394" s="34"/>
      <c r="S394" s="34"/>
      <c r="T394" s="34"/>
      <c r="U394" s="34"/>
      <c r="V394" s="34"/>
    </row>
    <row r="395" spans="1:22" x14ac:dyDescent="0.3">
      <c r="A395" s="17"/>
      <c r="B395" s="33"/>
      <c r="C395" s="34"/>
      <c r="D395" s="34"/>
      <c r="E395" s="34"/>
      <c r="F395" s="34"/>
      <c r="G395" s="34"/>
      <c r="H395" s="34"/>
      <c r="I395" s="34"/>
      <c r="J395" s="34"/>
      <c r="K395" s="35"/>
      <c r="L395" s="34"/>
      <c r="M395" s="32"/>
      <c r="N395" s="34"/>
      <c r="O395" s="34"/>
      <c r="P395" s="34"/>
      <c r="Q395" s="34"/>
      <c r="R395" s="34"/>
      <c r="S395" s="34"/>
      <c r="T395" s="34"/>
      <c r="U395" s="34"/>
      <c r="V395" s="34"/>
    </row>
    <row r="396" spans="1:22" x14ac:dyDescent="0.3">
      <c r="A396" s="17"/>
      <c r="B396" s="33"/>
      <c r="C396" s="34"/>
      <c r="D396" s="34"/>
      <c r="E396" s="34"/>
      <c r="F396" s="34"/>
      <c r="G396" s="34"/>
      <c r="H396" s="34"/>
      <c r="I396" s="34"/>
      <c r="J396" s="34"/>
      <c r="K396" s="35"/>
      <c r="L396" s="34"/>
      <c r="M396" s="32"/>
      <c r="N396" s="34"/>
      <c r="O396" s="34"/>
      <c r="P396" s="34"/>
      <c r="Q396" s="34"/>
      <c r="R396" s="34"/>
      <c r="S396" s="34"/>
      <c r="T396" s="34"/>
      <c r="U396" s="34"/>
      <c r="V396" s="34"/>
    </row>
    <row r="397" spans="1:22" x14ac:dyDescent="0.3">
      <c r="A397" s="17"/>
      <c r="B397" s="33"/>
      <c r="C397" s="34"/>
      <c r="D397" s="34"/>
      <c r="E397" s="34"/>
      <c r="F397" s="34"/>
      <c r="G397" s="34"/>
      <c r="H397" s="34"/>
      <c r="I397" s="34"/>
      <c r="J397" s="34"/>
      <c r="K397" s="35"/>
      <c r="L397" s="34"/>
      <c r="M397" s="32"/>
      <c r="N397" s="34"/>
      <c r="O397" s="34"/>
      <c r="P397" s="34"/>
      <c r="Q397" s="34"/>
      <c r="R397" s="34"/>
      <c r="S397" s="34"/>
      <c r="T397" s="34"/>
      <c r="U397" s="34"/>
      <c r="V397" s="34"/>
    </row>
    <row r="398" spans="1:22" x14ac:dyDescent="0.3">
      <c r="A398" s="17"/>
      <c r="B398" s="33"/>
      <c r="C398" s="34"/>
      <c r="D398" s="34"/>
      <c r="E398" s="34"/>
      <c r="F398" s="34"/>
      <c r="G398" s="34"/>
      <c r="H398" s="34"/>
      <c r="I398" s="34"/>
      <c r="J398" s="34"/>
      <c r="K398" s="35"/>
      <c r="L398" s="34"/>
      <c r="M398" s="32"/>
      <c r="N398" s="34"/>
      <c r="O398" s="34"/>
      <c r="P398" s="34"/>
      <c r="Q398" s="34"/>
      <c r="R398" s="34"/>
      <c r="S398" s="34"/>
      <c r="T398" s="34"/>
      <c r="U398" s="34"/>
      <c r="V398" s="34"/>
    </row>
    <row r="399" spans="1:22" x14ac:dyDescent="0.3">
      <c r="A399" s="17"/>
      <c r="B399" s="33"/>
      <c r="C399" s="34"/>
      <c r="D399" s="34"/>
      <c r="E399" s="34"/>
      <c r="F399" s="34"/>
      <c r="G399" s="34"/>
      <c r="H399" s="34"/>
      <c r="I399" s="34"/>
      <c r="J399" s="34"/>
      <c r="K399" s="35"/>
      <c r="L399" s="34"/>
      <c r="M399" s="32"/>
      <c r="N399" s="34"/>
      <c r="O399" s="34"/>
      <c r="P399" s="34"/>
      <c r="Q399" s="34"/>
      <c r="R399" s="34"/>
      <c r="S399" s="34"/>
      <c r="T399" s="34"/>
      <c r="U399" s="34"/>
      <c r="V399" s="34"/>
    </row>
    <row r="400" spans="1:22" x14ac:dyDescent="0.3">
      <c r="A400" s="17"/>
      <c r="B400" s="33"/>
      <c r="C400" s="34"/>
      <c r="D400" s="34"/>
      <c r="E400" s="34"/>
      <c r="F400" s="34"/>
      <c r="G400" s="34"/>
      <c r="H400" s="34"/>
      <c r="I400" s="34"/>
      <c r="J400" s="34"/>
      <c r="K400" s="35"/>
      <c r="L400" s="34"/>
      <c r="M400" s="32"/>
      <c r="N400" s="34"/>
      <c r="O400" s="34"/>
      <c r="P400" s="34"/>
      <c r="Q400" s="34"/>
      <c r="R400" s="34"/>
      <c r="S400" s="34"/>
      <c r="T400" s="34"/>
      <c r="U400" s="34"/>
      <c r="V400" s="34"/>
    </row>
    <row r="401" spans="1:22" x14ac:dyDescent="0.3">
      <c r="A401" s="17"/>
      <c r="B401" s="33"/>
      <c r="C401" s="34"/>
      <c r="D401" s="34"/>
      <c r="E401" s="34"/>
      <c r="F401" s="34"/>
      <c r="G401" s="34"/>
      <c r="H401" s="34"/>
      <c r="I401" s="34"/>
      <c r="J401" s="34"/>
      <c r="K401" s="35"/>
      <c r="L401" s="34"/>
      <c r="M401" s="32"/>
      <c r="N401" s="34"/>
      <c r="O401" s="34"/>
      <c r="P401" s="34"/>
      <c r="Q401" s="34"/>
      <c r="R401" s="34"/>
      <c r="S401" s="34"/>
      <c r="T401" s="34"/>
      <c r="U401" s="34"/>
      <c r="V401" s="34"/>
    </row>
    <row r="402" spans="1:22" x14ac:dyDescent="0.3">
      <c r="A402" s="17"/>
      <c r="B402" s="33"/>
      <c r="C402" s="34"/>
      <c r="D402" s="34"/>
      <c r="E402" s="34"/>
      <c r="F402" s="34"/>
      <c r="G402" s="34"/>
      <c r="H402" s="34"/>
      <c r="I402" s="34"/>
      <c r="J402" s="34"/>
      <c r="K402" s="35"/>
      <c r="L402" s="34"/>
      <c r="M402" s="32"/>
      <c r="N402" s="34"/>
      <c r="O402" s="34"/>
      <c r="P402" s="34"/>
      <c r="Q402" s="34"/>
      <c r="R402" s="34"/>
      <c r="S402" s="34"/>
      <c r="T402" s="34"/>
      <c r="U402" s="34"/>
      <c r="V402" s="34"/>
    </row>
    <row r="403" spans="1:22" x14ac:dyDescent="0.3">
      <c r="A403" s="17"/>
      <c r="B403" s="33"/>
      <c r="C403" s="34"/>
      <c r="D403" s="34"/>
      <c r="E403" s="34"/>
      <c r="F403" s="34"/>
      <c r="G403" s="34"/>
      <c r="H403" s="34"/>
      <c r="I403" s="34"/>
      <c r="J403" s="34"/>
      <c r="K403" s="35"/>
      <c r="L403" s="34"/>
      <c r="M403" s="32"/>
      <c r="N403" s="34"/>
      <c r="O403" s="34"/>
      <c r="P403" s="34"/>
      <c r="Q403" s="34"/>
      <c r="R403" s="34"/>
      <c r="S403" s="34"/>
      <c r="T403" s="34"/>
      <c r="U403" s="34"/>
      <c r="V403" s="34"/>
    </row>
    <row r="404" spans="1:22" x14ac:dyDescent="0.3">
      <c r="A404" s="17"/>
      <c r="B404" s="33"/>
      <c r="C404" s="34"/>
      <c r="D404" s="34"/>
      <c r="E404" s="34"/>
      <c r="F404" s="34"/>
      <c r="G404" s="34"/>
      <c r="H404" s="34"/>
      <c r="I404" s="34"/>
      <c r="J404" s="34"/>
      <c r="K404" s="35"/>
      <c r="L404" s="34"/>
      <c r="M404" s="32"/>
      <c r="N404" s="34"/>
      <c r="O404" s="34"/>
      <c r="P404" s="34"/>
      <c r="Q404" s="34"/>
      <c r="R404" s="34"/>
      <c r="S404" s="34"/>
      <c r="T404" s="34"/>
      <c r="U404" s="34"/>
      <c r="V404" s="34"/>
    </row>
    <row r="405" spans="1:22" x14ac:dyDescent="0.3">
      <c r="A405" s="17"/>
      <c r="B405" s="33"/>
      <c r="C405" s="34"/>
      <c r="D405" s="34"/>
      <c r="E405" s="34"/>
      <c r="F405" s="34"/>
      <c r="G405" s="34"/>
      <c r="H405" s="34"/>
      <c r="I405" s="34"/>
      <c r="J405" s="34"/>
      <c r="K405" s="35"/>
      <c r="L405" s="34"/>
      <c r="M405" s="32"/>
      <c r="N405" s="34"/>
      <c r="O405" s="34"/>
      <c r="P405" s="34"/>
      <c r="Q405" s="34"/>
      <c r="R405" s="34"/>
      <c r="S405" s="34"/>
      <c r="T405" s="34"/>
      <c r="U405" s="34"/>
      <c r="V405" s="34"/>
    </row>
    <row r="406" spans="1:22" x14ac:dyDescent="0.3">
      <c r="A406" s="17"/>
      <c r="B406" s="33"/>
      <c r="C406" s="34"/>
      <c r="D406" s="34"/>
      <c r="E406" s="34"/>
      <c r="F406" s="34"/>
      <c r="G406" s="34"/>
      <c r="H406" s="34"/>
      <c r="I406" s="34"/>
      <c r="J406" s="34"/>
      <c r="K406" s="35"/>
      <c r="L406" s="34"/>
      <c r="M406" s="32"/>
      <c r="N406" s="34"/>
      <c r="O406" s="34"/>
      <c r="P406" s="34"/>
      <c r="Q406" s="34"/>
      <c r="R406" s="34"/>
      <c r="S406" s="34"/>
      <c r="T406" s="34"/>
      <c r="U406" s="34"/>
      <c r="V406" s="34"/>
    </row>
    <row r="407" spans="1:22" x14ac:dyDescent="0.3">
      <c r="A407" s="17"/>
      <c r="B407" s="33"/>
      <c r="C407" s="34"/>
      <c r="D407" s="34"/>
      <c r="E407" s="34"/>
      <c r="F407" s="34"/>
      <c r="G407" s="34"/>
      <c r="H407" s="34"/>
      <c r="I407" s="34"/>
      <c r="J407" s="34"/>
      <c r="K407" s="35"/>
      <c r="L407" s="34"/>
      <c r="M407" s="32"/>
      <c r="N407" s="34"/>
      <c r="O407" s="34"/>
      <c r="P407" s="34"/>
      <c r="Q407" s="34"/>
      <c r="R407" s="34"/>
      <c r="S407" s="34"/>
      <c r="T407" s="34"/>
      <c r="U407" s="34"/>
      <c r="V407" s="34"/>
    </row>
    <row r="408" spans="1:22" x14ac:dyDescent="0.3">
      <c r="A408" s="17"/>
      <c r="B408" s="33"/>
      <c r="C408" s="34"/>
      <c r="D408" s="34"/>
      <c r="E408" s="34"/>
      <c r="F408" s="34"/>
      <c r="G408" s="34"/>
      <c r="H408" s="34"/>
      <c r="I408" s="34"/>
      <c r="J408" s="34"/>
      <c r="K408" s="35"/>
      <c r="L408" s="34"/>
      <c r="M408" s="32"/>
      <c r="N408" s="34"/>
      <c r="O408" s="34"/>
      <c r="P408" s="34"/>
      <c r="Q408" s="34"/>
      <c r="R408" s="34"/>
      <c r="S408" s="34"/>
      <c r="T408" s="34"/>
      <c r="U408" s="34"/>
      <c r="V408" s="34"/>
    </row>
    <row r="409" spans="1:22" x14ac:dyDescent="0.3">
      <c r="A409" s="17"/>
      <c r="B409" s="33"/>
      <c r="C409" s="34"/>
      <c r="D409" s="34"/>
      <c r="E409" s="34"/>
      <c r="F409" s="34"/>
      <c r="G409" s="34"/>
      <c r="H409" s="34"/>
      <c r="I409" s="34"/>
      <c r="J409" s="34"/>
      <c r="K409" s="35"/>
      <c r="L409" s="34"/>
      <c r="M409" s="32"/>
      <c r="N409" s="34"/>
      <c r="O409" s="34"/>
      <c r="P409" s="34"/>
      <c r="Q409" s="34"/>
      <c r="R409" s="34"/>
      <c r="S409" s="34"/>
      <c r="T409" s="34"/>
      <c r="U409" s="34"/>
      <c r="V409" s="34"/>
    </row>
    <row r="410" spans="1:22" x14ac:dyDescent="0.3">
      <c r="A410" s="17"/>
      <c r="B410" s="33"/>
      <c r="C410" s="34"/>
      <c r="D410" s="34"/>
      <c r="E410" s="34"/>
      <c r="F410" s="34"/>
      <c r="G410" s="34"/>
      <c r="H410" s="34"/>
      <c r="I410" s="34"/>
      <c r="J410" s="34"/>
      <c r="K410" s="35"/>
      <c r="L410" s="34"/>
      <c r="M410" s="32"/>
      <c r="N410" s="34"/>
      <c r="O410" s="34"/>
      <c r="P410" s="34"/>
      <c r="Q410" s="34"/>
      <c r="R410" s="34"/>
      <c r="S410" s="34"/>
      <c r="T410" s="34"/>
      <c r="U410" s="34"/>
      <c r="V410" s="34"/>
    </row>
    <row r="411" spans="1:22" x14ac:dyDescent="0.3">
      <c r="A411" s="17"/>
      <c r="B411" s="33"/>
      <c r="C411" s="34"/>
      <c r="D411" s="34"/>
      <c r="E411" s="34"/>
      <c r="F411" s="34"/>
      <c r="G411" s="34"/>
      <c r="H411" s="34"/>
      <c r="I411" s="34"/>
      <c r="J411" s="34"/>
      <c r="K411" s="35"/>
      <c r="L411" s="34"/>
      <c r="M411" s="32"/>
      <c r="N411" s="34"/>
      <c r="O411" s="34"/>
      <c r="P411" s="34"/>
      <c r="Q411" s="34"/>
      <c r="R411" s="34"/>
      <c r="S411" s="34"/>
      <c r="T411" s="34"/>
      <c r="U411" s="34"/>
      <c r="V411" s="34"/>
    </row>
    <row r="412" spans="1:22" x14ac:dyDescent="0.3">
      <c r="A412" s="17"/>
      <c r="B412" s="33"/>
      <c r="C412" s="34"/>
      <c r="D412" s="34"/>
      <c r="E412" s="34"/>
      <c r="F412" s="34"/>
      <c r="G412" s="34"/>
      <c r="H412" s="34"/>
      <c r="I412" s="34"/>
      <c r="J412" s="34"/>
      <c r="K412" s="35"/>
      <c r="L412" s="34"/>
      <c r="M412" s="32"/>
      <c r="N412" s="34"/>
      <c r="O412" s="34"/>
      <c r="P412" s="34"/>
      <c r="Q412" s="34"/>
      <c r="R412" s="34"/>
      <c r="S412" s="34"/>
      <c r="T412" s="34"/>
      <c r="U412" s="34"/>
      <c r="V412" s="34"/>
    </row>
    <row r="413" spans="1:22" x14ac:dyDescent="0.3">
      <c r="A413" s="17"/>
      <c r="B413" s="33"/>
      <c r="C413" s="34"/>
      <c r="D413" s="34"/>
      <c r="E413" s="34"/>
      <c r="F413" s="34"/>
      <c r="G413" s="34"/>
      <c r="H413" s="34"/>
      <c r="I413" s="34"/>
      <c r="J413" s="34"/>
      <c r="K413" s="35"/>
      <c r="L413" s="34"/>
      <c r="M413" s="32"/>
      <c r="N413" s="34"/>
      <c r="O413" s="34"/>
      <c r="P413" s="34"/>
      <c r="Q413" s="34"/>
      <c r="R413" s="34"/>
      <c r="S413" s="34"/>
      <c r="T413" s="34"/>
      <c r="U413" s="34"/>
      <c r="V413" s="34"/>
    </row>
    <row r="414" spans="1:22" x14ac:dyDescent="0.3">
      <c r="A414" s="17"/>
      <c r="B414" s="33"/>
      <c r="C414" s="34"/>
      <c r="D414" s="34"/>
      <c r="E414" s="34"/>
      <c r="F414" s="34"/>
      <c r="G414" s="34"/>
      <c r="H414" s="34"/>
      <c r="I414" s="34"/>
      <c r="J414" s="34"/>
      <c r="K414" s="35"/>
      <c r="L414" s="34"/>
      <c r="M414" s="32"/>
      <c r="N414" s="34"/>
      <c r="O414" s="34"/>
      <c r="P414" s="34"/>
      <c r="Q414" s="34"/>
      <c r="R414" s="34"/>
      <c r="S414" s="34"/>
      <c r="T414" s="34"/>
      <c r="U414" s="34"/>
      <c r="V414" s="34"/>
    </row>
    <row r="415" spans="1:22" x14ac:dyDescent="0.3">
      <c r="A415" s="17"/>
      <c r="B415" s="33"/>
      <c r="C415" s="34"/>
      <c r="D415" s="34"/>
      <c r="E415" s="34"/>
      <c r="F415" s="34"/>
      <c r="G415" s="34"/>
      <c r="H415" s="34"/>
      <c r="I415" s="34"/>
      <c r="J415" s="34"/>
      <c r="K415" s="35"/>
      <c r="L415" s="34"/>
      <c r="M415" s="32"/>
      <c r="N415" s="34"/>
      <c r="O415" s="34"/>
      <c r="P415" s="34"/>
      <c r="Q415" s="34"/>
      <c r="R415" s="34"/>
      <c r="S415" s="34"/>
      <c r="T415" s="34"/>
      <c r="U415" s="34"/>
      <c r="V415" s="34"/>
    </row>
    <row r="416" spans="1:22" x14ac:dyDescent="0.3">
      <c r="A416" s="17"/>
      <c r="B416" s="33"/>
      <c r="C416" s="34"/>
      <c r="D416" s="34"/>
      <c r="E416" s="34"/>
      <c r="F416" s="34"/>
      <c r="G416" s="34"/>
      <c r="H416" s="34"/>
      <c r="I416" s="34"/>
      <c r="J416" s="34"/>
      <c r="K416" s="35"/>
      <c r="L416" s="34"/>
      <c r="M416" s="32"/>
      <c r="N416" s="34"/>
      <c r="O416" s="34"/>
      <c r="P416" s="34"/>
      <c r="Q416" s="34"/>
      <c r="R416" s="34"/>
      <c r="S416" s="34"/>
      <c r="T416" s="34"/>
      <c r="U416" s="34"/>
      <c r="V416" s="34"/>
    </row>
    <row r="417" spans="1:22" x14ac:dyDescent="0.3">
      <c r="A417" s="17"/>
      <c r="B417" s="33"/>
      <c r="C417" s="34"/>
      <c r="D417" s="34"/>
      <c r="E417" s="34"/>
      <c r="F417" s="34"/>
      <c r="G417" s="34"/>
      <c r="H417" s="34"/>
      <c r="I417" s="34"/>
      <c r="J417" s="34"/>
      <c r="K417" s="35"/>
      <c r="L417" s="34"/>
      <c r="M417" s="32"/>
      <c r="N417" s="34"/>
      <c r="O417" s="34"/>
      <c r="P417" s="34"/>
      <c r="Q417" s="34"/>
      <c r="R417" s="34"/>
      <c r="S417" s="34"/>
      <c r="T417" s="34"/>
      <c r="U417" s="34"/>
      <c r="V417" s="34"/>
    </row>
    <row r="418" spans="1:22" x14ac:dyDescent="0.3">
      <c r="A418" s="17"/>
      <c r="B418" s="33"/>
      <c r="C418" s="34"/>
      <c r="D418" s="34"/>
      <c r="E418" s="34"/>
      <c r="F418" s="34"/>
      <c r="G418" s="34"/>
      <c r="H418" s="34"/>
      <c r="I418" s="34"/>
      <c r="J418" s="34"/>
      <c r="K418" s="35"/>
      <c r="L418" s="34"/>
      <c r="M418" s="32"/>
      <c r="N418" s="34"/>
      <c r="O418" s="34"/>
      <c r="P418" s="34"/>
      <c r="Q418" s="34"/>
      <c r="R418" s="34"/>
      <c r="S418" s="34"/>
      <c r="T418" s="34"/>
      <c r="U418" s="34"/>
      <c r="V418" s="34"/>
    </row>
    <row r="419" spans="1:22" x14ac:dyDescent="0.3">
      <c r="A419" s="17"/>
      <c r="B419" s="33"/>
      <c r="C419" s="34"/>
      <c r="D419" s="34"/>
      <c r="E419" s="34"/>
      <c r="F419" s="34"/>
      <c r="G419" s="34"/>
      <c r="H419" s="34"/>
      <c r="I419" s="34"/>
      <c r="J419" s="34"/>
      <c r="K419" s="35"/>
      <c r="L419" s="34"/>
      <c r="M419" s="32"/>
      <c r="N419" s="34"/>
      <c r="O419" s="34"/>
      <c r="P419" s="34"/>
      <c r="Q419" s="34"/>
      <c r="R419" s="34"/>
      <c r="S419" s="34"/>
      <c r="T419" s="34"/>
      <c r="U419" s="34"/>
      <c r="V419" s="34"/>
    </row>
    <row r="420" spans="1:22" x14ac:dyDescent="0.3">
      <c r="A420" s="17"/>
      <c r="B420" s="33"/>
      <c r="C420" s="34"/>
      <c r="D420" s="34"/>
      <c r="E420" s="34"/>
      <c r="F420" s="34"/>
      <c r="G420" s="34"/>
      <c r="H420" s="34"/>
      <c r="I420" s="34"/>
      <c r="J420" s="34"/>
      <c r="K420" s="35"/>
      <c r="L420" s="34"/>
      <c r="M420" s="32"/>
      <c r="N420" s="34"/>
      <c r="O420" s="34"/>
      <c r="P420" s="34"/>
      <c r="Q420" s="34"/>
      <c r="R420" s="34"/>
      <c r="S420" s="34"/>
      <c r="T420" s="34"/>
      <c r="U420" s="34"/>
      <c r="V420" s="34"/>
    </row>
    <row r="421" spans="1:22" x14ac:dyDescent="0.3">
      <c r="A421" s="17"/>
      <c r="B421" s="33"/>
      <c r="C421" s="34"/>
      <c r="D421" s="34"/>
      <c r="E421" s="34"/>
      <c r="F421" s="34"/>
      <c r="G421" s="34"/>
      <c r="H421" s="34"/>
      <c r="I421" s="34"/>
      <c r="J421" s="34"/>
      <c r="K421" s="35"/>
      <c r="L421" s="34"/>
      <c r="M421" s="32"/>
      <c r="N421" s="34"/>
      <c r="O421" s="34"/>
      <c r="P421" s="34"/>
      <c r="Q421" s="34"/>
      <c r="R421" s="34"/>
      <c r="S421" s="34"/>
      <c r="T421" s="34"/>
      <c r="U421" s="34"/>
      <c r="V421" s="34"/>
    </row>
    <row r="422" spans="1:22" x14ac:dyDescent="0.3">
      <c r="A422" s="17"/>
      <c r="B422" s="33"/>
      <c r="C422" s="34"/>
      <c r="D422" s="34"/>
      <c r="E422" s="34"/>
      <c r="F422" s="34"/>
      <c r="G422" s="34"/>
      <c r="H422" s="34"/>
      <c r="I422" s="34"/>
      <c r="J422" s="34"/>
      <c r="K422" s="35"/>
      <c r="L422" s="34"/>
      <c r="M422" s="32"/>
      <c r="N422" s="34"/>
      <c r="O422" s="34"/>
      <c r="P422" s="34"/>
      <c r="Q422" s="34"/>
      <c r="R422" s="34"/>
      <c r="S422" s="34"/>
      <c r="T422" s="34"/>
      <c r="U422" s="34"/>
      <c r="V422" s="34"/>
    </row>
    <row r="423" spans="1:22" x14ac:dyDescent="0.3">
      <c r="A423" s="17"/>
      <c r="B423" s="33"/>
      <c r="C423" s="34"/>
      <c r="D423" s="34"/>
      <c r="E423" s="34"/>
      <c r="F423" s="34"/>
      <c r="G423" s="34"/>
      <c r="H423" s="34"/>
      <c r="I423" s="34"/>
      <c r="J423" s="34"/>
      <c r="K423" s="35"/>
      <c r="L423" s="34"/>
      <c r="M423" s="32"/>
      <c r="N423" s="34"/>
      <c r="O423" s="34"/>
      <c r="P423" s="34"/>
      <c r="Q423" s="34"/>
      <c r="R423" s="34"/>
      <c r="S423" s="34"/>
      <c r="T423" s="34"/>
      <c r="U423" s="34"/>
      <c r="V423" s="34"/>
    </row>
    <row r="424" spans="1:22" x14ac:dyDescent="0.3">
      <c r="A424" s="17"/>
      <c r="B424" s="33"/>
      <c r="C424" s="34"/>
      <c r="D424" s="34"/>
      <c r="E424" s="34"/>
      <c r="F424" s="34"/>
      <c r="G424" s="34"/>
      <c r="H424" s="34"/>
      <c r="I424" s="34"/>
      <c r="J424" s="34"/>
      <c r="K424" s="35"/>
      <c r="L424" s="34"/>
      <c r="M424" s="32"/>
      <c r="N424" s="34"/>
      <c r="O424" s="34"/>
      <c r="P424" s="34"/>
      <c r="Q424" s="34"/>
      <c r="R424" s="34"/>
      <c r="S424" s="34"/>
      <c r="T424" s="34"/>
      <c r="U424" s="34"/>
      <c r="V424" s="34"/>
    </row>
    <row r="425" spans="1:22" x14ac:dyDescent="0.3">
      <c r="A425" s="17"/>
      <c r="B425" s="33"/>
      <c r="C425" s="34"/>
      <c r="D425" s="34"/>
      <c r="E425" s="34"/>
      <c r="F425" s="34"/>
      <c r="G425" s="34"/>
      <c r="H425" s="34"/>
      <c r="I425" s="34"/>
      <c r="J425" s="34"/>
      <c r="K425" s="35"/>
      <c r="L425" s="34"/>
      <c r="M425" s="32"/>
      <c r="N425" s="34"/>
      <c r="O425" s="34"/>
      <c r="P425" s="34"/>
      <c r="Q425" s="34"/>
      <c r="R425" s="34"/>
      <c r="S425" s="34"/>
      <c r="T425" s="34"/>
      <c r="U425" s="34"/>
      <c r="V425" s="34"/>
    </row>
    <row r="426" spans="1:22" x14ac:dyDescent="0.3">
      <c r="A426" s="17"/>
      <c r="B426" s="33"/>
      <c r="C426" s="34"/>
      <c r="D426" s="34"/>
      <c r="E426" s="34"/>
      <c r="F426" s="34"/>
      <c r="G426" s="34"/>
      <c r="H426" s="34"/>
      <c r="I426" s="34"/>
      <c r="J426" s="34"/>
      <c r="K426" s="35"/>
      <c r="L426" s="34"/>
      <c r="M426" s="32"/>
      <c r="N426" s="34"/>
      <c r="O426" s="34"/>
      <c r="P426" s="34"/>
      <c r="Q426" s="34"/>
      <c r="R426" s="34"/>
      <c r="S426" s="34"/>
      <c r="T426" s="34"/>
      <c r="U426" s="34"/>
      <c r="V426" s="34"/>
    </row>
    <row r="427" spans="1:22" x14ac:dyDescent="0.3">
      <c r="A427" s="17"/>
      <c r="B427" s="33"/>
      <c r="C427" s="34"/>
      <c r="D427" s="34"/>
      <c r="E427" s="34"/>
      <c r="F427" s="34"/>
      <c r="G427" s="34"/>
      <c r="H427" s="34"/>
      <c r="I427" s="34"/>
      <c r="J427" s="34"/>
      <c r="K427" s="35"/>
      <c r="L427" s="34"/>
      <c r="M427" s="32"/>
      <c r="N427" s="34"/>
      <c r="O427" s="34"/>
      <c r="P427" s="34"/>
      <c r="Q427" s="34"/>
      <c r="R427" s="34"/>
      <c r="S427" s="34"/>
      <c r="T427" s="34"/>
      <c r="U427" s="34"/>
      <c r="V427" s="34"/>
    </row>
    <row r="428" spans="1:22" x14ac:dyDescent="0.3">
      <c r="A428" s="17"/>
      <c r="B428" s="33"/>
      <c r="C428" s="34"/>
      <c r="D428" s="34"/>
      <c r="E428" s="34"/>
      <c r="F428" s="34"/>
      <c r="G428" s="34"/>
      <c r="H428" s="34"/>
      <c r="I428" s="34"/>
      <c r="J428" s="34"/>
      <c r="K428" s="35"/>
      <c r="L428" s="34"/>
      <c r="M428" s="32"/>
      <c r="N428" s="34"/>
      <c r="O428" s="34"/>
      <c r="P428" s="34"/>
      <c r="Q428" s="34"/>
      <c r="R428" s="34"/>
      <c r="S428" s="34"/>
      <c r="T428" s="34"/>
      <c r="U428" s="34"/>
      <c r="V428" s="34"/>
    </row>
    <row r="429" spans="1:22" x14ac:dyDescent="0.3">
      <c r="A429" s="17"/>
      <c r="B429" s="33"/>
      <c r="C429" s="34"/>
      <c r="D429" s="34"/>
      <c r="E429" s="34"/>
      <c r="F429" s="34"/>
      <c r="G429" s="34"/>
      <c r="H429" s="34"/>
      <c r="I429" s="34"/>
      <c r="J429" s="34"/>
      <c r="K429" s="35"/>
      <c r="L429" s="34"/>
      <c r="M429" s="32"/>
      <c r="N429" s="34"/>
      <c r="O429" s="34"/>
      <c r="P429" s="34"/>
      <c r="Q429" s="34"/>
      <c r="R429" s="34"/>
      <c r="S429" s="34"/>
      <c r="T429" s="34"/>
      <c r="U429" s="34"/>
      <c r="V429" s="34"/>
    </row>
    <row r="430" spans="1:22" x14ac:dyDescent="0.3">
      <c r="A430" s="17"/>
      <c r="B430" s="33"/>
      <c r="C430" s="34"/>
      <c r="D430" s="34"/>
      <c r="E430" s="34"/>
      <c r="F430" s="34"/>
      <c r="G430" s="34"/>
      <c r="H430" s="34"/>
      <c r="I430" s="34"/>
      <c r="J430" s="34"/>
      <c r="K430" s="35"/>
      <c r="L430" s="34"/>
      <c r="M430" s="32"/>
      <c r="N430" s="34"/>
      <c r="O430" s="34"/>
      <c r="P430" s="34"/>
      <c r="Q430" s="34"/>
      <c r="R430" s="34"/>
      <c r="S430" s="34"/>
      <c r="T430" s="34"/>
      <c r="U430" s="34"/>
      <c r="V430" s="34"/>
    </row>
    <row r="431" spans="1:22" x14ac:dyDescent="0.3">
      <c r="A431" s="17"/>
      <c r="B431" s="33"/>
      <c r="C431" s="34"/>
      <c r="D431" s="34"/>
      <c r="E431" s="34"/>
      <c r="F431" s="34"/>
      <c r="G431" s="34"/>
      <c r="H431" s="34"/>
      <c r="I431" s="34"/>
      <c r="J431" s="34"/>
      <c r="K431" s="35"/>
      <c r="L431" s="34"/>
      <c r="M431" s="32"/>
      <c r="N431" s="34"/>
      <c r="O431" s="34"/>
      <c r="P431" s="34"/>
      <c r="Q431" s="34"/>
      <c r="R431" s="34"/>
      <c r="S431" s="34"/>
      <c r="T431" s="34"/>
      <c r="U431" s="34"/>
      <c r="V431" s="34"/>
    </row>
    <row r="432" spans="1:22" x14ac:dyDescent="0.3">
      <c r="A432" s="17"/>
      <c r="B432" s="33"/>
      <c r="C432" s="34"/>
      <c r="D432" s="34"/>
      <c r="E432" s="34"/>
      <c r="F432" s="34"/>
      <c r="G432" s="34"/>
      <c r="H432" s="34"/>
      <c r="I432" s="34"/>
      <c r="J432" s="34"/>
      <c r="K432" s="35"/>
      <c r="L432" s="34"/>
      <c r="M432" s="32"/>
      <c r="N432" s="34"/>
      <c r="O432" s="34"/>
      <c r="P432" s="34"/>
      <c r="Q432" s="34"/>
      <c r="R432" s="34"/>
      <c r="S432" s="34"/>
      <c r="T432" s="34"/>
      <c r="U432" s="34"/>
      <c r="V432" s="34"/>
    </row>
    <row r="433" spans="1:22" x14ac:dyDescent="0.3">
      <c r="A433" s="17"/>
      <c r="B433" s="33"/>
      <c r="C433" s="34"/>
      <c r="D433" s="34"/>
      <c r="E433" s="34"/>
      <c r="F433" s="34"/>
      <c r="G433" s="34"/>
      <c r="H433" s="34"/>
      <c r="I433" s="34"/>
      <c r="J433" s="34"/>
      <c r="K433" s="35"/>
      <c r="L433" s="34"/>
      <c r="M433" s="32"/>
      <c r="N433" s="34"/>
      <c r="O433" s="34"/>
      <c r="P433" s="34"/>
      <c r="Q433" s="34"/>
      <c r="R433" s="34"/>
      <c r="S433" s="34"/>
      <c r="T433" s="34"/>
      <c r="U433" s="34"/>
      <c r="V433" s="34"/>
    </row>
    <row r="434" spans="1:22" x14ac:dyDescent="0.3">
      <c r="A434" s="17"/>
      <c r="B434" s="33"/>
      <c r="C434" s="34"/>
      <c r="D434" s="34"/>
      <c r="E434" s="34"/>
      <c r="F434" s="34"/>
      <c r="G434" s="34"/>
      <c r="H434" s="34"/>
      <c r="I434" s="34"/>
      <c r="J434" s="34"/>
      <c r="K434" s="35"/>
      <c r="L434" s="34"/>
      <c r="M434" s="32"/>
      <c r="N434" s="34"/>
      <c r="O434" s="34"/>
      <c r="P434" s="34"/>
      <c r="Q434" s="34"/>
      <c r="R434" s="34"/>
      <c r="S434" s="34"/>
      <c r="T434" s="34"/>
      <c r="U434" s="34"/>
      <c r="V434" s="34"/>
    </row>
    <row r="435" spans="1:22" x14ac:dyDescent="0.3">
      <c r="A435" s="17"/>
      <c r="B435" s="33"/>
      <c r="C435" s="34"/>
      <c r="D435" s="34"/>
      <c r="E435" s="34"/>
      <c r="F435" s="34"/>
      <c r="G435" s="34"/>
      <c r="H435" s="34"/>
      <c r="I435" s="34"/>
      <c r="J435" s="34"/>
      <c r="K435" s="35"/>
      <c r="L435" s="34"/>
      <c r="M435" s="32"/>
      <c r="N435" s="34"/>
      <c r="O435" s="34"/>
      <c r="P435" s="34"/>
      <c r="Q435" s="34"/>
      <c r="R435" s="34"/>
      <c r="S435" s="34"/>
      <c r="T435" s="34"/>
      <c r="U435" s="34"/>
      <c r="V435" s="34"/>
    </row>
    <row r="436" spans="1:22" x14ac:dyDescent="0.3">
      <c r="A436" s="17"/>
      <c r="B436" s="33"/>
      <c r="C436" s="34"/>
      <c r="D436" s="34"/>
      <c r="E436" s="34"/>
      <c r="F436" s="34"/>
      <c r="G436" s="34"/>
      <c r="H436" s="34"/>
      <c r="I436" s="34"/>
      <c r="J436" s="34"/>
      <c r="K436" s="35"/>
      <c r="L436" s="34"/>
      <c r="M436" s="32"/>
      <c r="N436" s="34"/>
      <c r="O436" s="34"/>
      <c r="P436" s="34"/>
      <c r="Q436" s="34"/>
      <c r="R436" s="34"/>
      <c r="S436" s="34"/>
      <c r="T436" s="34"/>
      <c r="U436" s="34"/>
      <c r="V436" s="34"/>
    </row>
    <row r="437" spans="1:22" x14ac:dyDescent="0.3">
      <c r="A437" s="17"/>
      <c r="B437" s="33"/>
      <c r="C437" s="34"/>
      <c r="D437" s="34"/>
      <c r="E437" s="34"/>
      <c r="F437" s="34"/>
      <c r="G437" s="34"/>
      <c r="H437" s="34"/>
      <c r="I437" s="34"/>
      <c r="J437" s="34"/>
      <c r="K437" s="35"/>
      <c r="L437" s="34"/>
      <c r="M437" s="32"/>
      <c r="N437" s="34"/>
      <c r="O437" s="34"/>
      <c r="P437" s="34"/>
      <c r="Q437" s="34"/>
      <c r="R437" s="34"/>
      <c r="S437" s="34"/>
      <c r="T437" s="34"/>
      <c r="U437" s="34"/>
      <c r="V437" s="34"/>
    </row>
    <row r="438" spans="1:22" x14ac:dyDescent="0.3">
      <c r="A438" s="17"/>
      <c r="B438" s="33"/>
      <c r="C438" s="34"/>
      <c r="D438" s="34"/>
      <c r="E438" s="34"/>
      <c r="F438" s="34"/>
      <c r="G438" s="34"/>
      <c r="H438" s="34"/>
      <c r="I438" s="34"/>
      <c r="J438" s="34"/>
      <c r="K438" s="35"/>
      <c r="L438" s="34"/>
      <c r="M438" s="32"/>
      <c r="N438" s="34"/>
      <c r="O438" s="34"/>
      <c r="P438" s="34"/>
      <c r="Q438" s="34"/>
      <c r="R438" s="34"/>
      <c r="S438" s="34"/>
      <c r="T438" s="34"/>
      <c r="U438" s="34"/>
      <c r="V438" s="34"/>
    </row>
    <row r="439" spans="1:22" x14ac:dyDescent="0.3">
      <c r="A439" s="17"/>
      <c r="B439" s="33"/>
      <c r="C439" s="34"/>
      <c r="D439" s="34"/>
      <c r="E439" s="34"/>
      <c r="F439" s="34"/>
      <c r="G439" s="34"/>
      <c r="H439" s="34"/>
      <c r="I439" s="34"/>
      <c r="J439" s="34"/>
      <c r="K439" s="35"/>
      <c r="L439" s="34"/>
      <c r="M439" s="32"/>
      <c r="N439" s="34"/>
      <c r="O439" s="34"/>
      <c r="P439" s="34"/>
      <c r="Q439" s="34"/>
      <c r="R439" s="34"/>
      <c r="S439" s="34"/>
      <c r="T439" s="34"/>
      <c r="U439" s="34"/>
      <c r="V439" s="34"/>
    </row>
    <row r="440" spans="1:22" x14ac:dyDescent="0.3">
      <c r="A440" s="17"/>
      <c r="B440" s="33"/>
      <c r="C440" s="34"/>
      <c r="D440" s="34"/>
      <c r="E440" s="34"/>
      <c r="F440" s="34"/>
      <c r="G440" s="34"/>
      <c r="H440" s="34"/>
      <c r="I440" s="34"/>
      <c r="J440" s="34"/>
      <c r="K440" s="35"/>
      <c r="L440" s="34"/>
      <c r="M440" s="32"/>
      <c r="N440" s="34"/>
      <c r="O440" s="34"/>
      <c r="P440" s="34"/>
      <c r="Q440" s="34"/>
      <c r="R440" s="34"/>
      <c r="S440" s="34"/>
      <c r="T440" s="34"/>
      <c r="U440" s="34"/>
      <c r="V440" s="34"/>
    </row>
    <row r="441" spans="1:22" x14ac:dyDescent="0.3">
      <c r="A441" s="17"/>
      <c r="B441" s="33"/>
      <c r="C441" s="34"/>
      <c r="D441" s="34"/>
      <c r="E441" s="34"/>
      <c r="F441" s="34"/>
      <c r="G441" s="34"/>
      <c r="H441" s="34"/>
      <c r="I441" s="34"/>
      <c r="J441" s="34"/>
      <c r="K441" s="35"/>
      <c r="L441" s="34"/>
      <c r="M441" s="32"/>
      <c r="N441" s="34"/>
      <c r="O441" s="34"/>
      <c r="P441" s="34"/>
      <c r="Q441" s="34"/>
      <c r="R441" s="34"/>
      <c r="S441" s="34"/>
      <c r="T441" s="34"/>
      <c r="U441" s="34"/>
      <c r="V441" s="34"/>
    </row>
    <row r="442" spans="1:22" x14ac:dyDescent="0.3">
      <c r="A442" s="17"/>
      <c r="B442" s="33"/>
      <c r="C442" s="34"/>
      <c r="D442" s="34"/>
      <c r="E442" s="34"/>
      <c r="F442" s="34"/>
      <c r="G442" s="34"/>
      <c r="H442" s="34"/>
      <c r="I442" s="34"/>
      <c r="J442" s="34"/>
      <c r="K442" s="35"/>
      <c r="L442" s="34"/>
      <c r="M442" s="32"/>
      <c r="N442" s="34"/>
      <c r="O442" s="34"/>
      <c r="P442" s="34"/>
      <c r="Q442" s="34"/>
      <c r="R442" s="34"/>
      <c r="S442" s="34"/>
      <c r="T442" s="34"/>
      <c r="U442" s="34"/>
      <c r="V442" s="34"/>
    </row>
    <row r="443" spans="1:22" x14ac:dyDescent="0.3">
      <c r="A443" s="17"/>
      <c r="B443" s="33"/>
      <c r="C443" s="34"/>
      <c r="D443" s="34"/>
      <c r="E443" s="34"/>
      <c r="F443" s="34"/>
      <c r="G443" s="34"/>
      <c r="H443" s="34"/>
      <c r="I443" s="34"/>
      <c r="J443" s="34"/>
      <c r="K443" s="35"/>
      <c r="L443" s="34"/>
      <c r="M443" s="32"/>
      <c r="N443" s="34"/>
      <c r="O443" s="34"/>
      <c r="P443" s="34"/>
      <c r="Q443" s="34"/>
      <c r="R443" s="34"/>
      <c r="S443" s="34"/>
      <c r="T443" s="34"/>
      <c r="U443" s="34"/>
      <c r="V443" s="34"/>
    </row>
    <row r="444" spans="1:22" x14ac:dyDescent="0.3">
      <c r="A444" s="17"/>
      <c r="B444" s="33"/>
      <c r="C444" s="34"/>
      <c r="D444" s="34"/>
      <c r="E444" s="34"/>
      <c r="F444" s="34"/>
      <c r="G444" s="34"/>
      <c r="H444" s="34"/>
      <c r="I444" s="34"/>
      <c r="J444" s="34"/>
      <c r="K444" s="35"/>
      <c r="L444" s="34"/>
      <c r="M444" s="32"/>
      <c r="N444" s="34"/>
      <c r="O444" s="34"/>
      <c r="P444" s="34"/>
      <c r="Q444" s="34"/>
      <c r="R444" s="34"/>
      <c r="S444" s="34"/>
      <c r="T444" s="34"/>
      <c r="U444" s="34"/>
      <c r="V444" s="34"/>
    </row>
    <row r="445" spans="1:22" x14ac:dyDescent="0.3">
      <c r="A445" s="17"/>
      <c r="B445" s="33"/>
      <c r="C445" s="34"/>
      <c r="D445" s="34"/>
      <c r="E445" s="34"/>
      <c r="F445" s="34"/>
      <c r="G445" s="34"/>
      <c r="H445" s="34"/>
      <c r="I445" s="34"/>
      <c r="J445" s="34"/>
      <c r="K445" s="35"/>
      <c r="L445" s="34"/>
      <c r="M445" s="32"/>
      <c r="N445" s="34"/>
      <c r="O445" s="34"/>
      <c r="P445" s="34"/>
      <c r="Q445" s="34"/>
      <c r="R445" s="34"/>
      <c r="S445" s="34"/>
      <c r="T445" s="34"/>
      <c r="U445" s="34"/>
      <c r="V445" s="34"/>
    </row>
    <row r="446" spans="1:22" x14ac:dyDescent="0.3">
      <c r="A446" s="17"/>
      <c r="B446" s="33"/>
      <c r="C446" s="34"/>
      <c r="D446" s="34"/>
      <c r="E446" s="34"/>
      <c r="F446" s="34"/>
      <c r="G446" s="34"/>
      <c r="H446" s="34"/>
      <c r="I446" s="34"/>
      <c r="J446" s="34"/>
      <c r="K446" s="35"/>
      <c r="L446" s="34"/>
      <c r="M446" s="32"/>
      <c r="N446" s="34"/>
      <c r="O446" s="34"/>
      <c r="P446" s="34"/>
      <c r="Q446" s="34"/>
      <c r="R446" s="34"/>
      <c r="S446" s="34"/>
      <c r="T446" s="34"/>
      <c r="U446" s="34"/>
      <c r="V446" s="34"/>
    </row>
    <row r="447" spans="1:22" x14ac:dyDescent="0.3">
      <c r="A447" s="17"/>
      <c r="B447" s="33"/>
      <c r="C447" s="34"/>
      <c r="D447" s="34"/>
      <c r="E447" s="34"/>
      <c r="F447" s="34"/>
      <c r="G447" s="34"/>
      <c r="H447" s="34"/>
      <c r="I447" s="34"/>
      <c r="J447" s="34"/>
      <c r="K447" s="35"/>
      <c r="L447" s="34"/>
      <c r="M447" s="32"/>
      <c r="N447" s="34"/>
      <c r="O447" s="34"/>
      <c r="P447" s="34"/>
      <c r="Q447" s="34"/>
      <c r="R447" s="34"/>
      <c r="S447" s="34"/>
      <c r="T447" s="34"/>
      <c r="U447" s="34"/>
      <c r="V447" s="34"/>
    </row>
    <row r="448" spans="1:22" x14ac:dyDescent="0.3">
      <c r="A448" s="17"/>
      <c r="B448" s="33"/>
      <c r="C448" s="34"/>
      <c r="D448" s="34"/>
      <c r="E448" s="34"/>
      <c r="F448" s="34"/>
      <c r="G448" s="34"/>
      <c r="H448" s="34"/>
      <c r="I448" s="34"/>
      <c r="J448" s="34"/>
      <c r="K448" s="35"/>
      <c r="L448" s="34"/>
      <c r="M448" s="32"/>
      <c r="N448" s="34"/>
      <c r="O448" s="34"/>
      <c r="P448" s="34"/>
      <c r="Q448" s="34"/>
      <c r="R448" s="34"/>
      <c r="S448" s="34"/>
      <c r="T448" s="34"/>
      <c r="U448" s="34"/>
      <c r="V448" s="34"/>
    </row>
    <row r="449" spans="1:22" x14ac:dyDescent="0.3">
      <c r="A449" s="17"/>
      <c r="B449" s="33"/>
      <c r="C449" s="34"/>
      <c r="D449" s="34"/>
      <c r="E449" s="34"/>
      <c r="F449" s="34"/>
      <c r="G449" s="34"/>
      <c r="H449" s="34"/>
      <c r="I449" s="34"/>
      <c r="J449" s="34"/>
      <c r="K449" s="35"/>
      <c r="L449" s="34"/>
      <c r="M449" s="32"/>
      <c r="N449" s="34"/>
      <c r="O449" s="34"/>
      <c r="P449" s="34"/>
      <c r="Q449" s="34"/>
      <c r="R449" s="34"/>
      <c r="S449" s="34"/>
      <c r="T449" s="34"/>
      <c r="U449" s="34"/>
      <c r="V449" s="34"/>
    </row>
    <row r="450" spans="1:22" x14ac:dyDescent="0.3">
      <c r="A450" s="17"/>
      <c r="B450" s="33"/>
      <c r="C450" s="34"/>
      <c r="D450" s="34"/>
      <c r="E450" s="34"/>
      <c r="F450" s="34"/>
      <c r="G450" s="34"/>
      <c r="H450" s="34"/>
      <c r="I450" s="34"/>
      <c r="J450" s="34"/>
      <c r="K450" s="35"/>
      <c r="L450" s="34"/>
      <c r="M450" s="32"/>
      <c r="N450" s="34"/>
      <c r="O450" s="34"/>
      <c r="P450" s="34"/>
      <c r="Q450" s="34"/>
      <c r="R450" s="34"/>
      <c r="S450" s="34"/>
      <c r="T450" s="34"/>
      <c r="U450" s="34"/>
      <c r="V450" s="34"/>
    </row>
    <row r="451" spans="1:22" x14ac:dyDescent="0.3">
      <c r="A451" s="17"/>
      <c r="B451" s="33"/>
      <c r="C451" s="34"/>
      <c r="D451" s="34"/>
      <c r="E451" s="34"/>
      <c r="F451" s="34"/>
      <c r="G451" s="34"/>
      <c r="H451" s="34"/>
      <c r="I451" s="34"/>
      <c r="J451" s="34"/>
      <c r="K451" s="35"/>
      <c r="L451" s="34"/>
      <c r="M451" s="32"/>
      <c r="N451" s="34"/>
      <c r="O451" s="34"/>
      <c r="P451" s="34"/>
      <c r="Q451" s="34"/>
      <c r="R451" s="34"/>
      <c r="S451" s="34"/>
      <c r="T451" s="34"/>
      <c r="U451" s="34"/>
      <c r="V451" s="34"/>
    </row>
    <row r="452" spans="1:22" x14ac:dyDescent="0.3">
      <c r="A452" s="17"/>
      <c r="B452" s="33"/>
      <c r="C452" s="34"/>
      <c r="D452" s="34"/>
      <c r="E452" s="34"/>
      <c r="F452" s="34"/>
      <c r="G452" s="34"/>
      <c r="H452" s="34"/>
      <c r="I452" s="34"/>
      <c r="J452" s="34"/>
      <c r="K452" s="35"/>
      <c r="L452" s="34"/>
      <c r="M452" s="32"/>
      <c r="N452" s="34"/>
      <c r="O452" s="34"/>
      <c r="P452" s="34"/>
      <c r="Q452" s="34"/>
      <c r="R452" s="34"/>
      <c r="S452" s="34"/>
      <c r="T452" s="34"/>
      <c r="U452" s="34"/>
      <c r="V452" s="34"/>
    </row>
    <row r="453" spans="1:22" x14ac:dyDescent="0.3">
      <c r="A453" s="17"/>
      <c r="B453" s="33"/>
      <c r="C453" s="34"/>
      <c r="D453" s="34"/>
      <c r="E453" s="34"/>
      <c r="F453" s="34"/>
      <c r="G453" s="34"/>
      <c r="H453" s="34"/>
      <c r="I453" s="34"/>
      <c r="J453" s="34"/>
      <c r="K453" s="35"/>
      <c r="L453" s="34"/>
      <c r="M453" s="32"/>
      <c r="N453" s="34"/>
      <c r="O453" s="34"/>
      <c r="P453" s="34"/>
      <c r="Q453" s="34"/>
      <c r="R453" s="34"/>
      <c r="S453" s="34"/>
      <c r="T453" s="34"/>
      <c r="U453" s="34"/>
      <c r="V453" s="34"/>
    </row>
    <row r="454" spans="1:22" x14ac:dyDescent="0.3">
      <c r="A454" s="17"/>
      <c r="B454" s="33"/>
      <c r="C454" s="34"/>
      <c r="D454" s="34"/>
      <c r="E454" s="34"/>
      <c r="F454" s="34"/>
      <c r="G454" s="34"/>
      <c r="H454" s="34"/>
      <c r="I454" s="34"/>
      <c r="J454" s="34"/>
      <c r="K454" s="35"/>
      <c r="L454" s="34"/>
      <c r="M454" s="32"/>
      <c r="N454" s="34"/>
      <c r="O454" s="34"/>
      <c r="P454" s="34"/>
      <c r="Q454" s="34"/>
      <c r="R454" s="34"/>
      <c r="S454" s="34"/>
      <c r="T454" s="34"/>
      <c r="U454" s="34"/>
      <c r="V454" s="34"/>
    </row>
    <row r="455" spans="1:22" x14ac:dyDescent="0.3">
      <c r="A455" s="17"/>
      <c r="B455" s="33"/>
      <c r="C455" s="34"/>
      <c r="D455" s="34"/>
      <c r="E455" s="34"/>
      <c r="F455" s="34"/>
      <c r="G455" s="34"/>
      <c r="H455" s="34"/>
      <c r="I455" s="34"/>
      <c r="J455" s="34"/>
      <c r="K455" s="35"/>
      <c r="L455" s="34"/>
      <c r="M455" s="32"/>
      <c r="N455" s="34"/>
      <c r="O455" s="34"/>
      <c r="P455" s="34"/>
      <c r="Q455" s="34"/>
      <c r="R455" s="34"/>
      <c r="S455" s="34"/>
      <c r="T455" s="34"/>
      <c r="U455" s="34"/>
      <c r="V455" s="34"/>
    </row>
    <row r="456" spans="1:22" x14ac:dyDescent="0.3">
      <c r="A456" s="17"/>
      <c r="B456" s="33"/>
      <c r="C456" s="34"/>
      <c r="D456" s="34"/>
      <c r="E456" s="34"/>
      <c r="F456" s="34"/>
      <c r="G456" s="34"/>
      <c r="H456" s="34"/>
      <c r="I456" s="34"/>
      <c r="J456" s="34"/>
      <c r="K456" s="35"/>
      <c r="L456" s="34"/>
      <c r="M456" s="32"/>
      <c r="N456" s="34"/>
      <c r="O456" s="34"/>
      <c r="P456" s="34"/>
      <c r="Q456" s="34"/>
      <c r="R456" s="34"/>
      <c r="S456" s="34"/>
      <c r="T456" s="34"/>
      <c r="U456" s="34"/>
      <c r="V456" s="34"/>
    </row>
    <row r="457" spans="1:22" x14ac:dyDescent="0.3">
      <c r="A457" s="17"/>
      <c r="B457" s="33"/>
      <c r="C457" s="34"/>
      <c r="D457" s="34"/>
      <c r="E457" s="34"/>
      <c r="F457" s="34"/>
      <c r="G457" s="34"/>
      <c r="H457" s="34"/>
      <c r="I457" s="34"/>
      <c r="J457" s="34"/>
      <c r="K457" s="35"/>
      <c r="L457" s="34"/>
      <c r="M457" s="32"/>
      <c r="N457" s="34"/>
      <c r="O457" s="34"/>
      <c r="P457" s="34"/>
      <c r="Q457" s="34"/>
      <c r="R457" s="34"/>
      <c r="S457" s="34"/>
      <c r="T457" s="34"/>
      <c r="U457" s="34"/>
      <c r="V457" s="34"/>
    </row>
    <row r="458" spans="1:22" x14ac:dyDescent="0.3">
      <c r="A458" s="17"/>
      <c r="B458" s="33"/>
      <c r="C458" s="34"/>
      <c r="D458" s="34"/>
      <c r="E458" s="34"/>
      <c r="F458" s="34"/>
      <c r="G458" s="34"/>
      <c r="H458" s="34"/>
      <c r="I458" s="34"/>
      <c r="J458" s="34"/>
      <c r="K458" s="35"/>
      <c r="L458" s="34"/>
      <c r="M458" s="32"/>
      <c r="N458" s="34"/>
      <c r="O458" s="34"/>
      <c r="P458" s="34"/>
      <c r="Q458" s="34"/>
      <c r="R458" s="34"/>
      <c r="S458" s="34"/>
      <c r="T458" s="34"/>
      <c r="U458" s="34"/>
      <c r="V458" s="34"/>
    </row>
    <row r="459" spans="1:22" x14ac:dyDescent="0.3">
      <c r="A459" s="17"/>
      <c r="B459" s="33"/>
      <c r="C459" s="34"/>
      <c r="D459" s="34"/>
      <c r="E459" s="34"/>
      <c r="F459" s="34"/>
      <c r="G459" s="34"/>
      <c r="H459" s="34"/>
      <c r="I459" s="34"/>
      <c r="J459" s="34"/>
      <c r="K459" s="35"/>
      <c r="L459" s="34"/>
      <c r="M459" s="32"/>
      <c r="N459" s="34"/>
      <c r="O459" s="34"/>
      <c r="P459" s="34"/>
      <c r="Q459" s="34"/>
      <c r="R459" s="34"/>
      <c r="S459" s="34"/>
      <c r="T459" s="34"/>
      <c r="U459" s="34"/>
      <c r="V459" s="34"/>
    </row>
    <row r="460" spans="1:22" x14ac:dyDescent="0.3">
      <c r="A460" s="17"/>
      <c r="B460" s="33"/>
      <c r="C460" s="34"/>
      <c r="D460" s="34"/>
      <c r="E460" s="34"/>
      <c r="F460" s="34"/>
      <c r="G460" s="34"/>
      <c r="H460" s="34"/>
      <c r="I460" s="34"/>
      <c r="J460" s="34"/>
      <c r="K460" s="35"/>
      <c r="L460" s="34"/>
      <c r="M460" s="32"/>
      <c r="N460" s="34"/>
      <c r="O460" s="34"/>
      <c r="P460" s="34"/>
      <c r="Q460" s="34"/>
      <c r="R460" s="34"/>
      <c r="S460" s="34"/>
      <c r="T460" s="34"/>
      <c r="U460" s="34"/>
      <c r="V460" s="34"/>
    </row>
    <row r="461" spans="1:22" x14ac:dyDescent="0.3">
      <c r="A461" s="17"/>
      <c r="B461" s="33"/>
      <c r="C461" s="34"/>
      <c r="D461" s="34"/>
      <c r="E461" s="34"/>
      <c r="F461" s="34"/>
      <c r="G461" s="34"/>
      <c r="H461" s="34"/>
      <c r="I461" s="34"/>
      <c r="J461" s="34"/>
      <c r="K461" s="35"/>
      <c r="L461" s="34"/>
      <c r="M461" s="32"/>
      <c r="N461" s="34"/>
      <c r="O461" s="34"/>
      <c r="P461" s="34"/>
      <c r="Q461" s="34"/>
      <c r="R461" s="34"/>
      <c r="S461" s="34"/>
      <c r="T461" s="34"/>
      <c r="U461" s="34"/>
      <c r="V461" s="34"/>
    </row>
    <row r="462" spans="1:22" x14ac:dyDescent="0.3">
      <c r="A462" s="17"/>
      <c r="B462" s="33"/>
      <c r="C462" s="34"/>
      <c r="D462" s="34"/>
      <c r="E462" s="34"/>
      <c r="F462" s="34"/>
      <c r="G462" s="34"/>
      <c r="H462" s="34"/>
      <c r="I462" s="34"/>
      <c r="J462" s="34"/>
      <c r="K462" s="35"/>
      <c r="L462" s="34"/>
      <c r="M462" s="32"/>
      <c r="N462" s="34"/>
      <c r="O462" s="34"/>
      <c r="P462" s="34"/>
      <c r="Q462" s="34"/>
      <c r="R462" s="34"/>
      <c r="S462" s="34"/>
      <c r="T462" s="34"/>
      <c r="U462" s="34"/>
      <c r="V462" s="34"/>
    </row>
    <row r="463" spans="1:22" x14ac:dyDescent="0.3">
      <c r="A463" s="17"/>
      <c r="B463" s="33"/>
      <c r="C463" s="34"/>
      <c r="D463" s="34"/>
      <c r="E463" s="34"/>
      <c r="F463" s="34"/>
      <c r="G463" s="34"/>
      <c r="H463" s="34"/>
      <c r="I463" s="34"/>
      <c r="J463" s="34"/>
      <c r="K463" s="35"/>
      <c r="L463" s="34"/>
      <c r="M463" s="32"/>
      <c r="N463" s="34"/>
      <c r="O463" s="34"/>
      <c r="P463" s="34"/>
      <c r="Q463" s="34"/>
      <c r="R463" s="34"/>
      <c r="S463" s="34"/>
      <c r="T463" s="34"/>
      <c r="U463" s="34"/>
      <c r="V463" s="34"/>
    </row>
    <row r="464" spans="1:22" x14ac:dyDescent="0.3">
      <c r="A464" s="17"/>
      <c r="B464" s="33"/>
      <c r="C464" s="34"/>
      <c r="D464" s="34"/>
      <c r="E464" s="34"/>
      <c r="F464" s="34"/>
      <c r="G464" s="34"/>
      <c r="H464" s="34"/>
      <c r="I464" s="34"/>
      <c r="J464" s="34"/>
      <c r="K464" s="35"/>
      <c r="L464" s="34"/>
      <c r="M464" s="32"/>
      <c r="N464" s="34"/>
      <c r="O464" s="34"/>
      <c r="P464" s="34"/>
      <c r="Q464" s="34"/>
      <c r="R464" s="34"/>
      <c r="S464" s="34"/>
      <c r="T464" s="34"/>
      <c r="U464" s="34"/>
      <c r="V464" s="34"/>
    </row>
    <row r="465" spans="1:22" x14ac:dyDescent="0.3">
      <c r="A465" s="17"/>
      <c r="B465" s="33"/>
      <c r="C465" s="34"/>
      <c r="D465" s="34"/>
      <c r="E465" s="34"/>
      <c r="F465" s="34"/>
      <c r="G465" s="34"/>
      <c r="H465" s="34"/>
      <c r="I465" s="34"/>
      <c r="J465" s="34"/>
      <c r="K465" s="35"/>
      <c r="L465" s="34"/>
      <c r="M465" s="32"/>
      <c r="N465" s="34"/>
      <c r="O465" s="34"/>
      <c r="P465" s="34"/>
      <c r="Q465" s="34"/>
      <c r="R465" s="34"/>
      <c r="S465" s="34"/>
      <c r="T465" s="34"/>
      <c r="U465" s="34"/>
      <c r="V465" s="34"/>
    </row>
    <row r="466" spans="1:22" x14ac:dyDescent="0.3">
      <c r="A466" s="17"/>
      <c r="B466" s="33"/>
      <c r="C466" s="34"/>
      <c r="D466" s="34"/>
      <c r="E466" s="34"/>
      <c r="F466" s="34"/>
      <c r="G466" s="34"/>
      <c r="H466" s="34"/>
      <c r="I466" s="34"/>
      <c r="J466" s="34"/>
      <c r="K466" s="35"/>
      <c r="L466" s="34"/>
      <c r="M466" s="32"/>
      <c r="N466" s="34"/>
      <c r="O466" s="34"/>
      <c r="P466" s="34"/>
      <c r="Q466" s="34"/>
      <c r="R466" s="34"/>
      <c r="S466" s="34"/>
      <c r="T466" s="34"/>
      <c r="U466" s="34"/>
      <c r="V466" s="34"/>
    </row>
    <row r="467" spans="1:22" x14ac:dyDescent="0.3">
      <c r="A467" s="17"/>
      <c r="B467" s="33"/>
      <c r="C467" s="34"/>
      <c r="D467" s="34"/>
      <c r="E467" s="34"/>
      <c r="F467" s="34"/>
      <c r="G467" s="34"/>
      <c r="H467" s="34"/>
      <c r="I467" s="34"/>
      <c r="J467" s="34"/>
      <c r="K467" s="35"/>
      <c r="L467" s="34"/>
      <c r="M467" s="32"/>
      <c r="N467" s="34"/>
      <c r="O467" s="34"/>
      <c r="P467" s="34"/>
      <c r="Q467" s="34"/>
      <c r="R467" s="34"/>
      <c r="S467" s="34"/>
      <c r="T467" s="34"/>
      <c r="U467" s="34"/>
      <c r="V467" s="34"/>
    </row>
    <row r="468" spans="1:22" x14ac:dyDescent="0.3">
      <c r="A468" s="17"/>
      <c r="B468" s="33"/>
      <c r="C468" s="34"/>
      <c r="D468" s="34"/>
      <c r="E468" s="34"/>
      <c r="F468" s="34"/>
      <c r="G468" s="34"/>
      <c r="H468" s="34"/>
      <c r="I468" s="34"/>
      <c r="J468" s="34"/>
      <c r="K468" s="35"/>
      <c r="L468" s="34"/>
      <c r="M468" s="32"/>
      <c r="N468" s="34"/>
      <c r="O468" s="34"/>
      <c r="P468" s="34"/>
      <c r="Q468" s="34"/>
      <c r="R468" s="34"/>
      <c r="S468" s="34"/>
      <c r="T468" s="34"/>
      <c r="U468" s="34"/>
      <c r="V468" s="34"/>
    </row>
    <row r="469" spans="1:22" x14ac:dyDescent="0.3">
      <c r="A469" s="17"/>
      <c r="B469" s="33"/>
      <c r="C469" s="34"/>
      <c r="D469" s="34"/>
      <c r="E469" s="34"/>
      <c r="F469" s="34"/>
      <c r="G469" s="34"/>
      <c r="H469" s="34"/>
      <c r="I469" s="34"/>
      <c r="J469" s="34"/>
      <c r="K469" s="35"/>
      <c r="L469" s="34"/>
      <c r="M469" s="32"/>
      <c r="N469" s="34"/>
      <c r="O469" s="34"/>
      <c r="P469" s="34"/>
      <c r="Q469" s="34"/>
      <c r="R469" s="34"/>
      <c r="S469" s="34"/>
      <c r="T469" s="34"/>
      <c r="U469" s="34"/>
      <c r="V469" s="34"/>
    </row>
    <row r="470" spans="1:22" x14ac:dyDescent="0.3">
      <c r="A470" s="17"/>
      <c r="B470" s="33"/>
      <c r="C470" s="34"/>
      <c r="D470" s="34"/>
      <c r="E470" s="34"/>
      <c r="F470" s="34"/>
      <c r="G470" s="34"/>
      <c r="H470" s="34"/>
      <c r="I470" s="34"/>
      <c r="J470" s="34"/>
      <c r="K470" s="35"/>
      <c r="L470" s="34"/>
      <c r="M470" s="32"/>
      <c r="N470" s="34"/>
      <c r="O470" s="34"/>
      <c r="P470" s="34"/>
      <c r="Q470" s="34"/>
      <c r="R470" s="34"/>
      <c r="S470" s="34"/>
      <c r="T470" s="34"/>
      <c r="U470" s="34"/>
      <c r="V470" s="34"/>
    </row>
    <row r="471" spans="1:22" x14ac:dyDescent="0.3">
      <c r="A471" s="17"/>
      <c r="B471" s="33"/>
      <c r="C471" s="34"/>
      <c r="D471" s="34"/>
      <c r="E471" s="34"/>
      <c r="F471" s="34"/>
      <c r="G471" s="34"/>
      <c r="H471" s="34"/>
      <c r="I471" s="34"/>
      <c r="J471" s="34"/>
      <c r="K471" s="35"/>
      <c r="L471" s="34"/>
      <c r="M471" s="32"/>
      <c r="N471" s="34"/>
      <c r="O471" s="34"/>
      <c r="P471" s="34"/>
      <c r="Q471" s="34"/>
      <c r="R471" s="34"/>
      <c r="S471" s="34"/>
      <c r="T471" s="34"/>
      <c r="U471" s="34"/>
      <c r="V471" s="34"/>
    </row>
    <row r="472" spans="1:22" x14ac:dyDescent="0.3">
      <c r="A472" s="17"/>
      <c r="B472" s="33"/>
      <c r="C472" s="34"/>
      <c r="D472" s="34"/>
      <c r="E472" s="34"/>
      <c r="F472" s="34"/>
      <c r="G472" s="34"/>
      <c r="H472" s="34"/>
      <c r="I472" s="34"/>
      <c r="J472" s="34"/>
      <c r="K472" s="35"/>
      <c r="L472" s="34"/>
      <c r="M472" s="32"/>
      <c r="N472" s="34"/>
      <c r="O472" s="34"/>
      <c r="P472" s="34"/>
      <c r="Q472" s="34"/>
      <c r="R472" s="34"/>
      <c r="S472" s="34"/>
      <c r="T472" s="34"/>
      <c r="U472" s="34"/>
      <c r="V472" s="34"/>
    </row>
    <row r="473" spans="1:22" x14ac:dyDescent="0.3">
      <c r="A473" s="17"/>
      <c r="B473" s="33"/>
      <c r="C473" s="34"/>
      <c r="D473" s="34"/>
      <c r="E473" s="34"/>
      <c r="F473" s="34"/>
      <c r="G473" s="34"/>
      <c r="H473" s="34"/>
      <c r="I473" s="34"/>
      <c r="J473" s="34"/>
      <c r="K473" s="35"/>
      <c r="L473" s="34"/>
      <c r="M473" s="32"/>
      <c r="N473" s="34"/>
      <c r="O473" s="34"/>
      <c r="P473" s="34"/>
      <c r="Q473" s="34"/>
      <c r="R473" s="34"/>
      <c r="S473" s="34"/>
      <c r="T473" s="34"/>
      <c r="U473" s="34"/>
      <c r="V473" s="34"/>
    </row>
    <row r="474" spans="1:22" x14ac:dyDescent="0.3">
      <c r="A474" s="17"/>
      <c r="B474" s="33"/>
      <c r="C474" s="34"/>
      <c r="D474" s="34"/>
      <c r="E474" s="34"/>
      <c r="F474" s="34"/>
      <c r="G474" s="34"/>
      <c r="H474" s="34"/>
      <c r="I474" s="34"/>
      <c r="J474" s="34"/>
      <c r="K474" s="35"/>
      <c r="L474" s="34"/>
      <c r="M474" s="32"/>
      <c r="N474" s="34"/>
      <c r="O474" s="34"/>
      <c r="P474" s="34"/>
      <c r="Q474" s="34"/>
      <c r="R474" s="34"/>
      <c r="S474" s="34"/>
      <c r="T474" s="34"/>
      <c r="U474" s="34"/>
      <c r="V474" s="34"/>
    </row>
    <row r="475" spans="1:22" x14ac:dyDescent="0.3">
      <c r="A475" s="17"/>
      <c r="B475" s="33"/>
      <c r="C475" s="34"/>
      <c r="D475" s="34"/>
      <c r="E475" s="34"/>
      <c r="F475" s="34"/>
      <c r="G475" s="34"/>
      <c r="H475" s="34"/>
      <c r="I475" s="34"/>
      <c r="J475" s="34"/>
      <c r="K475" s="35"/>
      <c r="L475" s="34"/>
      <c r="M475" s="32"/>
      <c r="N475" s="34"/>
      <c r="O475" s="34"/>
      <c r="P475" s="34"/>
      <c r="Q475" s="34"/>
      <c r="R475" s="34"/>
      <c r="S475" s="34"/>
      <c r="T475" s="34"/>
      <c r="U475" s="34"/>
      <c r="V475" s="34"/>
    </row>
    <row r="476" spans="1:22" x14ac:dyDescent="0.3">
      <c r="A476" s="17"/>
      <c r="B476" s="33"/>
      <c r="C476" s="34"/>
      <c r="D476" s="34"/>
      <c r="E476" s="34"/>
      <c r="F476" s="34"/>
      <c r="G476" s="34"/>
      <c r="H476" s="34"/>
      <c r="I476" s="34"/>
      <c r="J476" s="34"/>
      <c r="K476" s="35"/>
      <c r="L476" s="34"/>
      <c r="M476" s="32"/>
      <c r="N476" s="34"/>
      <c r="O476" s="34"/>
      <c r="P476" s="34"/>
      <c r="Q476" s="34"/>
      <c r="R476" s="34"/>
      <c r="S476" s="34"/>
      <c r="T476" s="34"/>
      <c r="U476" s="34"/>
      <c r="V476" s="34"/>
    </row>
    <row r="477" spans="1:22" x14ac:dyDescent="0.3">
      <c r="A477" s="17"/>
      <c r="B477" s="33"/>
      <c r="C477" s="34"/>
      <c r="D477" s="34"/>
      <c r="E477" s="34"/>
      <c r="F477" s="34"/>
      <c r="G477" s="34"/>
      <c r="H477" s="34"/>
      <c r="I477" s="34"/>
      <c r="J477" s="34"/>
      <c r="K477" s="35"/>
      <c r="L477" s="34"/>
      <c r="M477" s="32"/>
      <c r="N477" s="34"/>
      <c r="O477" s="34"/>
      <c r="P477" s="34"/>
      <c r="Q477" s="34"/>
      <c r="R477" s="34"/>
      <c r="S477" s="34"/>
      <c r="T477" s="34"/>
      <c r="U477" s="34"/>
      <c r="V477" s="34"/>
    </row>
    <row r="478" spans="1:22" x14ac:dyDescent="0.3">
      <c r="A478" s="17"/>
      <c r="B478" s="33"/>
      <c r="C478" s="34"/>
      <c r="D478" s="34"/>
      <c r="E478" s="34"/>
      <c r="F478" s="34"/>
      <c r="G478" s="34"/>
      <c r="H478" s="34"/>
      <c r="I478" s="34"/>
      <c r="J478" s="34"/>
      <c r="K478" s="35"/>
      <c r="L478" s="34"/>
      <c r="M478" s="32"/>
      <c r="N478" s="34"/>
      <c r="O478" s="34"/>
      <c r="P478" s="34"/>
      <c r="Q478" s="34"/>
      <c r="R478" s="34"/>
      <c r="S478" s="34"/>
      <c r="T478" s="34"/>
      <c r="U478" s="34"/>
      <c r="V478" s="34"/>
    </row>
    <row r="479" spans="1:22" x14ac:dyDescent="0.3">
      <c r="A479" s="17"/>
      <c r="B479" s="33"/>
      <c r="C479" s="34"/>
      <c r="D479" s="34"/>
      <c r="E479" s="34"/>
      <c r="F479" s="34"/>
      <c r="G479" s="34"/>
      <c r="H479" s="34"/>
      <c r="I479" s="34"/>
      <c r="J479" s="34"/>
      <c r="K479" s="35"/>
      <c r="L479" s="34"/>
      <c r="M479" s="32"/>
      <c r="N479" s="34"/>
      <c r="O479" s="34"/>
      <c r="P479" s="34"/>
      <c r="Q479" s="34"/>
      <c r="R479" s="34"/>
      <c r="S479" s="34"/>
      <c r="T479" s="34"/>
      <c r="U479" s="34"/>
      <c r="V479" s="34"/>
    </row>
    <row r="480" spans="1:22" x14ac:dyDescent="0.3">
      <c r="A480" s="17"/>
      <c r="B480" s="33"/>
      <c r="C480" s="34"/>
      <c r="D480" s="34"/>
      <c r="E480" s="34"/>
      <c r="F480" s="34"/>
      <c r="G480" s="34"/>
      <c r="H480" s="34"/>
      <c r="I480" s="34"/>
      <c r="J480" s="34"/>
      <c r="K480" s="35"/>
      <c r="L480" s="34"/>
      <c r="M480" s="32"/>
      <c r="N480" s="34"/>
      <c r="O480" s="34"/>
      <c r="P480" s="34"/>
      <c r="Q480" s="34"/>
      <c r="R480" s="34"/>
      <c r="S480" s="34"/>
      <c r="T480" s="34"/>
      <c r="U480" s="34"/>
      <c r="V480" s="34"/>
    </row>
    <row r="481" spans="1:22" x14ac:dyDescent="0.3">
      <c r="A481" s="17"/>
      <c r="B481" s="33"/>
      <c r="C481" s="34"/>
      <c r="D481" s="34"/>
      <c r="E481" s="34"/>
      <c r="F481" s="34"/>
      <c r="G481" s="34"/>
      <c r="H481" s="34"/>
      <c r="I481" s="34"/>
      <c r="J481" s="34"/>
      <c r="K481" s="35"/>
      <c r="L481" s="34"/>
      <c r="M481" s="32"/>
      <c r="N481" s="34"/>
      <c r="O481" s="34"/>
      <c r="P481" s="34"/>
      <c r="Q481" s="34"/>
      <c r="R481" s="34"/>
      <c r="S481" s="34"/>
      <c r="T481" s="34"/>
      <c r="U481" s="34"/>
      <c r="V481" s="34"/>
    </row>
    <row r="482" spans="1:22" x14ac:dyDescent="0.3">
      <c r="A482" s="17"/>
      <c r="B482" s="33"/>
      <c r="C482" s="34"/>
      <c r="D482" s="34"/>
      <c r="E482" s="34"/>
      <c r="F482" s="34"/>
      <c r="G482" s="34"/>
      <c r="H482" s="34"/>
      <c r="I482" s="34"/>
      <c r="J482" s="34"/>
      <c r="K482" s="35"/>
      <c r="L482" s="34"/>
      <c r="M482" s="32"/>
      <c r="N482" s="34"/>
      <c r="O482" s="34"/>
      <c r="P482" s="34"/>
      <c r="Q482" s="34"/>
      <c r="R482" s="34"/>
      <c r="S482" s="34"/>
      <c r="T482" s="34"/>
      <c r="U482" s="34"/>
      <c r="V482" s="34"/>
    </row>
    <row r="483" spans="1:22" x14ac:dyDescent="0.3">
      <c r="A483" s="17"/>
      <c r="B483" s="33"/>
      <c r="C483" s="34"/>
      <c r="D483" s="34"/>
      <c r="E483" s="34"/>
      <c r="F483" s="34"/>
      <c r="G483" s="34"/>
      <c r="H483" s="34"/>
      <c r="I483" s="34"/>
      <c r="J483" s="34"/>
      <c r="K483" s="35"/>
      <c r="L483" s="34"/>
      <c r="M483" s="32"/>
      <c r="N483" s="34"/>
      <c r="O483" s="34"/>
      <c r="P483" s="34"/>
      <c r="Q483" s="34"/>
      <c r="R483" s="34"/>
      <c r="S483" s="34"/>
      <c r="T483" s="34"/>
      <c r="U483" s="34"/>
      <c r="V483" s="34"/>
    </row>
    <row r="484" spans="1:22" x14ac:dyDescent="0.3">
      <c r="A484" s="17"/>
      <c r="B484" s="33"/>
      <c r="C484" s="34"/>
      <c r="D484" s="34"/>
      <c r="E484" s="34"/>
      <c r="F484" s="34"/>
      <c r="G484" s="34"/>
      <c r="H484" s="34"/>
      <c r="I484" s="34"/>
      <c r="J484" s="34"/>
      <c r="K484" s="35"/>
      <c r="L484" s="34"/>
      <c r="M484" s="32"/>
      <c r="N484" s="34"/>
      <c r="O484" s="34"/>
      <c r="P484" s="34"/>
      <c r="Q484" s="34"/>
      <c r="R484" s="34"/>
      <c r="S484" s="34"/>
      <c r="T484" s="34"/>
      <c r="U484" s="34"/>
      <c r="V484" s="34"/>
    </row>
    <row r="485" spans="1:22" x14ac:dyDescent="0.3">
      <c r="A485" s="17"/>
      <c r="B485" s="33"/>
      <c r="C485" s="34"/>
      <c r="D485" s="34"/>
      <c r="E485" s="34"/>
      <c r="F485" s="34"/>
      <c r="G485" s="34"/>
      <c r="H485" s="34"/>
      <c r="I485" s="34"/>
      <c r="J485" s="34"/>
      <c r="K485" s="35"/>
      <c r="L485" s="34"/>
      <c r="M485" s="32"/>
      <c r="N485" s="34"/>
      <c r="O485" s="34"/>
      <c r="P485" s="34"/>
      <c r="Q485" s="34"/>
      <c r="R485" s="34"/>
      <c r="S485" s="34"/>
      <c r="T485" s="34"/>
      <c r="U485" s="34"/>
      <c r="V485" s="34"/>
    </row>
    <row r="486" spans="1:22" x14ac:dyDescent="0.3">
      <c r="A486" s="17"/>
      <c r="B486" s="33"/>
      <c r="C486" s="34"/>
      <c r="D486" s="34"/>
      <c r="E486" s="34"/>
      <c r="F486" s="34"/>
      <c r="G486" s="34"/>
      <c r="H486" s="34"/>
      <c r="I486" s="34"/>
      <c r="J486" s="34"/>
      <c r="K486" s="35"/>
      <c r="L486" s="34"/>
      <c r="M486" s="32"/>
      <c r="N486" s="34"/>
      <c r="O486" s="34"/>
      <c r="P486" s="34"/>
      <c r="Q486" s="34"/>
      <c r="R486" s="34"/>
      <c r="S486" s="34"/>
      <c r="T486" s="34"/>
      <c r="U486" s="34"/>
      <c r="V486" s="34"/>
    </row>
    <row r="487" spans="1:22" x14ac:dyDescent="0.3">
      <c r="A487" s="17"/>
      <c r="B487" s="33"/>
      <c r="C487" s="34"/>
      <c r="D487" s="34"/>
      <c r="E487" s="34"/>
      <c r="F487" s="34"/>
      <c r="G487" s="34"/>
      <c r="H487" s="34"/>
      <c r="I487" s="34"/>
      <c r="J487" s="34"/>
      <c r="K487" s="35"/>
      <c r="L487" s="34"/>
      <c r="M487" s="32"/>
      <c r="N487" s="34"/>
      <c r="O487" s="34"/>
      <c r="P487" s="34"/>
      <c r="Q487" s="34"/>
      <c r="R487" s="34"/>
      <c r="S487" s="34"/>
      <c r="T487" s="34"/>
      <c r="U487" s="34"/>
      <c r="V487" s="34"/>
    </row>
    <row r="488" spans="1:22" x14ac:dyDescent="0.3">
      <c r="A488" s="17"/>
      <c r="B488" s="33"/>
      <c r="C488" s="34"/>
      <c r="D488" s="34"/>
      <c r="E488" s="34"/>
      <c r="F488" s="34"/>
      <c r="G488" s="34"/>
      <c r="H488" s="34"/>
      <c r="I488" s="34"/>
      <c r="J488" s="34"/>
      <c r="K488" s="35"/>
      <c r="L488" s="34"/>
      <c r="M488" s="32"/>
      <c r="N488" s="34"/>
      <c r="O488" s="34"/>
      <c r="P488" s="34"/>
      <c r="Q488" s="34"/>
      <c r="R488" s="34"/>
      <c r="S488" s="34"/>
      <c r="T488" s="34"/>
      <c r="U488" s="34"/>
      <c r="V488" s="34"/>
    </row>
    <row r="489" spans="1:22" x14ac:dyDescent="0.3">
      <c r="A489" s="17"/>
      <c r="B489" s="33"/>
      <c r="C489" s="34"/>
      <c r="D489" s="34"/>
      <c r="E489" s="34"/>
      <c r="F489" s="34"/>
      <c r="G489" s="34"/>
      <c r="H489" s="34"/>
      <c r="I489" s="34"/>
      <c r="J489" s="34"/>
      <c r="K489" s="35"/>
      <c r="L489" s="34"/>
      <c r="M489" s="32"/>
      <c r="N489" s="34"/>
      <c r="O489" s="34"/>
      <c r="P489" s="34"/>
      <c r="Q489" s="34"/>
      <c r="R489" s="34"/>
      <c r="S489" s="34"/>
      <c r="T489" s="34"/>
      <c r="U489" s="34"/>
      <c r="V489" s="34"/>
    </row>
    <row r="490" spans="1:22" x14ac:dyDescent="0.3">
      <c r="A490" s="17"/>
      <c r="B490" s="33"/>
      <c r="C490" s="34"/>
      <c r="D490" s="34"/>
      <c r="E490" s="34"/>
      <c r="F490" s="34"/>
      <c r="G490" s="34"/>
      <c r="H490" s="34"/>
      <c r="I490" s="34"/>
      <c r="J490" s="34"/>
      <c r="K490" s="35"/>
      <c r="L490" s="34"/>
      <c r="M490" s="32"/>
      <c r="N490" s="34"/>
      <c r="O490" s="34"/>
      <c r="P490" s="34"/>
      <c r="Q490" s="34"/>
      <c r="R490" s="34"/>
      <c r="S490" s="34"/>
      <c r="T490" s="34"/>
      <c r="U490" s="34"/>
      <c r="V490" s="34"/>
    </row>
    <row r="491" spans="1:22" x14ac:dyDescent="0.3">
      <c r="A491" s="17"/>
      <c r="B491" s="33"/>
      <c r="C491" s="34"/>
      <c r="D491" s="34"/>
      <c r="E491" s="34"/>
      <c r="F491" s="34"/>
      <c r="G491" s="34"/>
      <c r="H491" s="34"/>
      <c r="I491" s="34"/>
      <c r="J491" s="34"/>
      <c r="K491" s="35"/>
      <c r="L491" s="34"/>
      <c r="M491" s="32"/>
      <c r="N491" s="34"/>
      <c r="O491" s="34"/>
      <c r="P491" s="34"/>
      <c r="Q491" s="34"/>
      <c r="R491" s="34"/>
      <c r="S491" s="34"/>
      <c r="T491" s="34"/>
      <c r="U491" s="34"/>
      <c r="V491" s="34"/>
    </row>
    <row r="492" spans="1:22" x14ac:dyDescent="0.3">
      <c r="A492" s="17"/>
      <c r="B492" s="33"/>
      <c r="C492" s="34"/>
      <c r="D492" s="34"/>
      <c r="E492" s="34"/>
      <c r="F492" s="34"/>
      <c r="G492" s="34"/>
      <c r="H492" s="34"/>
      <c r="I492" s="34"/>
      <c r="J492" s="34"/>
      <c r="K492" s="35"/>
      <c r="L492" s="34"/>
      <c r="M492" s="32"/>
      <c r="N492" s="34"/>
      <c r="O492" s="34"/>
      <c r="P492" s="34"/>
      <c r="Q492" s="34"/>
      <c r="R492" s="34"/>
      <c r="S492" s="34"/>
      <c r="T492" s="34"/>
      <c r="U492" s="34"/>
      <c r="V492" s="34"/>
    </row>
    <row r="493" spans="1:22" x14ac:dyDescent="0.3">
      <c r="A493" s="17"/>
      <c r="B493" s="33"/>
      <c r="C493" s="34"/>
      <c r="D493" s="34"/>
      <c r="E493" s="34"/>
      <c r="F493" s="34"/>
      <c r="G493" s="34"/>
      <c r="H493" s="34"/>
      <c r="I493" s="34"/>
      <c r="J493" s="34"/>
      <c r="K493" s="35"/>
      <c r="L493" s="34"/>
      <c r="M493" s="32"/>
      <c r="N493" s="34"/>
      <c r="O493" s="34"/>
      <c r="P493" s="34"/>
      <c r="Q493" s="34"/>
      <c r="R493" s="34"/>
      <c r="S493" s="34"/>
      <c r="T493" s="34"/>
      <c r="U493" s="34"/>
      <c r="V493" s="34"/>
    </row>
    <row r="494" spans="1:22" x14ac:dyDescent="0.3">
      <c r="A494" s="17"/>
      <c r="B494" s="33"/>
      <c r="C494" s="34"/>
      <c r="D494" s="34"/>
      <c r="E494" s="34"/>
      <c r="F494" s="34"/>
      <c r="G494" s="34"/>
      <c r="H494" s="34"/>
      <c r="I494" s="34"/>
      <c r="J494" s="34"/>
      <c r="K494" s="35"/>
      <c r="L494" s="34"/>
      <c r="M494" s="32"/>
      <c r="N494" s="34"/>
      <c r="O494" s="34"/>
      <c r="P494" s="34"/>
      <c r="Q494" s="34"/>
      <c r="R494" s="34"/>
      <c r="S494" s="34"/>
      <c r="T494" s="34"/>
      <c r="U494" s="34"/>
      <c r="V494" s="34"/>
    </row>
    <row r="495" spans="1:22" x14ac:dyDescent="0.3">
      <c r="A495" s="17"/>
      <c r="B495" s="33"/>
      <c r="C495" s="34"/>
      <c r="D495" s="34"/>
      <c r="E495" s="34"/>
      <c r="F495" s="34"/>
      <c r="G495" s="34"/>
      <c r="H495" s="34"/>
      <c r="I495" s="34"/>
      <c r="J495" s="34"/>
      <c r="K495" s="35"/>
      <c r="L495" s="34"/>
      <c r="M495" s="32"/>
      <c r="N495" s="34"/>
      <c r="O495" s="34"/>
      <c r="P495" s="34"/>
      <c r="Q495" s="34"/>
      <c r="R495" s="34"/>
      <c r="S495" s="34"/>
      <c r="T495" s="34"/>
      <c r="U495" s="34"/>
      <c r="V495" s="34"/>
    </row>
    <row r="496" spans="1:22" x14ac:dyDescent="0.3">
      <c r="A496" s="17"/>
      <c r="B496" s="33"/>
      <c r="C496" s="34"/>
      <c r="D496" s="34"/>
      <c r="E496" s="34"/>
      <c r="F496" s="34"/>
      <c r="G496" s="34"/>
      <c r="H496" s="34"/>
      <c r="I496" s="34"/>
      <c r="J496" s="34"/>
      <c r="K496" s="35"/>
      <c r="L496" s="34"/>
      <c r="M496" s="32"/>
      <c r="N496" s="34"/>
      <c r="O496" s="34"/>
      <c r="P496" s="34"/>
      <c r="Q496" s="34"/>
      <c r="R496" s="34"/>
      <c r="S496" s="34"/>
      <c r="T496" s="34"/>
      <c r="U496" s="34"/>
      <c r="V496" s="34"/>
    </row>
    <row r="497" spans="1:22" x14ac:dyDescent="0.3">
      <c r="A497" s="17"/>
      <c r="B497" s="33"/>
      <c r="C497" s="34"/>
      <c r="D497" s="34"/>
      <c r="E497" s="34"/>
      <c r="F497" s="34"/>
      <c r="G497" s="34"/>
      <c r="H497" s="34"/>
      <c r="I497" s="34"/>
      <c r="J497" s="34"/>
      <c r="K497" s="35"/>
      <c r="L497" s="34"/>
      <c r="M497" s="32"/>
      <c r="N497" s="34"/>
      <c r="O497" s="34"/>
      <c r="P497" s="34"/>
      <c r="Q497" s="34"/>
      <c r="R497" s="34"/>
      <c r="S497" s="34"/>
      <c r="T497" s="34"/>
      <c r="U497" s="34"/>
      <c r="V497" s="34"/>
    </row>
    <row r="498" spans="1:22" x14ac:dyDescent="0.3">
      <c r="A498" s="17"/>
      <c r="B498" s="33"/>
      <c r="C498" s="34"/>
      <c r="D498" s="34"/>
      <c r="E498" s="34"/>
      <c r="F498" s="34"/>
      <c r="G498" s="34"/>
      <c r="H498" s="34"/>
      <c r="I498" s="34"/>
      <c r="J498" s="34"/>
      <c r="K498" s="35"/>
      <c r="L498" s="34"/>
      <c r="M498" s="32"/>
      <c r="N498" s="34"/>
      <c r="O498" s="34"/>
      <c r="P498" s="34"/>
      <c r="Q498" s="34"/>
      <c r="R498" s="34"/>
      <c r="S498" s="34"/>
      <c r="T498" s="34"/>
      <c r="U498" s="34"/>
      <c r="V498" s="34"/>
    </row>
    <row r="499" spans="1:22" x14ac:dyDescent="0.3">
      <c r="A499" s="17"/>
      <c r="B499" s="33"/>
      <c r="C499" s="34"/>
      <c r="D499" s="34"/>
      <c r="E499" s="34"/>
      <c r="F499" s="34"/>
      <c r="G499" s="34"/>
      <c r="H499" s="34"/>
      <c r="I499" s="34"/>
      <c r="J499" s="34"/>
      <c r="K499" s="35"/>
      <c r="L499" s="34"/>
      <c r="M499" s="32"/>
      <c r="N499" s="34"/>
      <c r="O499" s="34"/>
      <c r="P499" s="34"/>
      <c r="Q499" s="34"/>
      <c r="R499" s="34"/>
      <c r="S499" s="34"/>
      <c r="T499" s="34"/>
      <c r="U499" s="34"/>
      <c r="V499" s="34"/>
    </row>
    <row r="500" spans="1:22" x14ac:dyDescent="0.3">
      <c r="A500" s="17"/>
      <c r="B500" s="33"/>
      <c r="C500" s="34"/>
      <c r="D500" s="34"/>
      <c r="E500" s="34"/>
      <c r="F500" s="34"/>
      <c r="G500" s="34"/>
      <c r="H500" s="34"/>
      <c r="I500" s="34"/>
      <c r="J500" s="34"/>
      <c r="K500" s="35"/>
      <c r="L500" s="34"/>
      <c r="M500" s="32"/>
      <c r="N500" s="34"/>
      <c r="O500" s="34"/>
      <c r="P500" s="34"/>
      <c r="Q500" s="34"/>
      <c r="R500" s="34"/>
      <c r="S500" s="34"/>
      <c r="T500" s="34"/>
      <c r="U500" s="34"/>
      <c r="V500" s="34"/>
    </row>
    <row r="501" spans="1:22" x14ac:dyDescent="0.3">
      <c r="A501" s="17"/>
      <c r="B501" s="33"/>
      <c r="C501" s="34"/>
      <c r="D501" s="34"/>
      <c r="E501" s="34"/>
      <c r="F501" s="34"/>
      <c r="G501" s="34"/>
      <c r="H501" s="34"/>
      <c r="I501" s="34"/>
      <c r="J501" s="34"/>
      <c r="K501" s="35"/>
      <c r="L501" s="34"/>
      <c r="M501" s="32"/>
      <c r="N501" s="34"/>
      <c r="O501" s="34"/>
      <c r="P501" s="34"/>
      <c r="Q501" s="34"/>
      <c r="R501" s="34"/>
      <c r="S501" s="34"/>
      <c r="T501" s="34"/>
      <c r="U501" s="34"/>
      <c r="V501" s="34"/>
    </row>
    <row r="502" spans="1:22" x14ac:dyDescent="0.3">
      <c r="A502" s="17"/>
      <c r="B502" s="33"/>
      <c r="C502" s="34"/>
      <c r="D502" s="34"/>
      <c r="E502" s="34"/>
      <c r="F502" s="34"/>
      <c r="G502" s="34"/>
      <c r="H502" s="34"/>
      <c r="I502" s="34"/>
      <c r="J502" s="34"/>
      <c r="K502" s="35"/>
      <c r="L502" s="34"/>
      <c r="M502" s="32"/>
      <c r="N502" s="34"/>
      <c r="O502" s="34"/>
      <c r="P502" s="34"/>
      <c r="Q502" s="34"/>
      <c r="R502" s="34"/>
      <c r="S502" s="34"/>
      <c r="T502" s="34"/>
      <c r="U502" s="34"/>
      <c r="V502" s="34"/>
    </row>
    <row r="503" spans="1:22" x14ac:dyDescent="0.3">
      <c r="A503" s="17"/>
      <c r="B503" s="33"/>
      <c r="C503" s="34"/>
      <c r="D503" s="34"/>
      <c r="E503" s="34"/>
      <c r="F503" s="34"/>
      <c r="G503" s="34"/>
      <c r="H503" s="34"/>
      <c r="I503" s="34"/>
      <c r="J503" s="34"/>
      <c r="K503" s="35"/>
      <c r="L503" s="34"/>
      <c r="M503" s="32"/>
      <c r="N503" s="34"/>
      <c r="O503" s="34"/>
      <c r="P503" s="34"/>
      <c r="Q503" s="34"/>
      <c r="R503" s="34"/>
      <c r="S503" s="34"/>
      <c r="T503" s="34"/>
      <c r="U503" s="34"/>
      <c r="V503" s="34"/>
    </row>
    <row r="504" spans="1:22" x14ac:dyDescent="0.3">
      <c r="A504" s="17"/>
      <c r="B504" s="33"/>
      <c r="C504" s="34"/>
      <c r="D504" s="34"/>
      <c r="E504" s="34"/>
      <c r="F504" s="34"/>
      <c r="G504" s="34"/>
      <c r="H504" s="34"/>
      <c r="I504" s="34"/>
      <c r="J504" s="34"/>
      <c r="K504" s="35"/>
      <c r="L504" s="34"/>
      <c r="M504" s="32"/>
      <c r="N504" s="34"/>
      <c r="O504" s="34"/>
      <c r="P504" s="34"/>
      <c r="Q504" s="34"/>
      <c r="R504" s="34"/>
      <c r="S504" s="34"/>
      <c r="T504" s="34"/>
      <c r="U504" s="34"/>
      <c r="V504" s="34"/>
    </row>
    <row r="505" spans="1:22" x14ac:dyDescent="0.3">
      <c r="A505" s="17"/>
      <c r="B505" s="33"/>
      <c r="C505" s="34"/>
      <c r="D505" s="34"/>
      <c r="E505" s="34"/>
      <c r="F505" s="34"/>
      <c r="G505" s="34"/>
      <c r="H505" s="34"/>
      <c r="I505" s="34"/>
      <c r="J505" s="34"/>
      <c r="K505" s="35"/>
      <c r="L505" s="34"/>
      <c r="M505" s="32"/>
      <c r="N505" s="34"/>
      <c r="O505" s="34"/>
      <c r="P505" s="34"/>
      <c r="Q505" s="34"/>
      <c r="R505" s="34"/>
      <c r="S505" s="34"/>
      <c r="T505" s="34"/>
      <c r="U505" s="34"/>
      <c r="V505" s="34"/>
    </row>
    <row r="506" spans="1:22" x14ac:dyDescent="0.3">
      <c r="A506" s="17"/>
      <c r="B506" s="33"/>
      <c r="C506" s="34"/>
      <c r="D506" s="34"/>
      <c r="E506" s="34"/>
      <c r="F506" s="34"/>
      <c r="G506" s="34"/>
      <c r="H506" s="34"/>
      <c r="I506" s="34"/>
      <c r="J506" s="34"/>
      <c r="K506" s="35"/>
      <c r="L506" s="34"/>
      <c r="M506" s="32"/>
      <c r="N506" s="34"/>
      <c r="O506" s="34"/>
      <c r="P506" s="34"/>
      <c r="Q506" s="34"/>
      <c r="R506" s="34"/>
      <c r="S506" s="34"/>
      <c r="T506" s="34"/>
      <c r="U506" s="34"/>
      <c r="V506" s="34"/>
    </row>
    <row r="507" spans="1:22" x14ac:dyDescent="0.3">
      <c r="A507" s="17"/>
      <c r="B507" s="33"/>
      <c r="C507" s="34"/>
      <c r="D507" s="34"/>
      <c r="E507" s="34"/>
      <c r="F507" s="34"/>
      <c r="G507" s="34"/>
      <c r="H507" s="34"/>
      <c r="I507" s="34"/>
      <c r="J507" s="34"/>
      <c r="K507" s="35"/>
      <c r="L507" s="34"/>
      <c r="M507" s="32"/>
      <c r="N507" s="34"/>
      <c r="O507" s="34"/>
      <c r="P507" s="34"/>
      <c r="Q507" s="34"/>
      <c r="R507" s="34"/>
      <c r="S507" s="34"/>
      <c r="T507" s="34"/>
      <c r="U507" s="34"/>
      <c r="V507" s="34"/>
    </row>
    <row r="508" spans="1:22" x14ac:dyDescent="0.3">
      <c r="A508" s="17"/>
      <c r="B508" s="33"/>
      <c r="C508" s="34"/>
      <c r="D508" s="34"/>
      <c r="E508" s="34"/>
      <c r="F508" s="34"/>
      <c r="G508" s="34"/>
      <c r="H508" s="34"/>
      <c r="I508" s="34"/>
      <c r="J508" s="34"/>
      <c r="K508" s="35"/>
      <c r="L508" s="34"/>
      <c r="M508" s="32"/>
      <c r="N508" s="34"/>
      <c r="O508" s="34"/>
      <c r="P508" s="34"/>
      <c r="Q508" s="34"/>
      <c r="R508" s="34"/>
      <c r="S508" s="34"/>
      <c r="T508" s="34"/>
      <c r="U508" s="34"/>
      <c r="V508" s="34"/>
    </row>
    <row r="509" spans="1:22" x14ac:dyDescent="0.3">
      <c r="A509" s="17"/>
      <c r="B509" s="33"/>
      <c r="C509" s="34"/>
      <c r="D509" s="34"/>
      <c r="E509" s="34"/>
      <c r="F509" s="34"/>
      <c r="G509" s="34"/>
      <c r="H509" s="34"/>
      <c r="I509" s="34"/>
      <c r="J509" s="34"/>
      <c r="K509" s="35"/>
      <c r="L509" s="34"/>
      <c r="M509" s="32"/>
      <c r="N509" s="34"/>
      <c r="O509" s="34"/>
      <c r="P509" s="34"/>
      <c r="Q509" s="34"/>
      <c r="R509" s="34"/>
      <c r="S509" s="34"/>
      <c r="T509" s="34"/>
      <c r="U509" s="34"/>
      <c r="V509" s="34"/>
    </row>
    <row r="510" spans="1:22" x14ac:dyDescent="0.3">
      <c r="A510" s="17"/>
      <c r="B510" s="33"/>
      <c r="C510" s="34"/>
      <c r="D510" s="34"/>
      <c r="E510" s="34"/>
      <c r="F510" s="34"/>
      <c r="G510" s="34"/>
      <c r="H510" s="34"/>
      <c r="I510" s="34"/>
      <c r="J510" s="34"/>
      <c r="K510" s="35"/>
      <c r="L510" s="34"/>
      <c r="M510" s="32"/>
      <c r="N510" s="34"/>
      <c r="O510" s="34"/>
      <c r="P510" s="34"/>
      <c r="Q510" s="34"/>
      <c r="R510" s="34"/>
      <c r="S510" s="34"/>
      <c r="T510" s="34"/>
      <c r="U510" s="34"/>
      <c r="V510" s="34"/>
    </row>
    <row r="511" spans="1:22" x14ac:dyDescent="0.3">
      <c r="A511" s="17"/>
      <c r="B511" s="33"/>
      <c r="C511" s="34"/>
      <c r="D511" s="34"/>
      <c r="E511" s="34"/>
      <c r="F511" s="34"/>
      <c r="G511" s="34"/>
      <c r="H511" s="34"/>
      <c r="I511" s="34"/>
      <c r="J511" s="34"/>
      <c r="K511" s="35"/>
      <c r="L511" s="34"/>
      <c r="M511" s="32"/>
      <c r="N511" s="34"/>
      <c r="O511" s="34"/>
      <c r="P511" s="34"/>
      <c r="Q511" s="34"/>
      <c r="R511" s="34"/>
      <c r="S511" s="34"/>
      <c r="T511" s="34"/>
      <c r="U511" s="34"/>
      <c r="V511" s="34"/>
    </row>
    <row r="512" spans="1:22" x14ac:dyDescent="0.3">
      <c r="A512" s="17"/>
      <c r="B512" s="33"/>
      <c r="C512" s="34"/>
      <c r="D512" s="34"/>
      <c r="E512" s="34"/>
      <c r="F512" s="34"/>
      <c r="G512" s="34"/>
      <c r="H512" s="34"/>
      <c r="I512" s="34"/>
      <c r="J512" s="34"/>
      <c r="K512" s="35"/>
      <c r="L512" s="34"/>
      <c r="M512" s="32"/>
      <c r="N512" s="34"/>
      <c r="O512" s="34"/>
      <c r="P512" s="34"/>
      <c r="Q512" s="34"/>
      <c r="R512" s="34"/>
      <c r="S512" s="34"/>
      <c r="T512" s="34"/>
      <c r="U512" s="34"/>
      <c r="V512" s="34"/>
    </row>
    <row r="513" spans="1:22" x14ac:dyDescent="0.3">
      <c r="A513" s="17"/>
      <c r="B513" s="33"/>
      <c r="C513" s="34"/>
      <c r="D513" s="34"/>
      <c r="E513" s="34"/>
      <c r="F513" s="34"/>
      <c r="G513" s="34"/>
      <c r="H513" s="34"/>
      <c r="I513" s="34"/>
      <c r="J513" s="34"/>
      <c r="K513" s="35"/>
      <c r="L513" s="34"/>
      <c r="M513" s="32"/>
      <c r="N513" s="34"/>
      <c r="O513" s="34"/>
      <c r="P513" s="34"/>
      <c r="Q513" s="34"/>
      <c r="R513" s="34"/>
      <c r="S513" s="34"/>
      <c r="T513" s="34"/>
      <c r="U513" s="34"/>
      <c r="V513" s="34"/>
    </row>
    <row r="514" spans="1:22" x14ac:dyDescent="0.3">
      <c r="A514" s="17"/>
      <c r="B514" s="33"/>
      <c r="C514" s="34"/>
      <c r="D514" s="34"/>
      <c r="E514" s="34"/>
      <c r="F514" s="34"/>
      <c r="G514" s="34"/>
      <c r="H514" s="34"/>
      <c r="I514" s="34"/>
      <c r="J514" s="34"/>
      <c r="K514" s="35"/>
      <c r="L514" s="34"/>
      <c r="M514" s="32"/>
      <c r="N514" s="34"/>
      <c r="O514" s="34"/>
      <c r="P514" s="34"/>
      <c r="Q514" s="34"/>
      <c r="R514" s="34"/>
      <c r="S514" s="34"/>
      <c r="T514" s="34"/>
      <c r="U514" s="34"/>
      <c r="V514" s="34"/>
    </row>
    <row r="515" spans="1:22" x14ac:dyDescent="0.3">
      <c r="A515" s="17"/>
      <c r="B515" s="33"/>
      <c r="C515" s="34"/>
      <c r="D515" s="34"/>
      <c r="E515" s="34"/>
      <c r="F515" s="34"/>
      <c r="G515" s="34"/>
      <c r="H515" s="34"/>
      <c r="I515" s="34"/>
      <c r="J515" s="34"/>
      <c r="K515" s="35"/>
      <c r="L515" s="34"/>
      <c r="M515" s="32"/>
      <c r="N515" s="34"/>
      <c r="O515" s="34"/>
      <c r="P515" s="34"/>
      <c r="Q515" s="34"/>
      <c r="R515" s="34"/>
      <c r="S515" s="34"/>
      <c r="T515" s="34"/>
      <c r="U515" s="34"/>
      <c r="V515" s="34"/>
    </row>
    <row r="516" spans="1:22" x14ac:dyDescent="0.3">
      <c r="A516" s="17"/>
      <c r="B516" s="33"/>
      <c r="C516" s="34"/>
      <c r="D516" s="34"/>
      <c r="E516" s="34"/>
      <c r="F516" s="34"/>
      <c r="G516" s="34"/>
      <c r="H516" s="34"/>
      <c r="I516" s="34"/>
      <c r="J516" s="34"/>
      <c r="K516" s="35"/>
      <c r="L516" s="34"/>
      <c r="M516" s="32"/>
      <c r="N516" s="34"/>
      <c r="O516" s="34"/>
      <c r="P516" s="34"/>
      <c r="Q516" s="34"/>
      <c r="R516" s="34"/>
      <c r="S516" s="34"/>
      <c r="T516" s="34"/>
      <c r="U516" s="34"/>
      <c r="V516" s="34"/>
    </row>
    <row r="517" spans="1:22" x14ac:dyDescent="0.3">
      <c r="A517" s="17"/>
      <c r="B517" s="33"/>
      <c r="C517" s="34"/>
      <c r="D517" s="34"/>
      <c r="E517" s="34"/>
      <c r="F517" s="34"/>
      <c r="G517" s="34"/>
      <c r="H517" s="34"/>
      <c r="I517" s="34"/>
      <c r="J517" s="34"/>
      <c r="K517" s="35"/>
      <c r="L517" s="34"/>
      <c r="M517" s="32"/>
      <c r="N517" s="34"/>
      <c r="O517" s="34"/>
      <c r="P517" s="34"/>
      <c r="Q517" s="34"/>
      <c r="R517" s="34"/>
      <c r="S517" s="34"/>
      <c r="T517" s="34"/>
      <c r="U517" s="34"/>
      <c r="V517" s="34"/>
    </row>
    <row r="518" spans="1:22" x14ac:dyDescent="0.3">
      <c r="A518" s="17"/>
      <c r="B518" s="33"/>
      <c r="C518" s="34"/>
      <c r="D518" s="34"/>
      <c r="E518" s="34"/>
      <c r="F518" s="34"/>
      <c r="G518" s="34"/>
      <c r="H518" s="34"/>
      <c r="I518" s="34"/>
      <c r="J518" s="34"/>
      <c r="K518" s="35"/>
      <c r="L518" s="34"/>
      <c r="M518" s="32"/>
      <c r="N518" s="34"/>
      <c r="O518" s="34"/>
      <c r="P518" s="34"/>
      <c r="Q518" s="34"/>
      <c r="R518" s="34"/>
      <c r="S518" s="34"/>
      <c r="T518" s="34"/>
      <c r="U518" s="34"/>
      <c r="V518" s="34"/>
    </row>
    <row r="519" spans="1:22" x14ac:dyDescent="0.3">
      <c r="A519" s="17"/>
      <c r="B519" s="33"/>
      <c r="C519" s="34"/>
      <c r="D519" s="34"/>
      <c r="E519" s="34"/>
      <c r="F519" s="34"/>
      <c r="G519" s="34"/>
      <c r="H519" s="34"/>
      <c r="I519" s="34"/>
      <c r="J519" s="34"/>
      <c r="K519" s="35"/>
      <c r="L519" s="34"/>
      <c r="M519" s="32"/>
      <c r="N519" s="34"/>
      <c r="O519" s="34"/>
      <c r="P519" s="34"/>
      <c r="Q519" s="34"/>
      <c r="R519" s="34"/>
      <c r="S519" s="34"/>
      <c r="T519" s="34"/>
      <c r="U519" s="34"/>
      <c r="V519" s="34"/>
    </row>
    <row r="520" spans="1:22" x14ac:dyDescent="0.3">
      <c r="A520" s="17"/>
      <c r="B520" s="33"/>
      <c r="C520" s="34"/>
      <c r="D520" s="34"/>
      <c r="E520" s="34"/>
      <c r="F520" s="34"/>
      <c r="G520" s="34"/>
      <c r="H520" s="34"/>
      <c r="I520" s="34"/>
      <c r="J520" s="34"/>
      <c r="K520" s="35"/>
      <c r="L520" s="34"/>
      <c r="M520" s="32"/>
      <c r="N520" s="34"/>
      <c r="O520" s="34"/>
      <c r="P520" s="34"/>
      <c r="Q520" s="34"/>
      <c r="R520" s="34"/>
      <c r="S520" s="34"/>
      <c r="T520" s="34"/>
      <c r="U520" s="34"/>
      <c r="V520" s="34"/>
    </row>
    <row r="521" spans="1:22" x14ac:dyDescent="0.3">
      <c r="A521" s="17"/>
      <c r="B521" s="33"/>
      <c r="C521" s="34"/>
      <c r="D521" s="34"/>
      <c r="E521" s="34"/>
      <c r="F521" s="34"/>
      <c r="G521" s="34"/>
      <c r="H521" s="34"/>
      <c r="I521" s="34"/>
      <c r="J521" s="34"/>
      <c r="K521" s="35"/>
      <c r="L521" s="34"/>
      <c r="M521" s="32"/>
      <c r="N521" s="34"/>
      <c r="O521" s="34"/>
      <c r="P521" s="34"/>
      <c r="Q521" s="34"/>
      <c r="R521" s="34"/>
      <c r="S521" s="34"/>
      <c r="T521" s="34"/>
      <c r="U521" s="34"/>
      <c r="V521" s="34"/>
    </row>
    <row r="522" spans="1:22" x14ac:dyDescent="0.3">
      <c r="A522" s="17"/>
      <c r="B522" s="33"/>
      <c r="C522" s="34"/>
      <c r="D522" s="34"/>
      <c r="E522" s="34"/>
      <c r="F522" s="34"/>
      <c r="G522" s="34"/>
      <c r="H522" s="34"/>
      <c r="I522" s="34"/>
      <c r="J522" s="34"/>
      <c r="K522" s="35"/>
      <c r="L522" s="34"/>
      <c r="M522" s="32"/>
      <c r="N522" s="34"/>
      <c r="O522" s="34"/>
      <c r="P522" s="34"/>
      <c r="Q522" s="34"/>
      <c r="R522" s="34"/>
      <c r="S522" s="34"/>
      <c r="T522" s="34"/>
      <c r="U522" s="34"/>
      <c r="V522" s="34"/>
    </row>
    <row r="523" spans="1:22" x14ac:dyDescent="0.3">
      <c r="A523" s="17"/>
      <c r="B523" s="33"/>
      <c r="C523" s="34"/>
      <c r="D523" s="34"/>
      <c r="E523" s="34"/>
      <c r="F523" s="34"/>
      <c r="G523" s="34"/>
      <c r="H523" s="34"/>
      <c r="I523" s="34"/>
      <c r="J523" s="34"/>
      <c r="K523" s="35"/>
      <c r="L523" s="34"/>
      <c r="M523" s="32"/>
      <c r="N523" s="34"/>
      <c r="O523" s="34"/>
      <c r="P523" s="34"/>
      <c r="Q523" s="34"/>
      <c r="R523" s="34"/>
      <c r="S523" s="34"/>
      <c r="T523" s="34"/>
      <c r="U523" s="34"/>
      <c r="V523" s="34"/>
    </row>
    <row r="524" spans="1:22" x14ac:dyDescent="0.3">
      <c r="A524" s="17"/>
      <c r="B524" s="33"/>
      <c r="C524" s="34"/>
      <c r="D524" s="34"/>
      <c r="E524" s="34"/>
      <c r="F524" s="34"/>
      <c r="G524" s="34"/>
      <c r="H524" s="34"/>
      <c r="I524" s="34"/>
      <c r="J524" s="34"/>
      <c r="K524" s="35"/>
      <c r="L524" s="34"/>
      <c r="M524" s="32"/>
      <c r="N524" s="34"/>
      <c r="O524" s="34"/>
      <c r="P524" s="34"/>
      <c r="Q524" s="34"/>
      <c r="R524" s="34"/>
      <c r="S524" s="34"/>
      <c r="T524" s="34"/>
      <c r="U524" s="34"/>
      <c r="V524" s="34"/>
    </row>
    <row r="525" spans="1:22" x14ac:dyDescent="0.3">
      <c r="A525" s="17"/>
      <c r="B525" s="33"/>
      <c r="C525" s="34"/>
      <c r="D525" s="34"/>
      <c r="E525" s="34"/>
      <c r="F525" s="34"/>
      <c r="G525" s="34"/>
      <c r="H525" s="34"/>
      <c r="I525" s="34"/>
      <c r="J525" s="34"/>
      <c r="K525" s="35"/>
      <c r="L525" s="34"/>
      <c r="M525" s="32"/>
      <c r="N525" s="34"/>
      <c r="O525" s="34"/>
      <c r="P525" s="34"/>
      <c r="Q525" s="34"/>
      <c r="R525" s="34"/>
      <c r="S525" s="34"/>
      <c r="T525" s="34"/>
      <c r="U525" s="34"/>
      <c r="V525" s="34"/>
    </row>
    <row r="526" spans="1:22" x14ac:dyDescent="0.3">
      <c r="A526" s="17"/>
      <c r="B526" s="33"/>
      <c r="C526" s="34"/>
      <c r="D526" s="34"/>
      <c r="E526" s="34"/>
      <c r="F526" s="34"/>
      <c r="G526" s="34"/>
      <c r="H526" s="34"/>
      <c r="I526" s="34"/>
      <c r="J526" s="34"/>
      <c r="K526" s="35"/>
      <c r="L526" s="34"/>
      <c r="M526" s="32"/>
      <c r="N526" s="34"/>
      <c r="O526" s="34"/>
      <c r="P526" s="34"/>
      <c r="Q526" s="34"/>
      <c r="R526" s="34"/>
      <c r="S526" s="34"/>
      <c r="T526" s="34"/>
      <c r="U526" s="34"/>
      <c r="V526" s="34"/>
    </row>
    <row r="527" spans="1:22" x14ac:dyDescent="0.3">
      <c r="A527" s="17"/>
      <c r="B527" s="33"/>
      <c r="C527" s="34"/>
      <c r="D527" s="34"/>
      <c r="E527" s="34"/>
      <c r="F527" s="34"/>
      <c r="G527" s="34"/>
      <c r="H527" s="34"/>
      <c r="I527" s="34"/>
      <c r="J527" s="34"/>
      <c r="K527" s="35"/>
      <c r="L527" s="34"/>
      <c r="M527" s="32"/>
      <c r="N527" s="34"/>
      <c r="O527" s="34"/>
      <c r="P527" s="34"/>
      <c r="Q527" s="34"/>
      <c r="R527" s="34"/>
      <c r="S527" s="34"/>
      <c r="T527" s="34"/>
      <c r="U527" s="34"/>
      <c r="V527" s="34"/>
    </row>
    <row r="528" spans="1:22" x14ac:dyDescent="0.3">
      <c r="A528" s="17"/>
      <c r="B528" s="33"/>
      <c r="C528" s="34"/>
      <c r="D528" s="34"/>
      <c r="E528" s="34"/>
      <c r="F528" s="34"/>
      <c r="G528" s="34"/>
      <c r="H528" s="34"/>
      <c r="I528" s="34"/>
      <c r="J528" s="34"/>
      <c r="K528" s="35"/>
      <c r="L528" s="34"/>
      <c r="M528" s="32"/>
      <c r="N528" s="34"/>
      <c r="O528" s="34"/>
      <c r="P528" s="34"/>
      <c r="Q528" s="34"/>
      <c r="R528" s="34"/>
      <c r="S528" s="34"/>
      <c r="T528" s="34"/>
      <c r="U528" s="34"/>
      <c r="V528" s="34"/>
    </row>
    <row r="529" spans="1:22" x14ac:dyDescent="0.3">
      <c r="A529" s="17"/>
      <c r="B529" s="33"/>
      <c r="C529" s="34"/>
      <c r="D529" s="34"/>
      <c r="E529" s="34"/>
      <c r="F529" s="34"/>
      <c r="G529" s="34"/>
      <c r="H529" s="34"/>
      <c r="I529" s="34"/>
      <c r="J529" s="34"/>
      <c r="K529" s="35"/>
      <c r="L529" s="34"/>
      <c r="M529" s="32"/>
      <c r="N529" s="34"/>
      <c r="O529" s="34"/>
      <c r="P529" s="34"/>
      <c r="Q529" s="34"/>
      <c r="R529" s="34"/>
      <c r="S529" s="34"/>
      <c r="T529" s="34"/>
      <c r="U529" s="34"/>
      <c r="V529" s="34"/>
    </row>
    <row r="530" spans="1:22" x14ac:dyDescent="0.3">
      <c r="A530" s="17"/>
      <c r="B530" s="33"/>
      <c r="C530" s="34"/>
      <c r="D530" s="34"/>
      <c r="E530" s="34"/>
      <c r="F530" s="34"/>
      <c r="G530" s="34"/>
      <c r="H530" s="34"/>
      <c r="I530" s="34"/>
      <c r="J530" s="34"/>
      <c r="K530" s="35"/>
      <c r="L530" s="34"/>
      <c r="M530" s="32"/>
      <c r="N530" s="34"/>
      <c r="O530" s="34"/>
      <c r="P530" s="34"/>
      <c r="Q530" s="34"/>
      <c r="R530" s="34"/>
      <c r="S530" s="34"/>
      <c r="T530" s="34"/>
      <c r="U530" s="34"/>
      <c r="V530" s="34"/>
    </row>
    <row r="531" spans="1:22" x14ac:dyDescent="0.3">
      <c r="A531" s="17"/>
      <c r="B531" s="33"/>
      <c r="C531" s="34"/>
      <c r="D531" s="34"/>
      <c r="E531" s="34"/>
      <c r="F531" s="34"/>
      <c r="G531" s="34"/>
      <c r="H531" s="34"/>
      <c r="I531" s="34"/>
      <c r="J531" s="34"/>
      <c r="K531" s="35"/>
      <c r="L531" s="34"/>
      <c r="M531" s="32"/>
      <c r="N531" s="34"/>
      <c r="O531" s="34"/>
      <c r="P531" s="34"/>
      <c r="Q531" s="34"/>
      <c r="R531" s="34"/>
      <c r="S531" s="34"/>
      <c r="T531" s="34"/>
      <c r="U531" s="34"/>
      <c r="V531" s="34"/>
    </row>
    <row r="532" spans="1:22" x14ac:dyDescent="0.3">
      <c r="A532" s="17"/>
      <c r="B532" s="33"/>
      <c r="C532" s="34"/>
      <c r="D532" s="34"/>
      <c r="E532" s="34"/>
      <c r="F532" s="34"/>
      <c r="G532" s="34"/>
      <c r="H532" s="34"/>
      <c r="I532" s="34"/>
      <c r="J532" s="34"/>
      <c r="K532" s="35"/>
      <c r="L532" s="34"/>
      <c r="M532" s="32"/>
      <c r="N532" s="34"/>
      <c r="O532" s="34"/>
      <c r="P532" s="34"/>
      <c r="Q532" s="34"/>
      <c r="R532" s="34"/>
      <c r="S532" s="34"/>
      <c r="T532" s="34"/>
      <c r="U532" s="34"/>
      <c r="V532" s="34"/>
    </row>
    <row r="533" spans="1:22" x14ac:dyDescent="0.3">
      <c r="A533" s="17"/>
      <c r="B533" s="33"/>
      <c r="C533" s="34"/>
      <c r="D533" s="34"/>
      <c r="E533" s="34"/>
      <c r="F533" s="34"/>
      <c r="G533" s="34"/>
      <c r="H533" s="34"/>
      <c r="I533" s="34"/>
      <c r="J533" s="34"/>
      <c r="K533" s="35"/>
      <c r="L533" s="34"/>
      <c r="M533" s="32"/>
      <c r="N533" s="34"/>
      <c r="O533" s="34"/>
      <c r="P533" s="34"/>
      <c r="Q533" s="34"/>
      <c r="R533" s="34"/>
      <c r="S533" s="34"/>
      <c r="T533" s="34"/>
      <c r="U533" s="34"/>
      <c r="V533" s="34"/>
    </row>
    <row r="534" spans="1:22" x14ac:dyDescent="0.3">
      <c r="A534" s="17"/>
      <c r="B534" s="33"/>
      <c r="C534" s="34"/>
      <c r="D534" s="34"/>
      <c r="E534" s="34"/>
      <c r="F534" s="34"/>
      <c r="G534" s="34"/>
      <c r="H534" s="34"/>
      <c r="I534" s="34"/>
      <c r="J534" s="34"/>
      <c r="K534" s="35"/>
      <c r="L534" s="34"/>
      <c r="M534" s="32"/>
      <c r="N534" s="34"/>
      <c r="O534" s="34"/>
      <c r="P534" s="34"/>
      <c r="Q534" s="34"/>
      <c r="R534" s="34"/>
      <c r="S534" s="34"/>
      <c r="T534" s="34"/>
      <c r="U534" s="34"/>
      <c r="V534" s="34"/>
    </row>
    <row r="535" spans="1:22" x14ac:dyDescent="0.3">
      <c r="A535" s="17"/>
      <c r="B535" s="33"/>
      <c r="C535" s="34"/>
      <c r="D535" s="34"/>
      <c r="E535" s="34"/>
      <c r="F535" s="34"/>
      <c r="G535" s="34"/>
      <c r="H535" s="34"/>
      <c r="I535" s="34"/>
      <c r="J535" s="34"/>
      <c r="K535" s="35"/>
      <c r="L535" s="34"/>
      <c r="M535" s="32"/>
      <c r="N535" s="34"/>
      <c r="O535" s="34"/>
      <c r="P535" s="34"/>
      <c r="Q535" s="34"/>
      <c r="R535" s="34"/>
      <c r="S535" s="34"/>
      <c r="T535" s="34"/>
      <c r="U535" s="34"/>
      <c r="V535" s="34"/>
    </row>
    <row r="536" spans="1:22" x14ac:dyDescent="0.3">
      <c r="A536" s="17"/>
      <c r="B536" s="33"/>
      <c r="C536" s="34"/>
      <c r="D536" s="34"/>
      <c r="E536" s="34"/>
      <c r="F536" s="34"/>
      <c r="G536" s="34"/>
      <c r="H536" s="34"/>
      <c r="I536" s="34"/>
      <c r="J536" s="34"/>
      <c r="K536" s="35"/>
      <c r="L536" s="34"/>
      <c r="M536" s="34"/>
      <c r="N536" s="34"/>
      <c r="O536" s="34"/>
      <c r="P536" s="34"/>
      <c r="Q536" s="34"/>
      <c r="R536" s="34"/>
      <c r="S536" s="34"/>
      <c r="T536" s="34"/>
      <c r="U536" s="34"/>
      <c r="V536" s="34"/>
    </row>
    <row r="537" spans="1:22" x14ac:dyDescent="0.3">
      <c r="A537" s="17"/>
      <c r="B537" s="33"/>
      <c r="C537" s="34"/>
      <c r="D537" s="34"/>
      <c r="E537" s="34"/>
      <c r="F537" s="34"/>
      <c r="G537" s="34"/>
      <c r="H537" s="34"/>
      <c r="I537" s="34"/>
      <c r="J537" s="34"/>
      <c r="K537" s="35"/>
      <c r="L537" s="34"/>
      <c r="M537" s="34"/>
      <c r="N537" s="34"/>
      <c r="O537" s="34"/>
      <c r="P537" s="34"/>
      <c r="Q537" s="34"/>
      <c r="R537" s="34"/>
      <c r="S537" s="34"/>
      <c r="T537" s="34"/>
      <c r="U537" s="34"/>
      <c r="V537" s="34"/>
    </row>
    <row r="538" spans="1:22" x14ac:dyDescent="0.3">
      <c r="A538" s="17"/>
      <c r="B538" s="33"/>
      <c r="C538" s="34"/>
      <c r="D538" s="34"/>
      <c r="E538" s="34"/>
      <c r="F538" s="34"/>
      <c r="G538" s="34"/>
      <c r="H538" s="34"/>
      <c r="I538" s="34"/>
      <c r="J538" s="34"/>
      <c r="K538" s="35"/>
      <c r="L538" s="34"/>
      <c r="M538" s="34"/>
      <c r="N538" s="34"/>
      <c r="O538" s="34"/>
      <c r="P538" s="34"/>
      <c r="Q538" s="34"/>
      <c r="R538" s="34"/>
      <c r="S538" s="34"/>
      <c r="T538" s="34"/>
      <c r="U538" s="34"/>
      <c r="V538" s="34"/>
    </row>
    <row r="539" spans="1:22" x14ac:dyDescent="0.3">
      <c r="A539" s="17"/>
      <c r="B539" s="33"/>
      <c r="C539" s="34"/>
      <c r="D539" s="34"/>
      <c r="E539" s="34"/>
      <c r="F539" s="34"/>
      <c r="G539" s="34"/>
      <c r="H539" s="34"/>
      <c r="I539" s="34"/>
      <c r="J539" s="34"/>
      <c r="K539" s="35"/>
      <c r="L539" s="34"/>
      <c r="M539" s="34"/>
      <c r="N539" s="34"/>
      <c r="O539" s="34"/>
      <c r="P539" s="34"/>
      <c r="Q539" s="34"/>
      <c r="R539" s="34"/>
      <c r="S539" s="34"/>
      <c r="T539" s="34"/>
      <c r="U539" s="34"/>
      <c r="V539" s="34"/>
    </row>
    <row r="540" spans="1:22" x14ac:dyDescent="0.3">
      <c r="A540" s="17"/>
      <c r="B540" s="33"/>
      <c r="C540" s="34"/>
      <c r="D540" s="34"/>
      <c r="E540" s="34"/>
      <c r="F540" s="34"/>
      <c r="G540" s="34"/>
      <c r="H540" s="34"/>
      <c r="I540" s="34"/>
      <c r="J540" s="34"/>
      <c r="K540" s="35"/>
      <c r="L540" s="34"/>
      <c r="M540" s="34"/>
      <c r="N540" s="34"/>
      <c r="O540" s="34"/>
      <c r="P540" s="34"/>
      <c r="Q540" s="34"/>
      <c r="R540" s="34"/>
      <c r="S540" s="34"/>
      <c r="T540" s="34"/>
      <c r="U540" s="34"/>
      <c r="V540" s="34"/>
    </row>
    <row r="541" spans="1:22" x14ac:dyDescent="0.3">
      <c r="A541" s="17"/>
      <c r="B541" s="33"/>
      <c r="C541" s="34"/>
      <c r="D541" s="34"/>
      <c r="E541" s="34"/>
      <c r="F541" s="34"/>
      <c r="G541" s="34"/>
      <c r="H541" s="34"/>
      <c r="I541" s="34"/>
      <c r="J541" s="34"/>
      <c r="K541" s="35"/>
      <c r="L541" s="34"/>
      <c r="M541" s="34"/>
      <c r="N541" s="34"/>
      <c r="O541" s="34"/>
      <c r="P541" s="34"/>
      <c r="Q541" s="34"/>
      <c r="R541" s="34"/>
      <c r="S541" s="34"/>
      <c r="T541" s="34"/>
      <c r="U541" s="34"/>
      <c r="V541" s="34"/>
    </row>
    <row r="542" spans="1:22" x14ac:dyDescent="0.3">
      <c r="A542" s="17"/>
      <c r="B542" s="33"/>
      <c r="C542" s="34"/>
      <c r="D542" s="34"/>
      <c r="E542" s="34"/>
      <c r="F542" s="34"/>
      <c r="G542" s="34"/>
      <c r="H542" s="34"/>
      <c r="I542" s="34"/>
      <c r="J542" s="34"/>
      <c r="K542" s="35"/>
      <c r="L542" s="34"/>
      <c r="M542" s="34"/>
      <c r="N542" s="34"/>
      <c r="O542" s="34"/>
      <c r="P542" s="34"/>
      <c r="Q542" s="34"/>
      <c r="R542" s="34"/>
      <c r="S542" s="34"/>
      <c r="T542" s="34"/>
      <c r="U542" s="34"/>
      <c r="V542" s="34"/>
    </row>
    <row r="543" spans="1:22" x14ac:dyDescent="0.3">
      <c r="A543" s="17"/>
      <c r="B543" s="33"/>
      <c r="C543" s="34"/>
      <c r="D543" s="34"/>
      <c r="E543" s="34"/>
      <c r="F543" s="34"/>
      <c r="G543" s="34"/>
      <c r="H543" s="34"/>
      <c r="I543" s="34"/>
      <c r="J543" s="34"/>
      <c r="K543" s="35"/>
      <c r="L543" s="34"/>
      <c r="M543" s="34"/>
      <c r="N543" s="34"/>
      <c r="O543" s="34"/>
      <c r="P543" s="34"/>
      <c r="Q543" s="34"/>
      <c r="R543" s="34"/>
      <c r="S543" s="34"/>
      <c r="T543" s="34"/>
      <c r="U543" s="34"/>
      <c r="V543" s="34"/>
    </row>
    <row r="544" spans="1:22" x14ac:dyDescent="0.3">
      <c r="A544" s="17"/>
      <c r="B544" s="33"/>
      <c r="C544" s="34"/>
      <c r="D544" s="34"/>
      <c r="E544" s="34"/>
      <c r="F544" s="34"/>
      <c r="G544" s="34"/>
      <c r="H544" s="34"/>
      <c r="I544" s="34"/>
      <c r="J544" s="34"/>
      <c r="K544" s="35"/>
      <c r="L544" s="34"/>
      <c r="M544" s="34"/>
      <c r="N544" s="34"/>
      <c r="O544" s="34"/>
      <c r="P544" s="34"/>
      <c r="Q544" s="34"/>
      <c r="R544" s="34"/>
      <c r="S544" s="34"/>
      <c r="T544" s="34"/>
      <c r="U544" s="34"/>
      <c r="V544" s="34"/>
    </row>
    <row r="545" spans="1:22" x14ac:dyDescent="0.3">
      <c r="A545" s="17"/>
      <c r="B545" s="33"/>
      <c r="C545" s="34"/>
      <c r="D545" s="34"/>
      <c r="E545" s="34"/>
      <c r="F545" s="34"/>
      <c r="G545" s="34"/>
      <c r="H545" s="34"/>
      <c r="I545" s="34"/>
      <c r="J545" s="34"/>
      <c r="K545" s="35"/>
      <c r="L545" s="34"/>
      <c r="M545" s="34"/>
      <c r="N545" s="34"/>
      <c r="O545" s="34"/>
      <c r="P545" s="34"/>
      <c r="Q545" s="34"/>
      <c r="R545" s="34"/>
      <c r="S545" s="34"/>
      <c r="T545" s="34"/>
      <c r="U545" s="34"/>
      <c r="V545" s="34"/>
    </row>
    <row r="546" spans="1:22" x14ac:dyDescent="0.3">
      <c r="A546" s="17"/>
      <c r="B546" s="33"/>
      <c r="C546" s="34"/>
      <c r="D546" s="34"/>
      <c r="E546" s="34"/>
      <c r="F546" s="34"/>
      <c r="G546" s="34"/>
      <c r="H546" s="34"/>
      <c r="I546" s="34"/>
      <c r="J546" s="34"/>
      <c r="K546" s="35"/>
      <c r="L546" s="34"/>
      <c r="M546" s="34"/>
      <c r="N546" s="34"/>
      <c r="O546" s="34"/>
      <c r="P546" s="34"/>
      <c r="Q546" s="34"/>
      <c r="R546" s="34"/>
      <c r="S546" s="34"/>
      <c r="T546" s="34"/>
      <c r="U546" s="34"/>
      <c r="V546" s="34"/>
    </row>
    <row r="547" spans="1:22" x14ac:dyDescent="0.3">
      <c r="A547" s="17"/>
      <c r="B547" s="33"/>
      <c r="C547" s="34"/>
      <c r="D547" s="34"/>
      <c r="E547" s="34"/>
      <c r="F547" s="34"/>
      <c r="G547" s="34"/>
      <c r="H547" s="34"/>
      <c r="I547" s="34"/>
      <c r="J547" s="34"/>
      <c r="K547" s="35"/>
      <c r="L547" s="34"/>
      <c r="M547" s="34"/>
      <c r="N547" s="34"/>
      <c r="O547" s="34"/>
      <c r="P547" s="34"/>
      <c r="Q547" s="34"/>
      <c r="R547" s="34"/>
      <c r="S547" s="34"/>
      <c r="T547" s="34"/>
      <c r="U547" s="34"/>
      <c r="V547" s="34"/>
    </row>
    <row r="548" spans="1:22" x14ac:dyDescent="0.3">
      <c r="A548" s="17"/>
      <c r="B548" s="33"/>
      <c r="C548" s="34"/>
      <c r="D548" s="34"/>
      <c r="E548" s="34"/>
      <c r="F548" s="34"/>
      <c r="G548" s="34"/>
      <c r="H548" s="34"/>
      <c r="I548" s="34"/>
      <c r="J548" s="34"/>
      <c r="K548" s="35"/>
      <c r="L548" s="34"/>
      <c r="M548" s="34"/>
      <c r="N548" s="34"/>
      <c r="O548" s="34"/>
      <c r="P548" s="34"/>
      <c r="Q548" s="34"/>
      <c r="R548" s="34"/>
      <c r="S548" s="34"/>
      <c r="T548" s="34"/>
      <c r="U548" s="34"/>
      <c r="V548" s="34"/>
    </row>
    <row r="549" spans="1:22" x14ac:dyDescent="0.3">
      <c r="A549" s="17"/>
      <c r="B549" s="33"/>
      <c r="C549" s="34"/>
      <c r="D549" s="34"/>
      <c r="E549" s="34"/>
      <c r="F549" s="34"/>
      <c r="G549" s="34"/>
      <c r="H549" s="34"/>
      <c r="I549" s="34"/>
      <c r="J549" s="34"/>
      <c r="K549" s="35"/>
      <c r="L549" s="34"/>
      <c r="M549" s="34"/>
      <c r="N549" s="34"/>
      <c r="O549" s="34"/>
      <c r="P549" s="34"/>
      <c r="Q549" s="34"/>
      <c r="R549" s="34"/>
      <c r="S549" s="34"/>
      <c r="T549" s="34"/>
      <c r="U549" s="34"/>
      <c r="V549" s="34"/>
    </row>
    <row r="550" spans="1:22" x14ac:dyDescent="0.3">
      <c r="A550" s="17"/>
      <c r="B550" s="33"/>
      <c r="C550" s="34"/>
      <c r="D550" s="34"/>
      <c r="E550" s="34"/>
      <c r="F550" s="34"/>
      <c r="G550" s="34"/>
      <c r="H550" s="34"/>
      <c r="I550" s="34"/>
      <c r="J550" s="34"/>
      <c r="K550" s="35"/>
      <c r="L550" s="34"/>
      <c r="M550" s="34"/>
      <c r="N550" s="34"/>
      <c r="O550" s="34"/>
      <c r="P550" s="34"/>
      <c r="Q550" s="34"/>
      <c r="R550" s="34"/>
      <c r="S550" s="34"/>
      <c r="T550" s="34"/>
      <c r="U550" s="34"/>
      <c r="V550" s="34"/>
    </row>
    <row r="551" spans="1:22" x14ac:dyDescent="0.3">
      <c r="A551" s="17"/>
      <c r="B551" s="33"/>
      <c r="C551" s="34"/>
      <c r="D551" s="34"/>
      <c r="E551" s="34"/>
      <c r="F551" s="34"/>
      <c r="G551" s="34"/>
      <c r="H551" s="34"/>
      <c r="I551" s="34"/>
      <c r="J551" s="34"/>
      <c r="K551" s="35"/>
      <c r="L551" s="34"/>
      <c r="M551" s="34"/>
      <c r="N551" s="34"/>
      <c r="O551" s="34"/>
      <c r="P551" s="34"/>
      <c r="Q551" s="34"/>
      <c r="R551" s="34"/>
      <c r="S551" s="34"/>
      <c r="T551" s="34"/>
      <c r="U551" s="34"/>
      <c r="V551" s="34"/>
    </row>
    <row r="552" spans="1:22" x14ac:dyDescent="0.3">
      <c r="A552" s="17"/>
      <c r="B552" s="33"/>
      <c r="C552" s="34"/>
      <c r="D552" s="34"/>
      <c r="E552" s="34"/>
      <c r="F552" s="34"/>
      <c r="G552" s="34"/>
      <c r="H552" s="34"/>
      <c r="I552" s="34"/>
      <c r="J552" s="34"/>
      <c r="K552" s="35"/>
      <c r="L552" s="34"/>
      <c r="M552" s="34"/>
      <c r="N552" s="34"/>
      <c r="O552" s="34"/>
      <c r="P552" s="34"/>
      <c r="Q552" s="34"/>
      <c r="R552" s="34"/>
      <c r="S552" s="34"/>
      <c r="T552" s="34"/>
      <c r="U552" s="34"/>
      <c r="V552" s="34"/>
    </row>
    <row r="553" spans="1:22" x14ac:dyDescent="0.3">
      <c r="A553" s="17"/>
      <c r="B553" s="33"/>
      <c r="C553" s="34"/>
      <c r="D553" s="34"/>
      <c r="E553" s="34"/>
      <c r="F553" s="34"/>
      <c r="G553" s="34"/>
      <c r="H553" s="34"/>
      <c r="I553" s="34"/>
      <c r="J553" s="34"/>
      <c r="K553" s="35"/>
      <c r="L553" s="34"/>
      <c r="M553" s="34"/>
      <c r="N553" s="34"/>
      <c r="O553" s="34"/>
      <c r="P553" s="34"/>
      <c r="Q553" s="34"/>
      <c r="R553" s="34"/>
      <c r="S553" s="34"/>
      <c r="T553" s="34"/>
      <c r="U553" s="34"/>
      <c r="V553" s="34"/>
    </row>
    <row r="554" spans="1:22" x14ac:dyDescent="0.3">
      <c r="A554" s="17"/>
      <c r="B554" s="33"/>
      <c r="C554" s="34"/>
      <c r="D554" s="34"/>
      <c r="E554" s="34"/>
      <c r="F554" s="34"/>
      <c r="G554" s="34"/>
      <c r="H554" s="34"/>
      <c r="I554" s="34"/>
      <c r="J554" s="34"/>
      <c r="K554" s="35"/>
      <c r="L554" s="34"/>
      <c r="M554" s="34"/>
      <c r="N554" s="34"/>
      <c r="O554" s="34"/>
      <c r="P554" s="34"/>
      <c r="Q554" s="34"/>
      <c r="R554" s="34"/>
      <c r="S554" s="34"/>
      <c r="T554" s="34"/>
      <c r="U554" s="34"/>
      <c r="V554" s="34"/>
    </row>
    <row r="555" spans="1:22" x14ac:dyDescent="0.3">
      <c r="A555" s="17"/>
      <c r="B555" s="33"/>
      <c r="C555" s="34"/>
      <c r="D555" s="34"/>
      <c r="E555" s="34"/>
      <c r="F555" s="34"/>
      <c r="G555" s="34"/>
      <c r="H555" s="34"/>
      <c r="I555" s="34"/>
      <c r="J555" s="34"/>
      <c r="K555" s="35"/>
      <c r="L555" s="34"/>
      <c r="M555" s="34"/>
      <c r="N555" s="34"/>
      <c r="O555" s="34"/>
      <c r="P555" s="34"/>
      <c r="Q555" s="34"/>
      <c r="R555" s="34"/>
      <c r="S555" s="34"/>
      <c r="T555" s="34"/>
      <c r="U555" s="34"/>
      <c r="V555" s="34"/>
    </row>
    <row r="556" spans="1:22" x14ac:dyDescent="0.3">
      <c r="A556" s="17"/>
      <c r="B556" s="33"/>
      <c r="C556" s="34"/>
      <c r="D556" s="34"/>
      <c r="E556" s="34"/>
      <c r="F556" s="34"/>
      <c r="G556" s="34"/>
      <c r="H556" s="34"/>
      <c r="I556" s="34"/>
      <c r="J556" s="34"/>
      <c r="K556" s="35"/>
      <c r="L556" s="34"/>
      <c r="M556" s="34"/>
      <c r="N556" s="34"/>
      <c r="O556" s="34"/>
      <c r="P556" s="34"/>
      <c r="Q556" s="34"/>
      <c r="R556" s="34"/>
      <c r="S556" s="34"/>
      <c r="T556" s="34"/>
      <c r="U556" s="34"/>
      <c r="V556" s="34"/>
    </row>
    <row r="557" spans="1:22" x14ac:dyDescent="0.3">
      <c r="A557" s="17"/>
      <c r="B557" s="33"/>
      <c r="C557" s="34"/>
      <c r="D557" s="34"/>
      <c r="E557" s="34"/>
      <c r="F557" s="34"/>
      <c r="G557" s="34"/>
      <c r="H557" s="34"/>
      <c r="I557" s="34"/>
      <c r="J557" s="34"/>
      <c r="K557" s="35"/>
      <c r="L557" s="34"/>
      <c r="M557" s="34"/>
      <c r="N557" s="34"/>
      <c r="O557" s="34"/>
      <c r="P557" s="34"/>
      <c r="Q557" s="34"/>
      <c r="R557" s="34"/>
      <c r="S557" s="34"/>
      <c r="T557" s="34"/>
      <c r="U557" s="34"/>
      <c r="V557" s="34"/>
    </row>
    <row r="558" spans="1:22" x14ac:dyDescent="0.3">
      <c r="A558" s="17"/>
      <c r="B558" s="33"/>
      <c r="C558" s="34"/>
      <c r="D558" s="34"/>
      <c r="E558" s="34"/>
      <c r="F558" s="34"/>
      <c r="G558" s="34"/>
      <c r="H558" s="34"/>
      <c r="I558" s="34"/>
      <c r="J558" s="34"/>
      <c r="K558" s="35"/>
      <c r="L558" s="34"/>
      <c r="M558" s="34"/>
      <c r="N558" s="34"/>
      <c r="O558" s="34"/>
      <c r="P558" s="34"/>
      <c r="Q558" s="34"/>
      <c r="R558" s="34"/>
      <c r="S558" s="34"/>
      <c r="T558" s="34"/>
      <c r="U558" s="34"/>
      <c r="V558" s="34"/>
    </row>
    <row r="559" spans="1:22" x14ac:dyDescent="0.3">
      <c r="A559" s="17"/>
      <c r="B559" s="33"/>
      <c r="C559" s="34"/>
      <c r="D559" s="34"/>
      <c r="E559" s="34"/>
      <c r="F559" s="34"/>
      <c r="G559" s="34"/>
      <c r="H559" s="34"/>
      <c r="I559" s="34"/>
      <c r="J559" s="34"/>
      <c r="K559" s="35"/>
      <c r="L559" s="34"/>
      <c r="M559" s="34"/>
      <c r="N559" s="34"/>
      <c r="O559" s="34"/>
      <c r="P559" s="34"/>
      <c r="Q559" s="34"/>
      <c r="R559" s="34"/>
      <c r="S559" s="34"/>
      <c r="T559" s="34"/>
      <c r="U559" s="34"/>
      <c r="V559" s="34"/>
    </row>
    <row r="560" spans="1:22" x14ac:dyDescent="0.3">
      <c r="A560" s="17"/>
      <c r="B560" s="33"/>
      <c r="C560" s="34"/>
      <c r="D560" s="34"/>
      <c r="E560" s="34"/>
      <c r="F560" s="34"/>
      <c r="G560" s="34"/>
      <c r="H560" s="34"/>
      <c r="I560" s="34"/>
      <c r="J560" s="34"/>
      <c r="K560" s="35"/>
      <c r="L560" s="34"/>
      <c r="M560" s="34"/>
      <c r="N560" s="34"/>
      <c r="O560" s="34"/>
      <c r="P560" s="34"/>
      <c r="Q560" s="34"/>
      <c r="R560" s="34"/>
      <c r="S560" s="34"/>
      <c r="T560" s="34"/>
      <c r="U560" s="34"/>
      <c r="V560" s="34"/>
    </row>
    <row r="561" spans="1:22" x14ac:dyDescent="0.3">
      <c r="A561" s="17"/>
      <c r="B561" s="33"/>
      <c r="C561" s="34"/>
      <c r="D561" s="34"/>
      <c r="E561" s="34"/>
      <c r="F561" s="34"/>
      <c r="G561" s="34"/>
      <c r="H561" s="34"/>
      <c r="I561" s="34"/>
      <c r="J561" s="34"/>
      <c r="K561" s="35"/>
      <c r="L561" s="34"/>
      <c r="M561" s="34"/>
      <c r="N561" s="34"/>
      <c r="O561" s="34"/>
      <c r="P561" s="34"/>
      <c r="Q561" s="34"/>
      <c r="R561" s="34"/>
      <c r="S561" s="34"/>
      <c r="T561" s="34"/>
      <c r="U561" s="34"/>
      <c r="V561" s="34"/>
    </row>
    <row r="562" spans="1:22" x14ac:dyDescent="0.3">
      <c r="A562" s="17"/>
      <c r="B562" s="33"/>
      <c r="C562" s="34"/>
      <c r="D562" s="34"/>
      <c r="E562" s="34"/>
      <c r="F562" s="34"/>
      <c r="G562" s="34"/>
      <c r="H562" s="34"/>
      <c r="I562" s="34"/>
      <c r="J562" s="34"/>
      <c r="K562" s="35"/>
      <c r="L562" s="34"/>
      <c r="M562" s="34"/>
      <c r="N562" s="34"/>
      <c r="O562" s="34"/>
      <c r="P562" s="34"/>
      <c r="Q562" s="34"/>
      <c r="R562" s="34"/>
      <c r="S562" s="34"/>
      <c r="T562" s="34"/>
      <c r="U562" s="34"/>
      <c r="V562" s="34"/>
    </row>
    <row r="563" spans="1:22" x14ac:dyDescent="0.3">
      <c r="A563" s="17"/>
      <c r="B563" s="33"/>
      <c r="C563" s="34"/>
      <c r="D563" s="34"/>
      <c r="E563" s="34"/>
      <c r="F563" s="34"/>
      <c r="G563" s="34"/>
      <c r="H563" s="34"/>
      <c r="I563" s="34"/>
      <c r="J563" s="34"/>
      <c r="K563" s="35"/>
      <c r="L563" s="34"/>
      <c r="M563" s="34"/>
      <c r="N563" s="34"/>
      <c r="O563" s="34"/>
      <c r="P563" s="34"/>
      <c r="Q563" s="34"/>
      <c r="R563" s="34"/>
      <c r="S563" s="34"/>
      <c r="T563" s="34"/>
      <c r="U563" s="34"/>
      <c r="V563" s="34"/>
    </row>
    <row r="564" spans="1:22" x14ac:dyDescent="0.3">
      <c r="A564" s="17"/>
      <c r="B564" s="33"/>
      <c r="C564" s="34"/>
      <c r="D564" s="34"/>
      <c r="E564" s="34"/>
      <c r="F564" s="34"/>
      <c r="G564" s="34"/>
      <c r="H564" s="34"/>
      <c r="I564" s="34"/>
      <c r="J564" s="34"/>
      <c r="K564" s="35"/>
      <c r="L564" s="34"/>
      <c r="M564" s="34"/>
      <c r="N564" s="34"/>
      <c r="O564" s="34"/>
      <c r="P564" s="34"/>
      <c r="Q564" s="34"/>
      <c r="R564" s="34"/>
      <c r="S564" s="34"/>
      <c r="T564" s="34"/>
      <c r="U564" s="34"/>
      <c r="V564" s="34"/>
    </row>
    <row r="565" spans="1:22" x14ac:dyDescent="0.3">
      <c r="A565" s="17"/>
      <c r="B565" s="33"/>
      <c r="C565" s="34"/>
      <c r="D565" s="34"/>
      <c r="E565" s="34"/>
      <c r="F565" s="34"/>
      <c r="G565" s="34"/>
      <c r="H565" s="34"/>
      <c r="I565" s="34"/>
      <c r="J565" s="34"/>
      <c r="K565" s="35"/>
      <c r="L565" s="34"/>
      <c r="M565" s="34"/>
      <c r="N565" s="34"/>
      <c r="O565" s="34"/>
      <c r="P565" s="34"/>
      <c r="Q565" s="34"/>
      <c r="R565" s="34"/>
      <c r="S565" s="34"/>
      <c r="T565" s="34"/>
      <c r="U565" s="34"/>
      <c r="V565" s="34"/>
    </row>
    <row r="566" spans="1:22" x14ac:dyDescent="0.3">
      <c r="A566" s="17"/>
      <c r="B566" s="33"/>
      <c r="C566" s="34"/>
      <c r="D566" s="34"/>
      <c r="E566" s="34"/>
      <c r="F566" s="34"/>
      <c r="G566" s="34"/>
      <c r="H566" s="34"/>
      <c r="I566" s="34"/>
      <c r="J566" s="34"/>
      <c r="K566" s="35"/>
      <c r="L566" s="34"/>
      <c r="M566" s="34"/>
      <c r="N566" s="34"/>
      <c r="O566" s="34"/>
      <c r="P566" s="34"/>
      <c r="Q566" s="34"/>
      <c r="R566" s="34"/>
      <c r="S566" s="34"/>
      <c r="T566" s="34"/>
      <c r="U566" s="34"/>
      <c r="V566" s="34"/>
    </row>
    <row r="567" spans="1:22" x14ac:dyDescent="0.3">
      <c r="A567" s="17"/>
      <c r="B567" s="33"/>
      <c r="C567" s="34"/>
      <c r="D567" s="34"/>
      <c r="E567" s="34"/>
      <c r="F567" s="34"/>
      <c r="G567" s="34"/>
      <c r="H567" s="34"/>
      <c r="I567" s="34"/>
      <c r="J567" s="34"/>
      <c r="K567" s="35"/>
      <c r="L567" s="34"/>
      <c r="M567" s="34"/>
      <c r="N567" s="34"/>
      <c r="O567" s="34"/>
      <c r="P567" s="34"/>
      <c r="Q567" s="34"/>
      <c r="R567" s="34"/>
      <c r="S567" s="34"/>
      <c r="T567" s="34"/>
      <c r="U567" s="34"/>
      <c r="V567" s="34"/>
    </row>
    <row r="568" spans="1:22" x14ac:dyDescent="0.3">
      <c r="A568" s="17"/>
      <c r="B568" s="33"/>
      <c r="C568" s="34"/>
      <c r="D568" s="34"/>
      <c r="E568" s="34"/>
      <c r="F568" s="34"/>
      <c r="G568" s="34"/>
      <c r="H568" s="34"/>
      <c r="I568" s="34"/>
      <c r="J568" s="34"/>
      <c r="K568" s="35"/>
      <c r="L568" s="34"/>
      <c r="M568" s="34"/>
      <c r="N568" s="34"/>
      <c r="O568" s="34"/>
      <c r="P568" s="34"/>
      <c r="Q568" s="34"/>
      <c r="R568" s="34"/>
      <c r="S568" s="34"/>
      <c r="T568" s="34"/>
      <c r="U568" s="34"/>
      <c r="V568" s="34"/>
    </row>
    <row r="569" spans="1:22" x14ac:dyDescent="0.3">
      <c r="A569" s="17"/>
      <c r="B569" s="33"/>
      <c r="C569" s="34"/>
      <c r="D569" s="34"/>
      <c r="E569" s="34"/>
      <c r="F569" s="34"/>
      <c r="G569" s="34"/>
      <c r="H569" s="34"/>
      <c r="I569" s="34"/>
      <c r="J569" s="34"/>
      <c r="K569" s="35"/>
      <c r="L569" s="34"/>
      <c r="M569" s="34"/>
      <c r="N569" s="34"/>
      <c r="O569" s="34"/>
      <c r="P569" s="34"/>
      <c r="Q569" s="34"/>
      <c r="R569" s="34"/>
      <c r="S569" s="34"/>
      <c r="T569" s="34"/>
      <c r="U569" s="34"/>
      <c r="V569" s="34"/>
    </row>
    <row r="570" spans="1:22" x14ac:dyDescent="0.3">
      <c r="A570" s="17"/>
      <c r="B570" s="33"/>
      <c r="C570" s="34"/>
      <c r="D570" s="34"/>
      <c r="E570" s="34"/>
      <c r="F570" s="34"/>
      <c r="G570" s="34"/>
      <c r="H570" s="34"/>
      <c r="I570" s="34"/>
      <c r="J570" s="34"/>
      <c r="K570" s="35"/>
      <c r="L570" s="34"/>
      <c r="M570" s="34"/>
      <c r="N570" s="34"/>
      <c r="O570" s="34"/>
      <c r="P570" s="34"/>
      <c r="Q570" s="34"/>
      <c r="R570" s="34"/>
      <c r="S570" s="34"/>
      <c r="T570" s="34"/>
      <c r="U570" s="34"/>
      <c r="V570" s="34"/>
    </row>
    <row r="571" spans="1:22" x14ac:dyDescent="0.3">
      <c r="A571" s="17"/>
      <c r="B571" s="33"/>
      <c r="C571" s="34"/>
      <c r="D571" s="34"/>
      <c r="E571" s="34"/>
      <c r="F571" s="34"/>
      <c r="G571" s="34"/>
      <c r="H571" s="34"/>
      <c r="I571" s="34"/>
      <c r="J571" s="34"/>
      <c r="K571" s="35"/>
      <c r="L571" s="34"/>
      <c r="M571" s="34"/>
      <c r="N571" s="34"/>
      <c r="O571" s="34"/>
      <c r="P571" s="34"/>
      <c r="Q571" s="34"/>
      <c r="R571" s="34"/>
      <c r="S571" s="34"/>
      <c r="T571" s="34"/>
      <c r="U571" s="34"/>
      <c r="V571" s="34"/>
    </row>
    <row r="572" spans="1:22" x14ac:dyDescent="0.3">
      <c r="A572" s="17"/>
      <c r="B572" s="33"/>
      <c r="C572" s="34"/>
      <c r="D572" s="34"/>
      <c r="E572" s="34"/>
      <c r="F572" s="34"/>
      <c r="G572" s="34"/>
      <c r="H572" s="34"/>
      <c r="I572" s="34"/>
      <c r="J572" s="34"/>
      <c r="K572" s="35"/>
      <c r="L572" s="34"/>
      <c r="M572" s="34"/>
      <c r="N572" s="34"/>
      <c r="O572" s="34"/>
      <c r="P572" s="34"/>
      <c r="Q572" s="34"/>
      <c r="R572" s="34"/>
      <c r="S572" s="34"/>
      <c r="T572" s="34"/>
      <c r="U572" s="34"/>
      <c r="V572" s="34"/>
    </row>
    <row r="573" spans="1:22" x14ac:dyDescent="0.3">
      <c r="A573" s="17"/>
      <c r="B573" s="33"/>
      <c r="C573" s="34"/>
      <c r="D573" s="34"/>
      <c r="E573" s="34"/>
      <c r="F573" s="34"/>
      <c r="G573" s="34"/>
      <c r="H573" s="34"/>
      <c r="I573" s="34"/>
      <c r="J573" s="34"/>
      <c r="K573" s="35"/>
      <c r="L573" s="34"/>
      <c r="M573" s="34"/>
      <c r="N573" s="34"/>
      <c r="O573" s="34"/>
      <c r="P573" s="34"/>
      <c r="Q573" s="34"/>
      <c r="R573" s="34"/>
      <c r="S573" s="34"/>
      <c r="T573" s="34"/>
      <c r="U573" s="34"/>
      <c r="V573" s="34"/>
    </row>
    <row r="574" spans="1:22" x14ac:dyDescent="0.3">
      <c r="A574" s="17"/>
      <c r="B574" s="33"/>
      <c r="C574" s="34"/>
      <c r="D574" s="34"/>
      <c r="E574" s="34"/>
      <c r="F574" s="34"/>
      <c r="G574" s="34"/>
      <c r="H574" s="34"/>
      <c r="I574" s="34"/>
      <c r="J574" s="34"/>
      <c r="K574" s="35"/>
      <c r="L574" s="34"/>
      <c r="M574" s="34"/>
      <c r="N574" s="34"/>
      <c r="O574" s="34"/>
      <c r="P574" s="34"/>
      <c r="Q574" s="34"/>
      <c r="R574" s="34"/>
      <c r="S574" s="34"/>
      <c r="T574" s="34"/>
      <c r="U574" s="34"/>
      <c r="V574" s="34"/>
    </row>
    <row r="575" spans="1:22" x14ac:dyDescent="0.3">
      <c r="A575" s="17"/>
      <c r="B575" s="33"/>
      <c r="C575" s="34"/>
      <c r="D575" s="34"/>
      <c r="E575" s="34"/>
      <c r="F575" s="34"/>
      <c r="G575" s="34"/>
      <c r="H575" s="34"/>
      <c r="I575" s="34"/>
      <c r="J575" s="34"/>
      <c r="K575" s="35"/>
      <c r="L575" s="34"/>
      <c r="M575" s="34"/>
      <c r="N575" s="34"/>
      <c r="O575" s="34"/>
      <c r="P575" s="34"/>
      <c r="Q575" s="34"/>
      <c r="R575" s="34"/>
      <c r="S575" s="34"/>
      <c r="T575" s="34"/>
      <c r="U575" s="34"/>
      <c r="V575" s="34"/>
    </row>
    <row r="576" spans="1:22" x14ac:dyDescent="0.3">
      <c r="A576" s="17"/>
      <c r="B576" s="33"/>
      <c r="C576" s="34"/>
      <c r="D576" s="34"/>
      <c r="E576" s="34"/>
      <c r="F576" s="34"/>
      <c r="G576" s="34"/>
      <c r="H576" s="34"/>
      <c r="I576" s="34"/>
      <c r="J576" s="34"/>
      <c r="K576" s="35"/>
      <c r="L576" s="34"/>
      <c r="M576" s="34"/>
      <c r="N576" s="34"/>
      <c r="O576" s="34"/>
      <c r="P576" s="34"/>
      <c r="Q576" s="34"/>
      <c r="R576" s="34"/>
      <c r="S576" s="34"/>
      <c r="T576" s="34"/>
      <c r="U576" s="34"/>
      <c r="V576" s="34"/>
    </row>
    <row r="577" spans="1:22" x14ac:dyDescent="0.3">
      <c r="A577" s="17"/>
      <c r="B577" s="33"/>
      <c r="C577" s="34"/>
      <c r="D577" s="34"/>
      <c r="E577" s="34"/>
      <c r="F577" s="34"/>
      <c r="G577" s="34"/>
      <c r="H577" s="34"/>
      <c r="I577" s="34"/>
      <c r="J577" s="34"/>
      <c r="K577" s="35"/>
      <c r="L577" s="34"/>
      <c r="M577" s="34"/>
      <c r="N577" s="34"/>
      <c r="O577" s="34"/>
      <c r="P577" s="34"/>
      <c r="Q577" s="34"/>
      <c r="R577" s="34"/>
      <c r="S577" s="34"/>
      <c r="T577" s="34"/>
      <c r="U577" s="34"/>
      <c r="V577" s="34"/>
    </row>
    <row r="578" spans="1:22" x14ac:dyDescent="0.3">
      <c r="A578" s="17"/>
      <c r="B578" s="33"/>
      <c r="C578" s="34"/>
      <c r="D578" s="34"/>
      <c r="E578" s="34"/>
      <c r="F578" s="34"/>
      <c r="G578" s="34"/>
      <c r="H578" s="34"/>
      <c r="I578" s="34"/>
      <c r="J578" s="34"/>
      <c r="K578" s="35"/>
      <c r="L578" s="34"/>
      <c r="M578" s="34"/>
      <c r="N578" s="34"/>
      <c r="O578" s="34"/>
      <c r="P578" s="34"/>
      <c r="Q578" s="34"/>
      <c r="R578" s="34"/>
      <c r="S578" s="34"/>
      <c r="T578" s="34"/>
      <c r="U578" s="34"/>
      <c r="V578" s="34"/>
    </row>
    <row r="579" spans="1:22" x14ac:dyDescent="0.3">
      <c r="A579" s="17"/>
      <c r="B579" s="33"/>
      <c r="C579" s="34"/>
      <c r="D579" s="34"/>
      <c r="E579" s="34"/>
      <c r="F579" s="34"/>
      <c r="G579" s="34"/>
      <c r="H579" s="34"/>
      <c r="I579" s="34"/>
      <c r="J579" s="34"/>
      <c r="K579" s="35"/>
      <c r="L579" s="34"/>
      <c r="M579" s="34"/>
      <c r="N579" s="34"/>
      <c r="O579" s="34"/>
      <c r="P579" s="34"/>
      <c r="Q579" s="34"/>
      <c r="R579" s="34"/>
      <c r="S579" s="34"/>
      <c r="T579" s="34"/>
      <c r="U579" s="34"/>
      <c r="V579" s="34"/>
    </row>
    <row r="580" spans="1:22" x14ac:dyDescent="0.3">
      <c r="A580" s="17"/>
      <c r="B580" s="33"/>
      <c r="C580" s="34"/>
      <c r="D580" s="34"/>
      <c r="E580" s="34"/>
      <c r="F580" s="34"/>
      <c r="G580" s="34"/>
      <c r="H580" s="34"/>
      <c r="I580" s="34"/>
      <c r="J580" s="34"/>
      <c r="K580" s="35"/>
      <c r="L580" s="34"/>
      <c r="M580" s="34"/>
      <c r="N580" s="34"/>
      <c r="O580" s="34"/>
      <c r="P580" s="34"/>
      <c r="Q580" s="34"/>
      <c r="R580" s="34"/>
      <c r="S580" s="34"/>
      <c r="T580" s="34"/>
      <c r="U580" s="34"/>
      <c r="V580" s="34"/>
    </row>
    <row r="581" spans="1:22" x14ac:dyDescent="0.3">
      <c r="A581" s="17"/>
      <c r="B581" s="33"/>
      <c r="C581" s="34"/>
      <c r="D581" s="34"/>
      <c r="E581" s="34"/>
      <c r="F581" s="34"/>
      <c r="G581" s="34"/>
      <c r="H581" s="34"/>
      <c r="I581" s="34"/>
      <c r="J581" s="34"/>
      <c r="K581" s="35"/>
      <c r="L581" s="34"/>
      <c r="M581" s="34"/>
      <c r="N581" s="34"/>
      <c r="O581" s="34"/>
      <c r="P581" s="34"/>
      <c r="Q581" s="34"/>
      <c r="R581" s="34"/>
      <c r="S581" s="34"/>
      <c r="T581" s="34"/>
      <c r="U581" s="34"/>
      <c r="V581" s="34"/>
    </row>
    <row r="582" spans="1:22" x14ac:dyDescent="0.3">
      <c r="A582" s="17"/>
      <c r="B582" s="33"/>
      <c r="C582" s="34"/>
      <c r="D582" s="34"/>
      <c r="E582" s="34"/>
      <c r="F582" s="34"/>
      <c r="G582" s="34"/>
      <c r="H582" s="34"/>
      <c r="I582" s="34"/>
      <c r="J582" s="34"/>
      <c r="K582" s="35"/>
      <c r="L582" s="34"/>
      <c r="M582" s="34"/>
      <c r="N582" s="34"/>
      <c r="O582" s="34"/>
      <c r="P582" s="34"/>
      <c r="Q582" s="34"/>
      <c r="R582" s="34"/>
      <c r="S582" s="34"/>
      <c r="T582" s="34"/>
      <c r="U582" s="34"/>
      <c r="V582" s="34"/>
    </row>
    <row r="583" spans="1:22" x14ac:dyDescent="0.3">
      <c r="A583" s="17"/>
      <c r="B583" s="33"/>
      <c r="C583" s="34"/>
      <c r="D583" s="34"/>
      <c r="E583" s="34"/>
      <c r="F583" s="34"/>
      <c r="G583" s="34"/>
      <c r="H583" s="34"/>
      <c r="I583" s="34"/>
      <c r="J583" s="34"/>
      <c r="K583" s="35"/>
      <c r="L583" s="34"/>
      <c r="M583" s="34"/>
      <c r="N583" s="34"/>
      <c r="O583" s="34"/>
      <c r="P583" s="34"/>
      <c r="Q583" s="34"/>
      <c r="R583" s="34"/>
      <c r="S583" s="34"/>
      <c r="T583" s="34"/>
      <c r="U583" s="34"/>
      <c r="V583" s="34"/>
    </row>
    <row r="584" spans="1:22" x14ac:dyDescent="0.3">
      <c r="A584" s="17"/>
      <c r="B584" s="33"/>
      <c r="C584" s="34"/>
      <c r="D584" s="34"/>
      <c r="E584" s="34"/>
      <c r="F584" s="34"/>
      <c r="G584" s="34"/>
      <c r="H584" s="34"/>
      <c r="I584" s="34"/>
      <c r="J584" s="34"/>
      <c r="K584" s="35"/>
      <c r="L584" s="34"/>
      <c r="M584" s="34"/>
      <c r="N584" s="34"/>
      <c r="O584" s="34"/>
      <c r="P584" s="34"/>
      <c r="Q584" s="34"/>
      <c r="R584" s="34"/>
      <c r="S584" s="34"/>
      <c r="T584" s="34"/>
      <c r="U584" s="34"/>
      <c r="V584" s="34"/>
    </row>
    <row r="585" spans="1:22" x14ac:dyDescent="0.3">
      <c r="A585" s="17"/>
      <c r="B585" s="33"/>
      <c r="C585" s="34"/>
      <c r="D585" s="34"/>
      <c r="E585" s="34"/>
      <c r="F585" s="34"/>
      <c r="G585" s="34"/>
      <c r="H585" s="34"/>
      <c r="I585" s="34"/>
      <c r="J585" s="34"/>
      <c r="K585" s="35"/>
      <c r="L585" s="34"/>
      <c r="M585" s="34"/>
      <c r="N585" s="34"/>
      <c r="O585" s="34"/>
      <c r="P585" s="34"/>
      <c r="Q585" s="34"/>
      <c r="R585" s="34"/>
      <c r="S585" s="34"/>
      <c r="T585" s="34"/>
      <c r="U585" s="34"/>
      <c r="V585" s="34"/>
    </row>
    <row r="586" spans="1:22" x14ac:dyDescent="0.3">
      <c r="A586" s="17"/>
      <c r="B586" s="33"/>
      <c r="C586" s="34"/>
      <c r="D586" s="34"/>
      <c r="E586" s="34"/>
      <c r="F586" s="34"/>
      <c r="G586" s="34"/>
      <c r="H586" s="34"/>
      <c r="I586" s="34"/>
      <c r="J586" s="34"/>
      <c r="K586" s="35"/>
      <c r="L586" s="34"/>
      <c r="M586" s="34"/>
      <c r="N586" s="34"/>
      <c r="O586" s="34"/>
      <c r="P586" s="34"/>
      <c r="Q586" s="34"/>
      <c r="R586" s="34"/>
      <c r="S586" s="34"/>
      <c r="T586" s="34"/>
      <c r="U586" s="34"/>
      <c r="V586" s="34"/>
    </row>
    <row r="587" spans="1:22" x14ac:dyDescent="0.3">
      <c r="A587" s="17"/>
      <c r="B587" s="33"/>
      <c r="C587" s="34"/>
      <c r="D587" s="34"/>
      <c r="E587" s="34"/>
      <c r="F587" s="34"/>
      <c r="G587" s="34"/>
      <c r="H587" s="34"/>
      <c r="I587" s="34"/>
      <c r="J587" s="34"/>
      <c r="K587" s="35"/>
      <c r="L587" s="34"/>
      <c r="M587" s="34"/>
      <c r="N587" s="34"/>
      <c r="O587" s="34"/>
      <c r="P587" s="34"/>
      <c r="Q587" s="34"/>
      <c r="R587" s="34"/>
      <c r="S587" s="34"/>
      <c r="T587" s="34"/>
      <c r="U587" s="34"/>
      <c r="V587" s="34"/>
    </row>
    <row r="588" spans="1:22" x14ac:dyDescent="0.3">
      <c r="A588" s="17"/>
      <c r="B588" s="33"/>
      <c r="C588" s="34"/>
      <c r="D588" s="34"/>
      <c r="E588" s="34"/>
      <c r="F588" s="34"/>
      <c r="G588" s="34"/>
      <c r="H588" s="34"/>
      <c r="I588" s="34"/>
      <c r="J588" s="34"/>
      <c r="K588" s="35"/>
      <c r="L588" s="34"/>
      <c r="M588" s="34"/>
      <c r="N588" s="34"/>
      <c r="O588" s="34"/>
      <c r="P588" s="34"/>
      <c r="Q588" s="34"/>
      <c r="R588" s="34"/>
      <c r="S588" s="34"/>
      <c r="T588" s="34"/>
      <c r="U588" s="34"/>
      <c r="V588" s="34"/>
    </row>
    <row r="589" spans="1:22" x14ac:dyDescent="0.3">
      <c r="A589" s="17"/>
      <c r="B589" s="33"/>
      <c r="C589" s="34"/>
      <c r="D589" s="34"/>
      <c r="E589" s="34"/>
      <c r="F589" s="34"/>
      <c r="G589" s="34"/>
      <c r="H589" s="34"/>
      <c r="I589" s="34"/>
      <c r="J589" s="34"/>
      <c r="K589" s="35"/>
      <c r="L589" s="34"/>
      <c r="M589" s="34"/>
      <c r="N589" s="34"/>
      <c r="O589" s="34"/>
      <c r="P589" s="34"/>
      <c r="Q589" s="34"/>
      <c r="R589" s="34"/>
      <c r="S589" s="34"/>
      <c r="T589" s="34"/>
      <c r="U589" s="34"/>
      <c r="V589" s="34"/>
    </row>
    <row r="590" spans="1:22" x14ac:dyDescent="0.3">
      <c r="A590" s="17"/>
      <c r="B590" s="33"/>
      <c r="C590" s="34"/>
      <c r="D590" s="34"/>
      <c r="E590" s="34"/>
      <c r="F590" s="34"/>
      <c r="G590" s="34"/>
      <c r="H590" s="34"/>
      <c r="I590" s="34"/>
      <c r="J590" s="34"/>
      <c r="K590" s="35"/>
      <c r="L590" s="34"/>
      <c r="M590" s="34"/>
      <c r="N590" s="34"/>
      <c r="O590" s="34"/>
      <c r="P590" s="34"/>
      <c r="Q590" s="34"/>
      <c r="R590" s="34"/>
      <c r="S590" s="34"/>
      <c r="T590" s="34"/>
      <c r="U590" s="34"/>
      <c r="V590" s="34"/>
    </row>
    <row r="591" spans="1:22" x14ac:dyDescent="0.3">
      <c r="A591" s="17"/>
      <c r="B591" s="33"/>
      <c r="C591" s="34"/>
      <c r="D591" s="34"/>
      <c r="E591" s="34"/>
      <c r="F591" s="34"/>
      <c r="G591" s="34"/>
      <c r="H591" s="34"/>
      <c r="I591" s="34"/>
      <c r="J591" s="34"/>
      <c r="K591" s="35"/>
      <c r="L591" s="34"/>
      <c r="M591" s="34"/>
      <c r="N591" s="34"/>
      <c r="O591" s="34"/>
      <c r="P591" s="34"/>
      <c r="Q591" s="34"/>
      <c r="R591" s="34"/>
      <c r="S591" s="34"/>
      <c r="T591" s="34"/>
      <c r="U591" s="34"/>
      <c r="V591" s="34"/>
    </row>
    <row r="592" spans="1:22" x14ac:dyDescent="0.3">
      <c r="A592" s="17"/>
      <c r="B592" s="33"/>
      <c r="C592" s="34"/>
      <c r="D592" s="34"/>
      <c r="E592" s="34"/>
      <c r="F592" s="34"/>
      <c r="G592" s="34"/>
      <c r="H592" s="34"/>
      <c r="I592" s="34"/>
      <c r="J592" s="34"/>
      <c r="K592" s="35"/>
      <c r="L592" s="34"/>
      <c r="M592" s="34"/>
      <c r="N592" s="34"/>
      <c r="O592" s="34"/>
      <c r="P592" s="34"/>
      <c r="Q592" s="34"/>
      <c r="R592" s="34"/>
      <c r="S592" s="34"/>
      <c r="T592" s="34"/>
      <c r="U592" s="34"/>
      <c r="V592" s="34"/>
    </row>
    <row r="593" spans="1:22" x14ac:dyDescent="0.3">
      <c r="A593" s="17"/>
      <c r="B593" s="33"/>
      <c r="C593" s="34"/>
      <c r="D593" s="34"/>
      <c r="E593" s="34"/>
      <c r="F593" s="34"/>
      <c r="G593" s="34"/>
      <c r="H593" s="34"/>
      <c r="I593" s="34"/>
      <c r="J593" s="34"/>
      <c r="K593" s="35"/>
      <c r="L593" s="34"/>
      <c r="M593" s="34"/>
      <c r="N593" s="34"/>
      <c r="O593" s="34"/>
      <c r="P593" s="34"/>
      <c r="Q593" s="34"/>
      <c r="R593" s="34"/>
      <c r="S593" s="34"/>
      <c r="T593" s="34"/>
      <c r="U593" s="34"/>
      <c r="V593" s="34"/>
    </row>
    <row r="594" spans="1:22" x14ac:dyDescent="0.3">
      <c r="A594" s="17"/>
      <c r="B594" s="33"/>
      <c r="C594" s="34"/>
      <c r="D594" s="34"/>
      <c r="E594" s="34"/>
      <c r="F594" s="34"/>
      <c r="G594" s="34"/>
      <c r="H594" s="34"/>
      <c r="I594" s="34"/>
      <c r="J594" s="34"/>
      <c r="K594" s="35"/>
      <c r="L594" s="34"/>
      <c r="M594" s="34"/>
      <c r="N594" s="34"/>
      <c r="O594" s="34"/>
      <c r="P594" s="34"/>
      <c r="Q594" s="34"/>
      <c r="R594" s="34"/>
      <c r="S594" s="34"/>
      <c r="T594" s="34"/>
      <c r="U594" s="34"/>
      <c r="V594" s="34"/>
    </row>
    <row r="595" spans="1:22" x14ac:dyDescent="0.3">
      <c r="A595" s="17"/>
      <c r="B595" s="33"/>
      <c r="C595" s="34"/>
      <c r="D595" s="34"/>
      <c r="E595" s="34"/>
      <c r="F595" s="34"/>
      <c r="G595" s="34"/>
      <c r="H595" s="34"/>
      <c r="I595" s="34"/>
      <c r="J595" s="34"/>
      <c r="K595" s="35"/>
      <c r="L595" s="34"/>
      <c r="M595" s="34"/>
      <c r="N595" s="34"/>
      <c r="O595" s="34"/>
      <c r="P595" s="34"/>
      <c r="Q595" s="34"/>
      <c r="R595" s="34"/>
      <c r="S595" s="34"/>
      <c r="T595" s="34"/>
      <c r="U595" s="34"/>
      <c r="V595" s="34"/>
    </row>
    <row r="596" spans="1:22" x14ac:dyDescent="0.3">
      <c r="A596" s="17"/>
      <c r="B596" s="33"/>
      <c r="C596" s="34"/>
      <c r="D596" s="34"/>
      <c r="E596" s="34"/>
      <c r="F596" s="34"/>
      <c r="G596" s="34"/>
      <c r="H596" s="34"/>
      <c r="I596" s="34"/>
      <c r="J596" s="34"/>
      <c r="K596" s="35"/>
      <c r="L596" s="34"/>
      <c r="M596" s="34"/>
      <c r="N596" s="34"/>
      <c r="O596" s="34"/>
      <c r="P596" s="34"/>
      <c r="Q596" s="34"/>
      <c r="R596" s="34"/>
      <c r="S596" s="34"/>
      <c r="T596" s="34"/>
      <c r="U596" s="34"/>
      <c r="V596" s="34"/>
    </row>
    <row r="597" spans="1:22" x14ac:dyDescent="0.3">
      <c r="A597" s="17"/>
      <c r="B597" s="33"/>
      <c r="C597" s="34"/>
      <c r="D597" s="34"/>
      <c r="E597" s="34"/>
      <c r="F597" s="34"/>
      <c r="G597" s="34"/>
      <c r="H597" s="34"/>
      <c r="I597" s="34"/>
      <c r="J597" s="34"/>
      <c r="K597" s="35"/>
      <c r="L597" s="34"/>
      <c r="M597" s="34"/>
      <c r="N597" s="34"/>
      <c r="O597" s="34"/>
      <c r="P597" s="34"/>
      <c r="Q597" s="34"/>
      <c r="R597" s="34"/>
      <c r="S597" s="34"/>
      <c r="T597" s="34"/>
      <c r="U597" s="34"/>
      <c r="V597" s="34"/>
    </row>
    <row r="598" spans="1:22" x14ac:dyDescent="0.3">
      <c r="A598" s="17"/>
      <c r="B598" s="33"/>
      <c r="C598" s="34"/>
      <c r="D598" s="34"/>
      <c r="E598" s="34"/>
      <c r="F598" s="34"/>
      <c r="G598" s="34"/>
      <c r="H598" s="34"/>
      <c r="I598" s="34"/>
      <c r="J598" s="34"/>
      <c r="K598" s="35"/>
      <c r="L598" s="34"/>
      <c r="M598" s="34"/>
      <c r="N598" s="34"/>
      <c r="O598" s="34"/>
      <c r="P598" s="34"/>
      <c r="Q598" s="34"/>
      <c r="R598" s="34"/>
      <c r="S598" s="34"/>
      <c r="T598" s="34"/>
      <c r="U598" s="34"/>
      <c r="V598" s="34"/>
    </row>
    <row r="599" spans="1:22" x14ac:dyDescent="0.3">
      <c r="A599" s="17"/>
      <c r="B599" s="33"/>
      <c r="C599" s="34"/>
      <c r="D599" s="34"/>
      <c r="E599" s="34"/>
      <c r="F599" s="34"/>
      <c r="G599" s="34"/>
      <c r="H599" s="34"/>
      <c r="I599" s="34"/>
      <c r="J599" s="34"/>
      <c r="K599" s="35"/>
      <c r="L599" s="34"/>
      <c r="M599" s="34"/>
      <c r="N599" s="34"/>
      <c r="O599" s="34"/>
      <c r="P599" s="34"/>
      <c r="Q599" s="34"/>
      <c r="R599" s="34"/>
      <c r="S599" s="34"/>
      <c r="T599" s="34"/>
      <c r="U599" s="34"/>
      <c r="V599" s="34"/>
    </row>
    <row r="600" spans="1:22" x14ac:dyDescent="0.3">
      <c r="A600" s="17"/>
      <c r="B600" s="33"/>
      <c r="C600" s="34"/>
      <c r="D600" s="34"/>
      <c r="E600" s="34"/>
      <c r="F600" s="34"/>
      <c r="G600" s="34"/>
      <c r="H600" s="34"/>
      <c r="I600" s="34"/>
      <c r="J600" s="34"/>
      <c r="K600" s="35"/>
      <c r="L600" s="34"/>
      <c r="M600" s="34"/>
      <c r="N600" s="34"/>
      <c r="O600" s="34"/>
      <c r="P600" s="34"/>
      <c r="Q600" s="34"/>
      <c r="R600" s="34"/>
      <c r="S600" s="34"/>
      <c r="T600" s="34"/>
      <c r="U600" s="34"/>
      <c r="V600" s="34"/>
    </row>
    <row r="601" spans="1:22" x14ac:dyDescent="0.3">
      <c r="A601" s="17"/>
      <c r="B601" s="33"/>
      <c r="C601" s="34"/>
      <c r="D601" s="34"/>
      <c r="E601" s="34"/>
      <c r="F601" s="34"/>
      <c r="G601" s="34"/>
      <c r="H601" s="34"/>
      <c r="I601" s="34"/>
      <c r="J601" s="34"/>
      <c r="K601" s="35"/>
      <c r="L601" s="34"/>
      <c r="M601" s="34"/>
      <c r="N601" s="34"/>
      <c r="O601" s="34"/>
      <c r="P601" s="34"/>
      <c r="Q601" s="34"/>
      <c r="R601" s="34"/>
      <c r="S601" s="34"/>
      <c r="T601" s="34"/>
      <c r="U601" s="34"/>
      <c r="V601" s="34"/>
    </row>
    <row r="602" spans="1:22" x14ac:dyDescent="0.3">
      <c r="A602" s="17"/>
      <c r="B602" s="33"/>
      <c r="C602" s="34"/>
      <c r="D602" s="34"/>
      <c r="E602" s="34"/>
      <c r="F602" s="34"/>
      <c r="G602" s="34"/>
      <c r="H602" s="34"/>
      <c r="I602" s="34"/>
      <c r="J602" s="34"/>
      <c r="K602" s="35"/>
      <c r="L602" s="34"/>
      <c r="M602" s="34"/>
      <c r="N602" s="34"/>
      <c r="O602" s="34"/>
      <c r="P602" s="34"/>
      <c r="Q602" s="34"/>
      <c r="R602" s="34"/>
      <c r="S602" s="34"/>
      <c r="T602" s="34"/>
      <c r="U602" s="34"/>
      <c r="V602" s="34"/>
    </row>
    <row r="603" spans="1:22" x14ac:dyDescent="0.3">
      <c r="A603" s="17"/>
      <c r="B603" s="33"/>
      <c r="C603" s="34"/>
      <c r="D603" s="34"/>
      <c r="E603" s="34"/>
      <c r="F603" s="34"/>
      <c r="G603" s="34"/>
      <c r="H603" s="34"/>
      <c r="I603" s="34"/>
      <c r="J603" s="34"/>
      <c r="K603" s="35"/>
      <c r="L603" s="34"/>
      <c r="M603" s="34"/>
      <c r="N603" s="34"/>
      <c r="O603" s="34"/>
      <c r="P603" s="34"/>
      <c r="Q603" s="34"/>
      <c r="R603" s="34"/>
      <c r="S603" s="34"/>
      <c r="T603" s="34"/>
      <c r="U603" s="34"/>
      <c r="V603" s="34"/>
    </row>
    <row r="604" spans="1:22" x14ac:dyDescent="0.3">
      <c r="A604" s="17"/>
      <c r="B604" s="33"/>
      <c r="C604" s="34"/>
      <c r="D604" s="34"/>
      <c r="E604" s="34"/>
      <c r="F604" s="34"/>
      <c r="G604" s="34"/>
      <c r="H604" s="34"/>
      <c r="I604" s="34"/>
      <c r="J604" s="34"/>
      <c r="K604" s="35"/>
      <c r="L604" s="34"/>
      <c r="M604" s="34"/>
      <c r="N604" s="34"/>
      <c r="O604" s="34"/>
      <c r="P604" s="34"/>
      <c r="Q604" s="34"/>
      <c r="R604" s="34"/>
      <c r="S604" s="34"/>
      <c r="T604" s="34"/>
      <c r="U604" s="34"/>
      <c r="V604" s="34"/>
    </row>
    <row r="605" spans="1:22" x14ac:dyDescent="0.3">
      <c r="A605" s="17"/>
      <c r="B605" s="33"/>
      <c r="C605" s="34"/>
      <c r="D605" s="34"/>
      <c r="E605" s="34"/>
      <c r="F605" s="34"/>
      <c r="G605" s="34"/>
      <c r="H605" s="34"/>
      <c r="I605" s="34"/>
      <c r="J605" s="34"/>
      <c r="K605" s="35"/>
      <c r="L605" s="34"/>
      <c r="M605" s="34"/>
      <c r="N605" s="34"/>
      <c r="O605" s="34"/>
      <c r="P605" s="34"/>
      <c r="Q605" s="34"/>
      <c r="R605" s="34"/>
      <c r="S605" s="34"/>
      <c r="T605" s="34"/>
      <c r="U605" s="34"/>
      <c r="V605" s="34"/>
    </row>
    <row r="606" spans="1:22" x14ac:dyDescent="0.3">
      <c r="A606" s="17"/>
      <c r="B606" s="33"/>
      <c r="C606" s="34"/>
      <c r="D606" s="34"/>
      <c r="E606" s="34"/>
      <c r="F606" s="34"/>
      <c r="G606" s="34"/>
      <c r="H606" s="34"/>
      <c r="I606" s="34"/>
      <c r="J606" s="34"/>
      <c r="K606" s="35"/>
      <c r="L606" s="34"/>
      <c r="M606" s="34"/>
      <c r="N606" s="34"/>
      <c r="O606" s="34"/>
      <c r="P606" s="34"/>
      <c r="Q606" s="34"/>
      <c r="R606" s="34"/>
      <c r="S606" s="34"/>
      <c r="T606" s="34"/>
      <c r="U606" s="34"/>
      <c r="V606" s="34"/>
    </row>
    <row r="607" spans="1:22" x14ac:dyDescent="0.3">
      <c r="A607" s="17"/>
      <c r="B607" s="33"/>
      <c r="C607" s="34"/>
      <c r="D607" s="34"/>
      <c r="E607" s="34"/>
      <c r="F607" s="34"/>
      <c r="G607" s="34"/>
      <c r="H607" s="34"/>
      <c r="I607" s="34"/>
      <c r="J607" s="34"/>
      <c r="K607" s="35"/>
      <c r="L607" s="34"/>
      <c r="M607" s="34"/>
      <c r="N607" s="34"/>
      <c r="O607" s="34"/>
      <c r="P607" s="34"/>
      <c r="Q607" s="34"/>
      <c r="R607" s="34"/>
      <c r="S607" s="34"/>
      <c r="T607" s="34"/>
      <c r="U607" s="34"/>
      <c r="V607" s="34"/>
    </row>
    <row r="608" spans="1:22" x14ac:dyDescent="0.3">
      <c r="A608" s="17"/>
      <c r="B608" s="33"/>
      <c r="C608" s="34"/>
      <c r="D608" s="34"/>
      <c r="E608" s="34"/>
      <c r="F608" s="34"/>
      <c r="G608" s="34"/>
      <c r="H608" s="34"/>
      <c r="I608" s="34"/>
      <c r="J608" s="34"/>
      <c r="K608" s="35"/>
      <c r="L608" s="34"/>
      <c r="M608" s="34"/>
      <c r="N608" s="34"/>
      <c r="O608" s="34"/>
      <c r="P608" s="34"/>
      <c r="Q608" s="34"/>
      <c r="R608" s="34"/>
      <c r="S608" s="34"/>
      <c r="T608" s="34"/>
      <c r="U608" s="34"/>
      <c r="V608" s="34"/>
    </row>
    <row r="609" spans="1:22" x14ac:dyDescent="0.3">
      <c r="A609" s="17"/>
      <c r="B609" s="33"/>
      <c r="C609" s="34"/>
      <c r="D609" s="34"/>
      <c r="E609" s="34"/>
      <c r="F609" s="34"/>
      <c r="G609" s="34"/>
      <c r="H609" s="34"/>
      <c r="I609" s="34"/>
      <c r="J609" s="34"/>
      <c r="K609" s="35"/>
      <c r="L609" s="34"/>
      <c r="M609" s="34"/>
      <c r="N609" s="34"/>
      <c r="O609" s="34"/>
      <c r="P609" s="34"/>
      <c r="Q609" s="34"/>
      <c r="R609" s="34"/>
      <c r="S609" s="34"/>
      <c r="T609" s="34"/>
      <c r="U609" s="34"/>
      <c r="V609" s="34"/>
    </row>
    <row r="610" spans="1:22" x14ac:dyDescent="0.3">
      <c r="A610" s="17"/>
      <c r="B610" s="33"/>
      <c r="C610" s="34"/>
      <c r="D610" s="34"/>
      <c r="E610" s="34"/>
      <c r="F610" s="34"/>
      <c r="G610" s="34"/>
      <c r="H610" s="34"/>
      <c r="I610" s="34"/>
      <c r="J610" s="34"/>
      <c r="K610" s="35"/>
      <c r="L610" s="34"/>
      <c r="M610" s="34"/>
      <c r="N610" s="34"/>
      <c r="O610" s="34"/>
      <c r="P610" s="34"/>
      <c r="Q610" s="34"/>
      <c r="R610" s="34"/>
      <c r="S610" s="34"/>
      <c r="T610" s="34"/>
      <c r="U610" s="34"/>
      <c r="V610" s="34"/>
    </row>
    <row r="611" spans="1:22" x14ac:dyDescent="0.3">
      <c r="A611" s="17"/>
      <c r="B611" s="33"/>
      <c r="C611" s="34"/>
      <c r="D611" s="34"/>
      <c r="E611" s="34"/>
      <c r="F611" s="34"/>
      <c r="G611" s="34"/>
      <c r="H611" s="34"/>
      <c r="I611" s="34"/>
      <c r="J611" s="34"/>
      <c r="K611" s="35"/>
      <c r="L611" s="34"/>
      <c r="M611" s="34"/>
      <c r="N611" s="34"/>
      <c r="O611" s="34"/>
      <c r="P611" s="34"/>
      <c r="Q611" s="34"/>
      <c r="R611" s="34"/>
      <c r="S611" s="34"/>
      <c r="T611" s="34"/>
      <c r="U611" s="34"/>
      <c r="V611" s="34"/>
    </row>
    <row r="612" spans="1:22" x14ac:dyDescent="0.3">
      <c r="A612" s="17"/>
      <c r="B612" s="33"/>
      <c r="C612" s="34"/>
      <c r="D612" s="34"/>
      <c r="E612" s="34"/>
      <c r="F612" s="34"/>
      <c r="G612" s="34"/>
      <c r="H612" s="34"/>
      <c r="I612" s="34"/>
      <c r="J612" s="34"/>
      <c r="K612" s="35"/>
      <c r="L612" s="34"/>
      <c r="M612" s="34"/>
      <c r="N612" s="34"/>
      <c r="O612" s="34"/>
      <c r="P612" s="34"/>
      <c r="Q612" s="34"/>
      <c r="R612" s="34"/>
      <c r="S612" s="34"/>
      <c r="T612" s="34"/>
      <c r="U612" s="34"/>
      <c r="V612" s="34"/>
    </row>
    <row r="613" spans="1:22" x14ac:dyDescent="0.3">
      <c r="A613" s="17"/>
      <c r="B613" s="33"/>
      <c r="C613" s="34"/>
      <c r="D613" s="34"/>
      <c r="E613" s="34"/>
      <c r="F613" s="34"/>
      <c r="G613" s="34"/>
      <c r="H613" s="34"/>
      <c r="I613" s="34"/>
      <c r="J613" s="34"/>
      <c r="K613" s="35"/>
      <c r="L613" s="34"/>
      <c r="M613" s="34"/>
      <c r="N613" s="34"/>
      <c r="O613" s="34"/>
      <c r="P613" s="34"/>
      <c r="Q613" s="34"/>
      <c r="R613" s="34"/>
      <c r="S613" s="34"/>
      <c r="T613" s="34"/>
      <c r="U613" s="34"/>
      <c r="V613" s="34"/>
    </row>
    <row r="614" spans="1:22" x14ac:dyDescent="0.3">
      <c r="A614" s="17"/>
      <c r="B614" s="33"/>
      <c r="C614" s="34"/>
      <c r="D614" s="34"/>
      <c r="E614" s="34"/>
      <c r="F614" s="34"/>
      <c r="G614" s="34"/>
      <c r="H614" s="34"/>
      <c r="I614" s="34"/>
      <c r="J614" s="34"/>
      <c r="K614" s="35"/>
      <c r="L614" s="34"/>
      <c r="M614" s="34"/>
      <c r="N614" s="34"/>
      <c r="O614" s="34"/>
      <c r="P614" s="34"/>
      <c r="Q614" s="34"/>
      <c r="R614" s="34"/>
      <c r="S614" s="34"/>
      <c r="T614" s="34"/>
      <c r="U614" s="34"/>
      <c r="V614" s="34"/>
    </row>
    <row r="615" spans="1:22" x14ac:dyDescent="0.3">
      <c r="A615" s="17"/>
      <c r="B615" s="33"/>
      <c r="C615" s="34"/>
      <c r="D615" s="34"/>
      <c r="E615" s="34"/>
      <c r="F615" s="34"/>
      <c r="G615" s="34"/>
      <c r="H615" s="34"/>
      <c r="I615" s="34"/>
      <c r="J615" s="34"/>
      <c r="K615" s="35"/>
      <c r="L615" s="34"/>
      <c r="M615" s="34"/>
      <c r="N615" s="34"/>
      <c r="O615" s="34"/>
      <c r="P615" s="34"/>
      <c r="Q615" s="34"/>
      <c r="R615" s="34"/>
      <c r="S615" s="34"/>
      <c r="T615" s="34"/>
      <c r="U615" s="34"/>
      <c r="V615" s="34"/>
    </row>
    <row r="616" spans="1:22" x14ac:dyDescent="0.3">
      <c r="A616" s="17"/>
      <c r="B616" s="33"/>
      <c r="C616" s="34"/>
      <c r="D616" s="34"/>
      <c r="E616" s="34"/>
      <c r="F616" s="34"/>
      <c r="G616" s="34"/>
      <c r="H616" s="34"/>
      <c r="I616" s="34"/>
      <c r="J616" s="34"/>
      <c r="K616" s="35"/>
      <c r="L616" s="34"/>
      <c r="M616" s="34"/>
      <c r="N616" s="34"/>
      <c r="O616" s="34"/>
      <c r="P616" s="34"/>
      <c r="Q616" s="34"/>
      <c r="R616" s="34"/>
      <c r="S616" s="34"/>
      <c r="T616" s="34"/>
      <c r="U616" s="34"/>
      <c r="V616" s="34"/>
    </row>
    <row r="617" spans="1:22" x14ac:dyDescent="0.3">
      <c r="A617" s="17"/>
      <c r="B617" s="33"/>
      <c r="C617" s="34"/>
      <c r="D617" s="34"/>
      <c r="E617" s="34"/>
      <c r="F617" s="34"/>
      <c r="G617" s="34"/>
      <c r="H617" s="34"/>
      <c r="I617" s="34"/>
      <c r="J617" s="34"/>
      <c r="K617" s="35"/>
      <c r="L617" s="34"/>
      <c r="M617" s="34"/>
      <c r="N617" s="34"/>
      <c r="O617" s="34"/>
      <c r="P617" s="34"/>
      <c r="Q617" s="34"/>
      <c r="R617" s="34"/>
      <c r="S617" s="34"/>
      <c r="T617" s="34"/>
      <c r="U617" s="34"/>
      <c r="V617" s="34"/>
    </row>
    <row r="618" spans="1:22" x14ac:dyDescent="0.3">
      <c r="A618" s="17"/>
      <c r="B618" s="33"/>
      <c r="C618" s="34"/>
      <c r="D618" s="34"/>
      <c r="E618" s="34"/>
      <c r="F618" s="34"/>
      <c r="G618" s="34"/>
      <c r="H618" s="34"/>
      <c r="I618" s="34"/>
      <c r="J618" s="34"/>
      <c r="K618" s="35"/>
      <c r="L618" s="34"/>
      <c r="M618" s="34"/>
      <c r="N618" s="34"/>
      <c r="O618" s="34"/>
      <c r="P618" s="34"/>
      <c r="Q618" s="34"/>
      <c r="R618" s="34"/>
      <c r="S618" s="34"/>
      <c r="T618" s="34"/>
      <c r="U618" s="34"/>
      <c r="V618" s="34"/>
    </row>
    <row r="619" spans="1:22" x14ac:dyDescent="0.3">
      <c r="A619" s="17"/>
      <c r="B619" s="33"/>
      <c r="C619" s="34"/>
      <c r="D619" s="34"/>
      <c r="E619" s="34"/>
      <c r="F619" s="34"/>
      <c r="G619" s="34"/>
      <c r="H619" s="34"/>
      <c r="I619" s="34"/>
      <c r="J619" s="34"/>
      <c r="K619" s="35"/>
      <c r="L619" s="34"/>
      <c r="M619" s="34"/>
      <c r="N619" s="34"/>
      <c r="O619" s="34"/>
      <c r="P619" s="34"/>
      <c r="Q619" s="34"/>
      <c r="R619" s="34"/>
      <c r="S619" s="34"/>
      <c r="T619" s="34"/>
      <c r="U619" s="34"/>
      <c r="V619" s="34"/>
    </row>
    <row r="620" spans="1:22" x14ac:dyDescent="0.3">
      <c r="A620" s="17"/>
      <c r="B620" s="33"/>
      <c r="C620" s="34"/>
      <c r="D620" s="34"/>
      <c r="E620" s="34"/>
      <c r="F620" s="34"/>
      <c r="G620" s="34"/>
      <c r="H620" s="34"/>
      <c r="I620" s="34"/>
      <c r="J620" s="34"/>
      <c r="K620" s="35"/>
      <c r="L620" s="34"/>
      <c r="M620" s="34"/>
      <c r="N620" s="34"/>
      <c r="O620" s="34"/>
      <c r="P620" s="34"/>
      <c r="Q620" s="34"/>
      <c r="R620" s="34"/>
      <c r="S620" s="34"/>
      <c r="T620" s="34"/>
      <c r="U620" s="34"/>
      <c r="V620" s="34"/>
    </row>
    <row r="621" spans="1:22" x14ac:dyDescent="0.3">
      <c r="A621" s="17"/>
      <c r="B621" s="33"/>
      <c r="C621" s="34"/>
      <c r="D621" s="34"/>
      <c r="E621" s="34"/>
      <c r="F621" s="34"/>
      <c r="G621" s="34"/>
      <c r="H621" s="34"/>
      <c r="I621" s="34"/>
      <c r="J621" s="34"/>
      <c r="K621" s="35"/>
      <c r="L621" s="34"/>
      <c r="M621" s="34"/>
      <c r="N621" s="34"/>
      <c r="O621" s="34"/>
      <c r="P621" s="34"/>
      <c r="Q621" s="34"/>
      <c r="R621" s="34"/>
      <c r="S621" s="34"/>
      <c r="T621" s="34"/>
      <c r="U621" s="34"/>
      <c r="V621" s="34"/>
    </row>
    <row r="622" spans="1:22" x14ac:dyDescent="0.3">
      <c r="A622" s="17"/>
      <c r="B622" s="33"/>
      <c r="C622" s="34"/>
      <c r="D622" s="34"/>
      <c r="E622" s="34"/>
      <c r="F622" s="34"/>
      <c r="G622" s="34"/>
      <c r="H622" s="34"/>
      <c r="I622" s="34"/>
      <c r="J622" s="34"/>
      <c r="K622" s="35"/>
      <c r="L622" s="34"/>
      <c r="M622" s="34"/>
      <c r="N622" s="34"/>
      <c r="O622" s="34"/>
      <c r="P622" s="34"/>
      <c r="Q622" s="34"/>
      <c r="R622" s="34"/>
      <c r="S622" s="34"/>
      <c r="T622" s="34"/>
      <c r="U622" s="34"/>
      <c r="V622" s="34"/>
    </row>
    <row r="623" spans="1:22" x14ac:dyDescent="0.3">
      <c r="A623" s="17"/>
      <c r="B623" s="33"/>
      <c r="C623" s="34"/>
      <c r="D623" s="34"/>
      <c r="E623" s="34"/>
      <c r="F623" s="34"/>
      <c r="G623" s="34"/>
      <c r="H623" s="34"/>
      <c r="I623" s="34"/>
      <c r="J623" s="34"/>
      <c r="K623" s="35"/>
      <c r="L623" s="34"/>
      <c r="M623" s="34"/>
      <c r="N623" s="34"/>
      <c r="O623" s="34"/>
      <c r="P623" s="34"/>
      <c r="Q623" s="34"/>
      <c r="R623" s="34"/>
      <c r="S623" s="34"/>
      <c r="T623" s="34"/>
      <c r="U623" s="34"/>
      <c r="V623" s="34"/>
    </row>
    <row r="624" spans="1:22" x14ac:dyDescent="0.3">
      <c r="A624" s="17"/>
      <c r="B624" s="33"/>
      <c r="C624" s="34"/>
      <c r="D624" s="34"/>
      <c r="E624" s="34"/>
      <c r="F624" s="34"/>
      <c r="G624" s="34"/>
      <c r="H624" s="34"/>
      <c r="I624" s="34"/>
      <c r="J624" s="34"/>
      <c r="K624" s="35"/>
      <c r="L624" s="34"/>
      <c r="M624" s="34"/>
      <c r="N624" s="34"/>
      <c r="O624" s="34"/>
      <c r="P624" s="34"/>
      <c r="Q624" s="34"/>
      <c r="R624" s="34"/>
      <c r="S624" s="34"/>
      <c r="T624" s="34"/>
      <c r="U624" s="34"/>
      <c r="V624" s="34"/>
    </row>
    <row r="625" spans="1:22" x14ac:dyDescent="0.3">
      <c r="A625" s="17"/>
      <c r="B625" s="33"/>
      <c r="C625" s="34"/>
      <c r="D625" s="34"/>
      <c r="E625" s="34"/>
      <c r="F625" s="34"/>
      <c r="G625" s="34"/>
      <c r="H625" s="34"/>
      <c r="I625" s="34"/>
      <c r="J625" s="34"/>
      <c r="K625" s="35"/>
      <c r="L625" s="34"/>
      <c r="M625" s="34"/>
      <c r="N625" s="34"/>
      <c r="O625" s="34"/>
      <c r="P625" s="34"/>
      <c r="Q625" s="34"/>
      <c r="R625" s="34"/>
      <c r="S625" s="34"/>
      <c r="T625" s="34"/>
      <c r="U625" s="34"/>
      <c r="V625" s="34"/>
    </row>
    <row r="626" spans="1:22" x14ac:dyDescent="0.3">
      <c r="A626" s="17"/>
      <c r="B626" s="33"/>
      <c r="C626" s="34"/>
      <c r="D626" s="34"/>
      <c r="E626" s="34"/>
      <c r="F626" s="34"/>
      <c r="G626" s="34"/>
      <c r="H626" s="34"/>
      <c r="I626" s="34"/>
      <c r="J626" s="34"/>
      <c r="K626" s="35"/>
      <c r="L626" s="34"/>
      <c r="M626" s="34"/>
      <c r="N626" s="34"/>
      <c r="O626" s="34"/>
      <c r="P626" s="34"/>
      <c r="Q626" s="34"/>
      <c r="R626" s="34"/>
      <c r="S626" s="34"/>
      <c r="T626" s="34"/>
      <c r="U626" s="34"/>
      <c r="V626" s="34"/>
    </row>
    <row r="627" spans="1:22" x14ac:dyDescent="0.3">
      <c r="A627" s="17"/>
      <c r="B627" s="33"/>
      <c r="C627" s="34"/>
      <c r="D627" s="34"/>
      <c r="E627" s="34"/>
      <c r="F627" s="34"/>
      <c r="G627" s="34"/>
      <c r="H627" s="34"/>
      <c r="I627" s="34"/>
      <c r="J627" s="34"/>
      <c r="K627" s="35"/>
      <c r="L627" s="34"/>
      <c r="M627" s="34"/>
      <c r="N627" s="34"/>
      <c r="O627" s="34"/>
      <c r="P627" s="34"/>
      <c r="Q627" s="34"/>
      <c r="R627" s="34"/>
      <c r="S627" s="34"/>
      <c r="T627" s="34"/>
      <c r="U627" s="34"/>
      <c r="V627" s="34"/>
    </row>
    <row r="628" spans="1:22" x14ac:dyDescent="0.3">
      <c r="A628" s="17"/>
      <c r="B628" s="33"/>
      <c r="C628" s="34"/>
      <c r="D628" s="34"/>
      <c r="E628" s="34"/>
      <c r="F628" s="34"/>
      <c r="G628" s="34"/>
      <c r="H628" s="34"/>
      <c r="I628" s="34"/>
      <c r="J628" s="34"/>
      <c r="K628" s="35"/>
      <c r="L628" s="34"/>
      <c r="M628" s="34"/>
      <c r="N628" s="34"/>
      <c r="O628" s="34"/>
      <c r="P628" s="34"/>
      <c r="Q628" s="34"/>
      <c r="R628" s="34"/>
      <c r="S628" s="34"/>
      <c r="T628" s="34"/>
      <c r="U628" s="34"/>
      <c r="V628" s="34"/>
    </row>
    <row r="629" spans="1:22" x14ac:dyDescent="0.3">
      <c r="A629" s="17"/>
      <c r="B629" s="33"/>
      <c r="C629" s="34"/>
      <c r="D629" s="34"/>
      <c r="E629" s="34"/>
      <c r="F629" s="34"/>
      <c r="G629" s="34"/>
      <c r="H629" s="34"/>
      <c r="I629" s="34"/>
      <c r="J629" s="34"/>
      <c r="K629" s="35"/>
      <c r="L629" s="34"/>
      <c r="M629" s="34"/>
      <c r="N629" s="34"/>
      <c r="O629" s="34"/>
      <c r="P629" s="34"/>
      <c r="Q629" s="34"/>
      <c r="R629" s="34"/>
      <c r="S629" s="34"/>
      <c r="T629" s="34"/>
      <c r="U629" s="34"/>
      <c r="V629" s="34"/>
    </row>
    <row r="630" spans="1:22" x14ac:dyDescent="0.3">
      <c r="A630" s="17"/>
      <c r="B630" s="33"/>
      <c r="C630" s="34"/>
      <c r="D630" s="34"/>
      <c r="E630" s="34"/>
      <c r="F630" s="34"/>
      <c r="G630" s="34"/>
      <c r="H630" s="34"/>
      <c r="I630" s="34"/>
      <c r="J630" s="34"/>
      <c r="K630" s="35"/>
      <c r="L630" s="34"/>
      <c r="M630" s="34"/>
      <c r="N630" s="34"/>
      <c r="O630" s="34"/>
      <c r="P630" s="34"/>
      <c r="Q630" s="34"/>
      <c r="R630" s="34"/>
      <c r="S630" s="34"/>
      <c r="T630" s="34"/>
      <c r="U630" s="34"/>
      <c r="V630" s="34"/>
    </row>
    <row r="631" spans="1:22" x14ac:dyDescent="0.3">
      <c r="A631" s="17"/>
      <c r="B631" s="33"/>
      <c r="C631" s="34"/>
      <c r="D631" s="34"/>
      <c r="E631" s="34"/>
      <c r="F631" s="34"/>
      <c r="G631" s="34"/>
      <c r="H631" s="34"/>
      <c r="I631" s="34"/>
      <c r="J631" s="34"/>
      <c r="K631" s="35"/>
      <c r="L631" s="34"/>
      <c r="M631" s="34"/>
      <c r="N631" s="34"/>
      <c r="O631" s="34"/>
      <c r="P631" s="34"/>
      <c r="Q631" s="34"/>
      <c r="R631" s="34"/>
      <c r="S631" s="34"/>
      <c r="T631" s="34"/>
      <c r="U631" s="34"/>
      <c r="V631" s="34"/>
    </row>
    <row r="632" spans="1:22" x14ac:dyDescent="0.3">
      <c r="A632" s="17"/>
      <c r="B632" s="33"/>
      <c r="C632" s="34"/>
      <c r="D632" s="34"/>
      <c r="E632" s="34"/>
      <c r="F632" s="34"/>
      <c r="G632" s="34"/>
      <c r="H632" s="34"/>
      <c r="I632" s="34"/>
      <c r="J632" s="34"/>
      <c r="K632" s="35"/>
      <c r="L632" s="34"/>
      <c r="M632" s="34"/>
      <c r="N632" s="34"/>
      <c r="O632" s="34"/>
      <c r="P632" s="34"/>
      <c r="Q632" s="34"/>
      <c r="R632" s="34"/>
      <c r="S632" s="34"/>
      <c r="T632" s="34"/>
      <c r="U632" s="34"/>
      <c r="V632" s="34"/>
    </row>
    <row r="633" spans="1:22" x14ac:dyDescent="0.3">
      <c r="A633" s="17"/>
      <c r="B633" s="33"/>
      <c r="C633" s="34"/>
      <c r="D633" s="34"/>
      <c r="E633" s="34"/>
      <c r="F633" s="34"/>
      <c r="G633" s="34"/>
      <c r="H633" s="34"/>
      <c r="I633" s="34"/>
      <c r="J633" s="34"/>
      <c r="K633" s="35"/>
      <c r="L633" s="34"/>
      <c r="M633" s="34"/>
      <c r="N633" s="34"/>
      <c r="O633" s="34"/>
      <c r="P633" s="34"/>
      <c r="Q633" s="34"/>
      <c r="R633" s="34"/>
      <c r="S633" s="34"/>
      <c r="T633" s="34"/>
      <c r="U633" s="34"/>
      <c r="V633" s="34"/>
    </row>
    <row r="634" spans="1:22" x14ac:dyDescent="0.3">
      <c r="A634" s="17"/>
      <c r="B634" s="33"/>
      <c r="C634" s="34"/>
      <c r="D634" s="34"/>
      <c r="E634" s="34"/>
      <c r="F634" s="34"/>
      <c r="G634" s="34"/>
      <c r="H634" s="34"/>
      <c r="I634" s="34"/>
      <c r="J634" s="34"/>
      <c r="K634" s="35"/>
      <c r="L634" s="34"/>
      <c r="M634" s="34"/>
      <c r="N634" s="34"/>
      <c r="O634" s="34"/>
      <c r="P634" s="34"/>
      <c r="Q634" s="34"/>
      <c r="R634" s="34"/>
      <c r="S634" s="34"/>
      <c r="T634" s="34"/>
      <c r="U634" s="34"/>
      <c r="V634" s="34"/>
    </row>
    <row r="635" spans="1:22" x14ac:dyDescent="0.3">
      <c r="A635" s="17"/>
      <c r="B635" s="33"/>
      <c r="C635" s="34"/>
      <c r="D635" s="34"/>
      <c r="E635" s="34"/>
      <c r="F635" s="34"/>
      <c r="G635" s="34"/>
      <c r="H635" s="34"/>
      <c r="I635" s="34"/>
      <c r="J635" s="34"/>
      <c r="K635" s="35"/>
      <c r="L635" s="34"/>
      <c r="M635" s="34"/>
      <c r="N635" s="34"/>
      <c r="O635" s="34"/>
      <c r="P635" s="34"/>
      <c r="Q635" s="34"/>
      <c r="R635" s="34"/>
      <c r="S635" s="34"/>
      <c r="T635" s="34"/>
      <c r="U635" s="34"/>
      <c r="V635" s="34"/>
    </row>
    <row r="636" spans="1:22" x14ac:dyDescent="0.3">
      <c r="A636" s="17"/>
      <c r="B636" s="33"/>
      <c r="C636" s="34"/>
      <c r="D636" s="34"/>
      <c r="E636" s="34"/>
      <c r="F636" s="34"/>
      <c r="G636" s="34"/>
      <c r="H636" s="34"/>
      <c r="I636" s="34"/>
      <c r="J636" s="34"/>
      <c r="K636" s="35"/>
      <c r="L636" s="34"/>
      <c r="M636" s="34"/>
      <c r="N636" s="34"/>
      <c r="O636" s="34"/>
      <c r="P636" s="34"/>
      <c r="Q636" s="34"/>
      <c r="R636" s="34"/>
      <c r="S636" s="34"/>
      <c r="T636" s="34"/>
      <c r="U636" s="34"/>
      <c r="V636" s="34"/>
    </row>
    <row r="637" spans="1:22" x14ac:dyDescent="0.3">
      <c r="A637" s="17"/>
      <c r="B637" s="33"/>
      <c r="C637" s="34"/>
      <c r="D637" s="34"/>
      <c r="E637" s="34"/>
      <c r="F637" s="34"/>
      <c r="G637" s="34"/>
      <c r="H637" s="34"/>
      <c r="I637" s="34"/>
      <c r="J637" s="34"/>
      <c r="K637" s="35"/>
      <c r="L637" s="34"/>
      <c r="M637" s="34"/>
      <c r="N637" s="34"/>
      <c r="O637" s="34"/>
      <c r="P637" s="34"/>
      <c r="Q637" s="34"/>
      <c r="R637" s="34"/>
      <c r="S637" s="34"/>
      <c r="T637" s="34"/>
      <c r="U637" s="34"/>
      <c r="V637" s="34"/>
    </row>
    <row r="638" spans="1:22" x14ac:dyDescent="0.3">
      <c r="A638" s="17"/>
      <c r="B638" s="33"/>
      <c r="C638" s="34"/>
      <c r="D638" s="34"/>
      <c r="E638" s="34"/>
      <c r="F638" s="34"/>
      <c r="G638" s="34"/>
      <c r="H638" s="34"/>
      <c r="I638" s="34"/>
      <c r="J638" s="34"/>
      <c r="K638" s="35"/>
      <c r="L638" s="34"/>
      <c r="M638" s="34"/>
      <c r="N638" s="34"/>
      <c r="O638" s="34"/>
      <c r="P638" s="34"/>
      <c r="Q638" s="34"/>
      <c r="R638" s="34"/>
      <c r="S638" s="34"/>
      <c r="T638" s="34"/>
      <c r="U638" s="34"/>
      <c r="V638" s="34"/>
    </row>
    <row r="639" spans="1:22" x14ac:dyDescent="0.3">
      <c r="A639" s="17"/>
      <c r="B639" s="33"/>
      <c r="C639" s="34"/>
      <c r="D639" s="34"/>
      <c r="E639" s="34"/>
      <c r="F639" s="34"/>
      <c r="G639" s="34"/>
      <c r="H639" s="34"/>
      <c r="I639" s="34"/>
      <c r="J639" s="34"/>
      <c r="K639" s="35"/>
      <c r="L639" s="34"/>
      <c r="M639" s="34"/>
      <c r="N639" s="34"/>
      <c r="O639" s="34"/>
      <c r="P639" s="34"/>
      <c r="Q639" s="34"/>
      <c r="R639" s="34"/>
      <c r="S639" s="34"/>
      <c r="T639" s="34"/>
      <c r="U639" s="34"/>
      <c r="V639" s="34"/>
    </row>
    <row r="640" spans="1:22" x14ac:dyDescent="0.3">
      <c r="A640" s="17"/>
      <c r="B640" s="33"/>
      <c r="C640" s="34"/>
      <c r="D640" s="34"/>
      <c r="E640" s="34"/>
      <c r="F640" s="34"/>
      <c r="G640" s="34"/>
      <c r="H640" s="34"/>
      <c r="I640" s="34"/>
      <c r="J640" s="34"/>
      <c r="K640" s="35"/>
      <c r="L640" s="34"/>
      <c r="M640" s="34"/>
      <c r="N640" s="34"/>
      <c r="O640" s="34"/>
      <c r="P640" s="34"/>
      <c r="Q640" s="34"/>
      <c r="R640" s="34"/>
      <c r="S640" s="34"/>
      <c r="T640" s="34"/>
      <c r="U640" s="34"/>
      <c r="V640" s="34"/>
    </row>
    <row r="641" spans="1:22" x14ac:dyDescent="0.3">
      <c r="A641" s="17"/>
      <c r="B641" s="33"/>
      <c r="C641" s="34"/>
      <c r="D641" s="34"/>
      <c r="E641" s="34"/>
      <c r="F641" s="34"/>
      <c r="G641" s="34"/>
      <c r="H641" s="34"/>
      <c r="I641" s="34"/>
      <c r="J641" s="34"/>
      <c r="K641" s="35"/>
      <c r="L641" s="34"/>
      <c r="M641" s="34"/>
      <c r="N641" s="34"/>
      <c r="O641" s="34"/>
      <c r="P641" s="34"/>
      <c r="Q641" s="34"/>
      <c r="R641" s="34"/>
      <c r="S641" s="34"/>
      <c r="T641" s="34"/>
      <c r="U641" s="34"/>
      <c r="V641" s="34"/>
    </row>
    <row r="642" spans="1:22" x14ac:dyDescent="0.3">
      <c r="A642" s="17"/>
      <c r="B642" s="33"/>
      <c r="C642" s="34"/>
      <c r="D642" s="34"/>
      <c r="E642" s="34"/>
      <c r="F642" s="34"/>
      <c r="G642" s="34"/>
      <c r="H642" s="34"/>
      <c r="I642" s="34"/>
      <c r="J642" s="34"/>
      <c r="K642" s="35"/>
      <c r="L642" s="34"/>
      <c r="M642" s="34"/>
      <c r="N642" s="34"/>
      <c r="O642" s="34"/>
      <c r="P642" s="34"/>
      <c r="Q642" s="34"/>
      <c r="R642" s="34"/>
      <c r="S642" s="34"/>
      <c r="T642" s="34"/>
      <c r="U642" s="34"/>
      <c r="V642" s="34"/>
    </row>
    <row r="643" spans="1:22" x14ac:dyDescent="0.3">
      <c r="A643" s="17"/>
      <c r="B643" s="33"/>
      <c r="C643" s="34"/>
      <c r="D643" s="34"/>
      <c r="E643" s="34"/>
      <c r="F643" s="34"/>
      <c r="G643" s="34"/>
      <c r="H643" s="34"/>
      <c r="I643" s="34"/>
      <c r="J643" s="34"/>
      <c r="K643" s="35"/>
      <c r="L643" s="34"/>
      <c r="M643" s="34"/>
      <c r="N643" s="34"/>
      <c r="O643" s="34"/>
      <c r="P643" s="34"/>
      <c r="Q643" s="34"/>
      <c r="R643" s="34"/>
      <c r="S643" s="34"/>
      <c r="T643" s="34"/>
      <c r="U643" s="34"/>
      <c r="V643" s="34"/>
    </row>
    <row r="644" spans="1:22" x14ac:dyDescent="0.3">
      <c r="A644" s="17"/>
      <c r="B644" s="33"/>
      <c r="C644" s="34"/>
      <c r="D644" s="34"/>
      <c r="E644" s="34"/>
      <c r="F644" s="34"/>
      <c r="G644" s="34"/>
      <c r="H644" s="34"/>
      <c r="I644" s="34"/>
      <c r="J644" s="34"/>
      <c r="K644" s="35"/>
      <c r="L644" s="34"/>
      <c r="M644" s="34"/>
      <c r="N644" s="34"/>
      <c r="O644" s="34"/>
      <c r="P644" s="34"/>
      <c r="Q644" s="34"/>
      <c r="R644" s="34"/>
      <c r="S644" s="34"/>
      <c r="T644" s="34"/>
      <c r="U644" s="34"/>
      <c r="V644" s="34"/>
    </row>
    <row r="645" spans="1:22" x14ac:dyDescent="0.3">
      <c r="A645" s="17"/>
      <c r="B645" s="33"/>
      <c r="C645" s="34"/>
      <c r="D645" s="34"/>
      <c r="E645" s="34"/>
      <c r="F645" s="34"/>
      <c r="G645" s="34"/>
      <c r="H645" s="34"/>
      <c r="I645" s="34"/>
      <c r="J645" s="34"/>
      <c r="K645" s="35"/>
      <c r="L645" s="34"/>
      <c r="M645" s="34"/>
      <c r="N645" s="34"/>
      <c r="O645" s="34"/>
      <c r="P645" s="34"/>
      <c r="Q645" s="34"/>
      <c r="R645" s="34"/>
      <c r="S645" s="34"/>
      <c r="T645" s="34"/>
      <c r="U645" s="34"/>
      <c r="V645" s="34"/>
    </row>
    <row r="646" spans="1:22" x14ac:dyDescent="0.3">
      <c r="A646" s="17"/>
      <c r="B646" s="33"/>
      <c r="C646" s="34"/>
      <c r="D646" s="34"/>
      <c r="E646" s="34"/>
      <c r="F646" s="34"/>
      <c r="G646" s="34"/>
      <c r="H646" s="34"/>
      <c r="I646" s="34"/>
      <c r="J646" s="34"/>
      <c r="K646" s="35"/>
      <c r="L646" s="34"/>
      <c r="M646" s="34"/>
      <c r="N646" s="34"/>
      <c r="O646" s="34"/>
      <c r="P646" s="34"/>
      <c r="Q646" s="34"/>
      <c r="R646" s="34"/>
      <c r="S646" s="34"/>
      <c r="T646" s="34"/>
      <c r="U646" s="34"/>
      <c r="V646" s="34"/>
    </row>
    <row r="647" spans="1:22" x14ac:dyDescent="0.3">
      <c r="A647" s="17"/>
      <c r="B647" s="33"/>
      <c r="C647" s="34"/>
      <c r="D647" s="34"/>
      <c r="E647" s="34"/>
      <c r="F647" s="34"/>
      <c r="G647" s="34"/>
      <c r="H647" s="34"/>
      <c r="I647" s="34"/>
      <c r="J647" s="34"/>
      <c r="K647" s="35"/>
      <c r="L647" s="34"/>
      <c r="M647" s="34"/>
      <c r="N647" s="34"/>
      <c r="O647" s="34"/>
      <c r="P647" s="34"/>
      <c r="Q647" s="34"/>
      <c r="R647" s="34"/>
      <c r="S647" s="34"/>
      <c r="T647" s="34"/>
      <c r="U647" s="34"/>
      <c r="V647" s="34"/>
    </row>
    <row r="648" spans="1:22" x14ac:dyDescent="0.3">
      <c r="A648" s="17"/>
      <c r="B648" s="33"/>
      <c r="C648" s="34"/>
      <c r="D648" s="34"/>
      <c r="E648" s="34"/>
      <c r="F648" s="34"/>
      <c r="G648" s="34"/>
      <c r="H648" s="34"/>
      <c r="I648" s="34"/>
      <c r="J648" s="34"/>
      <c r="K648" s="35"/>
      <c r="L648" s="34"/>
      <c r="M648" s="34"/>
      <c r="N648" s="34"/>
      <c r="O648" s="34"/>
      <c r="P648" s="34"/>
      <c r="Q648" s="34"/>
      <c r="R648" s="34"/>
      <c r="S648" s="34"/>
      <c r="T648" s="34"/>
      <c r="U648" s="34"/>
      <c r="V648" s="34"/>
    </row>
    <row r="649" spans="1:22" x14ac:dyDescent="0.3">
      <c r="A649" s="17"/>
      <c r="B649" s="33"/>
      <c r="C649" s="34"/>
      <c r="D649" s="34"/>
      <c r="E649" s="34"/>
      <c r="F649" s="34"/>
      <c r="G649" s="34"/>
      <c r="H649" s="34"/>
      <c r="I649" s="34"/>
      <c r="J649" s="34"/>
      <c r="K649" s="35"/>
      <c r="L649" s="34"/>
      <c r="M649" s="34"/>
      <c r="N649" s="34"/>
      <c r="O649" s="34"/>
      <c r="P649" s="34"/>
      <c r="Q649" s="34"/>
      <c r="R649" s="34"/>
      <c r="S649" s="34"/>
      <c r="T649" s="34"/>
      <c r="U649" s="34"/>
      <c r="V649" s="34"/>
    </row>
    <row r="650" spans="1:22" x14ac:dyDescent="0.3">
      <c r="A650" s="17"/>
      <c r="B650" s="33"/>
      <c r="C650" s="34"/>
      <c r="D650" s="34"/>
      <c r="E650" s="34"/>
      <c r="F650" s="34"/>
      <c r="G650" s="34"/>
      <c r="H650" s="34"/>
      <c r="I650" s="34"/>
      <c r="J650" s="34"/>
      <c r="K650" s="35"/>
      <c r="L650" s="34"/>
      <c r="M650" s="34"/>
      <c r="N650" s="34"/>
      <c r="O650" s="34"/>
      <c r="P650" s="34"/>
      <c r="Q650" s="34"/>
      <c r="R650" s="34"/>
      <c r="S650" s="34"/>
      <c r="T650" s="34"/>
      <c r="U650" s="34"/>
      <c r="V650" s="34"/>
    </row>
    <row r="651" spans="1:22" x14ac:dyDescent="0.3">
      <c r="A651" s="17"/>
      <c r="B651" s="33"/>
      <c r="C651" s="34"/>
      <c r="D651" s="34"/>
      <c r="E651" s="34"/>
      <c r="F651" s="34"/>
      <c r="G651" s="34"/>
      <c r="H651" s="34"/>
      <c r="I651" s="34"/>
      <c r="J651" s="34"/>
      <c r="K651" s="35"/>
      <c r="L651" s="34"/>
      <c r="M651" s="34"/>
      <c r="N651" s="34"/>
      <c r="O651" s="34"/>
      <c r="P651" s="34"/>
      <c r="Q651" s="34"/>
      <c r="R651" s="34"/>
      <c r="S651" s="34"/>
      <c r="T651" s="34"/>
      <c r="U651" s="34"/>
      <c r="V651" s="34"/>
    </row>
    <row r="652" spans="1:22" x14ac:dyDescent="0.3">
      <c r="A652" s="17"/>
      <c r="B652" s="33"/>
      <c r="C652" s="34"/>
      <c r="D652" s="34"/>
      <c r="E652" s="34"/>
      <c r="F652" s="34"/>
      <c r="G652" s="34"/>
      <c r="H652" s="34"/>
      <c r="I652" s="34"/>
      <c r="J652" s="34"/>
      <c r="K652" s="35"/>
      <c r="L652" s="34"/>
      <c r="M652" s="34"/>
      <c r="N652" s="34"/>
      <c r="O652" s="34"/>
      <c r="P652" s="34"/>
      <c r="Q652" s="34"/>
      <c r="R652" s="34"/>
      <c r="S652" s="34"/>
      <c r="T652" s="34"/>
      <c r="U652" s="34"/>
      <c r="V652" s="34"/>
    </row>
    <row r="653" spans="1:22" x14ac:dyDescent="0.3">
      <c r="A653" s="17"/>
      <c r="B653" s="33"/>
      <c r="C653" s="34"/>
      <c r="D653" s="34"/>
      <c r="E653" s="34"/>
      <c r="F653" s="34"/>
      <c r="G653" s="34"/>
      <c r="H653" s="34"/>
      <c r="I653" s="34"/>
      <c r="J653" s="34"/>
      <c r="K653" s="35"/>
      <c r="L653" s="34"/>
      <c r="M653" s="34"/>
      <c r="N653" s="34"/>
      <c r="O653" s="34"/>
      <c r="P653" s="34"/>
      <c r="Q653" s="34"/>
      <c r="R653" s="34"/>
      <c r="S653" s="34"/>
      <c r="T653" s="34"/>
      <c r="U653" s="34"/>
      <c r="V653" s="34"/>
    </row>
    <row r="654" spans="1:22" x14ac:dyDescent="0.3">
      <c r="A654" s="17"/>
      <c r="B654" s="33"/>
      <c r="C654" s="34"/>
      <c r="D654" s="34"/>
      <c r="E654" s="34"/>
      <c r="F654" s="34"/>
      <c r="G654" s="34"/>
      <c r="H654" s="34"/>
      <c r="I654" s="34"/>
      <c r="J654" s="34"/>
      <c r="K654" s="35"/>
      <c r="L654" s="34"/>
      <c r="M654" s="34"/>
      <c r="N654" s="34"/>
      <c r="O654" s="34"/>
      <c r="P654" s="34"/>
      <c r="Q654" s="34"/>
      <c r="R654" s="34"/>
      <c r="S654" s="34"/>
      <c r="T654" s="34"/>
      <c r="U654" s="34"/>
      <c r="V654" s="34"/>
    </row>
    <row r="655" spans="1:22" x14ac:dyDescent="0.3">
      <c r="A655" s="17"/>
      <c r="B655" s="33"/>
      <c r="C655" s="34"/>
      <c r="D655" s="34"/>
      <c r="E655" s="34"/>
      <c r="F655" s="34"/>
      <c r="G655" s="34"/>
      <c r="H655" s="34"/>
      <c r="I655" s="34"/>
      <c r="J655" s="34"/>
      <c r="K655" s="35"/>
      <c r="L655" s="34"/>
      <c r="M655" s="34"/>
      <c r="N655" s="34"/>
      <c r="O655" s="34"/>
      <c r="P655" s="34"/>
      <c r="Q655" s="34"/>
      <c r="R655" s="34"/>
      <c r="S655" s="34"/>
      <c r="T655" s="34"/>
      <c r="U655" s="34"/>
      <c r="V655" s="34"/>
    </row>
    <row r="656" spans="1:22" x14ac:dyDescent="0.3">
      <c r="A656" s="17"/>
      <c r="B656" s="33"/>
      <c r="C656" s="34"/>
      <c r="D656" s="34"/>
      <c r="E656" s="34"/>
      <c r="F656" s="34"/>
      <c r="G656" s="34"/>
      <c r="H656" s="34"/>
      <c r="I656" s="34"/>
      <c r="J656" s="34"/>
      <c r="K656" s="35"/>
      <c r="L656" s="34"/>
      <c r="M656" s="34"/>
      <c r="N656" s="34"/>
      <c r="O656" s="34"/>
      <c r="P656" s="34"/>
      <c r="Q656" s="34"/>
      <c r="R656" s="34"/>
      <c r="S656" s="34"/>
      <c r="T656" s="34"/>
      <c r="U656" s="34"/>
      <c r="V656" s="34"/>
    </row>
    <row r="657" spans="1:22" x14ac:dyDescent="0.3">
      <c r="A657" s="17"/>
      <c r="B657" s="33"/>
      <c r="C657" s="34"/>
      <c r="D657" s="34"/>
      <c r="E657" s="34"/>
      <c r="F657" s="34"/>
      <c r="G657" s="34"/>
      <c r="H657" s="34"/>
      <c r="I657" s="34"/>
      <c r="J657" s="34"/>
      <c r="K657" s="35"/>
      <c r="L657" s="34"/>
      <c r="M657" s="34"/>
      <c r="N657" s="34"/>
      <c r="O657" s="34"/>
      <c r="P657" s="34"/>
      <c r="Q657" s="34"/>
      <c r="R657" s="34"/>
      <c r="S657" s="34"/>
      <c r="T657" s="34"/>
      <c r="U657" s="34"/>
      <c r="V657" s="34"/>
    </row>
    <row r="658" spans="1:22" x14ac:dyDescent="0.3">
      <c r="A658" s="17"/>
      <c r="B658" s="33"/>
      <c r="C658" s="34"/>
      <c r="D658" s="34"/>
      <c r="E658" s="34"/>
      <c r="F658" s="34"/>
      <c r="G658" s="34"/>
      <c r="H658" s="34"/>
      <c r="I658" s="34"/>
      <c r="J658" s="34"/>
      <c r="K658" s="35"/>
      <c r="L658" s="34"/>
      <c r="M658" s="34"/>
      <c r="N658" s="34"/>
      <c r="O658" s="34"/>
      <c r="P658" s="34"/>
      <c r="Q658" s="34"/>
      <c r="R658" s="34"/>
      <c r="S658" s="34"/>
      <c r="T658" s="34"/>
      <c r="U658" s="34"/>
      <c r="V658" s="34"/>
    </row>
    <row r="659" spans="1:22" x14ac:dyDescent="0.3">
      <c r="A659" s="17"/>
      <c r="B659" s="33"/>
      <c r="C659" s="34"/>
      <c r="D659" s="34"/>
      <c r="E659" s="34"/>
      <c r="F659" s="34"/>
      <c r="G659" s="34"/>
      <c r="H659" s="34"/>
      <c r="I659" s="34"/>
      <c r="J659" s="34"/>
      <c r="K659" s="35"/>
      <c r="L659" s="34"/>
      <c r="M659" s="34"/>
      <c r="N659" s="34"/>
      <c r="O659" s="34"/>
      <c r="P659" s="34"/>
      <c r="Q659" s="34"/>
      <c r="R659" s="34"/>
      <c r="S659" s="34"/>
      <c r="T659" s="34"/>
      <c r="U659" s="34"/>
      <c r="V659" s="34"/>
    </row>
    <row r="660" spans="1:22" x14ac:dyDescent="0.3">
      <c r="A660" s="17"/>
      <c r="B660" s="33"/>
      <c r="C660" s="34"/>
      <c r="D660" s="34"/>
      <c r="E660" s="34"/>
      <c r="F660" s="34"/>
      <c r="G660" s="34"/>
      <c r="H660" s="34"/>
      <c r="I660" s="34"/>
      <c r="J660" s="34"/>
      <c r="K660" s="35"/>
      <c r="L660" s="34"/>
      <c r="M660" s="34"/>
      <c r="N660" s="34"/>
      <c r="O660" s="34"/>
      <c r="P660" s="34"/>
      <c r="Q660" s="34"/>
      <c r="R660" s="34"/>
      <c r="S660" s="34"/>
      <c r="T660" s="34"/>
      <c r="U660" s="34"/>
      <c r="V660" s="34"/>
    </row>
    <row r="661" spans="1:22" x14ac:dyDescent="0.3">
      <c r="A661" s="17"/>
      <c r="B661" s="33"/>
      <c r="C661" s="34"/>
      <c r="D661" s="34"/>
      <c r="E661" s="34"/>
      <c r="F661" s="34"/>
      <c r="G661" s="34"/>
      <c r="H661" s="34"/>
      <c r="I661" s="34"/>
      <c r="J661" s="34"/>
      <c r="K661" s="35"/>
      <c r="L661" s="34"/>
      <c r="M661" s="34"/>
      <c r="N661" s="34"/>
      <c r="O661" s="34"/>
      <c r="P661" s="34"/>
      <c r="Q661" s="34"/>
      <c r="R661" s="34"/>
      <c r="S661" s="34"/>
      <c r="T661" s="34"/>
      <c r="U661" s="34"/>
      <c r="V661" s="34"/>
    </row>
    <row r="662" spans="1:22" x14ac:dyDescent="0.3">
      <c r="A662" s="17"/>
      <c r="B662" s="33"/>
      <c r="C662" s="34"/>
      <c r="D662" s="34"/>
      <c r="E662" s="34"/>
      <c r="F662" s="34"/>
      <c r="G662" s="34"/>
      <c r="H662" s="34"/>
      <c r="I662" s="34"/>
      <c r="J662" s="34"/>
      <c r="K662" s="35"/>
      <c r="L662" s="34"/>
      <c r="M662" s="34"/>
      <c r="N662" s="34"/>
      <c r="O662" s="34"/>
      <c r="P662" s="34"/>
      <c r="Q662" s="34"/>
      <c r="R662" s="34"/>
      <c r="S662" s="34"/>
      <c r="T662" s="34"/>
      <c r="U662" s="34"/>
      <c r="V662" s="34"/>
    </row>
    <row r="663" spans="1:22" x14ac:dyDescent="0.3">
      <c r="A663" s="17"/>
      <c r="B663" s="33"/>
      <c r="C663" s="34"/>
      <c r="D663" s="34"/>
      <c r="E663" s="34"/>
      <c r="F663" s="34"/>
      <c r="G663" s="34"/>
      <c r="H663" s="34"/>
      <c r="I663" s="34"/>
      <c r="J663" s="34"/>
      <c r="K663" s="35"/>
      <c r="L663" s="34"/>
      <c r="M663" s="34"/>
      <c r="N663" s="34"/>
      <c r="O663" s="34"/>
      <c r="P663" s="34"/>
      <c r="Q663" s="34"/>
      <c r="R663" s="34"/>
      <c r="S663" s="34"/>
      <c r="T663" s="34"/>
      <c r="U663" s="34"/>
      <c r="V663" s="34"/>
    </row>
    <row r="664" spans="1:22" x14ac:dyDescent="0.3">
      <c r="A664" s="17"/>
      <c r="B664" s="33"/>
      <c r="C664" s="34"/>
      <c r="D664" s="34"/>
      <c r="E664" s="34"/>
      <c r="F664" s="34"/>
      <c r="G664" s="34"/>
      <c r="H664" s="34"/>
      <c r="I664" s="34"/>
      <c r="J664" s="34"/>
      <c r="K664" s="35"/>
      <c r="L664" s="34"/>
      <c r="M664" s="34"/>
      <c r="N664" s="34"/>
      <c r="O664" s="34"/>
      <c r="P664" s="34"/>
      <c r="Q664" s="34"/>
      <c r="R664" s="34"/>
      <c r="S664" s="34"/>
      <c r="T664" s="34"/>
      <c r="U664" s="34"/>
      <c r="V664" s="34"/>
    </row>
    <row r="665" spans="1:22" x14ac:dyDescent="0.3">
      <c r="A665" s="17"/>
      <c r="B665" s="33"/>
      <c r="C665" s="34"/>
      <c r="D665" s="34"/>
      <c r="E665" s="34"/>
      <c r="F665" s="34"/>
      <c r="G665" s="34"/>
      <c r="H665" s="34"/>
      <c r="I665" s="34"/>
      <c r="J665" s="34"/>
      <c r="K665" s="35"/>
      <c r="L665" s="34"/>
      <c r="M665" s="34"/>
      <c r="N665" s="34"/>
      <c r="O665" s="34"/>
      <c r="P665" s="34"/>
      <c r="Q665" s="34"/>
      <c r="R665" s="34"/>
      <c r="S665" s="34"/>
      <c r="T665" s="34"/>
      <c r="U665" s="34"/>
      <c r="V665" s="34"/>
    </row>
    <row r="666" spans="1:22" x14ac:dyDescent="0.3">
      <c r="A666" s="17"/>
      <c r="B666" s="33"/>
      <c r="C666" s="34"/>
      <c r="D666" s="34"/>
      <c r="E666" s="34"/>
      <c r="F666" s="34"/>
      <c r="G666" s="34"/>
      <c r="H666" s="34"/>
      <c r="I666" s="34"/>
      <c r="J666" s="34"/>
      <c r="K666" s="35"/>
      <c r="L666" s="34"/>
      <c r="M666" s="34"/>
      <c r="N666" s="34"/>
      <c r="O666" s="34"/>
      <c r="P666" s="34"/>
      <c r="Q666" s="34"/>
      <c r="R666" s="34"/>
      <c r="S666" s="34"/>
      <c r="T666" s="34"/>
      <c r="U666" s="34"/>
      <c r="V666" s="34"/>
    </row>
    <row r="667" spans="1:22" x14ac:dyDescent="0.3">
      <c r="A667" s="17"/>
      <c r="B667" s="33"/>
      <c r="C667" s="34"/>
      <c r="D667" s="34"/>
      <c r="E667" s="34"/>
      <c r="F667" s="34"/>
      <c r="G667" s="34"/>
      <c r="H667" s="34"/>
      <c r="I667" s="34"/>
      <c r="J667" s="34"/>
      <c r="K667" s="35"/>
      <c r="L667" s="34"/>
      <c r="M667" s="34"/>
      <c r="N667" s="34"/>
      <c r="O667" s="34"/>
      <c r="P667" s="34"/>
      <c r="Q667" s="34"/>
      <c r="R667" s="34"/>
      <c r="S667" s="34"/>
      <c r="T667" s="34"/>
      <c r="U667" s="34"/>
      <c r="V667" s="34"/>
    </row>
    <row r="668" spans="1:22" x14ac:dyDescent="0.3">
      <c r="A668" s="17"/>
      <c r="B668" s="33"/>
      <c r="C668" s="34"/>
      <c r="D668" s="34"/>
      <c r="E668" s="34"/>
      <c r="F668" s="34"/>
      <c r="G668" s="34"/>
      <c r="H668" s="34"/>
      <c r="I668" s="34"/>
      <c r="J668" s="34"/>
      <c r="K668" s="35"/>
      <c r="L668" s="34"/>
      <c r="M668" s="34"/>
      <c r="N668" s="34"/>
      <c r="O668" s="34"/>
      <c r="P668" s="34"/>
      <c r="Q668" s="34"/>
      <c r="R668" s="34"/>
      <c r="S668" s="34"/>
      <c r="T668" s="34"/>
      <c r="U668" s="34"/>
      <c r="V668" s="34"/>
    </row>
    <row r="669" spans="1:22" x14ac:dyDescent="0.3">
      <c r="A669" s="17"/>
      <c r="B669" s="33"/>
      <c r="C669" s="34"/>
      <c r="D669" s="34"/>
      <c r="E669" s="34"/>
      <c r="F669" s="34"/>
      <c r="G669" s="34"/>
      <c r="H669" s="34"/>
      <c r="I669" s="34"/>
      <c r="J669" s="34"/>
      <c r="K669" s="35"/>
      <c r="L669" s="34"/>
      <c r="M669" s="34"/>
      <c r="N669" s="34"/>
      <c r="O669" s="34"/>
      <c r="P669" s="34"/>
      <c r="Q669" s="34"/>
      <c r="R669" s="34"/>
      <c r="S669" s="34"/>
      <c r="T669" s="34"/>
      <c r="U669" s="34"/>
      <c r="V669" s="34"/>
    </row>
    <row r="670" spans="1:22" x14ac:dyDescent="0.3">
      <c r="A670" s="17"/>
      <c r="B670" s="33"/>
      <c r="C670" s="34"/>
      <c r="D670" s="34"/>
      <c r="E670" s="34"/>
      <c r="F670" s="34"/>
      <c r="G670" s="34"/>
      <c r="H670" s="34"/>
      <c r="I670" s="34"/>
      <c r="J670" s="34"/>
      <c r="K670" s="35"/>
      <c r="L670" s="34"/>
      <c r="M670" s="34"/>
      <c r="N670" s="34"/>
      <c r="O670" s="34"/>
      <c r="P670" s="34"/>
      <c r="Q670" s="34"/>
      <c r="R670" s="34"/>
      <c r="S670" s="34"/>
      <c r="T670" s="34"/>
      <c r="U670" s="34"/>
      <c r="V670" s="34"/>
    </row>
    <row r="671" spans="1:22" x14ac:dyDescent="0.3">
      <c r="A671" s="17"/>
      <c r="B671" s="33"/>
      <c r="C671" s="34"/>
      <c r="D671" s="34"/>
      <c r="E671" s="34"/>
      <c r="F671" s="34"/>
      <c r="G671" s="34"/>
      <c r="H671" s="34"/>
      <c r="I671" s="34"/>
      <c r="J671" s="34"/>
      <c r="K671" s="35"/>
      <c r="L671" s="34"/>
      <c r="M671" s="34"/>
      <c r="N671" s="34"/>
      <c r="O671" s="34"/>
      <c r="P671" s="34"/>
      <c r="Q671" s="34"/>
      <c r="R671" s="34"/>
      <c r="S671" s="34"/>
      <c r="T671" s="34"/>
      <c r="U671" s="34"/>
      <c r="V671" s="34"/>
    </row>
    <row r="672" spans="1:22" x14ac:dyDescent="0.3">
      <c r="A672" s="17"/>
      <c r="B672" s="33"/>
      <c r="C672" s="34"/>
      <c r="D672" s="34"/>
      <c r="E672" s="34"/>
      <c r="F672" s="34"/>
      <c r="G672" s="34"/>
      <c r="H672" s="34"/>
      <c r="I672" s="34"/>
      <c r="J672" s="34"/>
      <c r="K672" s="35"/>
      <c r="L672" s="34"/>
      <c r="M672" s="34"/>
      <c r="N672" s="34"/>
      <c r="O672" s="34"/>
      <c r="P672" s="34"/>
      <c r="Q672" s="34"/>
      <c r="R672" s="34"/>
      <c r="S672" s="34"/>
      <c r="T672" s="34"/>
      <c r="U672" s="34"/>
      <c r="V672" s="34"/>
    </row>
    <row r="673" spans="1:22" x14ac:dyDescent="0.3">
      <c r="A673" s="17"/>
      <c r="B673" s="33"/>
      <c r="C673" s="34"/>
      <c r="D673" s="34"/>
      <c r="E673" s="34"/>
      <c r="F673" s="34"/>
      <c r="G673" s="34"/>
      <c r="H673" s="34"/>
      <c r="I673" s="34"/>
      <c r="J673" s="34"/>
      <c r="K673" s="35"/>
      <c r="L673" s="34"/>
      <c r="M673" s="34"/>
      <c r="N673" s="34"/>
      <c r="O673" s="34"/>
      <c r="P673" s="34"/>
      <c r="Q673" s="34"/>
      <c r="R673" s="34"/>
      <c r="S673" s="34"/>
      <c r="T673" s="34"/>
      <c r="U673" s="34"/>
      <c r="V673" s="34"/>
    </row>
    <row r="674" spans="1:22" x14ac:dyDescent="0.3">
      <c r="A674" s="17"/>
      <c r="B674" s="33"/>
      <c r="C674" s="34"/>
      <c r="D674" s="34"/>
      <c r="E674" s="34"/>
      <c r="F674" s="34"/>
      <c r="G674" s="34"/>
      <c r="H674" s="34"/>
      <c r="I674" s="34"/>
      <c r="J674" s="34"/>
      <c r="K674" s="35"/>
      <c r="L674" s="34"/>
      <c r="M674" s="34"/>
      <c r="N674" s="34"/>
      <c r="O674" s="34"/>
      <c r="P674" s="34"/>
      <c r="Q674" s="34"/>
      <c r="R674" s="34"/>
      <c r="S674" s="34"/>
      <c r="T674" s="34"/>
      <c r="U674" s="34"/>
      <c r="V674" s="34"/>
    </row>
    <row r="675" spans="1:22" x14ac:dyDescent="0.3">
      <c r="A675" s="17"/>
      <c r="B675" s="33"/>
      <c r="C675" s="34"/>
      <c r="D675" s="34"/>
      <c r="E675" s="34"/>
      <c r="F675" s="34"/>
      <c r="G675" s="34"/>
      <c r="H675" s="34"/>
      <c r="I675" s="34"/>
      <c r="J675" s="34"/>
      <c r="K675" s="35"/>
      <c r="L675" s="34"/>
      <c r="M675" s="34"/>
      <c r="N675" s="34"/>
      <c r="O675" s="34"/>
      <c r="P675" s="34"/>
      <c r="Q675" s="34"/>
      <c r="R675" s="34"/>
      <c r="S675" s="34"/>
      <c r="T675" s="34"/>
      <c r="U675" s="34"/>
      <c r="V675" s="34"/>
    </row>
    <row r="676" spans="1:22" x14ac:dyDescent="0.3">
      <c r="A676" s="17"/>
      <c r="B676" s="33"/>
      <c r="C676" s="34"/>
      <c r="D676" s="34"/>
      <c r="E676" s="34"/>
      <c r="F676" s="34"/>
      <c r="G676" s="34"/>
      <c r="H676" s="34"/>
      <c r="I676" s="34"/>
      <c r="J676" s="34"/>
      <c r="K676" s="35"/>
      <c r="L676" s="34"/>
      <c r="M676" s="34"/>
      <c r="N676" s="34"/>
      <c r="O676" s="34"/>
      <c r="P676" s="34"/>
      <c r="Q676" s="34"/>
      <c r="R676" s="34"/>
      <c r="S676" s="34"/>
      <c r="T676" s="34"/>
      <c r="U676" s="34"/>
      <c r="V676" s="34"/>
    </row>
    <row r="677" spans="1:22" x14ac:dyDescent="0.3">
      <c r="A677" s="17"/>
      <c r="B677" s="33"/>
      <c r="C677" s="34"/>
      <c r="D677" s="34"/>
      <c r="E677" s="34"/>
      <c r="F677" s="34"/>
      <c r="G677" s="34"/>
      <c r="H677" s="34"/>
      <c r="I677" s="34"/>
      <c r="J677" s="34"/>
      <c r="K677" s="35"/>
      <c r="L677" s="34"/>
      <c r="M677" s="34"/>
      <c r="N677" s="34"/>
      <c r="O677" s="34"/>
      <c r="P677" s="34"/>
      <c r="Q677" s="34"/>
      <c r="R677" s="34"/>
      <c r="S677" s="34"/>
      <c r="T677" s="34"/>
      <c r="U677" s="34"/>
      <c r="V677" s="34"/>
    </row>
    <row r="678" spans="1:22" x14ac:dyDescent="0.3">
      <c r="A678" s="17"/>
      <c r="B678" s="33"/>
      <c r="C678" s="34"/>
      <c r="D678" s="34"/>
      <c r="E678" s="34"/>
      <c r="F678" s="34"/>
      <c r="G678" s="34"/>
      <c r="H678" s="34"/>
      <c r="I678" s="34"/>
      <c r="J678" s="34"/>
      <c r="K678" s="35"/>
      <c r="L678" s="34"/>
      <c r="M678" s="34"/>
      <c r="N678" s="34"/>
      <c r="O678" s="34"/>
      <c r="P678" s="34"/>
      <c r="Q678" s="34"/>
      <c r="R678" s="34"/>
      <c r="S678" s="34"/>
      <c r="T678" s="34"/>
      <c r="U678" s="34"/>
      <c r="V678" s="34"/>
    </row>
    <row r="679" spans="1:22" x14ac:dyDescent="0.3">
      <c r="A679" s="17"/>
      <c r="B679" s="33"/>
      <c r="C679" s="34"/>
      <c r="D679" s="34"/>
      <c r="E679" s="34"/>
      <c r="F679" s="34"/>
      <c r="G679" s="34"/>
      <c r="H679" s="34"/>
      <c r="I679" s="34"/>
      <c r="J679" s="34"/>
      <c r="K679" s="35"/>
      <c r="L679" s="34"/>
      <c r="M679" s="34"/>
      <c r="N679" s="34"/>
      <c r="O679" s="34"/>
      <c r="P679" s="34"/>
      <c r="Q679" s="34"/>
      <c r="R679" s="34"/>
      <c r="S679" s="34"/>
      <c r="T679" s="34"/>
      <c r="U679" s="34"/>
      <c r="V679" s="34"/>
    </row>
    <row r="680" spans="1:22" x14ac:dyDescent="0.3">
      <c r="A680" s="17"/>
      <c r="B680" s="33"/>
      <c r="C680" s="34"/>
      <c r="D680" s="34"/>
      <c r="E680" s="34"/>
      <c r="F680" s="34"/>
      <c r="G680" s="34"/>
      <c r="H680" s="34"/>
      <c r="I680" s="34"/>
      <c r="J680" s="34"/>
      <c r="K680" s="35"/>
      <c r="L680" s="34"/>
      <c r="M680" s="34"/>
      <c r="N680" s="34"/>
      <c r="O680" s="34"/>
      <c r="P680" s="34"/>
      <c r="Q680" s="34"/>
      <c r="R680" s="34"/>
      <c r="S680" s="34"/>
      <c r="T680" s="34"/>
      <c r="U680" s="34"/>
      <c r="V680" s="34"/>
    </row>
    <row r="681" spans="1:22" x14ac:dyDescent="0.3">
      <c r="A681" s="17"/>
      <c r="B681" s="33"/>
      <c r="C681" s="34"/>
      <c r="D681" s="34"/>
      <c r="E681" s="34"/>
      <c r="F681" s="34"/>
      <c r="G681" s="34"/>
      <c r="H681" s="34"/>
      <c r="I681" s="34"/>
      <c r="J681" s="34"/>
      <c r="K681" s="35"/>
      <c r="L681" s="34"/>
      <c r="M681" s="34"/>
      <c r="N681" s="34"/>
      <c r="O681" s="34"/>
      <c r="P681" s="34"/>
      <c r="Q681" s="34"/>
      <c r="R681" s="34"/>
      <c r="S681" s="34"/>
      <c r="T681" s="34"/>
      <c r="U681" s="34"/>
      <c r="V681" s="34"/>
    </row>
    <row r="682" spans="1:22" x14ac:dyDescent="0.3">
      <c r="A682" s="17"/>
      <c r="B682" s="33"/>
      <c r="C682" s="34"/>
      <c r="D682" s="34"/>
      <c r="E682" s="34"/>
      <c r="F682" s="34"/>
      <c r="G682" s="34"/>
      <c r="H682" s="34"/>
      <c r="I682" s="34"/>
      <c r="J682" s="34"/>
      <c r="K682" s="35"/>
      <c r="L682" s="34"/>
      <c r="M682" s="34"/>
      <c r="N682" s="34"/>
      <c r="O682" s="34"/>
      <c r="P682" s="34"/>
      <c r="Q682" s="34"/>
      <c r="R682" s="34"/>
      <c r="S682" s="34"/>
      <c r="T682" s="34"/>
      <c r="U682" s="34"/>
      <c r="V682" s="34"/>
    </row>
    <row r="683" spans="1:22" x14ac:dyDescent="0.3">
      <c r="A683" s="17"/>
      <c r="B683" s="33"/>
      <c r="C683" s="34"/>
      <c r="D683" s="34"/>
      <c r="E683" s="34"/>
      <c r="F683" s="34"/>
      <c r="G683" s="34"/>
      <c r="H683" s="34"/>
      <c r="I683" s="34"/>
      <c r="J683" s="34"/>
      <c r="K683" s="35"/>
      <c r="L683" s="34"/>
      <c r="M683" s="34"/>
      <c r="N683" s="34"/>
      <c r="O683" s="34"/>
      <c r="P683" s="34"/>
      <c r="Q683" s="34"/>
      <c r="R683" s="34"/>
      <c r="S683" s="34"/>
      <c r="T683" s="34"/>
      <c r="U683" s="34"/>
      <c r="V683" s="34"/>
    </row>
    <row r="684" spans="1:22" x14ac:dyDescent="0.3">
      <c r="A684" s="17"/>
      <c r="B684" s="33"/>
      <c r="C684" s="34"/>
      <c r="D684" s="34"/>
      <c r="E684" s="34"/>
      <c r="F684" s="34"/>
      <c r="G684" s="34"/>
      <c r="H684" s="34"/>
      <c r="I684" s="34"/>
      <c r="J684" s="34"/>
      <c r="K684" s="35"/>
      <c r="L684" s="34"/>
      <c r="M684" s="34"/>
      <c r="N684" s="34"/>
      <c r="O684" s="34"/>
      <c r="P684" s="34"/>
      <c r="Q684" s="34"/>
      <c r="R684" s="34"/>
      <c r="S684" s="34"/>
      <c r="T684" s="34"/>
      <c r="U684" s="34"/>
      <c r="V684" s="34"/>
    </row>
    <row r="685" spans="1:22" x14ac:dyDescent="0.3">
      <c r="A685" s="17"/>
      <c r="B685" s="33"/>
      <c r="C685" s="34"/>
      <c r="D685" s="34"/>
      <c r="E685" s="34"/>
      <c r="F685" s="34"/>
      <c r="G685" s="34"/>
      <c r="H685" s="34"/>
      <c r="I685" s="34"/>
      <c r="J685" s="34"/>
      <c r="K685" s="35"/>
      <c r="L685" s="34"/>
      <c r="M685" s="34"/>
      <c r="N685" s="34"/>
      <c r="O685" s="34"/>
      <c r="P685" s="34"/>
      <c r="Q685" s="34"/>
      <c r="R685" s="34"/>
      <c r="S685" s="34"/>
      <c r="T685" s="34"/>
      <c r="U685" s="34"/>
      <c r="V685" s="34"/>
    </row>
    <row r="686" spans="1:22" x14ac:dyDescent="0.3">
      <c r="A686" s="17"/>
      <c r="B686" s="33"/>
      <c r="C686" s="34"/>
      <c r="D686" s="34"/>
      <c r="E686" s="34"/>
      <c r="F686" s="34"/>
      <c r="G686" s="34"/>
      <c r="H686" s="34"/>
      <c r="I686" s="34"/>
      <c r="J686" s="34"/>
      <c r="K686" s="35"/>
      <c r="L686" s="34"/>
      <c r="M686" s="34"/>
      <c r="N686" s="34"/>
      <c r="O686" s="34"/>
      <c r="P686" s="34"/>
      <c r="Q686" s="34"/>
      <c r="R686" s="34"/>
      <c r="S686" s="34"/>
      <c r="T686" s="34"/>
      <c r="U686" s="34"/>
      <c r="V686" s="34"/>
    </row>
    <row r="687" spans="1:22" x14ac:dyDescent="0.3">
      <c r="A687" s="17"/>
      <c r="B687" s="33"/>
      <c r="C687" s="34"/>
      <c r="D687" s="34"/>
      <c r="E687" s="34"/>
      <c r="F687" s="34"/>
      <c r="G687" s="34"/>
      <c r="H687" s="34"/>
      <c r="I687" s="34"/>
      <c r="J687" s="34"/>
      <c r="K687" s="35"/>
      <c r="L687" s="34"/>
      <c r="M687" s="34"/>
      <c r="N687" s="34"/>
      <c r="O687" s="34"/>
      <c r="P687" s="34"/>
      <c r="Q687" s="34"/>
      <c r="R687" s="34"/>
      <c r="S687" s="34"/>
      <c r="T687" s="34"/>
      <c r="U687" s="34"/>
      <c r="V687" s="34"/>
    </row>
    <row r="688" spans="1:22" x14ac:dyDescent="0.3">
      <c r="A688" s="17"/>
      <c r="B688" s="33"/>
      <c r="C688" s="34"/>
      <c r="D688" s="34"/>
      <c r="E688" s="34"/>
      <c r="F688" s="34"/>
      <c r="G688" s="34"/>
      <c r="H688" s="34"/>
      <c r="I688" s="34"/>
      <c r="J688" s="34"/>
      <c r="K688" s="35"/>
      <c r="L688" s="34"/>
      <c r="M688" s="34"/>
      <c r="N688" s="34"/>
      <c r="O688" s="34"/>
      <c r="P688" s="34"/>
      <c r="Q688" s="34"/>
      <c r="R688" s="34"/>
      <c r="S688" s="34"/>
      <c r="T688" s="34"/>
      <c r="U688" s="34"/>
      <c r="V688" s="34"/>
    </row>
    <row r="689" spans="1:22" x14ac:dyDescent="0.3">
      <c r="A689" s="17"/>
      <c r="B689" s="33"/>
      <c r="C689" s="34"/>
      <c r="D689" s="34"/>
      <c r="E689" s="34"/>
      <c r="F689" s="34"/>
      <c r="G689" s="34"/>
      <c r="H689" s="34"/>
      <c r="I689" s="34"/>
      <c r="J689" s="34"/>
      <c r="K689" s="35"/>
      <c r="L689" s="34"/>
      <c r="M689" s="34"/>
      <c r="N689" s="34"/>
      <c r="O689" s="34"/>
      <c r="P689" s="34"/>
      <c r="Q689" s="34"/>
      <c r="R689" s="34"/>
      <c r="S689" s="34"/>
      <c r="T689" s="34"/>
      <c r="U689" s="34"/>
      <c r="V689" s="34"/>
    </row>
    <row r="690" spans="1:22" x14ac:dyDescent="0.3">
      <c r="A690" s="17"/>
      <c r="B690" s="33"/>
      <c r="C690" s="34"/>
      <c r="D690" s="34"/>
      <c r="E690" s="34"/>
      <c r="F690" s="34"/>
      <c r="G690" s="34"/>
      <c r="H690" s="34"/>
      <c r="I690" s="34"/>
      <c r="J690" s="34"/>
      <c r="K690" s="35"/>
      <c r="L690" s="34"/>
      <c r="M690" s="34"/>
      <c r="N690" s="34"/>
      <c r="O690" s="34"/>
      <c r="P690" s="34"/>
      <c r="Q690" s="34"/>
      <c r="R690" s="34"/>
      <c r="S690" s="34"/>
      <c r="T690" s="34"/>
      <c r="U690" s="34"/>
      <c r="V690" s="34"/>
    </row>
    <row r="691" spans="1:22" x14ac:dyDescent="0.3">
      <c r="A691" s="17"/>
      <c r="B691" s="33"/>
      <c r="C691" s="34"/>
      <c r="D691" s="34"/>
      <c r="E691" s="34"/>
      <c r="F691" s="34"/>
      <c r="G691" s="34"/>
      <c r="H691" s="34"/>
      <c r="I691" s="34"/>
      <c r="J691" s="34"/>
      <c r="K691" s="35"/>
      <c r="L691" s="34"/>
      <c r="M691" s="34"/>
      <c r="N691" s="34"/>
      <c r="O691" s="34"/>
      <c r="P691" s="34"/>
      <c r="Q691" s="34"/>
      <c r="R691" s="34"/>
      <c r="S691" s="34"/>
      <c r="T691" s="34"/>
      <c r="U691" s="34"/>
      <c r="V691" s="34"/>
    </row>
    <row r="692" spans="1:22" x14ac:dyDescent="0.3">
      <c r="A692" s="17"/>
      <c r="B692" s="33"/>
      <c r="C692" s="34"/>
      <c r="D692" s="34"/>
      <c r="E692" s="34"/>
      <c r="F692" s="34"/>
      <c r="G692" s="34"/>
      <c r="H692" s="34"/>
      <c r="I692" s="34"/>
      <c r="J692" s="34"/>
      <c r="K692" s="35"/>
      <c r="L692" s="34"/>
      <c r="M692" s="34"/>
      <c r="N692" s="34"/>
      <c r="O692" s="34"/>
      <c r="P692" s="34"/>
      <c r="Q692" s="34"/>
      <c r="R692" s="34"/>
      <c r="S692" s="34"/>
      <c r="T692" s="34"/>
      <c r="U692" s="34"/>
      <c r="V692" s="34"/>
    </row>
    <row r="693" spans="1:22" x14ac:dyDescent="0.3">
      <c r="A693" s="17"/>
      <c r="B693" s="33"/>
      <c r="C693" s="34"/>
      <c r="D693" s="34"/>
      <c r="E693" s="34"/>
      <c r="F693" s="34"/>
      <c r="G693" s="34"/>
      <c r="H693" s="34"/>
      <c r="I693" s="34"/>
      <c r="J693" s="34"/>
      <c r="K693" s="35"/>
      <c r="L693" s="34"/>
      <c r="M693" s="34"/>
      <c r="N693" s="34"/>
      <c r="O693" s="34"/>
      <c r="P693" s="34"/>
      <c r="Q693" s="34"/>
      <c r="R693" s="34"/>
      <c r="S693" s="34"/>
      <c r="T693" s="34"/>
      <c r="U693" s="34"/>
      <c r="V693" s="34"/>
    </row>
    <row r="694" spans="1:22" x14ac:dyDescent="0.3">
      <c r="A694" s="17"/>
      <c r="B694" s="33"/>
      <c r="C694" s="34"/>
      <c r="D694" s="34"/>
      <c r="E694" s="34"/>
      <c r="F694" s="34"/>
      <c r="G694" s="34"/>
      <c r="H694" s="34"/>
      <c r="I694" s="34"/>
      <c r="J694" s="34"/>
      <c r="K694" s="35"/>
      <c r="L694" s="34"/>
      <c r="M694" s="34"/>
      <c r="N694" s="34"/>
      <c r="O694" s="34"/>
      <c r="P694" s="34"/>
      <c r="Q694" s="34"/>
      <c r="R694" s="34"/>
      <c r="S694" s="34"/>
      <c r="T694" s="34"/>
      <c r="U694" s="34"/>
      <c r="V694" s="34"/>
    </row>
    <row r="695" spans="1:22" x14ac:dyDescent="0.3">
      <c r="A695" s="17"/>
      <c r="B695" s="33"/>
      <c r="C695" s="34"/>
      <c r="D695" s="34"/>
      <c r="E695" s="34"/>
      <c r="F695" s="34"/>
      <c r="G695" s="34"/>
      <c r="H695" s="34"/>
      <c r="I695" s="34"/>
      <c r="J695" s="34"/>
      <c r="K695" s="35"/>
      <c r="L695" s="34"/>
      <c r="M695" s="34"/>
      <c r="N695" s="34"/>
      <c r="O695" s="34"/>
      <c r="P695" s="34"/>
      <c r="Q695" s="34"/>
      <c r="R695" s="34"/>
      <c r="S695" s="34"/>
      <c r="T695" s="34"/>
      <c r="U695" s="34"/>
      <c r="V695" s="34"/>
    </row>
    <row r="696" spans="1:22" x14ac:dyDescent="0.3">
      <c r="A696" s="17"/>
      <c r="B696" s="33"/>
      <c r="C696" s="34"/>
      <c r="D696" s="34"/>
      <c r="E696" s="34"/>
      <c r="F696" s="34"/>
      <c r="G696" s="34"/>
      <c r="H696" s="34"/>
      <c r="I696" s="34"/>
      <c r="J696" s="34"/>
      <c r="K696" s="35"/>
      <c r="L696" s="34"/>
      <c r="M696" s="34"/>
      <c r="N696" s="34"/>
      <c r="O696" s="34"/>
      <c r="P696" s="34"/>
      <c r="Q696" s="34"/>
      <c r="R696" s="34"/>
      <c r="S696" s="34"/>
      <c r="T696" s="34"/>
      <c r="U696" s="34"/>
      <c r="V696" s="34"/>
    </row>
    <row r="697" spans="1:22" x14ac:dyDescent="0.3">
      <c r="A697" s="17"/>
      <c r="B697" s="33"/>
      <c r="C697" s="34"/>
      <c r="D697" s="34"/>
      <c r="E697" s="34"/>
      <c r="F697" s="34"/>
      <c r="G697" s="34"/>
      <c r="H697" s="34"/>
      <c r="I697" s="34"/>
      <c r="J697" s="34"/>
      <c r="K697" s="35"/>
      <c r="L697" s="34"/>
      <c r="M697" s="34"/>
      <c r="N697" s="34"/>
      <c r="O697" s="34"/>
      <c r="P697" s="34"/>
      <c r="Q697" s="34"/>
      <c r="R697" s="34"/>
      <c r="S697" s="34"/>
      <c r="T697" s="34"/>
      <c r="U697" s="34"/>
      <c r="V697" s="34"/>
    </row>
    <row r="698" spans="1:22" x14ac:dyDescent="0.3">
      <c r="A698" s="17"/>
      <c r="B698" s="33"/>
      <c r="C698" s="34"/>
      <c r="D698" s="34"/>
      <c r="E698" s="34"/>
      <c r="F698" s="34"/>
      <c r="G698" s="34"/>
      <c r="H698" s="34"/>
      <c r="I698" s="34"/>
      <c r="J698" s="34"/>
      <c r="K698" s="35"/>
      <c r="L698" s="34"/>
      <c r="M698" s="34"/>
      <c r="N698" s="34"/>
      <c r="O698" s="34"/>
      <c r="P698" s="34"/>
      <c r="Q698" s="34"/>
      <c r="R698" s="34"/>
      <c r="S698" s="34"/>
      <c r="T698" s="34"/>
      <c r="U698" s="34"/>
      <c r="V698" s="34"/>
    </row>
    <row r="699" spans="1:22" x14ac:dyDescent="0.3">
      <c r="A699" s="17"/>
      <c r="B699" s="33"/>
      <c r="C699" s="34"/>
      <c r="D699" s="34"/>
      <c r="E699" s="34"/>
      <c r="F699" s="34"/>
      <c r="G699" s="34"/>
      <c r="H699" s="34"/>
      <c r="I699" s="34"/>
      <c r="J699" s="34"/>
      <c r="K699" s="35"/>
      <c r="L699" s="34"/>
      <c r="M699" s="34"/>
      <c r="N699" s="34"/>
      <c r="O699" s="34"/>
      <c r="P699" s="34"/>
      <c r="Q699" s="34"/>
      <c r="R699" s="34"/>
      <c r="S699" s="34"/>
      <c r="T699" s="34"/>
      <c r="U699" s="34"/>
      <c r="V699" s="34"/>
    </row>
    <row r="700" spans="1:22" x14ac:dyDescent="0.3">
      <c r="A700" s="17"/>
      <c r="B700" s="33"/>
      <c r="C700" s="34"/>
      <c r="D700" s="34"/>
      <c r="E700" s="34"/>
      <c r="F700" s="34"/>
      <c r="G700" s="34"/>
      <c r="H700" s="34"/>
      <c r="I700" s="34"/>
      <c r="J700" s="34"/>
      <c r="K700" s="35"/>
      <c r="L700" s="34"/>
      <c r="M700" s="34"/>
      <c r="N700" s="34"/>
      <c r="O700" s="34"/>
      <c r="P700" s="34"/>
      <c r="Q700" s="34"/>
      <c r="R700" s="34"/>
      <c r="S700" s="34"/>
      <c r="T700" s="34"/>
      <c r="U700" s="34"/>
      <c r="V700" s="34"/>
    </row>
    <row r="701" spans="1:22" x14ac:dyDescent="0.3">
      <c r="A701" s="17"/>
      <c r="B701" s="33"/>
      <c r="C701" s="34"/>
      <c r="D701" s="34"/>
      <c r="E701" s="34"/>
      <c r="F701" s="34"/>
      <c r="G701" s="34"/>
      <c r="H701" s="34"/>
      <c r="I701" s="34"/>
      <c r="J701" s="34"/>
      <c r="K701" s="35"/>
      <c r="L701" s="34"/>
      <c r="M701" s="34"/>
      <c r="N701" s="34"/>
      <c r="O701" s="34"/>
      <c r="P701" s="34"/>
      <c r="Q701" s="34"/>
      <c r="R701" s="34"/>
      <c r="S701" s="34"/>
      <c r="T701" s="34"/>
      <c r="U701" s="34"/>
      <c r="V701" s="34"/>
    </row>
    <row r="702" spans="1:22" x14ac:dyDescent="0.3">
      <c r="A702" s="17"/>
      <c r="B702" s="33"/>
      <c r="C702" s="34"/>
      <c r="D702" s="34"/>
      <c r="E702" s="34"/>
      <c r="F702" s="34"/>
      <c r="G702" s="34"/>
      <c r="H702" s="34"/>
      <c r="I702" s="34"/>
      <c r="J702" s="34"/>
      <c r="K702" s="35"/>
      <c r="L702" s="34"/>
      <c r="M702" s="34"/>
      <c r="N702" s="34"/>
      <c r="O702" s="34"/>
      <c r="P702" s="34"/>
      <c r="Q702" s="34"/>
      <c r="R702" s="34"/>
      <c r="S702" s="34"/>
      <c r="T702" s="34"/>
      <c r="U702" s="34"/>
      <c r="V702" s="34"/>
    </row>
    <row r="703" spans="1:22" x14ac:dyDescent="0.3">
      <c r="A703" s="17"/>
      <c r="B703" s="33"/>
      <c r="C703" s="34"/>
      <c r="D703" s="34"/>
      <c r="E703" s="34"/>
      <c r="F703" s="34"/>
      <c r="G703" s="34"/>
      <c r="H703" s="34"/>
      <c r="I703" s="34"/>
      <c r="J703" s="34"/>
      <c r="K703" s="35"/>
      <c r="L703" s="34"/>
      <c r="M703" s="34"/>
      <c r="N703" s="34"/>
      <c r="O703" s="34"/>
      <c r="P703" s="34"/>
      <c r="Q703" s="34"/>
      <c r="R703" s="34"/>
      <c r="S703" s="34"/>
      <c r="T703" s="34"/>
      <c r="U703" s="34"/>
      <c r="V703" s="34"/>
    </row>
    <row r="704" spans="1:22" x14ac:dyDescent="0.3">
      <c r="A704" s="17"/>
      <c r="B704" s="33"/>
      <c r="C704" s="34"/>
      <c r="D704" s="34"/>
      <c r="E704" s="34"/>
      <c r="F704" s="34"/>
      <c r="G704" s="34"/>
      <c r="H704" s="34"/>
      <c r="I704" s="34"/>
      <c r="J704" s="34"/>
      <c r="K704" s="35"/>
      <c r="L704" s="34"/>
      <c r="M704" s="34"/>
      <c r="N704" s="34"/>
      <c r="O704" s="34"/>
      <c r="P704" s="34"/>
      <c r="Q704" s="34"/>
      <c r="R704" s="34"/>
      <c r="S704" s="34"/>
      <c r="T704" s="34"/>
      <c r="U704" s="34"/>
      <c r="V704" s="34"/>
    </row>
    <row r="705" spans="1:22" x14ac:dyDescent="0.3">
      <c r="A705" s="17"/>
      <c r="B705" s="33"/>
      <c r="C705" s="34"/>
      <c r="D705" s="34"/>
      <c r="E705" s="34"/>
      <c r="F705" s="34"/>
      <c r="G705" s="34"/>
      <c r="H705" s="34"/>
      <c r="I705" s="34"/>
      <c r="J705" s="34"/>
      <c r="K705" s="35"/>
      <c r="L705" s="34"/>
      <c r="M705" s="34"/>
      <c r="N705" s="34"/>
      <c r="O705" s="34"/>
      <c r="P705" s="34"/>
      <c r="Q705" s="34"/>
      <c r="R705" s="34"/>
      <c r="S705" s="34"/>
      <c r="T705" s="34"/>
      <c r="U705" s="34"/>
      <c r="V705" s="34"/>
    </row>
    <row r="706" spans="1:22" x14ac:dyDescent="0.3">
      <c r="A706" s="17"/>
      <c r="B706" s="33"/>
      <c r="C706" s="34"/>
      <c r="D706" s="34"/>
      <c r="E706" s="34"/>
      <c r="F706" s="34"/>
      <c r="G706" s="34"/>
      <c r="H706" s="34"/>
      <c r="I706" s="34"/>
      <c r="J706" s="34"/>
      <c r="K706" s="35"/>
      <c r="L706" s="34"/>
      <c r="M706" s="34"/>
      <c r="N706" s="34"/>
      <c r="O706" s="34"/>
      <c r="P706" s="34"/>
      <c r="Q706" s="34"/>
      <c r="R706" s="34"/>
      <c r="S706" s="34"/>
      <c r="T706" s="34"/>
      <c r="U706" s="34"/>
      <c r="V706" s="34"/>
    </row>
    <row r="707" spans="1:22" x14ac:dyDescent="0.3">
      <c r="A707" s="17"/>
      <c r="B707" s="33"/>
      <c r="C707" s="34"/>
      <c r="D707" s="34"/>
      <c r="E707" s="34"/>
      <c r="F707" s="34"/>
      <c r="G707" s="34"/>
      <c r="H707" s="34"/>
      <c r="I707" s="34"/>
      <c r="J707" s="34"/>
      <c r="K707" s="35"/>
      <c r="L707" s="34"/>
      <c r="M707" s="34"/>
      <c r="N707" s="34"/>
      <c r="O707" s="34"/>
      <c r="P707" s="34"/>
      <c r="Q707" s="34"/>
      <c r="R707" s="34"/>
      <c r="S707" s="34"/>
      <c r="T707" s="34"/>
      <c r="U707" s="34"/>
      <c r="V707" s="34"/>
    </row>
    <row r="708" spans="1:22" x14ac:dyDescent="0.3">
      <c r="A708" s="17"/>
      <c r="B708" s="33"/>
      <c r="C708" s="34"/>
      <c r="D708" s="34"/>
      <c r="E708" s="34"/>
      <c r="F708" s="34"/>
      <c r="G708" s="34"/>
      <c r="H708" s="34"/>
      <c r="I708" s="34"/>
      <c r="J708" s="34"/>
      <c r="K708" s="35"/>
      <c r="L708" s="34"/>
      <c r="M708" s="34"/>
      <c r="N708" s="34"/>
      <c r="O708" s="34"/>
      <c r="P708" s="34"/>
      <c r="Q708" s="34"/>
      <c r="R708" s="34"/>
      <c r="S708" s="34"/>
      <c r="T708" s="34"/>
      <c r="U708" s="34"/>
      <c r="V708" s="34"/>
    </row>
    <row r="709" spans="1:22" x14ac:dyDescent="0.3">
      <c r="A709" s="17"/>
      <c r="B709" s="33"/>
      <c r="C709" s="34"/>
      <c r="D709" s="34"/>
      <c r="E709" s="34"/>
      <c r="F709" s="34"/>
      <c r="G709" s="34"/>
      <c r="H709" s="34"/>
      <c r="I709" s="34"/>
      <c r="J709" s="34"/>
      <c r="K709" s="35"/>
      <c r="L709" s="34"/>
      <c r="M709" s="34"/>
      <c r="N709" s="34"/>
      <c r="O709" s="34"/>
      <c r="P709" s="34"/>
      <c r="Q709" s="34"/>
      <c r="R709" s="34"/>
      <c r="S709" s="34"/>
      <c r="T709" s="34"/>
      <c r="U709" s="34"/>
      <c r="V709" s="34"/>
    </row>
    <row r="710" spans="1:22" x14ac:dyDescent="0.3">
      <c r="A710" s="17"/>
      <c r="B710" s="33"/>
      <c r="C710" s="34"/>
      <c r="D710" s="34"/>
      <c r="E710" s="34"/>
      <c r="F710" s="34"/>
      <c r="G710" s="34"/>
      <c r="H710" s="34"/>
      <c r="I710" s="34"/>
      <c r="J710" s="34"/>
      <c r="K710" s="35"/>
      <c r="L710" s="34"/>
      <c r="M710" s="34"/>
      <c r="N710" s="34"/>
      <c r="O710" s="34"/>
      <c r="P710" s="34"/>
      <c r="Q710" s="34"/>
      <c r="R710" s="34"/>
      <c r="S710" s="34"/>
      <c r="T710" s="34"/>
      <c r="U710" s="34"/>
      <c r="V710" s="34"/>
    </row>
    <row r="711" spans="1:22" x14ac:dyDescent="0.3">
      <c r="A711" s="17"/>
      <c r="B711" s="33"/>
      <c r="C711" s="34"/>
      <c r="D711" s="34"/>
      <c r="E711" s="34"/>
      <c r="F711" s="34"/>
      <c r="G711" s="34"/>
      <c r="H711" s="34"/>
      <c r="I711" s="34"/>
      <c r="J711" s="34"/>
      <c r="K711" s="35"/>
      <c r="L711" s="34"/>
      <c r="M711" s="34"/>
      <c r="N711" s="34"/>
      <c r="O711" s="34"/>
      <c r="P711" s="34"/>
      <c r="Q711" s="34"/>
      <c r="R711" s="34"/>
      <c r="S711" s="34"/>
      <c r="T711" s="34"/>
      <c r="U711" s="34"/>
      <c r="V711" s="34"/>
    </row>
    <row r="712" spans="1:22" x14ac:dyDescent="0.3">
      <c r="A712" s="17"/>
      <c r="B712" s="33"/>
      <c r="C712" s="34"/>
      <c r="D712" s="34"/>
      <c r="E712" s="34"/>
      <c r="F712" s="34"/>
      <c r="G712" s="34"/>
      <c r="H712" s="34"/>
      <c r="I712" s="34"/>
      <c r="J712" s="34"/>
      <c r="K712" s="35"/>
      <c r="L712" s="34"/>
      <c r="M712" s="34"/>
      <c r="N712" s="34"/>
      <c r="O712" s="34"/>
      <c r="P712" s="34"/>
      <c r="Q712" s="34"/>
      <c r="R712" s="34"/>
      <c r="S712" s="34"/>
      <c r="T712" s="34"/>
      <c r="U712" s="34"/>
      <c r="V712" s="34"/>
    </row>
    <row r="713" spans="1:22" x14ac:dyDescent="0.3">
      <c r="A713" s="17"/>
      <c r="B713" s="33"/>
      <c r="C713" s="34"/>
      <c r="D713" s="34"/>
      <c r="E713" s="34"/>
      <c r="F713" s="34"/>
      <c r="G713" s="34"/>
      <c r="H713" s="34"/>
      <c r="I713" s="34"/>
      <c r="J713" s="34"/>
      <c r="K713" s="35"/>
      <c r="L713" s="34"/>
      <c r="M713" s="34"/>
      <c r="N713" s="34"/>
      <c r="O713" s="34"/>
      <c r="P713" s="34"/>
      <c r="Q713" s="34"/>
      <c r="R713" s="34"/>
      <c r="S713" s="34"/>
      <c r="T713" s="34"/>
      <c r="U713" s="34"/>
      <c r="V713" s="34"/>
    </row>
    <row r="714" spans="1:22" x14ac:dyDescent="0.3">
      <c r="A714" s="17"/>
      <c r="B714" s="33"/>
      <c r="C714" s="34"/>
      <c r="D714" s="34"/>
      <c r="E714" s="34"/>
      <c r="F714" s="34"/>
      <c r="G714" s="34"/>
      <c r="H714" s="34"/>
      <c r="I714" s="34"/>
      <c r="J714" s="34"/>
      <c r="K714" s="35"/>
      <c r="L714" s="34"/>
      <c r="M714" s="34"/>
      <c r="N714" s="34"/>
      <c r="O714" s="34"/>
      <c r="P714" s="34"/>
      <c r="Q714" s="34"/>
      <c r="R714" s="34"/>
      <c r="S714" s="34"/>
      <c r="T714" s="34"/>
      <c r="U714" s="34"/>
      <c r="V714" s="34"/>
    </row>
    <row r="715" spans="1:22" x14ac:dyDescent="0.3">
      <c r="A715" s="17"/>
      <c r="B715" s="33"/>
      <c r="C715" s="34"/>
      <c r="D715" s="34"/>
      <c r="E715" s="34"/>
      <c r="F715" s="34"/>
      <c r="G715" s="34"/>
      <c r="H715" s="34"/>
      <c r="I715" s="34"/>
      <c r="J715" s="34"/>
      <c r="K715" s="35"/>
      <c r="L715" s="34"/>
      <c r="M715" s="34"/>
      <c r="N715" s="34"/>
      <c r="O715" s="34"/>
      <c r="P715" s="34"/>
      <c r="Q715" s="34"/>
      <c r="R715" s="34"/>
      <c r="S715" s="34"/>
      <c r="T715" s="34"/>
      <c r="U715" s="34"/>
      <c r="V715" s="34"/>
    </row>
    <row r="716" spans="1:22" x14ac:dyDescent="0.3">
      <c r="A716" s="17"/>
      <c r="B716" s="33"/>
      <c r="C716" s="34"/>
      <c r="D716" s="34"/>
      <c r="E716" s="34"/>
      <c r="F716" s="34"/>
      <c r="G716" s="34"/>
      <c r="H716" s="34"/>
      <c r="I716" s="34"/>
      <c r="J716" s="34"/>
      <c r="K716" s="35"/>
      <c r="L716" s="34"/>
      <c r="M716" s="34"/>
      <c r="N716" s="34"/>
      <c r="O716" s="34"/>
      <c r="P716" s="34"/>
      <c r="Q716" s="34"/>
      <c r="R716" s="34"/>
      <c r="S716" s="34"/>
      <c r="T716" s="34"/>
      <c r="U716" s="34"/>
      <c r="V716" s="34"/>
    </row>
    <row r="717" spans="1:22" x14ac:dyDescent="0.3">
      <c r="A717" s="17"/>
      <c r="B717" s="33"/>
      <c r="C717" s="34"/>
      <c r="D717" s="34"/>
      <c r="E717" s="34"/>
      <c r="F717" s="34"/>
      <c r="G717" s="34"/>
      <c r="H717" s="34"/>
      <c r="I717" s="34"/>
      <c r="J717" s="34"/>
      <c r="K717" s="35"/>
      <c r="L717" s="34"/>
      <c r="M717" s="34"/>
      <c r="N717" s="34"/>
      <c r="O717" s="34"/>
      <c r="P717" s="34"/>
      <c r="Q717" s="34"/>
      <c r="R717" s="34"/>
      <c r="S717" s="34"/>
      <c r="T717" s="34"/>
      <c r="U717" s="34"/>
      <c r="V717" s="34"/>
    </row>
    <row r="718" spans="1:22" x14ac:dyDescent="0.3">
      <c r="A718" s="17"/>
      <c r="B718" s="33"/>
      <c r="C718" s="34"/>
      <c r="D718" s="34"/>
      <c r="E718" s="34"/>
      <c r="F718" s="34"/>
      <c r="G718" s="34"/>
      <c r="H718" s="34"/>
      <c r="I718" s="34"/>
      <c r="J718" s="34"/>
      <c r="K718" s="35"/>
      <c r="L718" s="34"/>
      <c r="M718" s="34"/>
      <c r="N718" s="34"/>
      <c r="O718" s="34"/>
      <c r="P718" s="34"/>
      <c r="Q718" s="34"/>
      <c r="R718" s="34"/>
      <c r="S718" s="34"/>
      <c r="T718" s="34"/>
      <c r="U718" s="34"/>
      <c r="V718" s="34"/>
    </row>
    <row r="719" spans="1:22" x14ac:dyDescent="0.3">
      <c r="A719" s="17"/>
      <c r="B719" s="33"/>
      <c r="C719" s="34"/>
      <c r="D719" s="34"/>
      <c r="E719" s="34"/>
      <c r="F719" s="34"/>
      <c r="G719" s="34"/>
      <c r="H719" s="34"/>
      <c r="I719" s="34"/>
      <c r="J719" s="34"/>
      <c r="K719" s="35"/>
      <c r="L719" s="34"/>
      <c r="M719" s="34"/>
      <c r="N719" s="34"/>
      <c r="O719" s="34"/>
      <c r="P719" s="34"/>
      <c r="Q719" s="34"/>
      <c r="R719" s="34"/>
      <c r="S719" s="34"/>
      <c r="T719" s="34"/>
      <c r="U719" s="34"/>
      <c r="V719" s="34"/>
    </row>
    <row r="720" spans="1:22" x14ac:dyDescent="0.3">
      <c r="A720" s="17"/>
      <c r="B720" s="33"/>
      <c r="C720" s="34"/>
      <c r="D720" s="34"/>
      <c r="E720" s="34"/>
      <c r="F720" s="34"/>
      <c r="G720" s="34"/>
      <c r="H720" s="34"/>
      <c r="I720" s="34"/>
      <c r="J720" s="34"/>
      <c r="K720" s="35"/>
      <c r="L720" s="34"/>
      <c r="M720" s="34"/>
      <c r="N720" s="34"/>
      <c r="O720" s="34"/>
      <c r="P720" s="34"/>
      <c r="Q720" s="34"/>
      <c r="R720" s="34"/>
      <c r="S720" s="34"/>
      <c r="T720" s="34"/>
      <c r="U720" s="34"/>
      <c r="V720" s="34"/>
    </row>
    <row r="721" spans="1:22" x14ac:dyDescent="0.3">
      <c r="A721" s="17"/>
      <c r="B721" s="33"/>
      <c r="C721" s="34"/>
      <c r="D721" s="34"/>
      <c r="E721" s="34"/>
      <c r="F721" s="34"/>
      <c r="G721" s="34"/>
      <c r="H721" s="34"/>
      <c r="I721" s="34"/>
      <c r="J721" s="34"/>
      <c r="K721" s="35"/>
      <c r="L721" s="34"/>
      <c r="M721" s="34"/>
      <c r="N721" s="34"/>
      <c r="O721" s="34"/>
      <c r="P721" s="34"/>
      <c r="Q721" s="34"/>
      <c r="R721" s="34"/>
      <c r="S721" s="34"/>
      <c r="T721" s="34"/>
      <c r="U721" s="34"/>
      <c r="V721" s="34"/>
    </row>
    <row r="722" spans="1:22" x14ac:dyDescent="0.3">
      <c r="A722" s="17"/>
      <c r="B722" s="33"/>
      <c r="C722" s="34"/>
      <c r="D722" s="34"/>
      <c r="E722" s="34"/>
      <c r="F722" s="34"/>
      <c r="G722" s="34"/>
      <c r="H722" s="34"/>
      <c r="I722" s="34"/>
      <c r="J722" s="34"/>
      <c r="K722" s="35"/>
      <c r="L722" s="34"/>
      <c r="M722" s="34"/>
      <c r="N722" s="34"/>
      <c r="O722" s="34"/>
      <c r="P722" s="34"/>
      <c r="Q722" s="34"/>
      <c r="R722" s="34"/>
      <c r="S722" s="34"/>
      <c r="T722" s="34"/>
      <c r="U722" s="34"/>
      <c r="V722" s="34"/>
    </row>
    <row r="723" spans="1:22" x14ac:dyDescent="0.3">
      <c r="A723" s="17"/>
      <c r="B723" s="33"/>
      <c r="C723" s="34"/>
      <c r="D723" s="34"/>
      <c r="E723" s="34"/>
      <c r="F723" s="34"/>
      <c r="G723" s="34"/>
      <c r="H723" s="34"/>
      <c r="I723" s="34"/>
      <c r="J723" s="34"/>
      <c r="K723" s="35"/>
      <c r="L723" s="34"/>
      <c r="M723" s="34"/>
      <c r="N723" s="34"/>
      <c r="O723" s="34"/>
      <c r="P723" s="34"/>
      <c r="Q723" s="34"/>
      <c r="R723" s="34"/>
      <c r="S723" s="34"/>
      <c r="T723" s="34"/>
      <c r="U723" s="34"/>
      <c r="V723" s="34"/>
    </row>
    <row r="724" spans="1:22" x14ac:dyDescent="0.3">
      <c r="A724" s="17"/>
      <c r="B724" s="33"/>
      <c r="C724" s="34"/>
      <c r="D724" s="34"/>
      <c r="E724" s="34"/>
      <c r="F724" s="34"/>
      <c r="G724" s="34"/>
      <c r="H724" s="34"/>
      <c r="I724" s="34"/>
      <c r="J724" s="34"/>
      <c r="K724" s="35"/>
      <c r="L724" s="34"/>
      <c r="M724" s="34"/>
      <c r="N724" s="34"/>
      <c r="O724" s="34"/>
      <c r="P724" s="34"/>
      <c r="Q724" s="34"/>
      <c r="R724" s="34"/>
      <c r="S724" s="34"/>
      <c r="T724" s="34"/>
      <c r="U724" s="34"/>
      <c r="V724" s="34"/>
    </row>
    <row r="725" spans="1:22" x14ac:dyDescent="0.3">
      <c r="A725" s="17"/>
      <c r="B725" s="33"/>
      <c r="C725" s="34"/>
      <c r="D725" s="34"/>
      <c r="E725" s="34"/>
      <c r="F725" s="34"/>
      <c r="G725" s="34"/>
      <c r="H725" s="34"/>
      <c r="I725" s="34"/>
      <c r="J725" s="34"/>
      <c r="K725" s="35"/>
      <c r="L725" s="34"/>
      <c r="M725" s="34"/>
      <c r="N725" s="34"/>
      <c r="O725" s="34"/>
      <c r="P725" s="34"/>
      <c r="Q725" s="34"/>
      <c r="R725" s="34"/>
      <c r="S725" s="34"/>
      <c r="T725" s="34"/>
      <c r="U725" s="34"/>
      <c r="V725" s="34"/>
    </row>
    <row r="726" spans="1:22" x14ac:dyDescent="0.3">
      <c r="A726" s="17"/>
      <c r="B726" s="33"/>
      <c r="C726" s="34"/>
      <c r="D726" s="34"/>
      <c r="E726" s="34"/>
      <c r="F726" s="34"/>
      <c r="G726" s="34"/>
      <c r="H726" s="34"/>
      <c r="I726" s="34"/>
      <c r="J726" s="34"/>
      <c r="K726" s="35"/>
      <c r="L726" s="34"/>
      <c r="M726" s="34"/>
      <c r="N726" s="34"/>
      <c r="O726" s="34"/>
      <c r="P726" s="34"/>
      <c r="Q726" s="34"/>
      <c r="R726" s="34"/>
      <c r="S726" s="34"/>
      <c r="T726" s="34"/>
      <c r="U726" s="34"/>
      <c r="V726" s="34"/>
    </row>
    <row r="727" spans="1:22" x14ac:dyDescent="0.3">
      <c r="A727" s="17"/>
      <c r="B727" s="33"/>
      <c r="C727" s="34"/>
      <c r="D727" s="34"/>
      <c r="E727" s="34"/>
      <c r="F727" s="34"/>
      <c r="G727" s="34"/>
      <c r="H727" s="34"/>
      <c r="I727" s="34"/>
      <c r="J727" s="34"/>
      <c r="K727" s="35"/>
      <c r="L727" s="34"/>
      <c r="M727" s="34"/>
      <c r="N727" s="34"/>
      <c r="O727" s="34"/>
      <c r="P727" s="34"/>
      <c r="Q727" s="34"/>
      <c r="R727" s="34"/>
      <c r="S727" s="34"/>
      <c r="T727" s="34"/>
      <c r="U727" s="34"/>
      <c r="V727" s="34"/>
    </row>
    <row r="728" spans="1:22" x14ac:dyDescent="0.3">
      <c r="A728" s="17"/>
      <c r="B728" s="33"/>
      <c r="C728" s="34"/>
      <c r="D728" s="34"/>
      <c r="E728" s="34"/>
      <c r="F728" s="34"/>
      <c r="G728" s="34"/>
      <c r="H728" s="34"/>
      <c r="I728" s="34"/>
      <c r="J728" s="34"/>
      <c r="K728" s="35"/>
      <c r="L728" s="34"/>
      <c r="M728" s="34"/>
      <c r="N728" s="34"/>
      <c r="O728" s="34"/>
      <c r="P728" s="34"/>
      <c r="Q728" s="34"/>
      <c r="R728" s="34"/>
      <c r="S728" s="34"/>
      <c r="T728" s="34"/>
      <c r="U728" s="34"/>
      <c r="V728" s="34"/>
    </row>
    <row r="729" spans="1:22" x14ac:dyDescent="0.3">
      <c r="A729" s="17"/>
      <c r="B729" s="33"/>
      <c r="C729" s="34"/>
      <c r="D729" s="34"/>
      <c r="E729" s="34"/>
      <c r="F729" s="34"/>
      <c r="G729" s="34"/>
      <c r="H729" s="34"/>
      <c r="I729" s="34"/>
      <c r="J729" s="34"/>
      <c r="K729" s="35"/>
      <c r="L729" s="34"/>
      <c r="M729" s="34"/>
      <c r="N729" s="34"/>
      <c r="O729" s="34"/>
      <c r="P729" s="34"/>
      <c r="Q729" s="34"/>
      <c r="R729" s="34"/>
      <c r="S729" s="34"/>
      <c r="T729" s="34"/>
      <c r="U729" s="34"/>
      <c r="V729" s="34"/>
    </row>
    <row r="730" spans="1:22" x14ac:dyDescent="0.3">
      <c r="A730" s="17"/>
      <c r="B730" s="33"/>
      <c r="C730" s="34"/>
      <c r="D730" s="34"/>
      <c r="E730" s="34"/>
      <c r="F730" s="34"/>
      <c r="G730" s="34"/>
      <c r="H730" s="34"/>
      <c r="I730" s="34"/>
      <c r="J730" s="34"/>
      <c r="K730" s="35"/>
      <c r="L730" s="34"/>
      <c r="M730" s="34"/>
      <c r="N730" s="34"/>
      <c r="O730" s="34"/>
      <c r="P730" s="34"/>
      <c r="Q730" s="34"/>
      <c r="R730" s="34"/>
      <c r="S730" s="34"/>
      <c r="T730" s="34"/>
      <c r="U730" s="34"/>
      <c r="V730" s="34"/>
    </row>
    <row r="731" spans="1:22" x14ac:dyDescent="0.3">
      <c r="A731" s="17"/>
      <c r="B731" s="33"/>
      <c r="C731" s="34"/>
      <c r="D731" s="34"/>
      <c r="E731" s="34"/>
      <c r="F731" s="34"/>
      <c r="G731" s="34"/>
      <c r="H731" s="34"/>
      <c r="I731" s="34"/>
      <c r="J731" s="34"/>
      <c r="K731" s="35"/>
      <c r="L731" s="34"/>
      <c r="M731" s="34"/>
      <c r="N731" s="34"/>
      <c r="O731" s="34"/>
      <c r="P731" s="34"/>
      <c r="Q731" s="34"/>
      <c r="R731" s="34"/>
      <c r="S731" s="34"/>
      <c r="T731" s="34"/>
      <c r="U731" s="34"/>
      <c r="V731" s="34"/>
    </row>
    <row r="732" spans="1:22" x14ac:dyDescent="0.3">
      <c r="A732" s="17"/>
      <c r="B732" s="33"/>
      <c r="C732" s="34"/>
      <c r="D732" s="34"/>
      <c r="E732" s="34"/>
      <c r="F732" s="34"/>
      <c r="G732" s="34"/>
      <c r="H732" s="34"/>
      <c r="I732" s="34"/>
      <c r="J732" s="34"/>
      <c r="K732" s="35"/>
      <c r="L732" s="34"/>
      <c r="M732" s="34"/>
      <c r="N732" s="34"/>
      <c r="O732" s="34"/>
      <c r="P732" s="34"/>
      <c r="Q732" s="34"/>
      <c r="R732" s="34"/>
      <c r="S732" s="34"/>
      <c r="T732" s="34"/>
      <c r="U732" s="34"/>
      <c r="V732" s="34"/>
    </row>
    <row r="733" spans="1:22" x14ac:dyDescent="0.3">
      <c r="A733" s="17"/>
      <c r="B733" s="33"/>
      <c r="C733" s="34"/>
      <c r="D733" s="34"/>
      <c r="E733" s="34"/>
      <c r="F733" s="34"/>
      <c r="G733" s="34"/>
      <c r="H733" s="34"/>
      <c r="I733" s="34"/>
      <c r="J733" s="34"/>
      <c r="K733" s="35"/>
      <c r="L733" s="34"/>
      <c r="M733" s="34"/>
      <c r="N733" s="34"/>
      <c r="O733" s="34"/>
      <c r="P733" s="34"/>
      <c r="Q733" s="34"/>
      <c r="R733" s="34"/>
      <c r="S733" s="34"/>
      <c r="T733" s="34"/>
      <c r="U733" s="34"/>
      <c r="V733" s="34"/>
    </row>
    <row r="734" spans="1:22" x14ac:dyDescent="0.3">
      <c r="A734" s="17"/>
      <c r="B734" s="33"/>
      <c r="C734" s="34"/>
      <c r="D734" s="34"/>
      <c r="E734" s="34"/>
      <c r="F734" s="34"/>
      <c r="G734" s="34"/>
      <c r="H734" s="34"/>
      <c r="I734" s="34"/>
      <c r="J734" s="34"/>
      <c r="K734" s="35"/>
      <c r="L734" s="34"/>
      <c r="M734" s="34"/>
      <c r="N734" s="34"/>
      <c r="O734" s="34"/>
      <c r="P734" s="34"/>
      <c r="Q734" s="34"/>
      <c r="R734" s="34"/>
      <c r="S734" s="34"/>
      <c r="T734" s="34"/>
      <c r="U734" s="34"/>
      <c r="V734" s="34"/>
    </row>
    <row r="735" spans="1:22" x14ac:dyDescent="0.3">
      <c r="A735" s="17"/>
      <c r="B735" s="33"/>
      <c r="C735" s="34"/>
      <c r="D735" s="34"/>
      <c r="E735" s="34"/>
      <c r="F735" s="34"/>
      <c r="G735" s="34"/>
      <c r="H735" s="34"/>
      <c r="I735" s="34"/>
      <c r="J735" s="34"/>
      <c r="K735" s="35"/>
      <c r="L735" s="34"/>
      <c r="M735" s="34"/>
      <c r="N735" s="34"/>
      <c r="O735" s="34"/>
      <c r="P735" s="34"/>
      <c r="Q735" s="34"/>
      <c r="R735" s="34"/>
      <c r="S735" s="34"/>
      <c r="T735" s="34"/>
      <c r="U735" s="34"/>
      <c r="V735" s="34"/>
    </row>
    <row r="736" spans="1:22" x14ac:dyDescent="0.3">
      <c r="A736" s="17"/>
      <c r="B736" s="33"/>
      <c r="C736" s="34"/>
      <c r="D736" s="34"/>
      <c r="E736" s="34"/>
      <c r="F736" s="34"/>
      <c r="G736" s="34"/>
      <c r="H736" s="34"/>
      <c r="I736" s="34"/>
      <c r="J736" s="34"/>
      <c r="K736" s="35"/>
      <c r="L736" s="34"/>
      <c r="M736" s="34"/>
      <c r="N736" s="34"/>
      <c r="O736" s="34"/>
      <c r="P736" s="34"/>
      <c r="Q736" s="34"/>
      <c r="R736" s="34"/>
      <c r="S736" s="34"/>
      <c r="T736" s="34"/>
      <c r="U736" s="34"/>
      <c r="V736" s="34"/>
    </row>
    <row r="737" spans="1:22" x14ac:dyDescent="0.3">
      <c r="A737" s="17"/>
      <c r="B737" s="33"/>
      <c r="C737" s="34"/>
      <c r="D737" s="34"/>
      <c r="E737" s="34"/>
      <c r="F737" s="34"/>
      <c r="G737" s="34"/>
      <c r="H737" s="34"/>
      <c r="I737" s="34"/>
      <c r="J737" s="34"/>
      <c r="K737" s="35"/>
      <c r="L737" s="34"/>
      <c r="M737" s="34"/>
      <c r="N737" s="34"/>
      <c r="O737" s="34"/>
      <c r="P737" s="34"/>
      <c r="Q737" s="34"/>
      <c r="R737" s="34"/>
      <c r="S737" s="34"/>
      <c r="T737" s="34"/>
      <c r="U737" s="34"/>
      <c r="V737" s="34"/>
    </row>
    <row r="738" spans="1:22" x14ac:dyDescent="0.3">
      <c r="A738" s="17"/>
      <c r="B738" s="33"/>
      <c r="C738" s="34"/>
      <c r="D738" s="34"/>
      <c r="E738" s="34"/>
      <c r="F738" s="34"/>
      <c r="G738" s="34"/>
      <c r="H738" s="34"/>
      <c r="I738" s="34"/>
      <c r="J738" s="34"/>
      <c r="K738" s="35"/>
      <c r="L738" s="34"/>
      <c r="M738" s="34"/>
      <c r="N738" s="34"/>
      <c r="O738" s="34"/>
      <c r="P738" s="34"/>
      <c r="Q738" s="34"/>
      <c r="R738" s="34"/>
      <c r="S738" s="34"/>
      <c r="T738" s="34"/>
      <c r="U738" s="34"/>
      <c r="V738" s="34"/>
    </row>
    <row r="739" spans="1:22" x14ac:dyDescent="0.3">
      <c r="A739" s="17"/>
      <c r="B739" s="33"/>
      <c r="C739" s="34"/>
      <c r="D739" s="34"/>
      <c r="E739" s="34"/>
      <c r="F739" s="34"/>
      <c r="G739" s="34"/>
      <c r="H739" s="34"/>
      <c r="I739" s="34"/>
      <c r="J739" s="34"/>
      <c r="K739" s="35"/>
      <c r="L739" s="34"/>
      <c r="M739" s="34"/>
      <c r="N739" s="34"/>
      <c r="O739" s="34"/>
      <c r="P739" s="34"/>
      <c r="Q739" s="34"/>
      <c r="R739" s="34"/>
      <c r="S739" s="34"/>
      <c r="T739" s="34"/>
      <c r="U739" s="34"/>
      <c r="V739" s="34"/>
    </row>
    <row r="740" spans="1:22" x14ac:dyDescent="0.3">
      <c r="A740" s="17"/>
      <c r="B740" s="33"/>
      <c r="C740" s="34"/>
      <c r="D740" s="34"/>
      <c r="E740" s="34"/>
      <c r="F740" s="34"/>
      <c r="G740" s="34"/>
      <c r="H740" s="34"/>
      <c r="I740" s="34"/>
      <c r="J740" s="34"/>
      <c r="K740" s="35"/>
      <c r="L740" s="34"/>
      <c r="M740" s="34"/>
      <c r="N740" s="34"/>
      <c r="O740" s="34"/>
      <c r="P740" s="34"/>
      <c r="Q740" s="34"/>
      <c r="R740" s="34"/>
      <c r="S740" s="34"/>
      <c r="T740" s="34"/>
      <c r="U740" s="34"/>
      <c r="V740" s="34"/>
    </row>
    <row r="741" spans="1:22" x14ac:dyDescent="0.3">
      <c r="A741" s="17"/>
      <c r="B741" s="33"/>
      <c r="C741" s="34"/>
      <c r="D741" s="34"/>
      <c r="E741" s="34"/>
      <c r="F741" s="34"/>
      <c r="G741" s="34"/>
      <c r="H741" s="34"/>
      <c r="I741" s="34"/>
      <c r="J741" s="34"/>
      <c r="K741" s="35"/>
      <c r="L741" s="34"/>
      <c r="M741" s="34"/>
      <c r="N741" s="34"/>
      <c r="O741" s="34"/>
      <c r="P741" s="34"/>
      <c r="Q741" s="34"/>
      <c r="R741" s="34"/>
      <c r="S741" s="34"/>
      <c r="T741" s="34"/>
      <c r="U741" s="34"/>
      <c r="V741" s="34"/>
    </row>
    <row r="742" spans="1:22" x14ac:dyDescent="0.3">
      <c r="A742" s="17"/>
      <c r="B742" s="33"/>
      <c r="C742" s="34"/>
      <c r="D742" s="34"/>
      <c r="E742" s="34"/>
      <c r="F742" s="34"/>
      <c r="G742" s="34"/>
      <c r="H742" s="34"/>
      <c r="I742" s="34"/>
      <c r="J742" s="34"/>
      <c r="K742" s="35"/>
      <c r="L742" s="34"/>
      <c r="M742" s="34"/>
      <c r="N742" s="34"/>
      <c r="O742" s="34"/>
      <c r="P742" s="34"/>
      <c r="Q742" s="34"/>
      <c r="R742" s="34"/>
      <c r="S742" s="34"/>
      <c r="T742" s="34"/>
      <c r="U742" s="34"/>
      <c r="V742" s="34"/>
    </row>
    <row r="743" spans="1:22" x14ac:dyDescent="0.3">
      <c r="A743" s="17"/>
      <c r="B743" s="33"/>
      <c r="C743" s="34"/>
      <c r="D743" s="34"/>
      <c r="E743" s="34"/>
      <c r="F743" s="34"/>
      <c r="G743" s="34"/>
      <c r="H743" s="34"/>
      <c r="I743" s="34"/>
      <c r="J743" s="34"/>
      <c r="K743" s="35"/>
      <c r="L743" s="34"/>
      <c r="M743" s="34"/>
      <c r="N743" s="34"/>
      <c r="O743" s="34"/>
      <c r="P743" s="34"/>
      <c r="Q743" s="34"/>
      <c r="R743" s="34"/>
      <c r="S743" s="34"/>
      <c r="T743" s="34"/>
      <c r="U743" s="34"/>
      <c r="V743" s="34"/>
    </row>
    <row r="744" spans="1:22" x14ac:dyDescent="0.3">
      <c r="A744" s="17"/>
      <c r="B744" s="33"/>
      <c r="C744" s="34"/>
      <c r="D744" s="34"/>
      <c r="E744" s="34"/>
      <c r="F744" s="34"/>
      <c r="G744" s="34"/>
      <c r="H744" s="34"/>
      <c r="I744" s="34"/>
      <c r="J744" s="34"/>
      <c r="K744" s="35"/>
      <c r="L744" s="34"/>
      <c r="M744" s="34"/>
      <c r="N744" s="34"/>
      <c r="O744" s="34"/>
      <c r="P744" s="34"/>
      <c r="Q744" s="34"/>
      <c r="R744" s="34"/>
      <c r="S744" s="34"/>
      <c r="T744" s="34"/>
      <c r="U744" s="34"/>
      <c r="V744" s="34"/>
    </row>
    <row r="745" spans="1:22" x14ac:dyDescent="0.3">
      <c r="A745" s="17"/>
      <c r="B745" s="33"/>
      <c r="C745" s="34"/>
      <c r="D745" s="34"/>
      <c r="E745" s="34"/>
      <c r="F745" s="34"/>
      <c r="G745" s="34"/>
      <c r="H745" s="34"/>
      <c r="I745" s="34"/>
      <c r="J745" s="34"/>
      <c r="K745" s="35"/>
      <c r="L745" s="34"/>
      <c r="M745" s="34"/>
      <c r="N745" s="34"/>
      <c r="O745" s="34"/>
      <c r="P745" s="34"/>
      <c r="Q745" s="34"/>
      <c r="R745" s="34"/>
      <c r="S745" s="34"/>
      <c r="T745" s="34"/>
      <c r="U745" s="34"/>
      <c r="V745" s="34"/>
    </row>
    <row r="746" spans="1:22" x14ac:dyDescent="0.3">
      <c r="A746" s="17"/>
      <c r="B746" s="33"/>
      <c r="C746" s="34"/>
      <c r="D746" s="34"/>
      <c r="E746" s="34"/>
      <c r="F746" s="34"/>
      <c r="G746" s="34"/>
      <c r="H746" s="34"/>
      <c r="I746" s="34"/>
      <c r="J746" s="34"/>
      <c r="K746" s="35"/>
      <c r="L746" s="34"/>
      <c r="M746" s="34"/>
      <c r="N746" s="34"/>
      <c r="O746" s="34"/>
      <c r="P746" s="34"/>
      <c r="Q746" s="34"/>
      <c r="R746" s="34"/>
      <c r="S746" s="34"/>
      <c r="T746" s="34"/>
      <c r="U746" s="34"/>
      <c r="V746" s="34"/>
    </row>
    <row r="747" spans="1:22" x14ac:dyDescent="0.3">
      <c r="A747" s="17"/>
      <c r="B747" s="33"/>
      <c r="C747" s="34"/>
      <c r="D747" s="34"/>
      <c r="E747" s="34"/>
      <c r="F747" s="34"/>
      <c r="G747" s="34"/>
      <c r="H747" s="34"/>
      <c r="I747" s="34"/>
      <c r="J747" s="34"/>
      <c r="K747" s="35"/>
      <c r="L747" s="34"/>
      <c r="M747" s="34"/>
      <c r="N747" s="34"/>
      <c r="O747" s="34"/>
      <c r="P747" s="34"/>
      <c r="Q747" s="34"/>
      <c r="R747" s="34"/>
      <c r="S747" s="34"/>
      <c r="T747" s="34"/>
      <c r="U747" s="34"/>
      <c r="V747" s="34"/>
    </row>
    <row r="748" spans="1:22" x14ac:dyDescent="0.3">
      <c r="A748" s="17"/>
      <c r="B748" s="33"/>
      <c r="C748" s="34"/>
      <c r="D748" s="34"/>
      <c r="E748" s="34"/>
      <c r="F748" s="34"/>
      <c r="G748" s="34"/>
      <c r="H748" s="34"/>
      <c r="I748" s="34"/>
      <c r="J748" s="34"/>
      <c r="K748" s="35"/>
      <c r="L748" s="34"/>
      <c r="M748" s="34"/>
      <c r="N748" s="34"/>
      <c r="O748" s="34"/>
      <c r="P748" s="34"/>
      <c r="Q748" s="34"/>
      <c r="R748" s="34"/>
      <c r="S748" s="34"/>
      <c r="T748" s="34"/>
      <c r="U748" s="34"/>
      <c r="V748" s="34"/>
    </row>
    <row r="749" spans="1:22" x14ac:dyDescent="0.3">
      <c r="A749" s="17"/>
      <c r="B749" s="33"/>
      <c r="C749" s="34"/>
      <c r="D749" s="34"/>
      <c r="E749" s="34"/>
      <c r="F749" s="34"/>
      <c r="G749" s="34"/>
      <c r="H749" s="34"/>
      <c r="I749" s="34"/>
      <c r="J749" s="34"/>
      <c r="K749" s="35"/>
      <c r="L749" s="34"/>
      <c r="M749" s="34"/>
      <c r="N749" s="34"/>
      <c r="O749" s="34"/>
      <c r="P749" s="34"/>
      <c r="Q749" s="34"/>
      <c r="R749" s="34"/>
      <c r="S749" s="34"/>
      <c r="T749" s="34"/>
      <c r="U749" s="34"/>
      <c r="V749" s="34"/>
    </row>
    <row r="750" spans="1:22" x14ac:dyDescent="0.3">
      <c r="A750" s="17"/>
      <c r="B750" s="33"/>
      <c r="C750" s="34"/>
      <c r="D750" s="34"/>
      <c r="E750" s="34"/>
      <c r="F750" s="34"/>
      <c r="G750" s="34"/>
      <c r="H750" s="34"/>
      <c r="I750" s="34"/>
      <c r="J750" s="34"/>
      <c r="K750" s="35"/>
      <c r="L750" s="34"/>
      <c r="M750" s="34"/>
      <c r="N750" s="34"/>
      <c r="O750" s="34"/>
      <c r="P750" s="34"/>
      <c r="Q750" s="34"/>
      <c r="R750" s="34"/>
      <c r="S750" s="34"/>
      <c r="T750" s="34"/>
      <c r="U750" s="34"/>
      <c r="V750" s="34"/>
    </row>
    <row r="751" spans="1:22" x14ac:dyDescent="0.3">
      <c r="A751" s="17"/>
      <c r="B751" s="33"/>
      <c r="C751" s="34"/>
      <c r="D751" s="34"/>
      <c r="E751" s="34"/>
      <c r="F751" s="34"/>
      <c r="G751" s="34"/>
      <c r="H751" s="34"/>
      <c r="I751" s="34"/>
      <c r="J751" s="34"/>
      <c r="K751" s="35"/>
      <c r="L751" s="34"/>
      <c r="M751" s="34"/>
      <c r="N751" s="34"/>
      <c r="O751" s="34"/>
      <c r="P751" s="34"/>
      <c r="Q751" s="34"/>
      <c r="R751" s="34"/>
      <c r="S751" s="34"/>
      <c r="T751" s="34"/>
      <c r="U751" s="34"/>
      <c r="V751" s="34"/>
    </row>
    <row r="752" spans="1:22" x14ac:dyDescent="0.3">
      <c r="A752" s="17"/>
      <c r="B752" s="33"/>
      <c r="C752" s="34"/>
      <c r="D752" s="34"/>
      <c r="E752" s="34"/>
      <c r="F752" s="34"/>
      <c r="G752" s="34"/>
      <c r="H752" s="34"/>
      <c r="I752" s="34"/>
      <c r="J752" s="34"/>
      <c r="K752" s="35"/>
      <c r="L752" s="34"/>
      <c r="M752" s="34"/>
      <c r="N752" s="34"/>
      <c r="O752" s="34"/>
      <c r="P752" s="34"/>
      <c r="Q752" s="34"/>
      <c r="R752" s="34"/>
      <c r="S752" s="34"/>
      <c r="T752" s="34"/>
      <c r="U752" s="34"/>
      <c r="V752" s="34"/>
    </row>
    <row r="753" spans="1:22" x14ac:dyDescent="0.3">
      <c r="A753" s="17"/>
      <c r="B753" s="33"/>
      <c r="C753" s="34"/>
      <c r="D753" s="34"/>
      <c r="E753" s="34"/>
      <c r="F753" s="34"/>
      <c r="G753" s="34"/>
      <c r="H753" s="34"/>
      <c r="I753" s="34"/>
      <c r="J753" s="34"/>
      <c r="K753" s="35"/>
      <c r="L753" s="34"/>
      <c r="M753" s="34"/>
      <c r="N753" s="34"/>
      <c r="O753" s="34"/>
      <c r="P753" s="34"/>
      <c r="Q753" s="34"/>
      <c r="R753" s="34"/>
      <c r="S753" s="34"/>
      <c r="T753" s="34"/>
      <c r="U753" s="34"/>
      <c r="V753" s="34"/>
    </row>
    <row r="754" spans="1:22" x14ac:dyDescent="0.3">
      <c r="A754" s="17"/>
      <c r="B754" s="33"/>
      <c r="C754" s="34"/>
      <c r="D754" s="34"/>
      <c r="E754" s="34"/>
      <c r="F754" s="34"/>
      <c r="G754" s="34"/>
      <c r="H754" s="34"/>
      <c r="I754" s="34"/>
      <c r="J754" s="34"/>
      <c r="K754" s="35"/>
      <c r="L754" s="34"/>
      <c r="M754" s="34"/>
      <c r="N754" s="34"/>
      <c r="O754" s="34"/>
      <c r="P754" s="34"/>
      <c r="Q754" s="34"/>
      <c r="R754" s="34"/>
      <c r="S754" s="34"/>
      <c r="T754" s="34"/>
      <c r="U754" s="34"/>
      <c r="V754" s="34"/>
    </row>
    <row r="755" spans="1:22" x14ac:dyDescent="0.3">
      <c r="A755" s="17"/>
      <c r="B755" s="33"/>
      <c r="C755" s="34"/>
      <c r="D755" s="34"/>
      <c r="E755" s="34"/>
      <c r="F755" s="34"/>
      <c r="G755" s="34"/>
      <c r="H755" s="34"/>
      <c r="I755" s="34"/>
      <c r="J755" s="34"/>
      <c r="K755" s="35"/>
      <c r="L755" s="34"/>
      <c r="M755" s="34"/>
      <c r="N755" s="34"/>
      <c r="O755" s="34"/>
      <c r="P755" s="34"/>
      <c r="Q755" s="34"/>
      <c r="R755" s="34"/>
      <c r="S755" s="34"/>
      <c r="T755" s="34"/>
      <c r="U755" s="34"/>
      <c r="V755" s="34"/>
    </row>
    <row r="756" spans="1:22" x14ac:dyDescent="0.3">
      <c r="A756" s="17"/>
      <c r="B756" s="33"/>
      <c r="C756" s="34"/>
      <c r="D756" s="34"/>
      <c r="E756" s="34"/>
      <c r="F756" s="34"/>
      <c r="G756" s="34"/>
      <c r="H756" s="34"/>
      <c r="I756" s="34"/>
      <c r="J756" s="34"/>
      <c r="K756" s="35"/>
      <c r="L756" s="34"/>
      <c r="M756" s="34"/>
      <c r="N756" s="34"/>
      <c r="O756" s="34"/>
      <c r="P756" s="34"/>
      <c r="Q756" s="34"/>
      <c r="R756" s="34"/>
      <c r="S756" s="34"/>
      <c r="T756" s="34"/>
      <c r="U756" s="34"/>
      <c r="V756" s="34"/>
    </row>
    <row r="757" spans="1:22" x14ac:dyDescent="0.3">
      <c r="A757" s="17"/>
      <c r="B757" s="33"/>
      <c r="C757" s="34"/>
      <c r="D757" s="34"/>
      <c r="E757" s="34"/>
      <c r="F757" s="34"/>
      <c r="G757" s="34"/>
      <c r="H757" s="34"/>
      <c r="I757" s="34"/>
      <c r="J757" s="34"/>
      <c r="K757" s="35"/>
      <c r="L757" s="34"/>
      <c r="M757" s="34"/>
      <c r="N757" s="34"/>
      <c r="O757" s="34"/>
      <c r="P757" s="34"/>
      <c r="Q757" s="34"/>
      <c r="R757" s="34"/>
      <c r="S757" s="34"/>
      <c r="T757" s="34"/>
      <c r="U757" s="34"/>
      <c r="V757" s="34"/>
    </row>
    <row r="758" spans="1:22" x14ac:dyDescent="0.3">
      <c r="A758" s="17"/>
      <c r="B758" s="33"/>
      <c r="C758" s="34"/>
      <c r="D758" s="34"/>
      <c r="E758" s="34"/>
      <c r="F758" s="34"/>
      <c r="G758" s="34"/>
      <c r="H758" s="34"/>
      <c r="I758" s="34"/>
      <c r="J758" s="34"/>
      <c r="K758" s="35"/>
      <c r="L758" s="34"/>
      <c r="M758" s="34"/>
      <c r="N758" s="34"/>
      <c r="O758" s="34"/>
      <c r="P758" s="34"/>
      <c r="Q758" s="34"/>
      <c r="R758" s="34"/>
      <c r="S758" s="34"/>
      <c r="T758" s="34"/>
      <c r="U758" s="34"/>
      <c r="V758" s="34"/>
    </row>
    <row r="759" spans="1:22" x14ac:dyDescent="0.3">
      <c r="A759" s="17"/>
      <c r="B759" s="33"/>
      <c r="C759" s="34"/>
      <c r="D759" s="34"/>
      <c r="E759" s="34"/>
      <c r="F759" s="34"/>
      <c r="G759" s="34"/>
      <c r="H759" s="34"/>
      <c r="I759" s="34"/>
      <c r="J759" s="34"/>
      <c r="K759" s="35"/>
      <c r="L759" s="34"/>
      <c r="M759" s="34"/>
      <c r="N759" s="34"/>
      <c r="O759" s="34"/>
      <c r="P759" s="34"/>
      <c r="Q759" s="34"/>
      <c r="R759" s="34"/>
      <c r="S759" s="34"/>
      <c r="T759" s="34"/>
      <c r="U759" s="34"/>
      <c r="V759" s="34"/>
    </row>
    <row r="760" spans="1:22" x14ac:dyDescent="0.3">
      <c r="A760" s="17"/>
      <c r="B760" s="33"/>
      <c r="C760" s="34"/>
      <c r="D760" s="34"/>
      <c r="E760" s="34"/>
      <c r="F760" s="34"/>
      <c r="G760" s="34"/>
      <c r="H760" s="34"/>
      <c r="I760" s="34"/>
      <c r="J760" s="34"/>
      <c r="K760" s="35"/>
      <c r="L760" s="34"/>
      <c r="M760" s="34"/>
      <c r="N760" s="34"/>
      <c r="O760" s="34"/>
      <c r="P760" s="34"/>
      <c r="Q760" s="34"/>
      <c r="R760" s="34"/>
      <c r="S760" s="34"/>
      <c r="T760" s="34"/>
      <c r="U760" s="34"/>
      <c r="V760" s="34"/>
    </row>
    <row r="761" spans="1:22" x14ac:dyDescent="0.3">
      <c r="A761" s="17"/>
      <c r="B761" s="33"/>
      <c r="C761" s="34"/>
      <c r="D761" s="34"/>
      <c r="E761" s="34"/>
      <c r="F761" s="34"/>
      <c r="G761" s="34"/>
      <c r="H761" s="34"/>
      <c r="I761" s="34"/>
      <c r="J761" s="34"/>
      <c r="K761" s="35"/>
      <c r="L761" s="34"/>
      <c r="M761" s="34"/>
      <c r="N761" s="34"/>
      <c r="O761" s="34"/>
      <c r="P761" s="34"/>
      <c r="Q761" s="34"/>
      <c r="R761" s="34"/>
      <c r="S761" s="34"/>
      <c r="T761" s="34"/>
      <c r="U761" s="34"/>
      <c r="V761" s="34"/>
    </row>
    <row r="762" spans="1:22" x14ac:dyDescent="0.3">
      <c r="A762" s="17"/>
      <c r="B762" s="33"/>
      <c r="C762" s="34"/>
      <c r="D762" s="34"/>
      <c r="E762" s="34"/>
      <c r="F762" s="34"/>
      <c r="G762" s="34"/>
      <c r="H762" s="34"/>
      <c r="I762" s="34"/>
      <c r="J762" s="34"/>
      <c r="K762" s="35"/>
      <c r="L762" s="34"/>
      <c r="M762" s="34"/>
      <c r="N762" s="34"/>
      <c r="O762" s="34"/>
      <c r="P762" s="34"/>
      <c r="Q762" s="34"/>
      <c r="R762" s="34"/>
      <c r="S762" s="34"/>
      <c r="T762" s="34"/>
      <c r="U762" s="34"/>
      <c r="V762" s="34"/>
    </row>
    <row r="763" spans="1:22" x14ac:dyDescent="0.3">
      <c r="A763" s="17"/>
      <c r="B763" s="33"/>
      <c r="C763" s="34"/>
      <c r="D763" s="34"/>
      <c r="E763" s="34"/>
      <c r="F763" s="34"/>
      <c r="G763" s="34"/>
      <c r="H763" s="34"/>
      <c r="I763" s="34"/>
      <c r="J763" s="34"/>
      <c r="K763" s="35"/>
      <c r="L763" s="34"/>
      <c r="M763" s="34"/>
      <c r="N763" s="34"/>
      <c r="O763" s="34"/>
      <c r="P763" s="34"/>
      <c r="Q763" s="34"/>
      <c r="R763" s="34"/>
      <c r="S763" s="34"/>
      <c r="T763" s="34"/>
      <c r="U763" s="34"/>
      <c r="V763" s="34"/>
    </row>
    <row r="764" spans="1:22" x14ac:dyDescent="0.3">
      <c r="A764" s="17"/>
      <c r="B764" s="33"/>
      <c r="C764" s="34"/>
      <c r="D764" s="34"/>
      <c r="E764" s="34"/>
      <c r="F764" s="34"/>
      <c r="G764" s="34"/>
      <c r="H764" s="34"/>
      <c r="I764" s="34"/>
      <c r="J764" s="34"/>
      <c r="K764" s="35"/>
      <c r="L764" s="34"/>
      <c r="M764" s="34"/>
      <c r="N764" s="34"/>
      <c r="O764" s="34"/>
      <c r="P764" s="34"/>
      <c r="Q764" s="34"/>
      <c r="R764" s="34"/>
      <c r="S764" s="34"/>
      <c r="T764" s="34"/>
      <c r="U764" s="34"/>
      <c r="V764" s="34"/>
    </row>
    <row r="765" spans="1:22" x14ac:dyDescent="0.3">
      <c r="A765" s="17"/>
      <c r="B765" s="33"/>
      <c r="C765" s="34"/>
      <c r="D765" s="34"/>
      <c r="E765" s="34"/>
      <c r="F765" s="34"/>
      <c r="G765" s="34"/>
      <c r="H765" s="34"/>
      <c r="I765" s="34"/>
      <c r="J765" s="34"/>
      <c r="K765" s="35"/>
      <c r="L765" s="34"/>
      <c r="M765" s="34"/>
      <c r="N765" s="34"/>
      <c r="O765" s="34"/>
      <c r="P765" s="34"/>
      <c r="Q765" s="34"/>
      <c r="R765" s="34"/>
      <c r="S765" s="34"/>
      <c r="T765" s="34"/>
      <c r="U765" s="34"/>
      <c r="V765" s="34"/>
    </row>
    <row r="766" spans="1:22" x14ac:dyDescent="0.3">
      <c r="A766" s="17"/>
      <c r="B766" s="33"/>
      <c r="C766" s="34"/>
      <c r="D766" s="34"/>
      <c r="E766" s="34"/>
      <c r="F766" s="34"/>
      <c r="G766" s="34"/>
      <c r="H766" s="34"/>
      <c r="I766" s="34"/>
      <c r="J766" s="34"/>
      <c r="K766" s="35"/>
      <c r="L766" s="34"/>
      <c r="M766" s="34"/>
      <c r="N766" s="34"/>
      <c r="O766" s="34"/>
      <c r="P766" s="34"/>
      <c r="Q766" s="34"/>
      <c r="R766" s="34"/>
      <c r="S766" s="34"/>
      <c r="T766" s="34"/>
      <c r="U766" s="34"/>
      <c r="V766" s="34"/>
    </row>
    <row r="767" spans="1:22" x14ac:dyDescent="0.3">
      <c r="A767" s="17"/>
      <c r="B767" s="33"/>
      <c r="C767" s="34"/>
      <c r="D767" s="34"/>
      <c r="E767" s="34"/>
      <c r="F767" s="34"/>
      <c r="G767" s="34"/>
      <c r="H767" s="34"/>
      <c r="I767" s="34"/>
      <c r="J767" s="34"/>
      <c r="K767" s="35"/>
      <c r="L767" s="34"/>
      <c r="M767" s="34"/>
      <c r="N767" s="34"/>
      <c r="O767" s="34"/>
      <c r="P767" s="34"/>
      <c r="Q767" s="34"/>
      <c r="R767" s="34"/>
      <c r="S767" s="34"/>
      <c r="T767" s="34"/>
      <c r="U767" s="34"/>
      <c r="V767" s="34"/>
    </row>
    <row r="768" spans="1:22" x14ac:dyDescent="0.3">
      <c r="A768" s="17"/>
      <c r="B768" s="33"/>
      <c r="C768" s="34"/>
      <c r="D768" s="34"/>
      <c r="E768" s="34"/>
      <c r="F768" s="34"/>
      <c r="G768" s="34"/>
      <c r="H768" s="34"/>
      <c r="I768" s="34"/>
      <c r="J768" s="34"/>
      <c r="K768" s="35"/>
      <c r="L768" s="34"/>
      <c r="M768" s="34"/>
      <c r="N768" s="34"/>
      <c r="O768" s="34"/>
      <c r="P768" s="34"/>
      <c r="Q768" s="34"/>
      <c r="R768" s="34"/>
      <c r="S768" s="34"/>
      <c r="T768" s="34"/>
      <c r="U768" s="34"/>
      <c r="V768" s="34"/>
    </row>
    <row r="769" spans="1:22" x14ac:dyDescent="0.3">
      <c r="A769" s="17"/>
      <c r="B769" s="33"/>
      <c r="C769" s="34"/>
      <c r="D769" s="34"/>
      <c r="E769" s="34"/>
      <c r="F769" s="34"/>
      <c r="G769" s="34"/>
      <c r="H769" s="34"/>
      <c r="I769" s="34"/>
      <c r="J769" s="34"/>
      <c r="K769" s="35"/>
      <c r="L769" s="34"/>
      <c r="M769" s="34"/>
      <c r="N769" s="34"/>
      <c r="O769" s="34"/>
      <c r="P769" s="34"/>
      <c r="Q769" s="34"/>
      <c r="R769" s="34"/>
      <c r="S769" s="34"/>
      <c r="T769" s="34"/>
      <c r="U769" s="34"/>
      <c r="V769" s="34"/>
    </row>
    <row r="770" spans="1:22" x14ac:dyDescent="0.3">
      <c r="A770" s="17"/>
      <c r="B770" s="33"/>
      <c r="C770" s="34"/>
      <c r="D770" s="34"/>
      <c r="E770" s="34"/>
      <c r="F770" s="34"/>
      <c r="G770" s="34"/>
      <c r="H770" s="34"/>
      <c r="I770" s="34"/>
      <c r="J770" s="34"/>
      <c r="K770" s="35"/>
      <c r="L770" s="34"/>
      <c r="M770" s="34"/>
      <c r="N770" s="34"/>
      <c r="O770" s="34"/>
      <c r="P770" s="34"/>
      <c r="Q770" s="34"/>
      <c r="R770" s="34"/>
      <c r="S770" s="34"/>
      <c r="T770" s="34"/>
      <c r="U770" s="34"/>
      <c r="V770" s="34"/>
    </row>
    <row r="771" spans="1:22" x14ac:dyDescent="0.3">
      <c r="A771" s="17"/>
      <c r="B771" s="33"/>
      <c r="C771" s="34"/>
      <c r="D771" s="34"/>
      <c r="E771" s="34"/>
      <c r="F771" s="34"/>
      <c r="G771" s="34"/>
      <c r="H771" s="34"/>
      <c r="I771" s="34"/>
      <c r="J771" s="34"/>
      <c r="K771" s="35"/>
      <c r="L771" s="34"/>
      <c r="M771" s="34"/>
      <c r="N771" s="34"/>
      <c r="O771" s="34"/>
      <c r="P771" s="34"/>
      <c r="Q771" s="34"/>
      <c r="R771" s="34"/>
      <c r="S771" s="34"/>
      <c r="T771" s="34"/>
      <c r="U771" s="34"/>
      <c r="V771" s="34"/>
    </row>
    <row r="772" spans="1:22" x14ac:dyDescent="0.3">
      <c r="A772" s="17"/>
      <c r="B772" s="33"/>
      <c r="C772" s="34"/>
      <c r="D772" s="34"/>
      <c r="E772" s="34"/>
      <c r="F772" s="34"/>
      <c r="G772" s="34"/>
      <c r="H772" s="34"/>
      <c r="I772" s="34"/>
      <c r="J772" s="34"/>
      <c r="K772" s="35"/>
      <c r="L772" s="34"/>
      <c r="M772" s="34"/>
      <c r="N772" s="34"/>
      <c r="O772" s="34"/>
      <c r="P772" s="34"/>
      <c r="Q772" s="34"/>
      <c r="R772" s="34"/>
      <c r="S772" s="34"/>
      <c r="T772" s="34"/>
      <c r="U772" s="34"/>
      <c r="V772" s="34"/>
    </row>
    <row r="773" spans="1:22" x14ac:dyDescent="0.3">
      <c r="A773" s="17"/>
      <c r="B773" s="33"/>
      <c r="C773" s="34"/>
      <c r="D773" s="34"/>
      <c r="E773" s="34"/>
      <c r="F773" s="34"/>
      <c r="G773" s="34"/>
      <c r="H773" s="34"/>
      <c r="I773" s="34"/>
      <c r="J773" s="34"/>
      <c r="K773" s="35"/>
      <c r="L773" s="34"/>
      <c r="M773" s="34"/>
      <c r="N773" s="34"/>
      <c r="O773" s="34"/>
      <c r="P773" s="34"/>
      <c r="Q773" s="34"/>
      <c r="R773" s="34"/>
      <c r="S773" s="34"/>
      <c r="T773" s="34"/>
      <c r="U773" s="34"/>
      <c r="V773" s="34"/>
    </row>
    <row r="774" spans="1:22" x14ac:dyDescent="0.3">
      <c r="A774" s="17"/>
      <c r="B774" s="33"/>
      <c r="C774" s="34"/>
      <c r="D774" s="34"/>
      <c r="E774" s="34"/>
      <c r="F774" s="34"/>
      <c r="G774" s="34"/>
      <c r="H774" s="34"/>
      <c r="I774" s="34"/>
      <c r="J774" s="34"/>
      <c r="K774" s="35"/>
      <c r="L774" s="34"/>
      <c r="M774" s="34"/>
      <c r="N774" s="34"/>
      <c r="O774" s="34"/>
      <c r="P774" s="34"/>
      <c r="Q774" s="34"/>
      <c r="R774" s="34"/>
      <c r="S774" s="34"/>
      <c r="T774" s="34"/>
      <c r="U774" s="34"/>
      <c r="V774" s="34"/>
    </row>
    <row r="775" spans="1:22" x14ac:dyDescent="0.3">
      <c r="A775" s="17"/>
      <c r="B775" s="33"/>
      <c r="C775" s="34"/>
      <c r="D775" s="34"/>
      <c r="E775" s="34"/>
      <c r="F775" s="34"/>
      <c r="G775" s="34"/>
      <c r="H775" s="34"/>
      <c r="I775" s="34"/>
      <c r="J775" s="34"/>
      <c r="K775" s="35"/>
      <c r="L775" s="34"/>
      <c r="M775" s="34"/>
      <c r="N775" s="34"/>
      <c r="O775" s="34"/>
      <c r="P775" s="34"/>
      <c r="Q775" s="34"/>
      <c r="R775" s="34"/>
      <c r="S775" s="34"/>
      <c r="T775" s="34"/>
      <c r="U775" s="34"/>
      <c r="V775" s="34"/>
    </row>
    <row r="776" spans="1:22" x14ac:dyDescent="0.3">
      <c r="A776" s="17"/>
      <c r="B776" s="33"/>
      <c r="C776" s="34"/>
      <c r="D776" s="34"/>
      <c r="E776" s="34"/>
      <c r="F776" s="34"/>
      <c r="G776" s="34"/>
      <c r="H776" s="34"/>
      <c r="I776" s="34"/>
      <c r="J776" s="34"/>
      <c r="K776" s="35"/>
      <c r="L776" s="34"/>
      <c r="M776" s="34"/>
      <c r="N776" s="34"/>
      <c r="O776" s="34"/>
      <c r="P776" s="34"/>
      <c r="Q776" s="34"/>
      <c r="R776" s="34"/>
      <c r="S776" s="34"/>
      <c r="T776" s="34"/>
      <c r="U776" s="34"/>
      <c r="V776" s="34"/>
    </row>
    <row r="777" spans="1:22" x14ac:dyDescent="0.3">
      <c r="A777" s="17"/>
      <c r="B777" s="33"/>
      <c r="C777" s="34"/>
      <c r="D777" s="34"/>
      <c r="E777" s="34"/>
      <c r="F777" s="34"/>
      <c r="G777" s="34"/>
      <c r="H777" s="34"/>
      <c r="I777" s="34"/>
      <c r="J777" s="34"/>
      <c r="K777" s="35"/>
      <c r="L777" s="34"/>
      <c r="M777" s="34"/>
      <c r="N777" s="34"/>
      <c r="O777" s="34"/>
      <c r="P777" s="34"/>
      <c r="Q777" s="34"/>
      <c r="R777" s="34"/>
      <c r="S777" s="34"/>
      <c r="T777" s="34"/>
      <c r="U777" s="34"/>
      <c r="V777" s="34"/>
    </row>
    <row r="778" spans="1:22" x14ac:dyDescent="0.3">
      <c r="A778" s="17"/>
      <c r="B778" s="33"/>
      <c r="C778" s="34"/>
      <c r="D778" s="34"/>
      <c r="E778" s="34"/>
      <c r="F778" s="34"/>
      <c r="G778" s="34"/>
      <c r="H778" s="34"/>
      <c r="I778" s="34"/>
      <c r="J778" s="34"/>
      <c r="K778" s="35"/>
      <c r="L778" s="34"/>
      <c r="M778" s="34"/>
      <c r="N778" s="34"/>
      <c r="O778" s="34"/>
      <c r="P778" s="34"/>
      <c r="Q778" s="34"/>
      <c r="R778" s="34"/>
      <c r="S778" s="34"/>
      <c r="T778" s="34"/>
      <c r="U778" s="34"/>
      <c r="V778" s="34"/>
    </row>
    <row r="779" spans="1:22" x14ac:dyDescent="0.3">
      <c r="A779" s="17"/>
      <c r="B779" s="33"/>
      <c r="C779" s="34"/>
      <c r="D779" s="34"/>
      <c r="E779" s="34"/>
      <c r="F779" s="34"/>
      <c r="G779" s="34"/>
      <c r="H779" s="34"/>
      <c r="I779" s="34"/>
      <c r="J779" s="34"/>
      <c r="K779" s="35"/>
      <c r="L779" s="34"/>
      <c r="M779" s="34"/>
      <c r="N779" s="34"/>
      <c r="O779" s="34"/>
      <c r="P779" s="34"/>
      <c r="Q779" s="34"/>
      <c r="R779" s="34"/>
      <c r="S779" s="34"/>
      <c r="T779" s="34"/>
      <c r="U779" s="34"/>
      <c r="V779" s="34"/>
    </row>
    <row r="780" spans="1:22" x14ac:dyDescent="0.3">
      <c r="A780" s="17"/>
      <c r="B780" s="33"/>
      <c r="C780" s="34"/>
      <c r="D780" s="34"/>
      <c r="E780" s="34"/>
      <c r="F780" s="34"/>
      <c r="G780" s="34"/>
      <c r="H780" s="34"/>
      <c r="I780" s="34"/>
      <c r="J780" s="34"/>
      <c r="K780" s="35"/>
      <c r="L780" s="34"/>
      <c r="M780" s="34"/>
      <c r="N780" s="34"/>
      <c r="O780" s="34"/>
      <c r="P780" s="34"/>
      <c r="Q780" s="34"/>
      <c r="R780" s="34"/>
      <c r="S780" s="34"/>
      <c r="T780" s="34"/>
      <c r="U780" s="34"/>
      <c r="V780" s="34"/>
    </row>
    <row r="781" spans="1:22" x14ac:dyDescent="0.3">
      <c r="A781" s="17"/>
      <c r="B781" s="33"/>
      <c r="C781" s="34"/>
      <c r="D781" s="34"/>
      <c r="E781" s="34"/>
      <c r="F781" s="34"/>
      <c r="G781" s="34"/>
      <c r="H781" s="34"/>
      <c r="I781" s="34"/>
      <c r="J781" s="34"/>
      <c r="K781" s="35"/>
      <c r="L781" s="34"/>
      <c r="M781" s="34"/>
      <c r="N781" s="34"/>
      <c r="O781" s="34"/>
      <c r="P781" s="34"/>
      <c r="Q781" s="34"/>
      <c r="R781" s="34"/>
      <c r="S781" s="34"/>
      <c r="T781" s="34"/>
      <c r="U781" s="34"/>
      <c r="V781" s="34"/>
    </row>
    <row r="782" spans="1:22" x14ac:dyDescent="0.3">
      <c r="A782" s="17"/>
      <c r="B782" s="33"/>
      <c r="C782" s="34"/>
      <c r="D782" s="34"/>
      <c r="E782" s="34"/>
      <c r="F782" s="34"/>
      <c r="G782" s="34"/>
      <c r="H782" s="34"/>
      <c r="I782" s="34"/>
      <c r="J782" s="34"/>
      <c r="K782" s="35"/>
      <c r="L782" s="34"/>
      <c r="M782" s="34"/>
      <c r="N782" s="34"/>
      <c r="O782" s="34"/>
      <c r="P782" s="34"/>
      <c r="Q782" s="34"/>
      <c r="R782" s="34"/>
      <c r="S782" s="34"/>
      <c r="T782" s="34"/>
      <c r="U782" s="34"/>
      <c r="V782" s="34"/>
    </row>
    <row r="783" spans="1:22" x14ac:dyDescent="0.3">
      <c r="A783" s="17"/>
      <c r="B783" s="33"/>
      <c r="C783" s="34"/>
      <c r="D783" s="34"/>
      <c r="E783" s="34"/>
      <c r="F783" s="34"/>
      <c r="G783" s="34"/>
      <c r="H783" s="34"/>
      <c r="I783" s="34"/>
      <c r="J783" s="34"/>
      <c r="K783" s="35"/>
      <c r="L783" s="34"/>
      <c r="M783" s="34"/>
      <c r="N783" s="34"/>
      <c r="O783" s="34"/>
      <c r="P783" s="34"/>
      <c r="Q783" s="34"/>
      <c r="R783" s="34"/>
      <c r="S783" s="34"/>
      <c r="T783" s="34"/>
      <c r="U783" s="34"/>
      <c r="V783" s="34"/>
    </row>
    <row r="784" spans="1:22" x14ac:dyDescent="0.3">
      <c r="A784" s="17"/>
      <c r="B784" s="33"/>
      <c r="C784" s="34"/>
      <c r="D784" s="34"/>
      <c r="E784" s="34"/>
      <c r="F784" s="34"/>
      <c r="G784" s="34"/>
      <c r="H784" s="34"/>
      <c r="I784" s="34"/>
      <c r="J784" s="34"/>
      <c r="K784" s="35"/>
      <c r="L784" s="34"/>
      <c r="M784" s="34"/>
      <c r="N784" s="34"/>
      <c r="O784" s="34"/>
      <c r="P784" s="34"/>
      <c r="Q784" s="34"/>
      <c r="R784" s="34"/>
      <c r="S784" s="34"/>
      <c r="T784" s="34"/>
      <c r="U784" s="34"/>
      <c r="V784" s="34"/>
    </row>
    <row r="785" spans="1:22" x14ac:dyDescent="0.3">
      <c r="A785" s="17"/>
      <c r="B785" s="33"/>
      <c r="C785" s="34"/>
      <c r="D785" s="34"/>
      <c r="E785" s="34"/>
      <c r="F785" s="34"/>
      <c r="G785" s="34"/>
      <c r="H785" s="34"/>
      <c r="I785" s="34"/>
      <c r="J785" s="34"/>
      <c r="K785" s="35"/>
      <c r="L785" s="34"/>
      <c r="M785" s="34"/>
      <c r="N785" s="34"/>
      <c r="O785" s="34"/>
      <c r="P785" s="34"/>
      <c r="Q785" s="34"/>
      <c r="R785" s="34"/>
      <c r="S785" s="34"/>
      <c r="T785" s="34"/>
      <c r="U785" s="34"/>
      <c r="V785" s="34"/>
    </row>
    <row r="786" spans="1:22" x14ac:dyDescent="0.3">
      <c r="A786" s="17"/>
      <c r="B786" s="33"/>
      <c r="C786" s="34"/>
      <c r="D786" s="34"/>
      <c r="E786" s="34"/>
      <c r="F786" s="34"/>
      <c r="G786" s="34"/>
      <c r="H786" s="34"/>
      <c r="I786" s="34"/>
      <c r="J786" s="34"/>
      <c r="K786" s="35"/>
      <c r="L786" s="34"/>
      <c r="M786" s="34"/>
      <c r="N786" s="34"/>
      <c r="O786" s="34"/>
      <c r="P786" s="34"/>
      <c r="Q786" s="34"/>
      <c r="R786" s="34"/>
      <c r="S786" s="34"/>
      <c r="T786" s="34"/>
      <c r="U786" s="34"/>
      <c r="V786" s="34"/>
    </row>
    <row r="787" spans="1:22" x14ac:dyDescent="0.3">
      <c r="A787" s="17"/>
      <c r="B787" s="33"/>
      <c r="C787" s="34"/>
      <c r="D787" s="34"/>
      <c r="E787" s="34"/>
      <c r="F787" s="34"/>
      <c r="G787" s="34"/>
      <c r="H787" s="34"/>
      <c r="I787" s="34"/>
      <c r="J787" s="34"/>
      <c r="K787" s="35"/>
      <c r="L787" s="34"/>
      <c r="M787" s="34"/>
      <c r="N787" s="34"/>
      <c r="O787" s="34"/>
      <c r="P787" s="34"/>
      <c r="Q787" s="34"/>
      <c r="R787" s="34"/>
      <c r="S787" s="34"/>
      <c r="T787" s="34"/>
      <c r="U787" s="34"/>
      <c r="V787" s="34"/>
    </row>
    <row r="788" spans="1:22" x14ac:dyDescent="0.3">
      <c r="A788" s="17"/>
      <c r="B788" s="33"/>
      <c r="C788" s="34"/>
      <c r="D788" s="34"/>
      <c r="E788" s="34"/>
      <c r="F788" s="34"/>
      <c r="G788" s="34"/>
      <c r="H788" s="34"/>
      <c r="I788" s="34"/>
      <c r="J788" s="34"/>
      <c r="K788" s="35"/>
      <c r="L788" s="34"/>
      <c r="M788" s="34"/>
      <c r="N788" s="34"/>
      <c r="O788" s="34"/>
      <c r="P788" s="34"/>
      <c r="Q788" s="34"/>
      <c r="R788" s="34"/>
      <c r="S788" s="34"/>
      <c r="T788" s="34"/>
      <c r="U788" s="34"/>
      <c r="V788" s="34"/>
    </row>
    <row r="789" spans="1:22" x14ac:dyDescent="0.3">
      <c r="A789" s="17"/>
      <c r="B789" s="33"/>
      <c r="C789" s="34"/>
      <c r="D789" s="34"/>
      <c r="E789" s="34"/>
      <c r="F789" s="34"/>
      <c r="G789" s="34"/>
      <c r="H789" s="34"/>
      <c r="I789" s="34"/>
      <c r="J789" s="34"/>
      <c r="K789" s="35"/>
      <c r="L789" s="34"/>
      <c r="M789" s="34"/>
      <c r="N789" s="34"/>
      <c r="O789" s="34"/>
      <c r="P789" s="34"/>
      <c r="Q789" s="34"/>
      <c r="R789" s="34"/>
      <c r="S789" s="34"/>
      <c r="T789" s="34"/>
      <c r="U789" s="34"/>
      <c r="V789" s="34"/>
    </row>
    <row r="790" spans="1:22" x14ac:dyDescent="0.3">
      <c r="A790" s="17"/>
      <c r="B790" s="33"/>
      <c r="C790" s="34"/>
      <c r="D790" s="34"/>
      <c r="E790" s="34"/>
      <c r="F790" s="34"/>
      <c r="G790" s="34"/>
      <c r="H790" s="34"/>
      <c r="I790" s="34"/>
      <c r="J790" s="34"/>
      <c r="K790" s="35"/>
      <c r="L790" s="34"/>
      <c r="M790" s="34"/>
      <c r="N790" s="34"/>
      <c r="O790" s="34"/>
      <c r="P790" s="34"/>
      <c r="Q790" s="34"/>
      <c r="R790" s="34"/>
      <c r="S790" s="34"/>
      <c r="T790" s="34"/>
      <c r="U790" s="34"/>
      <c r="V790" s="34"/>
    </row>
    <row r="791" spans="1:22" x14ac:dyDescent="0.3">
      <c r="A791" s="17"/>
      <c r="B791" s="33"/>
      <c r="C791" s="34"/>
      <c r="D791" s="34"/>
      <c r="E791" s="34"/>
      <c r="F791" s="34"/>
      <c r="G791" s="34"/>
      <c r="H791" s="34"/>
      <c r="I791" s="34"/>
      <c r="J791" s="34"/>
      <c r="K791" s="35"/>
      <c r="L791" s="34"/>
      <c r="M791" s="34"/>
      <c r="N791" s="34"/>
      <c r="O791" s="34"/>
      <c r="P791" s="34"/>
      <c r="Q791" s="34"/>
      <c r="R791" s="34"/>
      <c r="S791" s="34"/>
      <c r="T791" s="34"/>
      <c r="U791" s="34"/>
      <c r="V791" s="34"/>
    </row>
    <row r="792" spans="1:22" x14ac:dyDescent="0.3">
      <c r="A792" s="17"/>
      <c r="B792" s="33"/>
      <c r="C792" s="34"/>
      <c r="D792" s="34"/>
      <c r="E792" s="34"/>
      <c r="F792" s="34"/>
      <c r="G792" s="34"/>
      <c r="H792" s="34"/>
      <c r="I792" s="34"/>
      <c r="J792" s="34"/>
      <c r="K792" s="35"/>
      <c r="L792" s="34"/>
      <c r="M792" s="34"/>
      <c r="N792" s="34"/>
      <c r="O792" s="34"/>
      <c r="P792" s="34"/>
      <c r="Q792" s="34"/>
      <c r="R792" s="34"/>
      <c r="S792" s="34"/>
      <c r="T792" s="34"/>
      <c r="U792" s="34"/>
      <c r="V792" s="34"/>
    </row>
    <row r="793" spans="1:22" x14ac:dyDescent="0.3">
      <c r="A793" s="17"/>
      <c r="B793" s="33"/>
      <c r="C793" s="34"/>
      <c r="D793" s="34"/>
      <c r="E793" s="34"/>
      <c r="F793" s="34"/>
      <c r="G793" s="34"/>
      <c r="H793" s="34"/>
      <c r="I793" s="34"/>
      <c r="J793" s="34"/>
      <c r="K793" s="35"/>
      <c r="L793" s="34"/>
      <c r="M793" s="34"/>
      <c r="N793" s="34"/>
      <c r="O793" s="34"/>
      <c r="P793" s="34"/>
      <c r="Q793" s="34"/>
      <c r="R793" s="34"/>
      <c r="S793" s="34"/>
      <c r="T793" s="34"/>
      <c r="U793" s="34"/>
      <c r="V793" s="34"/>
    </row>
    <row r="794" spans="1:22" x14ac:dyDescent="0.3">
      <c r="A794" s="17"/>
      <c r="B794" s="33"/>
      <c r="C794" s="34"/>
      <c r="D794" s="34"/>
      <c r="E794" s="34"/>
      <c r="F794" s="34"/>
      <c r="G794" s="34"/>
      <c r="H794" s="34"/>
      <c r="I794" s="34"/>
      <c r="J794" s="34"/>
      <c r="K794" s="35"/>
      <c r="L794" s="34"/>
      <c r="M794" s="34"/>
      <c r="N794" s="34"/>
      <c r="O794" s="34"/>
      <c r="P794" s="34"/>
      <c r="Q794" s="34"/>
      <c r="R794" s="34"/>
      <c r="S794" s="34"/>
      <c r="T794" s="34"/>
      <c r="U794" s="34"/>
      <c r="V794" s="34"/>
    </row>
    <row r="795" spans="1:22" x14ac:dyDescent="0.3">
      <c r="A795" s="17"/>
      <c r="B795" s="33"/>
      <c r="C795" s="34"/>
      <c r="D795" s="34"/>
      <c r="E795" s="34"/>
      <c r="F795" s="34"/>
      <c r="G795" s="34"/>
      <c r="H795" s="34"/>
      <c r="I795" s="34"/>
      <c r="J795" s="34"/>
      <c r="K795" s="35"/>
      <c r="L795" s="34"/>
      <c r="M795" s="34"/>
      <c r="N795" s="34"/>
      <c r="O795" s="34"/>
      <c r="P795" s="34"/>
      <c r="Q795" s="34"/>
      <c r="R795" s="34"/>
      <c r="S795" s="34"/>
      <c r="T795" s="34"/>
      <c r="U795" s="34"/>
      <c r="V795" s="34"/>
    </row>
    <row r="796" spans="1:22" x14ac:dyDescent="0.3">
      <c r="A796" s="17"/>
      <c r="B796" s="33"/>
      <c r="C796" s="34"/>
      <c r="D796" s="34"/>
      <c r="E796" s="34"/>
      <c r="F796" s="34"/>
      <c r="G796" s="34"/>
      <c r="H796" s="34"/>
      <c r="I796" s="34"/>
      <c r="J796" s="34"/>
      <c r="K796" s="35"/>
      <c r="L796" s="34"/>
      <c r="M796" s="34"/>
      <c r="N796" s="34"/>
      <c r="O796" s="34"/>
      <c r="P796" s="34"/>
      <c r="Q796" s="34"/>
      <c r="R796" s="34"/>
      <c r="S796" s="34"/>
      <c r="T796" s="34"/>
      <c r="U796" s="34"/>
      <c r="V796" s="34"/>
    </row>
    <row r="797" spans="1:22" x14ac:dyDescent="0.3">
      <c r="A797" s="17"/>
      <c r="B797" s="33"/>
      <c r="C797" s="34"/>
      <c r="D797" s="34"/>
      <c r="E797" s="34"/>
      <c r="F797" s="34"/>
      <c r="G797" s="34"/>
      <c r="H797" s="34"/>
      <c r="I797" s="34"/>
      <c r="J797" s="34"/>
      <c r="K797" s="35"/>
      <c r="L797" s="34"/>
      <c r="M797" s="34"/>
      <c r="N797" s="34"/>
      <c r="O797" s="34"/>
      <c r="P797" s="34"/>
      <c r="Q797" s="34"/>
      <c r="R797" s="34"/>
      <c r="S797" s="34"/>
      <c r="T797" s="34"/>
      <c r="U797" s="34"/>
      <c r="V797" s="34"/>
    </row>
    <row r="798" spans="1:22" x14ac:dyDescent="0.3">
      <c r="A798" s="17"/>
      <c r="B798" s="33"/>
      <c r="C798" s="34"/>
      <c r="D798" s="34"/>
      <c r="E798" s="34"/>
      <c r="F798" s="34"/>
      <c r="G798" s="34"/>
      <c r="H798" s="34"/>
      <c r="I798" s="34"/>
      <c r="J798" s="34"/>
      <c r="K798" s="35"/>
      <c r="L798" s="34"/>
      <c r="M798" s="34"/>
      <c r="N798" s="34"/>
      <c r="O798" s="34"/>
      <c r="P798" s="34"/>
      <c r="Q798" s="34"/>
      <c r="R798" s="34"/>
      <c r="S798" s="34"/>
      <c r="T798" s="34"/>
      <c r="U798" s="34"/>
      <c r="V798" s="34"/>
    </row>
    <row r="799" spans="1:22" x14ac:dyDescent="0.3">
      <c r="A799" s="17"/>
      <c r="B799" s="33"/>
      <c r="C799" s="34"/>
      <c r="D799" s="34"/>
      <c r="E799" s="34"/>
      <c r="F799" s="34"/>
      <c r="G799" s="34"/>
      <c r="H799" s="34"/>
      <c r="I799" s="34"/>
      <c r="J799" s="34"/>
      <c r="K799" s="35"/>
      <c r="L799" s="34"/>
      <c r="M799" s="34"/>
      <c r="N799" s="34"/>
      <c r="O799" s="34"/>
      <c r="P799" s="34"/>
      <c r="Q799" s="34"/>
      <c r="R799" s="34"/>
      <c r="S799" s="34"/>
      <c r="T799" s="34"/>
      <c r="U799" s="34"/>
      <c r="V799" s="34"/>
    </row>
    <row r="800" spans="1:22" x14ac:dyDescent="0.3">
      <c r="A800" s="17"/>
      <c r="B800" s="33"/>
      <c r="C800" s="34"/>
      <c r="D800" s="34"/>
      <c r="E800" s="34"/>
      <c r="F800" s="34"/>
      <c r="G800" s="34"/>
      <c r="H800" s="34"/>
      <c r="I800" s="34"/>
      <c r="J800" s="34"/>
      <c r="K800" s="35"/>
      <c r="L800" s="34"/>
      <c r="M800" s="34"/>
      <c r="N800" s="34"/>
      <c r="O800" s="34"/>
      <c r="P800" s="34"/>
      <c r="Q800" s="34"/>
      <c r="R800" s="34"/>
      <c r="S800" s="34"/>
      <c r="T800" s="34"/>
      <c r="U800" s="34"/>
      <c r="V800" s="34"/>
    </row>
    <row r="801" spans="1:11" x14ac:dyDescent="0.3">
      <c r="A801" s="17"/>
      <c r="K801" s="40"/>
    </row>
    <row r="802" spans="1:11" x14ac:dyDescent="0.3">
      <c r="A802" s="17"/>
      <c r="K802" s="40"/>
    </row>
    <row r="803" spans="1:11" x14ac:dyDescent="0.3">
      <c r="A803" s="17"/>
      <c r="B803" s="17"/>
      <c r="K803" s="40"/>
    </row>
    <row r="804" spans="1:11" x14ac:dyDescent="0.3">
      <c r="A804" s="17"/>
      <c r="B804" s="17"/>
      <c r="K804" s="40"/>
    </row>
    <row r="805" spans="1:11" x14ac:dyDescent="0.3">
      <c r="A805" s="17"/>
      <c r="B805" s="17"/>
      <c r="K805" s="40"/>
    </row>
    <row r="806" spans="1:11" x14ac:dyDescent="0.3">
      <c r="A806" s="17"/>
      <c r="B806" s="17"/>
      <c r="K806" s="40"/>
    </row>
    <row r="807" spans="1:11" x14ac:dyDescent="0.3">
      <c r="A807" s="17"/>
      <c r="B807" s="17"/>
      <c r="K807" s="40"/>
    </row>
    <row r="808" spans="1:11" x14ac:dyDescent="0.3">
      <c r="A808" s="17"/>
      <c r="B808" s="17"/>
      <c r="K808" s="40"/>
    </row>
    <row r="809" spans="1:11" x14ac:dyDescent="0.3">
      <c r="A809" s="17"/>
      <c r="B809" s="17"/>
      <c r="K809" s="40"/>
    </row>
    <row r="810" spans="1:11" x14ac:dyDescent="0.3">
      <c r="A810" s="17"/>
      <c r="B810" s="17"/>
      <c r="K810" s="40"/>
    </row>
    <row r="811" spans="1:11" x14ac:dyDescent="0.3">
      <c r="A811" s="17"/>
      <c r="B811" s="17"/>
      <c r="K811" s="40"/>
    </row>
    <row r="812" spans="1:11" x14ac:dyDescent="0.3">
      <c r="A812" s="17"/>
      <c r="B812" s="17"/>
      <c r="K812" s="40"/>
    </row>
    <row r="813" spans="1:11" x14ac:dyDescent="0.3">
      <c r="A813" s="17"/>
      <c r="B813" s="17"/>
      <c r="K813" s="40"/>
    </row>
    <row r="814" spans="1:11" x14ac:dyDescent="0.3">
      <c r="A814" s="17"/>
      <c r="B814" s="17"/>
      <c r="K814" s="40"/>
    </row>
    <row r="815" spans="1:11" x14ac:dyDescent="0.3">
      <c r="A815" s="17"/>
      <c r="B815" s="17"/>
      <c r="K815" s="40"/>
    </row>
    <row r="816" spans="1:11" x14ac:dyDescent="0.3">
      <c r="A816" s="17"/>
      <c r="B816" s="17"/>
      <c r="K816" s="40"/>
    </row>
    <row r="817" spans="1:11" x14ac:dyDescent="0.3">
      <c r="A817" s="17"/>
      <c r="B817" s="17"/>
      <c r="K817" s="40"/>
    </row>
    <row r="818" spans="1:11" x14ac:dyDescent="0.3">
      <c r="A818" s="17"/>
      <c r="B818" s="17"/>
      <c r="K818" s="40"/>
    </row>
    <row r="819" spans="1:11" x14ac:dyDescent="0.3">
      <c r="A819" s="17"/>
      <c r="B819" s="17"/>
      <c r="K819" s="40"/>
    </row>
    <row r="820" spans="1:11" x14ac:dyDescent="0.3">
      <c r="A820" s="17"/>
      <c r="B820" s="17"/>
      <c r="K820" s="40"/>
    </row>
    <row r="821" spans="1:11" x14ac:dyDescent="0.3">
      <c r="A821" s="17"/>
      <c r="B821" s="17"/>
      <c r="K821" s="40"/>
    </row>
    <row r="822" spans="1:11" x14ac:dyDescent="0.3">
      <c r="A822" s="17"/>
      <c r="B822" s="17"/>
      <c r="K822" s="40"/>
    </row>
    <row r="823" spans="1:11" x14ac:dyDescent="0.3">
      <c r="A823" s="17"/>
      <c r="B823" s="17"/>
      <c r="K823" s="40"/>
    </row>
    <row r="824" spans="1:11" x14ac:dyDescent="0.3">
      <c r="A824" s="17"/>
      <c r="B824" s="17"/>
      <c r="K824" s="40"/>
    </row>
    <row r="825" spans="1:11" x14ac:dyDescent="0.3">
      <c r="A825" s="17"/>
      <c r="B825" s="17"/>
      <c r="K825" s="40"/>
    </row>
    <row r="826" spans="1:11" x14ac:dyDescent="0.3">
      <c r="A826" s="17"/>
      <c r="B826" s="17"/>
      <c r="K826" s="40"/>
    </row>
    <row r="827" spans="1:11" x14ac:dyDescent="0.3">
      <c r="A827" s="17"/>
      <c r="B827" s="17"/>
      <c r="K827" s="40"/>
    </row>
    <row r="828" spans="1:11" x14ac:dyDescent="0.3">
      <c r="A828" s="17"/>
      <c r="B828" s="17"/>
      <c r="K828" s="40"/>
    </row>
    <row r="829" spans="1:11" x14ac:dyDescent="0.3">
      <c r="A829" s="17"/>
      <c r="B829" s="17"/>
      <c r="K829" s="40"/>
    </row>
    <row r="830" spans="1:11" x14ac:dyDescent="0.3">
      <c r="A830" s="17"/>
      <c r="B830" s="17"/>
      <c r="K830" s="40"/>
    </row>
    <row r="831" spans="1:11" x14ac:dyDescent="0.3">
      <c r="A831" s="17"/>
      <c r="B831" s="17"/>
      <c r="K831" s="40"/>
    </row>
    <row r="832" spans="1:11" x14ac:dyDescent="0.3">
      <c r="A832" s="17"/>
      <c r="B832" s="17"/>
      <c r="K832" s="40"/>
    </row>
    <row r="833" spans="1:11" x14ac:dyDescent="0.3">
      <c r="A833" s="17"/>
      <c r="B833" s="17"/>
      <c r="K833" s="40"/>
    </row>
    <row r="834" spans="1:11" x14ac:dyDescent="0.3">
      <c r="A834" s="17"/>
      <c r="B834" s="17"/>
      <c r="K834" s="40"/>
    </row>
    <row r="835" spans="1:11" x14ac:dyDescent="0.3">
      <c r="A835" s="17"/>
      <c r="B835" s="17"/>
      <c r="K835" s="40"/>
    </row>
    <row r="836" spans="1:11" x14ac:dyDescent="0.3">
      <c r="A836" s="17"/>
      <c r="B836" s="17"/>
      <c r="K836" s="40"/>
    </row>
    <row r="837" spans="1:11" x14ac:dyDescent="0.3">
      <c r="A837" s="17"/>
      <c r="B837" s="17"/>
      <c r="K837" s="40"/>
    </row>
    <row r="838" spans="1:11" x14ac:dyDescent="0.3">
      <c r="A838" s="17"/>
      <c r="B838" s="17"/>
      <c r="K838" s="40"/>
    </row>
    <row r="839" spans="1:11" x14ac:dyDescent="0.3">
      <c r="A839" s="17"/>
      <c r="B839" s="17"/>
      <c r="K839" s="40"/>
    </row>
    <row r="840" spans="1:11" x14ac:dyDescent="0.3">
      <c r="A840" s="17"/>
      <c r="B840" s="17"/>
      <c r="K840" s="40"/>
    </row>
    <row r="841" spans="1:11" x14ac:dyDescent="0.3">
      <c r="A841" s="17"/>
      <c r="B841" s="17"/>
      <c r="K841" s="40"/>
    </row>
    <row r="842" spans="1:11" x14ac:dyDescent="0.3">
      <c r="A842" s="17"/>
      <c r="B842" s="17"/>
      <c r="K842" s="40"/>
    </row>
    <row r="843" spans="1:11" x14ac:dyDescent="0.3">
      <c r="A843" s="17"/>
      <c r="B843" s="17"/>
      <c r="K843" s="40"/>
    </row>
    <row r="844" spans="1:11" x14ac:dyDescent="0.3">
      <c r="A844" s="17"/>
      <c r="B844" s="17"/>
      <c r="K844" s="40"/>
    </row>
    <row r="845" spans="1:11" x14ac:dyDescent="0.3">
      <c r="A845" s="17"/>
      <c r="B845" s="17"/>
      <c r="K845" s="40"/>
    </row>
    <row r="846" spans="1:11" x14ac:dyDescent="0.3">
      <c r="A846" s="17"/>
      <c r="B846" s="17"/>
      <c r="K846" s="40"/>
    </row>
    <row r="847" spans="1:11" x14ac:dyDescent="0.3">
      <c r="A847" s="17"/>
      <c r="B847" s="17"/>
      <c r="K847" s="40"/>
    </row>
    <row r="848" spans="1:11" x14ac:dyDescent="0.3">
      <c r="A848" s="17"/>
      <c r="B848" s="17"/>
      <c r="K848" s="40"/>
    </row>
    <row r="849" spans="1:11" x14ac:dyDescent="0.3">
      <c r="A849" s="17"/>
      <c r="B849" s="17"/>
      <c r="K849" s="40"/>
    </row>
    <row r="850" spans="1:11" x14ac:dyDescent="0.3">
      <c r="A850" s="17"/>
      <c r="B850" s="17"/>
      <c r="K850" s="40"/>
    </row>
    <row r="851" spans="1:11" x14ac:dyDescent="0.3">
      <c r="A851" s="17"/>
      <c r="B851" s="17"/>
      <c r="K851" s="40"/>
    </row>
    <row r="852" spans="1:11" x14ac:dyDescent="0.3">
      <c r="A852" s="17"/>
      <c r="B852" s="17"/>
      <c r="K852" s="40"/>
    </row>
    <row r="853" spans="1:11" x14ac:dyDescent="0.3">
      <c r="A853" s="17"/>
      <c r="B853" s="17"/>
      <c r="K853" s="40"/>
    </row>
    <row r="854" spans="1:11" x14ac:dyDescent="0.3">
      <c r="A854" s="17"/>
      <c r="B854" s="17"/>
      <c r="K854" s="40"/>
    </row>
    <row r="855" spans="1:11" x14ac:dyDescent="0.3">
      <c r="A855" s="17"/>
      <c r="B855" s="17"/>
      <c r="K855" s="40"/>
    </row>
    <row r="856" spans="1:11" x14ac:dyDescent="0.3">
      <c r="A856" s="17"/>
      <c r="B856" s="17"/>
      <c r="K856" s="40"/>
    </row>
    <row r="857" spans="1:11" x14ac:dyDescent="0.3">
      <c r="A857" s="17"/>
      <c r="B857" s="17"/>
      <c r="K857" s="40"/>
    </row>
    <row r="858" spans="1:11" x14ac:dyDescent="0.3">
      <c r="A858" s="17"/>
      <c r="B858" s="17"/>
      <c r="K858" s="40"/>
    </row>
    <row r="859" spans="1:11" x14ac:dyDescent="0.3">
      <c r="A859" s="17"/>
      <c r="B859" s="17"/>
      <c r="K859" s="40"/>
    </row>
    <row r="860" spans="1:11" x14ac:dyDescent="0.3">
      <c r="A860" s="17"/>
      <c r="B860" s="17"/>
      <c r="K860" s="40"/>
    </row>
    <row r="861" spans="1:11" x14ac:dyDescent="0.3">
      <c r="A861" s="17"/>
      <c r="B861" s="17"/>
      <c r="K861" s="40"/>
    </row>
    <row r="862" spans="1:11" x14ac:dyDescent="0.3">
      <c r="A862" s="17"/>
      <c r="B862" s="17"/>
      <c r="K862" s="40"/>
    </row>
    <row r="863" spans="1:11" x14ac:dyDescent="0.3">
      <c r="A863" s="17"/>
      <c r="B863" s="17"/>
      <c r="K863" s="40"/>
    </row>
    <row r="864" spans="1:11" x14ac:dyDescent="0.3">
      <c r="A864" s="17"/>
      <c r="B864" s="17"/>
      <c r="K864" s="40"/>
    </row>
    <row r="865" spans="1:11" x14ac:dyDescent="0.3">
      <c r="A865" s="17"/>
      <c r="B865" s="17"/>
      <c r="K865" s="40"/>
    </row>
    <row r="866" spans="1:11" x14ac:dyDescent="0.3">
      <c r="A866" s="17"/>
      <c r="B866" s="17"/>
      <c r="K866" s="40"/>
    </row>
    <row r="867" spans="1:11" x14ac:dyDescent="0.3">
      <c r="A867" s="17"/>
      <c r="B867" s="17"/>
      <c r="K867" s="40"/>
    </row>
    <row r="868" spans="1:11" x14ac:dyDescent="0.3">
      <c r="A868" s="17"/>
      <c r="B868" s="17"/>
      <c r="K868" s="40"/>
    </row>
    <row r="869" spans="1:11" x14ac:dyDescent="0.3">
      <c r="A869" s="17"/>
      <c r="B869" s="17"/>
      <c r="K869" s="40"/>
    </row>
    <row r="870" spans="1:11" x14ac:dyDescent="0.3">
      <c r="A870" s="17"/>
      <c r="B870" s="17"/>
      <c r="K870" s="40"/>
    </row>
    <row r="871" spans="1:11" x14ac:dyDescent="0.3">
      <c r="A871" s="17"/>
      <c r="B871" s="17"/>
      <c r="K871" s="40"/>
    </row>
    <row r="872" spans="1:11" x14ac:dyDescent="0.3">
      <c r="A872" s="17"/>
      <c r="B872" s="17"/>
      <c r="K872" s="40"/>
    </row>
    <row r="873" spans="1:11" x14ac:dyDescent="0.3">
      <c r="A873" s="17"/>
      <c r="B873" s="17"/>
      <c r="K873" s="40"/>
    </row>
    <row r="874" spans="1:11" x14ac:dyDescent="0.3">
      <c r="A874" s="17"/>
      <c r="B874" s="17"/>
      <c r="K874" s="40"/>
    </row>
    <row r="875" spans="1:11" x14ac:dyDescent="0.3">
      <c r="A875" s="17"/>
      <c r="B875" s="17"/>
      <c r="K875" s="40"/>
    </row>
    <row r="876" spans="1:11" x14ac:dyDescent="0.3">
      <c r="A876" s="17"/>
      <c r="B876" s="17"/>
      <c r="K876" s="40"/>
    </row>
    <row r="877" spans="1:11" x14ac:dyDescent="0.3">
      <c r="A877" s="17"/>
      <c r="B877" s="17"/>
      <c r="K877" s="40"/>
    </row>
    <row r="878" spans="1:11" x14ac:dyDescent="0.3">
      <c r="A878" s="17"/>
      <c r="B878" s="17"/>
      <c r="K878" s="40"/>
    </row>
    <row r="879" spans="1:11" x14ac:dyDescent="0.3">
      <c r="A879" s="17"/>
      <c r="B879" s="17"/>
      <c r="K879" s="40"/>
    </row>
    <row r="880" spans="1:11" x14ac:dyDescent="0.3">
      <c r="A880" s="17"/>
      <c r="B880" s="17"/>
      <c r="K880" s="40"/>
    </row>
    <row r="881" spans="1:11" x14ac:dyDescent="0.3">
      <c r="A881" s="17"/>
      <c r="B881" s="17"/>
      <c r="K881" s="40"/>
    </row>
    <row r="882" spans="1:11" x14ac:dyDescent="0.3">
      <c r="A882" s="17"/>
      <c r="B882" s="17"/>
      <c r="K882" s="40"/>
    </row>
    <row r="883" spans="1:11" x14ac:dyDescent="0.3">
      <c r="A883" s="17"/>
      <c r="B883" s="17"/>
      <c r="K883" s="40"/>
    </row>
    <row r="884" spans="1:11" x14ac:dyDescent="0.3">
      <c r="A884" s="17"/>
      <c r="B884" s="17"/>
      <c r="K884" s="40"/>
    </row>
    <row r="885" spans="1:11" x14ac:dyDescent="0.3">
      <c r="A885" s="17"/>
      <c r="B885" s="17"/>
      <c r="K885" s="40"/>
    </row>
    <row r="886" spans="1:11" x14ac:dyDescent="0.3">
      <c r="A886" s="17"/>
      <c r="B886" s="17"/>
      <c r="K886" s="40"/>
    </row>
    <row r="887" spans="1:11" x14ac:dyDescent="0.3">
      <c r="A887" s="17"/>
      <c r="B887" s="17"/>
      <c r="K887" s="40"/>
    </row>
    <row r="888" spans="1:11" x14ac:dyDescent="0.3">
      <c r="A888" s="17"/>
      <c r="B888" s="17"/>
      <c r="K888" s="40"/>
    </row>
    <row r="889" spans="1:11" x14ac:dyDescent="0.3">
      <c r="A889" s="17"/>
      <c r="B889" s="17"/>
      <c r="K889" s="40"/>
    </row>
    <row r="890" spans="1:11" x14ac:dyDescent="0.3">
      <c r="A890" s="17"/>
      <c r="B890" s="17"/>
      <c r="K890" s="40"/>
    </row>
    <row r="891" spans="1:11" x14ac:dyDescent="0.3">
      <c r="A891" s="17"/>
      <c r="B891" s="17"/>
      <c r="K891" s="40"/>
    </row>
    <row r="892" spans="1:11" x14ac:dyDescent="0.3">
      <c r="A892" s="17"/>
      <c r="B892" s="17"/>
      <c r="K892" s="40"/>
    </row>
    <row r="893" spans="1:11" x14ac:dyDescent="0.3">
      <c r="A893" s="17"/>
      <c r="B893" s="17"/>
      <c r="K893" s="40"/>
    </row>
    <row r="894" spans="1:11" x14ac:dyDescent="0.3">
      <c r="A894" s="17"/>
      <c r="B894" s="17"/>
      <c r="K894" s="40"/>
    </row>
    <row r="895" spans="1:11" x14ac:dyDescent="0.3">
      <c r="A895" s="17"/>
      <c r="B895" s="17"/>
      <c r="K895" s="40"/>
    </row>
    <row r="896" spans="1:11" x14ac:dyDescent="0.3">
      <c r="A896" s="17"/>
      <c r="B896" s="17"/>
      <c r="K896" s="40"/>
    </row>
    <row r="897" spans="1:11" x14ac:dyDescent="0.3">
      <c r="A897" s="17"/>
      <c r="B897" s="17"/>
      <c r="K897" s="40"/>
    </row>
    <row r="898" spans="1:11" x14ac:dyDescent="0.3">
      <c r="A898" s="17"/>
      <c r="B898" s="17"/>
      <c r="K898" s="40"/>
    </row>
    <row r="899" spans="1:11" x14ac:dyDescent="0.3">
      <c r="A899" s="17"/>
      <c r="B899" s="17"/>
      <c r="K899" s="40"/>
    </row>
    <row r="900" spans="1:11" x14ac:dyDescent="0.3">
      <c r="A900" s="17"/>
      <c r="B900" s="17"/>
      <c r="K900" s="40"/>
    </row>
    <row r="901" spans="1:11" x14ac:dyDescent="0.3">
      <c r="A901" s="17"/>
      <c r="B901" s="17"/>
      <c r="K901" s="40"/>
    </row>
    <row r="902" spans="1:11" x14ac:dyDescent="0.3">
      <c r="A902" s="17"/>
      <c r="B902" s="17"/>
      <c r="K902" s="40"/>
    </row>
    <row r="903" spans="1:11" x14ac:dyDescent="0.3">
      <c r="A903" s="17"/>
      <c r="B903" s="17"/>
      <c r="K903" s="40"/>
    </row>
    <row r="904" spans="1:11" x14ac:dyDescent="0.3">
      <c r="A904" s="17"/>
      <c r="B904" s="17"/>
      <c r="K904" s="40"/>
    </row>
    <row r="905" spans="1:11" x14ac:dyDescent="0.3">
      <c r="A905" s="17"/>
      <c r="B905" s="17"/>
      <c r="K905" s="40"/>
    </row>
    <row r="906" spans="1:11" x14ac:dyDescent="0.3">
      <c r="A906" s="17"/>
      <c r="B906" s="17"/>
      <c r="K906" s="40"/>
    </row>
    <row r="907" spans="1:11" x14ac:dyDescent="0.3">
      <c r="A907" s="17"/>
      <c r="B907" s="17"/>
      <c r="K907" s="40"/>
    </row>
    <row r="908" spans="1:11" x14ac:dyDescent="0.3">
      <c r="A908" s="17"/>
      <c r="B908" s="17"/>
      <c r="K908" s="40"/>
    </row>
    <row r="909" spans="1:11" x14ac:dyDescent="0.3">
      <c r="A909" s="17"/>
      <c r="B909" s="17"/>
      <c r="K909" s="40"/>
    </row>
    <row r="910" spans="1:11" x14ac:dyDescent="0.3">
      <c r="A910" s="17"/>
      <c r="B910" s="17"/>
      <c r="K910" s="40"/>
    </row>
    <row r="911" spans="1:11" x14ac:dyDescent="0.3">
      <c r="A911" s="17"/>
      <c r="B911" s="17"/>
      <c r="K911" s="40"/>
    </row>
    <row r="912" spans="1:11" x14ac:dyDescent="0.3">
      <c r="A912" s="17"/>
      <c r="B912" s="17"/>
      <c r="K912" s="40"/>
    </row>
    <row r="913" spans="1:11" x14ac:dyDescent="0.3">
      <c r="A913" s="17"/>
      <c r="B913" s="17"/>
      <c r="K913" s="40"/>
    </row>
    <row r="914" spans="1:11" x14ac:dyDescent="0.3">
      <c r="A914" s="17"/>
      <c r="B914" s="17"/>
      <c r="K914" s="40"/>
    </row>
    <row r="915" spans="1:11" x14ac:dyDescent="0.3">
      <c r="A915" s="17"/>
      <c r="B915" s="17"/>
      <c r="K915" s="40"/>
    </row>
    <row r="916" spans="1:11" x14ac:dyDescent="0.3">
      <c r="A916" s="17"/>
      <c r="B916" s="17"/>
      <c r="K916" s="40"/>
    </row>
    <row r="917" spans="1:11" x14ac:dyDescent="0.3">
      <c r="A917" s="17"/>
      <c r="B917" s="17"/>
      <c r="K917" s="40"/>
    </row>
    <row r="918" spans="1:11" x14ac:dyDescent="0.3">
      <c r="A918" s="17"/>
      <c r="B918" s="17"/>
      <c r="K918" s="40"/>
    </row>
    <row r="919" spans="1:11" x14ac:dyDescent="0.3">
      <c r="A919" s="17"/>
      <c r="B919" s="17"/>
      <c r="K919" s="40"/>
    </row>
    <row r="920" spans="1:11" x14ac:dyDescent="0.3">
      <c r="A920" s="17"/>
      <c r="B920" s="17"/>
      <c r="K920" s="40"/>
    </row>
    <row r="921" spans="1:11" x14ac:dyDescent="0.3">
      <c r="A921" s="17"/>
      <c r="B921" s="17"/>
      <c r="K921" s="40"/>
    </row>
    <row r="922" spans="1:11" x14ac:dyDescent="0.3">
      <c r="A922" s="17"/>
      <c r="B922" s="17"/>
      <c r="K922" s="40"/>
    </row>
    <row r="923" spans="1:11" x14ac:dyDescent="0.3">
      <c r="A923" s="17"/>
      <c r="B923" s="17"/>
      <c r="K923" s="40"/>
    </row>
    <row r="924" spans="1:11" x14ac:dyDescent="0.3">
      <c r="A924" s="17"/>
      <c r="B924" s="17"/>
      <c r="K924" s="40"/>
    </row>
    <row r="925" spans="1:11" x14ac:dyDescent="0.3">
      <c r="A925" s="17"/>
      <c r="B925" s="17"/>
      <c r="K925" s="40"/>
    </row>
    <row r="926" spans="1:11" x14ac:dyDescent="0.3">
      <c r="A926" s="17"/>
      <c r="B926" s="17"/>
      <c r="K926" s="40"/>
    </row>
    <row r="927" spans="1:11" x14ac:dyDescent="0.3">
      <c r="A927" s="17"/>
      <c r="B927" s="17"/>
      <c r="K927" s="40"/>
    </row>
    <row r="928" spans="1:11" x14ac:dyDescent="0.3">
      <c r="A928" s="17"/>
      <c r="B928" s="17"/>
      <c r="K928" s="40"/>
    </row>
    <row r="929" spans="1:11" x14ac:dyDescent="0.3">
      <c r="A929" s="17"/>
      <c r="B929" s="17"/>
      <c r="K929" s="40"/>
    </row>
    <row r="930" spans="1:11" x14ac:dyDescent="0.3">
      <c r="A930" s="17"/>
      <c r="B930" s="17"/>
      <c r="K930" s="40"/>
    </row>
    <row r="931" spans="1:11" x14ac:dyDescent="0.3">
      <c r="A931" s="17"/>
      <c r="B931" s="17"/>
      <c r="K931" s="40"/>
    </row>
    <row r="932" spans="1:11" x14ac:dyDescent="0.3">
      <c r="A932" s="17"/>
      <c r="B932" s="17"/>
      <c r="K932" s="40"/>
    </row>
    <row r="933" spans="1:11" x14ac:dyDescent="0.3">
      <c r="A933" s="17"/>
      <c r="B933" s="17"/>
      <c r="K933" s="40"/>
    </row>
    <row r="934" spans="1:11" x14ac:dyDescent="0.3">
      <c r="A934" s="17"/>
      <c r="B934" s="17"/>
      <c r="K934" s="40"/>
    </row>
    <row r="935" spans="1:11" x14ac:dyDescent="0.3">
      <c r="A935" s="17"/>
      <c r="B935" s="17"/>
      <c r="K935" s="40"/>
    </row>
    <row r="936" spans="1:11" x14ac:dyDescent="0.3">
      <c r="A936" s="17"/>
      <c r="B936" s="17"/>
      <c r="K936" s="40"/>
    </row>
    <row r="937" spans="1:11" x14ac:dyDescent="0.3">
      <c r="A937" s="17"/>
      <c r="B937" s="17"/>
      <c r="K937" s="40"/>
    </row>
    <row r="938" spans="1:11" x14ac:dyDescent="0.3">
      <c r="A938" s="17"/>
      <c r="B938" s="17"/>
      <c r="K938" s="40"/>
    </row>
    <row r="939" spans="1:11" x14ac:dyDescent="0.3">
      <c r="A939" s="17"/>
      <c r="B939" s="17"/>
      <c r="K939" s="40"/>
    </row>
    <row r="940" spans="1:11" x14ac:dyDescent="0.3">
      <c r="A940" s="17"/>
      <c r="B940" s="17"/>
      <c r="K940" s="40"/>
    </row>
    <row r="941" spans="1:11" x14ac:dyDescent="0.3">
      <c r="A941" s="17"/>
      <c r="B941" s="17"/>
      <c r="K941" s="40"/>
    </row>
    <row r="942" spans="1:11" x14ac:dyDescent="0.3">
      <c r="A942" s="17"/>
      <c r="B942" s="17"/>
      <c r="K942" s="40"/>
    </row>
    <row r="943" spans="1:11" x14ac:dyDescent="0.3">
      <c r="A943" s="17"/>
      <c r="B943" s="17"/>
      <c r="K943" s="40"/>
    </row>
    <row r="944" spans="1:11" x14ac:dyDescent="0.3">
      <c r="A944" s="17"/>
      <c r="B944" s="17"/>
      <c r="K944" s="40"/>
    </row>
    <row r="945" spans="1:11" x14ac:dyDescent="0.3">
      <c r="A945" s="17"/>
      <c r="B945" s="17"/>
      <c r="K945" s="40"/>
    </row>
    <row r="946" spans="1:11" x14ac:dyDescent="0.3">
      <c r="A946" s="17"/>
      <c r="B946" s="17"/>
      <c r="K946" s="40"/>
    </row>
    <row r="947" spans="1:11" x14ac:dyDescent="0.3">
      <c r="A947" s="17"/>
      <c r="B947" s="17"/>
      <c r="K947" s="40"/>
    </row>
    <row r="948" spans="1:11" x14ac:dyDescent="0.3">
      <c r="A948" s="17"/>
      <c r="B948" s="17"/>
      <c r="K948" s="40"/>
    </row>
    <row r="949" spans="1:11" x14ac:dyDescent="0.3">
      <c r="A949" s="17"/>
      <c r="B949" s="17"/>
      <c r="K949" s="40"/>
    </row>
    <row r="950" spans="1:11" x14ac:dyDescent="0.3">
      <c r="A950" s="17"/>
      <c r="B950" s="17"/>
      <c r="K950" s="40"/>
    </row>
    <row r="951" spans="1:11" x14ac:dyDescent="0.3">
      <c r="A951" s="17"/>
      <c r="B951" s="17"/>
      <c r="K951" s="40"/>
    </row>
    <row r="952" spans="1:11" x14ac:dyDescent="0.3">
      <c r="A952" s="17"/>
      <c r="B952" s="17"/>
      <c r="K952" s="40"/>
    </row>
    <row r="953" spans="1:11" x14ac:dyDescent="0.3">
      <c r="A953" s="17"/>
      <c r="B953" s="17"/>
      <c r="K953" s="40"/>
    </row>
    <row r="954" spans="1:11" x14ac:dyDescent="0.3">
      <c r="A954" s="17"/>
      <c r="B954" s="17"/>
      <c r="K954" s="40"/>
    </row>
    <row r="955" spans="1:11" x14ac:dyDescent="0.3">
      <c r="A955" s="17"/>
      <c r="B955" s="17"/>
      <c r="K955" s="40"/>
    </row>
    <row r="956" spans="1:11" x14ac:dyDescent="0.3">
      <c r="A956" s="17"/>
      <c r="B956" s="17"/>
      <c r="K956" s="40"/>
    </row>
    <row r="957" spans="1:11" x14ac:dyDescent="0.3">
      <c r="A957" s="17"/>
      <c r="B957" s="17"/>
      <c r="K957" s="40"/>
    </row>
    <row r="958" spans="1:11" x14ac:dyDescent="0.3">
      <c r="A958" s="17"/>
      <c r="B958" s="17"/>
      <c r="K958" s="40"/>
    </row>
    <row r="959" spans="1:11" x14ac:dyDescent="0.3">
      <c r="A959" s="17"/>
      <c r="B959" s="17"/>
      <c r="K959" s="40"/>
    </row>
    <row r="960" spans="1:11" x14ac:dyDescent="0.3">
      <c r="A960" s="17"/>
      <c r="B960" s="17"/>
      <c r="K960" s="40"/>
    </row>
    <row r="961" spans="1:11" x14ac:dyDescent="0.3">
      <c r="A961" s="17"/>
      <c r="B961" s="17"/>
      <c r="K961" s="40"/>
    </row>
    <row r="962" spans="1:11" x14ac:dyDescent="0.3">
      <c r="A962" s="17"/>
      <c r="B962" s="17"/>
      <c r="K962" s="40"/>
    </row>
    <row r="963" spans="1:11" x14ac:dyDescent="0.3">
      <c r="A963" s="17"/>
      <c r="B963" s="17"/>
      <c r="K963" s="40"/>
    </row>
    <row r="964" spans="1:11" x14ac:dyDescent="0.3">
      <c r="A964" s="17"/>
      <c r="B964" s="17"/>
      <c r="K964" s="40"/>
    </row>
    <row r="965" spans="1:11" x14ac:dyDescent="0.3">
      <c r="A965" s="17"/>
      <c r="B965" s="17"/>
      <c r="K965" s="40"/>
    </row>
    <row r="966" spans="1:11" x14ac:dyDescent="0.3">
      <c r="A966" s="17"/>
      <c r="B966" s="17"/>
      <c r="K966" s="40"/>
    </row>
    <row r="967" spans="1:11" x14ac:dyDescent="0.3">
      <c r="A967" s="17"/>
      <c r="B967" s="17"/>
      <c r="K967" s="40"/>
    </row>
    <row r="968" spans="1:11" x14ac:dyDescent="0.3">
      <c r="A968" s="17"/>
      <c r="B968" s="17"/>
      <c r="K968" s="40"/>
    </row>
    <row r="969" spans="1:11" x14ac:dyDescent="0.3">
      <c r="A969" s="17"/>
      <c r="B969" s="17"/>
      <c r="K969" s="40"/>
    </row>
    <row r="970" spans="1:11" x14ac:dyDescent="0.3">
      <c r="A970" s="17"/>
      <c r="B970" s="17"/>
      <c r="K970" s="40"/>
    </row>
    <row r="971" spans="1:11" x14ac:dyDescent="0.3">
      <c r="A971" s="17"/>
      <c r="B971" s="17"/>
      <c r="K971" s="40"/>
    </row>
    <row r="972" spans="1:11" x14ac:dyDescent="0.3">
      <c r="A972" s="17"/>
      <c r="B972" s="17"/>
      <c r="K972" s="40"/>
    </row>
    <row r="973" spans="1:11" x14ac:dyDescent="0.3">
      <c r="A973" s="17"/>
      <c r="B973" s="17"/>
      <c r="K973" s="40"/>
    </row>
    <row r="974" spans="1:11" x14ac:dyDescent="0.3">
      <c r="A974" s="17"/>
      <c r="B974" s="17"/>
      <c r="K974" s="40"/>
    </row>
    <row r="975" spans="1:11" x14ac:dyDescent="0.3">
      <c r="A975" s="17"/>
      <c r="B975" s="17"/>
      <c r="K975" s="40"/>
    </row>
    <row r="976" spans="1:11" x14ac:dyDescent="0.3">
      <c r="A976" s="17"/>
      <c r="B976" s="17"/>
      <c r="K976" s="40"/>
    </row>
    <row r="977" spans="1:11" x14ac:dyDescent="0.3">
      <c r="A977" s="17"/>
      <c r="B977" s="17"/>
      <c r="K977" s="40"/>
    </row>
    <row r="978" spans="1:11" x14ac:dyDescent="0.3">
      <c r="A978" s="17"/>
      <c r="B978" s="17"/>
      <c r="K978" s="40"/>
    </row>
    <row r="979" spans="1:11" x14ac:dyDescent="0.3">
      <c r="A979" s="17"/>
      <c r="B979" s="17"/>
      <c r="K979" s="40"/>
    </row>
    <row r="980" spans="1:11" x14ac:dyDescent="0.3">
      <c r="A980" s="17"/>
      <c r="B980" s="17"/>
      <c r="K980" s="40"/>
    </row>
    <row r="981" spans="1:11" x14ac:dyDescent="0.3">
      <c r="A981" s="17"/>
      <c r="B981" s="17"/>
      <c r="K981" s="40"/>
    </row>
    <row r="982" spans="1:11" x14ac:dyDescent="0.3">
      <c r="A982" s="17"/>
      <c r="B982" s="17"/>
      <c r="K982" s="40"/>
    </row>
    <row r="983" spans="1:11" x14ac:dyDescent="0.3">
      <c r="A983" s="17"/>
      <c r="B983" s="17"/>
      <c r="K983" s="40"/>
    </row>
    <row r="984" spans="1:11" x14ac:dyDescent="0.3">
      <c r="A984" s="17"/>
      <c r="B984" s="17"/>
      <c r="K984" s="40"/>
    </row>
    <row r="985" spans="1:11" x14ac:dyDescent="0.3">
      <c r="A985" s="17"/>
      <c r="B985" s="17"/>
      <c r="K985" s="40"/>
    </row>
    <row r="986" spans="1:11" x14ac:dyDescent="0.3">
      <c r="A986" s="17"/>
      <c r="B986" s="17"/>
      <c r="K986" s="40"/>
    </row>
    <row r="987" spans="1:11" x14ac:dyDescent="0.3">
      <c r="A987" s="17"/>
      <c r="B987" s="17"/>
      <c r="K987" s="40"/>
    </row>
    <row r="988" spans="1:11" x14ac:dyDescent="0.3">
      <c r="A988" s="17"/>
      <c r="B988" s="17"/>
      <c r="K988" s="40"/>
    </row>
    <row r="989" spans="1:11" x14ac:dyDescent="0.3">
      <c r="A989" s="17"/>
      <c r="B989" s="17"/>
      <c r="K989" s="40"/>
    </row>
    <row r="990" spans="1:11" x14ac:dyDescent="0.3">
      <c r="A990" s="17"/>
      <c r="B990" s="17"/>
      <c r="K990" s="40"/>
    </row>
    <row r="991" spans="1:11" x14ac:dyDescent="0.3">
      <c r="A991" s="17"/>
      <c r="B991" s="17"/>
      <c r="K991" s="40"/>
    </row>
    <row r="992" spans="1:11" x14ac:dyDescent="0.3">
      <c r="A992" s="17"/>
      <c r="B992" s="17"/>
      <c r="K992" s="40"/>
    </row>
    <row r="993" spans="1:11" x14ac:dyDescent="0.3">
      <c r="A993" s="17"/>
      <c r="B993" s="17"/>
      <c r="K993" s="40"/>
    </row>
    <row r="994" spans="1:11" x14ac:dyDescent="0.3">
      <c r="A994" s="17"/>
      <c r="B994" s="17"/>
      <c r="K994" s="40"/>
    </row>
    <row r="995" spans="1:11" x14ac:dyDescent="0.3">
      <c r="A995" s="17"/>
      <c r="B995" s="17"/>
      <c r="K995" s="40"/>
    </row>
    <row r="996" spans="1:11" x14ac:dyDescent="0.3">
      <c r="A996" s="17"/>
      <c r="B996" s="17"/>
      <c r="K996" s="40"/>
    </row>
    <row r="997" spans="1:11" x14ac:dyDescent="0.3">
      <c r="A997" s="17"/>
      <c r="B997" s="17"/>
      <c r="K997" s="40"/>
    </row>
    <row r="998" spans="1:11" x14ac:dyDescent="0.3">
      <c r="A998" s="17"/>
      <c r="B998" s="17"/>
      <c r="K998" s="40"/>
    </row>
    <row r="999" spans="1:11" x14ac:dyDescent="0.3">
      <c r="A999" s="17"/>
      <c r="B999" s="17"/>
      <c r="K999" s="40"/>
    </row>
    <row r="1000" spans="1:11" x14ac:dyDescent="0.3">
      <c r="A1000" s="17"/>
      <c r="B1000" s="17"/>
      <c r="K1000" s="40"/>
    </row>
    <row r="1001" spans="1:11" x14ac:dyDescent="0.3">
      <c r="A1001" s="17"/>
      <c r="B1001" s="17"/>
      <c r="K1001" s="40"/>
    </row>
    <row r="1002" spans="1:11" x14ac:dyDescent="0.3">
      <c r="A1002" s="17"/>
      <c r="B1002" s="17"/>
      <c r="K1002" s="40"/>
    </row>
    <row r="1003" spans="1:11" x14ac:dyDescent="0.3">
      <c r="A1003" s="17"/>
      <c r="B1003" s="17"/>
      <c r="K1003" s="40"/>
    </row>
    <row r="1004" spans="1:11" x14ac:dyDescent="0.3">
      <c r="A1004" s="17"/>
      <c r="B1004" s="17"/>
      <c r="K1004" s="40"/>
    </row>
    <row r="1005" spans="1:11" x14ac:dyDescent="0.3">
      <c r="A1005" s="17"/>
      <c r="B1005" s="17"/>
      <c r="K1005" s="40"/>
    </row>
    <row r="1006" spans="1:11" x14ac:dyDescent="0.3">
      <c r="A1006" s="17"/>
      <c r="B1006" s="17"/>
      <c r="K1006" s="40"/>
    </row>
    <row r="1007" spans="1:11" x14ac:dyDescent="0.3">
      <c r="A1007" s="17"/>
      <c r="B1007" s="17"/>
      <c r="K1007" s="40"/>
    </row>
    <row r="1008" spans="1:11" x14ac:dyDescent="0.3">
      <c r="A1008" s="17"/>
      <c r="B1008" s="17"/>
      <c r="K1008" s="40"/>
    </row>
    <row r="1009" spans="1:11" x14ac:dyDescent="0.3">
      <c r="A1009" s="17"/>
      <c r="B1009" s="17"/>
      <c r="K1009" s="40"/>
    </row>
    <row r="1010" spans="1:11" x14ac:dyDescent="0.3">
      <c r="A1010" s="17"/>
      <c r="B1010" s="17"/>
      <c r="K1010" s="40"/>
    </row>
    <row r="1011" spans="1:11" x14ac:dyDescent="0.3">
      <c r="A1011" s="17"/>
      <c r="B1011" s="17"/>
      <c r="K1011" s="40"/>
    </row>
    <row r="1012" spans="1:11" x14ac:dyDescent="0.3">
      <c r="A1012" s="17"/>
      <c r="B1012" s="17"/>
      <c r="K1012" s="40"/>
    </row>
    <row r="1013" spans="1:11" x14ac:dyDescent="0.3">
      <c r="A1013" s="17"/>
      <c r="B1013" s="17"/>
      <c r="K1013" s="40"/>
    </row>
    <row r="1014" spans="1:11" x14ac:dyDescent="0.3">
      <c r="A1014" s="17"/>
      <c r="B1014" s="17"/>
      <c r="K1014" s="40"/>
    </row>
    <row r="1015" spans="1:11" x14ac:dyDescent="0.3">
      <c r="A1015" s="17"/>
      <c r="B1015" s="17"/>
      <c r="K1015" s="40"/>
    </row>
    <row r="1016" spans="1:11" x14ac:dyDescent="0.3">
      <c r="A1016" s="17"/>
      <c r="B1016" s="17"/>
      <c r="K1016" s="40"/>
    </row>
    <row r="1017" spans="1:11" x14ac:dyDescent="0.3">
      <c r="A1017" s="17"/>
      <c r="B1017" s="17"/>
      <c r="K1017" s="40"/>
    </row>
    <row r="1018" spans="1:11" x14ac:dyDescent="0.3">
      <c r="A1018" s="17"/>
      <c r="B1018" s="17"/>
      <c r="K1018" s="40"/>
    </row>
    <row r="1019" spans="1:11" x14ac:dyDescent="0.3">
      <c r="A1019" s="17"/>
      <c r="B1019" s="17"/>
      <c r="K1019" s="40"/>
    </row>
    <row r="1020" spans="1:11" x14ac:dyDescent="0.3">
      <c r="A1020" s="17"/>
      <c r="B1020" s="17"/>
      <c r="K1020" s="40"/>
    </row>
    <row r="1021" spans="1:11" x14ac:dyDescent="0.3">
      <c r="A1021" s="17"/>
      <c r="B1021" s="17"/>
      <c r="K1021" s="40"/>
    </row>
    <row r="1022" spans="1:11" x14ac:dyDescent="0.3">
      <c r="A1022" s="17"/>
      <c r="B1022" s="17"/>
      <c r="K1022" s="40"/>
    </row>
    <row r="1023" spans="1:11" x14ac:dyDescent="0.3">
      <c r="A1023" s="17"/>
      <c r="B1023" s="17"/>
      <c r="K1023" s="40"/>
    </row>
    <row r="1024" spans="1:11" x14ac:dyDescent="0.3">
      <c r="A1024" s="17"/>
      <c r="B1024" s="17"/>
      <c r="K1024" s="40"/>
    </row>
    <row r="1025" spans="1:11" x14ac:dyDescent="0.3">
      <c r="A1025" s="17"/>
      <c r="B1025" s="17"/>
      <c r="K1025" s="40"/>
    </row>
    <row r="1026" spans="1:11" x14ac:dyDescent="0.3">
      <c r="A1026" s="17"/>
      <c r="B1026" s="17"/>
      <c r="K1026" s="40"/>
    </row>
    <row r="1027" spans="1:11" x14ac:dyDescent="0.3">
      <c r="A1027" s="17"/>
      <c r="B1027" s="17"/>
      <c r="K1027" s="40"/>
    </row>
    <row r="1028" spans="1:11" x14ac:dyDescent="0.3">
      <c r="A1028" s="17"/>
      <c r="B1028" s="17"/>
      <c r="K1028" s="40"/>
    </row>
    <row r="1029" spans="1:11" x14ac:dyDescent="0.3">
      <c r="A1029" s="17"/>
      <c r="B1029" s="17"/>
      <c r="K1029" s="40"/>
    </row>
    <row r="1030" spans="1:11" x14ac:dyDescent="0.3">
      <c r="A1030" s="17"/>
      <c r="B1030" s="17"/>
      <c r="K1030" s="40"/>
    </row>
    <row r="1031" spans="1:11" x14ac:dyDescent="0.3">
      <c r="A1031" s="17"/>
      <c r="B1031" s="17"/>
      <c r="K1031" s="40"/>
    </row>
    <row r="1032" spans="1:11" x14ac:dyDescent="0.3">
      <c r="A1032" s="17"/>
      <c r="B1032" s="17"/>
      <c r="K1032" s="40"/>
    </row>
    <row r="1033" spans="1:11" x14ac:dyDescent="0.3">
      <c r="A1033" s="17"/>
      <c r="B1033" s="17"/>
      <c r="K1033" s="40"/>
    </row>
    <row r="1034" spans="1:11" x14ac:dyDescent="0.3">
      <c r="A1034" s="17"/>
      <c r="B1034" s="17"/>
      <c r="K1034" s="40"/>
    </row>
    <row r="1035" spans="1:11" x14ac:dyDescent="0.3">
      <c r="A1035" s="17"/>
      <c r="B1035" s="17"/>
      <c r="K1035" s="40"/>
    </row>
    <row r="1036" spans="1:11" x14ac:dyDescent="0.3">
      <c r="A1036" s="17"/>
      <c r="B1036" s="17"/>
      <c r="K1036" s="40"/>
    </row>
    <row r="1037" spans="1:11" x14ac:dyDescent="0.3">
      <c r="A1037" s="17"/>
      <c r="B1037" s="17"/>
      <c r="K1037" s="40"/>
    </row>
    <row r="1038" spans="1:11" x14ac:dyDescent="0.3">
      <c r="A1038" s="17"/>
      <c r="B1038" s="17"/>
      <c r="K1038" s="40"/>
    </row>
    <row r="1039" spans="1:11" x14ac:dyDescent="0.3">
      <c r="A1039" s="17"/>
      <c r="B1039" s="17"/>
      <c r="K1039" s="40"/>
    </row>
    <row r="1040" spans="1:11" x14ac:dyDescent="0.3">
      <c r="A1040" s="17"/>
      <c r="B1040" s="17"/>
      <c r="K1040" s="40"/>
    </row>
    <row r="1041" spans="1:11" x14ac:dyDescent="0.3">
      <c r="A1041" s="17"/>
      <c r="B1041" s="17"/>
      <c r="K1041" s="40"/>
    </row>
    <row r="1042" spans="1:11" x14ac:dyDescent="0.3">
      <c r="A1042" s="17"/>
      <c r="B1042" s="17"/>
      <c r="K1042" s="40"/>
    </row>
    <row r="1043" spans="1:11" x14ac:dyDescent="0.3">
      <c r="A1043" s="17"/>
      <c r="B1043" s="17"/>
      <c r="K1043" s="40"/>
    </row>
    <row r="1044" spans="1:11" x14ac:dyDescent="0.3">
      <c r="A1044" s="17"/>
      <c r="B1044" s="17"/>
      <c r="K1044" s="40"/>
    </row>
    <row r="1045" spans="1:11" x14ac:dyDescent="0.3">
      <c r="A1045" s="17"/>
      <c r="B1045" s="17"/>
      <c r="K1045" s="40"/>
    </row>
    <row r="1046" spans="1:11" x14ac:dyDescent="0.3">
      <c r="A1046" s="17"/>
      <c r="B1046" s="17"/>
      <c r="K1046" s="40"/>
    </row>
    <row r="1047" spans="1:11" x14ac:dyDescent="0.3">
      <c r="A1047" s="17"/>
      <c r="B1047" s="17"/>
      <c r="K1047" s="40"/>
    </row>
    <row r="1048" spans="1:11" x14ac:dyDescent="0.3">
      <c r="A1048" s="17"/>
      <c r="B1048" s="17"/>
      <c r="K1048" s="40"/>
    </row>
    <row r="1049" spans="1:11" x14ac:dyDescent="0.3">
      <c r="A1049" s="17"/>
      <c r="B1049" s="17"/>
      <c r="K1049" s="40"/>
    </row>
    <row r="1050" spans="1:11" x14ac:dyDescent="0.3">
      <c r="A1050" s="17"/>
      <c r="B1050" s="17"/>
      <c r="K1050" s="40"/>
    </row>
    <row r="1051" spans="1:11" x14ac:dyDescent="0.3">
      <c r="A1051" s="17"/>
      <c r="B1051" s="17"/>
      <c r="K1051" s="40"/>
    </row>
    <row r="1052" spans="1:11" x14ac:dyDescent="0.3">
      <c r="A1052" s="17"/>
      <c r="B1052" s="17"/>
      <c r="K1052" s="40"/>
    </row>
    <row r="1053" spans="1:11" x14ac:dyDescent="0.3">
      <c r="A1053" s="17"/>
      <c r="B1053" s="17"/>
      <c r="K1053" s="40"/>
    </row>
    <row r="1054" spans="1:11" x14ac:dyDescent="0.3">
      <c r="A1054" s="17"/>
      <c r="B1054" s="17"/>
      <c r="K1054" s="40"/>
    </row>
    <row r="1055" spans="1:11" x14ac:dyDescent="0.3">
      <c r="A1055" s="17"/>
      <c r="B1055" s="17"/>
      <c r="K1055" s="40"/>
    </row>
    <row r="1056" spans="1:11" x14ac:dyDescent="0.3">
      <c r="A1056" s="17"/>
      <c r="B1056" s="17"/>
      <c r="K1056" s="40"/>
    </row>
    <row r="1057" spans="1:11" x14ac:dyDescent="0.3">
      <c r="A1057" s="17"/>
      <c r="B1057" s="17"/>
      <c r="K1057" s="40"/>
    </row>
    <row r="1058" spans="1:11" x14ac:dyDescent="0.3">
      <c r="A1058" s="17"/>
      <c r="B1058" s="17"/>
      <c r="K1058" s="40"/>
    </row>
    <row r="1059" spans="1:11" x14ac:dyDescent="0.3">
      <c r="A1059" s="17"/>
      <c r="B1059" s="17"/>
      <c r="K1059" s="40"/>
    </row>
    <row r="1060" spans="1:11" x14ac:dyDescent="0.3">
      <c r="A1060" s="17"/>
      <c r="B1060" s="17"/>
      <c r="K1060" s="40"/>
    </row>
    <row r="1061" spans="1:11" x14ac:dyDescent="0.3">
      <c r="A1061" s="17"/>
      <c r="B1061" s="17"/>
      <c r="K1061" s="40"/>
    </row>
    <row r="1062" spans="1:11" x14ac:dyDescent="0.3">
      <c r="A1062" s="17"/>
      <c r="B1062" s="17"/>
      <c r="K1062" s="40"/>
    </row>
    <row r="1063" spans="1:11" x14ac:dyDescent="0.3">
      <c r="A1063" s="17"/>
      <c r="B1063" s="17"/>
      <c r="K1063" s="40"/>
    </row>
    <row r="1064" spans="1:11" x14ac:dyDescent="0.3">
      <c r="A1064" s="17"/>
      <c r="B1064" s="17"/>
      <c r="K1064" s="40"/>
    </row>
    <row r="1065" spans="1:11" x14ac:dyDescent="0.3">
      <c r="A1065" s="17"/>
      <c r="B1065" s="17"/>
      <c r="K1065" s="40"/>
    </row>
    <row r="1066" spans="1:11" x14ac:dyDescent="0.3">
      <c r="A1066" s="17"/>
      <c r="B1066" s="17"/>
      <c r="K1066" s="40"/>
    </row>
    <row r="1067" spans="1:11" x14ac:dyDescent="0.3">
      <c r="A1067" s="17"/>
      <c r="B1067" s="17"/>
      <c r="K1067" s="40"/>
    </row>
    <row r="1068" spans="1:11" x14ac:dyDescent="0.3">
      <c r="A1068" s="17"/>
      <c r="B1068" s="17"/>
      <c r="K1068" s="40"/>
    </row>
    <row r="1069" spans="1:11" x14ac:dyDescent="0.3">
      <c r="A1069" s="17"/>
      <c r="B1069" s="17"/>
      <c r="K1069" s="40"/>
    </row>
    <row r="1070" spans="1:11" x14ac:dyDescent="0.3">
      <c r="A1070" s="17"/>
      <c r="B1070" s="17"/>
      <c r="K1070" s="40"/>
    </row>
    <row r="1071" spans="1:11" x14ac:dyDescent="0.3">
      <c r="A1071" s="17"/>
      <c r="B1071" s="17"/>
      <c r="K1071" s="40"/>
    </row>
    <row r="1072" spans="1:11" x14ac:dyDescent="0.3">
      <c r="A1072" s="17"/>
      <c r="B1072" s="17"/>
      <c r="K1072" s="40"/>
    </row>
    <row r="1073" spans="1:11" x14ac:dyDescent="0.3">
      <c r="A1073" s="17"/>
      <c r="B1073" s="17"/>
      <c r="K1073" s="40"/>
    </row>
    <row r="1074" spans="1:11" x14ac:dyDescent="0.3">
      <c r="A1074" s="17"/>
      <c r="B1074" s="17"/>
      <c r="K1074" s="40"/>
    </row>
    <row r="1075" spans="1:11" x14ac:dyDescent="0.3">
      <c r="A1075" s="17"/>
      <c r="B1075" s="17"/>
      <c r="K1075" s="40"/>
    </row>
    <row r="1076" spans="1:11" x14ac:dyDescent="0.3">
      <c r="A1076" s="17"/>
      <c r="B1076" s="17"/>
      <c r="K1076" s="40"/>
    </row>
    <row r="1077" spans="1:11" x14ac:dyDescent="0.3">
      <c r="A1077" s="17"/>
      <c r="B1077" s="17"/>
      <c r="K1077" s="40"/>
    </row>
    <row r="1078" spans="1:11" x14ac:dyDescent="0.3">
      <c r="A1078" s="17"/>
      <c r="B1078" s="17"/>
      <c r="K1078" s="40"/>
    </row>
    <row r="1079" spans="1:11" x14ac:dyDescent="0.3">
      <c r="A1079" s="17"/>
      <c r="B1079" s="17"/>
      <c r="K1079" s="40"/>
    </row>
    <row r="1080" spans="1:11" x14ac:dyDescent="0.3">
      <c r="A1080" s="17"/>
      <c r="B1080" s="17"/>
      <c r="K1080" s="40"/>
    </row>
    <row r="1081" spans="1:11" x14ac:dyDescent="0.3">
      <c r="A1081" s="17"/>
      <c r="B1081" s="17"/>
      <c r="K1081" s="40"/>
    </row>
    <row r="1082" spans="1:11" x14ac:dyDescent="0.3">
      <c r="A1082" s="17"/>
      <c r="B1082" s="17"/>
      <c r="K1082" s="40"/>
    </row>
    <row r="1083" spans="1:11" x14ac:dyDescent="0.3">
      <c r="A1083" s="17"/>
      <c r="B1083" s="17"/>
      <c r="K1083" s="40"/>
    </row>
    <row r="1084" spans="1:11" x14ac:dyDescent="0.3">
      <c r="A1084" s="17"/>
      <c r="B1084" s="17"/>
      <c r="K1084" s="40"/>
    </row>
    <row r="1085" spans="1:11" x14ac:dyDescent="0.3">
      <c r="A1085" s="17"/>
      <c r="B1085" s="17"/>
      <c r="K1085" s="40"/>
    </row>
    <row r="1086" spans="1:11" x14ac:dyDescent="0.3">
      <c r="A1086" s="17"/>
      <c r="B1086" s="17"/>
      <c r="K1086" s="40"/>
    </row>
    <row r="1087" spans="1:11" x14ac:dyDescent="0.3">
      <c r="A1087" s="17"/>
      <c r="B1087" s="17"/>
      <c r="K1087" s="40"/>
    </row>
    <row r="1088" spans="1:11" x14ac:dyDescent="0.3">
      <c r="A1088" s="17"/>
      <c r="B1088" s="17"/>
      <c r="K1088" s="40"/>
    </row>
    <row r="1089" spans="1:11" x14ac:dyDescent="0.3">
      <c r="A1089" s="17"/>
      <c r="B1089" s="17"/>
      <c r="K1089" s="40"/>
    </row>
    <row r="1090" spans="1:11" x14ac:dyDescent="0.3">
      <c r="A1090" s="17"/>
      <c r="B1090" s="17"/>
      <c r="K1090" s="40"/>
    </row>
    <row r="1091" spans="1:11" x14ac:dyDescent="0.3">
      <c r="A1091" s="17"/>
      <c r="B1091" s="17"/>
      <c r="K1091" s="40"/>
    </row>
    <row r="1092" spans="1:11" x14ac:dyDescent="0.3">
      <c r="A1092" s="17"/>
      <c r="B1092" s="17"/>
      <c r="K1092" s="40"/>
    </row>
    <row r="1093" spans="1:11" x14ac:dyDescent="0.3">
      <c r="A1093" s="17"/>
      <c r="B1093" s="17"/>
      <c r="K1093" s="40"/>
    </row>
    <row r="1094" spans="1:11" x14ac:dyDescent="0.3">
      <c r="A1094" s="17"/>
      <c r="B1094" s="17"/>
      <c r="K1094" s="40"/>
    </row>
    <row r="1095" spans="1:11" x14ac:dyDescent="0.3">
      <c r="A1095" s="17"/>
      <c r="B1095" s="17"/>
      <c r="K1095" s="40"/>
    </row>
    <row r="1096" spans="1:11" x14ac:dyDescent="0.3">
      <c r="A1096" s="17"/>
      <c r="B1096" s="17"/>
      <c r="K1096" s="40"/>
    </row>
    <row r="1097" spans="1:11" x14ac:dyDescent="0.3">
      <c r="A1097" s="17"/>
      <c r="B1097" s="17"/>
      <c r="K1097" s="40"/>
    </row>
    <row r="1098" spans="1:11" x14ac:dyDescent="0.3">
      <c r="A1098" s="17"/>
      <c r="B1098" s="17"/>
      <c r="K1098" s="40"/>
    </row>
    <row r="1099" spans="1:11" x14ac:dyDescent="0.3">
      <c r="A1099" s="17"/>
      <c r="B1099" s="17"/>
      <c r="K1099" s="40"/>
    </row>
    <row r="1100" spans="1:11" x14ac:dyDescent="0.3">
      <c r="A1100" s="17"/>
      <c r="B1100" s="17"/>
      <c r="K1100" s="40"/>
    </row>
    <row r="1101" spans="1:11" x14ac:dyDescent="0.3">
      <c r="A1101" s="17"/>
      <c r="B1101" s="17"/>
      <c r="K1101" s="40"/>
    </row>
    <row r="1102" spans="1:11" x14ac:dyDescent="0.3">
      <c r="A1102" s="17"/>
      <c r="B1102" s="17"/>
      <c r="K1102" s="40"/>
    </row>
    <row r="1103" spans="1:11" x14ac:dyDescent="0.3">
      <c r="A1103" s="17"/>
      <c r="B1103" s="17"/>
      <c r="K1103" s="40"/>
    </row>
    <row r="1104" spans="1:11" x14ac:dyDescent="0.3">
      <c r="A1104" s="17"/>
      <c r="B1104" s="17"/>
      <c r="K1104" s="40"/>
    </row>
    <row r="1105" spans="1:11" x14ac:dyDescent="0.3">
      <c r="A1105" s="17"/>
      <c r="B1105" s="17"/>
      <c r="K1105" s="40"/>
    </row>
    <row r="1106" spans="1:11" x14ac:dyDescent="0.3">
      <c r="A1106" s="17"/>
      <c r="B1106" s="17"/>
      <c r="K1106" s="40"/>
    </row>
    <row r="1107" spans="1:11" x14ac:dyDescent="0.3">
      <c r="A1107" s="17"/>
      <c r="B1107" s="17"/>
      <c r="K1107" s="40"/>
    </row>
    <row r="1108" spans="1:11" x14ac:dyDescent="0.3">
      <c r="A1108" s="17"/>
      <c r="B1108" s="17"/>
      <c r="K1108" s="40"/>
    </row>
    <row r="1109" spans="1:11" x14ac:dyDescent="0.3">
      <c r="A1109" s="17"/>
      <c r="B1109" s="17"/>
      <c r="K1109" s="40"/>
    </row>
    <row r="1110" spans="1:11" x14ac:dyDescent="0.3">
      <c r="A1110" s="17"/>
      <c r="B1110" s="17"/>
      <c r="K1110" s="40"/>
    </row>
    <row r="1111" spans="1:11" x14ac:dyDescent="0.3">
      <c r="A1111" s="17"/>
      <c r="B1111" s="17"/>
      <c r="K1111" s="40"/>
    </row>
    <row r="1112" spans="1:11" x14ac:dyDescent="0.3">
      <c r="A1112" s="17"/>
      <c r="B1112" s="17"/>
      <c r="K1112" s="40"/>
    </row>
    <row r="1113" spans="1:11" x14ac:dyDescent="0.3">
      <c r="A1113" s="17"/>
      <c r="B1113" s="17"/>
      <c r="K1113" s="40"/>
    </row>
    <row r="1114" spans="1:11" x14ac:dyDescent="0.3">
      <c r="A1114" s="17"/>
      <c r="B1114" s="17"/>
      <c r="K1114" s="40"/>
    </row>
    <row r="1115" spans="1:11" x14ac:dyDescent="0.3">
      <c r="A1115" s="17"/>
      <c r="B1115" s="17"/>
      <c r="K1115" s="40"/>
    </row>
    <row r="1116" spans="1:11" x14ac:dyDescent="0.3">
      <c r="A1116" s="17"/>
      <c r="B1116" s="17"/>
      <c r="K1116" s="40"/>
    </row>
    <row r="1117" spans="1:11" x14ac:dyDescent="0.3">
      <c r="A1117" s="17"/>
      <c r="B1117" s="17"/>
      <c r="K1117" s="40"/>
    </row>
    <row r="1118" spans="1:11" x14ac:dyDescent="0.3">
      <c r="A1118" s="17"/>
      <c r="B1118" s="17"/>
      <c r="K1118" s="40"/>
    </row>
    <row r="1119" spans="1:11" x14ac:dyDescent="0.3">
      <c r="A1119" s="17"/>
      <c r="B1119" s="17"/>
      <c r="K1119" s="40"/>
    </row>
    <row r="1120" spans="1:11" x14ac:dyDescent="0.3">
      <c r="A1120" s="17"/>
      <c r="B1120" s="17"/>
      <c r="K1120" s="40"/>
    </row>
    <row r="1121" spans="1:11" x14ac:dyDescent="0.3">
      <c r="A1121" s="17"/>
      <c r="B1121" s="17"/>
      <c r="K1121" s="40"/>
    </row>
    <row r="1122" spans="1:11" x14ac:dyDescent="0.3">
      <c r="A1122" s="17"/>
      <c r="B1122" s="17"/>
      <c r="K1122" s="40"/>
    </row>
    <row r="1123" spans="1:11" x14ac:dyDescent="0.3">
      <c r="A1123" s="17"/>
      <c r="B1123" s="17"/>
      <c r="K1123" s="40"/>
    </row>
    <row r="1124" spans="1:11" x14ac:dyDescent="0.3">
      <c r="A1124" s="17"/>
      <c r="B1124" s="17"/>
      <c r="K1124" s="40"/>
    </row>
    <row r="1125" spans="1:11" x14ac:dyDescent="0.3">
      <c r="A1125" s="17"/>
      <c r="B1125" s="17"/>
      <c r="K1125" s="40"/>
    </row>
    <row r="1126" spans="1:11" x14ac:dyDescent="0.3">
      <c r="A1126" s="17"/>
      <c r="B1126" s="17"/>
      <c r="K1126" s="40"/>
    </row>
    <row r="1127" spans="1:11" x14ac:dyDescent="0.3">
      <c r="A1127" s="17"/>
      <c r="B1127" s="17"/>
      <c r="K1127" s="40"/>
    </row>
    <row r="1128" spans="1:11" x14ac:dyDescent="0.3">
      <c r="A1128" s="17"/>
      <c r="B1128" s="17"/>
      <c r="K1128" s="40"/>
    </row>
    <row r="1129" spans="1:11" x14ac:dyDescent="0.3">
      <c r="A1129" s="17"/>
      <c r="B1129" s="17"/>
      <c r="K1129" s="40"/>
    </row>
    <row r="1130" spans="1:11" x14ac:dyDescent="0.3">
      <c r="A1130" s="17"/>
      <c r="B1130" s="17"/>
      <c r="K1130" s="40"/>
    </row>
    <row r="1131" spans="1:11" x14ac:dyDescent="0.3">
      <c r="A1131" s="17"/>
      <c r="B1131" s="17"/>
      <c r="K1131" s="40"/>
    </row>
    <row r="1132" spans="1:11" x14ac:dyDescent="0.3">
      <c r="A1132" s="17"/>
      <c r="B1132" s="17"/>
      <c r="K1132" s="40"/>
    </row>
    <row r="1133" spans="1:11" x14ac:dyDescent="0.3">
      <c r="A1133" s="17"/>
      <c r="B1133" s="17"/>
      <c r="K1133" s="40"/>
    </row>
    <row r="1134" spans="1:11" x14ac:dyDescent="0.3">
      <c r="A1134" s="17"/>
      <c r="B1134" s="17"/>
      <c r="K1134" s="40"/>
    </row>
    <row r="1135" spans="1:11" x14ac:dyDescent="0.3">
      <c r="A1135" s="17"/>
      <c r="B1135" s="17"/>
      <c r="K1135" s="40"/>
    </row>
    <row r="1136" spans="1:11" x14ac:dyDescent="0.3">
      <c r="A1136" s="17"/>
      <c r="B1136" s="17"/>
      <c r="K1136" s="40"/>
    </row>
    <row r="1137" spans="1:11" x14ac:dyDescent="0.3">
      <c r="A1137" s="17"/>
      <c r="B1137" s="17"/>
      <c r="K1137" s="40"/>
    </row>
    <row r="1138" spans="1:11" x14ac:dyDescent="0.3">
      <c r="A1138" s="17"/>
      <c r="B1138" s="17"/>
      <c r="K1138" s="40"/>
    </row>
    <row r="1139" spans="1:11" x14ac:dyDescent="0.3">
      <c r="A1139" s="17"/>
      <c r="B1139" s="17"/>
      <c r="K1139" s="40"/>
    </row>
    <row r="1140" spans="1:11" x14ac:dyDescent="0.3">
      <c r="A1140" s="17"/>
      <c r="B1140" s="17"/>
      <c r="K1140" s="40"/>
    </row>
    <row r="1141" spans="1:11" x14ac:dyDescent="0.3">
      <c r="A1141" s="17"/>
      <c r="B1141" s="17"/>
      <c r="K1141" s="40"/>
    </row>
    <row r="1142" spans="1:11" x14ac:dyDescent="0.3">
      <c r="A1142" s="17"/>
      <c r="B1142" s="17"/>
      <c r="K1142" s="40"/>
    </row>
    <row r="1143" spans="1:11" x14ac:dyDescent="0.3">
      <c r="A1143" s="17"/>
      <c r="B1143" s="17"/>
      <c r="K1143" s="40"/>
    </row>
    <row r="1144" spans="1:11" x14ac:dyDescent="0.3">
      <c r="A1144" s="17"/>
      <c r="B1144" s="17"/>
      <c r="K1144" s="40"/>
    </row>
    <row r="1145" spans="1:11" x14ac:dyDescent="0.3">
      <c r="A1145" s="17"/>
      <c r="B1145" s="17"/>
      <c r="K1145" s="40"/>
    </row>
    <row r="1146" spans="1:11" x14ac:dyDescent="0.3">
      <c r="A1146" s="17"/>
      <c r="B1146" s="17"/>
      <c r="K1146" s="40"/>
    </row>
    <row r="1147" spans="1:11" x14ac:dyDescent="0.3">
      <c r="A1147" s="17"/>
      <c r="B1147" s="17"/>
      <c r="K1147" s="40"/>
    </row>
    <row r="1148" spans="1:11" x14ac:dyDescent="0.3">
      <c r="A1148" s="17"/>
      <c r="B1148" s="17"/>
      <c r="K1148" s="40"/>
    </row>
    <row r="1149" spans="1:11" x14ac:dyDescent="0.3">
      <c r="A1149" s="17"/>
      <c r="B1149" s="17"/>
      <c r="K1149" s="40"/>
    </row>
    <row r="1150" spans="1:11" x14ac:dyDescent="0.3">
      <c r="A1150" s="17"/>
      <c r="B1150" s="17"/>
      <c r="K1150" s="40"/>
    </row>
    <row r="1151" spans="1:11" x14ac:dyDescent="0.3">
      <c r="A1151" s="17"/>
      <c r="B1151" s="17"/>
      <c r="K1151" s="40"/>
    </row>
    <row r="1152" spans="1:11" x14ac:dyDescent="0.3">
      <c r="A1152" s="17"/>
      <c r="B1152" s="17"/>
      <c r="K1152" s="40"/>
    </row>
    <row r="1153" spans="1:11" x14ac:dyDescent="0.3">
      <c r="A1153" s="17"/>
      <c r="B1153" s="17"/>
      <c r="K1153" s="40"/>
    </row>
    <row r="1154" spans="1:11" x14ac:dyDescent="0.3">
      <c r="A1154" s="17"/>
      <c r="B1154" s="17"/>
      <c r="K1154" s="40"/>
    </row>
    <row r="1155" spans="1:11" x14ac:dyDescent="0.3">
      <c r="A1155" s="17"/>
      <c r="B1155" s="17"/>
      <c r="K1155" s="40"/>
    </row>
    <row r="1156" spans="1:11" x14ac:dyDescent="0.3">
      <c r="A1156" s="17"/>
      <c r="B1156" s="17"/>
      <c r="K1156" s="40"/>
    </row>
    <row r="1157" spans="1:11" x14ac:dyDescent="0.3">
      <c r="A1157" s="17"/>
      <c r="B1157" s="17"/>
      <c r="K1157" s="40"/>
    </row>
    <row r="1158" spans="1:11" x14ac:dyDescent="0.3">
      <c r="A1158" s="17"/>
      <c r="B1158" s="17"/>
      <c r="K1158" s="40"/>
    </row>
    <row r="1159" spans="1:11" x14ac:dyDescent="0.3">
      <c r="A1159" s="17"/>
      <c r="B1159" s="17"/>
      <c r="K1159" s="40"/>
    </row>
    <row r="1160" spans="1:11" x14ac:dyDescent="0.3">
      <c r="A1160" s="17"/>
      <c r="B1160" s="17"/>
      <c r="K1160" s="40"/>
    </row>
    <row r="1161" spans="1:11" x14ac:dyDescent="0.3">
      <c r="A1161" s="17"/>
      <c r="B1161" s="17"/>
      <c r="K1161" s="40"/>
    </row>
    <row r="1162" spans="1:11" x14ac:dyDescent="0.3">
      <c r="A1162" s="17"/>
      <c r="B1162" s="17"/>
      <c r="K1162" s="40"/>
    </row>
    <row r="1163" spans="1:11" x14ac:dyDescent="0.3">
      <c r="A1163" s="17"/>
      <c r="B1163" s="17"/>
      <c r="K1163" s="40"/>
    </row>
    <row r="1164" spans="1:11" x14ac:dyDescent="0.3">
      <c r="A1164" s="17"/>
      <c r="B1164" s="17"/>
      <c r="K1164" s="40"/>
    </row>
    <row r="1165" spans="1:11" x14ac:dyDescent="0.3">
      <c r="A1165" s="17"/>
      <c r="B1165" s="17"/>
      <c r="K1165" s="40"/>
    </row>
    <row r="1166" spans="1:11" x14ac:dyDescent="0.3">
      <c r="A1166" s="17"/>
      <c r="B1166" s="17"/>
      <c r="K1166" s="40"/>
    </row>
    <row r="1167" spans="1:11" x14ac:dyDescent="0.3">
      <c r="A1167" s="17"/>
      <c r="B1167" s="17"/>
      <c r="K1167" s="40"/>
    </row>
    <row r="1168" spans="1:11" x14ac:dyDescent="0.3">
      <c r="A1168" s="17"/>
      <c r="B1168" s="17"/>
      <c r="K1168" s="40"/>
    </row>
    <row r="1169" spans="1:11" x14ac:dyDescent="0.3">
      <c r="A1169" s="17"/>
      <c r="B1169" s="17"/>
      <c r="K1169" s="40"/>
    </row>
    <row r="1170" spans="1:11" x14ac:dyDescent="0.3">
      <c r="A1170" s="17"/>
      <c r="B1170" s="17"/>
      <c r="K1170" s="40"/>
    </row>
    <row r="1171" spans="1:11" x14ac:dyDescent="0.3">
      <c r="A1171" s="17"/>
      <c r="B1171" s="17"/>
      <c r="K1171" s="40"/>
    </row>
    <row r="1172" spans="1:11" x14ac:dyDescent="0.3">
      <c r="A1172" s="17"/>
      <c r="B1172" s="17"/>
      <c r="K1172" s="40"/>
    </row>
    <row r="1173" spans="1:11" x14ac:dyDescent="0.3">
      <c r="A1173" s="17"/>
      <c r="B1173" s="17"/>
      <c r="K1173" s="40"/>
    </row>
    <row r="1174" spans="1:11" x14ac:dyDescent="0.3">
      <c r="A1174" s="17"/>
      <c r="B1174" s="17"/>
      <c r="K1174" s="40"/>
    </row>
    <row r="1175" spans="1:11" x14ac:dyDescent="0.3">
      <c r="A1175" s="17"/>
      <c r="B1175" s="17"/>
      <c r="K1175" s="40"/>
    </row>
    <row r="1176" spans="1:11" x14ac:dyDescent="0.3">
      <c r="A1176" s="17"/>
      <c r="B1176" s="17"/>
      <c r="K1176" s="40"/>
    </row>
    <row r="1177" spans="1:11" x14ac:dyDescent="0.3">
      <c r="A1177" s="17"/>
      <c r="B1177" s="17"/>
      <c r="K1177" s="40"/>
    </row>
    <row r="1178" spans="1:11" x14ac:dyDescent="0.3">
      <c r="A1178" s="17"/>
      <c r="B1178" s="17"/>
      <c r="K1178" s="40"/>
    </row>
    <row r="1179" spans="1:11" x14ac:dyDescent="0.3">
      <c r="A1179" s="17"/>
      <c r="B1179" s="17"/>
      <c r="K1179" s="40"/>
    </row>
    <row r="1180" spans="1:11" x14ac:dyDescent="0.3">
      <c r="A1180" s="17"/>
      <c r="B1180" s="17"/>
      <c r="K1180" s="40"/>
    </row>
    <row r="1181" spans="1:11" x14ac:dyDescent="0.3">
      <c r="A1181" s="17"/>
      <c r="B1181" s="17"/>
      <c r="K1181" s="40"/>
    </row>
    <row r="1182" spans="1:11" x14ac:dyDescent="0.3">
      <c r="A1182" s="17"/>
      <c r="B1182" s="17"/>
      <c r="K1182" s="40"/>
    </row>
    <row r="1183" spans="1:11" x14ac:dyDescent="0.3">
      <c r="A1183" s="17"/>
      <c r="B1183" s="17"/>
      <c r="K1183" s="40"/>
    </row>
  </sheetData>
  <phoneticPr fontId="0" type="noConversion"/>
  <pageMargins left="0.75" right="0.75" top="1" bottom="1" header="0.5" footer="0.5"/>
  <pageSetup scale="46" orientation="landscape" r:id="rId1"/>
  <headerFooter alignWithMargins="0"/>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70"/>
  <sheetViews>
    <sheetView topLeftCell="A5" workbookViewId="0">
      <selection activeCell="B46" sqref="B46"/>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5.0898437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8" x14ac:dyDescent="0.3">
      <c r="A1" s="61" t="s">
        <v>146</v>
      </c>
      <c r="B1" s="50" t="str">
        <f>model</f>
        <v>ME Grain &amp; Pulse</v>
      </c>
    </row>
    <row r="3" spans="1:8" x14ac:dyDescent="0.3">
      <c r="A3" s="7" t="s">
        <v>98</v>
      </c>
      <c r="B3" s="55" t="s">
        <v>92</v>
      </c>
      <c r="C3" s="54">
        <f>potato</f>
        <v>0</v>
      </c>
      <c r="D3" s="17" t="s">
        <v>93</v>
      </c>
    </row>
    <row r="4" spans="1:8" x14ac:dyDescent="0.3">
      <c r="A4" s="8"/>
      <c r="B4" s="55" t="s">
        <v>232</v>
      </c>
      <c r="C4" s="157">
        <f>Data!B132</f>
        <v>282.5</v>
      </c>
      <c r="D4" s="17" t="s">
        <v>233</v>
      </c>
    </row>
    <row r="5" spans="1:8" x14ac:dyDescent="0.3">
      <c r="B5" s="55" t="s">
        <v>284</v>
      </c>
      <c r="C5" s="116">
        <f>Data!B125</f>
        <v>10</v>
      </c>
      <c r="D5" s="79" t="s">
        <v>285</v>
      </c>
    </row>
    <row r="6" spans="1:8" x14ac:dyDescent="0.3">
      <c r="B6" s="55"/>
      <c r="C6" s="53"/>
      <c r="D6" s="79"/>
    </row>
    <row r="7" spans="1:8" ht="15.5" x14ac:dyDescent="0.35">
      <c r="A7" s="751" t="s">
        <v>98</v>
      </c>
      <c r="B7" s="697" t="s">
        <v>76</v>
      </c>
      <c r="C7" s="697"/>
      <c r="D7" s="697" t="s">
        <v>77</v>
      </c>
      <c r="E7" s="698"/>
      <c r="F7" s="697" t="s">
        <v>231</v>
      </c>
      <c r="G7" s="300">
        <v>0</v>
      </c>
      <c r="H7" s="301" t="s">
        <v>167</v>
      </c>
    </row>
    <row r="8" spans="1:8" ht="15.5" x14ac:dyDescent="0.35">
      <c r="A8" s="699" t="s">
        <v>362</v>
      </c>
      <c r="B8" s="768">
        <f>C3</f>
        <v>0</v>
      </c>
      <c r="C8" s="769"/>
      <c r="D8" s="702" t="s">
        <v>363</v>
      </c>
      <c r="E8" s="699"/>
      <c r="F8" s="702" t="s">
        <v>363</v>
      </c>
    </row>
    <row r="9" spans="1:8" ht="15.5" x14ac:dyDescent="0.35">
      <c r="A9" s="699" t="s">
        <v>364</v>
      </c>
      <c r="B9" s="768">
        <f>C4*C3</f>
        <v>0</v>
      </c>
      <c r="C9" s="769"/>
      <c r="D9" s="770">
        <f>C4</f>
        <v>282.5</v>
      </c>
      <c r="E9" s="699"/>
      <c r="F9" s="702" t="s">
        <v>363</v>
      </c>
    </row>
    <row r="10" spans="1:8" ht="15" customHeight="1" x14ac:dyDescent="0.35">
      <c r="A10" s="699" t="s">
        <v>57</v>
      </c>
      <c r="B10" s="702" t="s">
        <v>363</v>
      </c>
      <c r="C10" s="716"/>
      <c r="D10" s="702" t="s">
        <v>363</v>
      </c>
      <c r="E10" s="752"/>
      <c r="F10" s="716">
        <f>C5</f>
        <v>10</v>
      </c>
    </row>
    <row r="11" spans="1:8" ht="15.5" x14ac:dyDescent="0.35">
      <c r="A11" s="699"/>
      <c r="B11" s="706"/>
      <c r="C11" s="706"/>
      <c r="D11" s="706"/>
      <c r="E11" s="744"/>
      <c r="F11" s="706"/>
    </row>
    <row r="12" spans="1:8" ht="15" x14ac:dyDescent="0.3">
      <c r="A12" s="709" t="s">
        <v>230</v>
      </c>
      <c r="B12" s="710">
        <f>SUMPRODUCT(Data!B126:B128,Data!B132:B134)*potato+G7*SUMPRODUCT(Data!B126:B128,Data!D132:D134)*potato</f>
        <v>0</v>
      </c>
      <c r="C12" s="711"/>
      <c r="D12" s="711" t="e">
        <f>B12/potato</f>
        <v>#DIV/0!</v>
      </c>
      <c r="E12" s="756"/>
      <c r="F12" s="711" t="e">
        <f>B12/(Data!$B$132*potato+Data!$D$132*potato*$G$7)</f>
        <v>#DIV/0!</v>
      </c>
    </row>
    <row r="13" spans="1:8" ht="15.5" x14ac:dyDescent="0.35">
      <c r="A13" s="699"/>
      <c r="B13" s="721"/>
      <c r="C13" s="722"/>
      <c r="D13" s="716"/>
      <c r="E13" s="752"/>
      <c r="F13" s="716"/>
    </row>
    <row r="14" spans="1:8" ht="15.5" x14ac:dyDescent="0.35">
      <c r="A14" s="709" t="s">
        <v>365</v>
      </c>
      <c r="B14" s="715"/>
      <c r="C14" s="716"/>
      <c r="D14" s="716"/>
      <c r="E14" s="752"/>
      <c r="F14" s="716"/>
    </row>
    <row r="15" spans="1:8" ht="15.5" x14ac:dyDescent="0.35">
      <c r="A15" s="714" t="s">
        <v>13</v>
      </c>
      <c r="B15" s="715">
        <f>SUM(PotOprC!H11:H12)</f>
        <v>0</v>
      </c>
      <c r="C15" s="716"/>
      <c r="D15" s="716" t="e">
        <f>B15/potato</f>
        <v>#DIV/0!</v>
      </c>
      <c r="E15" s="752"/>
      <c r="F15" s="716" t="e">
        <f>B15/(Data!$B$132*potato+Data!$D$132*potato*$G$7)</f>
        <v>#DIV/0!</v>
      </c>
    </row>
    <row r="16" spans="1:8" ht="15.5" x14ac:dyDescent="0.35">
      <c r="A16" s="714" t="s">
        <v>1</v>
      </c>
      <c r="B16" s="715">
        <f>SUM(PotOprC!H14:H15)+PotOprC!H16</f>
        <v>0</v>
      </c>
      <c r="C16" s="716"/>
      <c r="D16" s="716" t="e">
        <f>B16/potato</f>
        <v>#DIV/0!</v>
      </c>
      <c r="E16" s="752"/>
      <c r="F16" s="716" t="e">
        <f>B16/(Data!$B$132*potato+Data!$D$132*potato*$G$7)</f>
        <v>#DIV/0!</v>
      </c>
    </row>
    <row r="17" spans="1:6" ht="15.5" x14ac:dyDescent="0.35">
      <c r="A17" s="714" t="s">
        <v>2</v>
      </c>
      <c r="B17" s="715">
        <f>PotOprC!H17</f>
        <v>0</v>
      </c>
      <c r="C17" s="716"/>
      <c r="D17" s="716" t="e">
        <f>B17/potato</f>
        <v>#DIV/0!</v>
      </c>
      <c r="E17" s="752"/>
      <c r="F17" s="716" t="e">
        <f>B17/(Data!$B$132*potato+Data!$D$132*potato*$G$7)</f>
        <v>#DIV/0!</v>
      </c>
    </row>
    <row r="18" spans="1:6" ht="15.5" x14ac:dyDescent="0.35">
      <c r="A18" s="714" t="s">
        <v>1476</v>
      </c>
      <c r="B18" s="699"/>
      <c r="C18" s="699"/>
      <c r="D18" s="699"/>
      <c r="E18" s="699"/>
      <c r="F18" s="699"/>
    </row>
    <row r="19" spans="1:6" ht="15.5" x14ac:dyDescent="0.35">
      <c r="A19" s="714" t="s">
        <v>1119</v>
      </c>
      <c r="B19" s="715">
        <f>SUM(PotOprC!H19:H21)</f>
        <v>0</v>
      </c>
      <c r="C19" s="716"/>
      <c r="D19" s="716" t="e">
        <f t="shared" ref="D19:D24" si="0">B19/potato</f>
        <v>#DIV/0!</v>
      </c>
      <c r="E19" s="752"/>
      <c r="F19" s="716" t="e">
        <f>B19/(Data!$B$132*potato+Data!$D$132*potato*$G$7)</f>
        <v>#DIV/0!</v>
      </c>
    </row>
    <row r="20" spans="1:6" ht="15.5" x14ac:dyDescent="0.35">
      <c r="A20" s="714" t="s">
        <v>1120</v>
      </c>
      <c r="B20" s="715">
        <f>SUM(PotOprC!H22:H25)</f>
        <v>0</v>
      </c>
      <c r="C20" s="716"/>
      <c r="D20" s="716" t="e">
        <f t="shared" si="0"/>
        <v>#DIV/0!</v>
      </c>
      <c r="E20" s="752"/>
      <c r="F20" s="716" t="e">
        <f>B20/(Data!$B$132*potato+Data!$D$132*potato*$G$7)</f>
        <v>#DIV/0!</v>
      </c>
    </row>
    <row r="21" spans="1:6" ht="15.5" x14ac:dyDescent="0.35">
      <c r="A21" s="714" t="s">
        <v>1121</v>
      </c>
      <c r="B21" s="715">
        <f>SUM(PotOprC!H26:H28)</f>
        <v>0</v>
      </c>
      <c r="C21" s="716"/>
      <c r="D21" s="716" t="e">
        <f t="shared" si="0"/>
        <v>#DIV/0!</v>
      </c>
      <c r="E21" s="752"/>
      <c r="F21" s="716" t="e">
        <f>B21/(Data!$B$132*potato+Data!$D$132*potato*$G$7)</f>
        <v>#DIV/0!</v>
      </c>
    </row>
    <row r="22" spans="1:6" ht="15.5" x14ac:dyDescent="0.35">
      <c r="A22" s="714" t="s">
        <v>1122</v>
      </c>
      <c r="B22" s="715">
        <f>SUM(PotOprC!H29:H30)</f>
        <v>0</v>
      </c>
      <c r="C22" s="716"/>
      <c r="D22" s="716" t="e">
        <f t="shared" si="0"/>
        <v>#DIV/0!</v>
      </c>
      <c r="E22" s="752"/>
      <c r="F22" s="716" t="e">
        <f>B22/(Data!$B$132*potato+Data!$D$132*potato*$G$7)</f>
        <v>#DIV/0!</v>
      </c>
    </row>
    <row r="23" spans="1:6" ht="15.5" x14ac:dyDescent="0.35">
      <c r="A23" s="714" t="s">
        <v>1123</v>
      </c>
      <c r="B23" s="715">
        <f>SUM(PotOprC!H31:H34)</f>
        <v>0</v>
      </c>
      <c r="C23" s="716"/>
      <c r="D23" s="716" t="e">
        <f t="shared" si="0"/>
        <v>#DIV/0!</v>
      </c>
      <c r="E23" s="752"/>
      <c r="F23" s="716" t="e">
        <f>B23/(Data!$B$132*potato+Data!$D$132*potato*$G$7)</f>
        <v>#DIV/0!</v>
      </c>
    </row>
    <row r="24" spans="1:6" ht="15.5" x14ac:dyDescent="0.35">
      <c r="A24" s="714" t="s">
        <v>1124</v>
      </c>
      <c r="B24" s="715">
        <f>SUM(PotOprC!H35:H36)</f>
        <v>0</v>
      </c>
      <c r="C24" s="716"/>
      <c r="D24" s="716" t="e">
        <f t="shared" si="0"/>
        <v>#DIV/0!</v>
      </c>
      <c r="E24" s="752"/>
      <c r="F24" s="716" t="e">
        <f>B24/(Data!$B$132*potato+Data!$D$132*potato*$G$7)</f>
        <v>#DIV/0!</v>
      </c>
    </row>
    <row r="25" spans="1:6" ht="15.5" x14ac:dyDescent="0.35">
      <c r="A25" s="714" t="s">
        <v>14</v>
      </c>
      <c r="B25" s="715">
        <f>SUM(PotOprC!H38:H59)</f>
        <v>0</v>
      </c>
      <c r="C25" s="716"/>
      <c r="D25" s="716" t="e">
        <f>B25/potato</f>
        <v>#DIV/0!</v>
      </c>
      <c r="E25" s="752"/>
      <c r="F25" s="716" t="e">
        <f>B25/(Data!$B$132*potato+Data!$D$132*potato*$G$7)</f>
        <v>#DIV/0!</v>
      </c>
    </row>
    <row r="26" spans="1:6" ht="15.5" x14ac:dyDescent="0.35">
      <c r="A26" s="714" t="s">
        <v>169</v>
      </c>
      <c r="B26" s="715">
        <f>SUM(PotOprC!H63:H84)+PotOprC!H87</f>
        <v>0</v>
      </c>
      <c r="C26" s="716"/>
      <c r="D26" s="716" t="e">
        <f>B26/potato</f>
        <v>#DIV/0!</v>
      </c>
      <c r="E26" s="752"/>
      <c r="F26" s="716" t="e">
        <f>B26/(Data!$B$132*potato+Data!$D$132*potato*$G$7)</f>
        <v>#DIV/0!</v>
      </c>
    </row>
    <row r="27" spans="1:6" ht="15.5" x14ac:dyDescent="0.35">
      <c r="A27" s="714" t="s">
        <v>78</v>
      </c>
      <c r="B27" s="732">
        <f>SUM(PotOprC!H88:H89)</f>
        <v>0</v>
      </c>
      <c r="C27" s="733"/>
      <c r="D27" s="716" t="e">
        <f>B27/potato</f>
        <v>#DIV/0!</v>
      </c>
      <c r="E27" s="752"/>
      <c r="F27" s="716" t="e">
        <f>B27/(Data!$B$132*potato+Data!$D$132*potato*$G$7)</f>
        <v>#DIV/0!</v>
      </c>
    </row>
    <row r="28" spans="1:6" ht="15.5" x14ac:dyDescent="0.35">
      <c r="A28" s="714" t="s">
        <v>170</v>
      </c>
      <c r="B28" s="732">
        <f>PotOprC!H90</f>
        <v>0</v>
      </c>
      <c r="C28" s="733"/>
      <c r="D28" s="716" t="e">
        <f>B28/potato</f>
        <v>#DIV/0!</v>
      </c>
      <c r="E28" s="752"/>
      <c r="F28" s="716" t="e">
        <f>B28/(Data!$B$132*potato+Data!$D$132*potato*$G$7)</f>
        <v>#DIV/0!</v>
      </c>
    </row>
    <row r="29" spans="1:6" ht="15.5" x14ac:dyDescent="0.35">
      <c r="A29" s="714" t="s">
        <v>171</v>
      </c>
      <c r="B29" s="732">
        <f>SUM(PotOprC!H91:H92)</f>
        <v>0</v>
      </c>
      <c r="C29" s="733"/>
      <c r="D29" s="716" t="e">
        <f>B29/potato</f>
        <v>#DIV/0!</v>
      </c>
      <c r="E29" s="752"/>
      <c r="F29" s="716" t="e">
        <f>B29/(Data!$B$132*potato+Data!$D$132*potato*$G$7)</f>
        <v>#DIV/0!</v>
      </c>
    </row>
    <row r="30" spans="1:6" ht="15.5" x14ac:dyDescent="0.35">
      <c r="A30" s="714" t="s">
        <v>172</v>
      </c>
      <c r="B30" s="699"/>
      <c r="C30" s="699"/>
      <c r="D30" s="699"/>
      <c r="E30" s="699"/>
      <c r="F30" s="699"/>
    </row>
    <row r="31" spans="1:6" ht="15.5" x14ac:dyDescent="0.35">
      <c r="A31" s="734" t="s">
        <v>378</v>
      </c>
      <c r="B31" s="732">
        <f>PotOprC!H94</f>
        <v>0</v>
      </c>
      <c r="C31" s="733"/>
      <c r="D31" s="716" t="e">
        <f t="shared" ref="D31:D36" si="1">B31/potato</f>
        <v>#DIV/0!</v>
      </c>
      <c r="E31" s="752"/>
      <c r="F31" s="716" t="e">
        <f t="shared" ref="F31:F36" si="2">B31/($C$4*potato)</f>
        <v>#DIV/0!</v>
      </c>
    </row>
    <row r="32" spans="1:6" ht="15.5" x14ac:dyDescent="0.35">
      <c r="A32" s="734" t="s">
        <v>379</v>
      </c>
      <c r="B32" s="732">
        <f>PotOprC!H95</f>
        <v>0</v>
      </c>
      <c r="C32" s="733"/>
      <c r="D32" s="715" t="e">
        <f t="shared" si="1"/>
        <v>#DIV/0!</v>
      </c>
      <c r="E32" s="753"/>
      <c r="F32" s="715" t="e">
        <f t="shared" si="2"/>
        <v>#DIV/0!</v>
      </c>
    </row>
    <row r="33" spans="1:12" ht="15.5" x14ac:dyDescent="0.35">
      <c r="A33" s="734" t="s">
        <v>380</v>
      </c>
      <c r="B33" s="732">
        <f>SUM(PotOprC!H97:H98)</f>
        <v>0</v>
      </c>
      <c r="C33" s="733"/>
      <c r="D33" s="716" t="e">
        <f t="shared" si="1"/>
        <v>#DIV/0!</v>
      </c>
      <c r="E33" s="752"/>
      <c r="F33" s="716" t="e">
        <f t="shared" si="2"/>
        <v>#DIV/0!</v>
      </c>
    </row>
    <row r="34" spans="1:12" ht="15.5" x14ac:dyDescent="0.35">
      <c r="A34" s="734" t="s">
        <v>381</v>
      </c>
      <c r="B34" s="732">
        <f>PotOprC!H61+PotOprC!H86</f>
        <v>0</v>
      </c>
      <c r="C34" s="733"/>
      <c r="D34" s="716" t="e">
        <f t="shared" si="1"/>
        <v>#DIV/0!</v>
      </c>
      <c r="E34" s="752"/>
      <c r="F34" s="716" t="e">
        <f t="shared" si="2"/>
        <v>#DIV/0!</v>
      </c>
    </row>
    <row r="35" spans="1:12" ht="15.5" x14ac:dyDescent="0.35">
      <c r="A35" s="734" t="s">
        <v>382</v>
      </c>
      <c r="B35" s="732">
        <f>PotOprC!H60+PotOprC!H85</f>
        <v>0</v>
      </c>
      <c r="C35" s="733"/>
      <c r="D35" s="716" t="e">
        <f t="shared" si="1"/>
        <v>#DIV/0!</v>
      </c>
      <c r="E35" s="752"/>
      <c r="F35" s="716" t="e">
        <f t="shared" si="2"/>
        <v>#DIV/0!</v>
      </c>
    </row>
    <row r="36" spans="1:12" ht="15.5" x14ac:dyDescent="0.35">
      <c r="A36" s="734" t="s">
        <v>383</v>
      </c>
      <c r="B36" s="732">
        <f>SUM(PotOprC!H102:H103)</f>
        <v>0</v>
      </c>
      <c r="C36" s="733"/>
      <c r="D36" s="716" t="e">
        <f t="shared" si="1"/>
        <v>#DIV/0!</v>
      </c>
      <c r="E36" s="752"/>
      <c r="F36" s="716" t="e">
        <f t="shared" si="2"/>
        <v>#DIV/0!</v>
      </c>
    </row>
    <row r="37" spans="1:12" ht="15.5" x14ac:dyDescent="0.35">
      <c r="A37" s="714" t="s">
        <v>69</v>
      </c>
      <c r="B37" s="732">
        <f>SUM(PotOprC!H107)</f>
        <v>0</v>
      </c>
      <c r="C37" s="733"/>
      <c r="D37" s="733" t="e">
        <f>B37/potato</f>
        <v>#DIV/0!</v>
      </c>
      <c r="E37" s="752"/>
      <c r="F37" s="733" t="e">
        <f>B37/(Data!$B$132*potato+Data!$D$132*potato*$G$7)</f>
        <v>#DIV/0!</v>
      </c>
    </row>
    <row r="38" spans="1:12" ht="15" x14ac:dyDescent="0.3">
      <c r="A38" s="709" t="s">
        <v>366</v>
      </c>
      <c r="B38" s="735">
        <f>SUM(B15:B37)</f>
        <v>0</v>
      </c>
      <c r="C38" s="736"/>
      <c r="D38" s="736" t="e">
        <f>SUM(D15:D37)</f>
        <v>#DIV/0!</v>
      </c>
      <c r="E38" s="736"/>
      <c r="F38" s="736" t="e">
        <f>SUM(F15:F37)</f>
        <v>#DIV/0!</v>
      </c>
    </row>
    <row r="39" spans="1:12" ht="15.5" x14ac:dyDescent="0.35">
      <c r="A39" s="738"/>
      <c r="B39" s="732"/>
      <c r="C39" s="733"/>
      <c r="D39" s="733"/>
      <c r="E39" s="757"/>
      <c r="F39" s="757"/>
    </row>
    <row r="40" spans="1:12" ht="15.5" x14ac:dyDescent="0.35">
      <c r="A40" s="709" t="s">
        <v>367</v>
      </c>
      <c r="B40" s="732"/>
      <c r="C40" s="733"/>
      <c r="D40" s="733"/>
      <c r="E40" s="757"/>
      <c r="F40" s="757"/>
    </row>
    <row r="41" spans="1:12" ht="15.5" x14ac:dyDescent="0.35">
      <c r="A41" s="714" t="s">
        <v>29</v>
      </c>
      <c r="B41" s="732"/>
      <c r="C41" s="733"/>
      <c r="D41" s="733"/>
      <c r="E41" s="757"/>
      <c r="F41" s="733"/>
      <c r="H41" s="764" t="s">
        <v>29</v>
      </c>
    </row>
    <row r="42" spans="1:12" ht="15.5" x14ac:dyDescent="0.35">
      <c r="A42" s="734" t="s">
        <v>1240</v>
      </c>
      <c r="B42" s="732">
        <f>SUM(PotOwnC!H8:H18)</f>
        <v>0</v>
      </c>
      <c r="C42" s="733"/>
      <c r="D42" s="733" t="e">
        <f t="shared" ref="D42:D54" si="3">B42/potato</f>
        <v>#DIV/0!</v>
      </c>
      <c r="E42" s="757"/>
      <c r="F42" s="733" t="e">
        <f>B42/(Data!$B$132*potato+Data!$D$132*potato*$G$7)</f>
        <v>#DIV/0!</v>
      </c>
      <c r="H42" s="697" t="s">
        <v>76</v>
      </c>
      <c r="I42" s="697"/>
      <c r="J42" s="697" t="s">
        <v>77</v>
      </c>
      <c r="K42" s="698"/>
      <c r="L42" s="697" t="s">
        <v>231</v>
      </c>
    </row>
    <row r="43" spans="1:12" ht="15.5" x14ac:dyDescent="0.35">
      <c r="A43" s="734" t="s">
        <v>1241</v>
      </c>
      <c r="B43" s="732">
        <f>SUM(PotOwnC!H19:H26)</f>
        <v>0</v>
      </c>
      <c r="C43" s="733"/>
      <c r="D43" s="733" t="e">
        <f t="shared" si="3"/>
        <v>#DIV/0!</v>
      </c>
      <c r="E43" s="757"/>
      <c r="F43" s="733" t="e">
        <f>B43/(Data!$B$132*potato+Data!$D$132*potato*$G$7)</f>
        <v>#DIV/0!</v>
      </c>
      <c r="H43" s="763">
        <f>SUM(B42:B53)</f>
        <v>0</v>
      </c>
      <c r="J43" s="756" t="e">
        <f>SUM(D42:D53)</f>
        <v>#DIV/0!</v>
      </c>
      <c r="L43" s="756" t="e">
        <f>SUM(F42:F53)</f>
        <v>#DIV/0!</v>
      </c>
    </row>
    <row r="44" spans="1:12" ht="15.5" x14ac:dyDescent="0.35">
      <c r="A44" s="734" t="s">
        <v>1243</v>
      </c>
      <c r="B44" s="732">
        <f>SUM(PotOwnC!H27:H33)</f>
        <v>0</v>
      </c>
      <c r="C44" s="733"/>
      <c r="D44" s="733" t="e">
        <f t="shared" si="3"/>
        <v>#DIV/0!</v>
      </c>
      <c r="E44" s="757"/>
      <c r="F44" s="733" t="e">
        <f>B44/(Data!$B$132*potato+Data!$D$132*potato*$G$7)</f>
        <v>#DIV/0!</v>
      </c>
    </row>
    <row r="45" spans="1:12" ht="15.5" x14ac:dyDescent="0.35">
      <c r="A45" s="734" t="s">
        <v>1242</v>
      </c>
      <c r="B45" s="732">
        <f>SUM(PotOwnC!H34:H40)</f>
        <v>0</v>
      </c>
      <c r="C45" s="733"/>
      <c r="D45" s="733" t="e">
        <f t="shared" si="3"/>
        <v>#DIV/0!</v>
      </c>
      <c r="E45" s="757"/>
      <c r="F45" s="733" t="e">
        <f>B45/(Data!$B$132*potato+Data!$D$132*potato*$G$7)</f>
        <v>#DIV/0!</v>
      </c>
    </row>
    <row r="46" spans="1:12" ht="15.5" x14ac:dyDescent="0.35">
      <c r="A46" s="734" t="s">
        <v>1244</v>
      </c>
      <c r="B46" s="732">
        <f>SUM(PotOwnC!H41:H43)</f>
        <v>0</v>
      </c>
      <c r="C46" s="733"/>
      <c r="D46" s="733" t="e">
        <f t="shared" si="3"/>
        <v>#DIV/0!</v>
      </c>
      <c r="E46" s="757"/>
      <c r="F46" s="733" t="e">
        <f>B46/(Data!$B$132*potato+Data!$D$132*potato*$G$7)</f>
        <v>#DIV/0!</v>
      </c>
    </row>
    <row r="47" spans="1:12" ht="15.5" x14ac:dyDescent="0.35">
      <c r="A47" s="734" t="s">
        <v>1245</v>
      </c>
      <c r="B47" s="732">
        <f>SUM(PotOwnC!H44:H50)</f>
        <v>0</v>
      </c>
      <c r="C47" s="733"/>
      <c r="D47" s="732" t="e">
        <f t="shared" si="3"/>
        <v>#DIV/0!</v>
      </c>
      <c r="E47" s="762"/>
      <c r="F47" s="732" t="e">
        <f>B47/(Data!$B$132*potato+Data!$D$132*potato*$G$7)</f>
        <v>#DIV/0!</v>
      </c>
    </row>
    <row r="48" spans="1:12" ht="15.5" x14ac:dyDescent="0.35">
      <c r="A48" s="734" t="s">
        <v>1246</v>
      </c>
      <c r="B48" s="732">
        <f>SUM(PotOwnC!H51:H54)</f>
        <v>0</v>
      </c>
      <c r="C48" s="733"/>
      <c r="D48" s="733" t="e">
        <f t="shared" si="3"/>
        <v>#DIV/0!</v>
      </c>
      <c r="E48" s="757"/>
      <c r="F48" s="733" t="e">
        <f>B48/(Data!$B$132*potato+Data!$D$132*potato*$G$7)</f>
        <v>#DIV/0!</v>
      </c>
    </row>
    <row r="49" spans="1:8" ht="15.5" x14ac:dyDescent="0.35">
      <c r="A49" s="734" t="s">
        <v>1247</v>
      </c>
      <c r="B49" s="732">
        <f>SUM(PotOwnC!H55:H58)</f>
        <v>0</v>
      </c>
      <c r="C49" s="733"/>
      <c r="D49" s="733" t="e">
        <f t="shared" si="3"/>
        <v>#DIV/0!</v>
      </c>
      <c r="E49" s="757"/>
      <c r="F49" s="774" t="e">
        <f>B49/(Data!$B$132*potato+Data!$D$132*potato*$G$7)</f>
        <v>#DIV/0!</v>
      </c>
    </row>
    <row r="50" spans="1:8" ht="15.5" x14ac:dyDescent="0.35">
      <c r="A50" s="734" t="s">
        <v>1250</v>
      </c>
      <c r="B50" s="732">
        <f>SUM(PotOwnC!H59:H65)</f>
        <v>0</v>
      </c>
      <c r="C50" s="733"/>
      <c r="D50" s="733" t="e">
        <f t="shared" si="3"/>
        <v>#DIV/0!</v>
      </c>
      <c r="E50" s="757"/>
      <c r="F50" s="733" t="e">
        <f>B50/(Data!$B$132*potato+Data!$D$132*potato*$G$7)</f>
        <v>#DIV/0!</v>
      </c>
    </row>
    <row r="51" spans="1:8" ht="15.5" x14ac:dyDescent="0.35">
      <c r="A51" s="734" t="s">
        <v>1304</v>
      </c>
      <c r="B51" s="732">
        <f>0</f>
        <v>0</v>
      </c>
      <c r="C51" s="733"/>
      <c r="D51" s="732" t="e">
        <f t="shared" si="3"/>
        <v>#DIV/0!</v>
      </c>
      <c r="E51" s="762"/>
      <c r="F51" s="732" t="e">
        <f>B51/(Data!$B$132*potato+Data!$D$132*potato*$G$7)</f>
        <v>#DIV/0!</v>
      </c>
    </row>
    <row r="52" spans="1:8" ht="15.5" x14ac:dyDescent="0.35">
      <c r="A52" s="734" t="s">
        <v>1248</v>
      </c>
      <c r="B52" s="732">
        <f>SUM(PotOwnC!H66:H67)</f>
        <v>0</v>
      </c>
      <c r="C52" s="733"/>
      <c r="D52" s="733" t="e">
        <f t="shared" si="3"/>
        <v>#DIV/0!</v>
      </c>
      <c r="E52" s="757"/>
      <c r="F52" s="733" t="e">
        <f>B52/(Data!$B$132*potato+Data!$D$132*potato*$G$7)</f>
        <v>#DIV/0!</v>
      </c>
    </row>
    <row r="53" spans="1:8" ht="15.5" x14ac:dyDescent="0.35">
      <c r="A53" s="734" t="s">
        <v>1249</v>
      </c>
      <c r="B53" s="732">
        <f>SUM(PotOwnC!H68:H71)</f>
        <v>0</v>
      </c>
      <c r="C53" s="733"/>
      <c r="D53" s="733" t="e">
        <f t="shared" si="3"/>
        <v>#DIV/0!</v>
      </c>
      <c r="E53" s="757"/>
      <c r="F53" s="733" t="e">
        <f>B53/(Data!$B$132*potato+Data!$D$132*potato*$G$7)</f>
        <v>#DIV/0!</v>
      </c>
    </row>
    <row r="54" spans="1:8" ht="15.5" x14ac:dyDescent="0.35">
      <c r="A54" s="714" t="s">
        <v>79</v>
      </c>
      <c r="B54" s="732">
        <f>PotOwnC!L76</f>
        <v>0</v>
      </c>
      <c r="C54" s="733"/>
      <c r="D54" s="733" t="e">
        <f t="shared" si="3"/>
        <v>#DIV/0!</v>
      </c>
      <c r="E54" s="757"/>
      <c r="F54" s="733" t="e">
        <f>B54/(Data!$B$132*potato+Data!$D$132*potato*$G$7)</f>
        <v>#DIV/0!</v>
      </c>
    </row>
    <row r="55" spans="1:8" ht="15" x14ac:dyDescent="0.3">
      <c r="A55" s="709" t="s">
        <v>368</v>
      </c>
      <c r="B55" s="735">
        <f>SUM(B41:B54)</f>
        <v>0</v>
      </c>
      <c r="C55" s="736"/>
      <c r="D55" s="736" t="e">
        <f>SUM(D41:D54)</f>
        <v>#DIV/0!</v>
      </c>
      <c r="E55" s="736"/>
      <c r="F55" s="736" t="e">
        <f>SUM(F41:F54)</f>
        <v>#DIV/0!</v>
      </c>
    </row>
    <row r="56" spans="1:8" ht="15.5" x14ac:dyDescent="0.35">
      <c r="A56" s="699"/>
      <c r="B56" s="735"/>
      <c r="C56" s="736"/>
      <c r="D56" s="736"/>
      <c r="E56" s="758"/>
      <c r="F56" s="758"/>
    </row>
    <row r="57" spans="1:8" ht="15" x14ac:dyDescent="0.3">
      <c r="A57" s="709" t="s">
        <v>80</v>
      </c>
      <c r="B57" s="735">
        <f>B55+B38</f>
        <v>0</v>
      </c>
      <c r="C57" s="736"/>
      <c r="D57" s="736" t="e">
        <f>D55+D38</f>
        <v>#DIV/0!</v>
      </c>
      <c r="E57" s="736"/>
      <c r="F57" s="736" t="e">
        <f>F55+F38</f>
        <v>#DIV/0!</v>
      </c>
      <c r="H57" s="52"/>
    </row>
    <row r="58" spans="1:8" ht="15.5" x14ac:dyDescent="0.35">
      <c r="A58" s="742"/>
      <c r="B58" s="735"/>
      <c r="C58" s="736"/>
      <c r="D58" s="736"/>
      <c r="E58" s="736"/>
      <c r="F58" s="736"/>
    </row>
    <row r="59" spans="1:8" ht="15" x14ac:dyDescent="0.3">
      <c r="A59" s="709" t="s">
        <v>355</v>
      </c>
      <c r="B59" s="710">
        <f>B12-B57</f>
        <v>0</v>
      </c>
      <c r="C59" s="736"/>
      <c r="D59" s="711" t="e">
        <f>D12-D57</f>
        <v>#DIV/0!</v>
      </c>
      <c r="E59" s="736"/>
      <c r="F59" s="711" t="e">
        <f>F12-F57</f>
        <v>#DIV/0!</v>
      </c>
    </row>
    <row r="60" spans="1:8" ht="15" x14ac:dyDescent="0.3">
      <c r="A60" s="709" t="s">
        <v>356</v>
      </c>
      <c r="B60" s="735">
        <f>B12-B38</f>
        <v>0</v>
      </c>
      <c r="C60" s="736"/>
      <c r="D60" s="736" t="e">
        <f>D12-D38</f>
        <v>#DIV/0!</v>
      </c>
      <c r="E60" s="736"/>
      <c r="F60" s="736" t="e">
        <f>F12-F38</f>
        <v>#DIV/0!</v>
      </c>
    </row>
    <row r="61" spans="1:8" ht="15.5" x14ac:dyDescent="0.35">
      <c r="A61" s="699"/>
      <c r="B61" s="743"/>
      <c r="C61" s="743"/>
      <c r="D61" s="743"/>
      <c r="E61" s="699"/>
      <c r="F61" s="699"/>
    </row>
    <row r="62" spans="1:8" ht="15.5" x14ac:dyDescent="0.35">
      <c r="A62" s="709" t="s">
        <v>234</v>
      </c>
      <c r="B62" s="743"/>
      <c r="C62" s="743"/>
      <c r="D62" s="743"/>
      <c r="E62" s="699"/>
      <c r="F62" s="699"/>
    </row>
    <row r="63" spans="1:8" ht="12.75" customHeight="1" x14ac:dyDescent="0.35">
      <c r="A63" s="744" t="s">
        <v>369</v>
      </c>
      <c r="B63" s="703" t="s">
        <v>76</v>
      </c>
      <c r="C63" s="743"/>
      <c r="D63" s="703" t="s">
        <v>393</v>
      </c>
      <c r="E63" s="703"/>
      <c r="F63" s="703" t="s">
        <v>394</v>
      </c>
    </row>
    <row r="64" spans="1:8" ht="15.5" x14ac:dyDescent="0.35">
      <c r="A64" s="714" t="s">
        <v>370</v>
      </c>
      <c r="B64" s="745">
        <f>B57</f>
        <v>0</v>
      </c>
      <c r="C64" s="743"/>
      <c r="D64" s="716" t="e">
        <f>$B$57/potato</f>
        <v>#DIV/0!</v>
      </c>
      <c r="E64" s="752"/>
      <c r="F64" s="716" t="e">
        <f>$B$57/(Data!$B$132*potato+Data!$D$132*potato*$G$7)</f>
        <v>#DIV/0!</v>
      </c>
    </row>
    <row r="65" spans="1:6" ht="15.5" x14ac:dyDescent="0.35">
      <c r="A65" s="714" t="s">
        <v>371</v>
      </c>
      <c r="B65" s="745">
        <f>B38</f>
        <v>0</v>
      </c>
      <c r="C65" s="743"/>
      <c r="D65" s="716" t="e">
        <f>$B$38/potato</f>
        <v>#DIV/0!</v>
      </c>
      <c r="E65" s="752"/>
      <c r="F65" s="716" t="e">
        <f>$B$38/(Data!$B$132*potato+Data!$D$132*potato*$G$7)</f>
        <v>#DIV/0!</v>
      </c>
    </row>
    <row r="66" spans="1:6" ht="15.5" x14ac:dyDescent="0.35">
      <c r="A66" s="714"/>
      <c r="B66" s="743"/>
      <c r="C66" s="743"/>
      <c r="D66" s="716"/>
      <c r="E66" s="752"/>
      <c r="F66" s="716"/>
    </row>
    <row r="67" spans="1:6" ht="15.5" x14ac:dyDescent="0.35">
      <c r="A67" s="744" t="s">
        <v>1099</v>
      </c>
      <c r="B67" s="703" t="s">
        <v>1100</v>
      </c>
      <c r="C67" s="743"/>
      <c r="D67" s="716"/>
      <c r="E67" s="752"/>
      <c r="F67" s="716"/>
    </row>
    <row r="68" spans="1:6" ht="15.5" x14ac:dyDescent="0.35">
      <c r="A68" s="714" t="s">
        <v>1101</v>
      </c>
      <c r="B68" s="746" t="e">
        <f>B59/SUM(PotOprC!E38:E62)</f>
        <v>#DIV/0!</v>
      </c>
      <c r="C68" s="743"/>
      <c r="D68" s="716"/>
      <c r="E68" s="752"/>
      <c r="F68" s="716"/>
    </row>
    <row r="69" spans="1:6" ht="15.5" x14ac:dyDescent="0.35">
      <c r="A69" s="714" t="s">
        <v>1102</v>
      </c>
      <c r="B69" s="746" t="e">
        <f>B60/SUM(PotOprC!E38:E62)</f>
        <v>#DIV/0!</v>
      </c>
      <c r="C69" s="743"/>
      <c r="D69" s="716"/>
      <c r="E69" s="752"/>
      <c r="F69" s="716"/>
    </row>
    <row r="70" spans="1:6" ht="15.5" x14ac:dyDescent="0.35">
      <c r="A70" s="747"/>
      <c r="B70" s="748"/>
      <c r="C70" s="748"/>
      <c r="D70" s="748"/>
      <c r="E70" s="747"/>
      <c r="F70" s="747"/>
    </row>
  </sheetData>
  <phoneticPr fontId="0" type="noConversion"/>
  <pageMargins left="0.75" right="0.75" top="1" bottom="1" header="0.5" footer="0.5"/>
  <pageSetup orientation="portrait" horizontalDpi="4294967293"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07"/>
  <sheetViews>
    <sheetView workbookViewId="0">
      <pane ySplit="6" topLeftCell="A7" activePane="bottomLeft" state="frozen"/>
      <selection pane="bottomLeft" activeCell="C17" sqref="C17"/>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1" width="9.90625" style="17" customWidth="1"/>
    <col min="12" max="12" width="9.08984375" style="17"/>
    <col min="13" max="13" width="7.36328125" style="17" customWidth="1"/>
    <col min="14" max="14" width="5.6328125" style="17" customWidth="1"/>
    <col min="15" max="16384" width="9.08984375" style="17"/>
  </cols>
  <sheetData>
    <row r="1" spans="1:13" x14ac:dyDescent="0.3">
      <c r="A1" s="61" t="s">
        <v>146</v>
      </c>
      <c r="B1" s="17" t="str">
        <f>model</f>
        <v>ME Grain &amp; Pulse</v>
      </c>
      <c r="F1" s="302" t="s">
        <v>1485</v>
      </c>
      <c r="G1" s="303"/>
    </row>
    <row r="2" spans="1:13" x14ac:dyDescent="0.3">
      <c r="F2" s="304">
        <v>1</v>
      </c>
      <c r="G2" s="305"/>
    </row>
    <row r="3" spans="1:13" x14ac:dyDescent="0.3">
      <c r="A3" s="7" t="s">
        <v>408</v>
      </c>
      <c r="B3" s="8" t="s">
        <v>92</v>
      </c>
      <c r="C3" s="65">
        <f>alfalfa</f>
        <v>0</v>
      </c>
      <c r="D3" s="4" t="s">
        <v>93</v>
      </c>
    </row>
    <row r="4" spans="1:13" x14ac:dyDescent="0.3">
      <c r="F4" s="302" t="s">
        <v>406</v>
      </c>
      <c r="G4" s="303"/>
    </row>
    <row r="5" spans="1:13" ht="13.5" x14ac:dyDescent="0.35">
      <c r="A5" s="5" t="s">
        <v>0</v>
      </c>
      <c r="F5" s="304">
        <v>5</v>
      </c>
      <c r="G5" s="305" t="s">
        <v>562</v>
      </c>
    </row>
    <row r="6" spans="1:13" s="27" customFormat="1" ht="26" x14ac:dyDescent="0.3">
      <c r="A6" s="41"/>
      <c r="B6" s="391" t="s">
        <v>919</v>
      </c>
      <c r="C6" s="42" t="s">
        <v>21</v>
      </c>
      <c r="D6" s="42" t="s">
        <v>22</v>
      </c>
      <c r="E6" s="227" t="s">
        <v>900</v>
      </c>
      <c r="F6" s="42" t="s">
        <v>23</v>
      </c>
      <c r="G6" s="42" t="s">
        <v>24</v>
      </c>
      <c r="H6" s="42" t="s">
        <v>65</v>
      </c>
    </row>
    <row r="7" spans="1:13" x14ac:dyDescent="0.3">
      <c r="A7" s="3" t="s">
        <v>13</v>
      </c>
      <c r="B7" s="3"/>
    </row>
    <row r="8" spans="1:13" x14ac:dyDescent="0.3">
      <c r="A8" s="394" t="s">
        <v>403</v>
      </c>
      <c r="B8" s="397">
        <v>1</v>
      </c>
      <c r="C8" s="363">
        <v>25</v>
      </c>
      <c r="D8" s="393" t="s">
        <v>220</v>
      </c>
      <c r="E8" s="392">
        <f>C8*alfalfa</f>
        <v>0</v>
      </c>
      <c r="F8" s="395">
        <v>3.37666666666667</v>
      </c>
      <c r="G8" s="398">
        <f>C8*F8</f>
        <v>84.416666666666757</v>
      </c>
      <c r="H8" s="306">
        <f>(B8*G8*alfalfa)/$F$5</f>
        <v>0</v>
      </c>
    </row>
    <row r="9" spans="1:13" x14ac:dyDescent="0.3">
      <c r="A9" s="3" t="s">
        <v>1</v>
      </c>
      <c r="B9" s="3"/>
      <c r="C9" s="60"/>
      <c r="D9" s="34"/>
      <c r="E9" s="226"/>
      <c r="F9" s="104"/>
      <c r="G9" s="114"/>
      <c r="H9" s="110"/>
      <c r="I9" s="110"/>
      <c r="J9" s="114"/>
      <c r="K9" s="98"/>
    </row>
    <row r="10" spans="1:13" x14ac:dyDescent="0.3">
      <c r="A10" s="394" t="s">
        <v>407</v>
      </c>
      <c r="B10" s="397">
        <v>1</v>
      </c>
      <c r="C10" s="312">
        <f>271/2000</f>
        <v>0.13550000000000001</v>
      </c>
      <c r="D10" s="393" t="s">
        <v>26</v>
      </c>
      <c r="E10" s="392">
        <f>C10*alfalfa</f>
        <v>0</v>
      </c>
      <c r="F10" s="609">
        <v>600</v>
      </c>
      <c r="G10" s="398">
        <f>C10*F10</f>
        <v>81.300000000000011</v>
      </c>
      <c r="H10" s="306">
        <f>(B10*G10*alfalfa)/$F$5</f>
        <v>0</v>
      </c>
      <c r="I10" s="110"/>
      <c r="J10" s="114"/>
    </row>
    <row r="11" spans="1:13" x14ac:dyDescent="0.3">
      <c r="A11" s="6" t="s">
        <v>2</v>
      </c>
      <c r="B11" s="397">
        <v>1</v>
      </c>
      <c r="C11" s="369">
        <f>limeapp</f>
        <v>0.2</v>
      </c>
      <c r="D11" s="34" t="s">
        <v>26</v>
      </c>
      <c r="E11" s="226">
        <f>C11*alfalfa</f>
        <v>0</v>
      </c>
      <c r="F11" s="109">
        <f>lime</f>
        <v>38.260869565217391</v>
      </c>
      <c r="G11" s="114">
        <f>C11*F11</f>
        <v>7.6521739130434785</v>
      </c>
      <c r="H11" s="110">
        <f>B11*G11*alfalfa</f>
        <v>0</v>
      </c>
      <c r="I11" s="110"/>
      <c r="J11" s="114"/>
      <c r="K11" s="55"/>
      <c r="L11" s="24"/>
      <c r="M11" s="81"/>
    </row>
    <row r="12" spans="1:13" x14ac:dyDescent="0.3">
      <c r="A12" s="3" t="s">
        <v>1476</v>
      </c>
      <c r="B12" s="3"/>
      <c r="C12" s="46"/>
      <c r="D12" s="34"/>
      <c r="E12" s="226"/>
      <c r="F12" s="104"/>
      <c r="G12" s="114"/>
      <c r="H12" s="110"/>
      <c r="I12" s="110"/>
      <c r="J12" s="114"/>
      <c r="K12" s="55"/>
      <c r="L12" s="24"/>
      <c r="M12" s="81"/>
    </row>
    <row r="13" spans="1:13" x14ac:dyDescent="0.3">
      <c r="A13" s="396" t="s">
        <v>219</v>
      </c>
      <c r="B13" s="397">
        <v>1</v>
      </c>
      <c r="C13" s="278">
        <v>2</v>
      </c>
      <c r="D13" s="393" t="s">
        <v>220</v>
      </c>
      <c r="E13" s="392">
        <f>C13*alfalfa</f>
        <v>0</v>
      </c>
      <c r="F13" s="283">
        <f>7.504+(7.504*Data!$L$275)</f>
        <v>13.808774419387412</v>
      </c>
      <c r="G13" s="398">
        <f>C13*F13</f>
        <v>27.617548838774823</v>
      </c>
      <c r="H13" s="306">
        <f>(B13*G13*alfalfa)/$F$5</f>
        <v>0</v>
      </c>
      <c r="I13" s="110"/>
      <c r="J13" s="114"/>
      <c r="K13" s="98"/>
    </row>
    <row r="14" spans="1:13" x14ac:dyDescent="0.3">
      <c r="A14" s="396" t="s">
        <v>221</v>
      </c>
      <c r="B14" s="397">
        <v>1</v>
      </c>
      <c r="C14" s="278">
        <v>0.37830000000000003</v>
      </c>
      <c r="D14" s="393" t="s">
        <v>117</v>
      </c>
      <c r="E14" s="392">
        <f>C14*alfalfa</f>
        <v>0</v>
      </c>
      <c r="F14" s="283">
        <f>24.802+(24.802*Data!$L$275)</f>
        <v>45.64035489734097</v>
      </c>
      <c r="G14" s="398">
        <f>C14*F14</f>
        <v>17.265746257664091</v>
      </c>
      <c r="H14" s="306">
        <f>(B14*G14*alfalfa)/$F$5</f>
        <v>0</v>
      </c>
      <c r="I14" s="110">
        <f>SUM(H13:H14)</f>
        <v>0</v>
      </c>
      <c r="J14" s="114"/>
    </row>
    <row r="15" spans="1:13" x14ac:dyDescent="0.3">
      <c r="A15" s="3" t="s">
        <v>14</v>
      </c>
      <c r="B15" s="3"/>
      <c r="C15" s="46"/>
      <c r="D15" s="34"/>
      <c r="E15" s="226"/>
      <c r="F15" s="104"/>
      <c r="G15" s="114"/>
      <c r="H15" s="110"/>
      <c r="I15" s="110"/>
      <c r="J15" s="114"/>
      <c r="K15" s="55"/>
      <c r="L15" s="24"/>
      <c r="M15" s="81"/>
    </row>
    <row r="16" spans="1:13" x14ac:dyDescent="0.3">
      <c r="A16" s="22" t="s">
        <v>332</v>
      </c>
      <c r="B16" s="22"/>
      <c r="C16" s="46"/>
      <c r="D16" s="34"/>
      <c r="E16" s="226"/>
      <c r="F16" s="104"/>
      <c r="G16" s="114"/>
      <c r="H16" s="110"/>
      <c r="I16" s="110"/>
      <c r="J16" s="114"/>
      <c r="K16" s="55"/>
      <c r="L16" s="24"/>
      <c r="M16" s="81"/>
    </row>
    <row r="17" spans="1:13" x14ac:dyDescent="0.3">
      <c r="A17" s="394" t="s">
        <v>484</v>
      </c>
      <c r="B17" s="399">
        <v>1</v>
      </c>
      <c r="C17" s="401">
        <f>Data!H525</f>
        <v>0.25632748278140399</v>
      </c>
      <c r="D17" s="393" t="s">
        <v>128</v>
      </c>
      <c r="E17" s="392">
        <f t="shared" ref="E17:E33" si="0">C17*alfalfa</f>
        <v>0</v>
      </c>
      <c r="F17" s="402">
        <f>_wage_</f>
        <v>12.29</v>
      </c>
      <c r="G17" s="398">
        <f t="shared" ref="G17:G36" si="1">C17*F17</f>
        <v>3.1502647633834551</v>
      </c>
      <c r="H17" s="306">
        <f>(B17*G17*alfalfa)/$F$5</f>
        <v>0</v>
      </c>
      <c r="I17" s="110"/>
      <c r="J17" s="114"/>
      <c r="K17" s="55"/>
      <c r="L17" s="24"/>
      <c r="M17" s="81"/>
    </row>
    <row r="18" spans="1:13" x14ac:dyDescent="0.3">
      <c r="A18" s="394" t="s">
        <v>485</v>
      </c>
      <c r="B18" s="399">
        <v>1</v>
      </c>
      <c r="C18" s="401">
        <f>Data!H526</f>
        <v>0.39334140580266497</v>
      </c>
      <c r="D18" s="393" t="s">
        <v>128</v>
      </c>
      <c r="E18" s="392">
        <f t="shared" si="0"/>
        <v>0</v>
      </c>
      <c r="F18" s="402">
        <f>_wage_</f>
        <v>12.29</v>
      </c>
      <c r="G18" s="398">
        <f t="shared" si="1"/>
        <v>4.834165877314752</v>
      </c>
      <c r="H18" s="306">
        <f>(B18*G18*alfalfa)/$F$5</f>
        <v>0</v>
      </c>
      <c r="I18" s="110"/>
      <c r="J18" s="114"/>
      <c r="K18" s="55"/>
      <c r="L18" s="24"/>
      <c r="M18" s="81"/>
    </row>
    <row r="19" spans="1:13" x14ac:dyDescent="0.3">
      <c r="A19" s="22" t="s">
        <v>581</v>
      </c>
      <c r="B19" s="397">
        <v>1</v>
      </c>
      <c r="C19" s="156">
        <f>Data!H527</f>
        <v>9.2929292929292931E-2</v>
      </c>
      <c r="D19" s="34" t="s">
        <v>128</v>
      </c>
      <c r="E19" s="226">
        <f t="shared" si="0"/>
        <v>0</v>
      </c>
      <c r="F19" s="167">
        <f>_wage_</f>
        <v>12.29</v>
      </c>
      <c r="G19" s="114">
        <f t="shared" si="1"/>
        <v>1.1421010101010101</v>
      </c>
      <c r="H19" s="110">
        <f>B19*G19*alfalfa</f>
        <v>0</v>
      </c>
      <c r="J19" s="114"/>
      <c r="K19" s="55"/>
      <c r="L19" s="24"/>
      <c r="M19" s="81"/>
    </row>
    <row r="20" spans="1:13" x14ac:dyDescent="0.3">
      <c r="A20" s="400" t="s">
        <v>316</v>
      </c>
      <c r="B20" s="397">
        <v>1</v>
      </c>
      <c r="C20" s="363">
        <v>0</v>
      </c>
      <c r="D20" s="393" t="s">
        <v>128</v>
      </c>
      <c r="E20" s="392">
        <f t="shared" si="0"/>
        <v>0</v>
      </c>
      <c r="F20" s="402">
        <f>_wage_</f>
        <v>12.29</v>
      </c>
      <c r="G20" s="306">
        <f t="shared" si="1"/>
        <v>0</v>
      </c>
      <c r="H20" s="306">
        <f>(B20*G20*alfalfa)/$F$5</f>
        <v>0</v>
      </c>
      <c r="I20" s="110"/>
      <c r="J20" s="114"/>
      <c r="K20" s="55"/>
      <c r="L20" s="24"/>
      <c r="M20" s="81"/>
    </row>
    <row r="21" spans="1:13" x14ac:dyDescent="0.3">
      <c r="A21" s="400" t="s">
        <v>411</v>
      </c>
      <c r="B21" s="399">
        <v>1</v>
      </c>
      <c r="C21" s="401">
        <f>Data!H528</f>
        <v>0.11</v>
      </c>
      <c r="D21" s="393" t="s">
        <v>128</v>
      </c>
      <c r="E21" s="392">
        <f t="shared" si="0"/>
        <v>0</v>
      </c>
      <c r="F21" s="402">
        <f t="shared" ref="F21:F36" si="2">_wage_</f>
        <v>12.29</v>
      </c>
      <c r="G21" s="398">
        <f t="shared" si="1"/>
        <v>1.3518999999999999</v>
      </c>
      <c r="H21" s="306">
        <f>(B21*G21*alfalfa)/$F$5</f>
        <v>0</v>
      </c>
      <c r="I21" s="110"/>
      <c r="J21" s="114"/>
      <c r="K21" s="55"/>
      <c r="L21" s="24"/>
      <c r="M21" s="81"/>
    </row>
    <row r="22" spans="1:13" ht="13.5" customHeight="1" x14ac:dyDescent="0.3">
      <c r="A22" s="400" t="s">
        <v>410</v>
      </c>
      <c r="B22" s="399">
        <v>1</v>
      </c>
      <c r="C22" s="401">
        <f>Data!H529</f>
        <v>0.26666666666666666</v>
      </c>
      <c r="D22" s="393" t="s">
        <v>128</v>
      </c>
      <c r="E22" s="392">
        <f t="shared" si="0"/>
        <v>0</v>
      </c>
      <c r="F22" s="402">
        <f t="shared" si="2"/>
        <v>12.29</v>
      </c>
      <c r="G22" s="398">
        <f t="shared" si="1"/>
        <v>3.277333333333333</v>
      </c>
      <c r="H22" s="306">
        <f>(B22*G22*alfalfa)/$F$5</f>
        <v>0</v>
      </c>
      <c r="I22" s="110"/>
      <c r="J22" s="114"/>
      <c r="K22" s="55"/>
      <c r="L22" s="24"/>
      <c r="M22" s="81"/>
    </row>
    <row r="23" spans="1:13" ht="13.5" customHeight="1" x14ac:dyDescent="0.3">
      <c r="A23" s="400" t="s">
        <v>304</v>
      </c>
      <c r="B23" s="399">
        <v>1</v>
      </c>
      <c r="C23" s="401">
        <f>Data!H537</f>
        <v>0.11851851851851852</v>
      </c>
      <c r="D23" s="393" t="s">
        <v>128</v>
      </c>
      <c r="E23" s="392">
        <f t="shared" si="0"/>
        <v>0</v>
      </c>
      <c r="F23" s="402">
        <f t="shared" si="2"/>
        <v>12.29</v>
      </c>
      <c r="G23" s="398">
        <f t="shared" si="1"/>
        <v>1.4565925925925924</v>
      </c>
      <c r="H23" s="306">
        <f>(B23*G23*alfalfa)/$F$5</f>
        <v>0</v>
      </c>
      <c r="I23" s="110"/>
      <c r="J23" s="114"/>
      <c r="K23" s="55"/>
      <c r="L23" s="24"/>
      <c r="M23" s="81"/>
    </row>
    <row r="24" spans="1:13" x14ac:dyDescent="0.3">
      <c r="A24" s="22" t="s">
        <v>324</v>
      </c>
      <c r="B24" s="397">
        <v>1</v>
      </c>
      <c r="C24" s="156">
        <f>Data!H538</f>
        <v>0.21851851851851867</v>
      </c>
      <c r="D24" s="34" t="s">
        <v>128</v>
      </c>
      <c r="E24" s="226">
        <f t="shared" si="0"/>
        <v>0</v>
      </c>
      <c r="F24" s="167">
        <f t="shared" si="2"/>
        <v>12.29</v>
      </c>
      <c r="G24" s="114">
        <f t="shared" si="1"/>
        <v>2.6855925925925943</v>
      </c>
      <c r="H24" s="110">
        <f t="shared" ref="H24:H29" si="3">B24*G24*alfalfa</f>
        <v>0</v>
      </c>
      <c r="J24" s="114"/>
      <c r="K24" s="55"/>
    </row>
    <row r="25" spans="1:13" x14ac:dyDescent="0.3">
      <c r="A25" s="22" t="s">
        <v>325</v>
      </c>
      <c r="B25" s="397">
        <v>1</v>
      </c>
      <c r="C25" s="156">
        <f>Data!H539</f>
        <v>1.3</v>
      </c>
      <c r="D25" s="34" t="s">
        <v>128</v>
      </c>
      <c r="E25" s="226">
        <f t="shared" si="0"/>
        <v>0</v>
      </c>
      <c r="F25" s="167">
        <f t="shared" si="2"/>
        <v>12.29</v>
      </c>
      <c r="G25" s="114">
        <f t="shared" si="1"/>
        <v>15.977</v>
      </c>
      <c r="H25" s="110">
        <f t="shared" si="3"/>
        <v>0</v>
      </c>
      <c r="J25" s="114"/>
      <c r="K25" s="55"/>
    </row>
    <row r="26" spans="1:13" x14ac:dyDescent="0.3">
      <c r="A26" s="9" t="s">
        <v>1022</v>
      </c>
      <c r="B26" s="397">
        <v>0</v>
      </c>
      <c r="C26" s="47">
        <f>Data!$H$540*Data!$F$139</f>
        <v>0</v>
      </c>
      <c r="D26" s="48" t="s">
        <v>115</v>
      </c>
      <c r="E26" s="48">
        <f>C26*alfalfa</f>
        <v>0</v>
      </c>
      <c r="F26" s="118">
        <f>_wage_</f>
        <v>12.29</v>
      </c>
      <c r="G26" s="465">
        <f>C26*F26</f>
        <v>0</v>
      </c>
      <c r="H26" s="123">
        <f t="shared" si="3"/>
        <v>0</v>
      </c>
      <c r="J26" s="114"/>
      <c r="K26" s="55"/>
    </row>
    <row r="27" spans="1:13" x14ac:dyDescent="0.3">
      <c r="A27" s="22" t="s">
        <v>326</v>
      </c>
      <c r="B27" s="397">
        <v>1</v>
      </c>
      <c r="C27" s="156">
        <f>Data!H541</f>
        <v>0.60266666666666657</v>
      </c>
      <c r="D27" s="34" t="s">
        <v>128</v>
      </c>
      <c r="E27" s="226">
        <f t="shared" si="0"/>
        <v>0</v>
      </c>
      <c r="F27" s="167">
        <f t="shared" si="2"/>
        <v>12.29</v>
      </c>
      <c r="G27" s="114">
        <f t="shared" si="1"/>
        <v>7.4067733333333319</v>
      </c>
      <c r="H27" s="110">
        <f t="shared" si="3"/>
        <v>0</v>
      </c>
      <c r="J27" s="114"/>
      <c r="K27" s="55"/>
    </row>
    <row r="28" spans="1:13" x14ac:dyDescent="0.3">
      <c r="A28" s="9" t="s">
        <v>1022</v>
      </c>
      <c r="B28" s="397">
        <v>1</v>
      </c>
      <c r="C28" s="47">
        <f>Data!$H$542*Data!$F$139</f>
        <v>0</v>
      </c>
      <c r="D28" s="48" t="s">
        <v>115</v>
      </c>
      <c r="E28" s="83">
        <f>C28*alfalfa</f>
        <v>0</v>
      </c>
      <c r="F28" s="118">
        <f>_wage_</f>
        <v>12.29</v>
      </c>
      <c r="G28" s="465">
        <f>C28*F28</f>
        <v>0</v>
      </c>
      <c r="H28" s="123">
        <f t="shared" si="3"/>
        <v>0</v>
      </c>
      <c r="J28" s="114"/>
      <c r="K28" s="55"/>
    </row>
    <row r="29" spans="1:13" x14ac:dyDescent="0.3">
      <c r="A29" s="22" t="s">
        <v>327</v>
      </c>
      <c r="B29" s="397">
        <v>1</v>
      </c>
      <c r="C29" s="273">
        <v>0</v>
      </c>
      <c r="D29" s="34" t="s">
        <v>128</v>
      </c>
      <c r="E29" s="226">
        <f t="shared" si="0"/>
        <v>0</v>
      </c>
      <c r="F29" s="167">
        <f t="shared" si="2"/>
        <v>12.29</v>
      </c>
      <c r="G29" s="110">
        <f t="shared" si="1"/>
        <v>0</v>
      </c>
      <c r="H29" s="110">
        <f t="shared" si="3"/>
        <v>0</v>
      </c>
      <c r="J29" s="114"/>
      <c r="K29" s="55"/>
    </row>
    <row r="30" spans="1:13" x14ac:dyDescent="0.3">
      <c r="A30" s="400" t="s">
        <v>328</v>
      </c>
      <c r="B30" s="399">
        <v>1</v>
      </c>
      <c r="C30" s="401">
        <f>Data!H558</f>
        <v>0.21851851851851867</v>
      </c>
      <c r="D30" s="393" t="s">
        <v>128</v>
      </c>
      <c r="E30" s="392">
        <f t="shared" si="0"/>
        <v>0</v>
      </c>
      <c r="F30" s="402">
        <f t="shared" si="2"/>
        <v>12.29</v>
      </c>
      <c r="G30" s="398">
        <f t="shared" si="1"/>
        <v>2.6855925925925943</v>
      </c>
      <c r="H30" s="306">
        <f>IF($F$5=1,B30*G30*alfalfa,B30*G30*alfalfa*(($F$5-1)/$F$5))</f>
        <v>0</v>
      </c>
      <c r="I30" s="87"/>
      <c r="J30" s="114"/>
      <c r="K30" s="55"/>
    </row>
    <row r="31" spans="1:13" x14ac:dyDescent="0.3">
      <c r="A31" s="400" t="s">
        <v>329</v>
      </c>
      <c r="B31" s="399">
        <v>1</v>
      </c>
      <c r="C31" s="401">
        <f>Data!H559</f>
        <v>1.3</v>
      </c>
      <c r="D31" s="393" t="s">
        <v>128</v>
      </c>
      <c r="E31" s="392">
        <f t="shared" si="0"/>
        <v>0</v>
      </c>
      <c r="F31" s="402">
        <f t="shared" si="2"/>
        <v>12.29</v>
      </c>
      <c r="G31" s="398">
        <f t="shared" si="1"/>
        <v>15.977</v>
      </c>
      <c r="H31" s="306">
        <f>IF($F$5=1,B31*G31*alfalfa,B31*G31*alfalfa*(($F$5-1)/$F$5))</f>
        <v>0</v>
      </c>
      <c r="I31" s="87"/>
      <c r="J31" s="114"/>
      <c r="K31" s="55"/>
    </row>
    <row r="32" spans="1:13" x14ac:dyDescent="0.3">
      <c r="A32" s="468" t="s">
        <v>1022</v>
      </c>
      <c r="B32" s="466">
        <v>0</v>
      </c>
      <c r="C32" s="469">
        <f>Data!$H$560*Data!$F$139</f>
        <v>0</v>
      </c>
      <c r="D32" s="470" t="s">
        <v>115</v>
      </c>
      <c r="E32" s="470">
        <f>C32*alfalfa</f>
        <v>0</v>
      </c>
      <c r="F32" s="471">
        <f>_wage_</f>
        <v>12.29</v>
      </c>
      <c r="G32" s="472">
        <f>C32*F32</f>
        <v>0</v>
      </c>
      <c r="H32" s="473">
        <f>IF($F$5=1,B32*G32*alfalfa,B32*G32*alfalfa*(($F$5-1)/$F$5))</f>
        <v>0</v>
      </c>
      <c r="I32" s="108"/>
      <c r="J32" s="114"/>
      <c r="K32" s="55"/>
    </row>
    <row r="33" spans="1:13" x14ac:dyDescent="0.3">
      <c r="A33" s="400" t="s">
        <v>330</v>
      </c>
      <c r="B33" s="467">
        <v>1</v>
      </c>
      <c r="C33" s="401">
        <f>Data!H561</f>
        <v>0.60266666666666657</v>
      </c>
      <c r="D33" s="393" t="s">
        <v>128</v>
      </c>
      <c r="E33" s="392">
        <f t="shared" si="0"/>
        <v>0</v>
      </c>
      <c r="F33" s="402">
        <f t="shared" si="2"/>
        <v>12.29</v>
      </c>
      <c r="G33" s="398">
        <f t="shared" si="1"/>
        <v>7.4067733333333319</v>
      </c>
      <c r="H33" s="306">
        <f>IF($F$5=1,B33*G33*alfalfa,B33*G33*alfalfa*(($F$5-1)/$F$5))</f>
        <v>0</v>
      </c>
      <c r="I33" s="87"/>
    </row>
    <row r="34" spans="1:13" x14ac:dyDescent="0.3">
      <c r="A34" s="468" t="s">
        <v>1022</v>
      </c>
      <c r="B34" s="466">
        <v>1</v>
      </c>
      <c r="C34" s="469">
        <f>Data!$H$562*Data!$F$139</f>
        <v>0</v>
      </c>
      <c r="D34" s="470" t="s">
        <v>115</v>
      </c>
      <c r="E34" s="474">
        <f>C34*alfalfa</f>
        <v>0</v>
      </c>
      <c r="F34" s="471">
        <f>_wage_</f>
        <v>12.29</v>
      </c>
      <c r="G34" s="472">
        <f>C34*F34</f>
        <v>0</v>
      </c>
      <c r="H34" s="473">
        <f>IF($F$5=1,B34*G34*alfalfa,B34*G34*alfalfa*(($F$5-1)/$F$5))</f>
        <v>0</v>
      </c>
      <c r="I34" s="98"/>
      <c r="J34" s="114"/>
      <c r="K34" s="55"/>
    </row>
    <row r="35" spans="1:13" ht="13.5" customHeight="1" x14ac:dyDescent="0.3">
      <c r="A35" s="22" t="s">
        <v>337</v>
      </c>
      <c r="B35" s="22"/>
      <c r="C35" s="46"/>
      <c r="D35" s="34"/>
      <c r="E35" s="226"/>
      <c r="F35" s="90"/>
      <c r="G35" s="114"/>
      <c r="H35" s="110"/>
      <c r="I35" s="110"/>
      <c r="J35" s="114"/>
      <c r="K35" s="55"/>
      <c r="L35" s="24"/>
      <c r="M35" s="81"/>
    </row>
    <row r="36" spans="1:13" ht="13.5" customHeight="1" x14ac:dyDescent="0.3">
      <c r="A36" s="6" t="s">
        <v>321</v>
      </c>
      <c r="B36" s="397">
        <v>1</v>
      </c>
      <c r="C36" s="273">
        <f>0</f>
        <v>0</v>
      </c>
      <c r="D36" s="34" t="s">
        <v>128</v>
      </c>
      <c r="E36" s="226">
        <f>C36*alfalfa</f>
        <v>0</v>
      </c>
      <c r="F36" s="167">
        <f t="shared" si="2"/>
        <v>12.29</v>
      </c>
      <c r="G36" s="110">
        <f t="shared" si="1"/>
        <v>0</v>
      </c>
      <c r="H36" s="110">
        <f>B36*G36*alfalfa</f>
        <v>0</v>
      </c>
      <c r="I36" s="127">
        <f>SUM(H17:H36)</f>
        <v>0</v>
      </c>
      <c r="J36" s="104"/>
      <c r="K36" s="55"/>
      <c r="L36" s="24"/>
      <c r="M36" s="81"/>
    </row>
    <row r="37" spans="1:13" x14ac:dyDescent="0.3">
      <c r="A37" s="3" t="s">
        <v>66</v>
      </c>
      <c r="B37" s="3"/>
      <c r="C37" s="136"/>
      <c r="D37" s="34"/>
      <c r="E37" s="226"/>
      <c r="F37" s="167"/>
      <c r="G37" s="114"/>
      <c r="H37" s="110"/>
      <c r="I37" s="137"/>
      <c r="J37" s="138"/>
      <c r="K37" s="55"/>
      <c r="L37" s="24"/>
      <c r="M37" s="81"/>
    </row>
    <row r="38" spans="1:13" x14ac:dyDescent="0.3">
      <c r="A38" s="22" t="s">
        <v>332</v>
      </c>
      <c r="B38" s="22"/>
      <c r="C38" s="46"/>
      <c r="D38" s="34"/>
      <c r="E38" s="226"/>
      <c r="F38" s="167"/>
      <c r="G38" s="114"/>
      <c r="H38" s="110"/>
      <c r="I38" s="139"/>
      <c r="J38" s="138"/>
      <c r="K38" s="55"/>
      <c r="L38" s="24"/>
      <c r="M38" s="81"/>
    </row>
    <row r="39" spans="1:13" x14ac:dyDescent="0.3">
      <c r="A39" s="394" t="s">
        <v>484</v>
      </c>
      <c r="B39" s="406">
        <f t="shared" ref="B39:B56" si="4">B17</f>
        <v>1</v>
      </c>
      <c r="C39" s="401">
        <f>Data!R525</f>
        <v>0.6028033322985753</v>
      </c>
      <c r="D39" s="393" t="s">
        <v>117</v>
      </c>
      <c r="E39" s="392">
        <f t="shared" ref="E39:E55" si="5">C39*alfalfa</f>
        <v>0</v>
      </c>
      <c r="F39" s="402">
        <f>diesel_fuel</f>
        <v>2.56</v>
      </c>
      <c r="G39" s="398">
        <f t="shared" ref="G39:G58" si="6">C39*F39</f>
        <v>1.5431765306843528</v>
      </c>
      <c r="H39" s="306">
        <f>(B39*G39*alfalfa)/$F$5</f>
        <v>0</v>
      </c>
      <c r="I39" s="110"/>
      <c r="J39" s="114"/>
      <c r="K39" s="55"/>
      <c r="L39" s="24"/>
      <c r="M39" s="81"/>
    </row>
    <row r="40" spans="1:13" x14ac:dyDescent="0.3">
      <c r="A40" s="394" t="s">
        <v>485</v>
      </c>
      <c r="B40" s="406">
        <f t="shared" si="4"/>
        <v>1</v>
      </c>
      <c r="C40" s="401">
        <f>Data!R526</f>
        <v>0.83039215686274503</v>
      </c>
      <c r="D40" s="393" t="s">
        <v>117</v>
      </c>
      <c r="E40" s="392">
        <f t="shared" si="5"/>
        <v>0</v>
      </c>
      <c r="F40" s="402">
        <f>diesel_fuel</f>
        <v>2.56</v>
      </c>
      <c r="G40" s="398">
        <f t="shared" si="6"/>
        <v>2.1258039215686275</v>
      </c>
      <c r="H40" s="306">
        <f>(B40*G40*alfalfa)/$F$5</f>
        <v>0</v>
      </c>
      <c r="I40" s="110"/>
      <c r="J40" s="114"/>
      <c r="K40" s="55"/>
      <c r="L40" s="24"/>
      <c r="M40" s="81"/>
    </row>
    <row r="41" spans="1:13" x14ac:dyDescent="0.3">
      <c r="A41" s="22" t="s">
        <v>581</v>
      </c>
      <c r="B41" s="405">
        <f t="shared" si="4"/>
        <v>1</v>
      </c>
      <c r="C41" s="156">
        <f>Data!R527</f>
        <v>0.13183670241332501</v>
      </c>
      <c r="D41" s="34" t="s">
        <v>117</v>
      </c>
      <c r="E41" s="226">
        <f t="shared" si="5"/>
        <v>0</v>
      </c>
      <c r="F41" s="167">
        <f>diesel_fuel</f>
        <v>2.56</v>
      </c>
      <c r="G41" s="114">
        <f t="shared" si="6"/>
        <v>0.33750195817811202</v>
      </c>
      <c r="H41" s="110">
        <f>B41*G41*alfalfa</f>
        <v>0</v>
      </c>
      <c r="I41" s="110"/>
      <c r="J41" s="114"/>
      <c r="K41" s="55"/>
      <c r="L41" s="24"/>
      <c r="M41" s="81"/>
    </row>
    <row r="42" spans="1:13" x14ac:dyDescent="0.3">
      <c r="A42" s="400" t="s">
        <v>316</v>
      </c>
      <c r="B42" s="405">
        <f t="shared" si="4"/>
        <v>1</v>
      </c>
      <c r="C42" s="316">
        <v>0</v>
      </c>
      <c r="D42" s="393" t="s">
        <v>117</v>
      </c>
      <c r="E42" s="392">
        <f t="shared" si="5"/>
        <v>0</v>
      </c>
      <c r="F42" s="402">
        <f>diesel_fuel</f>
        <v>2.56</v>
      </c>
      <c r="G42" s="306">
        <f t="shared" si="6"/>
        <v>0</v>
      </c>
      <c r="H42" s="306">
        <f>(B42*G42*alfalfa)/$F$5</f>
        <v>0</v>
      </c>
      <c r="I42" s="110"/>
      <c r="J42" s="114"/>
      <c r="K42" s="55"/>
      <c r="L42" s="24"/>
      <c r="M42" s="81"/>
    </row>
    <row r="43" spans="1:13" x14ac:dyDescent="0.3">
      <c r="A43" s="400" t="s">
        <v>411</v>
      </c>
      <c r="B43" s="405">
        <f t="shared" si="4"/>
        <v>1</v>
      </c>
      <c r="C43" s="475">
        <f>Data!R528</f>
        <v>0.29913189036743482</v>
      </c>
      <c r="D43" s="393" t="s">
        <v>117</v>
      </c>
      <c r="E43" s="392">
        <f t="shared" si="5"/>
        <v>0</v>
      </c>
      <c r="F43" s="402">
        <f t="shared" ref="F43:F58" si="7">diesel_fuel</f>
        <v>2.56</v>
      </c>
      <c r="G43" s="398">
        <f t="shared" si="6"/>
        <v>0.76577763934063314</v>
      </c>
      <c r="H43" s="306">
        <f>(B43*G43*alfalfa)/$F$5</f>
        <v>0</v>
      </c>
      <c r="I43" s="110"/>
      <c r="J43" s="114"/>
      <c r="K43" s="55"/>
      <c r="L43" s="24"/>
      <c r="M43" s="81"/>
    </row>
    <row r="44" spans="1:13" x14ac:dyDescent="0.3">
      <c r="A44" s="400" t="s">
        <v>410</v>
      </c>
      <c r="B44" s="405">
        <f t="shared" si="4"/>
        <v>1</v>
      </c>
      <c r="C44" s="475">
        <f>Data!R529</f>
        <v>0.5114623979838181</v>
      </c>
      <c r="D44" s="393" t="s">
        <v>117</v>
      </c>
      <c r="E44" s="392">
        <f t="shared" si="5"/>
        <v>0</v>
      </c>
      <c r="F44" s="402">
        <f t="shared" si="7"/>
        <v>2.56</v>
      </c>
      <c r="G44" s="398">
        <f t="shared" si="6"/>
        <v>1.3093437388385742</v>
      </c>
      <c r="H44" s="306">
        <f>(B44*G44*alfalfa)/$F$5</f>
        <v>0</v>
      </c>
      <c r="I44" s="110"/>
      <c r="J44" s="114"/>
      <c r="K44" s="55"/>
      <c r="L44" s="24"/>
      <c r="M44" s="81"/>
    </row>
    <row r="45" spans="1:13" x14ac:dyDescent="0.3">
      <c r="A45" s="400" t="s">
        <v>304</v>
      </c>
      <c r="B45" s="405">
        <f t="shared" si="4"/>
        <v>1</v>
      </c>
      <c r="C45" s="475">
        <f>Data!R537</f>
        <v>0.11981642612033799</v>
      </c>
      <c r="D45" s="393" t="s">
        <v>117</v>
      </c>
      <c r="E45" s="392">
        <f t="shared" si="5"/>
        <v>0</v>
      </c>
      <c r="F45" s="402">
        <f t="shared" si="7"/>
        <v>2.56</v>
      </c>
      <c r="G45" s="398">
        <f t="shared" si="6"/>
        <v>0.30673005086806526</v>
      </c>
      <c r="H45" s="306">
        <f>(B45*G45*alfalfa)/$F$5</f>
        <v>0</v>
      </c>
      <c r="I45" s="110"/>
      <c r="J45" s="114"/>
      <c r="K45" s="55"/>
      <c r="L45" s="24"/>
      <c r="M45" s="81"/>
    </row>
    <row r="46" spans="1:13" x14ac:dyDescent="0.3">
      <c r="A46" s="22" t="s">
        <v>324</v>
      </c>
      <c r="B46" s="405">
        <f t="shared" si="4"/>
        <v>1</v>
      </c>
      <c r="C46" s="156">
        <f>Data!R538</f>
        <v>0.40333333333333299</v>
      </c>
      <c r="D46" s="34" t="s">
        <v>117</v>
      </c>
      <c r="E46" s="226">
        <f t="shared" si="5"/>
        <v>0</v>
      </c>
      <c r="F46" s="167">
        <f t="shared" si="7"/>
        <v>2.56</v>
      </c>
      <c r="G46" s="114">
        <f t="shared" si="6"/>
        <v>1.0325333333333324</v>
      </c>
      <c r="H46" s="110">
        <f t="shared" ref="H46:H51" si="8">B46*G46*alfalfa</f>
        <v>0</v>
      </c>
      <c r="K46" s="55"/>
      <c r="L46" s="55"/>
    </row>
    <row r="47" spans="1:13" x14ac:dyDescent="0.3">
      <c r="A47" s="22" t="s">
        <v>325</v>
      </c>
      <c r="B47" s="405">
        <f t="shared" si="4"/>
        <v>1</v>
      </c>
      <c r="C47" s="156">
        <f>Data!R539</f>
        <v>1.3961538461538501</v>
      </c>
      <c r="D47" s="34" t="s">
        <v>117</v>
      </c>
      <c r="E47" s="226">
        <f t="shared" si="5"/>
        <v>0</v>
      </c>
      <c r="F47" s="167">
        <f>diesel_fuel</f>
        <v>2.56</v>
      </c>
      <c r="G47" s="114">
        <f t="shared" si="6"/>
        <v>3.5741538461538562</v>
      </c>
      <c r="H47" s="110">
        <f t="shared" si="8"/>
        <v>0</v>
      </c>
      <c r="K47" s="55"/>
      <c r="L47" s="55"/>
    </row>
    <row r="48" spans="1:13" x14ac:dyDescent="0.3">
      <c r="A48" s="9" t="s">
        <v>1022</v>
      </c>
      <c r="B48" s="405">
        <f t="shared" si="4"/>
        <v>0</v>
      </c>
      <c r="C48" s="47">
        <f>Data!$R$540*Data!$F$139</f>
        <v>0</v>
      </c>
      <c r="D48" s="48" t="s">
        <v>117</v>
      </c>
      <c r="E48" s="83">
        <f>C48*alfalfa</f>
        <v>0</v>
      </c>
      <c r="F48" s="118">
        <f>diesel_fuel</f>
        <v>2.56</v>
      </c>
      <c r="G48" s="465">
        <f>C48*F48</f>
        <v>0</v>
      </c>
      <c r="H48" s="123">
        <f t="shared" si="8"/>
        <v>0</v>
      </c>
      <c r="J48" s="114"/>
      <c r="K48" s="55"/>
    </row>
    <row r="49" spans="1:13" x14ac:dyDescent="0.3">
      <c r="A49" s="22" t="s">
        <v>326</v>
      </c>
      <c r="B49" s="405">
        <f t="shared" si="4"/>
        <v>1</v>
      </c>
      <c r="C49" s="156">
        <f>Data!R541</f>
        <v>0.38105079305840639</v>
      </c>
      <c r="D49" s="34" t="s">
        <v>117</v>
      </c>
      <c r="E49" s="226">
        <f t="shared" si="5"/>
        <v>0</v>
      </c>
      <c r="F49" s="167">
        <f t="shared" si="7"/>
        <v>2.56</v>
      </c>
      <c r="G49" s="114">
        <f t="shared" si="6"/>
        <v>0.97549003022952041</v>
      </c>
      <c r="H49" s="110">
        <f t="shared" si="8"/>
        <v>0</v>
      </c>
      <c r="K49" s="55"/>
      <c r="L49" s="55"/>
    </row>
    <row r="50" spans="1:13" x14ac:dyDescent="0.3">
      <c r="A50" s="9" t="s">
        <v>1022</v>
      </c>
      <c r="B50" s="405">
        <f t="shared" si="4"/>
        <v>1</v>
      </c>
      <c r="C50" s="47">
        <f>Data!$R$542*Data!$F$139</f>
        <v>0</v>
      </c>
      <c r="D50" s="48" t="s">
        <v>117</v>
      </c>
      <c r="E50" s="83">
        <f>C50*alfalfa</f>
        <v>0</v>
      </c>
      <c r="F50" s="118">
        <f>diesel_fuel</f>
        <v>2.56</v>
      </c>
      <c r="G50" s="465">
        <f>C50*F50</f>
        <v>0</v>
      </c>
      <c r="H50" s="123">
        <f t="shared" si="8"/>
        <v>0</v>
      </c>
      <c r="J50" s="114"/>
      <c r="K50" s="55"/>
    </row>
    <row r="51" spans="1:13" x14ac:dyDescent="0.3">
      <c r="A51" s="22" t="s">
        <v>327</v>
      </c>
      <c r="B51" s="405">
        <f t="shared" si="4"/>
        <v>1</v>
      </c>
      <c r="C51" s="476">
        <v>0</v>
      </c>
      <c r="D51" s="34" t="s">
        <v>117</v>
      </c>
      <c r="E51" s="226">
        <f t="shared" si="5"/>
        <v>0</v>
      </c>
      <c r="F51" s="167">
        <f t="shared" si="7"/>
        <v>2.56</v>
      </c>
      <c r="G51" s="110">
        <f t="shared" si="6"/>
        <v>0</v>
      </c>
      <c r="H51" s="110">
        <f t="shared" si="8"/>
        <v>0</v>
      </c>
      <c r="K51" s="55"/>
      <c r="L51" s="55"/>
    </row>
    <row r="52" spans="1:13" x14ac:dyDescent="0.3">
      <c r="A52" s="400" t="s">
        <v>328</v>
      </c>
      <c r="B52" s="406">
        <f t="shared" si="4"/>
        <v>1</v>
      </c>
      <c r="C52" s="401">
        <f>Data!R558</f>
        <v>0.44114583333333302</v>
      </c>
      <c r="D52" s="393" t="s">
        <v>117</v>
      </c>
      <c r="E52" s="392">
        <f t="shared" si="5"/>
        <v>0</v>
      </c>
      <c r="F52" s="402">
        <f t="shared" si="7"/>
        <v>2.56</v>
      </c>
      <c r="G52" s="398">
        <f t="shared" si="6"/>
        <v>1.1293333333333326</v>
      </c>
      <c r="H52" s="306">
        <f>IF($F$5=1,B52*G52*alfalfa,B52*G52*alfalfa*(($F$5-1)/$F$5))</f>
        <v>0</v>
      </c>
      <c r="K52" s="55"/>
      <c r="L52" s="55"/>
    </row>
    <row r="53" spans="1:13" x14ac:dyDescent="0.3">
      <c r="A53" s="400" t="s">
        <v>329</v>
      </c>
      <c r="B53" s="406">
        <f t="shared" si="4"/>
        <v>1</v>
      </c>
      <c r="C53" s="401">
        <f>Data!R559</f>
        <v>1.3961538461538501</v>
      </c>
      <c r="D53" s="393" t="s">
        <v>117</v>
      </c>
      <c r="E53" s="392">
        <f t="shared" si="5"/>
        <v>0</v>
      </c>
      <c r="F53" s="402">
        <f>diesel_fuel</f>
        <v>2.56</v>
      </c>
      <c r="G53" s="398">
        <f t="shared" si="6"/>
        <v>3.5741538461538562</v>
      </c>
      <c r="H53" s="306">
        <f>IF($F$5=1,B53*G53*alfalfa,B53*G53*alfalfa*(($F$5-1)/$F$5))</f>
        <v>0</v>
      </c>
      <c r="K53" s="55"/>
      <c r="L53" s="55"/>
    </row>
    <row r="54" spans="1:13" x14ac:dyDescent="0.3">
      <c r="A54" s="468" t="s">
        <v>1022</v>
      </c>
      <c r="B54" s="406">
        <v>0</v>
      </c>
      <c r="C54" s="469">
        <f>Data!$R$560*Data!$F$139</f>
        <v>0</v>
      </c>
      <c r="D54" s="470" t="s">
        <v>117</v>
      </c>
      <c r="E54" s="474">
        <f>C54*alfalfa</f>
        <v>0</v>
      </c>
      <c r="F54" s="471">
        <f>diesel_fuel</f>
        <v>2.56</v>
      </c>
      <c r="G54" s="472">
        <f>C54*F54</f>
        <v>0</v>
      </c>
      <c r="H54" s="473">
        <f>IF($F$5=1,B54*G54*alfalfa,B54*G54*alfalfa*(($F$5-1)/$F$5))</f>
        <v>0</v>
      </c>
      <c r="J54" s="114"/>
      <c r="K54" s="55"/>
    </row>
    <row r="55" spans="1:13" x14ac:dyDescent="0.3">
      <c r="A55" s="400" t="s">
        <v>330</v>
      </c>
      <c r="B55" s="406">
        <f t="shared" si="4"/>
        <v>1</v>
      </c>
      <c r="C55" s="401">
        <f>Data!R561</f>
        <v>0.38105079305840639</v>
      </c>
      <c r="D55" s="393" t="s">
        <v>117</v>
      </c>
      <c r="E55" s="392">
        <f t="shared" si="5"/>
        <v>0</v>
      </c>
      <c r="F55" s="402">
        <f t="shared" si="7"/>
        <v>2.56</v>
      </c>
      <c r="G55" s="398">
        <f t="shared" si="6"/>
        <v>0.97549003022952041</v>
      </c>
      <c r="H55" s="306">
        <f>IF($F$5=1,B55*G55*alfalfa,B55*G55*alfalfa*(($F$5-1)/$F$5))</f>
        <v>0</v>
      </c>
      <c r="K55" s="55"/>
      <c r="L55" s="55"/>
    </row>
    <row r="56" spans="1:13" x14ac:dyDescent="0.3">
      <c r="A56" s="468" t="s">
        <v>1022</v>
      </c>
      <c r="B56" s="406">
        <f t="shared" si="4"/>
        <v>1</v>
      </c>
      <c r="C56" s="469">
        <f>Data!$R$562*Data!$F$139</f>
        <v>0</v>
      </c>
      <c r="D56" s="470" t="s">
        <v>117</v>
      </c>
      <c r="E56" s="474">
        <f>C56*alfalfa</f>
        <v>0</v>
      </c>
      <c r="F56" s="471">
        <f>diesel_fuel</f>
        <v>2.56</v>
      </c>
      <c r="G56" s="472">
        <f>C56*F56</f>
        <v>0</v>
      </c>
      <c r="H56" s="473">
        <f>IF($F$5=1,B56*G56*alfalfa,B56*G56*alfalfa*(($F$5-1)/$F$5))</f>
        <v>0</v>
      </c>
      <c r="J56" s="114"/>
      <c r="K56" s="55"/>
    </row>
    <row r="57" spans="1:13" x14ac:dyDescent="0.3">
      <c r="A57" s="22" t="s">
        <v>337</v>
      </c>
      <c r="B57" s="46"/>
      <c r="C57" s="46"/>
      <c r="D57" s="46"/>
      <c r="E57" s="226"/>
      <c r="F57" s="156"/>
      <c r="G57" s="46"/>
      <c r="H57" s="46"/>
      <c r="I57" s="110"/>
      <c r="J57" s="114"/>
      <c r="K57" s="55"/>
      <c r="L57" s="24"/>
      <c r="M57" s="81"/>
    </row>
    <row r="58" spans="1:13" x14ac:dyDescent="0.3">
      <c r="A58" s="6" t="s">
        <v>314</v>
      </c>
      <c r="B58" s="397">
        <v>1</v>
      </c>
      <c r="C58" s="273">
        <f>0</f>
        <v>0</v>
      </c>
      <c r="D58" s="34" t="s">
        <v>117</v>
      </c>
      <c r="E58" s="226">
        <f>C58*alfalfa</f>
        <v>0</v>
      </c>
      <c r="F58" s="167">
        <f t="shared" si="7"/>
        <v>2.56</v>
      </c>
      <c r="G58" s="110">
        <f t="shared" si="6"/>
        <v>0</v>
      </c>
      <c r="H58" s="110">
        <f>B58*G58*alfalfa</f>
        <v>0</v>
      </c>
      <c r="I58" s="110"/>
      <c r="J58" s="114"/>
      <c r="K58" s="55"/>
      <c r="L58" s="24"/>
      <c r="M58" s="81"/>
    </row>
    <row r="59" spans="1:13" x14ac:dyDescent="0.3">
      <c r="A59" s="3" t="s">
        <v>20</v>
      </c>
      <c r="B59" s="397">
        <v>1</v>
      </c>
      <c r="C59" s="46" t="s">
        <v>45</v>
      </c>
      <c r="D59" s="34" t="s">
        <v>45</v>
      </c>
      <c r="E59" s="228" t="s">
        <v>45</v>
      </c>
      <c r="F59" s="55" t="s">
        <v>45</v>
      </c>
      <c r="G59" s="114" t="e">
        <f>H59/alfalfa</f>
        <v>#DIV/0!</v>
      </c>
      <c r="H59" s="110">
        <f>B59*lube*SUM(H38:H58)</f>
        <v>0</v>
      </c>
      <c r="I59" s="127">
        <f>SUM(H38:H59)</f>
        <v>0</v>
      </c>
      <c r="J59" s="104"/>
      <c r="K59" s="55"/>
      <c r="L59" s="24"/>
      <c r="M59" s="81"/>
    </row>
    <row r="60" spans="1:13" x14ac:dyDescent="0.3">
      <c r="A60" s="3" t="s">
        <v>67</v>
      </c>
      <c r="B60" s="397">
        <v>1</v>
      </c>
      <c r="C60" s="46" t="s">
        <v>45</v>
      </c>
      <c r="D60" s="34" t="s">
        <v>45</v>
      </c>
      <c r="E60" s="228" t="s">
        <v>45</v>
      </c>
      <c r="F60" s="55" t="s">
        <v>45</v>
      </c>
      <c r="G60" s="114" t="e">
        <f>H60/alfalfa</f>
        <v>#DIV/0!</v>
      </c>
      <c r="H60" s="110">
        <f>B60*AlfOwnC!J50*Data!D5</f>
        <v>0</v>
      </c>
      <c r="I60" s="110"/>
      <c r="J60" s="114"/>
      <c r="K60" s="55"/>
      <c r="L60" s="24"/>
      <c r="M60" s="81"/>
    </row>
    <row r="61" spans="1:13" x14ac:dyDescent="0.3">
      <c r="A61" s="3"/>
      <c r="B61" s="397">
        <v>1</v>
      </c>
      <c r="C61" s="46" t="s">
        <v>45</v>
      </c>
      <c r="D61" s="34" t="s">
        <v>45</v>
      </c>
      <c r="E61" s="228" t="s">
        <v>45</v>
      </c>
      <c r="F61" s="55" t="s">
        <v>45</v>
      </c>
      <c r="G61" s="272">
        <v>0</v>
      </c>
      <c r="H61" s="109">
        <f>B61*G61*alfalfa</f>
        <v>0</v>
      </c>
      <c r="I61" s="110">
        <f>SUM(H60:H61)</f>
        <v>0</v>
      </c>
      <c r="J61" s="114"/>
      <c r="K61" s="55"/>
      <c r="L61" s="24"/>
      <c r="M61" s="81"/>
    </row>
    <row r="62" spans="1:13" x14ac:dyDescent="0.3">
      <c r="A62" s="3" t="s">
        <v>170</v>
      </c>
      <c r="B62" s="397">
        <v>1</v>
      </c>
      <c r="C62" s="46" t="s">
        <v>45</v>
      </c>
      <c r="D62" s="34" t="s">
        <v>45</v>
      </c>
      <c r="E62" s="228" t="s">
        <v>45</v>
      </c>
      <c r="F62" s="55" t="s">
        <v>45</v>
      </c>
      <c r="G62" s="114">
        <f>supplies</f>
        <v>0</v>
      </c>
      <c r="H62" s="109">
        <f>B62*G62*alfalfa</f>
        <v>0</v>
      </c>
      <c r="I62" s="110"/>
      <c r="J62" s="114"/>
      <c r="K62" s="55"/>
      <c r="L62" s="24"/>
      <c r="M62" s="81"/>
    </row>
    <row r="63" spans="1:13" x14ac:dyDescent="0.3">
      <c r="A63" s="3" t="s">
        <v>75</v>
      </c>
      <c r="B63" s="397">
        <v>1</v>
      </c>
      <c r="C63" s="46" t="s">
        <v>45</v>
      </c>
      <c r="D63" s="34" t="s">
        <v>45</v>
      </c>
      <c r="E63" s="228" t="s">
        <v>45</v>
      </c>
      <c r="F63" s="114">
        <f>cropins</f>
        <v>3</v>
      </c>
      <c r="G63" s="114">
        <f>F63</f>
        <v>3</v>
      </c>
      <c r="H63" s="109">
        <f>B63*G63*alfalfa</f>
        <v>0</v>
      </c>
      <c r="I63" s="110"/>
      <c r="J63" s="114"/>
      <c r="K63" s="55"/>
      <c r="L63" s="24"/>
      <c r="M63" s="81"/>
    </row>
    <row r="64" spans="1:13" x14ac:dyDescent="0.3">
      <c r="A64" s="3"/>
      <c r="B64" s="397">
        <v>1</v>
      </c>
      <c r="C64" s="46" t="s">
        <v>45</v>
      </c>
      <c r="D64" s="34" t="s">
        <v>45</v>
      </c>
      <c r="E64" s="228" t="s">
        <v>45</v>
      </c>
      <c r="F64" s="55" t="s">
        <v>45</v>
      </c>
      <c r="G64" s="272">
        <v>0</v>
      </c>
      <c r="H64" s="109">
        <f>B64*G64*alfalfa</f>
        <v>0</v>
      </c>
      <c r="I64" s="110">
        <f>SUM(H63:H64)</f>
        <v>0</v>
      </c>
      <c r="J64" s="114"/>
      <c r="K64" s="55"/>
      <c r="L64" s="24"/>
      <c r="M64" s="81"/>
    </row>
    <row r="65" spans="1:13" x14ac:dyDescent="0.3">
      <c r="A65" s="69" t="s">
        <v>173</v>
      </c>
      <c r="B65" s="69"/>
      <c r="E65" s="229"/>
      <c r="F65" s="114"/>
      <c r="G65" s="114"/>
      <c r="H65" s="110"/>
      <c r="I65" s="110"/>
      <c r="J65" s="114"/>
      <c r="K65" s="55"/>
      <c r="L65" s="24"/>
      <c r="M65" s="81"/>
    </row>
    <row r="66" spans="1:13" x14ac:dyDescent="0.3">
      <c r="A66" s="70" t="s">
        <v>175</v>
      </c>
      <c r="B66" s="397">
        <v>1</v>
      </c>
      <c r="C66" s="46" t="s">
        <v>45</v>
      </c>
      <c r="D66" s="34" t="s">
        <v>45</v>
      </c>
      <c r="E66" s="228" t="s">
        <v>45</v>
      </c>
      <c r="F66" s="55" t="s">
        <v>45</v>
      </c>
      <c r="G66" s="676">
        <f>Data!$F$69</f>
        <v>12</v>
      </c>
      <c r="H66" s="109">
        <f>B66*G66*alfalfa</f>
        <v>0</v>
      </c>
      <c r="I66" s="110"/>
      <c r="J66" s="114"/>
      <c r="K66" s="55"/>
      <c r="L66" s="24"/>
      <c r="M66" s="81"/>
    </row>
    <row r="67" spans="1:13" x14ac:dyDescent="0.3">
      <c r="A67" s="70" t="s">
        <v>176</v>
      </c>
      <c r="B67" s="397">
        <v>1</v>
      </c>
      <c r="C67" s="46" t="s">
        <v>45</v>
      </c>
      <c r="D67" s="34" t="s">
        <v>45</v>
      </c>
      <c r="E67" s="228" t="s">
        <v>45</v>
      </c>
      <c r="F67" s="55" t="s">
        <v>45</v>
      </c>
      <c r="G67" s="272">
        <v>0</v>
      </c>
      <c r="H67" s="109">
        <f>B67*G67*alfalfa</f>
        <v>0</v>
      </c>
      <c r="I67" s="110"/>
      <c r="J67" s="114"/>
    </row>
    <row r="68" spans="1:13" x14ac:dyDescent="0.3">
      <c r="A68" s="70" t="s">
        <v>177</v>
      </c>
      <c r="B68" s="70"/>
      <c r="C68" s="46"/>
      <c r="D68" s="34"/>
      <c r="E68" s="228"/>
      <c r="F68" s="114"/>
      <c r="G68" s="114"/>
      <c r="H68" s="110"/>
      <c r="I68" s="110"/>
      <c r="J68" s="114"/>
    </row>
    <row r="69" spans="1:13" x14ac:dyDescent="0.3">
      <c r="A69" s="22" t="s">
        <v>174</v>
      </c>
      <c r="B69" s="397">
        <v>1</v>
      </c>
      <c r="C69" s="34" t="s">
        <v>45</v>
      </c>
      <c r="D69" s="34" t="s">
        <v>81</v>
      </c>
      <c r="E69" s="228" t="s">
        <v>45</v>
      </c>
      <c r="F69" s="110">
        <f>Data!D61</f>
        <v>50</v>
      </c>
      <c r="G69" s="114" t="e">
        <f>(H69/alfalfa)</f>
        <v>#DIV/0!</v>
      </c>
      <c r="H69" s="110">
        <f>B69*F69*alfalfa*Data!E57*Data!D5</f>
        <v>0</v>
      </c>
      <c r="I69" s="140"/>
      <c r="J69" s="114"/>
    </row>
    <row r="70" spans="1:13" x14ac:dyDescent="0.3">
      <c r="A70" s="22" t="s">
        <v>928</v>
      </c>
      <c r="B70" s="397">
        <v>0</v>
      </c>
      <c r="C70" s="34" t="s">
        <v>45</v>
      </c>
      <c r="D70" s="34" t="s">
        <v>929</v>
      </c>
      <c r="E70" s="228" t="s">
        <v>45</v>
      </c>
      <c r="F70" s="55" t="s">
        <v>45</v>
      </c>
      <c r="G70" s="272">
        <f>15/5</f>
        <v>3</v>
      </c>
      <c r="H70" s="109">
        <f t="shared" ref="H70:H76" si="9">B70*G70*alfalfa</f>
        <v>0</v>
      </c>
      <c r="I70" s="110">
        <f>SUM(H69:H70)</f>
        <v>0</v>
      </c>
      <c r="J70" s="114"/>
    </row>
    <row r="71" spans="1:13" x14ac:dyDescent="0.3">
      <c r="A71" s="70" t="s">
        <v>178</v>
      </c>
      <c r="B71" s="397">
        <v>1</v>
      </c>
      <c r="C71" s="46" t="s">
        <v>45</v>
      </c>
      <c r="D71" s="34" t="s">
        <v>45</v>
      </c>
      <c r="E71" s="228" t="s">
        <v>45</v>
      </c>
      <c r="F71" s="55" t="s">
        <v>45</v>
      </c>
      <c r="G71" s="272">
        <v>0</v>
      </c>
      <c r="H71" s="109">
        <f t="shared" si="9"/>
        <v>0</v>
      </c>
      <c r="I71" s="109"/>
      <c r="J71" s="114"/>
    </row>
    <row r="72" spans="1:13" x14ac:dyDescent="0.3">
      <c r="A72" s="70" t="s">
        <v>179</v>
      </c>
      <c r="B72" s="397">
        <v>1</v>
      </c>
      <c r="C72" s="46" t="s">
        <v>45</v>
      </c>
      <c r="D72" s="34" t="s">
        <v>45</v>
      </c>
      <c r="E72" s="228" t="s">
        <v>45</v>
      </c>
      <c r="F72" s="55" t="s">
        <v>45</v>
      </c>
      <c r="G72" s="250">
        <v>2</v>
      </c>
      <c r="H72" s="109">
        <f t="shared" si="9"/>
        <v>0</v>
      </c>
      <c r="I72" s="109"/>
      <c r="J72" s="114"/>
    </row>
    <row r="73" spans="1:13" x14ac:dyDescent="0.3">
      <c r="A73" s="9" t="s">
        <v>247</v>
      </c>
      <c r="B73" s="397">
        <v>0</v>
      </c>
      <c r="C73" s="47" t="s">
        <v>45</v>
      </c>
      <c r="D73" s="48" t="s">
        <v>45</v>
      </c>
      <c r="E73" s="48" t="s">
        <v>45</v>
      </c>
      <c r="F73" s="118" t="s">
        <v>45</v>
      </c>
      <c r="G73" s="465">
        <f>(G72*Data!$F$139)</f>
        <v>0</v>
      </c>
      <c r="H73" s="124">
        <f>B73*G73*alfalfa</f>
        <v>0</v>
      </c>
      <c r="I73" s="110">
        <f>SUM(H72:H73)</f>
        <v>0</v>
      </c>
    </row>
    <row r="74" spans="1:13" x14ac:dyDescent="0.3">
      <c r="A74" s="70" t="s">
        <v>180</v>
      </c>
      <c r="B74" s="397">
        <v>1</v>
      </c>
      <c r="C74" s="46" t="s">
        <v>45</v>
      </c>
      <c r="D74" s="34" t="s">
        <v>45</v>
      </c>
      <c r="E74" s="228" t="s">
        <v>45</v>
      </c>
      <c r="F74" s="55" t="s">
        <v>45</v>
      </c>
      <c r="G74" s="114">
        <f>othexp</f>
        <v>0</v>
      </c>
      <c r="H74" s="109">
        <f t="shared" si="9"/>
        <v>0</v>
      </c>
      <c r="I74" s="110"/>
      <c r="J74" s="114"/>
    </row>
    <row r="75" spans="1:13" x14ac:dyDescent="0.3">
      <c r="A75" s="22" t="s">
        <v>181</v>
      </c>
      <c r="B75" s="397">
        <v>1</v>
      </c>
      <c r="C75" s="46" t="s">
        <v>45</v>
      </c>
      <c r="D75" s="34" t="s">
        <v>45</v>
      </c>
      <c r="E75" s="228" t="s">
        <v>45</v>
      </c>
      <c r="F75" s="55" t="s">
        <v>45</v>
      </c>
      <c r="G75" s="272">
        <v>0</v>
      </c>
      <c r="H75" s="109">
        <f t="shared" si="9"/>
        <v>0</v>
      </c>
      <c r="I75" s="110">
        <f>SUM(H74:H75)</f>
        <v>0</v>
      </c>
      <c r="J75" s="114"/>
    </row>
    <row r="76" spans="1:13" x14ac:dyDescent="0.3">
      <c r="A76" s="3" t="s">
        <v>226</v>
      </c>
      <c r="B76" s="397">
        <v>1</v>
      </c>
      <c r="C76" s="46" t="s">
        <v>45</v>
      </c>
      <c r="D76" s="75" t="s">
        <v>45</v>
      </c>
      <c r="E76" s="228" t="s">
        <v>45</v>
      </c>
      <c r="F76" s="55" t="s">
        <v>45</v>
      </c>
      <c r="G76" s="272">
        <v>0</v>
      </c>
      <c r="H76" s="109">
        <f t="shared" si="9"/>
        <v>0</v>
      </c>
      <c r="I76" s="110"/>
      <c r="J76" s="114"/>
    </row>
    <row r="77" spans="1:13" x14ac:dyDescent="0.3">
      <c r="A77" s="3" t="s">
        <v>73</v>
      </c>
      <c r="B77" s="3"/>
      <c r="F77" s="114"/>
      <c r="G77" s="119" t="e">
        <f>SUM(G7:G76)</f>
        <v>#DIV/0!</v>
      </c>
      <c r="H77" s="125">
        <f>SUM(H7:H76)</f>
        <v>0</v>
      </c>
      <c r="I77" s="110"/>
      <c r="J77" s="114"/>
    </row>
    <row r="78" spans="1:13" x14ac:dyDescent="0.3">
      <c r="F78" s="114"/>
      <c r="G78" s="114"/>
      <c r="H78" s="109"/>
      <c r="I78" s="110"/>
      <c r="J78" s="114"/>
    </row>
    <row r="79" spans="1:13" ht="39" x14ac:dyDescent="0.3">
      <c r="A79" s="3" t="s">
        <v>69</v>
      </c>
      <c r="B79" s="3"/>
      <c r="C79" s="25" t="s">
        <v>70</v>
      </c>
      <c r="D79" s="25" t="s">
        <v>71</v>
      </c>
      <c r="E79" s="25"/>
      <c r="F79" s="114"/>
      <c r="G79" s="120" t="s">
        <v>1292</v>
      </c>
      <c r="H79" s="126" t="s">
        <v>72</v>
      </c>
      <c r="I79" s="110"/>
      <c r="J79" s="114"/>
    </row>
    <row r="80" spans="1:13" x14ac:dyDescent="0.3">
      <c r="A80" s="3"/>
      <c r="B80" s="3"/>
      <c r="C80" s="35">
        <f>_int_oper_</f>
        <v>4.7341710603787002E-2</v>
      </c>
      <c r="D80" s="34">
        <f>Data!$B$48</f>
        <v>7</v>
      </c>
      <c r="E80" s="34"/>
      <c r="F80" s="114"/>
      <c r="G80" s="104" t="e">
        <f>H80/alfalfa</f>
        <v>#DIV/0!</v>
      </c>
      <c r="H80" s="109">
        <f>C80*(D80/12)*(H77)</f>
        <v>0</v>
      </c>
      <c r="I80" s="110"/>
      <c r="J80" s="114"/>
    </row>
    <row r="81" spans="1:10" x14ac:dyDescent="0.3">
      <c r="F81" s="114"/>
      <c r="G81" s="103"/>
      <c r="H81" s="127"/>
      <c r="I81" s="110"/>
      <c r="J81" s="114"/>
    </row>
    <row r="82" spans="1:10" ht="14" thickBot="1" x14ac:dyDescent="0.4">
      <c r="A82" s="1" t="s">
        <v>74</v>
      </c>
      <c r="B82" s="1"/>
      <c r="F82" s="114"/>
      <c r="G82" s="121" t="e">
        <f>G77+G80</f>
        <v>#DIV/0!</v>
      </c>
      <c r="H82" s="128">
        <f>H77+H80</f>
        <v>0</v>
      </c>
      <c r="I82" s="110"/>
      <c r="J82" s="114"/>
    </row>
    <row r="83" spans="1:10" ht="13.5" thickTop="1" x14ac:dyDescent="0.3">
      <c r="F83" s="114"/>
      <c r="G83" s="114"/>
      <c r="H83" s="109"/>
      <c r="I83" s="110"/>
      <c r="J83" s="114"/>
    </row>
    <row r="84" spans="1:10" x14ac:dyDescent="0.3">
      <c r="F84" s="34"/>
      <c r="G84" s="34"/>
      <c r="H84" s="107"/>
      <c r="I84" s="108"/>
    </row>
    <row r="85" spans="1:10" x14ac:dyDescent="0.3">
      <c r="F85" s="34"/>
      <c r="G85" s="34"/>
      <c r="H85" s="49"/>
    </row>
    <row r="86" spans="1:10" x14ac:dyDescent="0.3">
      <c r="F86" s="34"/>
      <c r="G86" s="34"/>
      <c r="H86" s="49"/>
    </row>
    <row r="87" spans="1:10" x14ac:dyDescent="0.3">
      <c r="F87" s="34"/>
      <c r="G87" s="34"/>
      <c r="H87" s="49"/>
    </row>
    <row r="88" spans="1:10" x14ac:dyDescent="0.3">
      <c r="F88" s="34"/>
      <c r="G88" s="34"/>
      <c r="H88" s="49"/>
    </row>
    <row r="89" spans="1:10" x14ac:dyDescent="0.3">
      <c r="F89" s="34"/>
      <c r="G89" s="34"/>
      <c r="H89" s="49"/>
    </row>
    <row r="90" spans="1:10" x14ac:dyDescent="0.3">
      <c r="F90" s="34"/>
      <c r="G90" s="34"/>
      <c r="H90" s="49"/>
    </row>
    <row r="91" spans="1:10" x14ac:dyDescent="0.3">
      <c r="F91" s="34"/>
      <c r="G91" s="34"/>
      <c r="H91" s="49"/>
    </row>
    <row r="92" spans="1:10" x14ac:dyDescent="0.3">
      <c r="F92" s="34"/>
      <c r="G92" s="34"/>
      <c r="H92" s="34"/>
    </row>
    <row r="93" spans="1:10" x14ac:dyDescent="0.3">
      <c r="F93" s="34"/>
      <c r="G93" s="34"/>
      <c r="H93" s="34"/>
    </row>
    <row r="95" spans="1:10" x14ac:dyDescent="0.3">
      <c r="F95" s="34"/>
      <c r="G95" s="34"/>
      <c r="H95" s="34"/>
    </row>
    <row r="96" spans="1:10" x14ac:dyDescent="0.3">
      <c r="F96" s="34"/>
      <c r="G96" s="34"/>
      <c r="H96" s="34"/>
    </row>
    <row r="97" spans="6:8" x14ac:dyDescent="0.3">
      <c r="F97" s="34"/>
      <c r="G97" s="34"/>
      <c r="H97" s="34"/>
    </row>
    <row r="98" spans="6:8" x14ac:dyDescent="0.3">
      <c r="F98" s="34"/>
      <c r="G98" s="34"/>
      <c r="H98" s="34"/>
    </row>
    <row r="99" spans="6:8" x14ac:dyDescent="0.3">
      <c r="F99" s="34"/>
      <c r="G99" s="34"/>
      <c r="H99" s="34"/>
    </row>
    <row r="100" spans="6:8" x14ac:dyDescent="0.3">
      <c r="F100" s="34"/>
      <c r="G100" s="34"/>
      <c r="H100" s="34"/>
    </row>
    <row r="101" spans="6:8" x14ac:dyDescent="0.3">
      <c r="F101" s="34"/>
      <c r="G101" s="34"/>
      <c r="H101" s="34"/>
    </row>
    <row r="102" spans="6:8" x14ac:dyDescent="0.3">
      <c r="F102" s="34"/>
      <c r="G102" s="34"/>
      <c r="H102" s="34"/>
    </row>
    <row r="103" spans="6:8" x14ac:dyDescent="0.3">
      <c r="F103" s="34"/>
      <c r="G103" s="34"/>
      <c r="H103" s="34"/>
    </row>
    <row r="104" spans="6:8" x14ac:dyDescent="0.3">
      <c r="F104" s="34"/>
      <c r="G104" s="34"/>
      <c r="H104" s="34"/>
    </row>
    <row r="105" spans="6:8" x14ac:dyDescent="0.3">
      <c r="F105" s="34"/>
      <c r="G105" s="34"/>
      <c r="H105" s="34"/>
    </row>
    <row r="106" spans="6:8" x14ac:dyDescent="0.3">
      <c r="F106" s="34"/>
      <c r="G106" s="34"/>
      <c r="H106" s="34"/>
    </row>
    <row r="107" spans="6:8" x14ac:dyDescent="0.3">
      <c r="F107" s="34"/>
      <c r="G107" s="34"/>
      <c r="H107" s="34"/>
    </row>
    <row r="108" spans="6:8" x14ac:dyDescent="0.3">
      <c r="F108" s="34"/>
      <c r="G108" s="34"/>
      <c r="H108" s="34"/>
    </row>
    <row r="109" spans="6:8" x14ac:dyDescent="0.3">
      <c r="F109" s="34"/>
      <c r="G109" s="34"/>
      <c r="H109" s="34"/>
    </row>
    <row r="110" spans="6:8" x14ac:dyDescent="0.3">
      <c r="F110" s="34"/>
      <c r="G110" s="34"/>
      <c r="H110" s="34"/>
    </row>
    <row r="111" spans="6:8" x14ac:dyDescent="0.3">
      <c r="F111" s="34"/>
      <c r="G111" s="34"/>
      <c r="H111" s="34"/>
    </row>
    <row r="112" spans="6:8" x14ac:dyDescent="0.3">
      <c r="F112" s="34"/>
      <c r="G112" s="34"/>
      <c r="H112" s="34"/>
    </row>
    <row r="113" spans="6:8" x14ac:dyDescent="0.3">
      <c r="F113" s="34"/>
      <c r="G113" s="34"/>
      <c r="H113" s="34"/>
    </row>
    <row r="114" spans="6:8" x14ac:dyDescent="0.3">
      <c r="F114" s="34"/>
      <c r="G114" s="34"/>
      <c r="H114" s="34"/>
    </row>
    <row r="115" spans="6:8" x14ac:dyDescent="0.3">
      <c r="F115" s="34"/>
      <c r="G115" s="34"/>
      <c r="H115" s="34"/>
    </row>
    <row r="116" spans="6:8" x14ac:dyDescent="0.3">
      <c r="F116" s="34"/>
      <c r="G116" s="34"/>
      <c r="H116" s="34"/>
    </row>
    <row r="117" spans="6:8" x14ac:dyDescent="0.3">
      <c r="F117" s="34"/>
      <c r="G117" s="34"/>
      <c r="H117" s="34"/>
    </row>
    <row r="118" spans="6:8" x14ac:dyDescent="0.3">
      <c r="F118" s="34"/>
      <c r="G118" s="34"/>
      <c r="H118" s="34"/>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row>
    <row r="587" spans="6:8" x14ac:dyDescent="0.3">
      <c r="F587" s="34"/>
    </row>
    <row r="588" spans="6:8" x14ac:dyDescent="0.3">
      <c r="F588" s="34"/>
    </row>
    <row r="589" spans="6:8" x14ac:dyDescent="0.3">
      <c r="F589" s="34"/>
    </row>
    <row r="590" spans="6:8" x14ac:dyDescent="0.3">
      <c r="F590" s="34"/>
    </row>
    <row r="591" spans="6:8" x14ac:dyDescent="0.3">
      <c r="F591" s="34"/>
    </row>
    <row r="592" spans="6:8" x14ac:dyDescent="0.3">
      <c r="F592" s="34"/>
    </row>
    <row r="593" spans="6:6" x14ac:dyDescent="0.3">
      <c r="F593" s="34"/>
    </row>
    <row r="594" spans="6:6" x14ac:dyDescent="0.3">
      <c r="F594" s="34"/>
    </row>
    <row r="595" spans="6:6" x14ac:dyDescent="0.3">
      <c r="F595" s="34"/>
    </row>
    <row r="596" spans="6:6" x14ac:dyDescent="0.3">
      <c r="F596" s="34"/>
    </row>
    <row r="597" spans="6:6" x14ac:dyDescent="0.3">
      <c r="F597" s="34"/>
    </row>
    <row r="598" spans="6:6" x14ac:dyDescent="0.3">
      <c r="F598" s="34"/>
    </row>
    <row r="599" spans="6:6" x14ac:dyDescent="0.3">
      <c r="F599" s="34"/>
    </row>
    <row r="600" spans="6:6" x14ac:dyDescent="0.3">
      <c r="F600" s="34"/>
    </row>
    <row r="601" spans="6:6" x14ac:dyDescent="0.3">
      <c r="F601" s="34"/>
    </row>
    <row r="602" spans="6:6" x14ac:dyDescent="0.3">
      <c r="F602" s="34"/>
    </row>
    <row r="603" spans="6:6" x14ac:dyDescent="0.3">
      <c r="F603" s="34"/>
    </row>
    <row r="604" spans="6:6" x14ac:dyDescent="0.3">
      <c r="F604" s="34"/>
    </row>
    <row r="605" spans="6:6" x14ac:dyDescent="0.3">
      <c r="F605" s="34"/>
    </row>
    <row r="606" spans="6:6" x14ac:dyDescent="0.3">
      <c r="F606" s="34"/>
    </row>
    <row r="607" spans="6:6" x14ac:dyDescent="0.3">
      <c r="F607" s="34"/>
    </row>
  </sheetData>
  <phoneticPr fontId="0" type="noConversion"/>
  <pageMargins left="0.75" right="0.75" top="1" bottom="1" header="0.5" footer="0.5"/>
  <pageSetup orientation="portrait" horizontalDpi="4294967294" verticalDpi="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57"/>
  <sheetViews>
    <sheetView workbookViewId="0">
      <pane ySplit="6" topLeftCell="A32" activePane="bottomLeft" state="frozen"/>
      <selection pane="bottomLeft" activeCell="C38" sqref="C38"/>
    </sheetView>
  </sheetViews>
  <sheetFormatPr defaultColWidth="9.08984375" defaultRowHeight="13" x14ac:dyDescent="0.3"/>
  <cols>
    <col min="1" max="1" width="50.81640625" style="27" customWidth="1"/>
    <col min="2" max="2" width="8.6328125" style="27" customWidth="1"/>
    <col min="3" max="3" width="9.6328125" style="17" customWidth="1"/>
    <col min="4" max="5" width="8.6328125" style="17" customWidth="1"/>
    <col min="6" max="7" width="7.6328125" style="17" customWidth="1"/>
    <col min="8" max="8" width="11.6328125" style="17" customWidth="1"/>
    <col min="9" max="10" width="11.90625" style="17" customWidth="1"/>
    <col min="11" max="11" width="9" style="17" bestFit="1" customWidth="1"/>
    <col min="12" max="12" width="8.90625" style="17" customWidth="1"/>
    <col min="13" max="13" width="10" style="17" customWidth="1"/>
    <col min="14" max="14" width="4.54296875" style="17" customWidth="1"/>
    <col min="15" max="15" width="10.08984375" style="17" customWidth="1"/>
    <col min="16" max="23" width="8" style="17" customWidth="1"/>
    <col min="24" max="24" width="9.36328125" style="17" customWidth="1"/>
    <col min="25" max="25" width="3" style="17" customWidth="1"/>
    <col min="26" max="29" width="8" style="17" customWidth="1"/>
    <col min="30" max="16384" width="9.08984375" style="17"/>
  </cols>
  <sheetData>
    <row r="1" spans="1:23" x14ac:dyDescent="0.3">
      <c r="A1" s="61" t="s">
        <v>146</v>
      </c>
      <c r="B1" s="27" t="str">
        <f>model</f>
        <v>ME Grain &amp; Pulse</v>
      </c>
      <c r="F1" s="67"/>
      <c r="G1" s="55"/>
      <c r="H1" s="62"/>
      <c r="I1" s="55"/>
    </row>
    <row r="2" spans="1:23" x14ac:dyDescent="0.3">
      <c r="A2" s="3"/>
      <c r="G2" s="55"/>
      <c r="H2" s="26"/>
      <c r="I2" s="24"/>
    </row>
    <row r="3" spans="1:23" x14ac:dyDescent="0.3">
      <c r="E3" s="63"/>
      <c r="F3" s="63"/>
      <c r="G3" s="62"/>
      <c r="H3" s="131"/>
      <c r="I3" s="131"/>
    </row>
    <row r="4" spans="1:23" x14ac:dyDescent="0.3">
      <c r="A4" s="16" t="s">
        <v>409</v>
      </c>
      <c r="B4" s="8" t="s">
        <v>92</v>
      </c>
      <c r="C4" s="65">
        <f>alfalfa</f>
        <v>0</v>
      </c>
      <c r="D4" s="4" t="s">
        <v>93</v>
      </c>
      <c r="E4" s="18"/>
      <c r="G4" s="55"/>
      <c r="H4" s="18"/>
      <c r="I4" s="24"/>
    </row>
    <row r="5" spans="1:23" x14ac:dyDescent="0.3">
      <c r="B5" s="17"/>
    </row>
    <row r="6" spans="1:23"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row>
    <row r="7" spans="1:23" x14ac:dyDescent="0.3">
      <c r="A7" s="13"/>
      <c r="B7" s="29"/>
      <c r="C7" s="30"/>
      <c r="D7" s="31"/>
      <c r="E7" s="31"/>
      <c r="F7" s="18"/>
      <c r="G7" s="18"/>
      <c r="H7" s="32"/>
      <c r="I7" s="31"/>
      <c r="J7" s="31"/>
      <c r="K7" s="31"/>
      <c r="L7" s="31"/>
      <c r="M7" s="31"/>
    </row>
    <row r="8" spans="1:23" x14ac:dyDescent="0.3">
      <c r="A8" s="14" t="s">
        <v>3</v>
      </c>
    </row>
    <row r="9" spans="1:23" x14ac:dyDescent="0.3">
      <c r="A9" s="6" t="str">
        <f>Data!A285</f>
        <v>Large tractor (160 hp) - MEDIUM SIZE</v>
      </c>
      <c r="B9" s="33">
        <f>Data!B285</f>
        <v>1</v>
      </c>
      <c r="C9" s="34" t="str">
        <f>Data!C285</f>
        <v>tractor</v>
      </c>
      <c r="D9" s="109">
        <f>Data!D292*Data!H5</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c r="S9" s="34"/>
      <c r="T9" s="34"/>
      <c r="U9" s="34"/>
      <c r="V9" s="34"/>
      <c r="W9" s="34"/>
    </row>
    <row r="10" spans="1:23" x14ac:dyDescent="0.3">
      <c r="B10" s="33"/>
      <c r="C10" s="34"/>
      <c r="D10" s="109"/>
      <c r="E10" s="109"/>
      <c r="F10" s="109"/>
      <c r="G10" s="34"/>
      <c r="H10" s="109"/>
      <c r="I10" s="35"/>
      <c r="J10" s="109"/>
      <c r="K10" s="35"/>
      <c r="L10" s="109"/>
      <c r="M10" s="109"/>
    </row>
    <row r="11" spans="1:23" x14ac:dyDescent="0.3">
      <c r="A11" s="14" t="s">
        <v>386</v>
      </c>
      <c r="D11" s="110"/>
      <c r="E11" s="110"/>
      <c r="F11" s="109"/>
      <c r="H11" s="109"/>
      <c r="J11" s="110"/>
      <c r="L11" s="110"/>
      <c r="M11" s="109"/>
    </row>
    <row r="12" spans="1:23" x14ac:dyDescent="0.3">
      <c r="A12" s="6" t="str">
        <f>Data!A297</f>
        <v>Bulk Body Truck(s) - SMALL SIZE</v>
      </c>
      <c r="B12" s="247">
        <v>2</v>
      </c>
      <c r="C12" s="34" t="str">
        <f>Data!C297</f>
        <v>truck</v>
      </c>
      <c r="D12" s="109">
        <f>Data!D297*Data!J5</f>
        <v>0</v>
      </c>
      <c r="E12" s="109">
        <f>D12*B12</f>
        <v>0</v>
      </c>
      <c r="F12" s="109">
        <f>Data!I297*E12</f>
        <v>0</v>
      </c>
      <c r="G12" s="34">
        <f>Data!F297</f>
        <v>40</v>
      </c>
      <c r="H12" s="109">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c r="S12" s="34"/>
      <c r="T12" s="34"/>
      <c r="U12" s="34"/>
      <c r="V12" s="34"/>
      <c r="W12" s="34"/>
    </row>
    <row r="13" spans="1:23" x14ac:dyDescent="0.3">
      <c r="B13" s="33"/>
      <c r="C13" s="34"/>
      <c r="D13" s="109"/>
      <c r="E13" s="109"/>
      <c r="F13" s="109"/>
      <c r="G13" s="34"/>
      <c r="H13" s="109"/>
      <c r="I13" s="35"/>
      <c r="J13" s="109"/>
      <c r="K13" s="35"/>
      <c r="L13" s="109"/>
      <c r="M13" s="109"/>
    </row>
    <row r="14" spans="1:23" x14ac:dyDescent="0.3">
      <c r="A14" s="14" t="s">
        <v>6</v>
      </c>
      <c r="B14" s="33"/>
      <c r="C14" s="34"/>
      <c r="D14" s="109"/>
      <c r="E14" s="109"/>
      <c r="F14" s="109"/>
      <c r="G14" s="34"/>
      <c r="H14" s="109"/>
      <c r="I14" s="35"/>
      <c r="J14" s="109"/>
      <c r="K14" s="35"/>
      <c r="L14" s="109"/>
      <c r="M14" s="109"/>
    </row>
    <row r="15" spans="1:23" x14ac:dyDescent="0.3">
      <c r="A15" s="6" t="str">
        <f>Data!A313</f>
        <v>Chisel Plow (15 ft) - SMALL SIZE</v>
      </c>
      <c r="B15" s="33">
        <f>Data!B313</f>
        <v>0</v>
      </c>
      <c r="C15" s="34" t="str">
        <f>Data!C313</f>
        <v>chisel plow</v>
      </c>
      <c r="D15" s="109">
        <f>Data!D313*Data!P5</f>
        <v>0</v>
      </c>
      <c r="E15" s="109">
        <f>D15*B15</f>
        <v>0</v>
      </c>
      <c r="F15" s="109">
        <f>Data!I313*E15</f>
        <v>0</v>
      </c>
      <c r="G15" s="34">
        <f>Data!F313</f>
        <v>40</v>
      </c>
      <c r="H15" s="112">
        <f>(E15*(_int_inv_*(1+_int_inv_)^G15)/((1+_int_inv_)^G15-1))-(F15*_int_inv_/((1+_int_inv_)^G15-1))</f>
        <v>0</v>
      </c>
      <c r="I15" s="35">
        <f>Data!H313</f>
        <v>2.433684210526316E-2</v>
      </c>
      <c r="J15" s="109">
        <f>E15*I15</f>
        <v>0</v>
      </c>
      <c r="K15" s="36">
        <f>_tax_ins_</f>
        <v>6.7999999999999996E-3</v>
      </c>
      <c r="L15" s="109">
        <f>E15*K15</f>
        <v>0</v>
      </c>
      <c r="M15" s="109">
        <f>H15+J15+L15</f>
        <v>0</v>
      </c>
      <c r="N15" s="34"/>
      <c r="O15" s="34"/>
      <c r="P15" s="34"/>
      <c r="Q15" s="34"/>
      <c r="R15" s="34"/>
      <c r="S15" s="34"/>
      <c r="T15" s="34"/>
      <c r="U15" s="34"/>
      <c r="V15" s="34"/>
      <c r="W15" s="34"/>
    </row>
    <row r="16" spans="1:23" x14ac:dyDescent="0.3">
      <c r="A16" s="6" t="str">
        <f>Data!A316</f>
        <v>Disk Harrow (12 ft) - SMALL SIZE</v>
      </c>
      <c r="B16" s="33">
        <f>Data!B316</f>
        <v>0</v>
      </c>
      <c r="C16" s="34" t="str">
        <f>Data!C316</f>
        <v>disk harrow</v>
      </c>
      <c r="D16" s="109">
        <f>Data!D316*Data!P5</f>
        <v>0</v>
      </c>
      <c r="E16" s="109">
        <f>D16*B16</f>
        <v>0</v>
      </c>
      <c r="F16" s="109">
        <f>Data!I316*E16</f>
        <v>0</v>
      </c>
      <c r="G16" s="34">
        <f>Data!F316</f>
        <v>50</v>
      </c>
      <c r="H16" s="112">
        <f>(E16*(_int_inv_*(1+_int_inv_)^G16)/((1+_int_inv_)^G16-1))-(F16*_int_inv_/((1+_int_inv_)^G16-1))</f>
        <v>0</v>
      </c>
      <c r="I16" s="35">
        <f>Data!H316</f>
        <v>2.2825263157894737E-2</v>
      </c>
      <c r="J16" s="109">
        <f>E16*I16</f>
        <v>0</v>
      </c>
      <c r="K16" s="36">
        <f>_tax_ins_</f>
        <v>6.7999999999999996E-3</v>
      </c>
      <c r="L16" s="109">
        <f>E16*K16</f>
        <v>0</v>
      </c>
      <c r="M16" s="109">
        <f>H16+J16+L16</f>
        <v>0</v>
      </c>
      <c r="N16" s="34"/>
      <c r="O16" s="34"/>
      <c r="P16" s="34"/>
      <c r="Q16" s="34"/>
      <c r="R16" s="34"/>
      <c r="S16" s="34"/>
      <c r="T16" s="34"/>
      <c r="U16" s="34"/>
      <c r="V16" s="34"/>
      <c r="W16" s="34"/>
    </row>
    <row r="17" spans="1:23" ht="13.25" customHeight="1" x14ac:dyDescent="0.3">
      <c r="A17" s="6" t="str">
        <f>Data!A319</f>
        <v>Soil Conditioner/Field Cultivator (18 ft) - SMALL SIZE</v>
      </c>
      <c r="B17" s="33">
        <f>Data!B319</f>
        <v>0</v>
      </c>
      <c r="C17" s="34" t="str">
        <f>Data!C319</f>
        <v>condit.</v>
      </c>
      <c r="D17" s="109">
        <f>Data!D319*Data!P5</f>
        <v>0</v>
      </c>
      <c r="E17" s="109">
        <f>D17*B17</f>
        <v>0</v>
      </c>
      <c r="F17" s="109">
        <f>Data!I319*E17</f>
        <v>0</v>
      </c>
      <c r="G17" s="34">
        <f>Data!F319</f>
        <v>40</v>
      </c>
      <c r="H17" s="112">
        <f>(E17*(_int_inv_*(1+_int_inv_)^G17)/((1+_int_inv_)^G17-1))-(F17*_int_inv_/((1+_int_inv_)^G17-1))</f>
        <v>0</v>
      </c>
      <c r="I17" s="35">
        <f>Data!H319</f>
        <v>3.245E-2</v>
      </c>
      <c r="J17" s="109">
        <f>E17*I17</f>
        <v>0</v>
      </c>
      <c r="K17" s="36">
        <f>_tax_ins_</f>
        <v>6.7999999999999996E-3</v>
      </c>
      <c r="L17" s="109">
        <f>E17*K17</f>
        <v>0</v>
      </c>
      <c r="M17" s="109">
        <f>H17+J17+L17</f>
        <v>0</v>
      </c>
      <c r="N17" s="34"/>
      <c r="O17" s="34"/>
      <c r="P17" s="34"/>
      <c r="Q17" s="34"/>
      <c r="R17" s="34"/>
      <c r="S17" s="34"/>
      <c r="T17" s="34"/>
      <c r="U17" s="34"/>
      <c r="V17" s="34"/>
      <c r="W17" s="34"/>
    </row>
    <row r="18" spans="1:23" x14ac:dyDescent="0.3">
      <c r="B18" s="33"/>
      <c r="C18" s="34"/>
      <c r="D18" s="109"/>
      <c r="E18" s="109"/>
      <c r="F18" s="109"/>
      <c r="G18" s="34"/>
      <c r="H18" s="109"/>
      <c r="I18" s="35"/>
      <c r="J18" s="109"/>
      <c r="K18" s="36"/>
      <c r="L18" s="109"/>
      <c r="M18" s="109"/>
    </row>
    <row r="19" spans="1:23" x14ac:dyDescent="0.3">
      <c r="A19" s="14" t="s">
        <v>4</v>
      </c>
      <c r="B19" s="33"/>
      <c r="C19" s="34"/>
      <c r="D19" s="109"/>
      <c r="E19" s="109"/>
      <c r="F19" s="109"/>
      <c r="G19" s="34"/>
      <c r="H19" s="109"/>
      <c r="I19" s="35"/>
      <c r="J19" s="109"/>
      <c r="K19" s="35"/>
      <c r="L19" s="109"/>
      <c r="M19" s="109"/>
    </row>
    <row r="20" spans="1:23" x14ac:dyDescent="0.3">
      <c r="A20" s="6" t="str">
        <f>Data!A334</f>
        <v xml:space="preserve">Fertilizer Spreader </v>
      </c>
      <c r="B20" s="247">
        <v>1</v>
      </c>
      <c r="C20" s="34" t="str">
        <f>Data!C334</f>
        <v>fert.spread</v>
      </c>
      <c r="D20" s="109">
        <f>Data!D334*Data!N5</f>
        <v>0</v>
      </c>
      <c r="E20" s="109">
        <f>D20*B20</f>
        <v>0</v>
      </c>
      <c r="F20" s="109">
        <f>Data!I334*E20</f>
        <v>0</v>
      </c>
      <c r="G20" s="60">
        <f>Data!F334</f>
        <v>10</v>
      </c>
      <c r="H20" s="109">
        <f>(E20*(_int_inv_*(1+_int_inv_)^G20)/((1+_int_inv_)^G20-1))-(F20*_int_inv_/((1+_int_inv_)^G20-1))</f>
        <v>0</v>
      </c>
      <c r="I20" s="35">
        <f>Data!H334</f>
        <v>4.4999999999999998E-2</v>
      </c>
      <c r="J20" s="109">
        <f>E20*I20</f>
        <v>0</v>
      </c>
      <c r="K20" s="36">
        <f>_tax_ins_</f>
        <v>6.7999999999999996E-3</v>
      </c>
      <c r="L20" s="109">
        <f>E20*K20</f>
        <v>0</v>
      </c>
      <c r="M20" s="109">
        <f>H20+J20+L20</f>
        <v>0</v>
      </c>
    </row>
    <row r="21" spans="1:23" x14ac:dyDescent="0.3">
      <c r="A21" s="6" t="str">
        <f>Data!A347</f>
        <v>Seeder (Brillion)</v>
      </c>
      <c r="B21" s="163">
        <f>Data!B347</f>
        <v>0</v>
      </c>
      <c r="C21" s="34" t="str">
        <f>Data!C347</f>
        <v>seeder</v>
      </c>
      <c r="D21" s="109">
        <f>Data!D347*Data!D5*Data!AV5</f>
        <v>0</v>
      </c>
      <c r="E21" s="109">
        <f>D21*B21</f>
        <v>0</v>
      </c>
      <c r="F21" s="109">
        <f>Data!I347*E21</f>
        <v>0</v>
      </c>
      <c r="G21" s="90">
        <f>Data!F347</f>
        <v>10</v>
      </c>
      <c r="H21" s="109">
        <f>(E21*(_int_inv_*(1+_int_inv_)^G21)/((1+_int_inv_)^G21-1))-(F21*_int_inv_/((1+_int_inv_)^G21-1))</f>
        <v>0</v>
      </c>
      <c r="I21" s="162">
        <f>Data!H347</f>
        <v>4.4999999999999998E-2</v>
      </c>
      <c r="J21" s="109">
        <f>E21*I21</f>
        <v>0</v>
      </c>
      <c r="K21" s="36">
        <f>_tax_ins_</f>
        <v>6.7999999999999996E-3</v>
      </c>
      <c r="L21" s="109">
        <f>E21*K21</f>
        <v>0</v>
      </c>
      <c r="M21" s="109">
        <f>H21+J21+L21</f>
        <v>0</v>
      </c>
      <c r="N21" s="34"/>
      <c r="O21" s="34"/>
      <c r="P21" s="34"/>
      <c r="Q21" s="34"/>
      <c r="R21" s="34"/>
      <c r="S21" s="34"/>
      <c r="T21" s="34"/>
      <c r="U21" s="34"/>
      <c r="V21" s="34"/>
      <c r="W21" s="34"/>
    </row>
    <row r="22" spans="1:23" x14ac:dyDescent="0.3">
      <c r="B22" s="33"/>
      <c r="C22" s="34"/>
      <c r="D22" s="109"/>
      <c r="E22" s="109"/>
      <c r="F22" s="109"/>
      <c r="G22" s="34"/>
      <c r="H22" s="109"/>
      <c r="I22" s="35"/>
      <c r="J22" s="109"/>
      <c r="K22" s="35"/>
      <c r="L22" s="109"/>
      <c r="M22" s="109"/>
    </row>
    <row r="23" spans="1:23" x14ac:dyDescent="0.3">
      <c r="A23" s="14" t="s">
        <v>7</v>
      </c>
      <c r="B23" s="33"/>
      <c r="C23" s="34"/>
      <c r="D23" s="109"/>
      <c r="E23" s="109"/>
      <c r="F23" s="109"/>
      <c r="G23" s="34"/>
      <c r="H23" s="109"/>
      <c r="I23" s="35"/>
      <c r="J23" s="109"/>
      <c r="K23" s="36"/>
      <c r="L23" s="109"/>
      <c r="M23" s="109"/>
    </row>
    <row r="24" spans="1:23" ht="13.25" customHeight="1" x14ac:dyDescent="0.3">
      <c r="A24" s="6" t="str">
        <f>Data!A353</f>
        <v>Sprayer (Tractor Mounted Boom, 50 ft) - SMALL SIZE</v>
      </c>
      <c r="B24" s="247">
        <v>1</v>
      </c>
      <c r="C24" s="34" t="str">
        <f>Data!C353</f>
        <v>sprayer</v>
      </c>
      <c r="D24" s="109">
        <f>Data!D353*Data!P5</f>
        <v>0</v>
      </c>
      <c r="E24" s="109">
        <f>D24*B24</f>
        <v>0</v>
      </c>
      <c r="F24" s="109">
        <f>Data!I353*E24</f>
        <v>0</v>
      </c>
      <c r="G24" s="60">
        <f>Data!F353</f>
        <v>50</v>
      </c>
      <c r="H24" s="109">
        <f>(E24*(_int_inv_*(1+_int_inv_)^G24)/((1+_int_inv_)^G24-1))-(F24*_int_inv_/((1+_int_inv_)^G24-1))</f>
        <v>0</v>
      </c>
      <c r="I24" s="35">
        <f>Data!H353</f>
        <v>4.4999999999999998E-2</v>
      </c>
      <c r="J24" s="109">
        <f>E24*I24</f>
        <v>0</v>
      </c>
      <c r="K24" s="36">
        <f>_tax_ins_</f>
        <v>6.7999999999999996E-3</v>
      </c>
      <c r="L24" s="109">
        <f>E24*K24</f>
        <v>0</v>
      </c>
      <c r="M24" s="109">
        <f>H24+J24+L24</f>
        <v>0</v>
      </c>
    </row>
    <row r="25" spans="1:23" x14ac:dyDescent="0.3">
      <c r="B25" s="33"/>
      <c r="C25" s="34"/>
      <c r="D25" s="109"/>
      <c r="E25" s="109"/>
      <c r="F25" s="109"/>
      <c r="G25" s="34"/>
      <c r="H25" s="109"/>
      <c r="I25" s="35"/>
      <c r="J25" s="109"/>
      <c r="K25" s="36"/>
      <c r="L25" s="109"/>
      <c r="M25" s="109"/>
    </row>
    <row r="26" spans="1:23" x14ac:dyDescent="0.3">
      <c r="A26" s="14" t="s">
        <v>9</v>
      </c>
      <c r="B26" s="33"/>
      <c r="C26" s="34"/>
      <c r="D26" s="109"/>
      <c r="E26" s="109"/>
      <c r="F26" s="109"/>
      <c r="G26" s="34"/>
      <c r="H26" s="109"/>
      <c r="I26" s="35"/>
      <c r="J26" s="109"/>
      <c r="K26" s="36"/>
      <c r="L26" s="109"/>
      <c r="M26" s="109"/>
    </row>
    <row r="27" spans="1:23" x14ac:dyDescent="0.3">
      <c r="A27" s="19" t="str">
        <f>Data!A370</f>
        <v>Mower-conditioner</v>
      </c>
      <c r="B27" s="33">
        <f>Data!B370</f>
        <v>0</v>
      </c>
      <c r="C27" s="34" t="str">
        <f>Data!C370</f>
        <v>mower-cond.</v>
      </c>
      <c r="D27" s="109">
        <f>Data!D370*Data!AB5</f>
        <v>0</v>
      </c>
      <c r="E27" s="109">
        <f>D27*B27</f>
        <v>0</v>
      </c>
      <c r="F27" s="109">
        <f>Data!I370*E27</f>
        <v>0</v>
      </c>
      <c r="G27" s="60">
        <f>Data!F370</f>
        <v>8</v>
      </c>
      <c r="H27" s="112">
        <f>(E27*(_int_inv_*(1+_int_inv_)^G27)/((1+_int_inv_)^G27-1))-(F27*_int_inv_/((1+_int_inv_)^G27-1))</f>
        <v>0</v>
      </c>
      <c r="I27" s="35">
        <f>Data!H370</f>
        <v>4.4999999999999998E-2</v>
      </c>
      <c r="J27" s="109">
        <f>E27*I27</f>
        <v>0</v>
      </c>
      <c r="K27" s="36">
        <f>_tax_ins_</f>
        <v>6.7999999999999996E-3</v>
      </c>
      <c r="L27" s="109">
        <f>E27*K27</f>
        <v>0</v>
      </c>
      <c r="M27" s="109">
        <f>H27+J27+L27</f>
        <v>0</v>
      </c>
    </row>
    <row r="28" spans="1:23" x14ac:dyDescent="0.3">
      <c r="A28" s="19" t="str">
        <f>Data!A371</f>
        <v>Chopper (Self-propelled)</v>
      </c>
      <c r="B28" s="247">
        <v>1</v>
      </c>
      <c r="C28" s="34" t="str">
        <f>Data!C371</f>
        <v>chopper</v>
      </c>
      <c r="D28" s="109">
        <f>Data!D371*IF(GrzOwnC!B19=1,Data!V5,Data!X5)</f>
        <v>0</v>
      </c>
      <c r="E28" s="109">
        <f>D28*B28</f>
        <v>0</v>
      </c>
      <c r="F28" s="109">
        <f>Data!I371*E28</f>
        <v>0</v>
      </c>
      <c r="G28" s="60">
        <f>Data!F371</f>
        <v>10</v>
      </c>
      <c r="H28" s="112">
        <f>(E28*(_int_inv_*(1+_int_inv_)^G28)/((1+_int_inv_)^G28-1))-(F28*_int_inv_/((1+_int_inv_)^G28-1))</f>
        <v>0</v>
      </c>
      <c r="I28" s="35">
        <f>Data!H371</f>
        <v>4.4999999999999998E-2</v>
      </c>
      <c r="J28" s="109">
        <f>E28*I28</f>
        <v>0</v>
      </c>
      <c r="K28" s="36">
        <f>_tax_ins_</f>
        <v>6.7999999999999996E-3</v>
      </c>
      <c r="L28" s="109">
        <f>E28*K28</f>
        <v>0</v>
      </c>
      <c r="M28" s="109">
        <f>H28+J28+L28</f>
        <v>0</v>
      </c>
      <c r="N28" s="34"/>
      <c r="O28" s="34"/>
      <c r="P28" s="34"/>
      <c r="Q28" s="34"/>
      <c r="R28" s="34"/>
      <c r="S28" s="34"/>
      <c r="T28" s="34"/>
      <c r="U28" s="34"/>
      <c r="V28" s="34"/>
    </row>
    <row r="29" spans="1:23" x14ac:dyDescent="0.3">
      <c r="A29" s="19" t="str">
        <f>Data!A372</f>
        <v xml:space="preserve">     Chopper head (Pull-behind)</v>
      </c>
      <c r="B29" s="33">
        <f>Data!B372</f>
        <v>0</v>
      </c>
      <c r="C29" s="34" t="str">
        <f>Data!C372</f>
        <v>pick-up hd.</v>
      </c>
      <c r="D29" s="109">
        <f>Data!D372*Data!Z5</f>
        <v>0</v>
      </c>
      <c r="E29" s="109">
        <f>D29*B29</f>
        <v>0</v>
      </c>
      <c r="F29" s="109">
        <f>Data!I372*E29</f>
        <v>0</v>
      </c>
      <c r="G29" s="60">
        <f>Data!F372</f>
        <v>10</v>
      </c>
      <c r="H29" s="112">
        <f>(E29*(_int_inv_*(1+_int_inv_)^G29)/((1+_int_inv_)^G29-1))-(F29*_int_inv_/((1+_int_inv_)^G29-1))</f>
        <v>0</v>
      </c>
      <c r="I29" s="35">
        <f>Data!H372</f>
        <v>4.4999999999999998E-2</v>
      </c>
      <c r="J29" s="109">
        <f>E29*I29</f>
        <v>0</v>
      </c>
      <c r="K29" s="36">
        <f>_tax_ins_</f>
        <v>6.7999999999999996E-3</v>
      </c>
      <c r="L29" s="109">
        <f>E29*K29</f>
        <v>0</v>
      </c>
      <c r="M29" s="109">
        <f>H29+J29+L29</f>
        <v>0</v>
      </c>
      <c r="N29" s="34"/>
      <c r="O29" s="34"/>
      <c r="P29" s="34"/>
      <c r="Q29" s="34"/>
      <c r="R29" s="34"/>
      <c r="S29" s="34"/>
      <c r="T29" s="34"/>
      <c r="U29" s="34"/>
      <c r="V29" s="34"/>
    </row>
    <row r="30" spans="1:23" x14ac:dyDescent="0.3">
      <c r="A30" s="6"/>
      <c r="B30" s="33"/>
      <c r="C30" s="34"/>
      <c r="D30" s="109"/>
      <c r="E30" s="109"/>
      <c r="F30" s="109"/>
      <c r="G30" s="60"/>
      <c r="H30" s="109"/>
      <c r="I30" s="35"/>
      <c r="J30" s="109"/>
      <c r="K30" s="36"/>
      <c r="L30" s="109"/>
      <c r="M30" s="109"/>
    </row>
    <row r="31" spans="1:23" x14ac:dyDescent="0.3">
      <c r="A31" s="14" t="s">
        <v>357</v>
      </c>
      <c r="B31" s="33"/>
      <c r="C31" s="34"/>
      <c r="D31" s="109"/>
      <c r="E31" s="109"/>
      <c r="F31" s="109"/>
      <c r="G31" s="34"/>
      <c r="H31" s="109"/>
      <c r="I31" s="35"/>
      <c r="J31" s="109"/>
      <c r="K31" s="36"/>
      <c r="L31" s="109"/>
      <c r="M31" s="109"/>
    </row>
    <row r="32" spans="1:23" x14ac:dyDescent="0.3">
      <c r="A32" s="6" t="str">
        <f>Data!A395</f>
        <v>Fuel Tanks - SMALL SIZE</v>
      </c>
      <c r="B32" s="33">
        <f>Data!B395</f>
        <v>0</v>
      </c>
      <c r="C32" s="34" t="str">
        <f>Data!C395</f>
        <v>fuel tank</v>
      </c>
      <c r="D32" s="109">
        <f>Data!D395*Data!H5</f>
        <v>0</v>
      </c>
      <c r="E32" s="109">
        <f>D32*B32</f>
        <v>0</v>
      </c>
      <c r="F32" s="109">
        <f>Data!I395*E32</f>
        <v>0</v>
      </c>
      <c r="G32" s="60">
        <f>Data!F395</f>
        <v>50</v>
      </c>
      <c r="H32" s="109">
        <f>(E32*(_int_inv_*(1+_int_inv_)^G32)/((1+_int_inv_)^G32-1))-(F32*_int_inv_/((1+_int_inv_)^G32-1))</f>
        <v>0</v>
      </c>
      <c r="I32" s="35">
        <f>Data!H395</f>
        <v>0.02</v>
      </c>
      <c r="J32" s="109">
        <f>E32*I32</f>
        <v>0</v>
      </c>
      <c r="K32" s="36">
        <f>_tax_ins_</f>
        <v>6.7999999999999996E-3</v>
      </c>
      <c r="L32" s="104">
        <f>E32*K32</f>
        <v>0</v>
      </c>
      <c r="M32" s="109">
        <f>H32+J32+L32</f>
        <v>0</v>
      </c>
    </row>
    <row r="33" spans="1:29" x14ac:dyDescent="0.3">
      <c r="A33" s="6" t="str">
        <f>Data!A396</f>
        <v>Shop Tools - SMALL SIZE</v>
      </c>
      <c r="B33" s="33">
        <f>Data!B396</f>
        <v>0</v>
      </c>
      <c r="C33" s="34" t="str">
        <f>Data!C396</f>
        <v>shop tools</v>
      </c>
      <c r="D33" s="109">
        <f>Data!D396*Data!H5</f>
        <v>0</v>
      </c>
      <c r="E33" s="109">
        <f>D33*B33</f>
        <v>0</v>
      </c>
      <c r="F33" s="109">
        <f>Data!I396*E33</f>
        <v>0</v>
      </c>
      <c r="G33" s="60">
        <f>Data!F396</f>
        <v>50</v>
      </c>
      <c r="H33" s="109">
        <f>(E33*(_int_inv_*(1+_int_inv_)^G33)/((1+_int_inv_)^G33-1))-(F33*_int_inv_/((1+_int_inv_)^G33-1))</f>
        <v>0</v>
      </c>
      <c r="I33" s="35">
        <f>Data!H396</f>
        <v>0.02</v>
      </c>
      <c r="J33" s="109">
        <f>E33*I33</f>
        <v>0</v>
      </c>
      <c r="K33" s="36">
        <f>_tax_ins_</f>
        <v>6.7999999999999996E-3</v>
      </c>
      <c r="L33" s="109">
        <f>E33*K33</f>
        <v>0</v>
      </c>
      <c r="M33" s="109">
        <f>H33+J33+L33</f>
        <v>0</v>
      </c>
    </row>
    <row r="34" spans="1:29" x14ac:dyDescent="0.3">
      <c r="A34" s="6"/>
      <c r="B34" s="33"/>
      <c r="C34" s="34"/>
      <c r="D34" s="109"/>
      <c r="E34" s="109"/>
      <c r="F34" s="109"/>
      <c r="G34" s="34"/>
      <c r="H34" s="109"/>
      <c r="I34" s="35"/>
      <c r="J34" s="109"/>
      <c r="K34" s="36"/>
      <c r="L34" s="109"/>
      <c r="M34" s="109"/>
    </row>
    <row r="35" spans="1:29" ht="12.75" customHeight="1" x14ac:dyDescent="0.3">
      <c r="A35" s="14" t="s">
        <v>514</v>
      </c>
      <c r="B35" s="351" t="s">
        <v>516</v>
      </c>
      <c r="C35" s="351"/>
      <c r="D35" s="351"/>
      <c r="E35" s="351"/>
      <c r="F35" s="351"/>
      <c r="G35" s="351"/>
      <c r="H35" s="351"/>
      <c r="I35" s="351"/>
      <c r="J35" s="109"/>
      <c r="K35" s="36"/>
      <c r="L35" s="109"/>
      <c r="M35" s="109"/>
    </row>
    <row r="36" spans="1:29" ht="12.75" customHeight="1" x14ac:dyDescent="0.3">
      <c r="A36" s="14" t="s">
        <v>515</v>
      </c>
      <c r="B36" s="351" t="s">
        <v>517</v>
      </c>
      <c r="C36" s="351"/>
      <c r="D36" s="351"/>
      <c r="E36" s="351"/>
      <c r="F36" s="351"/>
      <c r="G36" s="351"/>
      <c r="H36" s="351"/>
      <c r="I36" s="351"/>
      <c r="J36" s="109"/>
      <c r="K36" s="36"/>
      <c r="L36" s="109"/>
      <c r="M36" s="109"/>
    </row>
    <row r="37" spans="1:29" x14ac:dyDescent="0.3">
      <c r="A37" s="6"/>
      <c r="B37" s="33"/>
      <c r="C37" s="34"/>
      <c r="D37" s="109"/>
      <c r="E37" s="109"/>
      <c r="F37" s="109"/>
      <c r="G37" s="34"/>
      <c r="H37" s="109"/>
      <c r="I37" s="35"/>
      <c r="J37" s="109"/>
      <c r="K37" s="36"/>
      <c r="L37" s="109"/>
      <c r="M37" s="109"/>
    </row>
    <row r="38" spans="1:29" x14ac:dyDescent="0.3">
      <c r="A38" s="14" t="s">
        <v>12</v>
      </c>
      <c r="B38" s="84">
        <f>Data!B59</f>
        <v>0</v>
      </c>
      <c r="C38" s="868" t="str">
        <f>Data!H51</f>
        <v>acre(s)</v>
      </c>
      <c r="D38" s="109">
        <f>Data!F61</f>
        <v>1000</v>
      </c>
      <c r="E38" s="109">
        <f>D38*B38</f>
        <v>0</v>
      </c>
      <c r="F38" s="864" t="s">
        <v>45</v>
      </c>
      <c r="G38" s="865" t="s">
        <v>45</v>
      </c>
      <c r="H38" s="109">
        <f>E38*_int_inv_</f>
        <v>0</v>
      </c>
      <c r="I38" s="35">
        <f>Data!H61</f>
        <v>0.01</v>
      </c>
      <c r="J38" s="109">
        <f>E38*I38</f>
        <v>0</v>
      </c>
      <c r="K38" s="36">
        <f>_tax_ins_</f>
        <v>6.7999999999999996E-3</v>
      </c>
      <c r="L38" s="109">
        <f>E38*K38</f>
        <v>0</v>
      </c>
      <c r="M38" s="109">
        <f>H38+J38+L38</f>
        <v>0</v>
      </c>
    </row>
    <row r="39" spans="1:29" x14ac:dyDescent="0.3">
      <c r="B39" s="33"/>
      <c r="C39" s="34"/>
      <c r="D39" s="109"/>
      <c r="E39" s="109"/>
      <c r="F39" s="109"/>
      <c r="G39" s="38"/>
      <c r="H39" s="109"/>
      <c r="I39" s="35"/>
      <c r="J39" s="109"/>
      <c r="K39" s="36"/>
      <c r="L39" s="109"/>
      <c r="M39" s="109"/>
    </row>
    <row r="40" spans="1:29" x14ac:dyDescent="0.3">
      <c r="A40" s="14" t="s">
        <v>1229</v>
      </c>
      <c r="B40" s="33"/>
      <c r="C40" s="34"/>
      <c r="D40" s="109"/>
      <c r="E40" s="109"/>
      <c r="F40" s="109"/>
      <c r="G40" s="34"/>
      <c r="H40" s="109"/>
      <c r="I40" s="35"/>
      <c r="J40" s="109"/>
      <c r="K40" s="36"/>
      <c r="L40" s="110"/>
      <c r="M40" s="109"/>
      <c r="O40"/>
      <c r="P40"/>
      <c r="Q40"/>
      <c r="R40"/>
      <c r="S40"/>
      <c r="T40"/>
      <c r="U40"/>
      <c r="V40"/>
      <c r="W40"/>
      <c r="X40"/>
      <c r="Y40"/>
      <c r="Z40"/>
      <c r="AA40"/>
      <c r="AB40"/>
      <c r="AC40"/>
    </row>
    <row r="41" spans="1:29" x14ac:dyDescent="0.3">
      <c r="A41" s="6" t="str">
        <f>Data!A495</f>
        <v>Shop/Loading Shed - SMALL SIZE</v>
      </c>
      <c r="B41" s="33">
        <f>Data!B495</f>
        <v>0</v>
      </c>
      <c r="C41" s="34" t="str">
        <f>Data!C495</f>
        <v>building</v>
      </c>
      <c r="D41" s="109">
        <f>Data!D495*Data!H5</f>
        <v>0</v>
      </c>
      <c r="E41" s="109">
        <f>D41*B41</f>
        <v>0</v>
      </c>
      <c r="F41" s="109">
        <f>Data!I495*E41</f>
        <v>0</v>
      </c>
      <c r="G41" s="34">
        <f>Data!F495</f>
        <v>33</v>
      </c>
      <c r="H41" s="109">
        <f>(E41*(_int_inv_*(1+_int_inv_)^G41)/((1+_int_inv_)^G41-1))-(F41*_int_inv_/((1+_int_inv_)^G41-1))</f>
        <v>0</v>
      </c>
      <c r="I41" s="35">
        <f>Data!H495</f>
        <v>0.01</v>
      </c>
      <c r="J41" s="109">
        <f>E41*I41</f>
        <v>0</v>
      </c>
      <c r="K41" s="36">
        <f>_tax_ins_</f>
        <v>6.7999999999999996E-3</v>
      </c>
      <c r="L41" s="109">
        <f>E41*K41</f>
        <v>0</v>
      </c>
      <c r="M41" s="109">
        <f>H41+J41+L41</f>
        <v>0</v>
      </c>
    </row>
    <row r="42" spans="1:29" customFormat="1" x14ac:dyDescent="0.3">
      <c r="D42" s="109"/>
      <c r="E42" s="109"/>
      <c r="F42" s="133"/>
      <c r="H42" s="133"/>
      <c r="J42" s="132"/>
      <c r="L42" s="132"/>
      <c r="M42" s="132"/>
      <c r="O42" s="17"/>
      <c r="P42" s="17"/>
      <c r="Q42" s="17"/>
      <c r="R42" s="17"/>
      <c r="S42" s="17"/>
      <c r="T42" s="17"/>
      <c r="U42" s="17"/>
      <c r="V42" s="17"/>
      <c r="W42" s="17"/>
      <c r="X42" s="17"/>
      <c r="Y42" s="17"/>
      <c r="Z42" s="17"/>
      <c r="AA42" s="17"/>
      <c r="AB42" s="17"/>
      <c r="AC42" s="17"/>
    </row>
    <row r="43" spans="1:29" x14ac:dyDescent="0.3">
      <c r="A43" s="14" t="s">
        <v>514</v>
      </c>
      <c r="B43" s="351" t="s">
        <v>516</v>
      </c>
      <c r="C43" s="351"/>
      <c r="D43" s="351"/>
      <c r="E43" s="351"/>
      <c r="F43" s="351"/>
      <c r="G43" s="351"/>
      <c r="H43" s="351"/>
      <c r="I43" s="351"/>
      <c r="J43" s="109"/>
      <c r="K43" s="36"/>
      <c r="L43" s="109"/>
      <c r="M43" s="109"/>
      <c r="N43" s="34"/>
      <c r="O43" s="34"/>
      <c r="P43" s="34"/>
      <c r="Q43" s="34"/>
      <c r="R43" s="34"/>
      <c r="S43" s="34"/>
      <c r="T43" s="34"/>
      <c r="U43" s="34"/>
      <c r="V43" s="34"/>
    </row>
    <row r="44" spans="1:29" x14ac:dyDescent="0.3">
      <c r="A44" s="14" t="s">
        <v>515</v>
      </c>
      <c r="B44" s="351" t="s">
        <v>517</v>
      </c>
      <c r="C44" s="351"/>
      <c r="D44" s="351"/>
      <c r="E44" s="351"/>
      <c r="F44" s="351"/>
      <c r="G44" s="351"/>
      <c r="H44" s="351"/>
      <c r="I44" s="351"/>
      <c r="J44" s="109"/>
      <c r="K44" s="36"/>
      <c r="L44" s="109"/>
      <c r="M44" s="109"/>
      <c r="N44" s="34"/>
      <c r="O44" s="34"/>
      <c r="P44" s="34"/>
      <c r="Q44" s="34"/>
      <c r="R44" s="34"/>
      <c r="S44" s="34"/>
      <c r="T44" s="34"/>
      <c r="U44" s="34"/>
      <c r="V44" s="34"/>
    </row>
    <row r="45" spans="1:29" x14ac:dyDescent="0.3">
      <c r="B45" s="33"/>
      <c r="C45" s="34"/>
      <c r="D45" s="109"/>
      <c r="E45" s="109"/>
      <c r="F45" s="109"/>
      <c r="G45" s="34"/>
      <c r="H45" s="109"/>
      <c r="I45" s="35"/>
      <c r="J45" s="109"/>
      <c r="K45" s="36"/>
      <c r="L45" s="110"/>
      <c r="M45" s="109"/>
    </row>
    <row r="46" spans="1:29" x14ac:dyDescent="0.3">
      <c r="A46" s="14" t="s">
        <v>19</v>
      </c>
      <c r="B46" s="865" t="s">
        <v>45</v>
      </c>
      <c r="C46" s="864" t="s">
        <v>45</v>
      </c>
      <c r="D46" s="864" t="s">
        <v>45</v>
      </c>
      <c r="E46" s="864" t="s">
        <v>45</v>
      </c>
      <c r="F46" s="864" t="s">
        <v>45</v>
      </c>
      <c r="G46" s="865" t="s">
        <v>45</v>
      </c>
      <c r="H46" s="864" t="s">
        <v>45</v>
      </c>
      <c r="I46" s="865" t="s">
        <v>45</v>
      </c>
      <c r="J46" s="864" t="s">
        <v>45</v>
      </c>
      <c r="K46" s="865" t="s">
        <v>45</v>
      </c>
      <c r="L46" s="864" t="s">
        <v>45</v>
      </c>
      <c r="M46" s="864" t="s">
        <v>45</v>
      </c>
    </row>
    <row r="47" spans="1:29" x14ac:dyDescent="0.3">
      <c r="A47" s="14"/>
      <c r="B47" s="33"/>
      <c r="C47" s="34"/>
      <c r="D47" s="109"/>
      <c r="E47" s="109"/>
      <c r="F47" s="109"/>
      <c r="G47" s="34"/>
      <c r="H47" s="109"/>
      <c r="I47" s="35"/>
      <c r="J47" s="109"/>
      <c r="K47" s="35"/>
      <c r="L47" s="110"/>
      <c r="M47" s="109"/>
    </row>
    <row r="48" spans="1:29" x14ac:dyDescent="0.3">
      <c r="A48" s="14" t="s">
        <v>64</v>
      </c>
      <c r="B48" s="865" t="s">
        <v>45</v>
      </c>
      <c r="C48" s="864" t="s">
        <v>45</v>
      </c>
      <c r="D48" s="866">
        <v>0</v>
      </c>
      <c r="E48" s="866">
        <f>D48</f>
        <v>0</v>
      </c>
      <c r="F48" s="866">
        <v>0</v>
      </c>
      <c r="G48" s="247">
        <v>1</v>
      </c>
      <c r="H48" s="109">
        <f>(E48*(_int_inv_*(1+_int_inv_)^G48)/((1+_int_inv_)^G48-1))-(F48*_int_inv_/((1+_int_inv_)^G48-1))</f>
        <v>0</v>
      </c>
      <c r="I48" s="251">
        <v>0.01</v>
      </c>
      <c r="J48" s="109">
        <f>E48*I48</f>
        <v>0</v>
      </c>
      <c r="K48" s="36">
        <f>_tax_ins_</f>
        <v>6.7999999999999996E-3</v>
      </c>
      <c r="L48" s="109">
        <f>E48*K48</f>
        <v>0</v>
      </c>
      <c r="M48" s="109">
        <f>H48+J48+L48</f>
        <v>0</v>
      </c>
    </row>
    <row r="49" spans="1:13" x14ac:dyDescent="0.3">
      <c r="B49" s="33"/>
      <c r="C49" s="34"/>
      <c r="D49" s="109"/>
      <c r="E49" s="109"/>
      <c r="F49" s="109"/>
      <c r="G49" s="34"/>
      <c r="H49" s="109"/>
      <c r="I49" s="35"/>
      <c r="J49" s="110"/>
      <c r="K49" s="35"/>
      <c r="L49" s="110"/>
      <c r="M49" s="109"/>
    </row>
    <row r="50" spans="1:13" ht="13.5" x14ac:dyDescent="0.35">
      <c r="A50" s="1" t="s">
        <v>68</v>
      </c>
      <c r="B50" s="33"/>
      <c r="C50" s="34"/>
      <c r="D50" s="109"/>
      <c r="E50" s="109">
        <f>SUM(E7:E48)</f>
        <v>0</v>
      </c>
      <c r="F50" s="109">
        <f>SUM(F7:F48)</f>
        <v>0</v>
      </c>
      <c r="G50" s="34"/>
      <c r="H50" s="109">
        <f>SUM(H7:H48)</f>
        <v>0</v>
      </c>
      <c r="I50" s="35"/>
      <c r="J50" s="109">
        <f>SUM(J7:J48)</f>
        <v>0</v>
      </c>
      <c r="K50" s="35"/>
      <c r="L50" s="109">
        <f>SUM(L7:L48)</f>
        <v>0</v>
      </c>
      <c r="M50" s="109">
        <f>SUM(M7:M48)</f>
        <v>0</v>
      </c>
    </row>
    <row r="51" spans="1:13" x14ac:dyDescent="0.3">
      <c r="B51" s="33"/>
      <c r="C51" s="34"/>
      <c r="D51" s="109"/>
      <c r="E51" s="109"/>
      <c r="F51" s="109"/>
      <c r="G51" s="34"/>
      <c r="H51" s="109"/>
      <c r="I51" s="35"/>
      <c r="J51" s="34"/>
      <c r="K51" s="35"/>
      <c r="L51" s="110"/>
      <c r="M51" s="109"/>
    </row>
    <row r="52" spans="1:13" x14ac:dyDescent="0.3">
      <c r="B52" s="33"/>
      <c r="C52" s="34"/>
      <c r="D52" s="109"/>
      <c r="E52" s="109"/>
      <c r="F52" s="109"/>
      <c r="G52" s="34"/>
      <c r="H52" s="32"/>
      <c r="I52" s="35"/>
      <c r="J52" s="34"/>
      <c r="K52" s="35"/>
      <c r="L52" s="34"/>
      <c r="M52" s="32"/>
    </row>
    <row r="53" spans="1:13" x14ac:dyDescent="0.3">
      <c r="B53" s="33"/>
      <c r="C53" s="34"/>
      <c r="D53" s="134" t="s">
        <v>136</v>
      </c>
      <c r="E53" s="109"/>
      <c r="F53" s="109"/>
      <c r="G53" s="34"/>
      <c r="H53" s="32"/>
      <c r="I53" s="35"/>
      <c r="J53" s="34"/>
      <c r="K53" s="35"/>
      <c r="L53" s="34"/>
      <c r="M53" s="32"/>
    </row>
    <row r="54" spans="1:13" x14ac:dyDescent="0.3">
      <c r="B54" s="33"/>
      <c r="C54" s="34"/>
      <c r="D54" s="110" t="s">
        <v>594</v>
      </c>
      <c r="E54" s="109">
        <f>SUM(E7:E37)</f>
        <v>0</v>
      </c>
      <c r="F54" s="109"/>
      <c r="G54" s="34"/>
      <c r="H54" s="32"/>
      <c r="I54" s="35"/>
      <c r="J54" s="34"/>
      <c r="K54" s="35"/>
      <c r="L54" s="34"/>
      <c r="M54" s="32"/>
    </row>
    <row r="55" spans="1:13" x14ac:dyDescent="0.3">
      <c r="B55" s="33"/>
      <c r="C55" s="34"/>
      <c r="D55" s="110" t="s">
        <v>595</v>
      </c>
      <c r="E55" s="109">
        <f>SUM(E38:E39)</f>
        <v>0</v>
      </c>
      <c r="F55" s="109"/>
      <c r="G55" s="34"/>
      <c r="H55" s="32"/>
      <c r="I55" s="35"/>
      <c r="J55" s="34"/>
      <c r="K55" s="35"/>
      <c r="L55" s="34"/>
      <c r="M55" s="32"/>
    </row>
    <row r="56" spans="1:13" x14ac:dyDescent="0.3">
      <c r="B56" s="33"/>
      <c r="C56" s="34"/>
      <c r="D56" s="127" t="s">
        <v>596</v>
      </c>
      <c r="E56" s="111">
        <f>SUM(E41:E45)</f>
        <v>0</v>
      </c>
      <c r="F56" s="109"/>
      <c r="G56" s="34"/>
      <c r="H56" s="32"/>
      <c r="I56" s="34"/>
      <c r="J56" s="34"/>
      <c r="K56" s="35"/>
      <c r="L56" s="34"/>
      <c r="M56" s="32"/>
    </row>
    <row r="57" spans="1:13" x14ac:dyDescent="0.3">
      <c r="B57" s="33"/>
      <c r="C57" s="34"/>
      <c r="D57" s="135" t="s">
        <v>597</v>
      </c>
      <c r="E57" s="109">
        <f>SUM(E54:E56)</f>
        <v>0</v>
      </c>
      <c r="F57" s="109"/>
      <c r="G57" s="34"/>
      <c r="H57" s="32"/>
      <c r="I57" s="34"/>
      <c r="J57" s="34"/>
      <c r="K57" s="35"/>
      <c r="L57" s="34"/>
      <c r="M57" s="32"/>
    </row>
    <row r="58" spans="1:13" x14ac:dyDescent="0.3">
      <c r="B58" s="33"/>
      <c r="C58" s="34"/>
      <c r="D58" s="109"/>
      <c r="E58" s="109"/>
      <c r="F58" s="109"/>
      <c r="G58" s="34"/>
      <c r="H58" s="32"/>
      <c r="I58" s="34"/>
      <c r="J58" s="34"/>
      <c r="K58" s="35"/>
      <c r="L58" s="34"/>
      <c r="M58" s="32"/>
    </row>
    <row r="59" spans="1:13" x14ac:dyDescent="0.3">
      <c r="B59" s="33"/>
      <c r="C59" s="34"/>
      <c r="D59" s="32"/>
      <c r="E59" s="32"/>
      <c r="F59" s="32"/>
      <c r="G59" s="34"/>
      <c r="H59" s="32"/>
      <c r="I59" s="34"/>
      <c r="J59" s="34"/>
      <c r="K59" s="35"/>
      <c r="L59" s="34"/>
      <c r="M59" s="32"/>
    </row>
    <row r="60" spans="1:13" x14ac:dyDescent="0.3">
      <c r="B60" s="33"/>
      <c r="C60" s="34"/>
      <c r="D60" s="32"/>
      <c r="E60" s="32"/>
      <c r="F60" s="32"/>
      <c r="G60" s="34"/>
      <c r="H60" s="32"/>
      <c r="I60" s="34"/>
      <c r="J60" s="34"/>
      <c r="K60" s="35"/>
      <c r="L60" s="34"/>
      <c r="M60" s="32"/>
    </row>
    <row r="61" spans="1:13" x14ac:dyDescent="0.3">
      <c r="B61" s="33"/>
      <c r="C61" s="34"/>
      <c r="D61" s="32"/>
      <c r="E61" s="32"/>
      <c r="F61" s="32"/>
      <c r="G61" s="34"/>
      <c r="H61" s="32"/>
      <c r="I61" s="34"/>
      <c r="J61" s="34"/>
      <c r="K61" s="35"/>
      <c r="L61" s="34"/>
      <c r="M61" s="32"/>
    </row>
    <row r="62" spans="1:13" x14ac:dyDescent="0.3">
      <c r="B62" s="33"/>
      <c r="C62" s="34"/>
      <c r="D62" s="32"/>
      <c r="E62" s="32"/>
      <c r="F62" s="32"/>
      <c r="G62" s="34"/>
      <c r="H62" s="32"/>
      <c r="I62" s="34"/>
      <c r="J62" s="34"/>
      <c r="K62" s="35"/>
      <c r="L62" s="34"/>
      <c r="M62" s="32"/>
    </row>
    <row r="63" spans="1:13" x14ac:dyDescent="0.3">
      <c r="B63" s="33"/>
      <c r="C63" s="34"/>
      <c r="D63" s="32"/>
      <c r="E63" s="32"/>
      <c r="F63" s="32"/>
      <c r="G63" s="34"/>
      <c r="H63" s="32"/>
      <c r="I63" s="34"/>
      <c r="J63" s="34"/>
      <c r="K63" s="35"/>
      <c r="L63" s="34"/>
      <c r="M63" s="32"/>
    </row>
    <row r="64" spans="1: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2"/>
      <c r="E76" s="32"/>
      <c r="F76" s="32"/>
      <c r="G76" s="34"/>
      <c r="H76" s="32"/>
      <c r="I76" s="34"/>
      <c r="J76" s="34"/>
      <c r="K76" s="35"/>
      <c r="L76" s="34"/>
      <c r="M76" s="32"/>
    </row>
    <row r="77" spans="2:13" x14ac:dyDescent="0.3">
      <c r="B77" s="33"/>
      <c r="C77" s="34"/>
      <c r="D77" s="32"/>
      <c r="E77" s="32"/>
      <c r="F77" s="32"/>
      <c r="G77" s="34"/>
      <c r="H77" s="32"/>
      <c r="I77" s="34"/>
      <c r="J77" s="34"/>
      <c r="K77" s="35"/>
      <c r="L77" s="34"/>
      <c r="M77" s="32"/>
    </row>
    <row r="78" spans="2:13" x14ac:dyDescent="0.3">
      <c r="B78" s="33"/>
      <c r="C78" s="34"/>
      <c r="D78" s="32"/>
      <c r="E78" s="32"/>
      <c r="F78" s="32"/>
      <c r="G78" s="34"/>
      <c r="H78" s="32"/>
      <c r="I78" s="34"/>
      <c r="J78" s="34"/>
      <c r="K78" s="35"/>
      <c r="L78" s="34"/>
      <c r="M78" s="32"/>
    </row>
    <row r="79" spans="2:13" x14ac:dyDescent="0.3">
      <c r="B79" s="33"/>
      <c r="C79" s="34"/>
      <c r="D79" s="32"/>
      <c r="E79" s="32"/>
      <c r="F79" s="32"/>
      <c r="G79" s="34"/>
      <c r="H79" s="32"/>
      <c r="I79" s="34"/>
      <c r="J79" s="34"/>
      <c r="K79" s="35"/>
      <c r="L79" s="34"/>
      <c r="M79" s="32"/>
    </row>
    <row r="80" spans="2:13" x14ac:dyDescent="0.3">
      <c r="B80" s="33"/>
      <c r="C80" s="34"/>
      <c r="D80" s="32"/>
      <c r="E80" s="32"/>
      <c r="F80" s="32"/>
      <c r="G80" s="34"/>
      <c r="H80" s="32"/>
      <c r="I80" s="34"/>
      <c r="J80" s="34"/>
      <c r="K80" s="35"/>
      <c r="L80" s="34"/>
      <c r="M80" s="32"/>
    </row>
    <row r="81" spans="2:13" x14ac:dyDescent="0.3">
      <c r="B81" s="33"/>
      <c r="C81" s="34"/>
      <c r="D81" s="32"/>
      <c r="E81" s="32"/>
      <c r="F81" s="32"/>
      <c r="G81" s="34"/>
      <c r="H81" s="32"/>
      <c r="I81" s="34"/>
      <c r="J81" s="34"/>
      <c r="K81" s="35"/>
      <c r="L81" s="34"/>
      <c r="M81" s="32"/>
    </row>
    <row r="82" spans="2:13" x14ac:dyDescent="0.3">
      <c r="B82" s="33"/>
      <c r="C82" s="34"/>
      <c r="D82" s="32"/>
      <c r="E82" s="32"/>
      <c r="F82" s="32"/>
      <c r="G82" s="34"/>
      <c r="H82" s="32"/>
      <c r="I82" s="34"/>
      <c r="J82" s="34"/>
      <c r="K82" s="35"/>
      <c r="L82" s="34"/>
      <c r="M82" s="32"/>
    </row>
    <row r="83" spans="2:13" x14ac:dyDescent="0.3">
      <c r="B83" s="33"/>
      <c r="C83" s="34"/>
      <c r="D83" s="39"/>
      <c r="E83" s="39"/>
      <c r="F83" s="39"/>
      <c r="G83" s="34"/>
      <c r="H83" s="32"/>
      <c r="I83" s="34"/>
      <c r="J83" s="34"/>
      <c r="K83" s="35"/>
      <c r="L83" s="34"/>
      <c r="M83" s="32"/>
    </row>
    <row r="84" spans="2:13" x14ac:dyDescent="0.3">
      <c r="B84" s="33"/>
      <c r="C84" s="34"/>
      <c r="D84" s="39"/>
      <c r="E84" s="39"/>
      <c r="F84" s="39"/>
      <c r="G84" s="34"/>
      <c r="H84" s="32"/>
      <c r="I84" s="34"/>
      <c r="J84" s="34"/>
      <c r="K84" s="35"/>
      <c r="L84" s="34"/>
      <c r="M84" s="32"/>
    </row>
    <row r="85" spans="2:13" x14ac:dyDescent="0.3">
      <c r="B85" s="33"/>
      <c r="C85" s="34"/>
      <c r="D85" s="39"/>
      <c r="E85" s="39"/>
      <c r="F85" s="39"/>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2"/>
      <c r="I181" s="34"/>
      <c r="J181" s="34"/>
      <c r="K181" s="35"/>
      <c r="L181" s="34"/>
      <c r="M181" s="32"/>
    </row>
    <row r="182" spans="2:13" x14ac:dyDescent="0.3">
      <c r="B182" s="33"/>
      <c r="C182" s="34"/>
      <c r="D182" s="39"/>
      <c r="E182" s="39"/>
      <c r="F182" s="39"/>
      <c r="G182" s="34"/>
      <c r="H182" s="32"/>
      <c r="I182" s="34"/>
      <c r="J182" s="34"/>
      <c r="K182" s="35"/>
      <c r="L182" s="34"/>
      <c r="M182" s="32"/>
    </row>
    <row r="183" spans="2:13" x14ac:dyDescent="0.3">
      <c r="B183" s="33"/>
      <c r="C183" s="34"/>
      <c r="D183" s="39"/>
      <c r="E183" s="39"/>
      <c r="F183" s="39"/>
      <c r="G183" s="34"/>
      <c r="H183" s="32"/>
      <c r="I183" s="34"/>
      <c r="J183" s="34"/>
      <c r="K183" s="35"/>
      <c r="L183" s="34"/>
      <c r="M183" s="32"/>
    </row>
    <row r="184" spans="2:13" x14ac:dyDescent="0.3">
      <c r="B184" s="33"/>
      <c r="C184" s="34"/>
      <c r="D184" s="39"/>
      <c r="E184" s="39"/>
      <c r="F184" s="39"/>
      <c r="G184" s="34"/>
      <c r="H184" s="32"/>
      <c r="I184" s="34"/>
      <c r="J184" s="34"/>
      <c r="K184" s="35"/>
      <c r="L184" s="34"/>
      <c r="M184" s="32"/>
    </row>
    <row r="185" spans="2:13" x14ac:dyDescent="0.3">
      <c r="B185" s="33"/>
      <c r="C185" s="34"/>
      <c r="D185" s="39"/>
      <c r="E185" s="39"/>
      <c r="F185" s="39"/>
      <c r="G185" s="34"/>
      <c r="H185" s="32"/>
      <c r="I185" s="34"/>
      <c r="J185" s="34"/>
      <c r="K185" s="35"/>
      <c r="L185" s="34"/>
      <c r="M185" s="32"/>
    </row>
    <row r="186" spans="2:13" x14ac:dyDescent="0.3">
      <c r="B186" s="33"/>
      <c r="C186" s="34"/>
      <c r="D186" s="39"/>
      <c r="E186" s="39"/>
      <c r="F186" s="39"/>
      <c r="G186" s="34"/>
      <c r="H186" s="32"/>
      <c r="I186" s="34"/>
      <c r="J186" s="34"/>
      <c r="K186" s="35"/>
      <c r="L186" s="34"/>
      <c r="M186" s="32"/>
    </row>
    <row r="187" spans="2:13" x14ac:dyDescent="0.3">
      <c r="B187" s="33"/>
      <c r="C187" s="34"/>
      <c r="D187" s="39"/>
      <c r="E187" s="39"/>
      <c r="F187" s="39"/>
      <c r="G187" s="34"/>
      <c r="H187" s="32"/>
      <c r="I187" s="34"/>
      <c r="J187" s="34"/>
      <c r="K187" s="35"/>
      <c r="L187" s="34"/>
      <c r="M187" s="32"/>
    </row>
    <row r="188" spans="2:13" x14ac:dyDescent="0.3">
      <c r="B188" s="33"/>
      <c r="C188" s="34"/>
      <c r="D188" s="39"/>
      <c r="E188" s="39"/>
      <c r="F188" s="39"/>
      <c r="G188" s="34"/>
      <c r="H188" s="34"/>
      <c r="I188" s="34"/>
      <c r="J188" s="34"/>
      <c r="K188" s="35"/>
      <c r="L188" s="34"/>
      <c r="M188" s="32"/>
    </row>
    <row r="189" spans="2:13" x14ac:dyDescent="0.3">
      <c r="B189" s="33"/>
      <c r="C189" s="34"/>
      <c r="D189" s="39"/>
      <c r="E189" s="39"/>
      <c r="F189" s="39"/>
      <c r="G189" s="34"/>
      <c r="H189" s="34"/>
      <c r="I189" s="34"/>
      <c r="J189" s="34"/>
      <c r="K189" s="35"/>
      <c r="L189" s="34"/>
      <c r="M189" s="32"/>
    </row>
    <row r="190" spans="2:13" x14ac:dyDescent="0.3">
      <c r="B190" s="33"/>
      <c r="C190" s="34"/>
      <c r="D190" s="39"/>
      <c r="E190" s="39"/>
      <c r="F190" s="39"/>
      <c r="G190" s="34"/>
      <c r="H190" s="34"/>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9"/>
      <c r="E194" s="39"/>
      <c r="F194" s="39"/>
      <c r="G194" s="34"/>
      <c r="H194" s="34"/>
      <c r="I194" s="34"/>
      <c r="J194" s="34"/>
      <c r="K194" s="35"/>
      <c r="L194" s="34"/>
      <c r="M194" s="32"/>
    </row>
    <row r="195" spans="2:13" x14ac:dyDescent="0.3">
      <c r="B195" s="33"/>
      <c r="C195" s="34"/>
      <c r="D195" s="39"/>
      <c r="E195" s="39"/>
      <c r="F195" s="39"/>
      <c r="G195" s="34"/>
      <c r="H195" s="34"/>
      <c r="I195" s="34"/>
      <c r="J195" s="34"/>
      <c r="K195" s="35"/>
      <c r="L195" s="34"/>
      <c r="M195" s="32"/>
    </row>
    <row r="196" spans="2:13" x14ac:dyDescent="0.3">
      <c r="B196" s="33"/>
      <c r="C196" s="34"/>
      <c r="D196" s="39"/>
      <c r="E196" s="39"/>
      <c r="F196" s="39"/>
      <c r="G196" s="34"/>
      <c r="H196" s="34"/>
      <c r="I196" s="34"/>
      <c r="J196" s="34"/>
      <c r="K196" s="35"/>
      <c r="L196" s="34"/>
      <c r="M196" s="32"/>
    </row>
    <row r="197" spans="2:13" x14ac:dyDescent="0.3">
      <c r="B197" s="33"/>
      <c r="C197" s="34"/>
      <c r="D197" s="39"/>
      <c r="E197" s="39"/>
      <c r="F197" s="39"/>
      <c r="G197" s="34"/>
      <c r="H197" s="34"/>
      <c r="I197" s="34"/>
      <c r="J197" s="34"/>
      <c r="K197" s="35"/>
      <c r="L197" s="34"/>
      <c r="M197" s="32"/>
    </row>
    <row r="198" spans="2:13" x14ac:dyDescent="0.3">
      <c r="B198" s="33"/>
      <c r="C198" s="34"/>
      <c r="D198" s="39"/>
      <c r="E198" s="39"/>
      <c r="F198" s="39"/>
      <c r="G198" s="34"/>
      <c r="H198" s="34"/>
      <c r="I198" s="34"/>
      <c r="J198" s="34"/>
      <c r="K198" s="35"/>
      <c r="L198" s="34"/>
      <c r="M198" s="32"/>
    </row>
    <row r="199" spans="2:13" x14ac:dyDescent="0.3">
      <c r="B199" s="33"/>
      <c r="C199" s="34"/>
      <c r="D199" s="39"/>
      <c r="E199" s="39"/>
      <c r="F199" s="39"/>
      <c r="G199" s="34"/>
      <c r="H199" s="34"/>
      <c r="I199" s="34"/>
      <c r="J199" s="34"/>
      <c r="K199" s="35"/>
      <c r="L199" s="34"/>
      <c r="M199" s="32"/>
    </row>
    <row r="200" spans="2:13" x14ac:dyDescent="0.3">
      <c r="B200" s="33"/>
      <c r="C200" s="34"/>
      <c r="D200" s="39"/>
      <c r="E200" s="39"/>
      <c r="F200" s="39"/>
      <c r="G200" s="34"/>
      <c r="H200" s="34"/>
      <c r="I200" s="34"/>
      <c r="J200" s="34"/>
      <c r="K200" s="35"/>
      <c r="L200" s="34"/>
      <c r="M200" s="32"/>
    </row>
    <row r="201" spans="2:13" x14ac:dyDescent="0.3">
      <c r="B201" s="33"/>
      <c r="C201" s="34"/>
      <c r="D201" s="34"/>
      <c r="E201" s="34"/>
      <c r="F201" s="34"/>
      <c r="G201" s="34"/>
      <c r="H201" s="34"/>
      <c r="I201" s="34"/>
      <c r="J201" s="34"/>
      <c r="K201" s="35"/>
      <c r="L201" s="34"/>
      <c r="M201" s="32"/>
    </row>
    <row r="202" spans="2:13" x14ac:dyDescent="0.3">
      <c r="B202" s="33"/>
      <c r="C202" s="34"/>
      <c r="D202" s="34"/>
      <c r="E202" s="34"/>
      <c r="F202" s="34"/>
      <c r="G202" s="34"/>
      <c r="H202" s="34"/>
      <c r="I202" s="34"/>
      <c r="J202" s="34"/>
      <c r="K202" s="35"/>
      <c r="L202" s="34"/>
      <c r="M202" s="32"/>
    </row>
    <row r="203" spans="2:13" x14ac:dyDescent="0.3">
      <c r="B203" s="33"/>
      <c r="C203" s="34"/>
      <c r="D203" s="34"/>
      <c r="E203" s="34"/>
      <c r="F203" s="34"/>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2"/>
    </row>
    <row r="504" spans="2:13" x14ac:dyDescent="0.3">
      <c r="B504" s="33"/>
      <c r="C504" s="34"/>
      <c r="D504" s="34"/>
      <c r="E504" s="34"/>
      <c r="F504" s="34"/>
      <c r="G504" s="34"/>
      <c r="H504" s="34"/>
      <c r="I504" s="34"/>
      <c r="J504" s="34"/>
      <c r="K504" s="35"/>
      <c r="L504" s="34"/>
      <c r="M504" s="32"/>
    </row>
    <row r="505" spans="2:13" x14ac:dyDescent="0.3">
      <c r="B505" s="33"/>
      <c r="C505" s="34"/>
      <c r="D505" s="34"/>
      <c r="E505" s="34"/>
      <c r="F505" s="34"/>
      <c r="G505" s="34"/>
      <c r="H505" s="34"/>
      <c r="I505" s="34"/>
      <c r="J505" s="34"/>
      <c r="K505" s="35"/>
      <c r="L505" s="34"/>
      <c r="M505" s="32"/>
    </row>
    <row r="506" spans="2:13" x14ac:dyDescent="0.3">
      <c r="B506" s="33"/>
      <c r="C506" s="34"/>
      <c r="D506" s="34"/>
      <c r="E506" s="34"/>
      <c r="F506" s="34"/>
      <c r="G506" s="34"/>
      <c r="H506" s="34"/>
      <c r="I506" s="34"/>
      <c r="J506" s="34"/>
      <c r="K506" s="35"/>
      <c r="L506" s="34"/>
      <c r="M506" s="32"/>
    </row>
    <row r="507" spans="2:13" x14ac:dyDescent="0.3">
      <c r="B507" s="33"/>
      <c r="C507" s="34"/>
      <c r="D507" s="34"/>
      <c r="E507" s="34"/>
      <c r="F507" s="34"/>
      <c r="G507" s="34"/>
      <c r="H507" s="34"/>
      <c r="I507" s="34"/>
      <c r="J507" s="34"/>
      <c r="K507" s="35"/>
      <c r="L507" s="34"/>
      <c r="M507" s="32"/>
    </row>
    <row r="508" spans="2:13" x14ac:dyDescent="0.3">
      <c r="B508" s="33"/>
      <c r="C508" s="34"/>
      <c r="D508" s="34"/>
      <c r="E508" s="34"/>
      <c r="F508" s="34"/>
      <c r="G508" s="34"/>
      <c r="H508" s="34"/>
      <c r="I508" s="34"/>
      <c r="J508" s="34"/>
      <c r="K508" s="35"/>
      <c r="L508" s="34"/>
      <c r="M508" s="32"/>
    </row>
    <row r="509" spans="2:13" x14ac:dyDescent="0.3">
      <c r="B509" s="33"/>
      <c r="C509" s="34"/>
      <c r="D509" s="34"/>
      <c r="E509" s="34"/>
      <c r="F509" s="34"/>
      <c r="G509" s="34"/>
      <c r="H509" s="34"/>
      <c r="I509" s="34"/>
      <c r="J509" s="34"/>
      <c r="K509" s="35"/>
      <c r="L509" s="34"/>
      <c r="M509" s="32"/>
    </row>
    <row r="510" spans="2:13" x14ac:dyDescent="0.3">
      <c r="B510" s="33"/>
      <c r="C510" s="34"/>
      <c r="D510" s="34"/>
      <c r="E510" s="34"/>
      <c r="F510" s="34"/>
      <c r="G510" s="34"/>
      <c r="H510" s="34"/>
      <c r="I510" s="34"/>
      <c r="J510" s="34"/>
      <c r="K510" s="35"/>
      <c r="L510" s="34"/>
      <c r="M510" s="34"/>
    </row>
    <row r="511" spans="2:13" x14ac:dyDescent="0.3">
      <c r="B511" s="33"/>
      <c r="C511" s="34"/>
      <c r="D511" s="34"/>
      <c r="E511" s="34"/>
      <c r="F511" s="34"/>
      <c r="G511" s="34"/>
      <c r="H511" s="34"/>
      <c r="I511" s="34"/>
      <c r="J511" s="34"/>
      <c r="K511" s="35"/>
      <c r="L511" s="34"/>
      <c r="M511" s="34"/>
    </row>
    <row r="512" spans="2:13" x14ac:dyDescent="0.3">
      <c r="B512" s="33"/>
      <c r="C512" s="34"/>
      <c r="D512" s="34"/>
      <c r="E512" s="34"/>
      <c r="F512" s="34"/>
      <c r="G512" s="34"/>
      <c r="H512" s="34"/>
      <c r="I512" s="34"/>
      <c r="J512" s="34"/>
      <c r="K512" s="35"/>
      <c r="L512" s="34"/>
      <c r="M512" s="34"/>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B768" s="33"/>
      <c r="C768" s="34"/>
      <c r="D768" s="34"/>
      <c r="E768" s="34"/>
      <c r="F768" s="34"/>
      <c r="G768" s="34"/>
      <c r="H768" s="34"/>
      <c r="I768" s="34"/>
      <c r="J768" s="34"/>
      <c r="K768" s="35"/>
      <c r="L768" s="34"/>
      <c r="M768" s="34"/>
    </row>
    <row r="769" spans="2:13" x14ac:dyDescent="0.3">
      <c r="B769" s="33"/>
      <c r="C769" s="34"/>
      <c r="D769" s="34"/>
      <c r="E769" s="34"/>
      <c r="F769" s="34"/>
      <c r="G769" s="34"/>
      <c r="H769" s="34"/>
      <c r="I769" s="34"/>
      <c r="J769" s="34"/>
      <c r="K769" s="35"/>
      <c r="L769" s="34"/>
      <c r="M769" s="34"/>
    </row>
    <row r="770" spans="2:13" x14ac:dyDescent="0.3">
      <c r="B770" s="33"/>
      <c r="C770" s="34"/>
      <c r="D770" s="34"/>
      <c r="E770" s="34"/>
      <c r="F770" s="34"/>
      <c r="G770" s="34"/>
      <c r="H770" s="34"/>
      <c r="I770" s="34"/>
      <c r="J770" s="34"/>
      <c r="K770" s="35"/>
      <c r="L770" s="34"/>
      <c r="M770" s="34"/>
    </row>
    <row r="771" spans="2:13" x14ac:dyDescent="0.3">
      <c r="B771" s="33"/>
      <c r="C771" s="34"/>
      <c r="D771" s="34"/>
      <c r="E771" s="34"/>
      <c r="F771" s="34"/>
      <c r="G771" s="34"/>
      <c r="H771" s="34"/>
      <c r="I771" s="34"/>
      <c r="J771" s="34"/>
      <c r="K771" s="35"/>
      <c r="L771" s="34"/>
      <c r="M771" s="34"/>
    </row>
    <row r="772" spans="2:13" x14ac:dyDescent="0.3">
      <c r="B772" s="33"/>
      <c r="C772" s="34"/>
      <c r="D772" s="34"/>
      <c r="E772" s="34"/>
      <c r="F772" s="34"/>
      <c r="G772" s="34"/>
      <c r="H772" s="34"/>
      <c r="I772" s="34"/>
      <c r="J772" s="34"/>
      <c r="K772" s="35"/>
      <c r="L772" s="34"/>
      <c r="M772" s="34"/>
    </row>
    <row r="773" spans="2:13" x14ac:dyDescent="0.3">
      <c r="B773" s="33"/>
      <c r="C773" s="34"/>
      <c r="D773" s="34"/>
      <c r="E773" s="34"/>
      <c r="F773" s="34"/>
      <c r="G773" s="34"/>
      <c r="H773" s="34"/>
      <c r="I773" s="34"/>
      <c r="J773" s="34"/>
      <c r="K773" s="35"/>
      <c r="L773" s="34"/>
      <c r="M773" s="34"/>
    </row>
    <row r="774" spans="2:13" x14ac:dyDescent="0.3">
      <c r="B774" s="33"/>
      <c r="C774" s="34"/>
      <c r="D774" s="34"/>
      <c r="E774" s="34"/>
      <c r="F774" s="34"/>
      <c r="G774" s="34"/>
      <c r="H774" s="34"/>
      <c r="I774" s="34"/>
      <c r="J774" s="34"/>
      <c r="K774" s="35"/>
      <c r="L774" s="34"/>
      <c r="M774" s="34"/>
    </row>
    <row r="775" spans="2:13" x14ac:dyDescent="0.3">
      <c r="K775" s="40"/>
    </row>
    <row r="776" spans="2:13" x14ac:dyDescent="0.3">
      <c r="K776" s="40"/>
    </row>
    <row r="777" spans="2:13" x14ac:dyDescent="0.3">
      <c r="K777" s="40"/>
    </row>
    <row r="778" spans="2:13" x14ac:dyDescent="0.3">
      <c r="K778" s="40"/>
    </row>
    <row r="779" spans="2:13" x14ac:dyDescent="0.3">
      <c r="K779" s="40"/>
    </row>
    <row r="780" spans="2:13" x14ac:dyDescent="0.3">
      <c r="K780" s="40"/>
    </row>
    <row r="781" spans="2:13" x14ac:dyDescent="0.3">
      <c r="K781" s="40"/>
    </row>
    <row r="782" spans="2:13" x14ac:dyDescent="0.3">
      <c r="K782" s="40"/>
    </row>
    <row r="783" spans="2:13" x14ac:dyDescent="0.3">
      <c r="K783" s="40"/>
    </row>
    <row r="784" spans="2:1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sheetData>
  <phoneticPr fontId="0" type="noConversion"/>
  <pageMargins left="0.75" right="0.75" top="1" bottom="1" header="0.5" footer="0.5"/>
  <headerFooter alignWithMargins="0"/>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A30" sqref="A30"/>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10.632812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9" x14ac:dyDescent="0.3">
      <c r="A1" s="61" t="s">
        <v>146</v>
      </c>
      <c r="B1" s="50" t="str">
        <f>model</f>
        <v>ME Grain &amp; Pulse</v>
      </c>
    </row>
    <row r="3" spans="1:9" x14ac:dyDescent="0.3">
      <c r="A3" s="7" t="s">
        <v>402</v>
      </c>
      <c r="B3" s="55" t="s">
        <v>92</v>
      </c>
      <c r="C3" s="54">
        <f>alfalfa</f>
        <v>0</v>
      </c>
      <c r="D3" s="17" t="s">
        <v>93</v>
      </c>
      <c r="E3" s="4"/>
      <c r="F3" s="27"/>
    </row>
    <row r="4" spans="1:9" x14ac:dyDescent="0.3">
      <c r="A4" s="7"/>
      <c r="B4" s="55" t="s">
        <v>232</v>
      </c>
      <c r="C4" s="142">
        <f>Data!B141</f>
        <v>5.8</v>
      </c>
      <c r="D4" s="17" t="s">
        <v>235</v>
      </c>
      <c r="E4" s="54">
        <f>(Data!B141*2000)/100</f>
        <v>116</v>
      </c>
      <c r="F4" s="17" t="s">
        <v>233</v>
      </c>
      <c r="H4" s="54">
        <v>4</v>
      </c>
      <c r="I4" s="17" t="s">
        <v>235</v>
      </c>
    </row>
    <row r="5" spans="1:9" x14ac:dyDescent="0.3">
      <c r="A5" s="7"/>
      <c r="B5" s="55" t="s">
        <v>282</v>
      </c>
      <c r="C5" s="106">
        <f>Data!B136</f>
        <v>91.982419280832659</v>
      </c>
      <c r="D5" s="17" t="s">
        <v>286</v>
      </c>
      <c r="E5" s="4"/>
      <c r="G5" s="53"/>
      <c r="H5" s="54">
        <v>7</v>
      </c>
      <c r="I5" s="17" t="s">
        <v>235</v>
      </c>
    </row>
    <row r="7" spans="1:9" ht="15.5" x14ac:dyDescent="0.35">
      <c r="A7" s="751" t="s">
        <v>402</v>
      </c>
      <c r="B7" s="697" t="s">
        <v>76</v>
      </c>
      <c r="C7" s="697"/>
      <c r="D7" s="697" t="s">
        <v>77</v>
      </c>
      <c r="E7" s="698"/>
      <c r="F7" s="697" t="s">
        <v>385</v>
      </c>
    </row>
    <row r="8" spans="1:9" ht="15.5" x14ac:dyDescent="0.35">
      <c r="A8" s="699" t="s">
        <v>362</v>
      </c>
      <c r="B8" s="759">
        <f>C3</f>
        <v>0</v>
      </c>
      <c r="C8" s="701"/>
      <c r="D8" s="702" t="s">
        <v>363</v>
      </c>
      <c r="E8" s="699"/>
      <c r="F8" s="702" t="s">
        <v>363</v>
      </c>
    </row>
    <row r="9" spans="1:9" ht="15.5" x14ac:dyDescent="0.35">
      <c r="A9" s="699" t="s">
        <v>412</v>
      </c>
      <c r="B9" s="759">
        <f>C3*C4</f>
        <v>0</v>
      </c>
      <c r="C9" s="701"/>
      <c r="D9" s="768">
        <f>C4</f>
        <v>5.8</v>
      </c>
      <c r="E9" s="699"/>
      <c r="F9" s="702" t="s">
        <v>363</v>
      </c>
    </row>
    <row r="10" spans="1:9" ht="15.65" customHeight="1" x14ac:dyDescent="0.35">
      <c r="A10" s="699" t="s">
        <v>401</v>
      </c>
      <c r="B10" s="702" t="s">
        <v>363</v>
      </c>
      <c r="C10" s="716"/>
      <c r="D10" s="702" t="s">
        <v>363</v>
      </c>
      <c r="E10" s="752"/>
      <c r="F10" s="716">
        <f>C5</f>
        <v>91.982419280832659</v>
      </c>
    </row>
    <row r="11" spans="1:9" ht="15.5" x14ac:dyDescent="0.35">
      <c r="A11" s="699"/>
      <c r="B11" s="706"/>
      <c r="C11" s="706"/>
      <c r="D11" s="706"/>
      <c r="E11" s="744"/>
      <c r="F11" s="706"/>
    </row>
    <row r="12" spans="1:9" ht="15" x14ac:dyDescent="0.3">
      <c r="A12" s="709" t="s">
        <v>230</v>
      </c>
      <c r="B12" s="710">
        <f>C4*C5*alfalfa*Data!D5</f>
        <v>0</v>
      </c>
      <c r="C12" s="711"/>
      <c r="D12" s="711" t="e">
        <f>B12/alfalfa</f>
        <v>#DIV/0!</v>
      </c>
      <c r="E12" s="756"/>
      <c r="F12" s="711" t="e">
        <f>B12/(alfalfa*$C$4)</f>
        <v>#DIV/0!</v>
      </c>
    </row>
    <row r="13" spans="1:9" ht="15.5" x14ac:dyDescent="0.35">
      <c r="A13" s="699"/>
      <c r="B13" s="721"/>
      <c r="C13" s="722"/>
      <c r="D13" s="716"/>
      <c r="E13" s="752"/>
      <c r="F13" s="752"/>
    </row>
    <row r="14" spans="1:9" ht="15.5" x14ac:dyDescent="0.35">
      <c r="A14" s="709" t="s">
        <v>365</v>
      </c>
      <c r="B14" s="715"/>
      <c r="C14" s="716"/>
      <c r="D14" s="716"/>
      <c r="E14" s="752"/>
      <c r="F14" s="752"/>
    </row>
    <row r="15" spans="1:9" ht="15.5" x14ac:dyDescent="0.35">
      <c r="A15" s="714" t="s">
        <v>13</v>
      </c>
      <c r="B15" s="715">
        <f>AlfOprC!H8</f>
        <v>0</v>
      </c>
      <c r="C15" s="716"/>
      <c r="D15" s="716" t="e">
        <f>B15/alfalfa</f>
        <v>#DIV/0!</v>
      </c>
      <c r="E15" s="752"/>
      <c r="F15" s="716" t="e">
        <f>B15/(alfalfa*$C$4)</f>
        <v>#DIV/0!</v>
      </c>
    </row>
    <row r="16" spans="1:9" ht="15.5" x14ac:dyDescent="0.35">
      <c r="A16" s="714" t="s">
        <v>1</v>
      </c>
      <c r="B16" s="715">
        <f>AlfOprC!H10</f>
        <v>0</v>
      </c>
      <c r="C16" s="716"/>
      <c r="D16" s="716" t="e">
        <f>B16/alfalfa</f>
        <v>#DIV/0!</v>
      </c>
      <c r="E16" s="752"/>
      <c r="F16" s="716" t="e">
        <f>B16/(alfalfa*$C$4)</f>
        <v>#DIV/0!</v>
      </c>
    </row>
    <row r="17" spans="1:6" ht="15.5" x14ac:dyDescent="0.35">
      <c r="A17" s="714" t="s">
        <v>2</v>
      </c>
      <c r="B17" s="715">
        <f>AlfOprC!H11</f>
        <v>0</v>
      </c>
      <c r="C17" s="716"/>
      <c r="D17" s="716" t="e">
        <f>B17/alfalfa</f>
        <v>#DIV/0!</v>
      </c>
      <c r="E17" s="752"/>
      <c r="F17" s="716" t="e">
        <f>B17/(alfalfa*$C$4)</f>
        <v>#DIV/0!</v>
      </c>
    </row>
    <row r="18" spans="1:6" ht="15.5" x14ac:dyDescent="0.35">
      <c r="A18" s="714" t="s">
        <v>1476</v>
      </c>
      <c r="B18" s="699"/>
      <c r="C18" s="699"/>
      <c r="D18" s="699"/>
      <c r="E18" s="699"/>
      <c r="F18" s="699"/>
    </row>
    <row r="19" spans="1:6" ht="15.5" x14ac:dyDescent="0.35">
      <c r="A19" s="714" t="s">
        <v>1119</v>
      </c>
      <c r="B19" s="745">
        <f>SUM(AlfOprC!H12:H14)</f>
        <v>0</v>
      </c>
      <c r="C19" s="746"/>
      <c r="D19" s="746" t="e">
        <f t="shared" ref="D19:D25" si="0">B19/alfalfa</f>
        <v>#DIV/0!</v>
      </c>
      <c r="E19" s="752"/>
      <c r="F19" s="746" t="e">
        <f t="shared" ref="F19:F25" si="1">B19/(alfalfa*$C$4)</f>
        <v>#DIV/0!</v>
      </c>
    </row>
    <row r="20" spans="1:6" ht="15.5" x14ac:dyDescent="0.35">
      <c r="A20" s="714" t="s">
        <v>1120</v>
      </c>
      <c r="B20" s="745">
        <v>0</v>
      </c>
      <c r="C20" s="746"/>
      <c r="D20" s="745" t="e">
        <f t="shared" si="0"/>
        <v>#DIV/0!</v>
      </c>
      <c r="E20" s="753"/>
      <c r="F20" s="745" t="e">
        <f t="shared" si="1"/>
        <v>#DIV/0!</v>
      </c>
    </row>
    <row r="21" spans="1:6" ht="15.5" x14ac:dyDescent="0.35">
      <c r="A21" s="714" t="s">
        <v>14</v>
      </c>
      <c r="B21" s="715">
        <f>SUM(AlfOprC!H17:H36)</f>
        <v>0</v>
      </c>
      <c r="C21" s="716"/>
      <c r="D21" s="716" t="e">
        <f t="shared" si="0"/>
        <v>#DIV/0!</v>
      </c>
      <c r="E21" s="752"/>
      <c r="F21" s="716" t="e">
        <f t="shared" si="1"/>
        <v>#DIV/0!</v>
      </c>
    </row>
    <row r="22" spans="1:6" ht="15.5" x14ac:dyDescent="0.35">
      <c r="A22" s="714" t="s">
        <v>169</v>
      </c>
      <c r="B22" s="715">
        <f>SUM(AlfOprC!H39:H59)</f>
        <v>0</v>
      </c>
      <c r="C22" s="716"/>
      <c r="D22" s="716" t="e">
        <f t="shared" si="0"/>
        <v>#DIV/0!</v>
      </c>
      <c r="E22" s="752"/>
      <c r="F22" s="716" t="e">
        <f t="shared" si="1"/>
        <v>#DIV/0!</v>
      </c>
    </row>
    <row r="23" spans="1:6" ht="15.5" x14ac:dyDescent="0.35">
      <c r="A23" s="714" t="s">
        <v>78</v>
      </c>
      <c r="B23" s="715">
        <f>SUM(AlfOprC!H60:H61)</f>
        <v>0</v>
      </c>
      <c r="C23" s="716"/>
      <c r="D23" s="716" t="e">
        <f t="shared" si="0"/>
        <v>#DIV/0!</v>
      </c>
      <c r="E23" s="752"/>
      <c r="F23" s="716" t="e">
        <f t="shared" si="1"/>
        <v>#DIV/0!</v>
      </c>
    </row>
    <row r="24" spans="1:6" ht="15.5" x14ac:dyDescent="0.35">
      <c r="A24" s="714" t="s">
        <v>170</v>
      </c>
      <c r="B24" s="732">
        <f>AlfOprC!H62</f>
        <v>0</v>
      </c>
      <c r="C24" s="733"/>
      <c r="D24" s="715" t="e">
        <f t="shared" si="0"/>
        <v>#DIV/0!</v>
      </c>
      <c r="E24" s="753"/>
      <c r="F24" s="715" t="e">
        <f t="shared" si="1"/>
        <v>#DIV/0!</v>
      </c>
    </row>
    <row r="25" spans="1:6" ht="15.5" x14ac:dyDescent="0.35">
      <c r="A25" s="714" t="s">
        <v>171</v>
      </c>
      <c r="B25" s="732">
        <f>SUM(AlfOprC!H63:H64)</f>
        <v>0</v>
      </c>
      <c r="C25" s="733"/>
      <c r="D25" s="716" t="e">
        <f t="shared" si="0"/>
        <v>#DIV/0!</v>
      </c>
      <c r="E25" s="752"/>
      <c r="F25" s="716" t="e">
        <f t="shared" si="1"/>
        <v>#DIV/0!</v>
      </c>
    </row>
    <row r="26" spans="1:6" ht="15.5" x14ac:dyDescent="0.35">
      <c r="A26" s="714" t="s">
        <v>172</v>
      </c>
      <c r="B26" s="699"/>
      <c r="C26" s="699"/>
      <c r="D26" s="699"/>
      <c r="E26" s="699"/>
      <c r="F26" s="699"/>
    </row>
    <row r="27" spans="1:6" ht="15.5" x14ac:dyDescent="0.35">
      <c r="A27" s="734" t="s">
        <v>378</v>
      </c>
      <c r="B27" s="753">
        <f>AlfOprC!H66</f>
        <v>0</v>
      </c>
      <c r="C27" s="699"/>
      <c r="D27" s="716" t="e">
        <f t="shared" ref="D27:D32" si="2">B27/alfalfa</f>
        <v>#DIV/0!</v>
      </c>
      <c r="E27" s="752"/>
      <c r="F27" s="716" t="e">
        <f t="shared" ref="F27:F32" si="3">B27/(alfalfa*$C$4)</f>
        <v>#DIV/0!</v>
      </c>
    </row>
    <row r="28" spans="1:6" ht="15.5" x14ac:dyDescent="0.35">
      <c r="A28" s="734" t="s">
        <v>379</v>
      </c>
      <c r="B28" s="753">
        <f>AlfOprC!H67</f>
        <v>0</v>
      </c>
      <c r="C28" s="699"/>
      <c r="D28" s="715" t="e">
        <f t="shared" si="2"/>
        <v>#DIV/0!</v>
      </c>
      <c r="E28" s="753"/>
      <c r="F28" s="715" t="e">
        <f t="shared" si="3"/>
        <v>#DIV/0!</v>
      </c>
    </row>
    <row r="29" spans="1:6" ht="15.5" x14ac:dyDescent="0.35">
      <c r="A29" s="734" t="s">
        <v>380</v>
      </c>
      <c r="B29" s="732">
        <f>SUM(AlfOprC!H69:H70)</f>
        <v>0</v>
      </c>
      <c r="C29" s="733"/>
      <c r="D29" s="716" t="e">
        <f t="shared" si="2"/>
        <v>#DIV/0!</v>
      </c>
      <c r="E29" s="752"/>
      <c r="F29" s="716" t="e">
        <f t="shared" si="3"/>
        <v>#DIV/0!</v>
      </c>
    </row>
    <row r="30" spans="1:6" ht="15.5" x14ac:dyDescent="0.35">
      <c r="A30" s="734" t="s">
        <v>381</v>
      </c>
      <c r="B30" s="732">
        <f>AlfOprC!H71</f>
        <v>0</v>
      </c>
      <c r="C30" s="733"/>
      <c r="D30" s="715" t="e">
        <f t="shared" si="2"/>
        <v>#DIV/0!</v>
      </c>
      <c r="E30" s="753"/>
      <c r="F30" s="715" t="e">
        <f t="shared" si="3"/>
        <v>#DIV/0!</v>
      </c>
    </row>
    <row r="31" spans="1:6" ht="15.5" x14ac:dyDescent="0.35">
      <c r="A31" s="734" t="s">
        <v>382</v>
      </c>
      <c r="B31" s="732">
        <f>SUM(AlfOprC!H72:H73)</f>
        <v>0</v>
      </c>
      <c r="C31" s="733"/>
      <c r="D31" s="716" t="e">
        <f t="shared" si="2"/>
        <v>#DIV/0!</v>
      </c>
      <c r="E31" s="752"/>
      <c r="F31" s="716" t="e">
        <f t="shared" si="3"/>
        <v>#DIV/0!</v>
      </c>
    </row>
    <row r="32" spans="1:6" ht="15.5" x14ac:dyDescent="0.35">
      <c r="A32" s="734" t="s">
        <v>383</v>
      </c>
      <c r="B32" s="732">
        <f>SUM(AlfOprC!H74:H76)</f>
        <v>0</v>
      </c>
      <c r="C32" s="733"/>
      <c r="D32" s="715" t="e">
        <f t="shared" si="2"/>
        <v>#DIV/0!</v>
      </c>
      <c r="E32" s="753"/>
      <c r="F32" s="715" t="e">
        <f t="shared" si="3"/>
        <v>#DIV/0!</v>
      </c>
    </row>
    <row r="33" spans="1:12" ht="15.5" x14ac:dyDescent="0.35">
      <c r="A33" s="714" t="s">
        <v>69</v>
      </c>
      <c r="B33" s="732">
        <f>AlfOprC!H80</f>
        <v>0</v>
      </c>
      <c r="C33" s="733"/>
      <c r="D33" s="716" t="e">
        <f>B33/alfalfa</f>
        <v>#DIV/0!</v>
      </c>
      <c r="E33" s="757"/>
      <c r="F33" s="716" t="e">
        <f>B33/(alfalfa*$C$4)</f>
        <v>#DIV/0!</v>
      </c>
    </row>
    <row r="34" spans="1:12" ht="15" x14ac:dyDescent="0.3">
      <c r="A34" s="709" t="s">
        <v>366</v>
      </c>
      <c r="B34" s="735">
        <f>SUM(B15:B33)</f>
        <v>0</v>
      </c>
      <c r="C34" s="736"/>
      <c r="D34" s="736" t="e">
        <f>SUM(D15:D33)</f>
        <v>#DIV/0!</v>
      </c>
      <c r="E34" s="736"/>
      <c r="F34" s="736" t="e">
        <f>SUM(F15:F33)</f>
        <v>#DIV/0!</v>
      </c>
    </row>
    <row r="35" spans="1:12" ht="15.5" x14ac:dyDescent="0.35">
      <c r="A35" s="738"/>
      <c r="B35" s="732"/>
      <c r="C35" s="733"/>
      <c r="D35" s="733"/>
      <c r="E35" s="757"/>
      <c r="F35" s="757"/>
    </row>
    <row r="36" spans="1:12" ht="15.5" x14ac:dyDescent="0.35">
      <c r="A36" s="709" t="s">
        <v>367</v>
      </c>
      <c r="B36" s="732"/>
      <c r="C36" s="733"/>
      <c r="D36" s="733"/>
      <c r="E36" s="757"/>
      <c r="F36" s="757"/>
    </row>
    <row r="37" spans="1:12" ht="15.5" x14ac:dyDescent="0.35">
      <c r="A37" s="714" t="s">
        <v>29</v>
      </c>
      <c r="B37" s="732"/>
      <c r="C37" s="733"/>
      <c r="D37" s="716"/>
      <c r="E37" s="757"/>
      <c r="F37" s="716"/>
      <c r="H37" s="764" t="s">
        <v>29</v>
      </c>
    </row>
    <row r="38" spans="1:12" ht="15.5" x14ac:dyDescent="0.35">
      <c r="A38" s="734" t="s">
        <v>1240</v>
      </c>
      <c r="B38" s="732">
        <f>SUM(AlfOwnC!H8:H10)</f>
        <v>0</v>
      </c>
      <c r="C38" s="733"/>
      <c r="D38" s="716" t="e">
        <f t="shared" ref="D38:D50" si="4">B38/alfalfa</f>
        <v>#DIV/0!</v>
      </c>
      <c r="E38" s="757"/>
      <c r="F38" s="716" t="e">
        <f t="shared" ref="F38:F50" si="5">B38/(alfalfa*$C$4)</f>
        <v>#DIV/0!</v>
      </c>
      <c r="H38" s="697" t="s">
        <v>76</v>
      </c>
      <c r="I38" s="697"/>
      <c r="J38" s="697" t="s">
        <v>77</v>
      </c>
      <c r="K38" s="698"/>
      <c r="L38" s="697" t="s">
        <v>385</v>
      </c>
    </row>
    <row r="39" spans="1:12" ht="15.5" x14ac:dyDescent="0.35">
      <c r="A39" s="734" t="s">
        <v>1241</v>
      </c>
      <c r="B39" s="732">
        <f>SUM(AlfOwnC!H11:H13)</f>
        <v>0</v>
      </c>
      <c r="C39" s="733"/>
      <c r="D39" s="716" t="e">
        <f t="shared" si="4"/>
        <v>#DIV/0!</v>
      </c>
      <c r="E39" s="757"/>
      <c r="F39" s="716" t="e">
        <f t="shared" si="5"/>
        <v>#DIV/0!</v>
      </c>
      <c r="H39" s="763">
        <f>SUM(B38:B49)</f>
        <v>0</v>
      </c>
      <c r="J39" s="756" t="e">
        <f>SUM(D38:D49)</f>
        <v>#DIV/0!</v>
      </c>
      <c r="L39" s="756" t="e">
        <f>SUM(F38:F49)</f>
        <v>#DIV/0!</v>
      </c>
    </row>
    <row r="40" spans="1:12" ht="15.5" x14ac:dyDescent="0.35">
      <c r="A40" s="734" t="s">
        <v>1243</v>
      </c>
      <c r="B40" s="732">
        <f>SUM(AlfOwnC!H14:H18)</f>
        <v>0</v>
      </c>
      <c r="C40" s="733"/>
      <c r="D40" s="716" t="e">
        <f t="shared" si="4"/>
        <v>#DIV/0!</v>
      </c>
      <c r="E40" s="757"/>
      <c r="F40" s="716" t="e">
        <f t="shared" si="5"/>
        <v>#DIV/0!</v>
      </c>
    </row>
    <row r="41" spans="1:12" ht="15.5" x14ac:dyDescent="0.35">
      <c r="A41" s="734" t="s">
        <v>1242</v>
      </c>
      <c r="B41" s="732">
        <f>SUM(AlfOwnC!H19:H22)</f>
        <v>0</v>
      </c>
      <c r="C41" s="733"/>
      <c r="D41" s="716" t="e">
        <f t="shared" si="4"/>
        <v>#DIV/0!</v>
      </c>
      <c r="E41" s="757"/>
      <c r="F41" s="716" t="e">
        <f t="shared" si="5"/>
        <v>#DIV/0!</v>
      </c>
    </row>
    <row r="42" spans="1:12" ht="15.5" x14ac:dyDescent="0.35">
      <c r="A42" s="734" t="s">
        <v>1244</v>
      </c>
      <c r="B42" s="732">
        <f>SUM(AlfOwnC!H23:H25)</f>
        <v>0</v>
      </c>
      <c r="C42" s="733"/>
      <c r="D42" s="716" t="e">
        <f t="shared" si="4"/>
        <v>#DIV/0!</v>
      </c>
      <c r="E42" s="757"/>
      <c r="F42" s="716" t="e">
        <f t="shared" si="5"/>
        <v>#DIV/0!</v>
      </c>
    </row>
    <row r="43" spans="1:12" ht="15.5" x14ac:dyDescent="0.35">
      <c r="A43" s="734" t="s">
        <v>1245</v>
      </c>
      <c r="B43" s="732">
        <f>0</f>
        <v>0</v>
      </c>
      <c r="C43" s="733"/>
      <c r="D43" s="715" t="e">
        <f t="shared" si="4"/>
        <v>#DIV/0!</v>
      </c>
      <c r="E43" s="762"/>
      <c r="F43" s="715" t="e">
        <f t="shared" si="5"/>
        <v>#DIV/0!</v>
      </c>
    </row>
    <row r="44" spans="1:12" ht="15.5" x14ac:dyDescent="0.35">
      <c r="A44" s="734" t="s">
        <v>1246</v>
      </c>
      <c r="B44" s="732">
        <f>SUM(AlfOwnC!H26:H30)</f>
        <v>0</v>
      </c>
      <c r="C44" s="733"/>
      <c r="D44" s="716" t="e">
        <f t="shared" si="4"/>
        <v>#DIV/0!</v>
      </c>
      <c r="E44" s="757"/>
      <c r="F44" s="716" t="e">
        <f t="shared" si="5"/>
        <v>#DIV/0!</v>
      </c>
    </row>
    <row r="45" spans="1:12" ht="15.5" x14ac:dyDescent="0.35">
      <c r="A45" s="734" t="s">
        <v>1247</v>
      </c>
      <c r="B45" s="732">
        <f>SUM(AlfOwnC!H31:H34)</f>
        <v>0</v>
      </c>
      <c r="C45" s="733"/>
      <c r="D45" s="716" t="e">
        <f t="shared" si="4"/>
        <v>#DIV/0!</v>
      </c>
      <c r="E45" s="757"/>
      <c r="F45" s="716" t="e">
        <f t="shared" si="5"/>
        <v>#DIV/0!</v>
      </c>
    </row>
    <row r="46" spans="1:12" ht="15.5" x14ac:dyDescent="0.35">
      <c r="A46" s="734" t="s">
        <v>1250</v>
      </c>
      <c r="B46" s="732">
        <f>0</f>
        <v>0</v>
      </c>
      <c r="C46" s="733"/>
      <c r="D46" s="715" t="e">
        <f t="shared" si="4"/>
        <v>#DIV/0!</v>
      </c>
      <c r="E46" s="762"/>
      <c r="F46" s="715" t="e">
        <f t="shared" si="5"/>
        <v>#DIV/0!</v>
      </c>
    </row>
    <row r="47" spans="1:12" ht="15.5" x14ac:dyDescent="0.35">
      <c r="A47" s="734" t="s">
        <v>1304</v>
      </c>
      <c r="B47" s="732">
        <f>0</f>
        <v>0</v>
      </c>
      <c r="C47" s="733"/>
      <c r="D47" s="715" t="e">
        <f t="shared" si="4"/>
        <v>#DIV/0!</v>
      </c>
      <c r="E47" s="762"/>
      <c r="F47" s="715" t="e">
        <f t="shared" si="5"/>
        <v>#DIV/0!</v>
      </c>
    </row>
    <row r="48" spans="1:12" ht="15.5" x14ac:dyDescent="0.35">
      <c r="A48" s="734" t="s">
        <v>1248</v>
      </c>
      <c r="B48" s="732">
        <f>SUM(AlfOwnC!H37:H39)</f>
        <v>0</v>
      </c>
      <c r="C48" s="733"/>
      <c r="D48" s="716" t="e">
        <f t="shared" si="4"/>
        <v>#DIV/0!</v>
      </c>
      <c r="E48" s="757"/>
      <c r="F48" s="716" t="e">
        <f t="shared" si="5"/>
        <v>#DIV/0!</v>
      </c>
    </row>
    <row r="49" spans="1:8" ht="15.5" x14ac:dyDescent="0.35">
      <c r="A49" s="734" t="s">
        <v>1249</v>
      </c>
      <c r="B49" s="732">
        <f>SUM(AlfOwnC!H40:H42)</f>
        <v>0</v>
      </c>
      <c r="C49" s="733"/>
      <c r="D49" s="716" t="e">
        <f t="shared" si="4"/>
        <v>#DIV/0!</v>
      </c>
      <c r="E49" s="757"/>
      <c r="F49" s="716" t="e">
        <f t="shared" si="5"/>
        <v>#DIV/0!</v>
      </c>
    </row>
    <row r="50" spans="1:8" ht="15.5" x14ac:dyDescent="0.35">
      <c r="A50" s="714" t="s">
        <v>79</v>
      </c>
      <c r="B50" s="732">
        <f>AlfOwnC!L50</f>
        <v>0</v>
      </c>
      <c r="C50" s="733"/>
      <c r="D50" s="716" t="e">
        <f t="shared" si="4"/>
        <v>#DIV/0!</v>
      </c>
      <c r="E50" s="757"/>
      <c r="F50" s="716" t="e">
        <f t="shared" si="5"/>
        <v>#DIV/0!</v>
      </c>
    </row>
    <row r="51" spans="1:8" ht="15" x14ac:dyDescent="0.3">
      <c r="A51" s="709" t="s">
        <v>368</v>
      </c>
      <c r="B51" s="735">
        <f>SUM(B37:B50)</f>
        <v>0</v>
      </c>
      <c r="C51" s="736"/>
      <c r="D51" s="736" t="e">
        <f>SUM(D37:D50)</f>
        <v>#DIV/0!</v>
      </c>
      <c r="E51" s="736"/>
      <c r="F51" s="736" t="e">
        <f>SUM(F37:F50)</f>
        <v>#DIV/0!</v>
      </c>
    </row>
    <row r="52" spans="1:8" ht="15.5" x14ac:dyDescent="0.35">
      <c r="A52" s="699"/>
      <c r="B52" s="735"/>
      <c r="C52" s="736"/>
      <c r="D52" s="736"/>
      <c r="E52" s="758"/>
      <c r="F52" s="758"/>
    </row>
    <row r="53" spans="1:8" ht="15" x14ac:dyDescent="0.3">
      <c r="A53" s="709" t="s">
        <v>80</v>
      </c>
      <c r="B53" s="735">
        <f>B51+B34</f>
        <v>0</v>
      </c>
      <c r="C53" s="736"/>
      <c r="D53" s="736" t="e">
        <f>D51+D34</f>
        <v>#DIV/0!</v>
      </c>
      <c r="E53" s="736"/>
      <c r="F53" s="736" t="e">
        <f>F51+F34</f>
        <v>#DIV/0!</v>
      </c>
      <c r="H53" s="52"/>
    </row>
    <row r="54" spans="1:8" ht="15.5" x14ac:dyDescent="0.35">
      <c r="A54" s="742"/>
      <c r="B54" s="735"/>
      <c r="C54" s="736"/>
      <c r="D54" s="736"/>
      <c r="E54" s="736"/>
      <c r="F54" s="736"/>
    </row>
    <row r="55" spans="1:8" ht="15" x14ac:dyDescent="0.3">
      <c r="A55" s="709" t="s">
        <v>355</v>
      </c>
      <c r="B55" s="735">
        <f>B12-B53</f>
        <v>0</v>
      </c>
      <c r="C55" s="736"/>
      <c r="D55" s="736" t="e">
        <f>D12-D53</f>
        <v>#DIV/0!</v>
      </c>
      <c r="E55" s="736"/>
      <c r="F55" s="736" t="e">
        <f>F12-F53</f>
        <v>#DIV/0!</v>
      </c>
    </row>
    <row r="56" spans="1:8" ht="15" x14ac:dyDescent="0.3">
      <c r="A56" s="709" t="s">
        <v>356</v>
      </c>
      <c r="B56" s="735">
        <f>B12-B34</f>
        <v>0</v>
      </c>
      <c r="C56" s="736"/>
      <c r="D56" s="736" t="e">
        <f>D12-D34</f>
        <v>#DIV/0!</v>
      </c>
      <c r="E56" s="736"/>
      <c r="F56" s="736" t="e">
        <f>F12-F34</f>
        <v>#DIV/0!</v>
      </c>
    </row>
    <row r="57" spans="1:8" ht="15.5" x14ac:dyDescent="0.35">
      <c r="A57" s="699"/>
      <c r="B57" s="743"/>
      <c r="C57" s="743"/>
      <c r="D57" s="743"/>
      <c r="E57" s="699"/>
      <c r="F57" s="699"/>
    </row>
    <row r="58" spans="1:8" ht="15.5" x14ac:dyDescent="0.35">
      <c r="A58" s="709" t="s">
        <v>234</v>
      </c>
      <c r="B58" s="743"/>
      <c r="C58" s="743"/>
      <c r="D58" s="743"/>
      <c r="E58" s="699"/>
      <c r="F58" s="699"/>
    </row>
    <row r="59" spans="1:8" ht="12.75" customHeight="1" x14ac:dyDescent="0.35">
      <c r="A59" s="744" t="s">
        <v>369</v>
      </c>
      <c r="B59" s="703" t="s">
        <v>76</v>
      </c>
      <c r="C59" s="743"/>
      <c r="D59" s="703" t="s">
        <v>393</v>
      </c>
      <c r="E59" s="703"/>
      <c r="F59" s="703" t="s">
        <v>396</v>
      </c>
    </row>
    <row r="60" spans="1:8" ht="15.5" x14ac:dyDescent="0.35">
      <c r="A60" s="714" t="s">
        <v>370</v>
      </c>
      <c r="B60" s="745">
        <f>B53</f>
        <v>0</v>
      </c>
      <c r="C60" s="743"/>
      <c r="D60" s="716" t="e">
        <f>$B$53/alfalfa</f>
        <v>#DIV/0!</v>
      </c>
      <c r="E60" s="699"/>
      <c r="F60" s="716" t="e">
        <f>$B$53/(alfalfa*$C$4)</f>
        <v>#DIV/0!</v>
      </c>
    </row>
    <row r="61" spans="1:8" ht="15.5" x14ac:dyDescent="0.35">
      <c r="A61" s="714" t="s">
        <v>371</v>
      </c>
      <c r="B61" s="745">
        <f>B34</f>
        <v>0</v>
      </c>
      <c r="C61" s="743"/>
      <c r="D61" s="716" t="e">
        <f>$B$34/alfalfa</f>
        <v>#DIV/0!</v>
      </c>
      <c r="E61" s="699"/>
      <c r="F61" s="716" t="e">
        <f>$B$34/(alfalfa*$C$4)</f>
        <v>#DIV/0!</v>
      </c>
    </row>
    <row r="62" spans="1:8" ht="15.5" x14ac:dyDescent="0.35">
      <c r="A62" s="714"/>
      <c r="B62" s="743"/>
      <c r="C62" s="743"/>
      <c r="D62" s="716"/>
      <c r="E62" s="699"/>
      <c r="F62" s="716"/>
    </row>
    <row r="63" spans="1:8" ht="15.5" x14ac:dyDescent="0.35">
      <c r="A63" s="744" t="s">
        <v>1099</v>
      </c>
      <c r="B63" s="703" t="s">
        <v>1100</v>
      </c>
      <c r="C63" s="743"/>
      <c r="D63" s="716"/>
      <c r="E63" s="699"/>
      <c r="F63" s="716"/>
    </row>
    <row r="64" spans="1:8" ht="15.5" x14ac:dyDescent="0.35">
      <c r="A64" s="714" t="s">
        <v>1101</v>
      </c>
      <c r="B64" s="746" t="e">
        <f>B55/SUM(AlfOprC!E16:E37)</f>
        <v>#DIV/0!</v>
      </c>
      <c r="C64" s="743"/>
      <c r="D64" s="716"/>
      <c r="E64" s="699"/>
      <c r="F64" s="716"/>
    </row>
    <row r="65" spans="1:6" ht="15.5" x14ac:dyDescent="0.35">
      <c r="A65" s="714" t="s">
        <v>1102</v>
      </c>
      <c r="B65" s="746" t="e">
        <f>B56/SUM(AlfOprC!E16:E37)</f>
        <v>#DIV/0!</v>
      </c>
      <c r="C65" s="743"/>
      <c r="D65" s="716"/>
      <c r="E65" s="699"/>
      <c r="F65" s="716"/>
    </row>
    <row r="66" spans="1:6" ht="15.5" x14ac:dyDescent="0.35">
      <c r="A66" s="747"/>
      <c r="B66" s="748"/>
      <c r="C66" s="748"/>
      <c r="D66" s="748"/>
      <c r="E66" s="747"/>
      <c r="F66" s="747"/>
    </row>
  </sheetData>
  <phoneticPr fontId="0" type="noConversion"/>
  <pageMargins left="0.75" right="0.75" top="1" bottom="1" header="0.5" footer="0.5"/>
  <pageSetup orientation="portrait" horizontalDpi="4294967294" verticalDpi="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00"/>
  <sheetViews>
    <sheetView workbookViewId="0">
      <pane ySplit="7" topLeftCell="A8" activePane="bottomLeft" state="frozen"/>
      <selection pane="bottomLeft" activeCell="C20" sqref="C20"/>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5" x14ac:dyDescent="0.3">
      <c r="A1" s="61" t="s">
        <v>146</v>
      </c>
      <c r="B1" s="17" t="str">
        <f>model</f>
        <v>ME Grain &amp; Pulse</v>
      </c>
      <c r="E1" s="55" t="s">
        <v>106</v>
      </c>
      <c r="F1" s="55" t="s">
        <v>182</v>
      </c>
      <c r="G1" s="55" t="s">
        <v>108</v>
      </c>
    </row>
    <row r="2" spans="1:15" x14ac:dyDescent="0.3">
      <c r="E2" s="55" t="s">
        <v>104</v>
      </c>
      <c r="F2" s="26">
        <f>Data!B132</f>
        <v>282.5</v>
      </c>
      <c r="G2" s="24">
        <f>F2/$F$4</f>
        <v>0.48497854077253216</v>
      </c>
    </row>
    <row r="3" spans="1:15" x14ac:dyDescent="0.3">
      <c r="B3" s="4"/>
      <c r="E3" s="55" t="s">
        <v>789</v>
      </c>
      <c r="F3" s="41">
        <f>(Data!B146*2000)/100</f>
        <v>300</v>
      </c>
      <c r="G3" s="57">
        <f>F3/$F$4</f>
        <v>0.51502145922746778</v>
      </c>
    </row>
    <row r="4" spans="1:15" x14ac:dyDescent="0.3">
      <c r="A4" s="7" t="s">
        <v>203</v>
      </c>
      <c r="B4" s="8" t="s">
        <v>92</v>
      </c>
      <c r="C4" s="65">
        <f>scorn</f>
        <v>0</v>
      </c>
      <c r="D4" s="4" t="s">
        <v>93</v>
      </c>
      <c r="F4" s="26">
        <f>SUM(F2:F3)</f>
        <v>582.5</v>
      </c>
      <c r="G4" s="24">
        <f>SUM(G2:G3)</f>
        <v>1</v>
      </c>
    </row>
    <row r="6" spans="1:15" ht="13.5" x14ac:dyDescent="0.35">
      <c r="A6" s="5" t="s">
        <v>0</v>
      </c>
    </row>
    <row r="7" spans="1:15" s="27" customFormat="1" ht="26" x14ac:dyDescent="0.3">
      <c r="A7" s="41"/>
      <c r="B7" s="391" t="s">
        <v>919</v>
      </c>
      <c r="C7" s="42" t="s">
        <v>21</v>
      </c>
      <c r="D7" s="42" t="s">
        <v>22</v>
      </c>
      <c r="E7" s="227" t="s">
        <v>900</v>
      </c>
      <c r="F7" s="42" t="s">
        <v>23</v>
      </c>
      <c r="G7" s="42" t="s">
        <v>24</v>
      </c>
      <c r="H7" s="42" t="s">
        <v>65</v>
      </c>
    </row>
    <row r="8" spans="1:15" x14ac:dyDescent="0.3">
      <c r="A8" s="3" t="s">
        <v>13</v>
      </c>
      <c r="B8" s="3"/>
      <c r="K8" s="56" t="s">
        <v>629</v>
      </c>
      <c r="L8" s="56" t="s">
        <v>577</v>
      </c>
      <c r="M8" s="56" t="s">
        <v>395</v>
      </c>
      <c r="N8" s="56" t="s">
        <v>630</v>
      </c>
    </row>
    <row r="9" spans="1:15" ht="13.5" thickBot="1" x14ac:dyDescent="0.35">
      <c r="A9" s="6" t="s">
        <v>789</v>
      </c>
      <c r="B9" s="397">
        <v>1</v>
      </c>
      <c r="C9" s="273">
        <v>33000</v>
      </c>
      <c r="D9" s="34" t="s">
        <v>217</v>
      </c>
      <c r="E9" s="226">
        <f>C9*scorn</f>
        <v>0</v>
      </c>
      <c r="F9" s="307">
        <f>103.084529314037/80000</f>
        <v>1.2885566164254625E-3</v>
      </c>
      <c r="G9" s="114">
        <f>C9*F9</f>
        <v>42.522368342040259</v>
      </c>
      <c r="H9" s="110">
        <f>B9*G9*scorn</f>
        <v>0</v>
      </c>
      <c r="K9" s="68">
        <f>80000/2379</f>
        <v>33.627574611181167</v>
      </c>
      <c r="L9" s="114">
        <v>3.0654761904761902</v>
      </c>
      <c r="M9" s="114">
        <f>L9*Data!$K$57</f>
        <v>171.66666666666666</v>
      </c>
      <c r="N9" s="191">
        <f>L9*$K$9</f>
        <v>103.0845293140375</v>
      </c>
      <c r="O9" s="17" t="s">
        <v>631</v>
      </c>
    </row>
    <row r="10" spans="1:15" x14ac:dyDescent="0.3">
      <c r="A10" s="3" t="s">
        <v>1</v>
      </c>
      <c r="B10" s="3"/>
      <c r="C10" s="46"/>
      <c r="D10" s="34"/>
      <c r="E10" s="34"/>
      <c r="F10" s="104"/>
      <c r="G10" s="114"/>
      <c r="H10" s="109"/>
      <c r="K10" s="55"/>
      <c r="L10" s="114">
        <v>2.1071428571428572</v>
      </c>
      <c r="M10" s="114">
        <f>L10*Data!$K$57</f>
        <v>118</v>
      </c>
      <c r="N10" s="108">
        <f>L10*$K$9</f>
        <v>70.858103644988887</v>
      </c>
      <c r="O10" s="17" t="s">
        <v>632</v>
      </c>
    </row>
    <row r="11" spans="1:15" x14ac:dyDescent="0.3">
      <c r="A11" s="6" t="s">
        <v>218</v>
      </c>
      <c r="B11" s="397">
        <v>1</v>
      </c>
      <c r="C11" s="278">
        <f>IF(Data!G128=0, 0/2000, 270/2000)</f>
        <v>0.13500000000000001</v>
      </c>
      <c r="D11" s="34" t="s">
        <v>26</v>
      </c>
      <c r="E11" s="226">
        <f>C11*scorn</f>
        <v>0</v>
      </c>
      <c r="F11" s="608">
        <v>575</v>
      </c>
      <c r="G11" s="114">
        <f>C11*F11</f>
        <v>77.625</v>
      </c>
      <c r="H11" s="110">
        <f>B11*G11*scorn</f>
        <v>0</v>
      </c>
      <c r="L11" s="114"/>
      <c r="M11" s="114"/>
      <c r="N11" s="108"/>
    </row>
    <row r="12" spans="1:15" x14ac:dyDescent="0.3">
      <c r="A12" s="6" t="s">
        <v>250</v>
      </c>
      <c r="B12" s="397">
        <v>1</v>
      </c>
      <c r="C12" s="278">
        <f>IF(Data!G128=0, 100/2000, 125/2000)</f>
        <v>6.25E-2</v>
      </c>
      <c r="D12" s="34" t="s">
        <v>26</v>
      </c>
      <c r="E12" s="226">
        <f>C12*scorn</f>
        <v>0</v>
      </c>
      <c r="F12" s="608">
        <v>600</v>
      </c>
      <c r="G12" s="114">
        <f>C12*F12</f>
        <v>37.5</v>
      </c>
      <c r="H12" s="110">
        <f>B12*G12*scorn</f>
        <v>0</v>
      </c>
      <c r="I12" s="108">
        <f>SUM(H11:H12)</f>
        <v>0</v>
      </c>
      <c r="L12" s="114">
        <f>80/K9</f>
        <v>2.379</v>
      </c>
      <c r="M12" s="114">
        <f>L12*Data!$K$57</f>
        <v>133.22399999999999</v>
      </c>
      <c r="N12" s="108">
        <f>L12*$K$9</f>
        <v>80</v>
      </c>
      <c r="O12" s="17" t="s">
        <v>633</v>
      </c>
    </row>
    <row r="13" spans="1:15" x14ac:dyDescent="0.3">
      <c r="A13" s="6" t="s">
        <v>2</v>
      </c>
      <c r="B13" s="397">
        <v>1</v>
      </c>
      <c r="C13" s="369">
        <f>limeapp</f>
        <v>0.2</v>
      </c>
      <c r="D13" s="34" t="s">
        <v>26</v>
      </c>
      <c r="E13" s="226">
        <f>C13*scorn</f>
        <v>0</v>
      </c>
      <c r="F13" s="109">
        <f>lime</f>
        <v>38.260869565217391</v>
      </c>
      <c r="G13" s="114">
        <f>C13*F13</f>
        <v>7.6521739130434785</v>
      </c>
      <c r="H13" s="110">
        <f>B13*G13*scorn</f>
        <v>0</v>
      </c>
      <c r="I13" s="52"/>
    </row>
    <row r="14" spans="1:15" x14ac:dyDescent="0.3">
      <c r="A14" s="3" t="s">
        <v>1476</v>
      </c>
      <c r="B14" s="3"/>
      <c r="C14" s="3"/>
      <c r="D14" s="34"/>
      <c r="E14" s="34"/>
      <c r="F14" s="104"/>
      <c r="G14" s="114"/>
      <c r="H14" s="109"/>
    </row>
    <row r="15" spans="1:15" x14ac:dyDescent="0.3">
      <c r="A15" s="6" t="s">
        <v>219</v>
      </c>
      <c r="B15" s="397">
        <v>1</v>
      </c>
      <c r="C15" s="278">
        <v>2</v>
      </c>
      <c r="D15" s="34" t="s">
        <v>220</v>
      </c>
      <c r="E15" s="226">
        <f>C15*scorn</f>
        <v>0</v>
      </c>
      <c r="F15" s="283">
        <f>7.504+(7.504*Data!$L$275)</f>
        <v>13.808774419387412</v>
      </c>
      <c r="G15" s="114">
        <f>C15*F15</f>
        <v>27.617548838774823</v>
      </c>
      <c r="H15" s="110">
        <f>B15*G15*scorn</f>
        <v>0</v>
      </c>
    </row>
    <row r="16" spans="1:15" x14ac:dyDescent="0.3">
      <c r="A16" s="6" t="s">
        <v>221</v>
      </c>
      <c r="B16" s="397">
        <v>1</v>
      </c>
      <c r="C16" s="278">
        <v>0.37830000000000003</v>
      </c>
      <c r="D16" s="34" t="s">
        <v>117</v>
      </c>
      <c r="E16" s="226">
        <f>C16*scorn</f>
        <v>0</v>
      </c>
      <c r="F16" s="283">
        <f>24.802+(24.802*Data!$L$275)</f>
        <v>45.64035489734097</v>
      </c>
      <c r="G16" s="114">
        <f>C16*F16</f>
        <v>17.265746257664091</v>
      </c>
      <c r="H16" s="110">
        <f>B16*G16*scorn</f>
        <v>0</v>
      </c>
      <c r="I16" s="108">
        <f>SUM(H15:H16)</f>
        <v>0</v>
      </c>
    </row>
    <row r="17" spans="1:13" x14ac:dyDescent="0.3">
      <c r="A17" s="3" t="s">
        <v>14</v>
      </c>
      <c r="B17" s="3"/>
      <c r="C17" s="46"/>
      <c r="D17" s="34"/>
      <c r="E17" s="34"/>
      <c r="F17" s="104"/>
      <c r="G17" s="114"/>
      <c r="H17" s="109"/>
    </row>
    <row r="18" spans="1:13" x14ac:dyDescent="0.3">
      <c r="A18" s="22" t="s">
        <v>299</v>
      </c>
      <c r="B18" s="22"/>
      <c r="C18" s="46"/>
      <c r="D18" s="34"/>
      <c r="E18" s="34"/>
      <c r="F18" s="167"/>
      <c r="G18" s="114"/>
      <c r="H18" s="110"/>
    </row>
    <row r="19" spans="1:13" x14ac:dyDescent="0.3">
      <c r="A19" s="22" t="s">
        <v>322</v>
      </c>
      <c r="B19" s="397">
        <v>1</v>
      </c>
      <c r="C19" s="273">
        <v>0</v>
      </c>
      <c r="D19" s="34" t="s">
        <v>128</v>
      </c>
      <c r="E19" s="226">
        <f t="shared" ref="E19:E31" si="0">C19*scorn</f>
        <v>0</v>
      </c>
      <c r="F19" s="167">
        <f>_wage_</f>
        <v>12.29</v>
      </c>
      <c r="G19" s="110">
        <f t="shared" ref="G19:G34" si="1">C19*F19</f>
        <v>0</v>
      </c>
      <c r="H19" s="110">
        <f t="shared" ref="H19:H31" si="2">B19*G19*scorn</f>
        <v>0</v>
      </c>
      <c r="K19" s="55"/>
      <c r="L19" s="24"/>
      <c r="M19" s="81"/>
    </row>
    <row r="20" spans="1:13" x14ac:dyDescent="0.3">
      <c r="A20" s="6" t="s">
        <v>484</v>
      </c>
      <c r="B20" s="397">
        <v>1</v>
      </c>
      <c r="C20" s="156">
        <f>Data!H580</f>
        <v>0.11764705882352941</v>
      </c>
      <c r="D20" s="34" t="s">
        <v>128</v>
      </c>
      <c r="E20" s="226">
        <f t="shared" si="0"/>
        <v>0</v>
      </c>
      <c r="F20" s="167">
        <f t="shared" ref="F20:F34" si="3">_wage_</f>
        <v>12.29</v>
      </c>
      <c r="G20" s="114">
        <f t="shared" si="1"/>
        <v>1.4458823529411764</v>
      </c>
      <c r="H20" s="110">
        <f t="shared" si="2"/>
        <v>0</v>
      </c>
      <c r="K20" s="55"/>
      <c r="L20" s="24"/>
      <c r="M20" s="81"/>
    </row>
    <row r="21" spans="1:13" x14ac:dyDescent="0.3">
      <c r="A21" s="6" t="s">
        <v>485</v>
      </c>
      <c r="B21" s="397">
        <v>1</v>
      </c>
      <c r="C21" s="156">
        <f>Data!H581</f>
        <v>8.1833060556464804E-2</v>
      </c>
      <c r="D21" s="34" t="s">
        <v>128</v>
      </c>
      <c r="E21" s="226">
        <f t="shared" si="0"/>
        <v>0</v>
      </c>
      <c r="F21" s="167">
        <f t="shared" si="3"/>
        <v>12.29</v>
      </c>
      <c r="G21" s="114">
        <f t="shared" si="1"/>
        <v>1.0057283142389524</v>
      </c>
      <c r="H21" s="110">
        <f t="shared" si="2"/>
        <v>0</v>
      </c>
      <c r="K21" s="55"/>
      <c r="L21" s="24"/>
      <c r="M21" s="81"/>
    </row>
    <row r="22" spans="1:13" x14ac:dyDescent="0.3">
      <c r="A22" s="22" t="s">
        <v>315</v>
      </c>
      <c r="B22" s="397">
        <v>1</v>
      </c>
      <c r="C22" s="156">
        <f>Data!H582</f>
        <v>0.48</v>
      </c>
      <c r="D22" s="34" t="s">
        <v>128</v>
      </c>
      <c r="E22" s="226">
        <f t="shared" si="0"/>
        <v>0</v>
      </c>
      <c r="F22" s="167">
        <f t="shared" si="3"/>
        <v>12.29</v>
      </c>
      <c r="G22" s="114">
        <f t="shared" si="1"/>
        <v>5.8991999999999996</v>
      </c>
      <c r="H22" s="110">
        <f t="shared" si="2"/>
        <v>0</v>
      </c>
      <c r="K22" s="55"/>
      <c r="L22" s="24"/>
      <c r="M22" s="81"/>
    </row>
    <row r="23" spans="1:13" x14ac:dyDescent="0.3">
      <c r="A23" s="22" t="s">
        <v>581</v>
      </c>
      <c r="B23" s="397">
        <v>1</v>
      </c>
      <c r="C23" s="156">
        <f>Data!H583</f>
        <v>9.2929292929292931E-2</v>
      </c>
      <c r="D23" s="34" t="s">
        <v>128</v>
      </c>
      <c r="E23" s="226">
        <f t="shared" si="0"/>
        <v>0</v>
      </c>
      <c r="F23" s="167">
        <f t="shared" si="3"/>
        <v>12.29</v>
      </c>
      <c r="G23" s="114">
        <f t="shared" si="1"/>
        <v>1.1421010101010101</v>
      </c>
      <c r="H23" s="110">
        <f t="shared" si="2"/>
        <v>0</v>
      </c>
      <c r="K23" s="55"/>
      <c r="L23" s="24"/>
      <c r="M23" s="81"/>
    </row>
    <row r="24" spans="1:13" x14ac:dyDescent="0.3">
      <c r="A24" s="22" t="s">
        <v>316</v>
      </c>
      <c r="B24" s="397">
        <v>1</v>
      </c>
      <c r="C24" s="165">
        <f>Data!H586</f>
        <v>0</v>
      </c>
      <c r="D24" s="34" t="s">
        <v>128</v>
      </c>
      <c r="E24" s="226">
        <f t="shared" si="0"/>
        <v>0</v>
      </c>
      <c r="F24" s="167">
        <f t="shared" si="3"/>
        <v>12.29</v>
      </c>
      <c r="G24" s="110">
        <f t="shared" si="1"/>
        <v>0</v>
      </c>
      <c r="H24" s="110">
        <f t="shared" si="2"/>
        <v>0</v>
      </c>
      <c r="K24" s="55"/>
      <c r="L24" s="24"/>
      <c r="M24" s="81"/>
    </row>
    <row r="25" spans="1:13" x14ac:dyDescent="0.3">
      <c r="A25" s="22" t="s">
        <v>317</v>
      </c>
      <c r="B25" s="397">
        <v>1</v>
      </c>
      <c r="C25" s="156">
        <f>Data!H588</f>
        <v>0.28333333333333333</v>
      </c>
      <c r="D25" s="34" t="s">
        <v>128</v>
      </c>
      <c r="E25" s="226">
        <f t="shared" si="0"/>
        <v>0</v>
      </c>
      <c r="F25" s="167">
        <f t="shared" si="3"/>
        <v>12.29</v>
      </c>
      <c r="G25" s="114">
        <f t="shared" si="1"/>
        <v>3.4821666666666662</v>
      </c>
      <c r="H25" s="110">
        <f t="shared" si="2"/>
        <v>0</v>
      </c>
      <c r="K25" s="55"/>
      <c r="L25" s="24"/>
      <c r="M25" s="81"/>
    </row>
    <row r="26" spans="1:13" x14ac:dyDescent="0.3">
      <c r="A26" s="22" t="s">
        <v>318</v>
      </c>
      <c r="B26" s="397">
        <v>1</v>
      </c>
      <c r="C26" s="156">
        <f>Data!H593</f>
        <v>0.27777777777777735</v>
      </c>
      <c r="D26" s="34" t="s">
        <v>128</v>
      </c>
      <c r="E26" s="226">
        <f t="shared" si="0"/>
        <v>0</v>
      </c>
      <c r="F26" s="167">
        <f t="shared" si="3"/>
        <v>12.29</v>
      </c>
      <c r="G26" s="114">
        <f t="shared" si="1"/>
        <v>3.4138888888888834</v>
      </c>
      <c r="H26" s="110">
        <f t="shared" si="2"/>
        <v>0</v>
      </c>
      <c r="K26" s="55"/>
      <c r="L26" s="24"/>
      <c r="M26" s="81"/>
    </row>
    <row r="27" spans="1:13" x14ac:dyDescent="0.3">
      <c r="A27" s="22" t="s">
        <v>304</v>
      </c>
      <c r="B27" s="397">
        <v>1</v>
      </c>
      <c r="C27" s="156">
        <f>Data!H598</f>
        <v>0.11851851851851852</v>
      </c>
      <c r="D27" s="34" t="s">
        <v>128</v>
      </c>
      <c r="E27" s="226">
        <f t="shared" si="0"/>
        <v>0</v>
      </c>
      <c r="F27" s="167">
        <f t="shared" si="3"/>
        <v>12.29</v>
      </c>
      <c r="G27" s="114">
        <f t="shared" si="1"/>
        <v>1.4565925925925924</v>
      </c>
      <c r="H27" s="110">
        <f t="shared" si="2"/>
        <v>0</v>
      </c>
      <c r="K27" s="55"/>
      <c r="L27" s="24"/>
      <c r="M27" s="81"/>
    </row>
    <row r="28" spans="1:13" x14ac:dyDescent="0.3">
      <c r="A28" s="22" t="s">
        <v>319</v>
      </c>
      <c r="B28" s="397">
        <v>1</v>
      </c>
      <c r="C28" s="156">
        <f>Data!H604</f>
        <v>0.1</v>
      </c>
      <c r="D28" s="34" t="s">
        <v>128</v>
      </c>
      <c r="E28" s="226">
        <f t="shared" si="0"/>
        <v>0</v>
      </c>
      <c r="F28" s="167">
        <f t="shared" si="3"/>
        <v>12.29</v>
      </c>
      <c r="G28" s="114">
        <f t="shared" si="1"/>
        <v>1.2290000000000001</v>
      </c>
      <c r="H28" s="110">
        <f t="shared" si="2"/>
        <v>0</v>
      </c>
      <c r="K28" s="55"/>
      <c r="L28" s="24"/>
      <c r="M28" s="81"/>
    </row>
    <row r="29" spans="1:13" x14ac:dyDescent="0.3">
      <c r="A29" s="22" t="s">
        <v>309</v>
      </c>
      <c r="B29" s="397">
        <v>1</v>
      </c>
      <c r="C29" s="156">
        <f>Data!H607</f>
        <v>0.99999999999999889</v>
      </c>
      <c r="D29" s="34" t="s">
        <v>128</v>
      </c>
      <c r="E29" s="226">
        <f t="shared" si="0"/>
        <v>0</v>
      </c>
      <c r="F29" s="167">
        <f t="shared" si="3"/>
        <v>12.29</v>
      </c>
      <c r="G29" s="114">
        <f t="shared" si="1"/>
        <v>12.289999999999985</v>
      </c>
      <c r="H29" s="110">
        <f t="shared" si="2"/>
        <v>0</v>
      </c>
      <c r="K29" s="55"/>
      <c r="L29" s="24"/>
      <c r="M29" s="81"/>
    </row>
    <row r="30" spans="1:13" x14ac:dyDescent="0.3">
      <c r="A30" s="9" t="s">
        <v>1022</v>
      </c>
      <c r="B30" s="397">
        <v>0</v>
      </c>
      <c r="C30" s="47">
        <f>Data!$H$608*Data!$F$146</f>
        <v>0</v>
      </c>
      <c r="D30" s="48" t="s">
        <v>115</v>
      </c>
      <c r="E30" s="83">
        <f>C30*scorn</f>
        <v>0</v>
      </c>
      <c r="F30" s="118">
        <f>_wage_</f>
        <v>12.29</v>
      </c>
      <c r="G30" s="465">
        <f>C30*F30</f>
        <v>0</v>
      </c>
      <c r="H30" s="123">
        <f>B30*G30*scorn</f>
        <v>0</v>
      </c>
      <c r="J30" s="114"/>
      <c r="K30" s="55"/>
    </row>
    <row r="31" spans="1:13" x14ac:dyDescent="0.3">
      <c r="A31" s="22" t="s">
        <v>320</v>
      </c>
      <c r="B31" s="397">
        <v>1</v>
      </c>
      <c r="C31" s="156">
        <f>Data!H609</f>
        <v>2.4</v>
      </c>
      <c r="D31" s="34" t="s">
        <v>128</v>
      </c>
      <c r="E31" s="226">
        <f t="shared" si="0"/>
        <v>0</v>
      </c>
      <c r="F31" s="167">
        <f t="shared" si="3"/>
        <v>12.29</v>
      </c>
      <c r="G31" s="114">
        <f t="shared" si="1"/>
        <v>29.495999999999995</v>
      </c>
      <c r="H31" s="110">
        <f t="shared" si="2"/>
        <v>0</v>
      </c>
      <c r="K31" s="55"/>
      <c r="L31" s="24"/>
      <c r="M31" s="81"/>
    </row>
    <row r="32" spans="1:13" x14ac:dyDescent="0.3">
      <c r="A32" s="9" t="s">
        <v>1022</v>
      </c>
      <c r="B32" s="397">
        <v>1</v>
      </c>
      <c r="C32" s="47">
        <f>Data!$H$610*Data!$F$146</f>
        <v>0</v>
      </c>
      <c r="D32" s="48" t="s">
        <v>115</v>
      </c>
      <c r="E32" s="83">
        <f>C32*scorn</f>
        <v>0</v>
      </c>
      <c r="F32" s="118">
        <f>_wage_</f>
        <v>12.29</v>
      </c>
      <c r="G32" s="465">
        <f>C32*F32</f>
        <v>0</v>
      </c>
      <c r="H32" s="123">
        <f>B32*G32*scorn</f>
        <v>0</v>
      </c>
      <c r="J32" s="114"/>
      <c r="K32" s="55"/>
    </row>
    <row r="33" spans="1:13" x14ac:dyDescent="0.3">
      <c r="A33" s="22" t="s">
        <v>298</v>
      </c>
      <c r="B33" s="22"/>
      <c r="C33" s="46"/>
      <c r="D33" s="34"/>
      <c r="E33" s="34"/>
      <c r="F33" s="90"/>
      <c r="G33" s="114"/>
      <c r="H33" s="110"/>
      <c r="K33" s="55"/>
      <c r="L33" s="24"/>
      <c r="M33" s="81"/>
    </row>
    <row r="34" spans="1:13" x14ac:dyDescent="0.3">
      <c r="A34" s="6" t="s">
        <v>321</v>
      </c>
      <c r="B34" s="397">
        <v>1</v>
      </c>
      <c r="C34" s="273">
        <v>0</v>
      </c>
      <c r="D34" s="34" t="s">
        <v>128</v>
      </c>
      <c r="E34" s="226">
        <f>C34*scorn</f>
        <v>0</v>
      </c>
      <c r="F34" s="167">
        <f t="shared" si="3"/>
        <v>12.29</v>
      </c>
      <c r="G34" s="110">
        <f t="shared" si="1"/>
        <v>0</v>
      </c>
      <c r="H34" s="110">
        <f>B34*G34*scorn</f>
        <v>0</v>
      </c>
      <c r="I34" s="108">
        <f>SUM(H19:H34)</f>
        <v>0</v>
      </c>
      <c r="K34" s="55"/>
      <c r="L34" s="81"/>
      <c r="M34" s="81"/>
    </row>
    <row r="35" spans="1:13" x14ac:dyDescent="0.3">
      <c r="A35" s="3" t="s">
        <v>66</v>
      </c>
      <c r="B35" s="3"/>
      <c r="C35" s="46"/>
      <c r="D35" s="34"/>
      <c r="E35" s="34"/>
      <c r="F35" s="167"/>
      <c r="G35" s="114"/>
      <c r="H35" s="109"/>
      <c r="I35" s="92"/>
      <c r="J35" s="93"/>
      <c r="L35" s="81"/>
      <c r="M35" s="81"/>
    </row>
    <row r="36" spans="1:13" x14ac:dyDescent="0.3">
      <c r="A36" s="22" t="s">
        <v>299</v>
      </c>
      <c r="B36" s="22"/>
      <c r="C36" s="46"/>
      <c r="D36" s="34"/>
      <c r="E36" s="34"/>
      <c r="F36" s="167"/>
      <c r="G36" s="114"/>
      <c r="H36" s="110"/>
      <c r="I36" s="94"/>
      <c r="J36" s="93"/>
      <c r="L36" s="27"/>
      <c r="M36" s="27"/>
    </row>
    <row r="37" spans="1:13" x14ac:dyDescent="0.3">
      <c r="A37" s="22" t="s">
        <v>322</v>
      </c>
      <c r="B37" s="405">
        <f t="shared" ref="B37:B50" si="4">B19</f>
        <v>1</v>
      </c>
      <c r="C37" s="273">
        <v>0</v>
      </c>
      <c r="D37" s="34" t="s">
        <v>117</v>
      </c>
      <c r="E37" s="226">
        <f t="shared" ref="E37:E49" si="5">C37*scorn</f>
        <v>0</v>
      </c>
      <c r="F37" s="167">
        <f>diesel_fuel</f>
        <v>2.56</v>
      </c>
      <c r="G37" s="110">
        <f t="shared" ref="G37:G52" si="6">C37*F37</f>
        <v>0</v>
      </c>
      <c r="H37" s="110">
        <f t="shared" ref="H37:H49" si="7">B37*G37*scorn</f>
        <v>0</v>
      </c>
      <c r="K37" s="55"/>
      <c r="L37" s="81"/>
      <c r="M37" s="81"/>
    </row>
    <row r="38" spans="1:13" x14ac:dyDescent="0.3">
      <c r="A38" s="6" t="s">
        <v>484</v>
      </c>
      <c r="B38" s="405">
        <f t="shared" si="4"/>
        <v>1</v>
      </c>
      <c r="C38" s="156">
        <f>Data!R580</f>
        <v>0.64</v>
      </c>
      <c r="D38" s="34" t="s">
        <v>117</v>
      </c>
      <c r="E38" s="226">
        <f t="shared" si="5"/>
        <v>0</v>
      </c>
      <c r="F38" s="167">
        <f t="shared" ref="F38:F52" si="8">diesel_fuel</f>
        <v>2.56</v>
      </c>
      <c r="G38" s="114">
        <f t="shared" si="6"/>
        <v>1.6384000000000001</v>
      </c>
      <c r="H38" s="110">
        <f t="shared" si="7"/>
        <v>0</v>
      </c>
      <c r="K38" s="55"/>
      <c r="L38" s="81"/>
      <c r="M38" s="81"/>
    </row>
    <row r="39" spans="1:13" x14ac:dyDescent="0.3">
      <c r="A39" s="6" t="s">
        <v>485</v>
      </c>
      <c r="B39" s="405">
        <f t="shared" si="4"/>
        <v>1</v>
      </c>
      <c r="C39" s="156">
        <f>Data!R581</f>
        <v>0.74</v>
      </c>
      <c r="D39" s="34" t="s">
        <v>117</v>
      </c>
      <c r="E39" s="226">
        <f t="shared" si="5"/>
        <v>0</v>
      </c>
      <c r="F39" s="167">
        <f t="shared" si="8"/>
        <v>2.56</v>
      </c>
      <c r="G39" s="114">
        <f t="shared" si="6"/>
        <v>1.8944000000000001</v>
      </c>
      <c r="H39" s="110">
        <f t="shared" si="7"/>
        <v>0</v>
      </c>
      <c r="K39" s="55"/>
      <c r="L39" s="81"/>
      <c r="M39" s="81"/>
    </row>
    <row r="40" spans="1:13" x14ac:dyDescent="0.3">
      <c r="A40" s="22" t="s">
        <v>315</v>
      </c>
      <c r="B40" s="405">
        <f t="shared" si="4"/>
        <v>1</v>
      </c>
      <c r="C40" s="156">
        <f>Data!R582</f>
        <v>0.2</v>
      </c>
      <c r="D40" s="34" t="s">
        <v>117</v>
      </c>
      <c r="E40" s="226">
        <f t="shared" si="5"/>
        <v>0</v>
      </c>
      <c r="F40" s="167">
        <f t="shared" si="8"/>
        <v>2.56</v>
      </c>
      <c r="G40" s="114">
        <f t="shared" si="6"/>
        <v>0.51200000000000001</v>
      </c>
      <c r="H40" s="110">
        <f t="shared" si="7"/>
        <v>0</v>
      </c>
      <c r="K40" s="55"/>
      <c r="L40" s="81"/>
      <c r="M40" s="81"/>
    </row>
    <row r="41" spans="1:13" x14ac:dyDescent="0.3">
      <c r="A41" s="22" t="s">
        <v>581</v>
      </c>
      <c r="B41" s="405">
        <f t="shared" si="4"/>
        <v>1</v>
      </c>
      <c r="C41" s="156">
        <f>Data!R583</f>
        <v>0.13183670241332501</v>
      </c>
      <c r="D41" s="34" t="s">
        <v>117</v>
      </c>
      <c r="E41" s="226">
        <f t="shared" si="5"/>
        <v>0</v>
      </c>
      <c r="F41" s="167">
        <f t="shared" si="8"/>
        <v>2.56</v>
      </c>
      <c r="G41" s="114">
        <f t="shared" si="6"/>
        <v>0.33750195817811202</v>
      </c>
      <c r="H41" s="110">
        <f t="shared" si="7"/>
        <v>0</v>
      </c>
      <c r="K41" s="55"/>
      <c r="L41" s="81"/>
      <c r="M41" s="81"/>
    </row>
    <row r="42" spans="1:13" x14ac:dyDescent="0.3">
      <c r="A42" s="22" t="s">
        <v>316</v>
      </c>
      <c r="B42" s="405">
        <f t="shared" si="4"/>
        <v>1</v>
      </c>
      <c r="C42" s="165">
        <f>Data!R586</f>
        <v>0</v>
      </c>
      <c r="D42" s="34" t="s">
        <v>117</v>
      </c>
      <c r="E42" s="226">
        <f t="shared" si="5"/>
        <v>0</v>
      </c>
      <c r="F42" s="167">
        <f t="shared" si="8"/>
        <v>2.56</v>
      </c>
      <c r="G42" s="110">
        <f t="shared" si="6"/>
        <v>0</v>
      </c>
      <c r="H42" s="110">
        <f t="shared" si="7"/>
        <v>0</v>
      </c>
      <c r="K42" s="55"/>
      <c r="L42" s="81"/>
      <c r="M42" s="81"/>
    </row>
    <row r="43" spans="1:13" x14ac:dyDescent="0.3">
      <c r="A43" s="22" t="s">
        <v>317</v>
      </c>
      <c r="B43" s="405">
        <f t="shared" si="4"/>
        <v>1</v>
      </c>
      <c r="C43" s="156">
        <f>Data!R588</f>
        <v>0.83039215686274503</v>
      </c>
      <c r="D43" s="34" t="s">
        <v>117</v>
      </c>
      <c r="E43" s="226">
        <f t="shared" si="5"/>
        <v>0</v>
      </c>
      <c r="F43" s="167">
        <f t="shared" si="8"/>
        <v>2.56</v>
      </c>
      <c r="G43" s="114">
        <f t="shared" si="6"/>
        <v>2.1258039215686275</v>
      </c>
      <c r="H43" s="110">
        <f t="shared" si="7"/>
        <v>0</v>
      </c>
      <c r="K43" s="55"/>
      <c r="L43" s="81"/>
      <c r="M43" s="81"/>
    </row>
    <row r="44" spans="1:13" x14ac:dyDescent="0.3">
      <c r="A44" s="22" t="s">
        <v>318</v>
      </c>
      <c r="B44" s="405">
        <f t="shared" si="4"/>
        <v>1</v>
      </c>
      <c r="C44" s="156">
        <f>Data!R593</f>
        <v>0.34178571428571403</v>
      </c>
      <c r="D44" s="34" t="s">
        <v>117</v>
      </c>
      <c r="E44" s="226">
        <f t="shared" si="5"/>
        <v>0</v>
      </c>
      <c r="F44" s="167">
        <f t="shared" si="8"/>
        <v>2.56</v>
      </c>
      <c r="G44" s="114">
        <f t="shared" si="6"/>
        <v>0.87497142857142796</v>
      </c>
      <c r="H44" s="110">
        <f t="shared" si="7"/>
        <v>0</v>
      </c>
      <c r="K44" s="55"/>
      <c r="L44" s="81"/>
      <c r="M44" s="81"/>
    </row>
    <row r="45" spans="1:13" x14ac:dyDescent="0.3">
      <c r="A45" s="22" t="s">
        <v>304</v>
      </c>
      <c r="B45" s="405">
        <f t="shared" si="4"/>
        <v>1</v>
      </c>
      <c r="C45" s="156">
        <f>Data!R598</f>
        <v>0.11981642612033799</v>
      </c>
      <c r="D45" s="34" t="s">
        <v>117</v>
      </c>
      <c r="E45" s="226">
        <f t="shared" si="5"/>
        <v>0</v>
      </c>
      <c r="F45" s="167">
        <f t="shared" si="8"/>
        <v>2.56</v>
      </c>
      <c r="G45" s="114">
        <f t="shared" si="6"/>
        <v>0.30673005086806526</v>
      </c>
      <c r="H45" s="110">
        <f t="shared" si="7"/>
        <v>0</v>
      </c>
      <c r="K45" s="55"/>
      <c r="L45" s="81"/>
      <c r="M45" s="81"/>
    </row>
    <row r="46" spans="1:13" x14ac:dyDescent="0.3">
      <c r="A46" s="22" t="s">
        <v>319</v>
      </c>
      <c r="B46" s="405">
        <f t="shared" si="4"/>
        <v>1</v>
      </c>
      <c r="C46" s="156">
        <f>Data!R604</f>
        <v>0.13183670241332496</v>
      </c>
      <c r="D46" s="34" t="s">
        <v>117</v>
      </c>
      <c r="E46" s="226">
        <f t="shared" si="5"/>
        <v>0</v>
      </c>
      <c r="F46" s="167">
        <f t="shared" si="8"/>
        <v>2.56</v>
      </c>
      <c r="G46" s="114">
        <f t="shared" si="6"/>
        <v>0.3375019581781119</v>
      </c>
      <c r="H46" s="110">
        <f t="shared" si="7"/>
        <v>0</v>
      </c>
      <c r="K46" s="55"/>
      <c r="L46" s="81"/>
      <c r="M46" s="81"/>
    </row>
    <row r="47" spans="1:13" x14ac:dyDescent="0.3">
      <c r="A47" s="22" t="s">
        <v>309</v>
      </c>
      <c r="B47" s="405">
        <f t="shared" si="4"/>
        <v>1</v>
      </c>
      <c r="C47" s="156">
        <f>Data!R607</f>
        <v>3.3507692307692301</v>
      </c>
      <c r="D47" s="34" t="s">
        <v>117</v>
      </c>
      <c r="E47" s="226">
        <f t="shared" si="5"/>
        <v>0</v>
      </c>
      <c r="F47" s="167">
        <f t="shared" si="8"/>
        <v>2.56</v>
      </c>
      <c r="G47" s="114">
        <f t="shared" si="6"/>
        <v>8.577969230769229</v>
      </c>
      <c r="H47" s="110">
        <f t="shared" si="7"/>
        <v>0</v>
      </c>
      <c r="K47" s="55"/>
      <c r="L47" s="81"/>
      <c r="M47" s="81"/>
    </row>
    <row r="48" spans="1:13" x14ac:dyDescent="0.3">
      <c r="A48" s="9" t="s">
        <v>1022</v>
      </c>
      <c r="B48" s="405">
        <f t="shared" si="4"/>
        <v>0</v>
      </c>
      <c r="C48" s="47">
        <f>Data!$R$608*Data!$F$146</f>
        <v>0</v>
      </c>
      <c r="D48" s="48" t="s">
        <v>117</v>
      </c>
      <c r="E48" s="83">
        <f>C48*scorn</f>
        <v>0</v>
      </c>
      <c r="F48" s="118">
        <f>diesel_fuel</f>
        <v>2.56</v>
      </c>
      <c r="G48" s="465">
        <f>C48*F48</f>
        <v>0</v>
      </c>
      <c r="H48" s="123">
        <f>B48*G48*scorn</f>
        <v>0</v>
      </c>
      <c r="J48" s="114"/>
      <c r="K48" s="55"/>
    </row>
    <row r="49" spans="1:13" x14ac:dyDescent="0.3">
      <c r="A49" s="22" t="s">
        <v>320</v>
      </c>
      <c r="B49" s="405">
        <f t="shared" si="4"/>
        <v>1</v>
      </c>
      <c r="C49" s="156">
        <f>Data!R609</f>
        <v>1.4608956894943086</v>
      </c>
      <c r="D49" s="34" t="s">
        <v>117</v>
      </c>
      <c r="E49" s="226">
        <f t="shared" si="5"/>
        <v>0</v>
      </c>
      <c r="F49" s="167">
        <f t="shared" si="8"/>
        <v>2.56</v>
      </c>
      <c r="G49" s="114">
        <f t="shared" si="6"/>
        <v>3.73989296510543</v>
      </c>
      <c r="H49" s="110">
        <f t="shared" si="7"/>
        <v>0</v>
      </c>
      <c r="K49" s="55"/>
      <c r="L49" s="81"/>
      <c r="M49" s="81"/>
    </row>
    <row r="50" spans="1:13" x14ac:dyDescent="0.3">
      <c r="A50" s="9" t="s">
        <v>1022</v>
      </c>
      <c r="B50" s="405">
        <f t="shared" si="4"/>
        <v>1</v>
      </c>
      <c r="C50" s="47">
        <f>Data!$R$610*Data!$F$146</f>
        <v>0</v>
      </c>
      <c r="D50" s="48" t="s">
        <v>117</v>
      </c>
      <c r="E50" s="83">
        <f>C50*scorn</f>
        <v>0</v>
      </c>
      <c r="F50" s="118">
        <f>diesel_fuel</f>
        <v>2.56</v>
      </c>
      <c r="G50" s="465">
        <f>C50*F50</f>
        <v>0</v>
      </c>
      <c r="H50" s="123">
        <f>B50*G50*scorn</f>
        <v>0</v>
      </c>
      <c r="J50" s="114"/>
      <c r="K50" s="55"/>
    </row>
    <row r="51" spans="1:13" x14ac:dyDescent="0.3">
      <c r="A51" s="22" t="s">
        <v>298</v>
      </c>
      <c r="B51" s="46"/>
      <c r="C51" s="46"/>
      <c r="D51" s="34"/>
      <c r="E51" s="34"/>
      <c r="F51" s="90"/>
      <c r="G51" s="114"/>
      <c r="H51" s="110"/>
      <c r="K51" s="55"/>
      <c r="L51" s="81"/>
      <c r="M51" s="81"/>
    </row>
    <row r="52" spans="1:13" x14ac:dyDescent="0.3">
      <c r="A52" s="6" t="s">
        <v>168</v>
      </c>
      <c r="B52" s="397">
        <v>1</v>
      </c>
      <c r="C52" s="273">
        <v>0</v>
      </c>
      <c r="D52" s="34" t="s">
        <v>116</v>
      </c>
      <c r="E52" s="226">
        <f>C52*scorn</f>
        <v>0</v>
      </c>
      <c r="F52" s="167">
        <f t="shared" si="8"/>
        <v>2.56</v>
      </c>
      <c r="G52" s="110">
        <f t="shared" si="6"/>
        <v>0</v>
      </c>
      <c r="H52" s="110">
        <f>B52*G52*scorn</f>
        <v>0</v>
      </c>
      <c r="I52" s="108">
        <f>SUM(H37:H52)</f>
        <v>0</v>
      </c>
      <c r="L52" s="24"/>
      <c r="M52" s="24"/>
    </row>
    <row r="53" spans="1:13" x14ac:dyDescent="0.3">
      <c r="A53" s="3" t="s">
        <v>20</v>
      </c>
      <c r="B53" s="397">
        <v>1</v>
      </c>
      <c r="C53" s="46" t="s">
        <v>45</v>
      </c>
      <c r="D53" s="46" t="s">
        <v>45</v>
      </c>
      <c r="E53" s="46" t="s">
        <v>45</v>
      </c>
      <c r="F53" s="68" t="s">
        <v>45</v>
      </c>
      <c r="G53" s="114" t="e">
        <f>H53/scorn</f>
        <v>#DIV/0!</v>
      </c>
      <c r="H53" s="109">
        <f>B53*lube*SUM(H36:H52)</f>
        <v>0</v>
      </c>
    </row>
    <row r="54" spans="1:13" x14ac:dyDescent="0.3">
      <c r="A54" s="3" t="s">
        <v>67</v>
      </c>
      <c r="B54" s="397">
        <v>1</v>
      </c>
      <c r="C54" s="46" t="s">
        <v>45</v>
      </c>
      <c r="D54" s="46" t="s">
        <v>45</v>
      </c>
      <c r="E54" s="46" t="s">
        <v>45</v>
      </c>
      <c r="F54" s="68" t="s">
        <v>45</v>
      </c>
      <c r="G54" s="114" t="e">
        <f>H54/scorn</f>
        <v>#DIV/0!</v>
      </c>
      <c r="H54" s="109">
        <f>IF(Data!D6=1, B54*CnSOwnC!J47*Data!D6, 0)</f>
        <v>0</v>
      </c>
      <c r="K54" s="55"/>
      <c r="L54" s="81"/>
      <c r="M54" s="81"/>
    </row>
    <row r="55" spans="1:13" x14ac:dyDescent="0.3">
      <c r="A55" s="3"/>
      <c r="B55" s="397">
        <v>1</v>
      </c>
      <c r="C55" s="46" t="s">
        <v>45</v>
      </c>
      <c r="D55" s="46" t="s">
        <v>45</v>
      </c>
      <c r="E55" s="46" t="s">
        <v>45</v>
      </c>
      <c r="F55" s="68" t="s">
        <v>45</v>
      </c>
      <c r="G55" s="272">
        <v>0</v>
      </c>
      <c r="H55" s="109">
        <f>B55*G55*scorn</f>
        <v>0</v>
      </c>
      <c r="I55" s="108">
        <f>SUM(H54:H55)</f>
        <v>0</v>
      </c>
      <c r="K55" s="55"/>
      <c r="L55" s="81"/>
      <c r="M55" s="81"/>
    </row>
    <row r="56" spans="1:13" x14ac:dyDescent="0.3">
      <c r="A56" s="3" t="s">
        <v>170</v>
      </c>
      <c r="B56" s="397">
        <v>1</v>
      </c>
      <c r="C56" s="46" t="s">
        <v>45</v>
      </c>
      <c r="D56" s="46" t="s">
        <v>45</v>
      </c>
      <c r="E56" s="46" t="s">
        <v>45</v>
      </c>
      <c r="F56" s="68" t="s">
        <v>45</v>
      </c>
      <c r="G56" s="114">
        <f>supplies</f>
        <v>0</v>
      </c>
      <c r="H56" s="109">
        <f>B56*G56*scorn</f>
        <v>0</v>
      </c>
      <c r="L56" s="24"/>
      <c r="M56" s="24"/>
    </row>
    <row r="57" spans="1:13" x14ac:dyDescent="0.3">
      <c r="A57" s="3" t="s">
        <v>75</v>
      </c>
      <c r="B57" s="397">
        <v>1</v>
      </c>
      <c r="C57" s="46" t="s">
        <v>45</v>
      </c>
      <c r="D57" s="34" t="s">
        <v>45</v>
      </c>
      <c r="E57" s="34" t="s">
        <v>45</v>
      </c>
      <c r="F57" s="114">
        <f>cropins</f>
        <v>3</v>
      </c>
      <c r="G57" s="114">
        <f>F57</f>
        <v>3</v>
      </c>
      <c r="H57" s="109">
        <f>B57*G57*scorn</f>
        <v>0</v>
      </c>
    </row>
    <row r="58" spans="1:13" x14ac:dyDescent="0.3">
      <c r="A58" s="3"/>
      <c r="B58" s="397">
        <v>1</v>
      </c>
      <c r="C58" s="46" t="s">
        <v>45</v>
      </c>
      <c r="D58" s="46" t="s">
        <v>45</v>
      </c>
      <c r="E58" s="46" t="s">
        <v>45</v>
      </c>
      <c r="F58" s="68" t="s">
        <v>45</v>
      </c>
      <c r="G58" s="272">
        <v>0</v>
      </c>
      <c r="H58" s="109">
        <f>B58*G58*scorn</f>
        <v>0</v>
      </c>
      <c r="I58" s="108">
        <f>SUM(H57:H58)</f>
        <v>0</v>
      </c>
    </row>
    <row r="59" spans="1:13" x14ac:dyDescent="0.3">
      <c r="A59" s="69" t="s">
        <v>173</v>
      </c>
      <c r="B59" s="69"/>
      <c r="C59" s="46"/>
      <c r="D59" s="34"/>
      <c r="E59" s="34"/>
      <c r="F59" s="114"/>
      <c r="G59" s="114"/>
      <c r="H59" s="110"/>
    </row>
    <row r="60" spans="1:13" x14ac:dyDescent="0.3">
      <c r="A60" s="70" t="s">
        <v>175</v>
      </c>
      <c r="B60" s="397">
        <v>1</v>
      </c>
      <c r="C60" s="46" t="s">
        <v>45</v>
      </c>
      <c r="D60" s="34" t="s">
        <v>45</v>
      </c>
      <c r="E60" s="34" t="s">
        <v>45</v>
      </c>
      <c r="F60" s="110">
        <v>0</v>
      </c>
      <c r="G60" s="676">
        <f>Data!$F$69</f>
        <v>12</v>
      </c>
      <c r="H60" s="109">
        <f>B60*G60*scorn</f>
        <v>0</v>
      </c>
    </row>
    <row r="61" spans="1:13" x14ac:dyDescent="0.3">
      <c r="A61" s="70" t="s">
        <v>176</v>
      </c>
      <c r="B61" s="397">
        <v>1</v>
      </c>
      <c r="C61" s="46" t="s">
        <v>45</v>
      </c>
      <c r="D61" s="34" t="s">
        <v>45</v>
      </c>
      <c r="E61" s="34" t="s">
        <v>45</v>
      </c>
      <c r="F61" s="110">
        <v>0</v>
      </c>
      <c r="G61" s="272">
        <v>0</v>
      </c>
      <c r="H61" s="109">
        <f>B61*G61*scorn</f>
        <v>0</v>
      </c>
      <c r="I61" s="23"/>
    </row>
    <row r="62" spans="1:13" x14ac:dyDescent="0.3">
      <c r="A62" s="70" t="s">
        <v>177</v>
      </c>
      <c r="B62" s="70"/>
      <c r="C62" s="46"/>
      <c r="D62" s="34"/>
      <c r="E62" s="34"/>
      <c r="F62" s="114"/>
      <c r="G62" s="114"/>
      <c r="H62" s="110"/>
      <c r="I62" s="17" t="s">
        <v>292</v>
      </c>
    </row>
    <row r="63" spans="1:13" x14ac:dyDescent="0.3">
      <c r="A63" s="22" t="s">
        <v>174</v>
      </c>
      <c r="B63" s="397">
        <v>1</v>
      </c>
      <c r="C63" s="34" t="s">
        <v>45</v>
      </c>
      <c r="D63" s="34" t="s">
        <v>81</v>
      </c>
      <c r="E63" s="34" t="s">
        <v>45</v>
      </c>
      <c r="F63" s="110">
        <f>Data!D61</f>
        <v>50</v>
      </c>
      <c r="G63" s="110" t="e">
        <f>H63/scorn</f>
        <v>#DIV/0!</v>
      </c>
      <c r="H63" s="110">
        <f>B63*F63*scorn*Data!E57*Data!D6</f>
        <v>0</v>
      </c>
    </row>
    <row r="64" spans="1:13" x14ac:dyDescent="0.3">
      <c r="A64" s="22" t="s">
        <v>224</v>
      </c>
      <c r="B64" s="397">
        <v>1</v>
      </c>
      <c r="C64" s="34" t="s">
        <v>45</v>
      </c>
      <c r="D64" s="34" t="s">
        <v>225</v>
      </c>
      <c r="E64" s="34" t="s">
        <v>45</v>
      </c>
      <c r="F64" s="68" t="s">
        <v>45</v>
      </c>
      <c r="G64" s="272">
        <v>0</v>
      </c>
      <c r="H64" s="109">
        <f t="shared" ref="H64:H70" si="9">B64*G64*scorn</f>
        <v>0</v>
      </c>
      <c r="I64" s="108">
        <f>SUM(H63:H64)</f>
        <v>0</v>
      </c>
    </row>
    <row r="65" spans="1:9" x14ac:dyDescent="0.3">
      <c r="A65" s="70" t="s">
        <v>178</v>
      </c>
      <c r="B65" s="397">
        <v>1</v>
      </c>
      <c r="C65" s="46" t="s">
        <v>45</v>
      </c>
      <c r="D65" s="34" t="s">
        <v>45</v>
      </c>
      <c r="E65" s="34" t="s">
        <v>45</v>
      </c>
      <c r="F65" s="68" t="s">
        <v>45</v>
      </c>
      <c r="G65" s="272">
        <v>0</v>
      </c>
      <c r="H65" s="109">
        <f t="shared" si="9"/>
        <v>0</v>
      </c>
      <c r="I65" s="50"/>
    </row>
    <row r="66" spans="1:9" x14ac:dyDescent="0.3">
      <c r="A66" s="70" t="s">
        <v>179</v>
      </c>
      <c r="B66" s="397">
        <v>1</v>
      </c>
      <c r="C66" s="46" t="s">
        <v>45</v>
      </c>
      <c r="D66" s="34" t="s">
        <v>45</v>
      </c>
      <c r="E66" s="34" t="s">
        <v>45</v>
      </c>
      <c r="F66" s="68" t="s">
        <v>45</v>
      </c>
      <c r="G66" s="250">
        <f>2</f>
        <v>2</v>
      </c>
      <c r="H66" s="109">
        <f t="shared" si="9"/>
        <v>0</v>
      </c>
      <c r="I66" s="50"/>
    </row>
    <row r="67" spans="1:9" x14ac:dyDescent="0.3">
      <c r="A67" s="9" t="s">
        <v>247</v>
      </c>
      <c r="B67" s="397">
        <v>0</v>
      </c>
      <c r="C67" s="47" t="s">
        <v>45</v>
      </c>
      <c r="D67" s="48" t="s">
        <v>45</v>
      </c>
      <c r="E67" s="48" t="s">
        <v>45</v>
      </c>
      <c r="F67" s="118" t="s">
        <v>45</v>
      </c>
      <c r="G67" s="465">
        <f>(G66*Data!$F$146)</f>
        <v>0</v>
      </c>
      <c r="H67" s="124">
        <f>B67*G67*scorn</f>
        <v>0</v>
      </c>
      <c r="I67" s="108">
        <f>SUM(H66:H67)</f>
        <v>0</v>
      </c>
    </row>
    <row r="68" spans="1:9" x14ac:dyDescent="0.3">
      <c r="A68" s="70" t="s">
        <v>180</v>
      </c>
      <c r="B68" s="397">
        <v>1</v>
      </c>
      <c r="C68" s="46" t="s">
        <v>45</v>
      </c>
      <c r="D68" s="46" t="s">
        <v>45</v>
      </c>
      <c r="E68" s="34" t="s">
        <v>45</v>
      </c>
      <c r="F68" s="68" t="s">
        <v>45</v>
      </c>
      <c r="G68" s="114">
        <f>othexp</f>
        <v>0</v>
      </c>
      <c r="H68" s="109">
        <f t="shared" si="9"/>
        <v>0</v>
      </c>
    </row>
    <row r="69" spans="1:9" x14ac:dyDescent="0.3">
      <c r="A69" s="22" t="s">
        <v>181</v>
      </c>
      <c r="B69" s="397">
        <v>1</v>
      </c>
      <c r="C69" s="46" t="s">
        <v>45</v>
      </c>
      <c r="D69" s="46" t="s">
        <v>45</v>
      </c>
      <c r="E69" s="34" t="s">
        <v>45</v>
      </c>
      <c r="F69" s="68" t="s">
        <v>45</v>
      </c>
      <c r="G69" s="272">
        <v>0</v>
      </c>
      <c r="H69" s="109">
        <f t="shared" si="9"/>
        <v>0</v>
      </c>
      <c r="I69" s="108">
        <f>SUM(H68:H69)</f>
        <v>0</v>
      </c>
    </row>
    <row r="70" spans="1:9" x14ac:dyDescent="0.3">
      <c r="A70" s="3" t="s">
        <v>226</v>
      </c>
      <c r="B70" s="397">
        <v>1</v>
      </c>
      <c r="C70" s="46" t="s">
        <v>45</v>
      </c>
      <c r="D70" s="75" t="s">
        <v>45</v>
      </c>
      <c r="E70" s="34" t="s">
        <v>45</v>
      </c>
      <c r="F70" s="68" t="s">
        <v>45</v>
      </c>
      <c r="G70" s="272">
        <v>0</v>
      </c>
      <c r="H70" s="109">
        <f t="shared" si="9"/>
        <v>0</v>
      </c>
    </row>
    <row r="71" spans="1:9" x14ac:dyDescent="0.3">
      <c r="A71" s="3" t="s">
        <v>73</v>
      </c>
      <c r="B71" s="3"/>
      <c r="F71" s="114"/>
      <c r="G71" s="119" t="e">
        <f>SUM(G8:G69)</f>
        <v>#DIV/0!</v>
      </c>
      <c r="H71" s="111">
        <f>SUM(H8:H69)</f>
        <v>0</v>
      </c>
    </row>
    <row r="72" spans="1:9" x14ac:dyDescent="0.3">
      <c r="F72" s="114"/>
      <c r="G72" s="114"/>
      <c r="H72" s="109"/>
    </row>
    <row r="73" spans="1:9" ht="39" x14ac:dyDescent="0.3">
      <c r="A73" s="3" t="s">
        <v>69</v>
      </c>
      <c r="B73" s="3"/>
      <c r="C73" s="25" t="s">
        <v>70</v>
      </c>
      <c r="D73" s="25" t="s">
        <v>71</v>
      </c>
      <c r="E73" s="25"/>
      <c r="F73" s="114"/>
      <c r="G73" s="120" t="s">
        <v>1292</v>
      </c>
      <c r="H73" s="126" t="s">
        <v>72</v>
      </c>
    </row>
    <row r="74" spans="1:9" x14ac:dyDescent="0.3">
      <c r="A74" s="3"/>
      <c r="B74" s="3"/>
      <c r="C74" s="35">
        <f>_int_oper_</f>
        <v>4.7341710603787002E-2</v>
      </c>
      <c r="D74" s="34">
        <f>Data!$B$48</f>
        <v>7</v>
      </c>
      <c r="E74" s="34"/>
      <c r="F74" s="114"/>
      <c r="G74" s="104" t="e">
        <f>H74/corn</f>
        <v>#VALUE!</v>
      </c>
      <c r="H74" s="109">
        <f>C74*(D74/12)*(H71)</f>
        <v>0</v>
      </c>
    </row>
    <row r="75" spans="1:9" x14ac:dyDescent="0.3">
      <c r="F75" s="114"/>
      <c r="G75" s="103"/>
      <c r="H75" s="127"/>
    </row>
    <row r="76" spans="1:9" ht="14" thickBot="1" x14ac:dyDescent="0.4">
      <c r="A76" s="1" t="s">
        <v>74</v>
      </c>
      <c r="B76" s="1"/>
      <c r="F76" s="114"/>
      <c r="G76" s="121" t="e">
        <f>G71+G74</f>
        <v>#DIV/0!</v>
      </c>
      <c r="H76" s="128">
        <f>H71+H74</f>
        <v>0</v>
      </c>
    </row>
    <row r="77" spans="1:9" ht="13.5" thickTop="1" x14ac:dyDescent="0.3">
      <c r="F77" s="34"/>
      <c r="G77" s="34"/>
      <c r="H77" s="49"/>
    </row>
    <row r="78" spans="1:9" x14ac:dyDescent="0.3">
      <c r="F78" s="34"/>
      <c r="G78" s="34"/>
      <c r="H78" s="49"/>
    </row>
    <row r="79" spans="1:9" x14ac:dyDescent="0.3">
      <c r="F79" s="34"/>
      <c r="G79" s="34"/>
      <c r="H79" s="49"/>
    </row>
    <row r="80" spans="1:9" x14ac:dyDescent="0.3">
      <c r="F80" s="34"/>
      <c r="G80" s="34"/>
      <c r="H80" s="49"/>
    </row>
    <row r="81" spans="6:8" x14ac:dyDescent="0.3">
      <c r="F81" s="34"/>
      <c r="G81" s="34"/>
      <c r="H81" s="49"/>
    </row>
    <row r="82" spans="6:8" x14ac:dyDescent="0.3">
      <c r="F82" s="34"/>
      <c r="G82" s="34"/>
      <c r="H82" s="49"/>
    </row>
    <row r="83" spans="6:8" x14ac:dyDescent="0.3">
      <c r="F83" s="34"/>
      <c r="G83" s="34"/>
      <c r="H83" s="49"/>
    </row>
    <row r="84" spans="6:8" x14ac:dyDescent="0.3">
      <c r="F84" s="34"/>
      <c r="G84" s="34"/>
      <c r="H84" s="49"/>
    </row>
    <row r="85" spans="6:8" x14ac:dyDescent="0.3">
      <c r="F85" s="34"/>
      <c r="G85" s="34"/>
      <c r="H85" s="49"/>
    </row>
    <row r="86" spans="6:8" x14ac:dyDescent="0.3">
      <c r="F86" s="34"/>
      <c r="G86" s="34"/>
      <c r="H86" s="34"/>
    </row>
    <row r="87" spans="6:8" x14ac:dyDescent="0.3">
      <c r="F87" s="34"/>
      <c r="G87" s="34"/>
      <c r="H87" s="34"/>
    </row>
    <row r="88" spans="6:8" x14ac:dyDescent="0.3">
      <c r="F88" s="34"/>
      <c r="G88" s="34"/>
      <c r="H88" s="34"/>
    </row>
    <row r="89" spans="6:8" x14ac:dyDescent="0.3">
      <c r="F89" s="34"/>
      <c r="G89" s="34"/>
      <c r="H89" s="34"/>
    </row>
    <row r="90" spans="6:8" x14ac:dyDescent="0.3">
      <c r="F90" s="34"/>
      <c r="G90" s="34"/>
      <c r="H90" s="34"/>
    </row>
    <row r="91" spans="6:8" x14ac:dyDescent="0.3">
      <c r="F91" s="34"/>
      <c r="G91" s="34"/>
      <c r="H91" s="34"/>
    </row>
    <row r="92" spans="6:8" x14ac:dyDescent="0.3">
      <c r="F92" s="34"/>
      <c r="G92" s="34"/>
      <c r="H92" s="34"/>
    </row>
    <row r="93" spans="6:8" x14ac:dyDescent="0.3">
      <c r="F93" s="34"/>
      <c r="G93" s="34"/>
      <c r="H93" s="34"/>
    </row>
    <row r="94" spans="6:8" x14ac:dyDescent="0.3">
      <c r="F94" s="34"/>
      <c r="G94" s="34"/>
      <c r="H94" s="34"/>
    </row>
    <row r="95" spans="6:8" x14ac:dyDescent="0.3">
      <c r="F95" s="34"/>
      <c r="G95" s="34"/>
      <c r="H95" s="34"/>
    </row>
    <row r="96" spans="6:8" x14ac:dyDescent="0.3">
      <c r="F96" s="34"/>
      <c r="G96" s="34"/>
      <c r="H96" s="34"/>
    </row>
    <row r="97" spans="6:8" x14ac:dyDescent="0.3">
      <c r="F97" s="34"/>
      <c r="G97" s="34"/>
      <c r="H97" s="34"/>
    </row>
    <row r="98" spans="6:8" x14ac:dyDescent="0.3">
      <c r="F98" s="34"/>
      <c r="G98" s="34"/>
      <c r="H98" s="34"/>
    </row>
    <row r="99" spans="6:8" x14ac:dyDescent="0.3">
      <c r="F99" s="34"/>
      <c r="G99" s="34"/>
      <c r="H99" s="34"/>
    </row>
    <row r="100" spans="6:8" x14ac:dyDescent="0.3">
      <c r="F100" s="34"/>
      <c r="G100" s="34"/>
      <c r="H100" s="34"/>
    </row>
    <row r="101" spans="6:8" x14ac:dyDescent="0.3">
      <c r="F101" s="34"/>
      <c r="G101" s="34"/>
      <c r="H101" s="34"/>
    </row>
    <row r="102" spans="6:8" x14ac:dyDescent="0.3">
      <c r="F102" s="34"/>
      <c r="G102" s="34"/>
      <c r="H102" s="34"/>
    </row>
    <row r="103" spans="6:8" x14ac:dyDescent="0.3">
      <c r="F103" s="34"/>
      <c r="G103" s="34"/>
      <c r="H103" s="34"/>
    </row>
    <row r="104" spans="6:8" x14ac:dyDescent="0.3">
      <c r="F104" s="34"/>
      <c r="G104" s="34"/>
      <c r="H104" s="34"/>
    </row>
    <row r="105" spans="6:8" x14ac:dyDescent="0.3">
      <c r="F105" s="34"/>
      <c r="G105" s="34"/>
      <c r="H105" s="34"/>
    </row>
    <row r="106" spans="6:8" x14ac:dyDescent="0.3">
      <c r="F106" s="34"/>
      <c r="G106" s="34"/>
      <c r="H106" s="34"/>
    </row>
    <row r="107" spans="6:8" x14ac:dyDescent="0.3">
      <c r="F107" s="34"/>
      <c r="G107" s="34"/>
      <c r="H107" s="34"/>
    </row>
    <row r="108" spans="6:8" x14ac:dyDescent="0.3">
      <c r="F108" s="34"/>
      <c r="G108" s="34"/>
      <c r="H108" s="34"/>
    </row>
    <row r="109" spans="6:8" x14ac:dyDescent="0.3">
      <c r="F109" s="34"/>
      <c r="G109" s="34"/>
      <c r="H109" s="34"/>
    </row>
    <row r="110" spans="6:8" x14ac:dyDescent="0.3">
      <c r="F110" s="34"/>
      <c r="G110" s="34"/>
      <c r="H110" s="34"/>
    </row>
    <row r="111" spans="6:8" x14ac:dyDescent="0.3">
      <c r="F111" s="34"/>
      <c r="G111" s="34"/>
      <c r="H111" s="34"/>
    </row>
    <row r="112" spans="6:8" x14ac:dyDescent="0.3">
      <c r="F112" s="34"/>
      <c r="G112" s="34"/>
      <c r="H112" s="34"/>
    </row>
    <row r="113" spans="6:8" x14ac:dyDescent="0.3">
      <c r="F113" s="34"/>
      <c r="G113" s="34"/>
      <c r="H113" s="34"/>
    </row>
    <row r="114" spans="6:8" x14ac:dyDescent="0.3">
      <c r="F114" s="34"/>
      <c r="G114" s="34"/>
      <c r="H114" s="34"/>
    </row>
    <row r="115" spans="6:8" x14ac:dyDescent="0.3">
      <c r="F115" s="34"/>
      <c r="G115" s="34"/>
      <c r="H115" s="34"/>
    </row>
    <row r="116" spans="6:8" x14ac:dyDescent="0.3">
      <c r="F116" s="34"/>
      <c r="G116" s="34"/>
      <c r="H116" s="34"/>
    </row>
    <row r="117" spans="6:8" x14ac:dyDescent="0.3">
      <c r="F117" s="34"/>
      <c r="G117" s="34"/>
      <c r="H117" s="34"/>
    </row>
    <row r="118" spans="6:8" x14ac:dyDescent="0.3">
      <c r="F118" s="34"/>
      <c r="G118" s="34"/>
      <c r="H118" s="34"/>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row>
    <row r="580" spans="6:8" x14ac:dyDescent="0.3">
      <c r="F580" s="34"/>
    </row>
    <row r="581" spans="6:8" x14ac:dyDescent="0.3">
      <c r="F581" s="34"/>
    </row>
    <row r="582" spans="6:8" x14ac:dyDescent="0.3">
      <c r="F582" s="34"/>
    </row>
    <row r="583" spans="6:8" x14ac:dyDescent="0.3">
      <c r="F583" s="34"/>
    </row>
    <row r="584" spans="6:8" x14ac:dyDescent="0.3">
      <c r="F584" s="34"/>
    </row>
    <row r="585" spans="6:8" x14ac:dyDescent="0.3">
      <c r="F585" s="34"/>
    </row>
    <row r="586" spans="6:8" x14ac:dyDescent="0.3">
      <c r="F586" s="34"/>
    </row>
    <row r="587" spans="6:8" x14ac:dyDescent="0.3">
      <c r="F587" s="34"/>
    </row>
    <row r="588" spans="6:8" x14ac:dyDescent="0.3">
      <c r="F588" s="34"/>
    </row>
    <row r="589" spans="6:8" x14ac:dyDescent="0.3">
      <c r="F589" s="34"/>
    </row>
    <row r="590" spans="6:8" x14ac:dyDescent="0.3">
      <c r="F590" s="34"/>
    </row>
    <row r="591" spans="6:8" x14ac:dyDescent="0.3">
      <c r="F591" s="34"/>
    </row>
    <row r="592" spans="6:8" x14ac:dyDescent="0.3">
      <c r="F592" s="34"/>
    </row>
    <row r="593" spans="6:6" x14ac:dyDescent="0.3">
      <c r="F593" s="34"/>
    </row>
    <row r="594" spans="6:6" x14ac:dyDescent="0.3">
      <c r="F594" s="34"/>
    </row>
    <row r="595" spans="6:6" x14ac:dyDescent="0.3">
      <c r="F595" s="34"/>
    </row>
    <row r="596" spans="6:6" x14ac:dyDescent="0.3">
      <c r="F596" s="34"/>
    </row>
    <row r="597" spans="6:6" x14ac:dyDescent="0.3">
      <c r="F597" s="34"/>
    </row>
    <row r="598" spans="6:6" x14ac:dyDescent="0.3">
      <c r="F598" s="34"/>
    </row>
    <row r="599" spans="6:6" x14ac:dyDescent="0.3">
      <c r="F599" s="34"/>
    </row>
    <row r="600" spans="6:6" x14ac:dyDescent="0.3">
      <c r="F600" s="34"/>
    </row>
  </sheetData>
  <phoneticPr fontId="0" type="noConversion"/>
  <pageMargins left="0.75" right="0.75" top="1" bottom="1" header="0.5" footer="0.5"/>
  <pageSetup orientation="portrait"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4"/>
  <sheetViews>
    <sheetView workbookViewId="0">
      <pane ySplit="6" topLeftCell="A30" activePane="bottomLeft" state="frozen"/>
      <selection pane="bottomLeft" activeCell="C38" sqref="C38"/>
    </sheetView>
  </sheetViews>
  <sheetFormatPr defaultColWidth="9.08984375" defaultRowHeight="13" x14ac:dyDescent="0.3"/>
  <cols>
    <col min="1" max="1" width="50.81640625" style="27" customWidth="1"/>
    <col min="2" max="2" width="8.6328125" style="27" customWidth="1"/>
    <col min="3" max="3" width="9.6328125" style="17" customWidth="1"/>
    <col min="4" max="4" width="8.6328125" style="17" customWidth="1"/>
    <col min="5" max="5" width="9.6328125" style="17" customWidth="1"/>
    <col min="6" max="7" width="7.6328125" style="17" customWidth="1"/>
    <col min="8" max="8" width="11.6328125" style="17" customWidth="1"/>
    <col min="9" max="10" width="11.90625" style="17" customWidth="1"/>
    <col min="11" max="11" width="9" style="17" bestFit="1" customWidth="1"/>
    <col min="12" max="13" width="9.6328125" style="17" customWidth="1"/>
    <col min="14" max="15" width="9.08984375" style="17"/>
    <col min="16" max="16" width="14.54296875" style="17" customWidth="1"/>
    <col min="17" max="16384" width="9.08984375" style="17"/>
  </cols>
  <sheetData>
    <row r="1" spans="1:23" x14ac:dyDescent="0.3">
      <c r="A1" s="61" t="s">
        <v>146</v>
      </c>
      <c r="B1" s="17" t="str">
        <f>model</f>
        <v>ME Grain &amp; Pulse</v>
      </c>
    </row>
    <row r="4" spans="1:23" x14ac:dyDescent="0.3">
      <c r="A4" s="16" t="s">
        <v>204</v>
      </c>
      <c r="B4" s="8" t="s">
        <v>92</v>
      </c>
      <c r="C4" s="65">
        <f>scorn</f>
        <v>0</v>
      </c>
      <c r="D4" s="4" t="s">
        <v>93</v>
      </c>
    </row>
    <row r="5" spans="1:23" x14ac:dyDescent="0.3">
      <c r="H5" s="28"/>
    </row>
    <row r="6" spans="1:23"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23" x14ac:dyDescent="0.3">
      <c r="A7" s="13"/>
      <c r="B7" s="29"/>
      <c r="C7" s="30"/>
      <c r="D7" s="31"/>
      <c r="E7" s="31"/>
      <c r="F7" s="18"/>
      <c r="G7" s="18"/>
      <c r="H7" s="32"/>
      <c r="I7" s="31"/>
      <c r="J7" s="31"/>
      <c r="K7" s="31"/>
      <c r="L7" s="31"/>
      <c r="M7" s="31"/>
    </row>
    <row r="8" spans="1:23" x14ac:dyDescent="0.3">
      <c r="A8" s="14" t="s">
        <v>3</v>
      </c>
    </row>
    <row r="9" spans="1:23" x14ac:dyDescent="0.3">
      <c r="A9" s="6" t="str">
        <f>Data!A285</f>
        <v>Large tractor (160 hp) - MEDIUM SIZE</v>
      </c>
      <c r="B9" s="33">
        <f>Data!B285</f>
        <v>1</v>
      </c>
      <c r="C9" s="34" t="str">
        <f>Data!C285</f>
        <v>tractor</v>
      </c>
      <c r="D9" s="109">
        <f>Data!D292*Data!H6</f>
        <v>0</v>
      </c>
      <c r="E9" s="109">
        <f>D9*B9</f>
        <v>0</v>
      </c>
      <c r="F9" s="109">
        <f>Data!I292*E9</f>
        <v>0</v>
      </c>
      <c r="G9" s="34">
        <f>Data!F292</f>
        <v>20</v>
      </c>
      <c r="H9" s="112">
        <f>(E9*(_int_inv_*(1+_int_inv_)^G9)/((1+_int_inv_)^G9-1))-(F9*_int_inv_/((1+_int_inv_)^G9-1))</f>
        <v>0</v>
      </c>
      <c r="I9" s="35">
        <f>Data!H292</f>
        <v>1.6659574468085105E-2</v>
      </c>
      <c r="J9" s="109">
        <f>E9*I9</f>
        <v>0</v>
      </c>
      <c r="K9" s="36">
        <f>_tax_ins_</f>
        <v>6.7999999999999996E-3</v>
      </c>
      <c r="L9" s="109">
        <f>E9*K9</f>
        <v>0</v>
      </c>
      <c r="M9" s="109">
        <f>H9+J9+L9</f>
        <v>0</v>
      </c>
      <c r="N9" s="34"/>
      <c r="O9" s="34"/>
      <c r="P9" s="34"/>
      <c r="Q9" s="34"/>
    </row>
    <row r="10" spans="1:23" x14ac:dyDescent="0.3">
      <c r="A10" s="6"/>
      <c r="B10" s="33"/>
      <c r="C10" s="34"/>
      <c r="D10" s="109"/>
      <c r="E10" s="109"/>
      <c r="F10" s="109"/>
      <c r="G10" s="34"/>
      <c r="H10" s="112"/>
      <c r="I10" s="35"/>
      <c r="J10" s="109"/>
      <c r="K10" s="36"/>
      <c r="L10" s="109"/>
      <c r="M10" s="109"/>
      <c r="N10" s="34"/>
      <c r="O10" s="34"/>
      <c r="P10" s="34"/>
      <c r="Q10" s="34"/>
    </row>
    <row r="11" spans="1:23" x14ac:dyDescent="0.3">
      <c r="A11" s="14" t="s">
        <v>35</v>
      </c>
      <c r="D11" s="110"/>
      <c r="E11" s="110"/>
      <c r="F11" s="109"/>
      <c r="H11" s="112"/>
      <c r="J11" s="110"/>
      <c r="L11" s="110"/>
      <c r="M11" s="109"/>
    </row>
    <row r="12" spans="1:23" x14ac:dyDescent="0.3">
      <c r="A12" s="6" t="str">
        <f>Data!A297</f>
        <v>Bulk Body Truck(s) - SMALL SIZE</v>
      </c>
      <c r="B12" s="247">
        <v>3</v>
      </c>
      <c r="C12" s="34" t="str">
        <f>Data!C297</f>
        <v>truck</v>
      </c>
      <c r="D12" s="109">
        <f>Data!D297*Data!J6</f>
        <v>0</v>
      </c>
      <c r="E12" s="109">
        <f>D12*B12</f>
        <v>0</v>
      </c>
      <c r="F12" s="109">
        <f>Data!I297*E12</f>
        <v>0</v>
      </c>
      <c r="G12" s="34">
        <f>Data!F297</f>
        <v>40</v>
      </c>
      <c r="H12" s="112">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row>
    <row r="13" spans="1:23" x14ac:dyDescent="0.3">
      <c r="A13" s="6" t="str">
        <f>Data!A304</f>
        <v>Bulk Body Trucks</v>
      </c>
      <c r="B13" s="247">
        <v>2</v>
      </c>
      <c r="C13" s="34" t="str">
        <f>Data!C304</f>
        <v>truck</v>
      </c>
      <c r="D13" s="109">
        <f>Data!D304*Data!L6</f>
        <v>0</v>
      </c>
      <c r="E13" s="109">
        <f>D13*B13</f>
        <v>0</v>
      </c>
      <c r="F13" s="109">
        <f>Data!I304*E13</f>
        <v>0</v>
      </c>
      <c r="G13" s="34">
        <f>Data!F304</f>
        <v>10</v>
      </c>
      <c r="H13" s="112">
        <f>(E13*(_int_inv_*(1+_int_inv_)^G13)/((1+_int_inv_)^G13-1))-(F13*_int_inv_/((1+_int_inv_)^G13-1))</f>
        <v>0</v>
      </c>
      <c r="I13" s="35">
        <f>Data!H304</f>
        <v>4.4999999999999998E-2</v>
      </c>
      <c r="J13" s="109">
        <f>E13*I13</f>
        <v>0</v>
      </c>
      <c r="K13" s="36">
        <f>_tax_ins_</f>
        <v>6.7999999999999996E-3</v>
      </c>
      <c r="L13" s="109">
        <f>E13*K13</f>
        <v>0</v>
      </c>
      <c r="M13" s="109">
        <f>H13+J13+L13</f>
        <v>0</v>
      </c>
      <c r="N13" s="34"/>
      <c r="O13" s="34"/>
      <c r="P13" s="34"/>
      <c r="Q13" s="34"/>
      <c r="R13" s="34"/>
    </row>
    <row r="14" spans="1:23" x14ac:dyDescent="0.3">
      <c r="B14" s="33"/>
      <c r="C14" s="34"/>
      <c r="D14" s="109"/>
      <c r="E14" s="109"/>
      <c r="F14" s="109"/>
      <c r="G14" s="34"/>
      <c r="H14" s="112"/>
      <c r="I14" s="35"/>
      <c r="J14" s="109"/>
      <c r="K14" s="35"/>
      <c r="L14" s="109"/>
      <c r="M14" s="109"/>
      <c r="N14" s="32"/>
      <c r="O14" s="34"/>
      <c r="P14" s="34"/>
      <c r="Q14" s="34"/>
      <c r="R14" s="34"/>
      <c r="S14" s="34"/>
      <c r="T14" s="34"/>
      <c r="U14" s="34"/>
      <c r="V14" s="34"/>
    </row>
    <row r="15" spans="1:23" x14ac:dyDescent="0.3">
      <c r="A15" s="14" t="s">
        <v>6</v>
      </c>
      <c r="B15" s="33"/>
      <c r="C15" s="34"/>
      <c r="D15" s="109"/>
      <c r="E15" s="109"/>
      <c r="F15" s="109"/>
      <c r="G15" s="34"/>
      <c r="H15" s="112"/>
      <c r="I15" s="35"/>
      <c r="J15" s="109"/>
      <c r="K15" s="35"/>
      <c r="L15" s="109"/>
      <c r="M15" s="109"/>
      <c r="N15" s="34"/>
      <c r="O15" s="34"/>
      <c r="P15" s="34"/>
      <c r="Q15" s="34"/>
      <c r="R15" s="34"/>
      <c r="S15" s="34"/>
      <c r="T15" s="34"/>
      <c r="U15" s="34"/>
      <c r="V15" s="34"/>
    </row>
    <row r="16" spans="1:23" x14ac:dyDescent="0.3">
      <c r="A16" s="6" t="str">
        <f>Data!A313</f>
        <v>Chisel Plow (15 ft) - SMALL SIZE</v>
      </c>
      <c r="B16" s="33">
        <f>Data!B313</f>
        <v>0</v>
      </c>
      <c r="C16" s="34" t="str">
        <f>Data!C313</f>
        <v>chisel plow</v>
      </c>
      <c r="D16" s="109">
        <f>Data!D313*Data!P6</f>
        <v>0</v>
      </c>
      <c r="E16" s="109">
        <f>D16*B16</f>
        <v>0</v>
      </c>
      <c r="F16" s="109">
        <f>Data!I313*E16</f>
        <v>0</v>
      </c>
      <c r="G16" s="34">
        <f>Data!F313</f>
        <v>40</v>
      </c>
      <c r="H16" s="112">
        <f>(E16*(_int_inv_*(1+_int_inv_)^G16)/((1+_int_inv_)^G16-1))-(F16*_int_inv_/((1+_int_inv_)^G16-1))</f>
        <v>0</v>
      </c>
      <c r="I16" s="35">
        <f>Data!H313</f>
        <v>2.433684210526316E-2</v>
      </c>
      <c r="J16" s="109">
        <f>E16*I16</f>
        <v>0</v>
      </c>
      <c r="K16" s="36">
        <f>_tax_ins_</f>
        <v>6.7999999999999996E-3</v>
      </c>
      <c r="L16" s="109">
        <f>E16*K16</f>
        <v>0</v>
      </c>
      <c r="M16" s="109">
        <f>H16+J16+L16</f>
        <v>0</v>
      </c>
      <c r="N16" s="34"/>
      <c r="O16" s="34"/>
      <c r="P16" s="34"/>
      <c r="Q16" s="34"/>
      <c r="R16" s="34"/>
      <c r="S16" s="34"/>
      <c r="T16" s="34"/>
      <c r="U16" s="34"/>
      <c r="V16" s="34"/>
      <c r="W16" s="34"/>
    </row>
    <row r="17" spans="1:23" x14ac:dyDescent="0.3">
      <c r="A17" s="6" t="str">
        <f>Data!A316</f>
        <v>Disk Harrow (12 ft) - SMALL SIZE</v>
      </c>
      <c r="B17" s="33">
        <f>Data!B316</f>
        <v>0</v>
      </c>
      <c r="C17" s="34" t="str">
        <f>Data!C316</f>
        <v>disk harrow</v>
      </c>
      <c r="D17" s="109">
        <f>Data!D316*Data!P6</f>
        <v>0</v>
      </c>
      <c r="E17" s="109">
        <f>D17*B17</f>
        <v>0</v>
      </c>
      <c r="F17" s="109">
        <f>Data!I316*E17</f>
        <v>0</v>
      </c>
      <c r="G17" s="34">
        <f>Data!F316</f>
        <v>50</v>
      </c>
      <c r="H17" s="112">
        <f>(E17*(_int_inv_*(1+_int_inv_)^G17)/((1+_int_inv_)^G17-1))-(F17*_int_inv_/((1+_int_inv_)^G17-1))</f>
        <v>0</v>
      </c>
      <c r="I17" s="35">
        <f>Data!H316</f>
        <v>2.2825263157894737E-2</v>
      </c>
      <c r="J17" s="109">
        <f>E17*I17</f>
        <v>0</v>
      </c>
      <c r="K17" s="36">
        <f>_tax_ins_</f>
        <v>6.7999999999999996E-3</v>
      </c>
      <c r="L17" s="109">
        <f>E17*K17</f>
        <v>0</v>
      </c>
      <c r="M17" s="109">
        <f>H17+J17+L17</f>
        <v>0</v>
      </c>
      <c r="N17" s="34"/>
      <c r="O17" s="34"/>
      <c r="P17" s="34"/>
      <c r="Q17" s="34"/>
      <c r="R17" s="34"/>
      <c r="S17" s="34"/>
      <c r="T17" s="34"/>
      <c r="U17" s="34"/>
      <c r="V17" s="34"/>
      <c r="W17" s="34"/>
    </row>
    <row r="18" spans="1:23" ht="13.25" customHeight="1" x14ac:dyDescent="0.3">
      <c r="A18" s="6" t="str">
        <f>Data!A319</f>
        <v>Soil Conditioner/Field Cultivator (18 ft) - SMALL SIZE</v>
      </c>
      <c r="B18" s="33">
        <f>Data!B319</f>
        <v>0</v>
      </c>
      <c r="C18" s="34" t="str">
        <f>Data!C319</f>
        <v>condit.</v>
      </c>
      <c r="D18" s="109">
        <f>Data!D319*Data!P6</f>
        <v>0</v>
      </c>
      <c r="E18" s="109">
        <f>D18*B18</f>
        <v>0</v>
      </c>
      <c r="F18" s="109">
        <f>Data!I319*E18</f>
        <v>0</v>
      </c>
      <c r="G18" s="34">
        <f>Data!F319</f>
        <v>40</v>
      </c>
      <c r="H18" s="112">
        <f>(E18*(_int_inv_*(1+_int_inv_)^G18)/((1+_int_inv_)^G18-1))-(F18*_int_inv_/((1+_int_inv_)^G18-1))</f>
        <v>0</v>
      </c>
      <c r="I18" s="35">
        <f>Data!H319</f>
        <v>3.245E-2</v>
      </c>
      <c r="J18" s="109">
        <f>E18*I18</f>
        <v>0</v>
      </c>
      <c r="K18" s="36">
        <f>_tax_ins_</f>
        <v>6.7999999999999996E-3</v>
      </c>
      <c r="L18" s="109">
        <f>E18*K18</f>
        <v>0</v>
      </c>
      <c r="M18" s="109">
        <f>H18+J18+L18</f>
        <v>0</v>
      </c>
      <c r="N18" s="34"/>
      <c r="O18" s="34"/>
      <c r="P18" s="34"/>
      <c r="Q18" s="34"/>
      <c r="R18" s="34"/>
      <c r="S18" s="34"/>
      <c r="T18" s="34"/>
      <c r="U18" s="34"/>
      <c r="V18" s="34"/>
      <c r="W18" s="34"/>
    </row>
    <row r="19" spans="1:23" x14ac:dyDescent="0.3">
      <c r="B19" s="33"/>
      <c r="C19" s="34"/>
      <c r="D19" s="109"/>
      <c r="E19" s="109"/>
      <c r="F19" s="109" t="s">
        <v>124</v>
      </c>
      <c r="G19" s="34"/>
      <c r="H19" s="112"/>
      <c r="I19" s="35"/>
      <c r="J19" s="109"/>
      <c r="K19" s="36"/>
      <c r="L19" s="109"/>
      <c r="M19" s="109"/>
      <c r="N19" s="34"/>
      <c r="O19" s="34"/>
      <c r="P19" s="34"/>
      <c r="Q19" s="34"/>
      <c r="R19" s="34"/>
      <c r="S19" s="34"/>
      <c r="T19" s="34"/>
      <c r="U19" s="34"/>
      <c r="V19" s="34"/>
    </row>
    <row r="20" spans="1:23" x14ac:dyDescent="0.3">
      <c r="A20" s="14" t="s">
        <v>4</v>
      </c>
      <c r="B20" s="33"/>
      <c r="C20" s="34"/>
      <c r="D20" s="109"/>
      <c r="E20" s="109"/>
      <c r="F20" s="109"/>
      <c r="G20" s="34"/>
      <c r="H20" s="112"/>
      <c r="I20" s="35"/>
      <c r="J20" s="109"/>
      <c r="K20" s="35"/>
      <c r="L20" s="109"/>
      <c r="M20" s="109"/>
      <c r="N20" s="34"/>
      <c r="O20" s="34"/>
      <c r="P20" s="34"/>
      <c r="Q20" s="34"/>
      <c r="R20" s="34"/>
      <c r="S20" s="34"/>
      <c r="T20" s="34"/>
      <c r="U20" s="34"/>
      <c r="V20" s="34"/>
    </row>
    <row r="21" spans="1:23" x14ac:dyDescent="0.3">
      <c r="A21" s="6" t="str">
        <f>Data!A334</f>
        <v xml:space="preserve">Fertilizer Spreader </v>
      </c>
      <c r="B21" s="247">
        <v>1</v>
      </c>
      <c r="C21" s="34" t="str">
        <f>Data!C334</f>
        <v>fert.spread</v>
      </c>
      <c r="D21" s="109">
        <f>Data!D334*Data!N6</f>
        <v>0</v>
      </c>
      <c r="E21" s="109">
        <f>D21*B21</f>
        <v>0</v>
      </c>
      <c r="F21" s="109">
        <f>Data!I334*E21</f>
        <v>0</v>
      </c>
      <c r="G21" s="60">
        <f>Data!F334</f>
        <v>10</v>
      </c>
      <c r="H21" s="112">
        <f>(E21*(_int_inv_*(1+_int_inv_)^G21)/((1+_int_inv_)^G21-1))-(F21*_int_inv_/((1+_int_inv_)^G21-1))</f>
        <v>0</v>
      </c>
      <c r="I21" s="35">
        <f>Data!H334</f>
        <v>4.4999999999999998E-2</v>
      </c>
      <c r="J21" s="109">
        <f>E21*I21</f>
        <v>0</v>
      </c>
      <c r="K21" s="36">
        <f>_tax_ins_</f>
        <v>6.7999999999999996E-3</v>
      </c>
      <c r="L21" s="109">
        <f>E21*K21</f>
        <v>0</v>
      </c>
      <c r="M21" s="109">
        <f>H21+J21+L21</f>
        <v>0</v>
      </c>
    </row>
    <row r="22" spans="1:23" x14ac:dyDescent="0.3">
      <c r="A22" s="6" t="str">
        <f>Data!A346</f>
        <v xml:space="preserve">Corn Planter </v>
      </c>
      <c r="B22" s="33">
        <f>Data!B346</f>
        <v>0</v>
      </c>
      <c r="C22" s="34" t="str">
        <f>Data!C346</f>
        <v>planter</v>
      </c>
      <c r="D22" s="109">
        <f>Data!D346*Data!AT6</f>
        <v>0</v>
      </c>
      <c r="E22" s="109">
        <f>D22*B22</f>
        <v>0</v>
      </c>
      <c r="F22" s="109">
        <f>Data!I346*E22</f>
        <v>0</v>
      </c>
      <c r="G22" s="60">
        <f>Data!F346</f>
        <v>10</v>
      </c>
      <c r="H22" s="112">
        <f>(E22*(_int_inv_*(1+_int_inv_)^G22)/((1+_int_inv_)^G22-1))-(F22*_int_inv_/((1+_int_inv_)^G22-1))</f>
        <v>0</v>
      </c>
      <c r="I22" s="35">
        <f>Data!H346</f>
        <v>4.4999999999999998E-2</v>
      </c>
      <c r="J22" s="109">
        <f>E22*I22</f>
        <v>0</v>
      </c>
      <c r="K22" s="36">
        <f>_tax_ins_</f>
        <v>6.7999999999999996E-3</v>
      </c>
      <c r="L22" s="109">
        <f>E22*K22</f>
        <v>0</v>
      </c>
      <c r="M22" s="109">
        <f>H22+J22+L22</f>
        <v>0</v>
      </c>
    </row>
    <row r="23" spans="1:23" x14ac:dyDescent="0.3">
      <c r="B23" s="33"/>
      <c r="C23" s="34"/>
      <c r="D23" s="109"/>
      <c r="E23" s="109"/>
      <c r="F23" s="109"/>
      <c r="G23" s="34"/>
      <c r="H23" s="112"/>
      <c r="I23" s="35"/>
      <c r="J23" s="109"/>
      <c r="K23" s="35"/>
      <c r="L23" s="109"/>
      <c r="M23" s="109"/>
      <c r="N23" s="34"/>
      <c r="O23" s="34"/>
      <c r="P23" s="34"/>
      <c r="Q23" s="34"/>
      <c r="R23" s="34"/>
      <c r="S23" s="34"/>
      <c r="T23" s="34"/>
      <c r="U23" s="34"/>
      <c r="V23" s="34"/>
    </row>
    <row r="24" spans="1:23" x14ac:dyDescent="0.3">
      <c r="A24" s="14" t="s">
        <v>7</v>
      </c>
      <c r="B24" s="33"/>
      <c r="C24" s="34"/>
      <c r="D24" s="109"/>
      <c r="E24" s="109"/>
      <c r="F24" s="109"/>
      <c r="G24" s="34"/>
      <c r="H24" s="112"/>
      <c r="I24" s="35"/>
      <c r="J24" s="109"/>
      <c r="K24" s="36"/>
      <c r="L24" s="109"/>
      <c r="M24" s="109"/>
      <c r="N24" s="34"/>
      <c r="O24" s="34"/>
      <c r="P24" s="34"/>
      <c r="Q24" s="34"/>
      <c r="R24" s="34"/>
      <c r="S24" s="34"/>
      <c r="T24" s="34"/>
      <c r="U24" s="34"/>
      <c r="V24" s="34"/>
    </row>
    <row r="25" spans="1:23" ht="13.25" customHeight="1" x14ac:dyDescent="0.3">
      <c r="A25" s="6" t="str">
        <f>Data!A353</f>
        <v>Sprayer (Tractor Mounted Boom, 50 ft) - SMALL SIZE</v>
      </c>
      <c r="B25" s="247">
        <v>1</v>
      </c>
      <c r="C25" s="34" t="str">
        <f>Data!C353</f>
        <v>sprayer</v>
      </c>
      <c r="D25" s="109">
        <f>Data!D353*Data!P6</f>
        <v>0</v>
      </c>
      <c r="E25" s="109">
        <f>D25*B25</f>
        <v>0</v>
      </c>
      <c r="F25" s="109">
        <f>Data!I353*E25</f>
        <v>0</v>
      </c>
      <c r="G25" s="34">
        <f>Data!F353</f>
        <v>50</v>
      </c>
      <c r="H25" s="112">
        <f>(E25*(_int_inv_*(1+_int_inv_)^G25)/((1+_int_inv_)^G25-1))-(F25*_int_inv_/((1+_int_inv_)^G25-1))</f>
        <v>0</v>
      </c>
      <c r="I25" s="35">
        <f>Data!H353</f>
        <v>4.4999999999999998E-2</v>
      </c>
      <c r="J25" s="109">
        <f>E25*I25</f>
        <v>0</v>
      </c>
      <c r="K25" s="36">
        <f>_tax_ins_</f>
        <v>6.7999999999999996E-3</v>
      </c>
      <c r="L25" s="109">
        <f>E25*K25</f>
        <v>0</v>
      </c>
      <c r="M25" s="109">
        <f>H25+J25+L25</f>
        <v>0</v>
      </c>
      <c r="N25" s="34"/>
      <c r="O25" s="34"/>
      <c r="P25" s="34"/>
      <c r="Q25" s="34"/>
      <c r="R25" s="34"/>
      <c r="S25" s="34"/>
      <c r="T25" s="34"/>
      <c r="U25" s="34"/>
      <c r="V25" s="34"/>
    </row>
    <row r="26" spans="1:23" x14ac:dyDescent="0.3">
      <c r="B26" s="33"/>
      <c r="C26" s="34"/>
      <c r="D26" s="109"/>
      <c r="E26" s="109"/>
      <c r="F26" s="109"/>
      <c r="G26" s="34"/>
      <c r="H26" s="112"/>
      <c r="I26" s="35"/>
      <c r="J26" s="109"/>
      <c r="K26" s="36"/>
      <c r="L26" s="109"/>
      <c r="M26" s="109"/>
      <c r="N26" s="34"/>
      <c r="O26" s="34"/>
      <c r="P26" s="34"/>
      <c r="Q26" s="34"/>
      <c r="R26" s="34"/>
      <c r="S26" s="34"/>
      <c r="T26" s="34"/>
      <c r="U26" s="34"/>
      <c r="V26" s="34"/>
    </row>
    <row r="27" spans="1:23" x14ac:dyDescent="0.3">
      <c r="A27" s="14" t="s">
        <v>9</v>
      </c>
      <c r="B27" s="33"/>
      <c r="C27" s="34"/>
      <c r="D27" s="109"/>
      <c r="E27" s="109"/>
      <c r="F27" s="109"/>
      <c r="G27" s="34"/>
      <c r="H27" s="112"/>
      <c r="I27" s="35"/>
      <c r="J27" s="109"/>
      <c r="K27" s="36"/>
      <c r="L27" s="109"/>
      <c r="M27" s="109"/>
      <c r="N27" s="34"/>
      <c r="O27" s="34"/>
      <c r="P27" s="34"/>
      <c r="Q27" s="34"/>
      <c r="R27" s="34"/>
      <c r="S27" s="34"/>
      <c r="T27" s="34"/>
      <c r="U27" s="34"/>
      <c r="V27" s="34"/>
    </row>
    <row r="28" spans="1:23" x14ac:dyDescent="0.3">
      <c r="A28" s="6" t="str">
        <f>Data!A371</f>
        <v>Chopper (Self-propelled)</v>
      </c>
      <c r="B28" s="247">
        <v>1</v>
      </c>
      <c r="C28" s="34" t="str">
        <f>Data!C371</f>
        <v>chopper</v>
      </c>
      <c r="D28" s="109">
        <f>Data!D371*IF(GrzOwnC!B19=1,Data!V6,Data!X6)</f>
        <v>0</v>
      </c>
      <c r="E28" s="109">
        <f>D28*B28</f>
        <v>0</v>
      </c>
      <c r="F28" s="109">
        <f>Data!I371*E28</f>
        <v>0</v>
      </c>
      <c r="G28" s="34">
        <f>Data!F371</f>
        <v>10</v>
      </c>
      <c r="H28" s="112">
        <f>(E28*(_int_inv_*(1+_int_inv_)^G28)/((1+_int_inv_)^G28-1))-(F28*_int_inv_/((1+_int_inv_)^G28-1))</f>
        <v>0</v>
      </c>
      <c r="I28" s="35">
        <f>Data!H371</f>
        <v>4.4999999999999998E-2</v>
      </c>
      <c r="J28" s="109">
        <f>E28*I28</f>
        <v>0</v>
      </c>
      <c r="K28" s="36">
        <f>_tax_ins_</f>
        <v>6.7999999999999996E-3</v>
      </c>
      <c r="L28" s="109">
        <f>E28*K28</f>
        <v>0</v>
      </c>
      <c r="M28" s="109">
        <f>H28+J28+L28</f>
        <v>0</v>
      </c>
      <c r="N28" s="34"/>
      <c r="O28" s="34"/>
      <c r="P28" s="34"/>
      <c r="Q28" s="34"/>
      <c r="R28" s="34"/>
      <c r="S28" s="34"/>
      <c r="T28" s="34"/>
      <c r="U28" s="34"/>
      <c r="V28" s="34"/>
    </row>
    <row r="29" spans="1:23" ht="13.25" customHeight="1" x14ac:dyDescent="0.3">
      <c r="A29" s="6" t="str">
        <f>Data!A373</f>
        <v xml:space="preserve">     Chopper head (Pull-behind)</v>
      </c>
      <c r="B29" s="33">
        <f>Data!B373</f>
        <v>0</v>
      </c>
      <c r="C29" s="34" t="str">
        <f>Data!C373</f>
        <v>chop.crn.hd.</v>
      </c>
      <c r="D29" s="109">
        <f>Data!D373*Data!D6</f>
        <v>0</v>
      </c>
      <c r="E29" s="109">
        <f>D29*B29</f>
        <v>0</v>
      </c>
      <c r="F29" s="109">
        <f>Data!I373*E29</f>
        <v>0</v>
      </c>
      <c r="G29" s="34">
        <f>Data!F373</f>
        <v>10</v>
      </c>
      <c r="H29" s="112">
        <f>(E29*(_int_inv_*(1+_int_inv_)^G29)/((1+_int_inv_)^G29-1))-(F29*_int_inv_/((1+_int_inv_)^G29-1))</f>
        <v>0</v>
      </c>
      <c r="I29" s="35">
        <f>Data!H373</f>
        <v>4.4999999999999998E-2</v>
      </c>
      <c r="J29" s="109">
        <f>E29*I29</f>
        <v>0</v>
      </c>
      <c r="K29" s="36">
        <f>_tax_ins_</f>
        <v>6.7999999999999996E-3</v>
      </c>
      <c r="L29" s="109">
        <f>E29*K29</f>
        <v>0</v>
      </c>
      <c r="M29" s="109">
        <f>H29+J29+L29</f>
        <v>0</v>
      </c>
      <c r="N29" s="34"/>
      <c r="O29" s="34"/>
      <c r="P29" s="34"/>
      <c r="Q29" s="34"/>
      <c r="R29" s="34"/>
      <c r="S29" s="34"/>
      <c r="T29" s="34"/>
      <c r="U29" s="34"/>
      <c r="V29" s="34"/>
    </row>
    <row r="31" spans="1:23" x14ac:dyDescent="0.3">
      <c r="A31" s="14" t="s">
        <v>357</v>
      </c>
      <c r="B31" s="33"/>
      <c r="C31" s="34"/>
      <c r="D31" s="109"/>
      <c r="E31" s="109"/>
      <c r="F31" s="109"/>
      <c r="G31" s="34"/>
      <c r="H31" s="112"/>
      <c r="I31" s="35"/>
      <c r="J31" s="109"/>
      <c r="K31" s="36"/>
      <c r="L31" s="109"/>
      <c r="M31" s="109"/>
    </row>
    <row r="32" spans="1:23" x14ac:dyDescent="0.3">
      <c r="A32" s="6" t="str">
        <f>Data!A395</f>
        <v>Fuel Tanks - SMALL SIZE</v>
      </c>
      <c r="B32" s="33">
        <f>Data!B395</f>
        <v>0</v>
      </c>
      <c r="C32" s="34" t="str">
        <f>Data!C395</f>
        <v>fuel tank</v>
      </c>
      <c r="D32" s="109">
        <f>Data!D395*Data!H6</f>
        <v>0</v>
      </c>
      <c r="E32" s="109">
        <f>D32*B32</f>
        <v>0</v>
      </c>
      <c r="F32" s="109">
        <f>Data!I395*E32</f>
        <v>0</v>
      </c>
      <c r="G32" s="60">
        <f>Data!F395</f>
        <v>50</v>
      </c>
      <c r="H32" s="112">
        <f>(E32*(_int_inv_*(1+_int_inv_)^G32)/((1+_int_inv_)^G32-1))-(F32*_int_inv_/((1+_int_inv_)^G32-1))</f>
        <v>0</v>
      </c>
      <c r="I32" s="35">
        <f>Data!H395</f>
        <v>0.02</v>
      </c>
      <c r="J32" s="109">
        <f>E32*I32</f>
        <v>0</v>
      </c>
      <c r="K32" s="36">
        <f>_tax_ins_</f>
        <v>6.7999999999999996E-3</v>
      </c>
      <c r="L32" s="104">
        <f>E32*K32</f>
        <v>0</v>
      </c>
      <c r="M32" s="109">
        <f>H32+J32+L32</f>
        <v>0</v>
      </c>
    </row>
    <row r="33" spans="1:22" x14ac:dyDescent="0.3">
      <c r="A33" s="6" t="str">
        <f>Data!A396</f>
        <v>Shop Tools - SMALL SIZE</v>
      </c>
      <c r="B33" s="33">
        <f>Data!B396</f>
        <v>0</v>
      </c>
      <c r="C33" s="34" t="str">
        <f>Data!C396</f>
        <v>shop tools</v>
      </c>
      <c r="D33" s="109">
        <f>Data!D396*Data!H6</f>
        <v>0</v>
      </c>
      <c r="E33" s="109">
        <f>D33*B33</f>
        <v>0</v>
      </c>
      <c r="F33" s="109">
        <f>Data!I396*E33</f>
        <v>0</v>
      </c>
      <c r="G33" s="60">
        <f>Data!F396</f>
        <v>50</v>
      </c>
      <c r="H33" s="112">
        <f>(E33*(_int_inv_*(1+_int_inv_)^G33)/((1+_int_inv_)^G33-1))-(F33*_int_inv_/((1+_int_inv_)^G33-1))</f>
        <v>0</v>
      </c>
      <c r="I33" s="35">
        <f>Data!H396</f>
        <v>0.02</v>
      </c>
      <c r="J33" s="109">
        <f>E33*I33</f>
        <v>0</v>
      </c>
      <c r="K33" s="36">
        <f>_tax_ins_</f>
        <v>6.7999999999999996E-3</v>
      </c>
      <c r="L33" s="109">
        <f>E33*K33</f>
        <v>0</v>
      </c>
      <c r="M33" s="109">
        <f>H33+J33+L33</f>
        <v>0</v>
      </c>
    </row>
    <row r="34" spans="1:22" x14ac:dyDescent="0.3">
      <c r="A34" s="6"/>
      <c r="B34" s="33"/>
      <c r="C34" s="34"/>
      <c r="D34" s="109"/>
      <c r="E34" s="109"/>
      <c r="F34" s="109"/>
      <c r="G34" s="34"/>
      <c r="H34" s="112"/>
      <c r="I34" s="35"/>
      <c r="J34" s="109"/>
      <c r="K34" s="36"/>
      <c r="L34" s="109"/>
      <c r="M34" s="109"/>
      <c r="N34" s="34"/>
      <c r="O34" s="34"/>
      <c r="P34" s="34"/>
      <c r="Q34" s="34"/>
      <c r="R34" s="34"/>
      <c r="S34" s="34"/>
      <c r="T34" s="34"/>
      <c r="U34" s="34"/>
      <c r="V34" s="34"/>
    </row>
    <row r="35" spans="1:22" x14ac:dyDescent="0.3">
      <c r="A35" s="14" t="s">
        <v>514</v>
      </c>
      <c r="B35" s="351" t="s">
        <v>516</v>
      </c>
      <c r="C35" s="351"/>
      <c r="D35" s="351"/>
      <c r="E35" s="351"/>
      <c r="F35" s="351"/>
      <c r="G35" s="351"/>
      <c r="H35" s="351"/>
      <c r="I35" s="351"/>
      <c r="J35" s="109"/>
      <c r="K35" s="36"/>
      <c r="L35" s="109"/>
      <c r="M35" s="109"/>
      <c r="N35" s="34"/>
      <c r="O35" s="34"/>
      <c r="P35" s="34"/>
      <c r="Q35" s="34"/>
      <c r="R35" s="34"/>
      <c r="S35" s="34"/>
      <c r="T35" s="34"/>
      <c r="U35" s="34"/>
      <c r="V35" s="34"/>
    </row>
    <row r="36" spans="1:22" x14ac:dyDescent="0.3">
      <c r="A36" s="14" t="s">
        <v>515</v>
      </c>
      <c r="B36" s="351" t="s">
        <v>517</v>
      </c>
      <c r="C36" s="351"/>
      <c r="D36" s="351"/>
      <c r="E36" s="351"/>
      <c r="F36" s="351"/>
      <c r="G36" s="351"/>
      <c r="H36" s="351"/>
      <c r="I36" s="351"/>
      <c r="J36" s="109"/>
      <c r="K36" s="36"/>
      <c r="L36" s="109"/>
      <c r="M36" s="109"/>
      <c r="N36" s="34"/>
      <c r="O36" s="34"/>
      <c r="P36" s="34"/>
      <c r="Q36" s="34"/>
      <c r="R36" s="34"/>
      <c r="S36" s="34"/>
      <c r="T36" s="34"/>
      <c r="U36" s="34"/>
      <c r="V36" s="34"/>
    </row>
    <row r="37" spans="1:22" x14ac:dyDescent="0.3">
      <c r="A37" s="6"/>
      <c r="B37" s="33"/>
      <c r="C37" s="34"/>
      <c r="D37" s="109"/>
      <c r="E37" s="109"/>
      <c r="F37" s="109"/>
      <c r="G37" s="34"/>
      <c r="H37" s="112"/>
      <c r="I37" s="35"/>
      <c r="J37" s="109"/>
      <c r="K37" s="36"/>
      <c r="L37" s="109"/>
      <c r="M37" s="109"/>
      <c r="N37" s="34"/>
      <c r="O37" s="34"/>
      <c r="P37" s="34"/>
      <c r="Q37" s="34"/>
      <c r="R37" s="34"/>
      <c r="S37" s="34"/>
      <c r="T37" s="34"/>
      <c r="U37" s="34"/>
      <c r="V37" s="34"/>
    </row>
    <row r="38" spans="1:22" x14ac:dyDescent="0.3">
      <c r="A38" s="14" t="s">
        <v>12</v>
      </c>
      <c r="B38" s="33">
        <f>Data!B62</f>
        <v>0</v>
      </c>
      <c r="C38" s="868" t="str">
        <f>Data!H51</f>
        <v>acre(s)</v>
      </c>
      <c r="D38" s="109">
        <f>Data!F61</f>
        <v>1000</v>
      </c>
      <c r="E38" s="109">
        <f>D38*B38</f>
        <v>0</v>
      </c>
      <c r="F38" s="864" t="s">
        <v>45</v>
      </c>
      <c r="G38" s="865" t="s">
        <v>45</v>
      </c>
      <c r="H38" s="112">
        <f>E38*_int_inv_</f>
        <v>0</v>
      </c>
      <c r="I38" s="35">
        <f>Data!H61</f>
        <v>0.01</v>
      </c>
      <c r="J38" s="109">
        <f>E38*I38</f>
        <v>0</v>
      </c>
      <c r="K38" s="36">
        <f>_tax_ins_</f>
        <v>6.7999999999999996E-3</v>
      </c>
      <c r="L38" s="109">
        <f>E38*K38</f>
        <v>0</v>
      </c>
      <c r="M38" s="109">
        <f>H38+J38+L38</f>
        <v>0</v>
      </c>
      <c r="N38" s="34"/>
      <c r="O38" s="34"/>
      <c r="P38" s="34"/>
      <c r="Q38" s="34"/>
      <c r="R38" s="34"/>
      <c r="S38" s="34"/>
      <c r="T38" s="34"/>
      <c r="U38" s="34"/>
      <c r="V38" s="34"/>
    </row>
    <row r="39" spans="1:22" x14ac:dyDescent="0.3">
      <c r="B39" s="33"/>
      <c r="C39" s="34"/>
      <c r="D39" s="109"/>
      <c r="E39" s="109"/>
      <c r="F39" s="109"/>
      <c r="G39" s="38"/>
      <c r="H39" s="112"/>
      <c r="I39" s="35"/>
      <c r="J39" s="109"/>
      <c r="K39" s="36"/>
      <c r="L39" s="109"/>
      <c r="M39" s="109"/>
      <c r="N39" s="34"/>
      <c r="O39" s="34"/>
      <c r="P39" s="34"/>
      <c r="Q39" s="34"/>
      <c r="R39" s="34"/>
      <c r="S39" s="34"/>
      <c r="T39" s="34"/>
      <c r="U39" s="34"/>
      <c r="V39" s="34"/>
    </row>
    <row r="40" spans="1:22" x14ac:dyDescent="0.3">
      <c r="A40" s="14" t="s">
        <v>1229</v>
      </c>
      <c r="B40" s="33"/>
      <c r="C40" s="34"/>
      <c r="D40" s="109"/>
      <c r="E40" s="109"/>
      <c r="F40" s="109"/>
      <c r="G40" s="34"/>
      <c r="H40" s="112"/>
      <c r="I40" s="35"/>
      <c r="J40" s="109"/>
      <c r="K40" s="36"/>
      <c r="L40" s="110"/>
      <c r="M40" s="109"/>
      <c r="N40" s="34"/>
      <c r="O40" s="34"/>
      <c r="P40" s="34"/>
      <c r="Q40" s="34"/>
      <c r="R40" s="34"/>
      <c r="S40" s="34"/>
      <c r="T40" s="34"/>
      <c r="U40" s="34"/>
      <c r="V40" s="34"/>
    </row>
    <row r="41" spans="1:22" x14ac:dyDescent="0.3">
      <c r="A41" s="6" t="str">
        <f>Data!A495</f>
        <v>Shop/Loading Shed - SMALL SIZE</v>
      </c>
      <c r="B41" s="33">
        <f>Data!B495</f>
        <v>0</v>
      </c>
      <c r="C41" s="34" t="str">
        <f>Data!C495</f>
        <v>building</v>
      </c>
      <c r="D41" s="109">
        <f>Data!D495*Data!H6</f>
        <v>0</v>
      </c>
      <c r="E41" s="109">
        <f>D41*B41</f>
        <v>0</v>
      </c>
      <c r="F41" s="109">
        <f>Data!I495*E41</f>
        <v>0</v>
      </c>
      <c r="G41" s="34">
        <f>Data!F495</f>
        <v>33</v>
      </c>
      <c r="H41" s="112">
        <f>(E41*(_int_inv_*(1+_int_inv_)^G41)/((1+_int_inv_)^G41-1))-(F41*_int_inv_/((1+_int_inv_)^G41-1))</f>
        <v>0</v>
      </c>
      <c r="I41" s="35">
        <f>Data!H495</f>
        <v>0.01</v>
      </c>
      <c r="J41" s="109">
        <f>E41*I41</f>
        <v>0</v>
      </c>
      <c r="K41" s="36">
        <f>_tax_ins_</f>
        <v>6.7999999999999996E-3</v>
      </c>
      <c r="L41" s="109">
        <f>E41*K41</f>
        <v>0</v>
      </c>
      <c r="M41" s="109">
        <f>H41+J41+L41</f>
        <v>0</v>
      </c>
      <c r="N41" s="34"/>
      <c r="O41" s="34"/>
      <c r="P41" s="34"/>
      <c r="Q41" s="34"/>
    </row>
    <row r="42" spans="1:22" x14ac:dyDescent="0.3">
      <c r="B42" s="33"/>
      <c r="C42" s="34"/>
      <c r="D42" s="109"/>
      <c r="E42" s="109"/>
      <c r="F42" s="109"/>
      <c r="G42" s="34"/>
      <c r="H42" s="112"/>
      <c r="I42" s="35"/>
      <c r="J42" s="109"/>
      <c r="K42" s="36"/>
      <c r="L42" s="110"/>
      <c r="M42" s="109"/>
      <c r="N42" s="34"/>
      <c r="O42" s="34"/>
      <c r="P42" s="34"/>
      <c r="Q42" s="34"/>
      <c r="R42" s="34"/>
      <c r="S42" s="34"/>
      <c r="T42" s="34"/>
      <c r="U42" s="34"/>
      <c r="V42" s="34"/>
    </row>
    <row r="43" spans="1:22" x14ac:dyDescent="0.3">
      <c r="A43" s="14" t="s">
        <v>19</v>
      </c>
      <c r="B43" s="865" t="s">
        <v>45</v>
      </c>
      <c r="C43" s="864" t="s">
        <v>45</v>
      </c>
      <c r="D43" s="864" t="s">
        <v>45</v>
      </c>
      <c r="E43" s="864" t="s">
        <v>45</v>
      </c>
      <c r="F43" s="864" t="s">
        <v>45</v>
      </c>
      <c r="G43" s="865" t="s">
        <v>45</v>
      </c>
      <c r="H43" s="864" t="s">
        <v>45</v>
      </c>
      <c r="I43" s="865" t="s">
        <v>45</v>
      </c>
      <c r="J43" s="864" t="s">
        <v>45</v>
      </c>
      <c r="K43" s="865" t="s">
        <v>45</v>
      </c>
      <c r="L43" s="864" t="s">
        <v>45</v>
      </c>
      <c r="M43" s="864" t="s">
        <v>45</v>
      </c>
      <c r="N43" s="34"/>
      <c r="O43" s="34"/>
      <c r="P43" s="34"/>
      <c r="Q43" s="34"/>
      <c r="R43" s="34"/>
      <c r="S43" s="34"/>
      <c r="T43" s="34"/>
      <c r="U43" s="34"/>
      <c r="V43" s="34"/>
    </row>
    <row r="44" spans="1:22" x14ac:dyDescent="0.3">
      <c r="A44" s="14"/>
      <c r="B44" s="33"/>
      <c r="C44" s="34"/>
      <c r="D44" s="109"/>
      <c r="E44" s="109"/>
      <c r="F44" s="109"/>
      <c r="G44" s="34"/>
      <c r="H44" s="112"/>
      <c r="I44" s="35"/>
      <c r="J44" s="109"/>
      <c r="K44" s="35"/>
      <c r="L44" s="110"/>
      <c r="M44" s="109"/>
      <c r="N44" s="34"/>
      <c r="O44" s="34"/>
      <c r="P44" s="34"/>
      <c r="Q44" s="34"/>
      <c r="R44" s="34"/>
      <c r="S44" s="34"/>
      <c r="T44" s="34"/>
      <c r="U44" s="34"/>
      <c r="V44" s="34"/>
    </row>
    <row r="45" spans="1:22" x14ac:dyDescent="0.3">
      <c r="A45" s="14" t="s">
        <v>64</v>
      </c>
      <c r="B45" s="865" t="s">
        <v>45</v>
      </c>
      <c r="C45" s="864" t="s">
        <v>45</v>
      </c>
      <c r="D45" s="866">
        <v>0</v>
      </c>
      <c r="E45" s="866">
        <v>0</v>
      </c>
      <c r="F45" s="866">
        <v>0</v>
      </c>
      <c r="G45" s="247">
        <v>1</v>
      </c>
      <c r="H45" s="112">
        <f>(E45*(_int_inv_*(1+_int_inv_)^G45)/((1+_int_inv_)^G45-1))-(F45*_int_inv_/((1+_int_inv_)^G45-1))</f>
        <v>0</v>
      </c>
      <c r="I45" s="251">
        <v>0.01</v>
      </c>
      <c r="J45" s="109">
        <f>E45*I45</f>
        <v>0</v>
      </c>
      <c r="K45" s="36">
        <f>_tax_ins_</f>
        <v>6.7999999999999996E-3</v>
      </c>
      <c r="L45" s="109">
        <f>E45*K45</f>
        <v>0</v>
      </c>
      <c r="M45" s="109">
        <f>H45+J45+L45</f>
        <v>0</v>
      </c>
      <c r="N45" s="34"/>
      <c r="O45" s="34"/>
      <c r="P45" s="34"/>
      <c r="Q45" s="34"/>
      <c r="R45" s="34"/>
      <c r="S45" s="34"/>
      <c r="T45" s="34"/>
      <c r="U45" s="34"/>
      <c r="V45" s="34"/>
    </row>
    <row r="46" spans="1:22" x14ac:dyDescent="0.3">
      <c r="B46" s="33"/>
      <c r="C46" s="34"/>
      <c r="D46" s="109"/>
      <c r="E46" s="109"/>
      <c r="F46" s="109"/>
      <c r="G46" s="34"/>
      <c r="H46" s="112"/>
      <c r="I46" s="35"/>
      <c r="J46" s="110"/>
      <c r="K46" s="35"/>
      <c r="L46" s="110"/>
      <c r="M46" s="109"/>
      <c r="N46" s="34"/>
      <c r="O46" s="34"/>
      <c r="P46" s="34"/>
      <c r="Q46" s="34"/>
      <c r="R46" s="34"/>
      <c r="S46" s="34"/>
      <c r="T46" s="34"/>
      <c r="U46" s="34"/>
      <c r="V46" s="34"/>
    </row>
    <row r="47" spans="1:22" ht="13.5" x14ac:dyDescent="0.35">
      <c r="A47" s="1" t="s">
        <v>68</v>
      </c>
      <c r="B47" s="33"/>
      <c r="C47" s="34"/>
      <c r="D47" s="109"/>
      <c r="E47" s="109">
        <f>SUM(E7:E45)</f>
        <v>0</v>
      </c>
      <c r="F47" s="109">
        <f>SUM(F7:F45)</f>
        <v>0</v>
      </c>
      <c r="G47" s="34"/>
      <c r="H47" s="112">
        <f>SUM(H7:H45)</f>
        <v>0</v>
      </c>
      <c r="I47" s="35"/>
      <c r="J47" s="109">
        <f>SUM(J7:J45)</f>
        <v>0</v>
      </c>
      <c r="K47" s="35"/>
      <c r="L47" s="109">
        <f>SUM(L7:L45)</f>
        <v>0</v>
      </c>
      <c r="M47" s="109">
        <f>SUM(M7:M45)</f>
        <v>0</v>
      </c>
      <c r="N47" s="34"/>
      <c r="O47" s="34"/>
      <c r="P47" s="34"/>
      <c r="Q47" s="34"/>
      <c r="R47" s="34"/>
      <c r="S47" s="34"/>
      <c r="T47" s="34"/>
      <c r="U47" s="34"/>
      <c r="V47" s="34"/>
    </row>
    <row r="48" spans="1:22" x14ac:dyDescent="0.3">
      <c r="B48" s="33"/>
      <c r="C48" s="34"/>
      <c r="D48" s="32"/>
      <c r="E48" s="32"/>
      <c r="F48" s="32"/>
      <c r="G48" s="34"/>
      <c r="H48" s="32"/>
      <c r="I48" s="35"/>
      <c r="J48" s="34"/>
      <c r="K48" s="35"/>
      <c r="L48" s="34"/>
      <c r="M48" s="32"/>
      <c r="N48" s="34"/>
      <c r="O48" s="34"/>
      <c r="P48" s="34"/>
      <c r="Q48" s="34"/>
      <c r="R48" s="34"/>
      <c r="S48" s="34"/>
      <c r="T48" s="34"/>
      <c r="U48" s="34"/>
      <c r="V48" s="34"/>
    </row>
    <row r="49" spans="2:22" x14ac:dyDescent="0.3">
      <c r="B49" s="33"/>
      <c r="C49" s="34"/>
      <c r="D49" s="32"/>
      <c r="E49" s="32"/>
      <c r="F49" s="32"/>
      <c r="G49" s="34"/>
      <c r="H49" s="32"/>
      <c r="I49" s="35"/>
      <c r="J49" s="34"/>
      <c r="K49" s="35"/>
      <c r="L49" s="34"/>
      <c r="M49" s="32"/>
      <c r="N49" s="34"/>
      <c r="O49" s="34"/>
      <c r="P49" s="34"/>
      <c r="Q49" s="34"/>
      <c r="R49" s="34"/>
      <c r="S49" s="34"/>
      <c r="T49" s="34"/>
      <c r="U49" s="34"/>
      <c r="V49" s="34"/>
    </row>
    <row r="50" spans="2:22" x14ac:dyDescent="0.3">
      <c r="B50" s="33"/>
      <c r="C50" s="34"/>
      <c r="D50" s="8" t="s">
        <v>136</v>
      </c>
      <c r="E50" s="32"/>
      <c r="F50" s="32"/>
      <c r="G50" s="34"/>
      <c r="H50" s="32"/>
      <c r="I50" s="35"/>
      <c r="J50" s="34"/>
      <c r="K50" s="35"/>
      <c r="L50" s="34"/>
      <c r="M50" s="32"/>
      <c r="N50" s="34"/>
      <c r="O50" s="34"/>
      <c r="P50" s="34"/>
      <c r="Q50" s="34"/>
      <c r="R50" s="34"/>
      <c r="S50" s="34"/>
      <c r="T50" s="34"/>
      <c r="U50" s="34"/>
      <c r="V50" s="34"/>
    </row>
    <row r="51" spans="2:22" x14ac:dyDescent="0.3">
      <c r="B51" s="33"/>
      <c r="C51" s="34"/>
      <c r="D51" s="55" t="s">
        <v>213</v>
      </c>
      <c r="E51" s="112">
        <f>SUM(E7:E37)</f>
        <v>0</v>
      </c>
      <c r="F51" s="32"/>
      <c r="G51" s="34"/>
      <c r="H51" s="32"/>
      <c r="I51" s="35"/>
      <c r="J51" s="34"/>
      <c r="K51" s="35"/>
      <c r="L51" s="34"/>
      <c r="M51" s="32"/>
      <c r="N51" s="34"/>
      <c r="O51" s="34"/>
      <c r="P51" s="34"/>
      <c r="Q51" s="34"/>
      <c r="R51" s="34"/>
      <c r="S51" s="34"/>
      <c r="T51" s="34"/>
      <c r="U51" s="34"/>
      <c r="V51" s="34"/>
    </row>
    <row r="52" spans="2:22" x14ac:dyDescent="0.3">
      <c r="B52" s="33"/>
      <c r="C52" s="34"/>
      <c r="D52" s="55" t="s">
        <v>214</v>
      </c>
      <c r="E52" s="112">
        <f>SUM(E38:E39)</f>
        <v>0</v>
      </c>
      <c r="F52" s="32"/>
      <c r="G52" s="34"/>
      <c r="H52" s="32"/>
      <c r="I52" s="35"/>
      <c r="J52" s="34"/>
      <c r="K52" s="35"/>
      <c r="L52" s="34"/>
      <c r="M52" s="32"/>
      <c r="N52" s="34"/>
      <c r="O52" s="34"/>
      <c r="P52" s="34"/>
      <c r="Q52" s="34"/>
      <c r="R52" s="34"/>
      <c r="S52" s="34"/>
      <c r="T52" s="34"/>
      <c r="U52" s="34"/>
      <c r="V52" s="34"/>
    </row>
    <row r="53" spans="2:22" x14ac:dyDescent="0.3">
      <c r="B53" s="33"/>
      <c r="C53" s="34"/>
      <c r="D53" s="62" t="s">
        <v>215</v>
      </c>
      <c r="E53" s="113">
        <f>SUM(E41:E42)</f>
        <v>0</v>
      </c>
      <c r="F53" s="32"/>
      <c r="G53" s="34"/>
      <c r="H53" s="32"/>
      <c r="I53" s="34"/>
      <c r="J53" s="34"/>
      <c r="K53" s="35"/>
      <c r="L53" s="34"/>
      <c r="M53" s="32"/>
      <c r="N53" s="34"/>
      <c r="O53" s="34"/>
      <c r="P53" s="34"/>
      <c r="Q53" s="34"/>
      <c r="R53" s="34"/>
      <c r="S53" s="34"/>
      <c r="T53" s="34"/>
      <c r="U53" s="34"/>
      <c r="V53" s="34"/>
    </row>
    <row r="54" spans="2:22" x14ac:dyDescent="0.3">
      <c r="B54" s="33"/>
      <c r="C54" s="34"/>
      <c r="D54" s="61" t="s">
        <v>216</v>
      </c>
      <c r="E54" s="112">
        <f>SUM(E51:E53)</f>
        <v>0</v>
      </c>
      <c r="F54" s="32"/>
      <c r="G54" s="34"/>
      <c r="H54" s="32"/>
      <c r="I54" s="34"/>
      <c r="J54" s="34"/>
      <c r="K54" s="35"/>
      <c r="L54" s="34"/>
      <c r="M54" s="32"/>
      <c r="N54" s="34"/>
      <c r="O54" s="34"/>
      <c r="P54" s="34"/>
      <c r="Q54" s="34"/>
      <c r="R54" s="34"/>
      <c r="S54" s="34"/>
      <c r="T54" s="34"/>
      <c r="U54" s="34"/>
      <c r="V54" s="34"/>
    </row>
    <row r="55" spans="2:22" x14ac:dyDescent="0.3">
      <c r="B55" s="33"/>
      <c r="C55" s="34"/>
      <c r="D55" s="32"/>
      <c r="E55" s="32"/>
      <c r="F55" s="32"/>
      <c r="G55" s="34"/>
      <c r="H55" s="32"/>
      <c r="I55" s="34"/>
      <c r="J55" s="34"/>
      <c r="K55" s="35"/>
      <c r="L55" s="34"/>
      <c r="M55" s="32"/>
      <c r="N55" s="34"/>
      <c r="O55" s="34"/>
      <c r="P55" s="34"/>
      <c r="Q55" s="34"/>
      <c r="R55" s="34"/>
      <c r="S55" s="34"/>
      <c r="T55" s="34"/>
      <c r="U55" s="34"/>
      <c r="V55" s="34"/>
    </row>
    <row r="56" spans="2:22" x14ac:dyDescent="0.3">
      <c r="B56" s="33"/>
      <c r="C56" s="34"/>
      <c r="D56" s="32"/>
      <c r="E56" s="32"/>
      <c r="F56" s="32"/>
      <c r="G56" s="34"/>
      <c r="H56" s="32"/>
      <c r="I56" s="34"/>
      <c r="J56" s="34"/>
      <c r="K56" s="35"/>
      <c r="L56" s="34"/>
      <c r="M56" s="32"/>
      <c r="N56" s="34"/>
      <c r="O56" s="34"/>
      <c r="P56" s="34"/>
      <c r="Q56" s="34"/>
      <c r="R56" s="34"/>
      <c r="S56" s="34"/>
      <c r="T56" s="34"/>
      <c r="U56" s="34"/>
      <c r="V56" s="34"/>
    </row>
    <row r="57" spans="2:22" x14ac:dyDescent="0.3">
      <c r="B57" s="33"/>
      <c r="C57" s="34"/>
      <c r="D57" s="32"/>
      <c r="E57" s="32"/>
      <c r="F57" s="32"/>
      <c r="G57" s="34"/>
      <c r="H57" s="32"/>
      <c r="I57" s="34"/>
      <c r="J57" s="34"/>
      <c r="K57" s="35"/>
      <c r="L57" s="34"/>
      <c r="M57" s="32"/>
      <c r="N57" s="34"/>
      <c r="O57" s="34"/>
      <c r="P57" s="34"/>
      <c r="Q57" s="34"/>
      <c r="R57" s="34"/>
      <c r="S57" s="34"/>
      <c r="T57" s="34"/>
      <c r="U57" s="34"/>
      <c r="V57" s="34"/>
    </row>
    <row r="58" spans="2:22" x14ac:dyDescent="0.3">
      <c r="B58" s="33"/>
      <c r="C58" s="34"/>
      <c r="D58" s="32"/>
      <c r="E58" s="32"/>
      <c r="F58" s="32"/>
      <c r="G58" s="34"/>
      <c r="H58" s="32"/>
      <c r="I58" s="34"/>
      <c r="J58" s="34"/>
      <c r="K58" s="35"/>
      <c r="L58" s="34"/>
      <c r="M58" s="32"/>
      <c r="N58" s="34"/>
      <c r="O58" s="34"/>
      <c r="P58" s="34"/>
      <c r="Q58" s="34"/>
      <c r="R58" s="34"/>
      <c r="S58" s="34"/>
      <c r="T58" s="34"/>
      <c r="U58" s="34"/>
      <c r="V58" s="34"/>
    </row>
    <row r="59" spans="2:22" x14ac:dyDescent="0.3">
      <c r="B59" s="33"/>
      <c r="C59" s="34"/>
      <c r="D59" s="32"/>
      <c r="E59" s="32"/>
      <c r="F59" s="32"/>
      <c r="G59" s="34"/>
      <c r="H59" s="32"/>
      <c r="I59" s="34"/>
      <c r="J59" s="34"/>
      <c r="K59" s="35"/>
      <c r="L59" s="34"/>
      <c r="M59" s="32"/>
      <c r="N59" s="34"/>
      <c r="O59" s="34"/>
      <c r="P59" s="34"/>
      <c r="Q59" s="34"/>
      <c r="R59" s="34"/>
      <c r="S59" s="34"/>
      <c r="T59" s="34"/>
      <c r="U59" s="34"/>
      <c r="V59" s="34"/>
    </row>
    <row r="60" spans="2:22" x14ac:dyDescent="0.3">
      <c r="B60" s="33"/>
      <c r="C60" s="34"/>
      <c r="D60" s="32"/>
      <c r="E60" s="32"/>
      <c r="F60" s="32"/>
      <c r="G60" s="34"/>
      <c r="H60" s="32"/>
      <c r="I60" s="34"/>
      <c r="J60" s="34"/>
      <c r="K60" s="35"/>
      <c r="L60" s="34"/>
      <c r="M60" s="32"/>
      <c r="N60" s="34"/>
      <c r="O60" s="34"/>
      <c r="P60" s="34"/>
      <c r="Q60" s="34"/>
      <c r="R60" s="34"/>
      <c r="S60" s="34"/>
      <c r="T60" s="34"/>
      <c r="U60" s="34"/>
      <c r="V60" s="34"/>
    </row>
    <row r="61" spans="2:22" x14ac:dyDescent="0.3">
      <c r="B61" s="33"/>
      <c r="C61" s="34"/>
      <c r="D61" s="32"/>
      <c r="E61" s="32"/>
      <c r="F61" s="32"/>
      <c r="G61" s="34"/>
      <c r="H61" s="32"/>
      <c r="I61" s="34"/>
      <c r="J61" s="34"/>
      <c r="K61" s="35"/>
      <c r="L61" s="34"/>
      <c r="M61" s="32"/>
      <c r="N61" s="34"/>
      <c r="O61" s="34"/>
      <c r="P61" s="34"/>
      <c r="Q61" s="34"/>
      <c r="R61" s="34"/>
      <c r="S61" s="34"/>
      <c r="T61" s="34"/>
      <c r="U61" s="34"/>
      <c r="V61" s="34"/>
    </row>
    <row r="62" spans="2:22" x14ac:dyDescent="0.3">
      <c r="B62" s="33"/>
      <c r="C62" s="34"/>
      <c r="D62" s="32"/>
      <c r="E62" s="32"/>
      <c r="F62" s="32"/>
      <c r="G62" s="34"/>
      <c r="H62" s="32"/>
      <c r="I62" s="34"/>
      <c r="J62" s="34"/>
      <c r="K62" s="35"/>
      <c r="L62" s="34"/>
      <c r="M62" s="32"/>
      <c r="N62" s="34"/>
      <c r="O62" s="34"/>
      <c r="P62" s="34"/>
      <c r="Q62" s="34"/>
      <c r="R62" s="34"/>
      <c r="S62" s="34"/>
      <c r="T62" s="34"/>
      <c r="U62" s="34"/>
      <c r="V62" s="34"/>
    </row>
    <row r="63" spans="2:22" x14ac:dyDescent="0.3">
      <c r="B63" s="33"/>
      <c r="C63" s="34"/>
      <c r="D63" s="32"/>
      <c r="E63" s="32"/>
      <c r="F63" s="32"/>
      <c r="G63" s="34"/>
      <c r="H63" s="32"/>
      <c r="I63" s="34"/>
      <c r="J63" s="34"/>
      <c r="K63" s="35"/>
      <c r="L63" s="34"/>
      <c r="M63" s="32"/>
      <c r="N63" s="34"/>
      <c r="O63" s="34"/>
      <c r="P63" s="34"/>
      <c r="Q63" s="34"/>
      <c r="R63" s="34"/>
      <c r="S63" s="34"/>
      <c r="T63" s="34"/>
      <c r="U63" s="34"/>
      <c r="V63" s="34"/>
    </row>
    <row r="64" spans="2:22" x14ac:dyDescent="0.3">
      <c r="B64" s="33"/>
      <c r="C64" s="34"/>
      <c r="D64" s="32"/>
      <c r="E64" s="32"/>
      <c r="F64" s="32"/>
      <c r="G64" s="34"/>
      <c r="H64" s="32"/>
      <c r="I64" s="34"/>
      <c r="J64" s="34"/>
      <c r="K64" s="35"/>
      <c r="L64" s="34"/>
      <c r="M64" s="32"/>
      <c r="N64" s="34"/>
      <c r="O64" s="34"/>
      <c r="P64" s="34"/>
      <c r="Q64" s="34"/>
      <c r="R64" s="34"/>
      <c r="S64" s="34"/>
      <c r="T64" s="34"/>
      <c r="U64" s="34"/>
      <c r="V64" s="34"/>
    </row>
    <row r="65" spans="2:22" x14ac:dyDescent="0.3">
      <c r="B65" s="33"/>
      <c r="C65" s="34"/>
      <c r="D65" s="32"/>
      <c r="E65" s="32"/>
      <c r="F65" s="32"/>
      <c r="G65" s="34"/>
      <c r="H65" s="32"/>
      <c r="I65" s="34"/>
      <c r="J65" s="34"/>
      <c r="K65" s="35"/>
      <c r="L65" s="34"/>
      <c r="M65" s="32"/>
      <c r="N65" s="34"/>
      <c r="O65" s="34"/>
      <c r="P65" s="34"/>
      <c r="Q65" s="34"/>
      <c r="R65" s="34"/>
      <c r="S65" s="34"/>
      <c r="T65" s="34"/>
      <c r="U65" s="34"/>
      <c r="V65" s="34"/>
    </row>
    <row r="66" spans="2:22" x14ac:dyDescent="0.3">
      <c r="B66" s="33"/>
      <c r="C66" s="34"/>
      <c r="D66" s="32"/>
      <c r="E66" s="32"/>
      <c r="F66" s="32"/>
      <c r="G66" s="34"/>
      <c r="H66" s="32"/>
      <c r="I66" s="34"/>
      <c r="J66" s="34"/>
      <c r="K66" s="35"/>
      <c r="L66" s="34"/>
      <c r="M66" s="32"/>
      <c r="N66" s="34"/>
      <c r="O66" s="34"/>
      <c r="P66" s="34"/>
      <c r="Q66" s="34"/>
      <c r="R66" s="34"/>
      <c r="S66" s="34"/>
      <c r="T66" s="34"/>
      <c r="U66" s="34"/>
      <c r="V66" s="34"/>
    </row>
    <row r="67" spans="2:22" x14ac:dyDescent="0.3">
      <c r="B67" s="33"/>
      <c r="C67" s="34"/>
      <c r="D67" s="32"/>
      <c r="E67" s="32"/>
      <c r="F67" s="32"/>
      <c r="G67" s="34"/>
      <c r="H67" s="32"/>
      <c r="I67" s="34"/>
      <c r="J67" s="34"/>
      <c r="K67" s="35"/>
      <c r="L67" s="34"/>
      <c r="M67" s="32"/>
      <c r="N67" s="34"/>
      <c r="O67" s="34"/>
      <c r="P67" s="34"/>
      <c r="Q67" s="34"/>
      <c r="R67" s="34"/>
      <c r="S67" s="34"/>
      <c r="T67" s="34"/>
      <c r="U67" s="34"/>
      <c r="V67" s="34"/>
    </row>
    <row r="68" spans="2:22" x14ac:dyDescent="0.3">
      <c r="B68" s="33"/>
      <c r="C68" s="34"/>
      <c r="D68" s="32"/>
      <c r="E68" s="32"/>
      <c r="F68" s="32"/>
      <c r="G68" s="34"/>
      <c r="H68" s="32"/>
      <c r="I68" s="34"/>
      <c r="J68" s="34"/>
      <c r="K68" s="35"/>
      <c r="L68" s="34"/>
      <c r="M68" s="32"/>
      <c r="N68" s="34"/>
      <c r="O68" s="34"/>
      <c r="P68" s="34"/>
      <c r="Q68" s="34"/>
      <c r="R68" s="34"/>
      <c r="S68" s="34"/>
      <c r="T68" s="34"/>
      <c r="U68" s="34"/>
      <c r="V68" s="34"/>
    </row>
    <row r="69" spans="2:22" x14ac:dyDescent="0.3">
      <c r="B69" s="33"/>
      <c r="C69" s="34"/>
      <c r="D69" s="32"/>
      <c r="E69" s="32"/>
      <c r="F69" s="32"/>
      <c r="G69" s="34"/>
      <c r="H69" s="32"/>
      <c r="I69" s="34"/>
      <c r="J69" s="34"/>
      <c r="K69" s="35"/>
      <c r="L69" s="34"/>
      <c r="M69" s="32"/>
      <c r="N69" s="34"/>
      <c r="O69" s="34"/>
      <c r="P69" s="34"/>
      <c r="Q69" s="34"/>
      <c r="R69" s="34"/>
      <c r="S69" s="34"/>
      <c r="T69" s="34"/>
      <c r="U69" s="34"/>
      <c r="V69" s="34"/>
    </row>
    <row r="70" spans="2:22" x14ac:dyDescent="0.3">
      <c r="B70" s="33"/>
      <c r="C70" s="34"/>
      <c r="D70" s="32"/>
      <c r="E70" s="32"/>
      <c r="F70" s="32"/>
      <c r="G70" s="34"/>
      <c r="H70" s="32"/>
      <c r="I70" s="34"/>
      <c r="J70" s="34"/>
      <c r="K70" s="35"/>
      <c r="L70" s="34"/>
      <c r="M70" s="32"/>
      <c r="N70" s="34"/>
      <c r="O70" s="34"/>
      <c r="P70" s="34"/>
      <c r="Q70" s="34"/>
      <c r="R70" s="34"/>
      <c r="S70" s="34"/>
      <c r="T70" s="34"/>
      <c r="U70" s="34"/>
      <c r="V70" s="34"/>
    </row>
    <row r="71" spans="2:22" x14ac:dyDescent="0.3">
      <c r="B71" s="33"/>
      <c r="C71" s="34"/>
      <c r="D71" s="32"/>
      <c r="E71" s="32"/>
      <c r="F71" s="32"/>
      <c r="G71" s="34"/>
      <c r="H71" s="32"/>
      <c r="I71" s="34"/>
      <c r="J71" s="34"/>
      <c r="K71" s="35"/>
      <c r="L71" s="34"/>
      <c r="M71" s="32"/>
      <c r="N71" s="34"/>
      <c r="O71" s="34"/>
      <c r="P71" s="34"/>
      <c r="Q71" s="34"/>
      <c r="R71" s="34"/>
      <c r="S71" s="34"/>
      <c r="T71" s="34"/>
      <c r="U71" s="34"/>
      <c r="V71" s="34"/>
    </row>
    <row r="72" spans="2:22" x14ac:dyDescent="0.3">
      <c r="B72" s="33"/>
      <c r="C72" s="34"/>
      <c r="D72" s="32"/>
      <c r="E72" s="32"/>
      <c r="F72" s="32"/>
      <c r="G72" s="34"/>
      <c r="H72" s="32"/>
      <c r="I72" s="34"/>
      <c r="J72" s="34"/>
      <c r="K72" s="35"/>
      <c r="L72" s="34"/>
      <c r="M72" s="32"/>
      <c r="N72" s="34"/>
      <c r="O72" s="34"/>
      <c r="P72" s="34"/>
      <c r="Q72" s="34"/>
      <c r="R72" s="34"/>
      <c r="S72" s="34"/>
      <c r="T72" s="34"/>
      <c r="U72" s="34"/>
      <c r="V72" s="34"/>
    </row>
    <row r="73" spans="2:22" x14ac:dyDescent="0.3">
      <c r="B73" s="33"/>
      <c r="C73" s="34"/>
      <c r="D73" s="32"/>
      <c r="E73" s="32"/>
      <c r="F73" s="32"/>
      <c r="G73" s="34"/>
      <c r="H73" s="32"/>
      <c r="I73" s="34"/>
      <c r="J73" s="34"/>
      <c r="K73" s="35"/>
      <c r="L73" s="34"/>
      <c r="M73" s="32"/>
      <c r="N73" s="34"/>
      <c r="O73" s="34"/>
      <c r="P73" s="34"/>
      <c r="Q73" s="34"/>
      <c r="R73" s="34"/>
      <c r="S73" s="34"/>
      <c r="T73" s="34"/>
      <c r="U73" s="34"/>
      <c r="V73" s="34"/>
    </row>
    <row r="74" spans="2:22" x14ac:dyDescent="0.3">
      <c r="B74" s="33"/>
      <c r="C74" s="34"/>
      <c r="D74" s="32"/>
      <c r="E74" s="32"/>
      <c r="F74" s="32"/>
      <c r="G74" s="34"/>
      <c r="H74" s="32"/>
      <c r="I74" s="34"/>
      <c r="J74" s="34"/>
      <c r="K74" s="35"/>
      <c r="L74" s="34"/>
      <c r="M74" s="32"/>
      <c r="N74" s="34"/>
      <c r="O74" s="34"/>
      <c r="P74" s="34"/>
      <c r="Q74" s="34"/>
      <c r="R74" s="34"/>
      <c r="S74" s="34"/>
      <c r="T74" s="34"/>
      <c r="U74" s="34"/>
      <c r="V74" s="34"/>
    </row>
    <row r="75" spans="2:22" x14ac:dyDescent="0.3">
      <c r="B75" s="33"/>
      <c r="C75" s="34"/>
      <c r="D75" s="32"/>
      <c r="E75" s="32"/>
      <c r="F75" s="32"/>
      <c r="G75" s="34"/>
      <c r="H75" s="32"/>
      <c r="I75" s="34"/>
      <c r="J75" s="34"/>
      <c r="K75" s="35"/>
      <c r="L75" s="34"/>
      <c r="M75" s="32"/>
      <c r="N75" s="34"/>
      <c r="O75" s="34"/>
      <c r="P75" s="34"/>
      <c r="Q75" s="34"/>
      <c r="R75" s="34"/>
      <c r="S75" s="34"/>
      <c r="T75" s="34"/>
      <c r="U75" s="34"/>
      <c r="V75" s="34"/>
    </row>
    <row r="76" spans="2:22" x14ac:dyDescent="0.3">
      <c r="B76" s="33"/>
      <c r="C76" s="34"/>
      <c r="D76" s="32"/>
      <c r="E76" s="32"/>
      <c r="F76" s="32"/>
      <c r="G76" s="34"/>
      <c r="H76" s="32"/>
      <c r="I76" s="34"/>
      <c r="J76" s="34"/>
      <c r="K76" s="35"/>
      <c r="L76" s="34"/>
      <c r="M76" s="32"/>
      <c r="N76" s="34"/>
      <c r="O76" s="34"/>
      <c r="P76" s="34"/>
      <c r="Q76" s="34"/>
      <c r="R76" s="34"/>
      <c r="S76" s="34"/>
      <c r="T76" s="34"/>
      <c r="U76" s="34"/>
      <c r="V76" s="34"/>
    </row>
    <row r="77" spans="2:22" x14ac:dyDescent="0.3">
      <c r="B77" s="33"/>
      <c r="C77" s="34"/>
      <c r="D77" s="32"/>
      <c r="E77" s="32"/>
      <c r="F77" s="32"/>
      <c r="G77" s="34"/>
      <c r="H77" s="32"/>
      <c r="I77" s="34"/>
      <c r="J77" s="34"/>
      <c r="K77" s="35"/>
      <c r="L77" s="34"/>
      <c r="M77" s="32"/>
      <c r="N77" s="34"/>
      <c r="O77" s="34"/>
      <c r="P77" s="34"/>
      <c r="Q77" s="34"/>
      <c r="R77" s="34"/>
      <c r="S77" s="34"/>
      <c r="T77" s="34"/>
      <c r="U77" s="34"/>
      <c r="V77" s="34"/>
    </row>
    <row r="78" spans="2:22" x14ac:dyDescent="0.3">
      <c r="B78" s="33"/>
      <c r="C78" s="34"/>
      <c r="D78" s="32"/>
      <c r="E78" s="32"/>
      <c r="F78" s="32"/>
      <c r="G78" s="34"/>
      <c r="H78" s="32"/>
      <c r="I78" s="34"/>
      <c r="J78" s="34"/>
      <c r="K78" s="35"/>
      <c r="L78" s="34"/>
      <c r="M78" s="32"/>
      <c r="N78" s="34"/>
      <c r="O78" s="34"/>
      <c r="P78" s="34"/>
      <c r="Q78" s="34"/>
      <c r="R78" s="34"/>
      <c r="S78" s="34"/>
      <c r="T78" s="34"/>
      <c r="U78" s="34"/>
      <c r="V78" s="34"/>
    </row>
    <row r="79" spans="2:22" x14ac:dyDescent="0.3">
      <c r="B79" s="33"/>
      <c r="C79" s="34"/>
      <c r="D79" s="32"/>
      <c r="E79" s="32"/>
      <c r="F79" s="32"/>
      <c r="G79" s="34"/>
      <c r="H79" s="32"/>
      <c r="I79" s="34"/>
      <c r="J79" s="34"/>
      <c r="K79" s="35"/>
      <c r="L79" s="34"/>
      <c r="M79" s="32"/>
      <c r="N79" s="34"/>
      <c r="O79" s="34"/>
      <c r="P79" s="34"/>
      <c r="Q79" s="34"/>
      <c r="R79" s="34"/>
      <c r="S79" s="34"/>
      <c r="T79" s="34"/>
      <c r="U79" s="34"/>
      <c r="V79" s="34"/>
    </row>
    <row r="80" spans="2:22" x14ac:dyDescent="0.3">
      <c r="B80" s="33"/>
      <c r="C80" s="34"/>
      <c r="D80" s="39"/>
      <c r="E80" s="39"/>
      <c r="F80" s="39"/>
      <c r="G80" s="34"/>
      <c r="H80" s="32"/>
      <c r="I80" s="34"/>
      <c r="J80" s="34"/>
      <c r="K80" s="35"/>
      <c r="L80" s="34"/>
      <c r="M80" s="32"/>
      <c r="N80" s="34"/>
      <c r="O80" s="34"/>
      <c r="P80" s="34"/>
      <c r="Q80" s="34"/>
      <c r="R80" s="34"/>
      <c r="S80" s="34"/>
      <c r="T80" s="34"/>
      <c r="U80" s="34"/>
      <c r="V80" s="34"/>
    </row>
    <row r="81" spans="2:22" x14ac:dyDescent="0.3">
      <c r="B81" s="33"/>
      <c r="C81" s="34"/>
      <c r="D81" s="39"/>
      <c r="E81" s="39"/>
      <c r="F81" s="39"/>
      <c r="G81" s="34"/>
      <c r="H81" s="32"/>
      <c r="I81" s="34"/>
      <c r="J81" s="34"/>
      <c r="K81" s="35"/>
      <c r="L81" s="34"/>
      <c r="M81" s="32"/>
      <c r="N81" s="34"/>
      <c r="O81" s="34"/>
      <c r="P81" s="34"/>
      <c r="Q81" s="34"/>
      <c r="R81" s="34"/>
      <c r="S81" s="34"/>
      <c r="T81" s="34"/>
      <c r="U81" s="34"/>
      <c r="V81" s="34"/>
    </row>
    <row r="82" spans="2:22" x14ac:dyDescent="0.3">
      <c r="B82" s="33"/>
      <c r="C82" s="34"/>
      <c r="D82" s="39"/>
      <c r="E82" s="39"/>
      <c r="F82" s="39"/>
      <c r="G82" s="34"/>
      <c r="H82" s="32"/>
      <c r="I82" s="34"/>
      <c r="J82" s="34"/>
      <c r="K82" s="35"/>
      <c r="L82" s="34"/>
      <c r="M82" s="32"/>
      <c r="N82" s="34"/>
      <c r="O82" s="34"/>
      <c r="P82" s="34"/>
      <c r="Q82" s="34"/>
      <c r="R82" s="34"/>
      <c r="S82" s="34"/>
      <c r="T82" s="34"/>
      <c r="U82" s="34"/>
      <c r="V82" s="34"/>
    </row>
    <row r="83" spans="2:22" x14ac:dyDescent="0.3">
      <c r="B83" s="33"/>
      <c r="C83" s="34"/>
      <c r="D83" s="39"/>
      <c r="E83" s="39"/>
      <c r="F83" s="39"/>
      <c r="G83" s="34"/>
      <c r="H83" s="32"/>
      <c r="I83" s="34"/>
      <c r="J83" s="34"/>
      <c r="K83" s="35"/>
      <c r="L83" s="34"/>
      <c r="M83" s="32"/>
      <c r="N83" s="34"/>
      <c r="O83" s="34"/>
      <c r="P83" s="34"/>
      <c r="Q83" s="34"/>
      <c r="R83" s="34"/>
      <c r="S83" s="34"/>
      <c r="T83" s="34"/>
      <c r="U83" s="34"/>
      <c r="V83" s="34"/>
    </row>
    <row r="84" spans="2:22" x14ac:dyDescent="0.3">
      <c r="B84" s="33"/>
      <c r="C84" s="34"/>
      <c r="D84" s="39"/>
      <c r="E84" s="39"/>
      <c r="F84" s="39"/>
      <c r="G84" s="34"/>
      <c r="H84" s="32"/>
      <c r="I84" s="34"/>
      <c r="J84" s="34"/>
      <c r="K84" s="35"/>
      <c r="L84" s="34"/>
      <c r="M84" s="32"/>
      <c r="N84" s="34"/>
      <c r="O84" s="34"/>
      <c r="P84" s="34"/>
      <c r="Q84" s="34"/>
      <c r="R84" s="34"/>
      <c r="S84" s="34"/>
      <c r="T84" s="34"/>
      <c r="U84" s="34"/>
      <c r="V84" s="34"/>
    </row>
    <row r="85" spans="2:22" x14ac:dyDescent="0.3">
      <c r="B85" s="33"/>
      <c r="C85" s="34"/>
      <c r="D85" s="39"/>
      <c r="E85" s="39"/>
      <c r="F85" s="39"/>
      <c r="G85" s="34"/>
      <c r="H85" s="32"/>
      <c r="I85" s="34"/>
      <c r="J85" s="34"/>
      <c r="K85" s="35"/>
      <c r="L85" s="34"/>
      <c r="M85" s="32"/>
      <c r="N85" s="34"/>
      <c r="O85" s="34"/>
      <c r="P85" s="34"/>
      <c r="Q85" s="34"/>
      <c r="R85" s="34"/>
      <c r="S85" s="34"/>
      <c r="T85" s="34"/>
      <c r="U85" s="34"/>
      <c r="V85" s="34"/>
    </row>
    <row r="86" spans="2:22" x14ac:dyDescent="0.3">
      <c r="B86" s="33"/>
      <c r="C86" s="34"/>
      <c r="D86" s="39"/>
      <c r="E86" s="39"/>
      <c r="F86" s="39"/>
      <c r="G86" s="34"/>
      <c r="H86" s="32"/>
      <c r="I86" s="34"/>
      <c r="J86" s="34"/>
      <c r="K86" s="35"/>
      <c r="L86" s="34"/>
      <c r="M86" s="32"/>
      <c r="N86" s="34"/>
      <c r="O86" s="34"/>
      <c r="P86" s="34"/>
      <c r="Q86" s="34"/>
      <c r="R86" s="34"/>
      <c r="S86" s="34"/>
      <c r="T86" s="34"/>
      <c r="U86" s="34"/>
      <c r="V86" s="34"/>
    </row>
    <row r="87" spans="2:22" x14ac:dyDescent="0.3">
      <c r="B87" s="33"/>
      <c r="C87" s="34"/>
      <c r="D87" s="39"/>
      <c r="E87" s="39"/>
      <c r="F87" s="39"/>
      <c r="G87" s="34"/>
      <c r="H87" s="32"/>
      <c r="I87" s="34"/>
      <c r="J87" s="34"/>
      <c r="K87" s="35"/>
      <c r="L87" s="34"/>
      <c r="M87" s="32"/>
      <c r="N87" s="34"/>
      <c r="O87" s="34"/>
      <c r="P87" s="34"/>
      <c r="Q87" s="34"/>
      <c r="R87" s="34"/>
      <c r="S87" s="34"/>
      <c r="T87" s="34"/>
      <c r="U87" s="34"/>
      <c r="V87" s="34"/>
    </row>
    <row r="88" spans="2:22" x14ac:dyDescent="0.3">
      <c r="B88" s="33"/>
      <c r="C88" s="34"/>
      <c r="D88" s="39"/>
      <c r="E88" s="39"/>
      <c r="F88" s="39"/>
      <c r="G88" s="34"/>
      <c r="H88" s="32"/>
      <c r="I88" s="34"/>
      <c r="J88" s="34"/>
      <c r="K88" s="35"/>
      <c r="L88" s="34"/>
      <c r="M88" s="32"/>
      <c r="N88" s="34"/>
      <c r="O88" s="34"/>
      <c r="P88" s="34"/>
      <c r="Q88" s="34"/>
      <c r="R88" s="34"/>
      <c r="S88" s="34"/>
      <c r="T88" s="34"/>
      <c r="U88" s="34"/>
      <c r="V88" s="34"/>
    </row>
    <row r="89" spans="2:22" x14ac:dyDescent="0.3">
      <c r="B89" s="33"/>
      <c r="C89" s="34"/>
      <c r="D89" s="39"/>
      <c r="E89" s="39"/>
      <c r="F89" s="39"/>
      <c r="G89" s="34"/>
      <c r="H89" s="32"/>
      <c r="I89" s="34"/>
      <c r="J89" s="34"/>
      <c r="K89" s="35"/>
      <c r="L89" s="34"/>
      <c r="M89" s="32"/>
      <c r="N89" s="34"/>
      <c r="O89" s="34"/>
      <c r="P89" s="34"/>
      <c r="Q89" s="34"/>
      <c r="R89" s="34"/>
      <c r="S89" s="34"/>
      <c r="T89" s="34"/>
      <c r="U89" s="34"/>
      <c r="V89" s="34"/>
    </row>
    <row r="90" spans="2:22" x14ac:dyDescent="0.3">
      <c r="B90" s="33"/>
      <c r="C90" s="34"/>
      <c r="D90" s="39"/>
      <c r="E90" s="39"/>
      <c r="F90" s="39"/>
      <c r="G90" s="34"/>
      <c r="H90" s="32"/>
      <c r="I90" s="34"/>
      <c r="J90" s="34"/>
      <c r="K90" s="35"/>
      <c r="L90" s="34"/>
      <c r="M90" s="32"/>
      <c r="N90" s="34"/>
      <c r="O90" s="34"/>
      <c r="P90" s="34"/>
      <c r="Q90" s="34"/>
      <c r="R90" s="34"/>
      <c r="S90" s="34"/>
      <c r="T90" s="34"/>
      <c r="U90" s="34"/>
      <c r="V90" s="34"/>
    </row>
    <row r="91" spans="2:22" x14ac:dyDescent="0.3">
      <c r="B91" s="33"/>
      <c r="C91" s="34"/>
      <c r="D91" s="39"/>
      <c r="E91" s="39"/>
      <c r="F91" s="39"/>
      <c r="G91" s="34"/>
      <c r="H91" s="32"/>
      <c r="I91" s="34"/>
      <c r="J91" s="34"/>
      <c r="K91" s="35"/>
      <c r="L91" s="34"/>
      <c r="M91" s="32"/>
      <c r="N91" s="34"/>
      <c r="O91" s="34"/>
      <c r="P91" s="34"/>
      <c r="Q91" s="34"/>
      <c r="R91" s="34"/>
      <c r="S91" s="34"/>
      <c r="T91" s="34"/>
      <c r="U91" s="34"/>
      <c r="V91" s="34"/>
    </row>
    <row r="92" spans="2:22" x14ac:dyDescent="0.3">
      <c r="B92" s="33"/>
      <c r="C92" s="34"/>
      <c r="D92" s="39"/>
      <c r="E92" s="39"/>
      <c r="F92" s="39"/>
      <c r="G92" s="34"/>
      <c r="H92" s="32"/>
      <c r="I92" s="34"/>
      <c r="J92" s="34"/>
      <c r="K92" s="35"/>
      <c r="L92" s="34"/>
      <c r="M92" s="32"/>
      <c r="N92" s="34"/>
      <c r="O92" s="34"/>
      <c r="P92" s="34"/>
      <c r="Q92" s="34"/>
      <c r="R92" s="34"/>
      <c r="S92" s="34"/>
      <c r="T92" s="34"/>
      <c r="U92" s="34"/>
      <c r="V92" s="34"/>
    </row>
    <row r="93" spans="2:22" x14ac:dyDescent="0.3">
      <c r="B93" s="33"/>
      <c r="C93" s="34"/>
      <c r="D93" s="39"/>
      <c r="E93" s="39"/>
      <c r="F93" s="39"/>
      <c r="G93" s="34"/>
      <c r="H93" s="32"/>
      <c r="I93" s="34"/>
      <c r="J93" s="34"/>
      <c r="K93" s="35"/>
      <c r="L93" s="34"/>
      <c r="M93" s="32"/>
      <c r="N93" s="34"/>
      <c r="O93" s="34"/>
      <c r="P93" s="34"/>
      <c r="Q93" s="34"/>
      <c r="R93" s="34"/>
      <c r="S93" s="34"/>
      <c r="T93" s="34"/>
      <c r="U93" s="34"/>
      <c r="V93" s="34"/>
    </row>
    <row r="94" spans="2:22" x14ac:dyDescent="0.3">
      <c r="B94" s="33"/>
      <c r="C94" s="34"/>
      <c r="D94" s="39"/>
      <c r="E94" s="39"/>
      <c r="F94" s="39"/>
      <c r="G94" s="34"/>
      <c r="H94" s="32"/>
      <c r="I94" s="34"/>
      <c r="J94" s="34"/>
      <c r="K94" s="35"/>
      <c r="L94" s="34"/>
      <c r="M94" s="32"/>
      <c r="N94" s="34"/>
      <c r="O94" s="34"/>
      <c r="P94" s="34"/>
      <c r="Q94" s="34"/>
      <c r="R94" s="34"/>
      <c r="S94" s="34"/>
      <c r="T94" s="34"/>
      <c r="U94" s="34"/>
      <c r="V94" s="34"/>
    </row>
    <row r="95" spans="2:22" x14ac:dyDescent="0.3">
      <c r="B95" s="33"/>
      <c r="C95" s="34"/>
      <c r="D95" s="39"/>
      <c r="E95" s="39"/>
      <c r="F95" s="39"/>
      <c r="G95" s="34"/>
      <c r="H95" s="32"/>
      <c r="I95" s="34"/>
      <c r="J95" s="34"/>
      <c r="K95" s="35"/>
      <c r="L95" s="34"/>
      <c r="M95" s="32"/>
      <c r="N95" s="34"/>
      <c r="O95" s="34"/>
      <c r="P95" s="34"/>
      <c r="Q95" s="34"/>
      <c r="R95" s="34"/>
      <c r="S95" s="34"/>
      <c r="T95" s="34"/>
      <c r="U95" s="34"/>
      <c r="V95" s="34"/>
    </row>
    <row r="96" spans="2:22" x14ac:dyDescent="0.3">
      <c r="B96" s="33"/>
      <c r="C96" s="34"/>
      <c r="D96" s="39"/>
      <c r="E96" s="39"/>
      <c r="F96" s="39"/>
      <c r="G96" s="34"/>
      <c r="H96" s="32"/>
      <c r="I96" s="34"/>
      <c r="J96" s="34"/>
      <c r="K96" s="35"/>
      <c r="L96" s="34"/>
      <c r="M96" s="32"/>
      <c r="N96" s="34"/>
      <c r="O96" s="34"/>
      <c r="P96" s="34"/>
      <c r="Q96" s="34"/>
      <c r="R96" s="34"/>
      <c r="S96" s="34"/>
      <c r="T96" s="34"/>
      <c r="U96" s="34"/>
      <c r="V96" s="34"/>
    </row>
    <row r="97" spans="2:22" x14ac:dyDescent="0.3">
      <c r="B97" s="33"/>
      <c r="C97" s="34"/>
      <c r="D97" s="39"/>
      <c r="E97" s="39"/>
      <c r="F97" s="39"/>
      <c r="G97" s="34"/>
      <c r="H97" s="32"/>
      <c r="I97" s="34"/>
      <c r="J97" s="34"/>
      <c r="K97" s="35"/>
      <c r="L97" s="34"/>
      <c r="M97" s="32"/>
      <c r="N97" s="34"/>
      <c r="O97" s="34"/>
      <c r="P97" s="34"/>
      <c r="Q97" s="34"/>
      <c r="R97" s="34"/>
      <c r="S97" s="34"/>
      <c r="T97" s="34"/>
      <c r="U97" s="34"/>
      <c r="V97" s="34"/>
    </row>
    <row r="98" spans="2:22" x14ac:dyDescent="0.3">
      <c r="B98" s="33"/>
      <c r="C98" s="34"/>
      <c r="D98" s="39"/>
      <c r="E98" s="39"/>
      <c r="F98" s="39"/>
      <c r="G98" s="34"/>
      <c r="H98" s="32"/>
      <c r="I98" s="34"/>
      <c r="J98" s="34"/>
      <c r="K98" s="35"/>
      <c r="L98" s="34"/>
      <c r="M98" s="32"/>
      <c r="N98" s="34"/>
      <c r="O98" s="34"/>
      <c r="P98" s="34"/>
      <c r="Q98" s="34"/>
      <c r="R98" s="34"/>
      <c r="S98" s="34"/>
      <c r="T98" s="34"/>
      <c r="U98" s="34"/>
      <c r="V98" s="34"/>
    </row>
    <row r="99" spans="2:22" x14ac:dyDescent="0.3">
      <c r="B99" s="33"/>
      <c r="C99" s="34"/>
      <c r="D99" s="39"/>
      <c r="E99" s="39"/>
      <c r="F99" s="39"/>
      <c r="G99" s="34"/>
      <c r="H99" s="32"/>
      <c r="I99" s="34"/>
      <c r="J99" s="34"/>
      <c r="K99" s="35"/>
      <c r="L99" s="34"/>
      <c r="M99" s="32"/>
      <c r="N99" s="34"/>
      <c r="O99" s="34"/>
      <c r="P99" s="34"/>
      <c r="Q99" s="34"/>
      <c r="R99" s="34"/>
      <c r="S99" s="34"/>
      <c r="T99" s="34"/>
      <c r="U99" s="34"/>
      <c r="V99" s="34"/>
    </row>
    <row r="100" spans="2:22" x14ac:dyDescent="0.3">
      <c r="B100" s="33"/>
      <c r="C100" s="34"/>
      <c r="D100" s="39"/>
      <c r="E100" s="39"/>
      <c r="F100" s="39"/>
      <c r="G100" s="34"/>
      <c r="H100" s="32"/>
      <c r="I100" s="34"/>
      <c r="J100" s="34"/>
      <c r="K100" s="35"/>
      <c r="L100" s="34"/>
      <c r="M100" s="32"/>
      <c r="N100" s="34"/>
      <c r="O100" s="34"/>
      <c r="P100" s="34"/>
      <c r="Q100" s="34"/>
      <c r="R100" s="34"/>
      <c r="S100" s="34"/>
      <c r="T100" s="34"/>
      <c r="U100" s="34"/>
      <c r="V100" s="34"/>
    </row>
    <row r="101" spans="2:22" x14ac:dyDescent="0.3">
      <c r="B101" s="33"/>
      <c r="C101" s="34"/>
      <c r="D101" s="39"/>
      <c r="E101" s="39"/>
      <c r="F101" s="39"/>
      <c r="G101" s="34"/>
      <c r="H101" s="32"/>
      <c r="I101" s="34"/>
      <c r="J101" s="34"/>
      <c r="K101" s="35"/>
      <c r="L101" s="34"/>
      <c r="M101" s="32"/>
      <c r="N101" s="34"/>
      <c r="O101" s="34"/>
      <c r="P101" s="34"/>
      <c r="Q101" s="34"/>
      <c r="R101" s="34"/>
      <c r="S101" s="34"/>
      <c r="T101" s="34"/>
      <c r="U101" s="34"/>
      <c r="V101" s="34"/>
    </row>
    <row r="102" spans="2:22" x14ac:dyDescent="0.3">
      <c r="B102" s="33"/>
      <c r="C102" s="34"/>
      <c r="D102" s="39"/>
      <c r="E102" s="39"/>
      <c r="F102" s="39"/>
      <c r="G102" s="34"/>
      <c r="H102" s="32"/>
      <c r="I102" s="34"/>
      <c r="J102" s="34"/>
      <c r="K102" s="35"/>
      <c r="L102" s="34"/>
      <c r="M102" s="32"/>
      <c r="N102" s="34"/>
      <c r="O102" s="34"/>
      <c r="P102" s="34"/>
      <c r="Q102" s="34"/>
      <c r="R102" s="34"/>
      <c r="S102" s="34"/>
      <c r="T102" s="34"/>
      <c r="U102" s="34"/>
      <c r="V102" s="34"/>
    </row>
    <row r="103" spans="2:22" x14ac:dyDescent="0.3">
      <c r="B103" s="33"/>
      <c r="C103" s="34"/>
      <c r="D103" s="39"/>
      <c r="E103" s="39"/>
      <c r="F103" s="39"/>
      <c r="G103" s="34"/>
      <c r="H103" s="32"/>
      <c r="I103" s="34"/>
      <c r="J103" s="34"/>
      <c r="K103" s="35"/>
      <c r="L103" s="34"/>
      <c r="M103" s="32"/>
      <c r="N103" s="34"/>
      <c r="O103" s="34"/>
      <c r="P103" s="34"/>
      <c r="Q103" s="34"/>
      <c r="R103" s="34"/>
      <c r="S103" s="34"/>
      <c r="T103" s="34"/>
      <c r="U103" s="34"/>
      <c r="V103" s="34"/>
    </row>
    <row r="104" spans="2:22" x14ac:dyDescent="0.3">
      <c r="B104" s="33"/>
      <c r="C104" s="34"/>
      <c r="D104" s="39"/>
      <c r="E104" s="39"/>
      <c r="F104" s="39"/>
      <c r="G104" s="34"/>
      <c r="H104" s="32"/>
      <c r="I104" s="34"/>
      <c r="J104" s="34"/>
      <c r="K104" s="35"/>
      <c r="L104" s="34"/>
      <c r="M104" s="32"/>
      <c r="N104" s="34"/>
      <c r="O104" s="34"/>
      <c r="P104" s="34"/>
      <c r="Q104" s="34"/>
      <c r="R104" s="34"/>
      <c r="S104" s="34"/>
      <c r="T104" s="34"/>
      <c r="U104" s="34"/>
      <c r="V104" s="34"/>
    </row>
    <row r="105" spans="2:22" x14ac:dyDescent="0.3">
      <c r="B105" s="33"/>
      <c r="C105" s="34"/>
      <c r="D105" s="39"/>
      <c r="E105" s="39"/>
      <c r="F105" s="39"/>
      <c r="G105" s="34"/>
      <c r="H105" s="32"/>
      <c r="I105" s="34"/>
      <c r="J105" s="34"/>
      <c r="K105" s="35"/>
      <c r="L105" s="34"/>
      <c r="M105" s="32"/>
      <c r="N105" s="34"/>
      <c r="O105" s="34"/>
      <c r="P105" s="34"/>
      <c r="Q105" s="34"/>
      <c r="R105" s="34"/>
      <c r="S105" s="34"/>
      <c r="T105" s="34"/>
      <c r="U105" s="34"/>
      <c r="V105" s="34"/>
    </row>
    <row r="106" spans="2:22" x14ac:dyDescent="0.3">
      <c r="B106" s="33"/>
      <c r="C106" s="34"/>
      <c r="D106" s="39"/>
      <c r="E106" s="39"/>
      <c r="F106" s="39"/>
      <c r="G106" s="34"/>
      <c r="H106" s="32"/>
      <c r="I106" s="34"/>
      <c r="J106" s="34"/>
      <c r="K106" s="35"/>
      <c r="L106" s="34"/>
      <c r="M106" s="32"/>
      <c r="N106" s="34"/>
      <c r="O106" s="34"/>
      <c r="P106" s="34"/>
      <c r="Q106" s="34"/>
      <c r="R106" s="34"/>
      <c r="S106" s="34"/>
      <c r="T106" s="34"/>
      <c r="U106" s="34"/>
      <c r="V106" s="34"/>
    </row>
    <row r="107" spans="2:22" x14ac:dyDescent="0.3">
      <c r="B107" s="33"/>
      <c r="C107" s="34"/>
      <c r="D107" s="39"/>
      <c r="E107" s="39"/>
      <c r="F107" s="39"/>
      <c r="G107" s="34"/>
      <c r="H107" s="32"/>
      <c r="I107" s="34"/>
      <c r="J107" s="34"/>
      <c r="K107" s="35"/>
      <c r="L107" s="34"/>
      <c r="M107" s="32"/>
      <c r="N107" s="34"/>
      <c r="O107" s="34"/>
      <c r="P107" s="34"/>
      <c r="Q107" s="34"/>
      <c r="R107" s="34"/>
      <c r="S107" s="34"/>
      <c r="T107" s="34"/>
      <c r="U107" s="34"/>
      <c r="V107" s="34"/>
    </row>
    <row r="108" spans="2:22" x14ac:dyDescent="0.3">
      <c r="B108" s="33"/>
      <c r="C108" s="34"/>
      <c r="D108" s="39"/>
      <c r="E108" s="39"/>
      <c r="F108" s="39"/>
      <c r="G108" s="34"/>
      <c r="H108" s="32"/>
      <c r="I108" s="34"/>
      <c r="J108" s="34"/>
      <c r="K108" s="35"/>
      <c r="L108" s="34"/>
      <c r="M108" s="32"/>
      <c r="N108" s="34"/>
      <c r="O108" s="34"/>
      <c r="P108" s="34"/>
      <c r="Q108" s="34"/>
      <c r="R108" s="34"/>
      <c r="S108" s="34"/>
      <c r="T108" s="34"/>
      <c r="U108" s="34"/>
      <c r="V108" s="34"/>
    </row>
    <row r="109" spans="2:22" x14ac:dyDescent="0.3">
      <c r="B109" s="33"/>
      <c r="C109" s="34"/>
      <c r="D109" s="39"/>
      <c r="E109" s="39"/>
      <c r="F109" s="39"/>
      <c r="G109" s="34"/>
      <c r="H109" s="32"/>
      <c r="I109" s="34"/>
      <c r="J109" s="34"/>
      <c r="K109" s="35"/>
      <c r="L109" s="34"/>
      <c r="M109" s="32"/>
      <c r="N109" s="34"/>
      <c r="O109" s="34"/>
      <c r="P109" s="34"/>
      <c r="Q109" s="34"/>
      <c r="R109" s="34"/>
      <c r="S109" s="34"/>
      <c r="T109" s="34"/>
      <c r="U109" s="34"/>
      <c r="V109" s="34"/>
    </row>
    <row r="110" spans="2:22" x14ac:dyDescent="0.3">
      <c r="B110" s="33"/>
      <c r="C110" s="34"/>
      <c r="D110" s="39"/>
      <c r="E110" s="39"/>
      <c r="F110" s="39"/>
      <c r="G110" s="34"/>
      <c r="H110" s="32"/>
      <c r="I110" s="34"/>
      <c r="J110" s="34"/>
      <c r="K110" s="35"/>
      <c r="L110" s="34"/>
      <c r="M110" s="32"/>
      <c r="N110" s="34"/>
      <c r="O110" s="34"/>
      <c r="P110" s="34"/>
      <c r="Q110" s="34"/>
      <c r="R110" s="34"/>
      <c r="S110" s="34"/>
      <c r="T110" s="34"/>
      <c r="U110" s="34"/>
      <c r="V110" s="34"/>
    </row>
    <row r="111" spans="2:22" x14ac:dyDescent="0.3">
      <c r="B111" s="33"/>
      <c r="C111" s="34"/>
      <c r="D111" s="39"/>
      <c r="E111" s="39"/>
      <c r="F111" s="39"/>
      <c r="G111" s="34"/>
      <c r="H111" s="32"/>
      <c r="I111" s="34"/>
      <c r="J111" s="34"/>
      <c r="K111" s="35"/>
      <c r="L111" s="34"/>
      <c r="M111" s="32"/>
      <c r="N111" s="34"/>
      <c r="O111" s="34"/>
      <c r="P111" s="34"/>
      <c r="Q111" s="34"/>
      <c r="R111" s="34"/>
      <c r="S111" s="34"/>
      <c r="T111" s="34"/>
      <c r="U111" s="34"/>
      <c r="V111" s="34"/>
    </row>
    <row r="112" spans="2:22" x14ac:dyDescent="0.3">
      <c r="B112" s="33"/>
      <c r="C112" s="34"/>
      <c r="D112" s="39"/>
      <c r="E112" s="39"/>
      <c r="F112" s="39"/>
      <c r="G112" s="34"/>
      <c r="H112" s="32"/>
      <c r="I112" s="34"/>
      <c r="J112" s="34"/>
      <c r="K112" s="35"/>
      <c r="L112" s="34"/>
      <c r="M112" s="32"/>
      <c r="N112" s="34"/>
      <c r="O112" s="34"/>
      <c r="P112" s="34"/>
      <c r="Q112" s="34"/>
      <c r="R112" s="34"/>
      <c r="S112" s="34"/>
      <c r="T112" s="34"/>
      <c r="U112" s="34"/>
      <c r="V112" s="34"/>
    </row>
    <row r="113" spans="2:22" x14ac:dyDescent="0.3">
      <c r="B113" s="33"/>
      <c r="C113" s="34"/>
      <c r="D113" s="39"/>
      <c r="E113" s="39"/>
      <c r="F113" s="39"/>
      <c r="G113" s="34"/>
      <c r="H113" s="32"/>
      <c r="I113" s="34"/>
      <c r="J113" s="34"/>
      <c r="K113" s="35"/>
      <c r="L113" s="34"/>
      <c r="M113" s="32"/>
      <c r="N113" s="34"/>
      <c r="O113" s="34"/>
      <c r="P113" s="34"/>
      <c r="Q113" s="34"/>
      <c r="R113" s="34"/>
      <c r="S113" s="34"/>
      <c r="T113" s="34"/>
      <c r="U113" s="34"/>
      <c r="V113" s="34"/>
    </row>
    <row r="114" spans="2:22" x14ac:dyDescent="0.3">
      <c r="B114" s="33"/>
      <c r="C114" s="34"/>
      <c r="D114" s="39"/>
      <c r="E114" s="39"/>
      <c r="F114" s="39"/>
      <c r="G114" s="34"/>
      <c r="H114" s="32"/>
      <c r="I114" s="34"/>
      <c r="J114" s="34"/>
      <c r="K114" s="35"/>
      <c r="L114" s="34"/>
      <c r="M114" s="32"/>
      <c r="N114" s="34"/>
      <c r="O114" s="34"/>
      <c r="P114" s="34"/>
      <c r="Q114" s="34"/>
      <c r="R114" s="34"/>
      <c r="S114" s="34"/>
      <c r="T114" s="34"/>
      <c r="U114" s="34"/>
      <c r="V114" s="34"/>
    </row>
    <row r="115" spans="2:22" x14ac:dyDescent="0.3">
      <c r="B115" s="33"/>
      <c r="C115" s="34"/>
      <c r="D115" s="39"/>
      <c r="E115" s="39"/>
      <c r="F115" s="39"/>
      <c r="G115" s="34"/>
      <c r="H115" s="32"/>
      <c r="I115" s="34"/>
      <c r="J115" s="34"/>
      <c r="K115" s="35"/>
      <c r="L115" s="34"/>
      <c r="M115" s="32"/>
      <c r="N115" s="34"/>
      <c r="O115" s="34"/>
      <c r="P115" s="34"/>
      <c r="Q115" s="34"/>
      <c r="R115" s="34"/>
      <c r="S115" s="34"/>
      <c r="T115" s="34"/>
      <c r="U115" s="34"/>
      <c r="V115" s="34"/>
    </row>
    <row r="116" spans="2:22" x14ac:dyDescent="0.3">
      <c r="B116" s="33"/>
      <c r="C116" s="34"/>
      <c r="D116" s="39"/>
      <c r="E116" s="39"/>
      <c r="F116" s="39"/>
      <c r="G116" s="34"/>
      <c r="H116" s="32"/>
      <c r="I116" s="34"/>
      <c r="J116" s="34"/>
      <c r="K116" s="35"/>
      <c r="L116" s="34"/>
      <c r="M116" s="32"/>
      <c r="N116" s="34"/>
      <c r="O116" s="34"/>
      <c r="P116" s="34"/>
      <c r="Q116" s="34"/>
      <c r="R116" s="34"/>
      <c r="S116" s="34"/>
      <c r="T116" s="34"/>
      <c r="U116" s="34"/>
      <c r="V116" s="34"/>
    </row>
    <row r="117" spans="2:22" x14ac:dyDescent="0.3">
      <c r="B117" s="33"/>
      <c r="C117" s="34"/>
      <c r="D117" s="39"/>
      <c r="E117" s="39"/>
      <c r="F117" s="39"/>
      <c r="G117" s="34"/>
      <c r="H117" s="32"/>
      <c r="I117" s="34"/>
      <c r="J117" s="34"/>
      <c r="K117" s="35"/>
      <c r="L117" s="34"/>
      <c r="M117" s="32"/>
      <c r="N117" s="34"/>
      <c r="O117" s="34"/>
      <c r="P117" s="34"/>
      <c r="Q117" s="34"/>
      <c r="R117" s="34"/>
      <c r="S117" s="34"/>
      <c r="T117" s="34"/>
      <c r="U117" s="34"/>
      <c r="V117" s="34"/>
    </row>
    <row r="118" spans="2:22" x14ac:dyDescent="0.3">
      <c r="B118" s="33"/>
      <c r="C118" s="34"/>
      <c r="D118" s="39"/>
      <c r="E118" s="39"/>
      <c r="F118" s="39"/>
      <c r="G118" s="34"/>
      <c r="H118" s="32"/>
      <c r="I118" s="34"/>
      <c r="J118" s="34"/>
      <c r="K118" s="35"/>
      <c r="L118" s="34"/>
      <c r="M118" s="32"/>
      <c r="N118" s="34"/>
      <c r="O118" s="34"/>
      <c r="P118" s="34"/>
      <c r="Q118" s="34"/>
      <c r="R118" s="34"/>
      <c r="S118" s="34"/>
      <c r="T118" s="34"/>
      <c r="U118" s="34"/>
      <c r="V118" s="34"/>
    </row>
    <row r="119" spans="2:22" x14ac:dyDescent="0.3">
      <c r="B119" s="33"/>
      <c r="C119" s="34"/>
      <c r="D119" s="39"/>
      <c r="E119" s="39"/>
      <c r="F119" s="39"/>
      <c r="G119" s="34"/>
      <c r="H119" s="32"/>
      <c r="I119" s="34"/>
      <c r="J119" s="34"/>
      <c r="K119" s="35"/>
      <c r="L119" s="34"/>
      <c r="M119" s="32"/>
      <c r="N119" s="34"/>
      <c r="O119" s="34"/>
      <c r="P119" s="34"/>
      <c r="Q119" s="34"/>
      <c r="R119" s="34"/>
      <c r="S119" s="34"/>
      <c r="T119" s="34"/>
      <c r="U119" s="34"/>
      <c r="V119" s="34"/>
    </row>
    <row r="120" spans="2:22" x14ac:dyDescent="0.3">
      <c r="B120" s="33"/>
      <c r="C120" s="34"/>
      <c r="D120" s="39"/>
      <c r="E120" s="39"/>
      <c r="F120" s="39"/>
      <c r="G120" s="34"/>
      <c r="H120" s="32"/>
      <c r="I120" s="34"/>
      <c r="J120" s="34"/>
      <c r="K120" s="35"/>
      <c r="L120" s="34"/>
      <c r="M120" s="32"/>
      <c r="N120" s="34"/>
      <c r="O120" s="34"/>
      <c r="P120" s="34"/>
      <c r="Q120" s="34"/>
      <c r="R120" s="34"/>
      <c r="S120" s="34"/>
      <c r="T120" s="34"/>
      <c r="U120" s="34"/>
      <c r="V120" s="34"/>
    </row>
    <row r="121" spans="2:22" x14ac:dyDescent="0.3">
      <c r="B121" s="33"/>
      <c r="C121" s="34"/>
      <c r="D121" s="39"/>
      <c r="E121" s="39"/>
      <c r="F121" s="39"/>
      <c r="G121" s="34"/>
      <c r="H121" s="32"/>
      <c r="I121" s="34"/>
      <c r="J121" s="34"/>
      <c r="K121" s="35"/>
      <c r="L121" s="34"/>
      <c r="M121" s="32"/>
      <c r="N121" s="34"/>
      <c r="O121" s="34"/>
      <c r="P121" s="34"/>
      <c r="Q121" s="34"/>
      <c r="R121" s="34"/>
      <c r="S121" s="34"/>
      <c r="T121" s="34"/>
      <c r="U121" s="34"/>
      <c r="V121" s="34"/>
    </row>
    <row r="122" spans="2:22" x14ac:dyDescent="0.3">
      <c r="B122" s="33"/>
      <c r="C122" s="34"/>
      <c r="D122" s="39"/>
      <c r="E122" s="39"/>
      <c r="F122" s="39"/>
      <c r="G122" s="34"/>
      <c r="H122" s="32"/>
      <c r="I122" s="34"/>
      <c r="J122" s="34"/>
      <c r="K122" s="35"/>
      <c r="L122" s="34"/>
      <c r="M122" s="32"/>
      <c r="N122" s="34"/>
      <c r="O122" s="34"/>
      <c r="P122" s="34"/>
      <c r="Q122" s="34"/>
      <c r="R122" s="34"/>
      <c r="S122" s="34"/>
      <c r="T122" s="34"/>
      <c r="U122" s="34"/>
      <c r="V122" s="34"/>
    </row>
    <row r="123" spans="2:22" x14ac:dyDescent="0.3">
      <c r="B123" s="33"/>
      <c r="C123" s="34"/>
      <c r="D123" s="39"/>
      <c r="E123" s="39"/>
      <c r="F123" s="39"/>
      <c r="G123" s="34"/>
      <c r="H123" s="32"/>
      <c r="I123" s="34"/>
      <c r="J123" s="34"/>
      <c r="K123" s="35"/>
      <c r="L123" s="34"/>
      <c r="M123" s="32"/>
      <c r="N123" s="34"/>
      <c r="O123" s="34"/>
      <c r="P123" s="34"/>
      <c r="Q123" s="34"/>
      <c r="R123" s="34"/>
      <c r="S123" s="34"/>
      <c r="T123" s="34"/>
      <c r="U123" s="34"/>
      <c r="V123" s="34"/>
    </row>
    <row r="124" spans="2:22" x14ac:dyDescent="0.3">
      <c r="B124" s="33"/>
      <c r="C124" s="34"/>
      <c r="D124" s="39"/>
      <c r="E124" s="39"/>
      <c r="F124" s="39"/>
      <c r="G124" s="34"/>
      <c r="H124" s="32"/>
      <c r="I124" s="34"/>
      <c r="J124" s="34"/>
      <c r="K124" s="35"/>
      <c r="L124" s="34"/>
      <c r="M124" s="32"/>
      <c r="N124" s="34"/>
      <c r="O124" s="34"/>
      <c r="P124" s="34"/>
      <c r="Q124" s="34"/>
      <c r="R124" s="34"/>
      <c r="S124" s="34"/>
      <c r="T124" s="34"/>
      <c r="U124" s="34"/>
      <c r="V124" s="34"/>
    </row>
    <row r="125" spans="2:22" x14ac:dyDescent="0.3">
      <c r="B125" s="33"/>
      <c r="C125" s="34"/>
      <c r="D125" s="39"/>
      <c r="E125" s="39"/>
      <c r="F125" s="39"/>
      <c r="G125" s="34"/>
      <c r="H125" s="32"/>
      <c r="I125" s="34"/>
      <c r="J125" s="34"/>
      <c r="K125" s="35"/>
      <c r="L125" s="34"/>
      <c r="M125" s="32"/>
      <c r="N125" s="34"/>
      <c r="O125" s="34"/>
      <c r="P125" s="34"/>
      <c r="Q125" s="34"/>
      <c r="R125" s="34"/>
      <c r="S125" s="34"/>
      <c r="T125" s="34"/>
      <c r="U125" s="34"/>
      <c r="V125" s="34"/>
    </row>
    <row r="126" spans="2:22" x14ac:dyDescent="0.3">
      <c r="B126" s="33"/>
      <c r="C126" s="34"/>
      <c r="D126" s="39"/>
      <c r="E126" s="39"/>
      <c r="F126" s="39"/>
      <c r="G126" s="34"/>
      <c r="H126" s="32"/>
      <c r="I126" s="34"/>
      <c r="J126" s="34"/>
      <c r="K126" s="35"/>
      <c r="L126" s="34"/>
      <c r="M126" s="32"/>
      <c r="N126" s="34"/>
      <c r="O126" s="34"/>
      <c r="P126" s="34"/>
      <c r="Q126" s="34"/>
      <c r="R126" s="34"/>
      <c r="S126" s="34"/>
      <c r="T126" s="34"/>
      <c r="U126" s="34"/>
      <c r="V126" s="34"/>
    </row>
    <row r="127" spans="2:22" x14ac:dyDescent="0.3">
      <c r="B127" s="33"/>
      <c r="C127" s="34"/>
      <c r="D127" s="39"/>
      <c r="E127" s="39"/>
      <c r="F127" s="39"/>
      <c r="G127" s="34"/>
      <c r="H127" s="32"/>
      <c r="I127" s="34"/>
      <c r="J127" s="34"/>
      <c r="K127" s="35"/>
      <c r="L127" s="34"/>
      <c r="M127" s="32"/>
      <c r="N127" s="34"/>
      <c r="O127" s="34"/>
      <c r="P127" s="34"/>
      <c r="Q127" s="34"/>
      <c r="R127" s="34"/>
      <c r="S127" s="34"/>
      <c r="T127" s="34"/>
      <c r="U127" s="34"/>
      <c r="V127" s="34"/>
    </row>
    <row r="128" spans="2:22" x14ac:dyDescent="0.3">
      <c r="B128" s="33"/>
      <c r="C128" s="34"/>
      <c r="D128" s="39"/>
      <c r="E128" s="39"/>
      <c r="F128" s="39"/>
      <c r="G128" s="34"/>
      <c r="H128" s="32"/>
      <c r="I128" s="34"/>
      <c r="J128" s="34"/>
      <c r="K128" s="35"/>
      <c r="L128" s="34"/>
      <c r="M128" s="32"/>
      <c r="N128" s="34"/>
      <c r="O128" s="34"/>
      <c r="P128" s="34"/>
      <c r="Q128" s="34"/>
      <c r="R128" s="34"/>
      <c r="S128" s="34"/>
      <c r="T128" s="34"/>
      <c r="U128" s="34"/>
      <c r="V128" s="34"/>
    </row>
    <row r="129" spans="2:22" x14ac:dyDescent="0.3">
      <c r="B129" s="33"/>
      <c r="C129" s="34"/>
      <c r="D129" s="39"/>
      <c r="E129" s="39"/>
      <c r="F129" s="39"/>
      <c r="G129" s="34"/>
      <c r="H129" s="32"/>
      <c r="I129" s="34"/>
      <c r="J129" s="34"/>
      <c r="K129" s="35"/>
      <c r="L129" s="34"/>
      <c r="M129" s="32"/>
      <c r="N129" s="34"/>
      <c r="O129" s="34"/>
      <c r="P129" s="34"/>
      <c r="Q129" s="34"/>
      <c r="R129" s="34"/>
      <c r="S129" s="34"/>
      <c r="T129" s="34"/>
      <c r="U129" s="34"/>
      <c r="V129" s="34"/>
    </row>
    <row r="130" spans="2:22" x14ac:dyDescent="0.3">
      <c r="B130" s="33"/>
      <c r="C130" s="34"/>
      <c r="D130" s="39"/>
      <c r="E130" s="39"/>
      <c r="F130" s="39"/>
      <c r="G130" s="34"/>
      <c r="H130" s="32"/>
      <c r="I130" s="34"/>
      <c r="J130" s="34"/>
      <c r="K130" s="35"/>
      <c r="L130" s="34"/>
      <c r="M130" s="32"/>
      <c r="N130" s="34"/>
      <c r="O130" s="34"/>
      <c r="P130" s="34"/>
      <c r="Q130" s="34"/>
      <c r="R130" s="34"/>
      <c r="S130" s="34"/>
      <c r="T130" s="34"/>
      <c r="U130" s="34"/>
      <c r="V130" s="34"/>
    </row>
    <row r="131" spans="2:22" x14ac:dyDescent="0.3">
      <c r="B131" s="33"/>
      <c r="C131" s="34"/>
      <c r="D131" s="39"/>
      <c r="E131" s="39"/>
      <c r="F131" s="39"/>
      <c r="G131" s="34"/>
      <c r="H131" s="32"/>
      <c r="I131" s="34"/>
      <c r="J131" s="34"/>
      <c r="K131" s="35"/>
      <c r="L131" s="34"/>
      <c r="M131" s="32"/>
      <c r="N131" s="34"/>
      <c r="O131" s="34"/>
      <c r="P131" s="34"/>
      <c r="Q131" s="34"/>
      <c r="R131" s="34"/>
      <c r="S131" s="34"/>
      <c r="T131" s="34"/>
      <c r="U131" s="34"/>
      <c r="V131" s="34"/>
    </row>
    <row r="132" spans="2:22" x14ac:dyDescent="0.3">
      <c r="B132" s="33"/>
      <c r="C132" s="34"/>
      <c r="D132" s="39"/>
      <c r="E132" s="39"/>
      <c r="F132" s="39"/>
      <c r="G132" s="34"/>
      <c r="H132" s="32"/>
      <c r="I132" s="34"/>
      <c r="J132" s="34"/>
      <c r="K132" s="35"/>
      <c r="L132" s="34"/>
      <c r="M132" s="32"/>
      <c r="N132" s="34"/>
      <c r="O132" s="34"/>
      <c r="P132" s="34"/>
      <c r="Q132" s="34"/>
      <c r="R132" s="34"/>
      <c r="S132" s="34"/>
      <c r="T132" s="34"/>
      <c r="U132" s="34"/>
      <c r="V132" s="34"/>
    </row>
    <row r="133" spans="2:22" x14ac:dyDescent="0.3">
      <c r="B133" s="33"/>
      <c r="C133" s="34"/>
      <c r="D133" s="39"/>
      <c r="E133" s="39"/>
      <c r="F133" s="39"/>
      <c r="G133" s="34"/>
      <c r="H133" s="32"/>
      <c r="I133" s="34"/>
      <c r="J133" s="34"/>
      <c r="K133" s="35"/>
      <c r="L133" s="34"/>
      <c r="M133" s="32"/>
      <c r="N133" s="34"/>
      <c r="O133" s="34"/>
      <c r="P133" s="34"/>
      <c r="Q133" s="34"/>
      <c r="R133" s="34"/>
      <c r="S133" s="34"/>
      <c r="T133" s="34"/>
      <c r="U133" s="34"/>
      <c r="V133" s="34"/>
    </row>
    <row r="134" spans="2:22" x14ac:dyDescent="0.3">
      <c r="B134" s="33"/>
      <c r="C134" s="34"/>
      <c r="D134" s="39"/>
      <c r="E134" s="39"/>
      <c r="F134" s="39"/>
      <c r="G134" s="34"/>
      <c r="H134" s="32"/>
      <c r="I134" s="34"/>
      <c r="J134" s="34"/>
      <c r="K134" s="35"/>
      <c r="L134" s="34"/>
      <c r="M134" s="32"/>
      <c r="N134" s="34"/>
      <c r="O134" s="34"/>
      <c r="P134" s="34"/>
      <c r="Q134" s="34"/>
      <c r="R134" s="34"/>
      <c r="S134" s="34"/>
      <c r="T134" s="34"/>
      <c r="U134" s="34"/>
      <c r="V134" s="34"/>
    </row>
    <row r="135" spans="2:22" x14ac:dyDescent="0.3">
      <c r="B135" s="33"/>
      <c r="C135" s="34"/>
      <c r="D135" s="39"/>
      <c r="E135" s="39"/>
      <c r="F135" s="39"/>
      <c r="G135" s="34"/>
      <c r="H135" s="32"/>
      <c r="I135" s="34"/>
      <c r="J135" s="34"/>
      <c r="K135" s="35"/>
      <c r="L135" s="34"/>
      <c r="M135" s="32"/>
      <c r="N135" s="34"/>
      <c r="O135" s="34"/>
      <c r="P135" s="34"/>
      <c r="Q135" s="34"/>
      <c r="R135" s="34"/>
      <c r="S135" s="34"/>
      <c r="T135" s="34"/>
      <c r="U135" s="34"/>
      <c r="V135" s="34"/>
    </row>
    <row r="136" spans="2:22" x14ac:dyDescent="0.3">
      <c r="B136" s="33"/>
      <c r="C136" s="34"/>
      <c r="D136" s="39"/>
      <c r="E136" s="39"/>
      <c r="F136" s="39"/>
      <c r="G136" s="34"/>
      <c r="H136" s="32"/>
      <c r="I136" s="34"/>
      <c r="J136" s="34"/>
      <c r="K136" s="35"/>
      <c r="L136" s="34"/>
      <c r="M136" s="32"/>
      <c r="N136" s="34"/>
      <c r="O136" s="34"/>
      <c r="P136" s="34"/>
      <c r="Q136" s="34"/>
      <c r="R136" s="34"/>
      <c r="S136" s="34"/>
      <c r="T136" s="34"/>
      <c r="U136" s="34"/>
      <c r="V136" s="34"/>
    </row>
    <row r="137" spans="2:22" x14ac:dyDescent="0.3">
      <c r="B137" s="33"/>
      <c r="C137" s="34"/>
      <c r="D137" s="39"/>
      <c r="E137" s="39"/>
      <c r="F137" s="39"/>
      <c r="G137" s="34"/>
      <c r="H137" s="32"/>
      <c r="I137" s="34"/>
      <c r="J137" s="34"/>
      <c r="K137" s="35"/>
      <c r="L137" s="34"/>
      <c r="M137" s="32"/>
      <c r="N137" s="34"/>
      <c r="O137" s="34"/>
      <c r="P137" s="34"/>
      <c r="Q137" s="34"/>
      <c r="R137" s="34"/>
      <c r="S137" s="34"/>
      <c r="T137" s="34"/>
      <c r="U137" s="34"/>
      <c r="V137" s="34"/>
    </row>
    <row r="138" spans="2:22" x14ac:dyDescent="0.3">
      <c r="B138" s="33"/>
      <c r="C138" s="34"/>
      <c r="D138" s="39"/>
      <c r="E138" s="39"/>
      <c r="F138" s="39"/>
      <c r="G138" s="34"/>
      <c r="H138" s="32"/>
      <c r="I138" s="34"/>
      <c r="J138" s="34"/>
      <c r="K138" s="35"/>
      <c r="L138" s="34"/>
      <c r="M138" s="32"/>
      <c r="N138" s="34"/>
      <c r="O138" s="34"/>
      <c r="P138" s="34"/>
      <c r="Q138" s="34"/>
      <c r="R138" s="34"/>
      <c r="S138" s="34"/>
      <c r="T138" s="34"/>
      <c r="U138" s="34"/>
      <c r="V138" s="34"/>
    </row>
    <row r="139" spans="2:22" x14ac:dyDescent="0.3">
      <c r="B139" s="33"/>
      <c r="C139" s="34"/>
      <c r="D139" s="39"/>
      <c r="E139" s="39"/>
      <c r="F139" s="39"/>
      <c r="G139" s="34"/>
      <c r="H139" s="32"/>
      <c r="I139" s="34"/>
      <c r="J139" s="34"/>
      <c r="K139" s="35"/>
      <c r="L139" s="34"/>
      <c r="M139" s="32"/>
      <c r="N139" s="34"/>
      <c r="O139" s="34"/>
      <c r="P139" s="34"/>
      <c r="Q139" s="34"/>
      <c r="R139" s="34"/>
      <c r="S139" s="34"/>
      <c r="T139" s="34"/>
      <c r="U139" s="34"/>
      <c r="V139" s="34"/>
    </row>
    <row r="140" spans="2:22" x14ac:dyDescent="0.3">
      <c r="B140" s="33"/>
      <c r="C140" s="34"/>
      <c r="D140" s="39"/>
      <c r="E140" s="39"/>
      <c r="F140" s="39"/>
      <c r="G140" s="34"/>
      <c r="H140" s="32"/>
      <c r="I140" s="34"/>
      <c r="J140" s="34"/>
      <c r="K140" s="35"/>
      <c r="L140" s="34"/>
      <c r="M140" s="32"/>
      <c r="N140" s="34"/>
      <c r="O140" s="34"/>
      <c r="P140" s="34"/>
      <c r="Q140" s="34"/>
      <c r="R140" s="34"/>
      <c r="S140" s="34"/>
      <c r="T140" s="34"/>
      <c r="U140" s="34"/>
      <c r="V140" s="34"/>
    </row>
    <row r="141" spans="2:22" x14ac:dyDescent="0.3">
      <c r="B141" s="33"/>
      <c r="C141" s="34"/>
      <c r="D141" s="39"/>
      <c r="E141" s="39"/>
      <c r="F141" s="39"/>
      <c r="G141" s="34"/>
      <c r="H141" s="32"/>
      <c r="I141" s="34"/>
      <c r="J141" s="34"/>
      <c r="K141" s="35"/>
      <c r="L141" s="34"/>
      <c r="M141" s="32"/>
      <c r="N141" s="34"/>
      <c r="O141" s="34"/>
      <c r="P141" s="34"/>
      <c r="Q141" s="34"/>
      <c r="R141" s="34"/>
      <c r="S141" s="34"/>
      <c r="T141" s="34"/>
      <c r="U141" s="34"/>
      <c r="V141" s="34"/>
    </row>
    <row r="142" spans="2:22" x14ac:dyDescent="0.3">
      <c r="B142" s="33"/>
      <c r="C142" s="34"/>
      <c r="D142" s="39"/>
      <c r="E142" s="39"/>
      <c r="F142" s="39"/>
      <c r="G142" s="34"/>
      <c r="H142" s="32"/>
      <c r="I142" s="34"/>
      <c r="J142" s="34"/>
      <c r="K142" s="35"/>
      <c r="L142" s="34"/>
      <c r="M142" s="32"/>
      <c r="N142" s="34"/>
      <c r="O142" s="34"/>
      <c r="P142" s="34"/>
      <c r="Q142" s="34"/>
      <c r="R142" s="34"/>
      <c r="S142" s="34"/>
      <c r="T142" s="34"/>
      <c r="U142" s="34"/>
      <c r="V142" s="34"/>
    </row>
    <row r="143" spans="2:22" x14ac:dyDescent="0.3">
      <c r="B143" s="33"/>
      <c r="C143" s="34"/>
      <c r="D143" s="39"/>
      <c r="E143" s="39"/>
      <c r="F143" s="39"/>
      <c r="G143" s="34"/>
      <c r="H143" s="32"/>
      <c r="I143" s="34"/>
      <c r="J143" s="34"/>
      <c r="K143" s="35"/>
      <c r="L143" s="34"/>
      <c r="M143" s="32"/>
      <c r="N143" s="34"/>
      <c r="O143" s="34"/>
      <c r="P143" s="34"/>
      <c r="Q143" s="34"/>
      <c r="R143" s="34"/>
      <c r="S143" s="34"/>
      <c r="T143" s="34"/>
      <c r="U143" s="34"/>
      <c r="V143" s="34"/>
    </row>
    <row r="144" spans="2:22" x14ac:dyDescent="0.3">
      <c r="B144" s="33"/>
      <c r="C144" s="34"/>
      <c r="D144" s="39"/>
      <c r="E144" s="39"/>
      <c r="F144" s="39"/>
      <c r="G144" s="34"/>
      <c r="H144" s="32"/>
      <c r="I144" s="34"/>
      <c r="J144" s="34"/>
      <c r="K144" s="35"/>
      <c r="L144" s="34"/>
      <c r="M144" s="32"/>
      <c r="N144" s="34"/>
      <c r="O144" s="34"/>
      <c r="P144" s="34"/>
      <c r="Q144" s="34"/>
      <c r="R144" s="34"/>
      <c r="S144" s="34"/>
      <c r="T144" s="34"/>
      <c r="U144" s="34"/>
      <c r="V144" s="34"/>
    </row>
    <row r="145" spans="2:22" x14ac:dyDescent="0.3">
      <c r="B145" s="33"/>
      <c r="C145" s="34"/>
      <c r="D145" s="39"/>
      <c r="E145" s="39"/>
      <c r="F145" s="39"/>
      <c r="G145" s="34"/>
      <c r="H145" s="32"/>
      <c r="I145" s="34"/>
      <c r="J145" s="34"/>
      <c r="K145" s="35"/>
      <c r="L145" s="34"/>
      <c r="M145" s="32"/>
      <c r="N145" s="34"/>
      <c r="O145" s="34"/>
      <c r="P145" s="34"/>
      <c r="Q145" s="34"/>
      <c r="R145" s="34"/>
      <c r="S145" s="34"/>
      <c r="T145" s="34"/>
      <c r="U145" s="34"/>
      <c r="V145" s="34"/>
    </row>
    <row r="146" spans="2:22" x14ac:dyDescent="0.3">
      <c r="B146" s="33"/>
      <c r="C146" s="34"/>
      <c r="D146" s="39"/>
      <c r="E146" s="39"/>
      <c r="F146" s="39"/>
      <c r="G146" s="34"/>
      <c r="H146" s="32"/>
      <c r="I146" s="34"/>
      <c r="J146" s="34"/>
      <c r="K146" s="35"/>
      <c r="L146" s="34"/>
      <c r="M146" s="32"/>
      <c r="N146" s="34"/>
      <c r="O146" s="34"/>
      <c r="P146" s="34"/>
      <c r="Q146" s="34"/>
      <c r="R146" s="34"/>
      <c r="S146" s="34"/>
      <c r="T146" s="34"/>
      <c r="U146" s="34"/>
      <c r="V146" s="34"/>
    </row>
    <row r="147" spans="2:22" x14ac:dyDescent="0.3">
      <c r="B147" s="33"/>
      <c r="C147" s="34"/>
      <c r="D147" s="39"/>
      <c r="E147" s="39"/>
      <c r="F147" s="39"/>
      <c r="G147" s="34"/>
      <c r="H147" s="32"/>
      <c r="I147" s="34"/>
      <c r="J147" s="34"/>
      <c r="K147" s="35"/>
      <c r="L147" s="34"/>
      <c r="M147" s="32"/>
      <c r="N147" s="34"/>
      <c r="O147" s="34"/>
      <c r="P147" s="34"/>
      <c r="Q147" s="34"/>
      <c r="R147" s="34"/>
      <c r="S147" s="34"/>
      <c r="T147" s="34"/>
      <c r="U147" s="34"/>
      <c r="V147" s="34"/>
    </row>
    <row r="148" spans="2:22" x14ac:dyDescent="0.3">
      <c r="B148" s="33"/>
      <c r="C148" s="34"/>
      <c r="D148" s="39"/>
      <c r="E148" s="39"/>
      <c r="F148" s="39"/>
      <c r="G148" s="34"/>
      <c r="H148" s="32"/>
      <c r="I148" s="34"/>
      <c r="J148" s="34"/>
      <c r="K148" s="35"/>
      <c r="L148" s="34"/>
      <c r="M148" s="32"/>
      <c r="N148" s="34"/>
      <c r="O148" s="34"/>
      <c r="P148" s="34"/>
      <c r="Q148" s="34"/>
      <c r="R148" s="34"/>
      <c r="S148" s="34"/>
      <c r="T148" s="34"/>
      <c r="U148" s="34"/>
      <c r="V148" s="34"/>
    </row>
    <row r="149" spans="2:22" x14ac:dyDescent="0.3">
      <c r="B149" s="33"/>
      <c r="C149" s="34"/>
      <c r="D149" s="39"/>
      <c r="E149" s="39"/>
      <c r="F149" s="39"/>
      <c r="G149" s="34"/>
      <c r="H149" s="32"/>
      <c r="I149" s="34"/>
      <c r="J149" s="34"/>
      <c r="K149" s="35"/>
      <c r="L149" s="34"/>
      <c r="M149" s="32"/>
      <c r="N149" s="34"/>
      <c r="O149" s="34"/>
      <c r="P149" s="34"/>
      <c r="Q149" s="34"/>
      <c r="R149" s="34"/>
      <c r="S149" s="34"/>
      <c r="T149" s="34"/>
      <c r="U149" s="34"/>
      <c r="V149" s="34"/>
    </row>
    <row r="150" spans="2:22" x14ac:dyDescent="0.3">
      <c r="B150" s="33"/>
      <c r="C150" s="34"/>
      <c r="D150" s="39"/>
      <c r="E150" s="39"/>
      <c r="F150" s="39"/>
      <c r="G150" s="34"/>
      <c r="H150" s="32"/>
      <c r="I150" s="34"/>
      <c r="J150" s="34"/>
      <c r="K150" s="35"/>
      <c r="L150" s="34"/>
      <c r="M150" s="32"/>
      <c r="N150" s="34"/>
      <c r="O150" s="34"/>
      <c r="P150" s="34"/>
      <c r="Q150" s="34"/>
      <c r="R150" s="34"/>
      <c r="S150" s="34"/>
      <c r="T150" s="34"/>
      <c r="U150" s="34"/>
      <c r="V150" s="34"/>
    </row>
    <row r="151" spans="2:22" x14ac:dyDescent="0.3">
      <c r="B151" s="33"/>
      <c r="C151" s="34"/>
      <c r="D151" s="39"/>
      <c r="E151" s="39"/>
      <c r="F151" s="39"/>
      <c r="G151" s="34"/>
      <c r="H151" s="32"/>
      <c r="I151" s="34"/>
      <c r="J151" s="34"/>
      <c r="K151" s="35"/>
      <c r="L151" s="34"/>
      <c r="M151" s="32"/>
      <c r="N151" s="34"/>
      <c r="O151" s="34"/>
      <c r="P151" s="34"/>
      <c r="Q151" s="34"/>
      <c r="R151" s="34"/>
      <c r="S151" s="34"/>
      <c r="T151" s="34"/>
      <c r="U151" s="34"/>
      <c r="V151" s="34"/>
    </row>
    <row r="152" spans="2:22" x14ac:dyDescent="0.3">
      <c r="B152" s="33"/>
      <c r="C152" s="34"/>
      <c r="D152" s="39"/>
      <c r="E152" s="39"/>
      <c r="F152" s="39"/>
      <c r="G152" s="34"/>
      <c r="H152" s="32"/>
      <c r="I152" s="34"/>
      <c r="J152" s="34"/>
      <c r="K152" s="35"/>
      <c r="L152" s="34"/>
      <c r="M152" s="32"/>
      <c r="N152" s="34"/>
      <c r="O152" s="34"/>
      <c r="P152" s="34"/>
      <c r="Q152" s="34"/>
      <c r="R152" s="34"/>
      <c r="S152" s="34"/>
      <c r="T152" s="34"/>
      <c r="U152" s="34"/>
      <c r="V152" s="34"/>
    </row>
    <row r="153" spans="2:22" x14ac:dyDescent="0.3">
      <c r="B153" s="33"/>
      <c r="C153" s="34"/>
      <c r="D153" s="39"/>
      <c r="E153" s="39"/>
      <c r="F153" s="39"/>
      <c r="G153" s="34"/>
      <c r="H153" s="32"/>
      <c r="I153" s="34"/>
      <c r="J153" s="34"/>
      <c r="K153" s="35"/>
      <c r="L153" s="34"/>
      <c r="M153" s="32"/>
      <c r="N153" s="34"/>
      <c r="O153" s="34"/>
      <c r="P153" s="34"/>
      <c r="Q153" s="34"/>
      <c r="R153" s="34"/>
      <c r="S153" s="34"/>
      <c r="T153" s="34"/>
      <c r="U153" s="34"/>
      <c r="V153" s="34"/>
    </row>
    <row r="154" spans="2:22" x14ac:dyDescent="0.3">
      <c r="B154" s="33"/>
      <c r="C154" s="34"/>
      <c r="D154" s="39"/>
      <c r="E154" s="39"/>
      <c r="F154" s="39"/>
      <c r="G154" s="34"/>
      <c r="H154" s="32"/>
      <c r="I154" s="34"/>
      <c r="J154" s="34"/>
      <c r="K154" s="35"/>
      <c r="L154" s="34"/>
      <c r="M154" s="32"/>
      <c r="N154" s="34"/>
      <c r="O154" s="34"/>
      <c r="P154" s="34"/>
      <c r="Q154" s="34"/>
      <c r="R154" s="34"/>
      <c r="S154" s="34"/>
      <c r="T154" s="34"/>
      <c r="U154" s="34"/>
      <c r="V154" s="34"/>
    </row>
    <row r="155" spans="2:22" x14ac:dyDescent="0.3">
      <c r="B155" s="33"/>
      <c r="C155" s="34"/>
      <c r="D155" s="39"/>
      <c r="E155" s="39"/>
      <c r="F155" s="39"/>
      <c r="G155" s="34"/>
      <c r="H155" s="32"/>
      <c r="I155" s="34"/>
      <c r="J155" s="34"/>
      <c r="K155" s="35"/>
      <c r="L155" s="34"/>
      <c r="M155" s="32"/>
      <c r="N155" s="34"/>
      <c r="O155" s="34"/>
      <c r="P155" s="34"/>
      <c r="Q155" s="34"/>
      <c r="R155" s="34"/>
      <c r="S155" s="34"/>
      <c r="T155" s="34"/>
      <c r="U155" s="34"/>
      <c r="V155" s="34"/>
    </row>
    <row r="156" spans="2:22" x14ac:dyDescent="0.3">
      <c r="B156" s="33"/>
      <c r="C156" s="34"/>
      <c r="D156" s="39"/>
      <c r="E156" s="39"/>
      <c r="F156" s="39"/>
      <c r="G156" s="34"/>
      <c r="H156" s="32"/>
      <c r="I156" s="34"/>
      <c r="J156" s="34"/>
      <c r="K156" s="35"/>
      <c r="L156" s="34"/>
      <c r="M156" s="32"/>
      <c r="N156" s="34"/>
      <c r="O156" s="34"/>
      <c r="P156" s="34"/>
      <c r="Q156" s="34"/>
      <c r="R156" s="34"/>
      <c r="S156" s="34"/>
      <c r="T156" s="34"/>
      <c r="U156" s="34"/>
      <c r="V156" s="34"/>
    </row>
    <row r="157" spans="2:22" x14ac:dyDescent="0.3">
      <c r="B157" s="33"/>
      <c r="C157" s="34"/>
      <c r="D157" s="39"/>
      <c r="E157" s="39"/>
      <c r="F157" s="39"/>
      <c r="G157" s="34"/>
      <c r="H157" s="32"/>
      <c r="I157" s="34"/>
      <c r="J157" s="34"/>
      <c r="K157" s="35"/>
      <c r="L157" s="34"/>
      <c r="M157" s="32"/>
      <c r="N157" s="34"/>
      <c r="O157" s="34"/>
      <c r="P157" s="34"/>
      <c r="Q157" s="34"/>
      <c r="R157" s="34"/>
      <c r="S157" s="34"/>
      <c r="T157" s="34"/>
      <c r="U157" s="34"/>
      <c r="V157" s="34"/>
    </row>
    <row r="158" spans="2:22" x14ac:dyDescent="0.3">
      <c r="B158" s="33"/>
      <c r="C158" s="34"/>
      <c r="D158" s="39"/>
      <c r="E158" s="39"/>
      <c r="F158" s="39"/>
      <c r="G158" s="34"/>
      <c r="H158" s="32"/>
      <c r="I158" s="34"/>
      <c r="J158" s="34"/>
      <c r="K158" s="35"/>
      <c r="L158" s="34"/>
      <c r="M158" s="32"/>
      <c r="N158" s="34"/>
      <c r="O158" s="34"/>
      <c r="P158" s="34"/>
      <c r="Q158" s="34"/>
      <c r="R158" s="34"/>
      <c r="S158" s="34"/>
      <c r="T158" s="34"/>
      <c r="U158" s="34"/>
      <c r="V158" s="34"/>
    </row>
    <row r="159" spans="2:22" x14ac:dyDescent="0.3">
      <c r="B159" s="33"/>
      <c r="C159" s="34"/>
      <c r="D159" s="39"/>
      <c r="E159" s="39"/>
      <c r="F159" s="39"/>
      <c r="G159" s="34"/>
      <c r="H159" s="32"/>
      <c r="I159" s="34"/>
      <c r="J159" s="34"/>
      <c r="K159" s="35"/>
      <c r="L159" s="34"/>
      <c r="M159" s="32"/>
      <c r="N159" s="34"/>
      <c r="O159" s="34"/>
      <c r="P159" s="34"/>
      <c r="Q159" s="34"/>
      <c r="R159" s="34"/>
      <c r="S159" s="34"/>
      <c r="T159" s="34"/>
      <c r="U159" s="34"/>
      <c r="V159" s="34"/>
    </row>
    <row r="160" spans="2:22" x14ac:dyDescent="0.3">
      <c r="B160" s="33"/>
      <c r="C160" s="34"/>
      <c r="D160" s="39"/>
      <c r="E160" s="39"/>
      <c r="F160" s="39"/>
      <c r="G160" s="34"/>
      <c r="H160" s="32"/>
      <c r="I160" s="34"/>
      <c r="J160" s="34"/>
      <c r="K160" s="35"/>
      <c r="L160" s="34"/>
      <c r="M160" s="32"/>
      <c r="N160" s="34"/>
      <c r="O160" s="34"/>
      <c r="P160" s="34"/>
      <c r="Q160" s="34"/>
      <c r="R160" s="34"/>
      <c r="S160" s="34"/>
      <c r="T160" s="34"/>
      <c r="U160" s="34"/>
      <c r="V160" s="34"/>
    </row>
    <row r="161" spans="2:22" x14ac:dyDescent="0.3">
      <c r="B161" s="33"/>
      <c r="C161" s="34"/>
      <c r="D161" s="39"/>
      <c r="E161" s="39"/>
      <c r="F161" s="39"/>
      <c r="G161" s="34"/>
      <c r="H161" s="32"/>
      <c r="I161" s="34"/>
      <c r="J161" s="34"/>
      <c r="K161" s="35"/>
      <c r="L161" s="34"/>
      <c r="M161" s="32"/>
      <c r="N161" s="34"/>
      <c r="O161" s="34"/>
      <c r="P161" s="34"/>
      <c r="Q161" s="34"/>
      <c r="R161" s="34"/>
      <c r="S161" s="34"/>
      <c r="T161" s="34"/>
      <c r="U161" s="34"/>
      <c r="V161" s="34"/>
    </row>
    <row r="162" spans="2:22" x14ac:dyDescent="0.3">
      <c r="B162" s="33"/>
      <c r="C162" s="34"/>
      <c r="D162" s="39"/>
      <c r="E162" s="39"/>
      <c r="F162" s="39"/>
      <c r="G162" s="34"/>
      <c r="H162" s="32"/>
      <c r="I162" s="34"/>
      <c r="J162" s="34"/>
      <c r="K162" s="35"/>
      <c r="L162" s="34"/>
      <c r="M162" s="32"/>
      <c r="N162" s="34"/>
      <c r="O162" s="34"/>
      <c r="P162" s="34"/>
      <c r="Q162" s="34"/>
      <c r="R162" s="34"/>
      <c r="S162" s="34"/>
      <c r="T162" s="34"/>
      <c r="U162" s="34"/>
      <c r="V162" s="34"/>
    </row>
    <row r="163" spans="2:22" x14ac:dyDescent="0.3">
      <c r="B163" s="33"/>
      <c r="C163" s="34"/>
      <c r="D163" s="39"/>
      <c r="E163" s="39"/>
      <c r="F163" s="39"/>
      <c r="G163" s="34"/>
      <c r="H163" s="32"/>
      <c r="I163" s="34"/>
      <c r="J163" s="34"/>
      <c r="K163" s="35"/>
      <c r="L163" s="34"/>
      <c r="M163" s="32"/>
      <c r="N163" s="34"/>
      <c r="O163" s="34"/>
      <c r="P163" s="34"/>
      <c r="Q163" s="34"/>
      <c r="R163" s="34"/>
      <c r="S163" s="34"/>
      <c r="T163" s="34"/>
      <c r="U163" s="34"/>
      <c r="V163" s="34"/>
    </row>
    <row r="164" spans="2:22" x14ac:dyDescent="0.3">
      <c r="B164" s="33"/>
      <c r="C164" s="34"/>
      <c r="D164" s="39"/>
      <c r="E164" s="39"/>
      <c r="F164" s="39"/>
      <c r="G164" s="34"/>
      <c r="H164" s="32"/>
      <c r="I164" s="34"/>
      <c r="J164" s="34"/>
      <c r="K164" s="35"/>
      <c r="L164" s="34"/>
      <c r="M164" s="32"/>
      <c r="N164" s="34"/>
      <c r="O164" s="34"/>
      <c r="P164" s="34"/>
      <c r="Q164" s="34"/>
      <c r="R164" s="34"/>
      <c r="S164" s="34"/>
      <c r="T164" s="34"/>
      <c r="U164" s="34"/>
      <c r="V164" s="34"/>
    </row>
    <row r="165" spans="2:22" x14ac:dyDescent="0.3">
      <c r="B165" s="33"/>
      <c r="C165" s="34"/>
      <c r="D165" s="39"/>
      <c r="E165" s="39"/>
      <c r="F165" s="39"/>
      <c r="G165" s="34"/>
      <c r="H165" s="32"/>
      <c r="I165" s="34"/>
      <c r="J165" s="34"/>
      <c r="K165" s="35"/>
      <c r="L165" s="34"/>
      <c r="M165" s="32"/>
      <c r="N165" s="34"/>
      <c r="O165" s="34"/>
      <c r="P165" s="34"/>
      <c r="Q165" s="34"/>
      <c r="R165" s="34"/>
      <c r="S165" s="34"/>
      <c r="T165" s="34"/>
      <c r="U165" s="34"/>
      <c r="V165" s="34"/>
    </row>
    <row r="166" spans="2:22" x14ac:dyDescent="0.3">
      <c r="B166" s="33"/>
      <c r="C166" s="34"/>
      <c r="D166" s="39"/>
      <c r="E166" s="39"/>
      <c r="F166" s="39"/>
      <c r="G166" s="34"/>
      <c r="H166" s="32"/>
      <c r="I166" s="34"/>
      <c r="J166" s="34"/>
      <c r="K166" s="35"/>
      <c r="L166" s="34"/>
      <c r="M166" s="32"/>
      <c r="N166" s="34"/>
      <c r="O166" s="34"/>
      <c r="P166" s="34"/>
      <c r="Q166" s="34"/>
      <c r="R166" s="34"/>
      <c r="S166" s="34"/>
      <c r="T166" s="34"/>
      <c r="U166" s="34"/>
      <c r="V166" s="34"/>
    </row>
    <row r="167" spans="2:22" x14ac:dyDescent="0.3">
      <c r="B167" s="33"/>
      <c r="C167" s="34"/>
      <c r="D167" s="39"/>
      <c r="E167" s="39"/>
      <c r="F167" s="39"/>
      <c r="G167" s="34"/>
      <c r="H167" s="32"/>
      <c r="I167" s="34"/>
      <c r="J167" s="34"/>
      <c r="K167" s="35"/>
      <c r="L167" s="34"/>
      <c r="M167" s="32"/>
      <c r="N167" s="34"/>
      <c r="O167" s="34"/>
      <c r="P167" s="34"/>
      <c r="Q167" s="34"/>
      <c r="R167" s="34"/>
      <c r="S167" s="34"/>
      <c r="T167" s="34"/>
      <c r="U167" s="34"/>
      <c r="V167" s="34"/>
    </row>
    <row r="168" spans="2:22" x14ac:dyDescent="0.3">
      <c r="B168" s="33"/>
      <c r="C168" s="34"/>
      <c r="D168" s="39"/>
      <c r="E168" s="39"/>
      <c r="F168" s="39"/>
      <c r="G168" s="34"/>
      <c r="H168" s="32"/>
      <c r="I168" s="34"/>
      <c r="J168" s="34"/>
      <c r="K168" s="35"/>
      <c r="L168" s="34"/>
      <c r="M168" s="32"/>
      <c r="N168" s="34"/>
      <c r="O168" s="34"/>
      <c r="P168" s="34"/>
      <c r="Q168" s="34"/>
      <c r="R168" s="34"/>
      <c r="S168" s="34"/>
      <c r="T168" s="34"/>
      <c r="U168" s="34"/>
      <c r="V168" s="34"/>
    </row>
    <row r="169" spans="2:22" x14ac:dyDescent="0.3">
      <c r="B169" s="33"/>
      <c r="C169" s="34"/>
      <c r="D169" s="39"/>
      <c r="E169" s="39"/>
      <c r="F169" s="39"/>
      <c r="G169" s="34"/>
      <c r="H169" s="32"/>
      <c r="I169" s="34"/>
      <c r="J169" s="34"/>
      <c r="K169" s="35"/>
      <c r="L169" s="34"/>
      <c r="M169" s="32"/>
      <c r="N169" s="34"/>
      <c r="O169" s="34"/>
      <c r="P169" s="34"/>
      <c r="Q169" s="34"/>
      <c r="R169" s="34"/>
      <c r="S169" s="34"/>
      <c r="T169" s="34"/>
      <c r="U169" s="34"/>
      <c r="V169" s="34"/>
    </row>
    <row r="170" spans="2:22" x14ac:dyDescent="0.3">
      <c r="B170" s="33"/>
      <c r="C170" s="34"/>
      <c r="D170" s="39"/>
      <c r="E170" s="39"/>
      <c r="F170" s="39"/>
      <c r="G170" s="34"/>
      <c r="H170" s="32"/>
      <c r="I170" s="34"/>
      <c r="J170" s="34"/>
      <c r="K170" s="35"/>
      <c r="L170" s="34"/>
      <c r="M170" s="32"/>
      <c r="N170" s="34"/>
      <c r="O170" s="34"/>
      <c r="P170" s="34"/>
      <c r="Q170" s="34"/>
      <c r="R170" s="34"/>
      <c r="S170" s="34"/>
      <c r="T170" s="34"/>
      <c r="U170" s="34"/>
      <c r="V170" s="34"/>
    </row>
    <row r="171" spans="2:22" x14ac:dyDescent="0.3">
      <c r="B171" s="33"/>
      <c r="C171" s="34"/>
      <c r="D171" s="39"/>
      <c r="E171" s="39"/>
      <c r="F171" s="39"/>
      <c r="G171" s="34"/>
      <c r="H171" s="32"/>
      <c r="I171" s="34"/>
      <c r="J171" s="34"/>
      <c r="K171" s="35"/>
      <c r="L171" s="34"/>
      <c r="M171" s="32"/>
      <c r="N171" s="34"/>
      <c r="O171" s="34"/>
      <c r="P171" s="34"/>
      <c r="Q171" s="34"/>
      <c r="R171" s="34"/>
      <c r="S171" s="34"/>
      <c r="T171" s="34"/>
      <c r="U171" s="34"/>
      <c r="V171" s="34"/>
    </row>
    <row r="172" spans="2:22" x14ac:dyDescent="0.3">
      <c r="B172" s="33"/>
      <c r="C172" s="34"/>
      <c r="D172" s="39"/>
      <c r="E172" s="39"/>
      <c r="F172" s="39"/>
      <c r="G172" s="34"/>
      <c r="H172" s="32"/>
      <c r="I172" s="34"/>
      <c r="J172" s="34"/>
      <c r="K172" s="35"/>
      <c r="L172" s="34"/>
      <c r="M172" s="32"/>
      <c r="N172" s="34"/>
      <c r="O172" s="34"/>
      <c r="P172" s="34"/>
      <c r="Q172" s="34"/>
      <c r="R172" s="34"/>
      <c r="S172" s="34"/>
      <c r="T172" s="34"/>
      <c r="U172" s="34"/>
      <c r="V172" s="34"/>
    </row>
    <row r="173" spans="2:22" x14ac:dyDescent="0.3">
      <c r="B173" s="33"/>
      <c r="C173" s="34"/>
      <c r="D173" s="39"/>
      <c r="E173" s="39"/>
      <c r="F173" s="39"/>
      <c r="G173" s="34"/>
      <c r="H173" s="32"/>
      <c r="I173" s="34"/>
      <c r="J173" s="34"/>
      <c r="K173" s="35"/>
      <c r="L173" s="34"/>
      <c r="M173" s="32"/>
      <c r="N173" s="34"/>
      <c r="O173" s="34"/>
      <c r="P173" s="34"/>
      <c r="Q173" s="34"/>
      <c r="R173" s="34"/>
      <c r="S173" s="34"/>
      <c r="T173" s="34"/>
      <c r="U173" s="34"/>
      <c r="V173" s="34"/>
    </row>
    <row r="174" spans="2:22" x14ac:dyDescent="0.3">
      <c r="B174" s="33"/>
      <c r="C174" s="34"/>
      <c r="D174" s="39"/>
      <c r="E174" s="39"/>
      <c r="F174" s="39"/>
      <c r="G174" s="34"/>
      <c r="H174" s="32"/>
      <c r="I174" s="34"/>
      <c r="J174" s="34"/>
      <c r="K174" s="35"/>
      <c r="L174" s="34"/>
      <c r="M174" s="32"/>
      <c r="N174" s="34"/>
      <c r="O174" s="34"/>
      <c r="P174" s="34"/>
      <c r="Q174" s="34"/>
      <c r="R174" s="34"/>
      <c r="S174" s="34"/>
      <c r="T174" s="34"/>
      <c r="U174" s="34"/>
      <c r="V174" s="34"/>
    </row>
    <row r="175" spans="2:22" x14ac:dyDescent="0.3">
      <c r="B175" s="33"/>
      <c r="C175" s="34"/>
      <c r="D175" s="39"/>
      <c r="E175" s="39"/>
      <c r="F175" s="39"/>
      <c r="G175" s="34"/>
      <c r="H175" s="32"/>
      <c r="I175" s="34"/>
      <c r="J175" s="34"/>
      <c r="K175" s="35"/>
      <c r="L175" s="34"/>
      <c r="M175" s="32"/>
      <c r="N175" s="34"/>
      <c r="O175" s="34"/>
      <c r="P175" s="34"/>
      <c r="Q175" s="34"/>
      <c r="R175" s="34"/>
      <c r="S175" s="34"/>
      <c r="T175" s="34"/>
      <c r="U175" s="34"/>
      <c r="V175" s="34"/>
    </row>
    <row r="176" spans="2:22" x14ac:dyDescent="0.3">
      <c r="B176" s="33"/>
      <c r="C176" s="34"/>
      <c r="D176" s="39"/>
      <c r="E176" s="39"/>
      <c r="F176" s="39"/>
      <c r="G176" s="34"/>
      <c r="H176" s="32"/>
      <c r="I176" s="34"/>
      <c r="J176" s="34"/>
      <c r="K176" s="35"/>
      <c r="L176" s="34"/>
      <c r="M176" s="32"/>
      <c r="N176" s="34"/>
      <c r="O176" s="34"/>
      <c r="P176" s="34"/>
      <c r="Q176" s="34"/>
      <c r="R176" s="34"/>
      <c r="S176" s="34"/>
      <c r="T176" s="34"/>
      <c r="U176" s="34"/>
      <c r="V176" s="34"/>
    </row>
    <row r="177" spans="2:22" x14ac:dyDescent="0.3">
      <c r="B177" s="33"/>
      <c r="C177" s="34"/>
      <c r="D177" s="39"/>
      <c r="E177" s="39"/>
      <c r="F177" s="39"/>
      <c r="G177" s="34"/>
      <c r="H177" s="32"/>
      <c r="I177" s="34"/>
      <c r="J177" s="34"/>
      <c r="K177" s="35"/>
      <c r="L177" s="34"/>
      <c r="M177" s="32"/>
      <c r="N177" s="34"/>
      <c r="O177" s="34"/>
      <c r="P177" s="34"/>
      <c r="Q177" s="34"/>
      <c r="R177" s="34"/>
      <c r="S177" s="34"/>
      <c r="T177" s="34"/>
      <c r="U177" s="34"/>
      <c r="V177" s="34"/>
    </row>
    <row r="178" spans="2:22" x14ac:dyDescent="0.3">
      <c r="B178" s="33"/>
      <c r="C178" s="34"/>
      <c r="D178" s="39"/>
      <c r="E178" s="39"/>
      <c r="F178" s="39"/>
      <c r="G178" s="34"/>
      <c r="H178" s="32"/>
      <c r="I178" s="34"/>
      <c r="J178" s="34"/>
      <c r="K178" s="35"/>
      <c r="L178" s="34"/>
      <c r="M178" s="32"/>
      <c r="N178" s="34"/>
      <c r="O178" s="34"/>
      <c r="P178" s="34"/>
      <c r="Q178" s="34"/>
      <c r="R178" s="34"/>
      <c r="S178" s="34"/>
      <c r="T178" s="34"/>
      <c r="U178" s="34"/>
      <c r="V178" s="34"/>
    </row>
    <row r="179" spans="2:22" x14ac:dyDescent="0.3">
      <c r="B179" s="33"/>
      <c r="C179" s="34"/>
      <c r="D179" s="39"/>
      <c r="E179" s="39"/>
      <c r="F179" s="39"/>
      <c r="G179" s="34"/>
      <c r="H179" s="32"/>
      <c r="I179" s="34"/>
      <c r="J179" s="34"/>
      <c r="K179" s="35"/>
      <c r="L179" s="34"/>
      <c r="M179" s="32"/>
      <c r="N179" s="34"/>
      <c r="O179" s="34"/>
      <c r="P179" s="34"/>
      <c r="Q179" s="34"/>
      <c r="R179" s="34"/>
      <c r="S179" s="34"/>
      <c r="T179" s="34"/>
      <c r="U179" s="34"/>
      <c r="V179" s="34"/>
    </row>
    <row r="180" spans="2:22" x14ac:dyDescent="0.3">
      <c r="B180" s="33"/>
      <c r="C180" s="34"/>
      <c r="D180" s="39"/>
      <c r="E180" s="39"/>
      <c r="F180" s="39"/>
      <c r="G180" s="34"/>
      <c r="H180" s="32"/>
      <c r="I180" s="34"/>
      <c r="J180" s="34"/>
      <c r="K180" s="35"/>
      <c r="L180" s="34"/>
      <c r="M180" s="32"/>
      <c r="N180" s="34"/>
      <c r="O180" s="34"/>
      <c r="P180" s="34"/>
      <c r="Q180" s="34"/>
      <c r="R180" s="34"/>
      <c r="S180" s="34"/>
      <c r="T180" s="34"/>
      <c r="U180" s="34"/>
      <c r="V180" s="34"/>
    </row>
    <row r="181" spans="2:22" x14ac:dyDescent="0.3">
      <c r="B181" s="33"/>
      <c r="C181" s="34"/>
      <c r="D181" s="39"/>
      <c r="E181" s="39"/>
      <c r="F181" s="39"/>
      <c r="G181" s="34"/>
      <c r="H181" s="32"/>
      <c r="I181" s="34"/>
      <c r="J181" s="34"/>
      <c r="K181" s="35"/>
      <c r="L181" s="34"/>
      <c r="M181" s="32"/>
      <c r="N181" s="34"/>
      <c r="O181" s="34"/>
      <c r="P181" s="34"/>
      <c r="Q181" s="34"/>
      <c r="R181" s="34"/>
      <c r="S181" s="34"/>
      <c r="T181" s="34"/>
      <c r="U181" s="34"/>
      <c r="V181" s="34"/>
    </row>
    <row r="182" spans="2:22" x14ac:dyDescent="0.3">
      <c r="B182" s="33"/>
      <c r="C182" s="34"/>
      <c r="D182" s="39"/>
      <c r="E182" s="39"/>
      <c r="F182" s="39"/>
      <c r="G182" s="34"/>
      <c r="H182" s="32"/>
      <c r="I182" s="34"/>
      <c r="J182" s="34"/>
      <c r="K182" s="35"/>
      <c r="L182" s="34"/>
      <c r="M182" s="32"/>
      <c r="N182" s="34"/>
      <c r="O182" s="34"/>
      <c r="P182" s="34"/>
      <c r="Q182" s="34"/>
      <c r="R182" s="34"/>
      <c r="S182" s="34"/>
      <c r="T182" s="34"/>
      <c r="U182" s="34"/>
      <c r="V182" s="34"/>
    </row>
    <row r="183" spans="2:22" x14ac:dyDescent="0.3">
      <c r="B183" s="33"/>
      <c r="C183" s="34"/>
      <c r="D183" s="39"/>
      <c r="E183" s="39"/>
      <c r="F183" s="39"/>
      <c r="G183" s="34"/>
      <c r="H183" s="32"/>
      <c r="I183" s="34"/>
      <c r="J183" s="34"/>
      <c r="K183" s="35"/>
      <c r="L183" s="34"/>
      <c r="M183" s="32"/>
      <c r="N183" s="34"/>
      <c r="O183" s="34"/>
      <c r="P183" s="34"/>
      <c r="Q183" s="34"/>
      <c r="R183" s="34"/>
      <c r="S183" s="34"/>
      <c r="T183" s="34"/>
      <c r="U183" s="34"/>
      <c r="V183" s="34"/>
    </row>
    <row r="184" spans="2:22" x14ac:dyDescent="0.3">
      <c r="B184" s="33"/>
      <c r="C184" s="34"/>
      <c r="D184" s="39"/>
      <c r="E184" s="39"/>
      <c r="F184" s="39"/>
      <c r="G184" s="34"/>
      <c r="H184" s="32"/>
      <c r="I184" s="34"/>
      <c r="J184" s="34"/>
      <c r="K184" s="35"/>
      <c r="L184" s="34"/>
      <c r="M184" s="32"/>
      <c r="N184" s="34"/>
      <c r="O184" s="34"/>
      <c r="P184" s="34"/>
      <c r="Q184" s="34"/>
      <c r="R184" s="34"/>
      <c r="S184" s="34"/>
      <c r="T184" s="34"/>
      <c r="U184" s="34"/>
      <c r="V184" s="34"/>
    </row>
    <row r="185" spans="2:22" x14ac:dyDescent="0.3">
      <c r="B185" s="33"/>
      <c r="C185" s="34"/>
      <c r="D185" s="39"/>
      <c r="E185" s="39"/>
      <c r="F185" s="39"/>
      <c r="G185" s="34"/>
      <c r="H185" s="34"/>
      <c r="I185" s="34"/>
      <c r="J185" s="34"/>
      <c r="K185" s="35"/>
      <c r="L185" s="34"/>
      <c r="M185" s="32"/>
      <c r="N185" s="34"/>
      <c r="O185" s="34"/>
      <c r="P185" s="34"/>
      <c r="Q185" s="34"/>
      <c r="R185" s="34"/>
      <c r="S185" s="34"/>
      <c r="T185" s="34"/>
      <c r="U185" s="34"/>
      <c r="V185" s="34"/>
    </row>
    <row r="186" spans="2:22" x14ac:dyDescent="0.3">
      <c r="B186" s="33"/>
      <c r="C186" s="34"/>
      <c r="D186" s="39"/>
      <c r="E186" s="39"/>
      <c r="F186" s="39"/>
      <c r="G186" s="34"/>
      <c r="H186" s="34"/>
      <c r="I186" s="34"/>
      <c r="J186" s="34"/>
      <c r="K186" s="35"/>
      <c r="L186" s="34"/>
      <c r="M186" s="32"/>
      <c r="N186" s="34"/>
      <c r="O186" s="34"/>
      <c r="P186" s="34"/>
      <c r="Q186" s="34"/>
      <c r="R186" s="34"/>
      <c r="S186" s="34"/>
      <c r="T186" s="34"/>
      <c r="U186" s="34"/>
      <c r="V186" s="34"/>
    </row>
    <row r="187" spans="2:22" x14ac:dyDescent="0.3">
      <c r="B187" s="33"/>
      <c r="C187" s="34"/>
      <c r="D187" s="39"/>
      <c r="E187" s="39"/>
      <c r="F187" s="39"/>
      <c r="G187" s="34"/>
      <c r="H187" s="34"/>
      <c r="I187" s="34"/>
      <c r="J187" s="34"/>
      <c r="K187" s="35"/>
      <c r="L187" s="34"/>
      <c r="M187" s="32"/>
      <c r="N187" s="34"/>
      <c r="O187" s="34"/>
      <c r="P187" s="34"/>
      <c r="Q187" s="34"/>
      <c r="R187" s="34"/>
      <c r="S187" s="34"/>
      <c r="T187" s="34"/>
      <c r="U187" s="34"/>
      <c r="V187" s="34"/>
    </row>
    <row r="188" spans="2:22" x14ac:dyDescent="0.3">
      <c r="B188" s="33"/>
      <c r="C188" s="34"/>
      <c r="D188" s="39"/>
      <c r="E188" s="39"/>
      <c r="F188" s="39"/>
      <c r="G188" s="34"/>
      <c r="H188" s="34"/>
      <c r="I188" s="34"/>
      <c r="J188" s="34"/>
      <c r="K188" s="35"/>
      <c r="L188" s="34"/>
      <c r="M188" s="32"/>
      <c r="N188" s="34"/>
      <c r="O188" s="34"/>
      <c r="P188" s="34"/>
      <c r="Q188" s="34"/>
      <c r="R188" s="34"/>
      <c r="S188" s="34"/>
      <c r="T188" s="34"/>
      <c r="U188" s="34"/>
      <c r="V188" s="34"/>
    </row>
    <row r="189" spans="2:22" x14ac:dyDescent="0.3">
      <c r="B189" s="33"/>
      <c r="C189" s="34"/>
      <c r="D189" s="39"/>
      <c r="E189" s="39"/>
      <c r="F189" s="39"/>
      <c r="G189" s="34"/>
      <c r="H189" s="34"/>
      <c r="I189" s="34"/>
      <c r="J189" s="34"/>
      <c r="K189" s="35"/>
      <c r="L189" s="34"/>
      <c r="M189" s="32"/>
      <c r="N189" s="34"/>
      <c r="O189" s="34"/>
      <c r="P189" s="34"/>
      <c r="Q189" s="34"/>
      <c r="R189" s="34"/>
      <c r="S189" s="34"/>
      <c r="T189" s="34"/>
      <c r="U189" s="34"/>
      <c r="V189" s="34"/>
    </row>
    <row r="190" spans="2:22" x14ac:dyDescent="0.3">
      <c r="B190" s="33"/>
      <c r="C190" s="34"/>
      <c r="D190" s="39"/>
      <c r="E190" s="39"/>
      <c r="F190" s="39"/>
      <c r="G190" s="34"/>
      <c r="H190" s="34"/>
      <c r="I190" s="34"/>
      <c r="J190" s="34"/>
      <c r="K190" s="35"/>
      <c r="L190" s="34"/>
      <c r="M190" s="32"/>
      <c r="N190" s="34"/>
      <c r="O190" s="34"/>
      <c r="P190" s="34"/>
      <c r="Q190" s="34"/>
      <c r="R190" s="34"/>
      <c r="S190" s="34"/>
      <c r="T190" s="34"/>
      <c r="U190" s="34"/>
      <c r="V190" s="34"/>
    </row>
    <row r="191" spans="2:22" x14ac:dyDescent="0.3">
      <c r="B191" s="33"/>
      <c r="C191" s="34"/>
      <c r="D191" s="39"/>
      <c r="E191" s="39"/>
      <c r="F191" s="39"/>
      <c r="G191" s="34"/>
      <c r="H191" s="34"/>
      <c r="I191" s="34"/>
      <c r="J191" s="34"/>
      <c r="K191" s="35"/>
      <c r="L191" s="34"/>
      <c r="M191" s="32"/>
      <c r="N191" s="34"/>
      <c r="O191" s="34"/>
      <c r="P191" s="34"/>
      <c r="Q191" s="34"/>
      <c r="R191" s="34"/>
      <c r="S191" s="34"/>
      <c r="T191" s="34"/>
      <c r="U191" s="34"/>
      <c r="V191" s="34"/>
    </row>
    <row r="192" spans="2:22" x14ac:dyDescent="0.3">
      <c r="B192" s="33"/>
      <c r="C192" s="34"/>
      <c r="D192" s="39"/>
      <c r="E192" s="39"/>
      <c r="F192" s="39"/>
      <c r="G192" s="34"/>
      <c r="H192" s="34"/>
      <c r="I192" s="34"/>
      <c r="J192" s="34"/>
      <c r="K192" s="35"/>
      <c r="L192" s="34"/>
      <c r="M192" s="32"/>
      <c r="N192" s="34"/>
      <c r="O192" s="34"/>
      <c r="P192" s="34"/>
      <c r="Q192" s="34"/>
      <c r="R192" s="34"/>
      <c r="S192" s="34"/>
      <c r="T192" s="34"/>
      <c r="U192" s="34"/>
      <c r="V192" s="34"/>
    </row>
    <row r="193" spans="2:22" x14ac:dyDescent="0.3">
      <c r="B193" s="33"/>
      <c r="C193" s="34"/>
      <c r="D193" s="39"/>
      <c r="E193" s="39"/>
      <c r="F193" s="39"/>
      <c r="G193" s="34"/>
      <c r="H193" s="34"/>
      <c r="I193" s="34"/>
      <c r="J193" s="34"/>
      <c r="K193" s="35"/>
      <c r="L193" s="34"/>
      <c r="M193" s="32"/>
      <c r="N193" s="34"/>
      <c r="O193" s="34"/>
      <c r="P193" s="34"/>
      <c r="Q193" s="34"/>
      <c r="R193" s="34"/>
      <c r="S193" s="34"/>
      <c r="T193" s="34"/>
      <c r="U193" s="34"/>
      <c r="V193" s="34"/>
    </row>
    <row r="194" spans="2:22" x14ac:dyDescent="0.3">
      <c r="B194" s="33"/>
      <c r="C194" s="34"/>
      <c r="D194" s="39"/>
      <c r="E194" s="39"/>
      <c r="F194" s="39"/>
      <c r="G194" s="34"/>
      <c r="H194" s="34"/>
      <c r="I194" s="34"/>
      <c r="J194" s="34"/>
      <c r="K194" s="35"/>
      <c r="L194" s="34"/>
      <c r="M194" s="32"/>
      <c r="N194" s="34"/>
      <c r="O194" s="34"/>
      <c r="P194" s="34"/>
      <c r="Q194" s="34"/>
      <c r="R194" s="34"/>
      <c r="S194" s="34"/>
      <c r="T194" s="34"/>
      <c r="U194" s="34"/>
      <c r="V194" s="34"/>
    </row>
    <row r="195" spans="2:22" x14ac:dyDescent="0.3">
      <c r="B195" s="33"/>
      <c r="C195" s="34"/>
      <c r="D195" s="39"/>
      <c r="E195" s="39"/>
      <c r="F195" s="39"/>
      <c r="G195" s="34"/>
      <c r="H195" s="34"/>
      <c r="I195" s="34"/>
      <c r="J195" s="34"/>
      <c r="K195" s="35"/>
      <c r="L195" s="34"/>
      <c r="M195" s="32"/>
      <c r="N195" s="34"/>
      <c r="O195" s="34"/>
      <c r="P195" s="34"/>
      <c r="Q195" s="34"/>
      <c r="R195" s="34"/>
      <c r="S195" s="34"/>
      <c r="T195" s="34"/>
      <c r="U195" s="34"/>
      <c r="V195" s="34"/>
    </row>
    <row r="196" spans="2:22" x14ac:dyDescent="0.3">
      <c r="B196" s="33"/>
      <c r="C196" s="34"/>
      <c r="D196" s="39"/>
      <c r="E196" s="39"/>
      <c r="F196" s="39"/>
      <c r="G196" s="34"/>
      <c r="H196" s="34"/>
      <c r="I196" s="34"/>
      <c r="J196" s="34"/>
      <c r="K196" s="35"/>
      <c r="L196" s="34"/>
      <c r="M196" s="32"/>
      <c r="N196" s="34"/>
      <c r="O196" s="34"/>
      <c r="P196" s="34"/>
      <c r="Q196" s="34"/>
      <c r="R196" s="34"/>
      <c r="S196" s="34"/>
      <c r="T196" s="34"/>
      <c r="U196" s="34"/>
      <c r="V196" s="34"/>
    </row>
    <row r="197" spans="2:22" x14ac:dyDescent="0.3">
      <c r="B197" s="33"/>
      <c r="C197" s="34"/>
      <c r="D197" s="39"/>
      <c r="E197" s="39"/>
      <c r="F197" s="39"/>
      <c r="G197" s="34"/>
      <c r="H197" s="34"/>
      <c r="I197" s="34"/>
      <c r="J197" s="34"/>
      <c r="K197" s="35"/>
      <c r="L197" s="34"/>
      <c r="M197" s="32"/>
      <c r="N197" s="34"/>
      <c r="O197" s="34"/>
      <c r="P197" s="34"/>
      <c r="Q197" s="34"/>
      <c r="R197" s="34"/>
      <c r="S197" s="34"/>
      <c r="T197" s="34"/>
      <c r="U197" s="34"/>
      <c r="V197" s="34"/>
    </row>
    <row r="198" spans="2:22" x14ac:dyDescent="0.3">
      <c r="B198" s="33"/>
      <c r="C198" s="34"/>
      <c r="D198" s="34"/>
      <c r="E198" s="34"/>
      <c r="F198" s="34"/>
      <c r="G198" s="34"/>
      <c r="H198" s="34"/>
      <c r="I198" s="34"/>
      <c r="J198" s="34"/>
      <c r="K198" s="35"/>
      <c r="L198" s="34"/>
      <c r="M198" s="32"/>
      <c r="N198" s="34"/>
      <c r="O198" s="34"/>
      <c r="P198" s="34"/>
      <c r="Q198" s="34"/>
      <c r="R198" s="34"/>
      <c r="S198" s="34"/>
      <c r="T198" s="34"/>
      <c r="U198" s="34"/>
      <c r="V198" s="34"/>
    </row>
    <row r="199" spans="2:22" x14ac:dyDescent="0.3">
      <c r="B199" s="33"/>
      <c r="C199" s="34"/>
      <c r="D199" s="34"/>
      <c r="E199" s="34"/>
      <c r="F199" s="34"/>
      <c r="G199" s="34"/>
      <c r="H199" s="34"/>
      <c r="I199" s="34"/>
      <c r="J199" s="34"/>
      <c r="K199" s="35"/>
      <c r="L199" s="34"/>
      <c r="M199" s="32"/>
      <c r="N199" s="34"/>
      <c r="O199" s="34"/>
      <c r="P199" s="34"/>
      <c r="Q199" s="34"/>
      <c r="R199" s="34"/>
      <c r="S199" s="34"/>
      <c r="T199" s="34"/>
      <c r="U199" s="34"/>
      <c r="V199" s="34"/>
    </row>
    <row r="200" spans="2:22" x14ac:dyDescent="0.3">
      <c r="B200" s="33"/>
      <c r="C200" s="34"/>
      <c r="D200" s="34"/>
      <c r="E200" s="34"/>
      <c r="F200" s="34"/>
      <c r="G200" s="34"/>
      <c r="H200" s="34"/>
      <c r="I200" s="34"/>
      <c r="J200" s="34"/>
      <c r="K200" s="35"/>
      <c r="L200" s="34"/>
      <c r="M200" s="32"/>
      <c r="N200" s="34"/>
      <c r="O200" s="34"/>
      <c r="P200" s="34"/>
      <c r="Q200" s="34"/>
      <c r="R200" s="34"/>
      <c r="S200" s="34"/>
      <c r="T200" s="34"/>
      <c r="U200" s="34"/>
      <c r="V200" s="34"/>
    </row>
    <row r="201" spans="2:22" x14ac:dyDescent="0.3">
      <c r="B201" s="33"/>
      <c r="C201" s="34"/>
      <c r="D201" s="34"/>
      <c r="E201" s="34"/>
      <c r="F201" s="34"/>
      <c r="G201" s="34"/>
      <c r="H201" s="34"/>
      <c r="I201" s="34"/>
      <c r="J201" s="34"/>
      <c r="K201" s="35"/>
      <c r="L201" s="34"/>
      <c r="M201" s="32"/>
      <c r="N201" s="34"/>
      <c r="O201" s="34"/>
      <c r="P201" s="34"/>
      <c r="Q201" s="34"/>
      <c r="R201" s="34"/>
      <c r="S201" s="34"/>
      <c r="T201" s="34"/>
      <c r="U201" s="34"/>
      <c r="V201" s="34"/>
    </row>
    <row r="202" spans="2:22" x14ac:dyDescent="0.3">
      <c r="B202" s="33"/>
      <c r="C202" s="34"/>
      <c r="D202" s="34"/>
      <c r="E202" s="34"/>
      <c r="F202" s="34"/>
      <c r="G202" s="34"/>
      <c r="H202" s="34"/>
      <c r="I202" s="34"/>
      <c r="J202" s="34"/>
      <c r="K202" s="35"/>
      <c r="L202" s="34"/>
      <c r="M202" s="32"/>
      <c r="N202" s="34"/>
      <c r="O202" s="34"/>
      <c r="P202" s="34"/>
      <c r="Q202" s="34"/>
      <c r="R202" s="34"/>
      <c r="S202" s="34"/>
      <c r="T202" s="34"/>
      <c r="U202" s="34"/>
      <c r="V202" s="34"/>
    </row>
    <row r="203" spans="2:22" x14ac:dyDescent="0.3">
      <c r="B203" s="33"/>
      <c r="C203" s="34"/>
      <c r="D203" s="34"/>
      <c r="E203" s="34"/>
      <c r="F203" s="34"/>
      <c r="G203" s="34"/>
      <c r="H203" s="34"/>
      <c r="I203" s="34"/>
      <c r="J203" s="34"/>
      <c r="K203" s="35"/>
      <c r="L203" s="34"/>
      <c r="M203" s="32"/>
      <c r="N203" s="34"/>
      <c r="O203" s="34"/>
      <c r="P203" s="34"/>
      <c r="Q203" s="34"/>
      <c r="R203" s="34"/>
      <c r="S203" s="34"/>
      <c r="T203" s="34"/>
      <c r="U203" s="34"/>
      <c r="V203" s="34"/>
    </row>
    <row r="204" spans="2:22" x14ac:dyDescent="0.3">
      <c r="B204" s="33"/>
      <c r="C204" s="34"/>
      <c r="D204" s="34"/>
      <c r="E204" s="34"/>
      <c r="F204" s="34"/>
      <c r="G204" s="34"/>
      <c r="H204" s="34"/>
      <c r="I204" s="34"/>
      <c r="J204" s="34"/>
      <c r="K204" s="35"/>
      <c r="L204" s="34"/>
      <c r="M204" s="32"/>
      <c r="N204" s="34"/>
      <c r="O204" s="34"/>
      <c r="P204" s="34"/>
      <c r="Q204" s="34"/>
      <c r="R204" s="34"/>
      <c r="S204" s="34"/>
      <c r="T204" s="34"/>
      <c r="U204" s="34"/>
      <c r="V204" s="34"/>
    </row>
    <row r="205" spans="2:22" x14ac:dyDescent="0.3">
      <c r="B205" s="33"/>
      <c r="C205" s="34"/>
      <c r="D205" s="34"/>
      <c r="E205" s="34"/>
      <c r="F205" s="34"/>
      <c r="G205" s="34"/>
      <c r="H205" s="34"/>
      <c r="I205" s="34"/>
      <c r="J205" s="34"/>
      <c r="K205" s="35"/>
      <c r="L205" s="34"/>
      <c r="M205" s="32"/>
      <c r="N205" s="34"/>
      <c r="O205" s="34"/>
      <c r="P205" s="34"/>
      <c r="Q205" s="34"/>
      <c r="R205" s="34"/>
      <c r="S205" s="34"/>
      <c r="T205" s="34"/>
      <c r="U205" s="34"/>
      <c r="V205" s="34"/>
    </row>
    <row r="206" spans="2:22" x14ac:dyDescent="0.3">
      <c r="B206" s="33"/>
      <c r="C206" s="34"/>
      <c r="D206" s="34"/>
      <c r="E206" s="34"/>
      <c r="F206" s="34"/>
      <c r="G206" s="34"/>
      <c r="H206" s="34"/>
      <c r="I206" s="34"/>
      <c r="J206" s="34"/>
      <c r="K206" s="35"/>
      <c r="L206" s="34"/>
      <c r="M206" s="32"/>
      <c r="N206" s="34"/>
      <c r="O206" s="34"/>
      <c r="P206" s="34"/>
      <c r="Q206" s="34"/>
      <c r="R206" s="34"/>
      <c r="S206" s="34"/>
      <c r="T206" s="34"/>
      <c r="U206" s="34"/>
      <c r="V206" s="34"/>
    </row>
    <row r="207" spans="2:22" x14ac:dyDescent="0.3">
      <c r="B207" s="33"/>
      <c r="C207" s="34"/>
      <c r="D207" s="34"/>
      <c r="E207" s="34"/>
      <c r="F207" s="34"/>
      <c r="G207" s="34"/>
      <c r="H207" s="34"/>
      <c r="I207" s="34"/>
      <c r="J207" s="34"/>
      <c r="K207" s="35"/>
      <c r="L207" s="34"/>
      <c r="M207" s="32"/>
      <c r="N207" s="34"/>
      <c r="O207" s="34"/>
      <c r="P207" s="34"/>
      <c r="Q207" s="34"/>
      <c r="R207" s="34"/>
      <c r="S207" s="34"/>
      <c r="T207" s="34"/>
      <c r="U207" s="34"/>
      <c r="V207" s="34"/>
    </row>
    <row r="208" spans="2:22" x14ac:dyDescent="0.3">
      <c r="B208" s="33"/>
      <c r="C208" s="34"/>
      <c r="D208" s="34"/>
      <c r="E208" s="34"/>
      <c r="F208" s="34"/>
      <c r="G208" s="34"/>
      <c r="H208" s="34"/>
      <c r="I208" s="34"/>
      <c r="J208" s="34"/>
      <c r="K208" s="35"/>
      <c r="L208" s="34"/>
      <c r="M208" s="32"/>
      <c r="N208" s="34"/>
      <c r="O208" s="34"/>
      <c r="P208" s="34"/>
      <c r="Q208" s="34"/>
      <c r="R208" s="34"/>
      <c r="S208" s="34"/>
      <c r="T208" s="34"/>
      <c r="U208" s="34"/>
      <c r="V208" s="34"/>
    </row>
    <row r="209" spans="2:22" x14ac:dyDescent="0.3">
      <c r="B209" s="33"/>
      <c r="C209" s="34"/>
      <c r="D209" s="34"/>
      <c r="E209" s="34"/>
      <c r="F209" s="34"/>
      <c r="G209" s="34"/>
      <c r="H209" s="34"/>
      <c r="I209" s="34"/>
      <c r="J209" s="34"/>
      <c r="K209" s="35"/>
      <c r="L209" s="34"/>
      <c r="M209" s="32"/>
      <c r="N209" s="34"/>
      <c r="O209" s="34"/>
      <c r="P209" s="34"/>
      <c r="Q209" s="34"/>
      <c r="R209" s="34"/>
      <c r="S209" s="34"/>
      <c r="T209" s="34"/>
      <c r="U209" s="34"/>
      <c r="V209" s="34"/>
    </row>
    <row r="210" spans="2:22" x14ac:dyDescent="0.3">
      <c r="B210" s="33"/>
      <c r="C210" s="34"/>
      <c r="D210" s="34"/>
      <c r="E210" s="34"/>
      <c r="F210" s="34"/>
      <c r="G210" s="34"/>
      <c r="H210" s="34"/>
      <c r="I210" s="34"/>
      <c r="J210" s="34"/>
      <c r="K210" s="35"/>
      <c r="L210" s="34"/>
      <c r="M210" s="32"/>
      <c r="N210" s="34"/>
      <c r="O210" s="34"/>
      <c r="P210" s="34"/>
      <c r="Q210" s="34"/>
      <c r="R210" s="34"/>
      <c r="S210" s="34"/>
      <c r="T210" s="34"/>
      <c r="U210" s="34"/>
      <c r="V210" s="34"/>
    </row>
    <row r="211" spans="2:22" x14ac:dyDescent="0.3">
      <c r="B211" s="33"/>
      <c r="C211" s="34"/>
      <c r="D211" s="34"/>
      <c r="E211" s="34"/>
      <c r="F211" s="34"/>
      <c r="G211" s="34"/>
      <c r="H211" s="34"/>
      <c r="I211" s="34"/>
      <c r="J211" s="34"/>
      <c r="K211" s="35"/>
      <c r="L211" s="34"/>
      <c r="M211" s="32"/>
      <c r="N211" s="34"/>
      <c r="O211" s="34"/>
      <c r="P211" s="34"/>
      <c r="Q211" s="34"/>
      <c r="R211" s="34"/>
      <c r="S211" s="34"/>
      <c r="T211" s="34"/>
      <c r="U211" s="34"/>
      <c r="V211" s="34"/>
    </row>
    <row r="212" spans="2:22" x14ac:dyDescent="0.3">
      <c r="B212" s="33"/>
      <c r="C212" s="34"/>
      <c r="D212" s="34"/>
      <c r="E212" s="34"/>
      <c r="F212" s="34"/>
      <c r="G212" s="34"/>
      <c r="H212" s="34"/>
      <c r="I212" s="34"/>
      <c r="J212" s="34"/>
      <c r="K212" s="35"/>
      <c r="L212" s="34"/>
      <c r="M212" s="32"/>
      <c r="N212" s="34"/>
      <c r="O212" s="34"/>
      <c r="P212" s="34"/>
      <c r="Q212" s="34"/>
      <c r="R212" s="34"/>
      <c r="S212" s="34"/>
      <c r="T212" s="34"/>
      <c r="U212" s="34"/>
      <c r="V212" s="34"/>
    </row>
    <row r="213" spans="2:22" x14ac:dyDescent="0.3">
      <c r="B213" s="33"/>
      <c r="C213" s="34"/>
      <c r="D213" s="34"/>
      <c r="E213" s="34"/>
      <c r="F213" s="34"/>
      <c r="G213" s="34"/>
      <c r="H213" s="34"/>
      <c r="I213" s="34"/>
      <c r="J213" s="34"/>
      <c r="K213" s="35"/>
      <c r="L213" s="34"/>
      <c r="M213" s="32"/>
      <c r="N213" s="34"/>
      <c r="O213" s="34"/>
      <c r="P213" s="34"/>
      <c r="Q213" s="34"/>
      <c r="R213" s="34"/>
      <c r="S213" s="34"/>
      <c r="T213" s="34"/>
      <c r="U213" s="34"/>
      <c r="V213" s="34"/>
    </row>
    <row r="214" spans="2:22" x14ac:dyDescent="0.3">
      <c r="B214" s="33"/>
      <c r="C214" s="34"/>
      <c r="D214" s="34"/>
      <c r="E214" s="34"/>
      <c r="F214" s="34"/>
      <c r="G214" s="34"/>
      <c r="H214" s="34"/>
      <c r="I214" s="34"/>
      <c r="J214" s="34"/>
      <c r="K214" s="35"/>
      <c r="L214" s="34"/>
      <c r="M214" s="32"/>
      <c r="N214" s="34"/>
      <c r="O214" s="34"/>
      <c r="P214" s="34"/>
      <c r="Q214" s="34"/>
      <c r="R214" s="34"/>
      <c r="S214" s="34"/>
      <c r="T214" s="34"/>
      <c r="U214" s="34"/>
      <c r="V214" s="34"/>
    </row>
    <row r="215" spans="2:22" x14ac:dyDescent="0.3">
      <c r="B215" s="33"/>
      <c r="C215" s="34"/>
      <c r="D215" s="34"/>
      <c r="E215" s="34"/>
      <c r="F215" s="34"/>
      <c r="G215" s="34"/>
      <c r="H215" s="34"/>
      <c r="I215" s="34"/>
      <c r="J215" s="34"/>
      <c r="K215" s="35"/>
      <c r="L215" s="34"/>
      <c r="M215" s="32"/>
      <c r="N215" s="34"/>
      <c r="O215" s="34"/>
      <c r="P215" s="34"/>
      <c r="Q215" s="34"/>
      <c r="R215" s="34"/>
      <c r="S215" s="34"/>
      <c r="T215" s="34"/>
      <c r="U215" s="34"/>
      <c r="V215" s="34"/>
    </row>
    <row r="216" spans="2:22" x14ac:dyDescent="0.3">
      <c r="B216" s="33"/>
      <c r="C216" s="34"/>
      <c r="D216" s="34"/>
      <c r="E216" s="34"/>
      <c r="F216" s="34"/>
      <c r="G216" s="34"/>
      <c r="H216" s="34"/>
      <c r="I216" s="34"/>
      <c r="J216" s="34"/>
      <c r="K216" s="35"/>
      <c r="L216" s="34"/>
      <c r="M216" s="32"/>
      <c r="N216" s="34"/>
      <c r="O216" s="34"/>
      <c r="P216" s="34"/>
      <c r="Q216" s="34"/>
      <c r="R216" s="34"/>
      <c r="S216" s="34"/>
      <c r="T216" s="34"/>
      <c r="U216" s="34"/>
      <c r="V216" s="34"/>
    </row>
    <row r="217" spans="2:22" x14ac:dyDescent="0.3">
      <c r="B217" s="33"/>
      <c r="C217" s="34"/>
      <c r="D217" s="34"/>
      <c r="E217" s="34"/>
      <c r="F217" s="34"/>
      <c r="G217" s="34"/>
      <c r="H217" s="34"/>
      <c r="I217" s="34"/>
      <c r="J217" s="34"/>
      <c r="K217" s="35"/>
      <c r="L217" s="34"/>
      <c r="M217" s="32"/>
      <c r="N217" s="34"/>
      <c r="O217" s="34"/>
      <c r="P217" s="34"/>
      <c r="Q217" s="34"/>
      <c r="R217" s="34"/>
      <c r="S217" s="34"/>
      <c r="T217" s="34"/>
      <c r="U217" s="34"/>
      <c r="V217" s="34"/>
    </row>
    <row r="218" spans="2:22" x14ac:dyDescent="0.3">
      <c r="B218" s="33"/>
      <c r="C218" s="34"/>
      <c r="D218" s="34"/>
      <c r="E218" s="34"/>
      <c r="F218" s="34"/>
      <c r="G218" s="34"/>
      <c r="H218" s="34"/>
      <c r="I218" s="34"/>
      <c r="J218" s="34"/>
      <c r="K218" s="35"/>
      <c r="L218" s="34"/>
      <c r="M218" s="32"/>
      <c r="N218" s="34"/>
      <c r="O218" s="34"/>
      <c r="P218" s="34"/>
      <c r="Q218" s="34"/>
      <c r="R218" s="34"/>
      <c r="S218" s="34"/>
      <c r="T218" s="34"/>
      <c r="U218" s="34"/>
      <c r="V218" s="34"/>
    </row>
    <row r="219" spans="2:22" x14ac:dyDescent="0.3">
      <c r="B219" s="33"/>
      <c r="C219" s="34"/>
      <c r="D219" s="34"/>
      <c r="E219" s="34"/>
      <c r="F219" s="34"/>
      <c r="G219" s="34"/>
      <c r="H219" s="34"/>
      <c r="I219" s="34"/>
      <c r="J219" s="34"/>
      <c r="K219" s="35"/>
      <c r="L219" s="34"/>
      <c r="M219" s="32"/>
      <c r="N219" s="34"/>
      <c r="O219" s="34"/>
      <c r="P219" s="34"/>
      <c r="Q219" s="34"/>
      <c r="R219" s="34"/>
      <c r="S219" s="34"/>
      <c r="T219" s="34"/>
      <c r="U219" s="34"/>
      <c r="V219" s="34"/>
    </row>
    <row r="220" spans="2:22" x14ac:dyDescent="0.3">
      <c r="B220" s="33"/>
      <c r="C220" s="34"/>
      <c r="D220" s="34"/>
      <c r="E220" s="34"/>
      <c r="F220" s="34"/>
      <c r="G220" s="34"/>
      <c r="H220" s="34"/>
      <c r="I220" s="34"/>
      <c r="J220" s="34"/>
      <c r="K220" s="35"/>
      <c r="L220" s="34"/>
      <c r="M220" s="32"/>
      <c r="N220" s="34"/>
      <c r="O220" s="34"/>
      <c r="P220" s="34"/>
      <c r="Q220" s="34"/>
      <c r="R220" s="34"/>
      <c r="S220" s="34"/>
      <c r="T220" s="34"/>
      <c r="U220" s="34"/>
      <c r="V220" s="34"/>
    </row>
    <row r="221" spans="2:22" x14ac:dyDescent="0.3">
      <c r="B221" s="33"/>
      <c r="C221" s="34"/>
      <c r="D221" s="34"/>
      <c r="E221" s="34"/>
      <c r="F221" s="34"/>
      <c r="G221" s="34"/>
      <c r="H221" s="34"/>
      <c r="I221" s="34"/>
      <c r="J221" s="34"/>
      <c r="K221" s="35"/>
      <c r="L221" s="34"/>
      <c r="M221" s="32"/>
      <c r="N221" s="34"/>
      <c r="O221" s="34"/>
      <c r="P221" s="34"/>
      <c r="Q221" s="34"/>
      <c r="R221" s="34"/>
      <c r="S221" s="34"/>
      <c r="T221" s="34"/>
      <c r="U221" s="34"/>
      <c r="V221" s="34"/>
    </row>
    <row r="222" spans="2:22" x14ac:dyDescent="0.3">
      <c r="B222" s="33"/>
      <c r="C222" s="34"/>
      <c r="D222" s="34"/>
      <c r="E222" s="34"/>
      <c r="F222" s="34"/>
      <c r="G222" s="34"/>
      <c r="H222" s="34"/>
      <c r="I222" s="34"/>
      <c r="J222" s="34"/>
      <c r="K222" s="35"/>
      <c r="L222" s="34"/>
      <c r="M222" s="32"/>
      <c r="N222" s="34"/>
      <c r="O222" s="34"/>
      <c r="P222" s="34"/>
      <c r="Q222" s="34"/>
      <c r="R222" s="34"/>
      <c r="S222" s="34"/>
      <c r="T222" s="34"/>
      <c r="U222" s="34"/>
      <c r="V222" s="34"/>
    </row>
    <row r="223" spans="2:22" x14ac:dyDescent="0.3">
      <c r="B223" s="33"/>
      <c r="C223" s="34"/>
      <c r="D223" s="34"/>
      <c r="E223" s="34"/>
      <c r="F223" s="34"/>
      <c r="G223" s="34"/>
      <c r="H223" s="34"/>
      <c r="I223" s="34"/>
      <c r="J223" s="34"/>
      <c r="K223" s="35"/>
      <c r="L223" s="34"/>
      <c r="M223" s="32"/>
      <c r="N223" s="34"/>
      <c r="O223" s="34"/>
      <c r="P223" s="34"/>
      <c r="Q223" s="34"/>
      <c r="R223" s="34"/>
      <c r="S223" s="34"/>
      <c r="T223" s="34"/>
      <c r="U223" s="34"/>
      <c r="V223" s="34"/>
    </row>
    <row r="224" spans="2:22" x14ac:dyDescent="0.3">
      <c r="B224" s="33"/>
      <c r="C224" s="34"/>
      <c r="D224" s="34"/>
      <c r="E224" s="34"/>
      <c r="F224" s="34"/>
      <c r="G224" s="34"/>
      <c r="H224" s="34"/>
      <c r="I224" s="34"/>
      <c r="J224" s="34"/>
      <c r="K224" s="35"/>
      <c r="L224" s="34"/>
      <c r="M224" s="32"/>
      <c r="N224" s="34"/>
      <c r="O224" s="34"/>
      <c r="P224" s="34"/>
      <c r="Q224" s="34"/>
      <c r="R224" s="34"/>
      <c r="S224" s="34"/>
      <c r="T224" s="34"/>
      <c r="U224" s="34"/>
      <c r="V224" s="34"/>
    </row>
    <row r="225" spans="2:22" x14ac:dyDescent="0.3">
      <c r="B225" s="33"/>
      <c r="C225" s="34"/>
      <c r="D225" s="34"/>
      <c r="E225" s="34"/>
      <c r="F225" s="34"/>
      <c r="G225" s="34"/>
      <c r="H225" s="34"/>
      <c r="I225" s="34"/>
      <c r="J225" s="34"/>
      <c r="K225" s="35"/>
      <c r="L225" s="34"/>
      <c r="M225" s="32"/>
      <c r="N225" s="34"/>
      <c r="O225" s="34"/>
      <c r="P225" s="34"/>
      <c r="Q225" s="34"/>
      <c r="R225" s="34"/>
      <c r="S225" s="34"/>
      <c r="T225" s="34"/>
      <c r="U225" s="34"/>
      <c r="V225" s="34"/>
    </row>
    <row r="226" spans="2:22" x14ac:dyDescent="0.3">
      <c r="B226" s="33"/>
      <c r="C226" s="34"/>
      <c r="D226" s="34"/>
      <c r="E226" s="34"/>
      <c r="F226" s="34"/>
      <c r="G226" s="34"/>
      <c r="H226" s="34"/>
      <c r="I226" s="34"/>
      <c r="J226" s="34"/>
      <c r="K226" s="35"/>
      <c r="L226" s="34"/>
      <c r="M226" s="32"/>
      <c r="N226" s="34"/>
      <c r="O226" s="34"/>
      <c r="P226" s="34"/>
      <c r="Q226" s="34"/>
      <c r="R226" s="34"/>
      <c r="S226" s="34"/>
      <c r="T226" s="34"/>
      <c r="U226" s="34"/>
      <c r="V226" s="34"/>
    </row>
    <row r="227" spans="2:22" x14ac:dyDescent="0.3">
      <c r="B227" s="33"/>
      <c r="C227" s="34"/>
      <c r="D227" s="34"/>
      <c r="E227" s="34"/>
      <c r="F227" s="34"/>
      <c r="G227" s="34"/>
      <c r="H227" s="34"/>
      <c r="I227" s="34"/>
      <c r="J227" s="34"/>
      <c r="K227" s="35"/>
      <c r="L227" s="34"/>
      <c r="M227" s="32"/>
      <c r="N227" s="34"/>
      <c r="O227" s="34"/>
      <c r="P227" s="34"/>
      <c r="Q227" s="34"/>
      <c r="R227" s="34"/>
      <c r="S227" s="34"/>
      <c r="T227" s="34"/>
      <c r="U227" s="34"/>
      <c r="V227" s="34"/>
    </row>
    <row r="228" spans="2:22" x14ac:dyDescent="0.3">
      <c r="B228" s="33"/>
      <c r="C228" s="34"/>
      <c r="D228" s="34"/>
      <c r="E228" s="34"/>
      <c r="F228" s="34"/>
      <c r="G228" s="34"/>
      <c r="H228" s="34"/>
      <c r="I228" s="34"/>
      <c r="J228" s="34"/>
      <c r="K228" s="35"/>
      <c r="L228" s="34"/>
      <c r="M228" s="32"/>
      <c r="N228" s="34"/>
      <c r="O228" s="34"/>
      <c r="P228" s="34"/>
      <c r="Q228" s="34"/>
      <c r="R228" s="34"/>
      <c r="S228" s="34"/>
      <c r="T228" s="34"/>
      <c r="U228" s="34"/>
      <c r="V228" s="34"/>
    </row>
    <row r="229" spans="2:22" x14ac:dyDescent="0.3">
      <c r="B229" s="33"/>
      <c r="C229" s="34"/>
      <c r="D229" s="34"/>
      <c r="E229" s="34"/>
      <c r="F229" s="34"/>
      <c r="G229" s="34"/>
      <c r="H229" s="34"/>
      <c r="I229" s="34"/>
      <c r="J229" s="34"/>
      <c r="K229" s="35"/>
      <c r="L229" s="34"/>
      <c r="M229" s="32"/>
      <c r="N229" s="34"/>
      <c r="O229" s="34"/>
      <c r="P229" s="34"/>
      <c r="Q229" s="34"/>
      <c r="R229" s="34"/>
      <c r="S229" s="34"/>
      <c r="T229" s="34"/>
      <c r="U229" s="34"/>
      <c r="V229" s="34"/>
    </row>
    <row r="230" spans="2:22" x14ac:dyDescent="0.3">
      <c r="B230" s="33"/>
      <c r="C230" s="34"/>
      <c r="D230" s="34"/>
      <c r="E230" s="34"/>
      <c r="F230" s="34"/>
      <c r="G230" s="34"/>
      <c r="H230" s="34"/>
      <c r="I230" s="34"/>
      <c r="J230" s="34"/>
      <c r="K230" s="35"/>
      <c r="L230" s="34"/>
      <c r="M230" s="32"/>
      <c r="N230" s="34"/>
      <c r="O230" s="34"/>
      <c r="P230" s="34"/>
      <c r="Q230" s="34"/>
      <c r="R230" s="34"/>
      <c r="S230" s="34"/>
      <c r="T230" s="34"/>
      <c r="U230" s="34"/>
      <c r="V230" s="34"/>
    </row>
    <row r="231" spans="2:22" x14ac:dyDescent="0.3">
      <c r="B231" s="33"/>
      <c r="C231" s="34"/>
      <c r="D231" s="34"/>
      <c r="E231" s="34"/>
      <c r="F231" s="34"/>
      <c r="G231" s="34"/>
      <c r="H231" s="34"/>
      <c r="I231" s="34"/>
      <c r="J231" s="34"/>
      <c r="K231" s="35"/>
      <c r="L231" s="34"/>
      <c r="M231" s="32"/>
      <c r="N231" s="34"/>
      <c r="O231" s="34"/>
      <c r="P231" s="34"/>
      <c r="Q231" s="34"/>
      <c r="R231" s="34"/>
      <c r="S231" s="34"/>
      <c r="T231" s="34"/>
      <c r="U231" s="34"/>
      <c r="V231" s="34"/>
    </row>
    <row r="232" spans="2:22" x14ac:dyDescent="0.3">
      <c r="B232" s="33"/>
      <c r="C232" s="34"/>
      <c r="D232" s="34"/>
      <c r="E232" s="34"/>
      <c r="F232" s="34"/>
      <c r="G232" s="34"/>
      <c r="H232" s="34"/>
      <c r="I232" s="34"/>
      <c r="J232" s="34"/>
      <c r="K232" s="35"/>
      <c r="L232" s="34"/>
      <c r="M232" s="32"/>
      <c r="N232" s="34"/>
      <c r="O232" s="34"/>
      <c r="P232" s="34"/>
      <c r="Q232" s="34"/>
      <c r="R232" s="34"/>
      <c r="S232" s="34"/>
      <c r="T232" s="34"/>
      <c r="U232" s="34"/>
      <c r="V232" s="34"/>
    </row>
    <row r="233" spans="2:22" x14ac:dyDescent="0.3">
      <c r="B233" s="33"/>
      <c r="C233" s="34"/>
      <c r="D233" s="34"/>
      <c r="E233" s="34"/>
      <c r="F233" s="34"/>
      <c r="G233" s="34"/>
      <c r="H233" s="34"/>
      <c r="I233" s="34"/>
      <c r="J233" s="34"/>
      <c r="K233" s="35"/>
      <c r="L233" s="34"/>
      <c r="M233" s="32"/>
      <c r="N233" s="34"/>
      <c r="O233" s="34"/>
      <c r="P233" s="34"/>
      <c r="Q233" s="34"/>
      <c r="R233" s="34"/>
      <c r="S233" s="34"/>
      <c r="T233" s="34"/>
      <c r="U233" s="34"/>
      <c r="V233" s="34"/>
    </row>
    <row r="234" spans="2:22" x14ac:dyDescent="0.3">
      <c r="B234" s="33"/>
      <c r="C234" s="34"/>
      <c r="D234" s="34"/>
      <c r="E234" s="34"/>
      <c r="F234" s="34"/>
      <c r="G234" s="34"/>
      <c r="H234" s="34"/>
      <c r="I234" s="34"/>
      <c r="J234" s="34"/>
      <c r="K234" s="35"/>
      <c r="L234" s="34"/>
      <c r="M234" s="32"/>
      <c r="N234" s="34"/>
      <c r="O234" s="34"/>
      <c r="P234" s="34"/>
      <c r="Q234" s="34"/>
      <c r="R234" s="34"/>
      <c r="S234" s="34"/>
      <c r="T234" s="34"/>
      <c r="U234" s="34"/>
      <c r="V234" s="34"/>
    </row>
    <row r="235" spans="2:22" x14ac:dyDescent="0.3">
      <c r="B235" s="33"/>
      <c r="C235" s="34"/>
      <c r="D235" s="34"/>
      <c r="E235" s="34"/>
      <c r="F235" s="34"/>
      <c r="G235" s="34"/>
      <c r="H235" s="34"/>
      <c r="I235" s="34"/>
      <c r="J235" s="34"/>
      <c r="K235" s="35"/>
      <c r="L235" s="34"/>
      <c r="M235" s="32"/>
      <c r="N235" s="34"/>
      <c r="O235" s="34"/>
      <c r="P235" s="34"/>
      <c r="Q235" s="34"/>
      <c r="R235" s="34"/>
      <c r="S235" s="34"/>
      <c r="T235" s="34"/>
      <c r="U235" s="34"/>
      <c r="V235" s="34"/>
    </row>
    <row r="236" spans="2:22" x14ac:dyDescent="0.3">
      <c r="B236" s="33"/>
      <c r="C236" s="34"/>
      <c r="D236" s="34"/>
      <c r="E236" s="34"/>
      <c r="F236" s="34"/>
      <c r="G236" s="34"/>
      <c r="H236" s="34"/>
      <c r="I236" s="34"/>
      <c r="J236" s="34"/>
      <c r="K236" s="35"/>
      <c r="L236" s="34"/>
      <c r="M236" s="32"/>
      <c r="N236" s="34"/>
      <c r="O236" s="34"/>
      <c r="P236" s="34"/>
      <c r="Q236" s="34"/>
      <c r="R236" s="34"/>
      <c r="S236" s="34"/>
      <c r="T236" s="34"/>
      <c r="U236" s="34"/>
      <c r="V236" s="34"/>
    </row>
    <row r="237" spans="2:22" x14ac:dyDescent="0.3">
      <c r="B237" s="33"/>
      <c r="C237" s="34"/>
      <c r="D237" s="34"/>
      <c r="E237" s="34"/>
      <c r="F237" s="34"/>
      <c r="G237" s="34"/>
      <c r="H237" s="34"/>
      <c r="I237" s="34"/>
      <c r="J237" s="34"/>
      <c r="K237" s="35"/>
      <c r="L237" s="34"/>
      <c r="M237" s="32"/>
      <c r="N237" s="34"/>
      <c r="O237" s="34"/>
      <c r="P237" s="34"/>
      <c r="Q237" s="34"/>
      <c r="R237" s="34"/>
      <c r="S237" s="34"/>
      <c r="T237" s="34"/>
      <c r="U237" s="34"/>
      <c r="V237" s="34"/>
    </row>
    <row r="238" spans="2:22" x14ac:dyDescent="0.3">
      <c r="B238" s="33"/>
      <c r="C238" s="34"/>
      <c r="D238" s="34"/>
      <c r="E238" s="34"/>
      <c r="F238" s="34"/>
      <c r="G238" s="34"/>
      <c r="H238" s="34"/>
      <c r="I238" s="34"/>
      <c r="J238" s="34"/>
      <c r="K238" s="35"/>
      <c r="L238" s="34"/>
      <c r="M238" s="32"/>
      <c r="N238" s="34"/>
      <c r="O238" s="34"/>
      <c r="P238" s="34"/>
      <c r="Q238" s="34"/>
      <c r="R238" s="34"/>
      <c r="S238" s="34"/>
      <c r="T238" s="34"/>
      <c r="U238" s="34"/>
      <c r="V238" s="34"/>
    </row>
    <row r="239" spans="2:22" x14ac:dyDescent="0.3">
      <c r="B239" s="33"/>
      <c r="C239" s="34"/>
      <c r="D239" s="34"/>
      <c r="E239" s="34"/>
      <c r="F239" s="34"/>
      <c r="G239" s="34"/>
      <c r="H239" s="34"/>
      <c r="I239" s="34"/>
      <c r="J239" s="34"/>
      <c r="K239" s="35"/>
      <c r="L239" s="34"/>
      <c r="M239" s="32"/>
      <c r="N239" s="34"/>
      <c r="O239" s="34"/>
      <c r="P239" s="34"/>
      <c r="Q239" s="34"/>
      <c r="R239" s="34"/>
      <c r="S239" s="34"/>
      <c r="T239" s="34"/>
      <c r="U239" s="34"/>
      <c r="V239" s="34"/>
    </row>
    <row r="240" spans="2:22" x14ac:dyDescent="0.3">
      <c r="B240" s="33"/>
      <c r="C240" s="34"/>
      <c r="D240" s="34"/>
      <c r="E240" s="34"/>
      <c r="F240" s="34"/>
      <c r="G240" s="34"/>
      <c r="H240" s="34"/>
      <c r="I240" s="34"/>
      <c r="J240" s="34"/>
      <c r="K240" s="35"/>
      <c r="L240" s="34"/>
      <c r="M240" s="32"/>
      <c r="N240" s="34"/>
      <c r="O240" s="34"/>
      <c r="P240" s="34"/>
      <c r="Q240" s="34"/>
      <c r="R240" s="34"/>
      <c r="S240" s="34"/>
      <c r="T240" s="34"/>
      <c r="U240" s="34"/>
      <c r="V240" s="34"/>
    </row>
    <row r="241" spans="2:22" x14ac:dyDescent="0.3">
      <c r="B241" s="33"/>
      <c r="C241" s="34"/>
      <c r="D241" s="34"/>
      <c r="E241" s="34"/>
      <c r="F241" s="34"/>
      <c r="G241" s="34"/>
      <c r="H241" s="34"/>
      <c r="I241" s="34"/>
      <c r="J241" s="34"/>
      <c r="K241" s="35"/>
      <c r="L241" s="34"/>
      <c r="M241" s="32"/>
      <c r="N241" s="34"/>
      <c r="O241" s="34"/>
      <c r="P241" s="34"/>
      <c r="Q241" s="34"/>
      <c r="R241" s="34"/>
      <c r="S241" s="34"/>
      <c r="T241" s="34"/>
      <c r="U241" s="34"/>
      <c r="V241" s="34"/>
    </row>
    <row r="242" spans="2:22" x14ac:dyDescent="0.3">
      <c r="B242" s="33"/>
      <c r="C242" s="34"/>
      <c r="D242" s="34"/>
      <c r="E242" s="34"/>
      <c r="F242" s="34"/>
      <c r="G242" s="34"/>
      <c r="H242" s="34"/>
      <c r="I242" s="34"/>
      <c r="J242" s="34"/>
      <c r="K242" s="35"/>
      <c r="L242" s="34"/>
      <c r="M242" s="32"/>
      <c r="N242" s="34"/>
      <c r="O242" s="34"/>
      <c r="P242" s="34"/>
      <c r="Q242" s="34"/>
      <c r="R242" s="34"/>
      <c r="S242" s="34"/>
      <c r="T242" s="34"/>
      <c r="U242" s="34"/>
      <c r="V242" s="34"/>
    </row>
    <row r="243" spans="2:22" x14ac:dyDescent="0.3">
      <c r="B243" s="33"/>
      <c r="C243" s="34"/>
      <c r="D243" s="34"/>
      <c r="E243" s="34"/>
      <c r="F243" s="34"/>
      <c r="G243" s="34"/>
      <c r="H243" s="34"/>
      <c r="I243" s="34"/>
      <c r="J243" s="34"/>
      <c r="K243" s="35"/>
      <c r="L243" s="34"/>
      <c r="M243" s="32"/>
      <c r="N243" s="34"/>
      <c r="O243" s="34"/>
      <c r="P243" s="34"/>
      <c r="Q243" s="34"/>
      <c r="R243" s="34"/>
      <c r="S243" s="34"/>
      <c r="T243" s="34"/>
      <c r="U243" s="34"/>
      <c r="V243" s="34"/>
    </row>
    <row r="244" spans="2:22" x14ac:dyDescent="0.3">
      <c r="B244" s="33"/>
      <c r="C244" s="34"/>
      <c r="D244" s="34"/>
      <c r="E244" s="34"/>
      <c r="F244" s="34"/>
      <c r="G244" s="34"/>
      <c r="H244" s="34"/>
      <c r="I244" s="34"/>
      <c r="J244" s="34"/>
      <c r="K244" s="35"/>
      <c r="L244" s="34"/>
      <c r="M244" s="32"/>
      <c r="N244" s="34"/>
      <c r="O244" s="34"/>
      <c r="P244" s="34"/>
      <c r="Q244" s="34"/>
      <c r="R244" s="34"/>
      <c r="S244" s="34"/>
      <c r="T244" s="34"/>
      <c r="U244" s="34"/>
      <c r="V244" s="34"/>
    </row>
    <row r="245" spans="2:22" x14ac:dyDescent="0.3">
      <c r="B245" s="33"/>
      <c r="C245" s="34"/>
      <c r="D245" s="34"/>
      <c r="E245" s="34"/>
      <c r="F245" s="34"/>
      <c r="G245" s="34"/>
      <c r="H245" s="34"/>
      <c r="I245" s="34"/>
      <c r="J245" s="34"/>
      <c r="K245" s="35"/>
      <c r="L245" s="34"/>
      <c r="M245" s="32"/>
      <c r="N245" s="34"/>
      <c r="O245" s="34"/>
      <c r="P245" s="34"/>
      <c r="Q245" s="34"/>
      <c r="R245" s="34"/>
      <c r="S245" s="34"/>
      <c r="T245" s="34"/>
      <c r="U245" s="34"/>
      <c r="V245" s="34"/>
    </row>
    <row r="246" spans="2:22" x14ac:dyDescent="0.3">
      <c r="B246" s="33"/>
      <c r="C246" s="34"/>
      <c r="D246" s="34"/>
      <c r="E246" s="34"/>
      <c r="F246" s="34"/>
      <c r="G246" s="34"/>
      <c r="H246" s="34"/>
      <c r="I246" s="34"/>
      <c r="J246" s="34"/>
      <c r="K246" s="35"/>
      <c r="L246" s="34"/>
      <c r="M246" s="32"/>
      <c r="N246" s="34"/>
      <c r="O246" s="34"/>
      <c r="P246" s="34"/>
      <c r="Q246" s="34"/>
      <c r="R246" s="34"/>
      <c r="S246" s="34"/>
      <c r="T246" s="34"/>
      <c r="U246" s="34"/>
      <c r="V246" s="34"/>
    </row>
    <row r="247" spans="2:22" x14ac:dyDescent="0.3">
      <c r="B247" s="33"/>
      <c r="C247" s="34"/>
      <c r="D247" s="34"/>
      <c r="E247" s="34"/>
      <c r="F247" s="34"/>
      <c r="G247" s="34"/>
      <c r="H247" s="34"/>
      <c r="I247" s="34"/>
      <c r="J247" s="34"/>
      <c r="K247" s="35"/>
      <c r="L247" s="34"/>
      <c r="M247" s="32"/>
      <c r="N247" s="34"/>
      <c r="O247" s="34"/>
      <c r="P247" s="34"/>
      <c r="Q247" s="34"/>
      <c r="R247" s="34"/>
      <c r="S247" s="34"/>
      <c r="T247" s="34"/>
      <c r="U247" s="34"/>
      <c r="V247" s="34"/>
    </row>
    <row r="248" spans="2:22" x14ac:dyDescent="0.3">
      <c r="B248" s="33"/>
      <c r="C248" s="34"/>
      <c r="D248" s="34"/>
      <c r="E248" s="34"/>
      <c r="F248" s="34"/>
      <c r="G248" s="34"/>
      <c r="H248" s="34"/>
      <c r="I248" s="34"/>
      <c r="J248" s="34"/>
      <c r="K248" s="35"/>
      <c r="L248" s="34"/>
      <c r="M248" s="32"/>
      <c r="N248" s="34"/>
      <c r="O248" s="34"/>
      <c r="P248" s="34"/>
      <c r="Q248" s="34"/>
      <c r="R248" s="34"/>
      <c r="S248" s="34"/>
      <c r="T248" s="34"/>
      <c r="U248" s="34"/>
      <c r="V248" s="34"/>
    </row>
    <row r="249" spans="2:22" x14ac:dyDescent="0.3">
      <c r="B249" s="33"/>
      <c r="C249" s="34"/>
      <c r="D249" s="34"/>
      <c r="E249" s="34"/>
      <c r="F249" s="34"/>
      <c r="G249" s="34"/>
      <c r="H249" s="34"/>
      <c r="I249" s="34"/>
      <c r="J249" s="34"/>
      <c r="K249" s="35"/>
      <c r="L249" s="34"/>
      <c r="M249" s="32"/>
      <c r="N249" s="34"/>
      <c r="O249" s="34"/>
      <c r="P249" s="34"/>
      <c r="Q249" s="34"/>
      <c r="R249" s="34"/>
      <c r="S249" s="34"/>
      <c r="T249" s="34"/>
      <c r="U249" s="34"/>
      <c r="V249" s="34"/>
    </row>
    <row r="250" spans="2:22" x14ac:dyDescent="0.3">
      <c r="B250" s="33"/>
      <c r="C250" s="34"/>
      <c r="D250" s="34"/>
      <c r="E250" s="34"/>
      <c r="F250" s="34"/>
      <c r="G250" s="34"/>
      <c r="H250" s="34"/>
      <c r="I250" s="34"/>
      <c r="J250" s="34"/>
      <c r="K250" s="35"/>
      <c r="L250" s="34"/>
      <c r="M250" s="32"/>
      <c r="N250" s="34"/>
      <c r="O250" s="34"/>
      <c r="P250" s="34"/>
      <c r="Q250" s="34"/>
      <c r="R250" s="34"/>
      <c r="S250" s="34"/>
      <c r="T250" s="34"/>
      <c r="U250" s="34"/>
      <c r="V250" s="34"/>
    </row>
    <row r="251" spans="2:22" x14ac:dyDescent="0.3">
      <c r="B251" s="33"/>
      <c r="C251" s="34"/>
      <c r="D251" s="34"/>
      <c r="E251" s="34"/>
      <c r="F251" s="34"/>
      <c r="G251" s="34"/>
      <c r="H251" s="34"/>
      <c r="I251" s="34"/>
      <c r="J251" s="34"/>
      <c r="K251" s="35"/>
      <c r="L251" s="34"/>
      <c r="M251" s="32"/>
      <c r="N251" s="34"/>
      <c r="O251" s="34"/>
      <c r="P251" s="34"/>
      <c r="Q251" s="34"/>
      <c r="R251" s="34"/>
      <c r="S251" s="34"/>
      <c r="T251" s="34"/>
      <c r="U251" s="34"/>
      <c r="V251" s="34"/>
    </row>
    <row r="252" spans="2:22" x14ac:dyDescent="0.3">
      <c r="B252" s="33"/>
      <c r="C252" s="34"/>
      <c r="D252" s="34"/>
      <c r="E252" s="34"/>
      <c r="F252" s="34"/>
      <c r="G252" s="34"/>
      <c r="H252" s="34"/>
      <c r="I252" s="34"/>
      <c r="J252" s="34"/>
      <c r="K252" s="35"/>
      <c r="L252" s="34"/>
      <c r="M252" s="32"/>
      <c r="N252" s="34"/>
      <c r="O252" s="34"/>
      <c r="P252" s="34"/>
      <c r="Q252" s="34"/>
      <c r="R252" s="34"/>
      <c r="S252" s="34"/>
      <c r="T252" s="34"/>
      <c r="U252" s="34"/>
      <c r="V252" s="34"/>
    </row>
    <row r="253" spans="2:22" x14ac:dyDescent="0.3">
      <c r="B253" s="33"/>
      <c r="C253" s="34"/>
      <c r="D253" s="34"/>
      <c r="E253" s="34"/>
      <c r="F253" s="34"/>
      <c r="G253" s="34"/>
      <c r="H253" s="34"/>
      <c r="I253" s="34"/>
      <c r="J253" s="34"/>
      <c r="K253" s="35"/>
      <c r="L253" s="34"/>
      <c r="M253" s="32"/>
      <c r="N253" s="34"/>
      <c r="O253" s="34"/>
      <c r="P253" s="34"/>
      <c r="Q253" s="34"/>
      <c r="R253" s="34"/>
      <c r="S253" s="34"/>
      <c r="T253" s="34"/>
      <c r="U253" s="34"/>
      <c r="V253" s="34"/>
    </row>
    <row r="254" spans="2:22" x14ac:dyDescent="0.3">
      <c r="B254" s="33"/>
      <c r="C254" s="34"/>
      <c r="D254" s="34"/>
      <c r="E254" s="34"/>
      <c r="F254" s="34"/>
      <c r="G254" s="34"/>
      <c r="H254" s="34"/>
      <c r="I254" s="34"/>
      <c r="J254" s="34"/>
      <c r="K254" s="35"/>
      <c r="L254" s="34"/>
      <c r="M254" s="32"/>
      <c r="N254" s="34"/>
      <c r="O254" s="34"/>
      <c r="P254" s="34"/>
      <c r="Q254" s="34"/>
      <c r="R254" s="34"/>
      <c r="S254" s="34"/>
      <c r="T254" s="34"/>
      <c r="U254" s="34"/>
      <c r="V254" s="34"/>
    </row>
    <row r="255" spans="2:22" x14ac:dyDescent="0.3">
      <c r="B255" s="33"/>
      <c r="C255" s="34"/>
      <c r="D255" s="34"/>
      <c r="E255" s="34"/>
      <c r="F255" s="34"/>
      <c r="G255" s="34"/>
      <c r="H255" s="34"/>
      <c r="I255" s="34"/>
      <c r="J255" s="34"/>
      <c r="K255" s="35"/>
      <c r="L255" s="34"/>
      <c r="M255" s="32"/>
      <c r="N255" s="34"/>
      <c r="O255" s="34"/>
      <c r="P255" s="34"/>
      <c r="Q255" s="34"/>
      <c r="R255" s="34"/>
      <c r="S255" s="34"/>
      <c r="T255" s="34"/>
      <c r="U255" s="34"/>
      <c r="V255" s="34"/>
    </row>
    <row r="256" spans="2:22" x14ac:dyDescent="0.3">
      <c r="B256" s="33"/>
      <c r="C256" s="34"/>
      <c r="D256" s="34"/>
      <c r="E256" s="34"/>
      <c r="F256" s="34"/>
      <c r="G256" s="34"/>
      <c r="H256" s="34"/>
      <c r="I256" s="34"/>
      <c r="J256" s="34"/>
      <c r="K256" s="35"/>
      <c r="L256" s="34"/>
      <c r="M256" s="32"/>
      <c r="N256" s="34"/>
      <c r="O256" s="34"/>
      <c r="P256" s="34"/>
      <c r="Q256" s="34"/>
      <c r="R256" s="34"/>
      <c r="S256" s="34"/>
      <c r="T256" s="34"/>
      <c r="U256" s="34"/>
      <c r="V256" s="34"/>
    </row>
    <row r="257" spans="2:22" x14ac:dyDescent="0.3">
      <c r="B257" s="33"/>
      <c r="C257" s="34"/>
      <c r="D257" s="34"/>
      <c r="E257" s="34"/>
      <c r="F257" s="34"/>
      <c r="G257" s="34"/>
      <c r="H257" s="34"/>
      <c r="I257" s="34"/>
      <c r="J257" s="34"/>
      <c r="K257" s="35"/>
      <c r="L257" s="34"/>
      <c r="M257" s="32"/>
      <c r="N257" s="34"/>
      <c r="O257" s="34"/>
      <c r="P257" s="34"/>
      <c r="Q257" s="34"/>
      <c r="R257" s="34"/>
      <c r="S257" s="34"/>
      <c r="T257" s="34"/>
      <c r="U257" s="34"/>
      <c r="V257" s="34"/>
    </row>
    <row r="258" spans="2:22" x14ac:dyDescent="0.3">
      <c r="B258" s="33"/>
      <c r="C258" s="34"/>
      <c r="D258" s="34"/>
      <c r="E258" s="34"/>
      <c r="F258" s="34"/>
      <c r="G258" s="34"/>
      <c r="H258" s="34"/>
      <c r="I258" s="34"/>
      <c r="J258" s="34"/>
      <c r="K258" s="35"/>
      <c r="L258" s="34"/>
      <c r="M258" s="32"/>
      <c r="N258" s="34"/>
      <c r="O258" s="34"/>
      <c r="P258" s="34"/>
      <c r="Q258" s="34"/>
      <c r="R258" s="34"/>
      <c r="S258" s="34"/>
      <c r="T258" s="34"/>
      <c r="U258" s="34"/>
      <c r="V258" s="34"/>
    </row>
    <row r="259" spans="2:22" x14ac:dyDescent="0.3">
      <c r="B259" s="33"/>
      <c r="C259" s="34"/>
      <c r="D259" s="34"/>
      <c r="E259" s="34"/>
      <c r="F259" s="34"/>
      <c r="G259" s="34"/>
      <c r="H259" s="34"/>
      <c r="I259" s="34"/>
      <c r="J259" s="34"/>
      <c r="K259" s="35"/>
      <c r="L259" s="34"/>
      <c r="M259" s="32"/>
      <c r="N259" s="34"/>
      <c r="O259" s="34"/>
      <c r="P259" s="34"/>
      <c r="Q259" s="34"/>
      <c r="R259" s="34"/>
      <c r="S259" s="34"/>
      <c r="T259" s="34"/>
      <c r="U259" s="34"/>
      <c r="V259" s="34"/>
    </row>
    <row r="260" spans="2:22" x14ac:dyDescent="0.3">
      <c r="B260" s="33"/>
      <c r="C260" s="34"/>
      <c r="D260" s="34"/>
      <c r="E260" s="34"/>
      <c r="F260" s="34"/>
      <c r="G260" s="34"/>
      <c r="H260" s="34"/>
      <c r="I260" s="34"/>
      <c r="J260" s="34"/>
      <c r="K260" s="35"/>
      <c r="L260" s="34"/>
      <c r="M260" s="32"/>
      <c r="N260" s="34"/>
      <c r="O260" s="34"/>
      <c r="P260" s="34"/>
      <c r="Q260" s="34"/>
      <c r="R260" s="34"/>
      <c r="S260" s="34"/>
      <c r="T260" s="34"/>
      <c r="U260" s="34"/>
      <c r="V260" s="34"/>
    </row>
    <row r="261" spans="2:22" x14ac:dyDescent="0.3">
      <c r="B261" s="33"/>
      <c r="C261" s="34"/>
      <c r="D261" s="34"/>
      <c r="E261" s="34"/>
      <c r="F261" s="34"/>
      <c r="G261" s="34"/>
      <c r="H261" s="34"/>
      <c r="I261" s="34"/>
      <c r="J261" s="34"/>
      <c r="K261" s="35"/>
      <c r="L261" s="34"/>
      <c r="M261" s="32"/>
      <c r="N261" s="34"/>
      <c r="O261" s="34"/>
      <c r="P261" s="34"/>
      <c r="Q261" s="34"/>
      <c r="R261" s="34"/>
      <c r="S261" s="34"/>
      <c r="T261" s="34"/>
      <c r="U261" s="34"/>
      <c r="V261" s="34"/>
    </row>
    <row r="262" spans="2:22" x14ac:dyDescent="0.3">
      <c r="B262" s="33"/>
      <c r="C262" s="34"/>
      <c r="D262" s="34"/>
      <c r="E262" s="34"/>
      <c r="F262" s="34"/>
      <c r="G262" s="34"/>
      <c r="H262" s="34"/>
      <c r="I262" s="34"/>
      <c r="J262" s="34"/>
      <c r="K262" s="35"/>
      <c r="L262" s="34"/>
      <c r="M262" s="32"/>
      <c r="N262" s="34"/>
      <c r="O262" s="34"/>
      <c r="P262" s="34"/>
      <c r="Q262" s="34"/>
      <c r="R262" s="34"/>
      <c r="S262" s="34"/>
      <c r="T262" s="34"/>
      <c r="U262" s="34"/>
      <c r="V262" s="34"/>
    </row>
    <row r="263" spans="2:22" x14ac:dyDescent="0.3">
      <c r="B263" s="33"/>
      <c r="C263" s="34"/>
      <c r="D263" s="34"/>
      <c r="E263" s="34"/>
      <c r="F263" s="34"/>
      <c r="G263" s="34"/>
      <c r="H263" s="34"/>
      <c r="I263" s="34"/>
      <c r="J263" s="34"/>
      <c r="K263" s="35"/>
      <c r="L263" s="34"/>
      <c r="M263" s="32"/>
      <c r="N263" s="34"/>
      <c r="O263" s="34"/>
      <c r="P263" s="34"/>
      <c r="Q263" s="34"/>
      <c r="R263" s="34"/>
      <c r="S263" s="34"/>
      <c r="T263" s="34"/>
      <c r="U263" s="34"/>
      <c r="V263" s="34"/>
    </row>
    <row r="264" spans="2:22" x14ac:dyDescent="0.3">
      <c r="B264" s="33"/>
      <c r="C264" s="34"/>
      <c r="D264" s="34"/>
      <c r="E264" s="34"/>
      <c r="F264" s="34"/>
      <c r="G264" s="34"/>
      <c r="H264" s="34"/>
      <c r="I264" s="34"/>
      <c r="J264" s="34"/>
      <c r="K264" s="35"/>
      <c r="L264" s="34"/>
      <c r="M264" s="32"/>
      <c r="N264" s="34"/>
      <c r="O264" s="34"/>
      <c r="P264" s="34"/>
      <c r="Q264" s="34"/>
      <c r="R264" s="34"/>
      <c r="S264" s="34"/>
      <c r="T264" s="34"/>
      <c r="U264" s="34"/>
      <c r="V264" s="34"/>
    </row>
    <row r="265" spans="2:22" x14ac:dyDescent="0.3">
      <c r="B265" s="33"/>
      <c r="C265" s="34"/>
      <c r="D265" s="34"/>
      <c r="E265" s="34"/>
      <c r="F265" s="34"/>
      <c r="G265" s="34"/>
      <c r="H265" s="34"/>
      <c r="I265" s="34"/>
      <c r="J265" s="34"/>
      <c r="K265" s="35"/>
      <c r="L265" s="34"/>
      <c r="M265" s="32"/>
      <c r="N265" s="34"/>
      <c r="O265" s="34"/>
      <c r="P265" s="34"/>
      <c r="Q265" s="34"/>
      <c r="R265" s="34"/>
      <c r="S265" s="34"/>
      <c r="T265" s="34"/>
      <c r="U265" s="34"/>
      <c r="V265" s="34"/>
    </row>
    <row r="266" spans="2:22" x14ac:dyDescent="0.3">
      <c r="B266" s="33"/>
      <c r="C266" s="34"/>
      <c r="D266" s="34"/>
      <c r="E266" s="34"/>
      <c r="F266" s="34"/>
      <c r="G266" s="34"/>
      <c r="H266" s="34"/>
      <c r="I266" s="34"/>
      <c r="J266" s="34"/>
      <c r="K266" s="35"/>
      <c r="L266" s="34"/>
      <c r="M266" s="32"/>
      <c r="N266" s="34"/>
      <c r="O266" s="34"/>
      <c r="P266" s="34"/>
      <c r="Q266" s="34"/>
      <c r="R266" s="34"/>
      <c r="S266" s="34"/>
      <c r="T266" s="34"/>
      <c r="U266" s="34"/>
      <c r="V266" s="34"/>
    </row>
    <row r="267" spans="2:22" x14ac:dyDescent="0.3">
      <c r="B267" s="33"/>
      <c r="C267" s="34"/>
      <c r="D267" s="34"/>
      <c r="E267" s="34"/>
      <c r="F267" s="34"/>
      <c r="G267" s="34"/>
      <c r="H267" s="34"/>
      <c r="I267" s="34"/>
      <c r="J267" s="34"/>
      <c r="K267" s="35"/>
      <c r="L267" s="34"/>
      <c r="M267" s="32"/>
      <c r="N267" s="34"/>
      <c r="O267" s="34"/>
      <c r="P267" s="34"/>
      <c r="Q267" s="34"/>
      <c r="R267" s="34"/>
      <c r="S267" s="34"/>
      <c r="T267" s="34"/>
      <c r="U267" s="34"/>
      <c r="V267" s="34"/>
    </row>
    <row r="268" spans="2:22" x14ac:dyDescent="0.3">
      <c r="B268" s="33"/>
      <c r="C268" s="34"/>
      <c r="D268" s="34"/>
      <c r="E268" s="34"/>
      <c r="F268" s="34"/>
      <c r="G268" s="34"/>
      <c r="H268" s="34"/>
      <c r="I268" s="34"/>
      <c r="J268" s="34"/>
      <c r="K268" s="35"/>
      <c r="L268" s="34"/>
      <c r="M268" s="32"/>
      <c r="N268" s="34"/>
      <c r="O268" s="34"/>
      <c r="P268" s="34"/>
      <c r="Q268" s="34"/>
      <c r="R268" s="34"/>
      <c r="S268" s="34"/>
      <c r="T268" s="34"/>
      <c r="U268" s="34"/>
      <c r="V268" s="34"/>
    </row>
    <row r="269" spans="2:22" x14ac:dyDescent="0.3">
      <c r="B269" s="33"/>
      <c r="C269" s="34"/>
      <c r="D269" s="34"/>
      <c r="E269" s="34"/>
      <c r="F269" s="34"/>
      <c r="G269" s="34"/>
      <c r="H269" s="34"/>
      <c r="I269" s="34"/>
      <c r="J269" s="34"/>
      <c r="K269" s="35"/>
      <c r="L269" s="34"/>
      <c r="M269" s="32"/>
      <c r="N269" s="34"/>
      <c r="O269" s="34"/>
      <c r="P269" s="34"/>
      <c r="Q269" s="34"/>
      <c r="R269" s="34"/>
      <c r="S269" s="34"/>
      <c r="T269" s="34"/>
      <c r="U269" s="34"/>
      <c r="V269" s="34"/>
    </row>
    <row r="270" spans="2:22" x14ac:dyDescent="0.3">
      <c r="B270" s="33"/>
      <c r="C270" s="34"/>
      <c r="D270" s="34"/>
      <c r="E270" s="34"/>
      <c r="F270" s="34"/>
      <c r="G270" s="34"/>
      <c r="H270" s="34"/>
      <c r="I270" s="34"/>
      <c r="J270" s="34"/>
      <c r="K270" s="35"/>
      <c r="L270" s="34"/>
      <c r="M270" s="32"/>
      <c r="N270" s="34"/>
      <c r="O270" s="34"/>
      <c r="P270" s="34"/>
      <c r="Q270" s="34"/>
      <c r="R270" s="34"/>
      <c r="S270" s="34"/>
      <c r="T270" s="34"/>
      <c r="U270" s="34"/>
      <c r="V270" s="34"/>
    </row>
    <row r="271" spans="2:22" x14ac:dyDescent="0.3">
      <c r="B271" s="33"/>
      <c r="C271" s="34"/>
      <c r="D271" s="34"/>
      <c r="E271" s="34"/>
      <c r="F271" s="34"/>
      <c r="G271" s="34"/>
      <c r="H271" s="34"/>
      <c r="I271" s="34"/>
      <c r="J271" s="34"/>
      <c r="K271" s="35"/>
      <c r="L271" s="34"/>
      <c r="M271" s="32"/>
      <c r="N271" s="34"/>
      <c r="O271" s="34"/>
      <c r="P271" s="34"/>
      <c r="Q271" s="34"/>
      <c r="R271" s="34"/>
      <c r="S271" s="34"/>
      <c r="T271" s="34"/>
      <c r="U271" s="34"/>
      <c r="V271" s="34"/>
    </row>
    <row r="272" spans="2:22" x14ac:dyDescent="0.3">
      <c r="B272" s="33"/>
      <c r="C272" s="34"/>
      <c r="D272" s="34"/>
      <c r="E272" s="34"/>
      <c r="F272" s="34"/>
      <c r="G272" s="34"/>
      <c r="H272" s="34"/>
      <c r="I272" s="34"/>
      <c r="J272" s="34"/>
      <c r="K272" s="35"/>
      <c r="L272" s="34"/>
      <c r="M272" s="32"/>
      <c r="N272" s="34"/>
      <c r="O272" s="34"/>
      <c r="P272" s="34"/>
      <c r="Q272" s="34"/>
      <c r="R272" s="34"/>
      <c r="S272" s="34"/>
      <c r="T272" s="34"/>
      <c r="U272" s="34"/>
      <c r="V272" s="34"/>
    </row>
    <row r="273" spans="2:22" x14ac:dyDescent="0.3">
      <c r="B273" s="33"/>
      <c r="C273" s="34"/>
      <c r="D273" s="34"/>
      <c r="E273" s="34"/>
      <c r="F273" s="34"/>
      <c r="G273" s="34"/>
      <c r="H273" s="34"/>
      <c r="I273" s="34"/>
      <c r="J273" s="34"/>
      <c r="K273" s="35"/>
      <c r="L273" s="34"/>
      <c r="M273" s="32"/>
      <c r="N273" s="34"/>
      <c r="O273" s="34"/>
      <c r="P273" s="34"/>
      <c r="Q273" s="34"/>
      <c r="R273" s="34"/>
      <c r="S273" s="34"/>
      <c r="T273" s="34"/>
      <c r="U273" s="34"/>
      <c r="V273" s="34"/>
    </row>
    <row r="274" spans="2:22" x14ac:dyDescent="0.3">
      <c r="B274" s="33"/>
      <c r="C274" s="34"/>
      <c r="D274" s="34"/>
      <c r="E274" s="34"/>
      <c r="F274" s="34"/>
      <c r="G274" s="34"/>
      <c r="H274" s="34"/>
      <c r="I274" s="34"/>
      <c r="J274" s="34"/>
      <c r="K274" s="35"/>
      <c r="L274" s="34"/>
      <c r="M274" s="32"/>
      <c r="N274" s="34"/>
      <c r="O274" s="34"/>
      <c r="P274" s="34"/>
      <c r="Q274" s="34"/>
      <c r="R274" s="34"/>
      <c r="S274" s="34"/>
      <c r="T274" s="34"/>
      <c r="U274" s="34"/>
      <c r="V274" s="34"/>
    </row>
    <row r="275" spans="2:22" x14ac:dyDescent="0.3">
      <c r="B275" s="33"/>
      <c r="C275" s="34"/>
      <c r="D275" s="34"/>
      <c r="E275" s="34"/>
      <c r="F275" s="34"/>
      <c r="G275" s="34"/>
      <c r="H275" s="34"/>
      <c r="I275" s="34"/>
      <c r="J275" s="34"/>
      <c r="K275" s="35"/>
      <c r="L275" s="34"/>
      <c r="M275" s="32"/>
      <c r="N275" s="34"/>
      <c r="O275" s="34"/>
      <c r="P275" s="34"/>
      <c r="Q275" s="34"/>
      <c r="R275" s="34"/>
      <c r="S275" s="34"/>
      <c r="T275" s="34"/>
      <c r="U275" s="34"/>
      <c r="V275" s="34"/>
    </row>
    <row r="276" spans="2:22" x14ac:dyDescent="0.3">
      <c r="B276" s="33"/>
      <c r="C276" s="34"/>
      <c r="D276" s="34"/>
      <c r="E276" s="34"/>
      <c r="F276" s="34"/>
      <c r="G276" s="34"/>
      <c r="H276" s="34"/>
      <c r="I276" s="34"/>
      <c r="J276" s="34"/>
      <c r="K276" s="35"/>
      <c r="L276" s="34"/>
      <c r="M276" s="32"/>
      <c r="N276" s="34"/>
      <c r="O276" s="34"/>
      <c r="P276" s="34"/>
      <c r="Q276" s="34"/>
      <c r="R276" s="34"/>
      <c r="S276" s="34"/>
      <c r="T276" s="34"/>
      <c r="U276" s="34"/>
      <c r="V276" s="34"/>
    </row>
    <row r="277" spans="2:22" x14ac:dyDescent="0.3">
      <c r="B277" s="33"/>
      <c r="C277" s="34"/>
      <c r="D277" s="34"/>
      <c r="E277" s="34"/>
      <c r="F277" s="34"/>
      <c r="G277" s="34"/>
      <c r="H277" s="34"/>
      <c r="I277" s="34"/>
      <c r="J277" s="34"/>
      <c r="K277" s="35"/>
      <c r="L277" s="34"/>
      <c r="M277" s="32"/>
      <c r="N277" s="34"/>
      <c r="O277" s="34"/>
      <c r="P277" s="34"/>
      <c r="Q277" s="34"/>
      <c r="R277" s="34"/>
      <c r="S277" s="34"/>
      <c r="T277" s="34"/>
      <c r="U277" s="34"/>
      <c r="V277" s="34"/>
    </row>
    <row r="278" spans="2:22" x14ac:dyDescent="0.3">
      <c r="B278" s="33"/>
      <c r="C278" s="34"/>
      <c r="D278" s="34"/>
      <c r="E278" s="34"/>
      <c r="F278" s="34"/>
      <c r="G278" s="34"/>
      <c r="H278" s="34"/>
      <c r="I278" s="34"/>
      <c r="J278" s="34"/>
      <c r="K278" s="35"/>
      <c r="L278" s="34"/>
      <c r="M278" s="32"/>
      <c r="N278" s="34"/>
      <c r="O278" s="34"/>
      <c r="P278" s="34"/>
      <c r="Q278" s="34"/>
      <c r="R278" s="34"/>
      <c r="S278" s="34"/>
      <c r="T278" s="34"/>
      <c r="U278" s="34"/>
      <c r="V278" s="34"/>
    </row>
    <row r="279" spans="2:22" x14ac:dyDescent="0.3">
      <c r="B279" s="33"/>
      <c r="C279" s="34"/>
      <c r="D279" s="34"/>
      <c r="E279" s="34"/>
      <c r="F279" s="34"/>
      <c r="G279" s="34"/>
      <c r="H279" s="34"/>
      <c r="I279" s="34"/>
      <c r="J279" s="34"/>
      <c r="K279" s="35"/>
      <c r="L279" s="34"/>
      <c r="M279" s="32"/>
      <c r="N279" s="34"/>
      <c r="O279" s="34"/>
      <c r="P279" s="34"/>
      <c r="Q279" s="34"/>
      <c r="R279" s="34"/>
      <c r="S279" s="34"/>
      <c r="T279" s="34"/>
      <c r="U279" s="34"/>
      <c r="V279" s="34"/>
    </row>
    <row r="280" spans="2:22" x14ac:dyDescent="0.3">
      <c r="B280" s="33"/>
      <c r="C280" s="34"/>
      <c r="D280" s="34"/>
      <c r="E280" s="34"/>
      <c r="F280" s="34"/>
      <c r="G280" s="34"/>
      <c r="H280" s="34"/>
      <c r="I280" s="34"/>
      <c r="J280" s="34"/>
      <c r="K280" s="35"/>
      <c r="L280" s="34"/>
      <c r="M280" s="32"/>
      <c r="N280" s="34"/>
      <c r="O280" s="34"/>
      <c r="P280" s="34"/>
      <c r="Q280" s="34"/>
      <c r="R280" s="34"/>
      <c r="S280" s="34"/>
      <c r="T280" s="34"/>
      <c r="U280" s="34"/>
      <c r="V280" s="34"/>
    </row>
    <row r="281" spans="2:22" x14ac:dyDescent="0.3">
      <c r="B281" s="33"/>
      <c r="C281" s="34"/>
      <c r="D281" s="34"/>
      <c r="E281" s="34"/>
      <c r="F281" s="34"/>
      <c r="G281" s="34"/>
      <c r="H281" s="34"/>
      <c r="I281" s="34"/>
      <c r="J281" s="34"/>
      <c r="K281" s="35"/>
      <c r="L281" s="34"/>
      <c r="M281" s="32"/>
      <c r="N281" s="34"/>
      <c r="O281" s="34"/>
      <c r="P281" s="34"/>
      <c r="Q281" s="34"/>
      <c r="R281" s="34"/>
      <c r="S281" s="34"/>
      <c r="T281" s="34"/>
      <c r="U281" s="34"/>
      <c r="V281" s="34"/>
    </row>
    <row r="282" spans="2:22" x14ac:dyDescent="0.3">
      <c r="B282" s="33"/>
      <c r="C282" s="34"/>
      <c r="D282" s="34"/>
      <c r="E282" s="34"/>
      <c r="F282" s="34"/>
      <c r="G282" s="34"/>
      <c r="H282" s="34"/>
      <c r="I282" s="34"/>
      <c r="J282" s="34"/>
      <c r="K282" s="35"/>
      <c r="L282" s="34"/>
      <c r="M282" s="32"/>
      <c r="N282" s="34"/>
      <c r="O282" s="34"/>
      <c r="P282" s="34"/>
      <c r="Q282" s="34"/>
      <c r="R282" s="34"/>
      <c r="S282" s="34"/>
      <c r="T282" s="34"/>
      <c r="U282" s="34"/>
      <c r="V282" s="34"/>
    </row>
    <row r="283" spans="2:22" x14ac:dyDescent="0.3">
      <c r="B283" s="33"/>
      <c r="C283" s="34"/>
      <c r="D283" s="34"/>
      <c r="E283" s="34"/>
      <c r="F283" s="34"/>
      <c r="G283" s="34"/>
      <c r="H283" s="34"/>
      <c r="I283" s="34"/>
      <c r="J283" s="34"/>
      <c r="K283" s="35"/>
      <c r="L283" s="34"/>
      <c r="M283" s="32"/>
      <c r="N283" s="34"/>
      <c r="O283" s="34"/>
      <c r="P283" s="34"/>
      <c r="Q283" s="34"/>
      <c r="R283" s="34"/>
      <c r="S283" s="34"/>
      <c r="T283" s="34"/>
      <c r="U283" s="34"/>
      <c r="V283" s="34"/>
    </row>
    <row r="284" spans="2:22" x14ac:dyDescent="0.3">
      <c r="B284" s="33"/>
      <c r="C284" s="34"/>
      <c r="D284" s="34"/>
      <c r="E284" s="34"/>
      <c r="F284" s="34"/>
      <c r="G284" s="34"/>
      <c r="H284" s="34"/>
      <c r="I284" s="34"/>
      <c r="J284" s="34"/>
      <c r="K284" s="35"/>
      <c r="L284" s="34"/>
      <c r="M284" s="32"/>
      <c r="N284" s="34"/>
      <c r="O284" s="34"/>
      <c r="P284" s="34"/>
      <c r="Q284" s="34"/>
      <c r="R284" s="34"/>
      <c r="S284" s="34"/>
      <c r="T284" s="34"/>
      <c r="U284" s="34"/>
      <c r="V284" s="34"/>
    </row>
    <row r="285" spans="2:22" x14ac:dyDescent="0.3">
      <c r="B285" s="33"/>
      <c r="C285" s="34"/>
      <c r="D285" s="34"/>
      <c r="E285" s="34"/>
      <c r="F285" s="34"/>
      <c r="G285" s="34"/>
      <c r="H285" s="34"/>
      <c r="I285" s="34"/>
      <c r="J285" s="34"/>
      <c r="K285" s="35"/>
      <c r="L285" s="34"/>
      <c r="M285" s="32"/>
      <c r="N285" s="34"/>
      <c r="O285" s="34"/>
      <c r="P285" s="34"/>
      <c r="Q285" s="34"/>
      <c r="R285" s="34"/>
      <c r="S285" s="34"/>
      <c r="T285" s="34"/>
      <c r="U285" s="34"/>
      <c r="V285" s="34"/>
    </row>
    <row r="286" spans="2:22" x14ac:dyDescent="0.3">
      <c r="B286" s="33"/>
      <c r="C286" s="34"/>
      <c r="D286" s="34"/>
      <c r="E286" s="34"/>
      <c r="F286" s="34"/>
      <c r="G286" s="34"/>
      <c r="H286" s="34"/>
      <c r="I286" s="34"/>
      <c r="J286" s="34"/>
      <c r="K286" s="35"/>
      <c r="L286" s="34"/>
      <c r="M286" s="32"/>
      <c r="N286" s="34"/>
      <c r="O286" s="34"/>
      <c r="P286" s="34"/>
      <c r="Q286" s="34"/>
      <c r="R286" s="34"/>
      <c r="S286" s="34"/>
      <c r="T286" s="34"/>
      <c r="U286" s="34"/>
      <c r="V286" s="34"/>
    </row>
    <row r="287" spans="2:22" x14ac:dyDescent="0.3">
      <c r="B287" s="33"/>
      <c r="C287" s="34"/>
      <c r="D287" s="34"/>
      <c r="E287" s="34"/>
      <c r="F287" s="34"/>
      <c r="G287" s="34"/>
      <c r="H287" s="34"/>
      <c r="I287" s="34"/>
      <c r="J287" s="34"/>
      <c r="K287" s="35"/>
      <c r="L287" s="34"/>
      <c r="M287" s="32"/>
      <c r="N287" s="34"/>
      <c r="O287" s="34"/>
      <c r="P287" s="34"/>
      <c r="Q287" s="34"/>
      <c r="R287" s="34"/>
      <c r="S287" s="34"/>
      <c r="T287" s="34"/>
      <c r="U287" s="34"/>
      <c r="V287" s="34"/>
    </row>
    <row r="288" spans="2:22" x14ac:dyDescent="0.3">
      <c r="B288" s="33"/>
      <c r="C288" s="34"/>
      <c r="D288" s="34"/>
      <c r="E288" s="34"/>
      <c r="F288" s="34"/>
      <c r="G288" s="34"/>
      <c r="H288" s="34"/>
      <c r="I288" s="34"/>
      <c r="J288" s="34"/>
      <c r="K288" s="35"/>
      <c r="L288" s="34"/>
      <c r="M288" s="32"/>
      <c r="N288" s="34"/>
      <c r="O288" s="34"/>
      <c r="P288" s="34"/>
      <c r="Q288" s="34"/>
      <c r="R288" s="34"/>
      <c r="S288" s="34"/>
      <c r="T288" s="34"/>
      <c r="U288" s="34"/>
      <c r="V288" s="34"/>
    </row>
    <row r="289" spans="2:22" x14ac:dyDescent="0.3">
      <c r="B289" s="33"/>
      <c r="C289" s="34"/>
      <c r="D289" s="34"/>
      <c r="E289" s="34"/>
      <c r="F289" s="34"/>
      <c r="G289" s="34"/>
      <c r="H289" s="34"/>
      <c r="I289" s="34"/>
      <c r="J289" s="34"/>
      <c r="K289" s="35"/>
      <c r="L289" s="34"/>
      <c r="M289" s="32"/>
      <c r="N289" s="34"/>
      <c r="O289" s="34"/>
      <c r="P289" s="34"/>
      <c r="Q289" s="34"/>
      <c r="R289" s="34"/>
      <c r="S289" s="34"/>
      <c r="T289" s="34"/>
      <c r="U289" s="34"/>
      <c r="V289" s="34"/>
    </row>
    <row r="290" spans="2:22" x14ac:dyDescent="0.3">
      <c r="B290" s="33"/>
      <c r="C290" s="34"/>
      <c r="D290" s="34"/>
      <c r="E290" s="34"/>
      <c r="F290" s="34"/>
      <c r="G290" s="34"/>
      <c r="H290" s="34"/>
      <c r="I290" s="34"/>
      <c r="J290" s="34"/>
      <c r="K290" s="35"/>
      <c r="L290" s="34"/>
      <c r="M290" s="32"/>
      <c r="N290" s="34"/>
      <c r="O290" s="34"/>
      <c r="P290" s="34"/>
      <c r="Q290" s="34"/>
      <c r="R290" s="34"/>
      <c r="S290" s="34"/>
      <c r="T290" s="34"/>
      <c r="U290" s="34"/>
      <c r="V290" s="34"/>
    </row>
    <row r="291" spans="2:22" x14ac:dyDescent="0.3">
      <c r="B291" s="33"/>
      <c r="C291" s="34"/>
      <c r="D291" s="34"/>
      <c r="E291" s="34"/>
      <c r="F291" s="34"/>
      <c r="G291" s="34"/>
      <c r="H291" s="34"/>
      <c r="I291" s="34"/>
      <c r="J291" s="34"/>
      <c r="K291" s="35"/>
      <c r="L291" s="34"/>
      <c r="M291" s="32"/>
      <c r="N291" s="34"/>
      <c r="O291" s="34"/>
      <c r="P291" s="34"/>
      <c r="Q291" s="34"/>
      <c r="R291" s="34"/>
      <c r="S291" s="34"/>
      <c r="T291" s="34"/>
      <c r="U291" s="34"/>
      <c r="V291" s="34"/>
    </row>
    <row r="292" spans="2:22" x14ac:dyDescent="0.3">
      <c r="B292" s="33"/>
      <c r="C292" s="34"/>
      <c r="D292" s="34"/>
      <c r="E292" s="34"/>
      <c r="F292" s="34"/>
      <c r="G292" s="34"/>
      <c r="H292" s="34"/>
      <c r="I292" s="34"/>
      <c r="J292" s="34"/>
      <c r="K292" s="35"/>
      <c r="L292" s="34"/>
      <c r="M292" s="32"/>
      <c r="N292" s="34"/>
      <c r="O292" s="34"/>
      <c r="P292" s="34"/>
      <c r="Q292" s="34"/>
      <c r="R292" s="34"/>
      <c r="S292" s="34"/>
      <c r="T292" s="34"/>
      <c r="U292" s="34"/>
      <c r="V292" s="34"/>
    </row>
    <row r="293" spans="2:22" x14ac:dyDescent="0.3">
      <c r="B293" s="33"/>
      <c r="C293" s="34"/>
      <c r="D293" s="34"/>
      <c r="E293" s="34"/>
      <c r="F293" s="34"/>
      <c r="G293" s="34"/>
      <c r="H293" s="34"/>
      <c r="I293" s="34"/>
      <c r="J293" s="34"/>
      <c r="K293" s="35"/>
      <c r="L293" s="34"/>
      <c r="M293" s="32"/>
      <c r="N293" s="34"/>
      <c r="O293" s="34"/>
      <c r="P293" s="34"/>
      <c r="Q293" s="34"/>
      <c r="R293" s="34"/>
      <c r="S293" s="34"/>
      <c r="T293" s="34"/>
      <c r="U293" s="34"/>
      <c r="V293" s="34"/>
    </row>
    <row r="294" spans="2:22" x14ac:dyDescent="0.3">
      <c r="B294" s="33"/>
      <c r="C294" s="34"/>
      <c r="D294" s="34"/>
      <c r="E294" s="34"/>
      <c r="F294" s="34"/>
      <c r="G294" s="34"/>
      <c r="H294" s="34"/>
      <c r="I294" s="34"/>
      <c r="J294" s="34"/>
      <c r="K294" s="35"/>
      <c r="L294" s="34"/>
      <c r="M294" s="32"/>
      <c r="N294" s="34"/>
      <c r="O294" s="34"/>
      <c r="P294" s="34"/>
      <c r="Q294" s="34"/>
      <c r="R294" s="34"/>
      <c r="S294" s="34"/>
      <c r="T294" s="34"/>
      <c r="U294" s="34"/>
      <c r="V294" s="34"/>
    </row>
    <row r="295" spans="2:22" x14ac:dyDescent="0.3">
      <c r="B295" s="33"/>
      <c r="C295" s="34"/>
      <c r="D295" s="34"/>
      <c r="E295" s="34"/>
      <c r="F295" s="34"/>
      <c r="G295" s="34"/>
      <c r="H295" s="34"/>
      <c r="I295" s="34"/>
      <c r="J295" s="34"/>
      <c r="K295" s="35"/>
      <c r="L295" s="34"/>
      <c r="M295" s="32"/>
      <c r="N295" s="34"/>
      <c r="O295" s="34"/>
      <c r="P295" s="34"/>
      <c r="Q295" s="34"/>
      <c r="R295" s="34"/>
      <c r="S295" s="34"/>
      <c r="T295" s="34"/>
      <c r="U295" s="34"/>
      <c r="V295" s="34"/>
    </row>
    <row r="296" spans="2:22" x14ac:dyDescent="0.3">
      <c r="B296" s="33"/>
      <c r="C296" s="34"/>
      <c r="D296" s="34"/>
      <c r="E296" s="34"/>
      <c r="F296" s="34"/>
      <c r="G296" s="34"/>
      <c r="H296" s="34"/>
      <c r="I296" s="34"/>
      <c r="J296" s="34"/>
      <c r="K296" s="35"/>
      <c r="L296" s="34"/>
      <c r="M296" s="32"/>
      <c r="N296" s="34"/>
      <c r="O296" s="34"/>
      <c r="P296" s="34"/>
      <c r="Q296" s="34"/>
      <c r="R296" s="34"/>
      <c r="S296" s="34"/>
      <c r="T296" s="34"/>
      <c r="U296" s="34"/>
      <c r="V296" s="34"/>
    </row>
    <row r="297" spans="2:22" x14ac:dyDescent="0.3">
      <c r="B297" s="33"/>
      <c r="C297" s="34"/>
      <c r="D297" s="34"/>
      <c r="E297" s="34"/>
      <c r="F297" s="34"/>
      <c r="G297" s="34"/>
      <c r="H297" s="34"/>
      <c r="I297" s="34"/>
      <c r="J297" s="34"/>
      <c r="K297" s="35"/>
      <c r="L297" s="34"/>
      <c r="M297" s="32"/>
      <c r="N297" s="34"/>
      <c r="O297" s="34"/>
      <c r="P297" s="34"/>
      <c r="Q297" s="34"/>
      <c r="R297" s="34"/>
      <c r="S297" s="34"/>
      <c r="T297" s="34"/>
      <c r="U297" s="34"/>
      <c r="V297" s="34"/>
    </row>
    <row r="298" spans="2:22" x14ac:dyDescent="0.3">
      <c r="B298" s="33"/>
      <c r="C298" s="34"/>
      <c r="D298" s="34"/>
      <c r="E298" s="34"/>
      <c r="F298" s="34"/>
      <c r="G298" s="34"/>
      <c r="H298" s="34"/>
      <c r="I298" s="34"/>
      <c r="J298" s="34"/>
      <c r="K298" s="35"/>
      <c r="L298" s="34"/>
      <c r="M298" s="32"/>
      <c r="N298" s="34"/>
      <c r="O298" s="34"/>
      <c r="P298" s="34"/>
      <c r="Q298" s="34"/>
      <c r="R298" s="34"/>
      <c r="S298" s="34"/>
      <c r="T298" s="34"/>
      <c r="U298" s="34"/>
      <c r="V298" s="34"/>
    </row>
    <row r="299" spans="2:22" x14ac:dyDescent="0.3">
      <c r="B299" s="33"/>
      <c r="C299" s="34"/>
      <c r="D299" s="34"/>
      <c r="E299" s="34"/>
      <c r="F299" s="34"/>
      <c r="G299" s="34"/>
      <c r="H299" s="34"/>
      <c r="I299" s="34"/>
      <c r="J299" s="34"/>
      <c r="K299" s="35"/>
      <c r="L299" s="34"/>
      <c r="M299" s="32"/>
      <c r="N299" s="34"/>
      <c r="O299" s="34"/>
      <c r="P299" s="34"/>
      <c r="Q299" s="34"/>
      <c r="R299" s="34"/>
      <c r="S299" s="34"/>
      <c r="T299" s="34"/>
      <c r="U299" s="34"/>
      <c r="V299" s="34"/>
    </row>
    <row r="300" spans="2:22" x14ac:dyDescent="0.3">
      <c r="B300" s="33"/>
      <c r="C300" s="34"/>
      <c r="D300" s="34"/>
      <c r="E300" s="34"/>
      <c r="F300" s="34"/>
      <c r="G300" s="34"/>
      <c r="H300" s="34"/>
      <c r="I300" s="34"/>
      <c r="J300" s="34"/>
      <c r="K300" s="35"/>
      <c r="L300" s="34"/>
      <c r="M300" s="32"/>
      <c r="N300" s="34"/>
      <c r="O300" s="34"/>
      <c r="P300" s="34"/>
      <c r="Q300" s="34"/>
      <c r="R300" s="34"/>
      <c r="S300" s="34"/>
      <c r="T300" s="34"/>
      <c r="U300" s="34"/>
      <c r="V300" s="34"/>
    </row>
    <row r="301" spans="2:22" x14ac:dyDescent="0.3">
      <c r="B301" s="33"/>
      <c r="C301" s="34"/>
      <c r="D301" s="34"/>
      <c r="E301" s="34"/>
      <c r="F301" s="34"/>
      <c r="G301" s="34"/>
      <c r="H301" s="34"/>
      <c r="I301" s="34"/>
      <c r="J301" s="34"/>
      <c r="K301" s="35"/>
      <c r="L301" s="34"/>
      <c r="M301" s="32"/>
      <c r="N301" s="34"/>
      <c r="O301" s="34"/>
      <c r="P301" s="34"/>
      <c r="Q301" s="34"/>
      <c r="R301" s="34"/>
      <c r="S301" s="34"/>
      <c r="T301" s="34"/>
      <c r="U301" s="34"/>
      <c r="V301" s="34"/>
    </row>
    <row r="302" spans="2:22" x14ac:dyDescent="0.3">
      <c r="B302" s="33"/>
      <c r="C302" s="34"/>
      <c r="D302" s="34"/>
      <c r="E302" s="34"/>
      <c r="F302" s="34"/>
      <c r="G302" s="34"/>
      <c r="H302" s="34"/>
      <c r="I302" s="34"/>
      <c r="J302" s="34"/>
      <c r="K302" s="35"/>
      <c r="L302" s="34"/>
      <c r="M302" s="32"/>
      <c r="N302" s="34"/>
      <c r="O302" s="34"/>
      <c r="P302" s="34"/>
      <c r="Q302" s="34"/>
      <c r="R302" s="34"/>
      <c r="S302" s="34"/>
      <c r="T302" s="34"/>
      <c r="U302" s="34"/>
      <c r="V302" s="34"/>
    </row>
    <row r="303" spans="2:22" x14ac:dyDescent="0.3">
      <c r="B303" s="33"/>
      <c r="C303" s="34"/>
      <c r="D303" s="34"/>
      <c r="E303" s="34"/>
      <c r="F303" s="34"/>
      <c r="G303" s="34"/>
      <c r="H303" s="34"/>
      <c r="I303" s="34"/>
      <c r="J303" s="34"/>
      <c r="K303" s="35"/>
      <c r="L303" s="34"/>
      <c r="M303" s="32"/>
      <c r="N303" s="34"/>
      <c r="O303" s="34"/>
      <c r="P303" s="34"/>
      <c r="Q303" s="34"/>
      <c r="R303" s="34"/>
      <c r="S303" s="34"/>
      <c r="T303" s="34"/>
      <c r="U303" s="34"/>
      <c r="V303" s="34"/>
    </row>
    <row r="304" spans="2:22" x14ac:dyDescent="0.3">
      <c r="B304" s="33"/>
      <c r="C304" s="34"/>
      <c r="D304" s="34"/>
      <c r="E304" s="34"/>
      <c r="F304" s="34"/>
      <c r="G304" s="34"/>
      <c r="H304" s="34"/>
      <c r="I304" s="34"/>
      <c r="J304" s="34"/>
      <c r="K304" s="35"/>
      <c r="L304" s="34"/>
      <c r="M304" s="32"/>
      <c r="N304" s="34"/>
      <c r="O304" s="34"/>
      <c r="P304" s="34"/>
      <c r="Q304" s="34"/>
      <c r="R304" s="34"/>
      <c r="S304" s="34"/>
      <c r="T304" s="34"/>
      <c r="U304" s="34"/>
      <c r="V304" s="34"/>
    </row>
    <row r="305" spans="2:22" x14ac:dyDescent="0.3">
      <c r="B305" s="33"/>
      <c r="C305" s="34"/>
      <c r="D305" s="34"/>
      <c r="E305" s="34"/>
      <c r="F305" s="34"/>
      <c r="G305" s="34"/>
      <c r="H305" s="34"/>
      <c r="I305" s="34"/>
      <c r="J305" s="34"/>
      <c r="K305" s="35"/>
      <c r="L305" s="34"/>
      <c r="M305" s="32"/>
      <c r="N305" s="34"/>
      <c r="O305" s="34"/>
      <c r="P305" s="34"/>
      <c r="Q305" s="34"/>
      <c r="R305" s="34"/>
      <c r="S305" s="34"/>
      <c r="T305" s="34"/>
      <c r="U305" s="34"/>
      <c r="V305" s="34"/>
    </row>
    <row r="306" spans="2:22" x14ac:dyDescent="0.3">
      <c r="B306" s="33"/>
      <c r="C306" s="34"/>
      <c r="D306" s="34"/>
      <c r="E306" s="34"/>
      <c r="F306" s="34"/>
      <c r="G306" s="34"/>
      <c r="H306" s="34"/>
      <c r="I306" s="34"/>
      <c r="J306" s="34"/>
      <c r="K306" s="35"/>
      <c r="L306" s="34"/>
      <c r="M306" s="32"/>
      <c r="N306" s="34"/>
      <c r="O306" s="34"/>
      <c r="P306" s="34"/>
      <c r="Q306" s="34"/>
      <c r="R306" s="34"/>
      <c r="S306" s="34"/>
      <c r="T306" s="34"/>
      <c r="U306" s="34"/>
      <c r="V306" s="34"/>
    </row>
    <row r="307" spans="2:22" x14ac:dyDescent="0.3">
      <c r="B307" s="33"/>
      <c r="C307" s="34"/>
      <c r="D307" s="34"/>
      <c r="E307" s="34"/>
      <c r="F307" s="34"/>
      <c r="G307" s="34"/>
      <c r="H307" s="34"/>
      <c r="I307" s="34"/>
      <c r="J307" s="34"/>
      <c r="K307" s="35"/>
      <c r="L307" s="34"/>
      <c r="M307" s="32"/>
      <c r="N307" s="34"/>
      <c r="O307" s="34"/>
      <c r="P307" s="34"/>
      <c r="Q307" s="34"/>
      <c r="R307" s="34"/>
      <c r="S307" s="34"/>
      <c r="T307" s="34"/>
      <c r="U307" s="34"/>
      <c r="V307" s="34"/>
    </row>
    <row r="308" spans="2:22" x14ac:dyDescent="0.3">
      <c r="B308" s="33"/>
      <c r="C308" s="34"/>
      <c r="D308" s="34"/>
      <c r="E308" s="34"/>
      <c r="F308" s="34"/>
      <c r="G308" s="34"/>
      <c r="H308" s="34"/>
      <c r="I308" s="34"/>
      <c r="J308" s="34"/>
      <c r="K308" s="35"/>
      <c r="L308" s="34"/>
      <c r="M308" s="32"/>
      <c r="N308" s="34"/>
      <c r="O308" s="34"/>
      <c r="P308" s="34"/>
      <c r="Q308" s="34"/>
      <c r="R308" s="34"/>
      <c r="S308" s="34"/>
      <c r="T308" s="34"/>
      <c r="U308" s="34"/>
      <c r="V308" s="34"/>
    </row>
    <row r="309" spans="2:22" x14ac:dyDescent="0.3">
      <c r="B309" s="33"/>
      <c r="C309" s="34"/>
      <c r="D309" s="34"/>
      <c r="E309" s="34"/>
      <c r="F309" s="34"/>
      <c r="G309" s="34"/>
      <c r="H309" s="34"/>
      <c r="I309" s="34"/>
      <c r="J309" s="34"/>
      <c r="K309" s="35"/>
      <c r="L309" s="34"/>
      <c r="M309" s="32"/>
      <c r="N309" s="34"/>
      <c r="O309" s="34"/>
      <c r="P309" s="34"/>
      <c r="Q309" s="34"/>
      <c r="R309" s="34"/>
      <c r="S309" s="34"/>
      <c r="T309" s="34"/>
      <c r="U309" s="34"/>
      <c r="V309" s="34"/>
    </row>
    <row r="310" spans="2:22" x14ac:dyDescent="0.3">
      <c r="B310" s="33"/>
      <c r="C310" s="34"/>
      <c r="D310" s="34"/>
      <c r="E310" s="34"/>
      <c r="F310" s="34"/>
      <c r="G310" s="34"/>
      <c r="H310" s="34"/>
      <c r="I310" s="34"/>
      <c r="J310" s="34"/>
      <c r="K310" s="35"/>
      <c r="L310" s="34"/>
      <c r="M310" s="32"/>
      <c r="N310" s="34"/>
      <c r="O310" s="34"/>
      <c r="P310" s="34"/>
      <c r="Q310" s="34"/>
      <c r="R310" s="34"/>
      <c r="S310" s="34"/>
      <c r="T310" s="34"/>
      <c r="U310" s="34"/>
      <c r="V310" s="34"/>
    </row>
    <row r="311" spans="2:22" x14ac:dyDescent="0.3">
      <c r="B311" s="33"/>
      <c r="C311" s="34"/>
      <c r="D311" s="34"/>
      <c r="E311" s="34"/>
      <c r="F311" s="34"/>
      <c r="G311" s="34"/>
      <c r="H311" s="34"/>
      <c r="I311" s="34"/>
      <c r="J311" s="34"/>
      <c r="K311" s="35"/>
      <c r="L311" s="34"/>
      <c r="M311" s="32"/>
      <c r="N311" s="34"/>
      <c r="O311" s="34"/>
      <c r="P311" s="34"/>
      <c r="Q311" s="34"/>
      <c r="R311" s="34"/>
      <c r="S311" s="34"/>
      <c r="T311" s="34"/>
      <c r="U311" s="34"/>
      <c r="V311" s="34"/>
    </row>
    <row r="312" spans="2:22" x14ac:dyDescent="0.3">
      <c r="B312" s="33"/>
      <c r="C312" s="34"/>
      <c r="D312" s="34"/>
      <c r="E312" s="34"/>
      <c r="F312" s="34"/>
      <c r="G312" s="34"/>
      <c r="H312" s="34"/>
      <c r="I312" s="34"/>
      <c r="J312" s="34"/>
      <c r="K312" s="35"/>
      <c r="L312" s="34"/>
      <c r="M312" s="32"/>
      <c r="N312" s="34"/>
      <c r="O312" s="34"/>
      <c r="P312" s="34"/>
      <c r="Q312" s="34"/>
      <c r="R312" s="34"/>
      <c r="S312" s="34"/>
      <c r="T312" s="34"/>
      <c r="U312" s="34"/>
      <c r="V312" s="34"/>
    </row>
    <row r="313" spans="2:22" x14ac:dyDescent="0.3">
      <c r="B313" s="33"/>
      <c r="C313" s="34"/>
      <c r="D313" s="34"/>
      <c r="E313" s="34"/>
      <c r="F313" s="34"/>
      <c r="G313" s="34"/>
      <c r="H313" s="34"/>
      <c r="I313" s="34"/>
      <c r="J313" s="34"/>
      <c r="K313" s="35"/>
      <c r="L313" s="34"/>
      <c r="M313" s="32"/>
      <c r="N313" s="34"/>
      <c r="O313" s="34"/>
      <c r="P313" s="34"/>
      <c r="Q313" s="34"/>
      <c r="R313" s="34"/>
      <c r="S313" s="34"/>
      <c r="T313" s="34"/>
      <c r="U313" s="34"/>
      <c r="V313" s="34"/>
    </row>
    <row r="314" spans="2:22" x14ac:dyDescent="0.3">
      <c r="B314" s="33"/>
      <c r="C314" s="34"/>
      <c r="D314" s="34"/>
      <c r="E314" s="34"/>
      <c r="F314" s="34"/>
      <c r="G314" s="34"/>
      <c r="H314" s="34"/>
      <c r="I314" s="34"/>
      <c r="J314" s="34"/>
      <c r="K314" s="35"/>
      <c r="L314" s="34"/>
      <c r="M314" s="32"/>
      <c r="N314" s="34"/>
      <c r="O314" s="34"/>
      <c r="P314" s="34"/>
      <c r="Q314" s="34"/>
      <c r="R314" s="34"/>
      <c r="S314" s="34"/>
      <c r="T314" s="34"/>
      <c r="U314" s="34"/>
      <c r="V314" s="34"/>
    </row>
    <row r="315" spans="2:22" x14ac:dyDescent="0.3">
      <c r="B315" s="33"/>
      <c r="C315" s="34"/>
      <c r="D315" s="34"/>
      <c r="E315" s="34"/>
      <c r="F315" s="34"/>
      <c r="G315" s="34"/>
      <c r="H315" s="34"/>
      <c r="I315" s="34"/>
      <c r="J315" s="34"/>
      <c r="K315" s="35"/>
      <c r="L315" s="34"/>
      <c r="M315" s="32"/>
      <c r="N315" s="34"/>
      <c r="O315" s="34"/>
      <c r="P315" s="34"/>
      <c r="Q315" s="34"/>
      <c r="R315" s="34"/>
      <c r="S315" s="34"/>
      <c r="T315" s="34"/>
      <c r="U315" s="34"/>
      <c r="V315" s="34"/>
    </row>
    <row r="316" spans="2:22" x14ac:dyDescent="0.3">
      <c r="B316" s="33"/>
      <c r="C316" s="34"/>
      <c r="D316" s="34"/>
      <c r="E316" s="34"/>
      <c r="F316" s="34"/>
      <c r="G316" s="34"/>
      <c r="H316" s="34"/>
      <c r="I316" s="34"/>
      <c r="J316" s="34"/>
      <c r="K316" s="35"/>
      <c r="L316" s="34"/>
      <c r="M316" s="32"/>
      <c r="N316" s="34"/>
      <c r="O316" s="34"/>
      <c r="P316" s="34"/>
      <c r="Q316" s="34"/>
      <c r="R316" s="34"/>
      <c r="S316" s="34"/>
      <c r="T316" s="34"/>
      <c r="U316" s="34"/>
      <c r="V316" s="34"/>
    </row>
    <row r="317" spans="2:22" x14ac:dyDescent="0.3">
      <c r="B317" s="33"/>
      <c r="C317" s="34"/>
      <c r="D317" s="34"/>
      <c r="E317" s="34"/>
      <c r="F317" s="34"/>
      <c r="G317" s="34"/>
      <c r="H317" s="34"/>
      <c r="I317" s="34"/>
      <c r="J317" s="34"/>
      <c r="K317" s="35"/>
      <c r="L317" s="34"/>
      <c r="M317" s="32"/>
      <c r="N317" s="34"/>
      <c r="O317" s="34"/>
      <c r="P317" s="34"/>
      <c r="Q317" s="34"/>
      <c r="R317" s="34"/>
      <c r="S317" s="34"/>
      <c r="T317" s="34"/>
      <c r="U317" s="34"/>
      <c r="V317" s="34"/>
    </row>
    <row r="318" spans="2:22" x14ac:dyDescent="0.3">
      <c r="B318" s="33"/>
      <c r="C318" s="34"/>
      <c r="D318" s="34"/>
      <c r="E318" s="34"/>
      <c r="F318" s="34"/>
      <c r="G318" s="34"/>
      <c r="H318" s="34"/>
      <c r="I318" s="34"/>
      <c r="J318" s="34"/>
      <c r="K318" s="35"/>
      <c r="L318" s="34"/>
      <c r="M318" s="32"/>
      <c r="N318" s="34"/>
      <c r="O318" s="34"/>
      <c r="P318" s="34"/>
      <c r="Q318" s="34"/>
      <c r="R318" s="34"/>
      <c r="S318" s="34"/>
      <c r="T318" s="34"/>
      <c r="U318" s="34"/>
      <c r="V318" s="34"/>
    </row>
    <row r="319" spans="2:22" x14ac:dyDescent="0.3">
      <c r="B319" s="33"/>
      <c r="C319" s="34"/>
      <c r="D319" s="34"/>
      <c r="E319" s="34"/>
      <c r="F319" s="34"/>
      <c r="G319" s="34"/>
      <c r="H319" s="34"/>
      <c r="I319" s="34"/>
      <c r="J319" s="34"/>
      <c r="K319" s="35"/>
      <c r="L319" s="34"/>
      <c r="M319" s="32"/>
      <c r="N319" s="34"/>
      <c r="O319" s="34"/>
      <c r="P319" s="34"/>
      <c r="Q319" s="34"/>
      <c r="R319" s="34"/>
      <c r="S319" s="34"/>
      <c r="T319" s="34"/>
      <c r="U319" s="34"/>
      <c r="V319" s="34"/>
    </row>
    <row r="320" spans="2:22" x14ac:dyDescent="0.3">
      <c r="B320" s="33"/>
      <c r="C320" s="34"/>
      <c r="D320" s="34"/>
      <c r="E320" s="34"/>
      <c r="F320" s="34"/>
      <c r="G320" s="34"/>
      <c r="H320" s="34"/>
      <c r="I320" s="34"/>
      <c r="J320" s="34"/>
      <c r="K320" s="35"/>
      <c r="L320" s="34"/>
      <c r="M320" s="32"/>
      <c r="N320" s="34"/>
      <c r="O320" s="34"/>
      <c r="P320" s="34"/>
      <c r="Q320" s="34"/>
      <c r="R320" s="34"/>
      <c r="S320" s="34"/>
      <c r="T320" s="34"/>
      <c r="U320" s="34"/>
      <c r="V320" s="34"/>
    </row>
    <row r="321" spans="2:22" x14ac:dyDescent="0.3">
      <c r="B321" s="33"/>
      <c r="C321" s="34"/>
      <c r="D321" s="34"/>
      <c r="E321" s="34"/>
      <c r="F321" s="34"/>
      <c r="G321" s="34"/>
      <c r="H321" s="34"/>
      <c r="I321" s="34"/>
      <c r="J321" s="34"/>
      <c r="K321" s="35"/>
      <c r="L321" s="34"/>
      <c r="M321" s="32"/>
      <c r="N321" s="34"/>
      <c r="O321" s="34"/>
      <c r="P321" s="34"/>
      <c r="Q321" s="34"/>
      <c r="R321" s="34"/>
      <c r="S321" s="34"/>
      <c r="T321" s="34"/>
      <c r="U321" s="34"/>
      <c r="V321" s="34"/>
    </row>
    <row r="322" spans="2:22" x14ac:dyDescent="0.3">
      <c r="B322" s="33"/>
      <c r="C322" s="34"/>
      <c r="D322" s="34"/>
      <c r="E322" s="34"/>
      <c r="F322" s="34"/>
      <c r="G322" s="34"/>
      <c r="H322" s="34"/>
      <c r="I322" s="34"/>
      <c r="J322" s="34"/>
      <c r="K322" s="35"/>
      <c r="L322" s="34"/>
      <c r="M322" s="32"/>
      <c r="N322" s="34"/>
      <c r="O322" s="34"/>
      <c r="P322" s="34"/>
      <c r="Q322" s="34"/>
      <c r="R322" s="34"/>
      <c r="S322" s="34"/>
      <c r="T322" s="34"/>
      <c r="U322" s="34"/>
      <c r="V322" s="34"/>
    </row>
    <row r="323" spans="2:22" x14ac:dyDescent="0.3">
      <c r="B323" s="33"/>
      <c r="C323" s="34"/>
      <c r="D323" s="34"/>
      <c r="E323" s="34"/>
      <c r="F323" s="34"/>
      <c r="G323" s="34"/>
      <c r="H323" s="34"/>
      <c r="I323" s="34"/>
      <c r="J323" s="34"/>
      <c r="K323" s="35"/>
      <c r="L323" s="34"/>
      <c r="M323" s="32"/>
      <c r="N323" s="34"/>
      <c r="O323" s="34"/>
      <c r="P323" s="34"/>
      <c r="Q323" s="34"/>
      <c r="R323" s="34"/>
      <c r="S323" s="34"/>
      <c r="T323" s="34"/>
      <c r="U323" s="34"/>
      <c r="V323" s="34"/>
    </row>
    <row r="324" spans="2:22" x14ac:dyDescent="0.3">
      <c r="B324" s="33"/>
      <c r="C324" s="34"/>
      <c r="D324" s="34"/>
      <c r="E324" s="34"/>
      <c r="F324" s="34"/>
      <c r="G324" s="34"/>
      <c r="H324" s="34"/>
      <c r="I324" s="34"/>
      <c r="J324" s="34"/>
      <c r="K324" s="35"/>
      <c r="L324" s="34"/>
      <c r="M324" s="32"/>
      <c r="N324" s="34"/>
      <c r="O324" s="34"/>
      <c r="P324" s="34"/>
      <c r="Q324" s="34"/>
      <c r="R324" s="34"/>
      <c r="S324" s="34"/>
      <c r="T324" s="34"/>
      <c r="U324" s="34"/>
      <c r="V324" s="34"/>
    </row>
    <row r="325" spans="2:22" x14ac:dyDescent="0.3">
      <c r="B325" s="33"/>
      <c r="C325" s="34"/>
      <c r="D325" s="34"/>
      <c r="E325" s="34"/>
      <c r="F325" s="34"/>
      <c r="G325" s="34"/>
      <c r="H325" s="34"/>
      <c r="I325" s="34"/>
      <c r="J325" s="34"/>
      <c r="K325" s="35"/>
      <c r="L325" s="34"/>
      <c r="M325" s="32"/>
      <c r="N325" s="34"/>
      <c r="O325" s="34"/>
      <c r="P325" s="34"/>
      <c r="Q325" s="34"/>
      <c r="R325" s="34"/>
      <c r="S325" s="34"/>
      <c r="T325" s="34"/>
      <c r="U325" s="34"/>
      <c r="V325" s="34"/>
    </row>
    <row r="326" spans="2:22" x14ac:dyDescent="0.3">
      <c r="B326" s="33"/>
      <c r="C326" s="34"/>
      <c r="D326" s="34"/>
      <c r="E326" s="34"/>
      <c r="F326" s="34"/>
      <c r="G326" s="34"/>
      <c r="H326" s="34"/>
      <c r="I326" s="34"/>
      <c r="J326" s="34"/>
      <c r="K326" s="35"/>
      <c r="L326" s="34"/>
      <c r="M326" s="32"/>
      <c r="N326" s="34"/>
      <c r="O326" s="34"/>
      <c r="P326" s="34"/>
      <c r="Q326" s="34"/>
      <c r="R326" s="34"/>
      <c r="S326" s="34"/>
      <c r="T326" s="34"/>
      <c r="U326" s="34"/>
      <c r="V326" s="34"/>
    </row>
    <row r="327" spans="2:22" x14ac:dyDescent="0.3">
      <c r="B327" s="33"/>
      <c r="C327" s="34"/>
      <c r="D327" s="34"/>
      <c r="E327" s="34"/>
      <c r="F327" s="34"/>
      <c r="G327" s="34"/>
      <c r="H327" s="34"/>
      <c r="I327" s="34"/>
      <c r="J327" s="34"/>
      <c r="K327" s="35"/>
      <c r="L327" s="34"/>
      <c r="M327" s="32"/>
      <c r="N327" s="34"/>
      <c r="O327" s="34"/>
      <c r="P327" s="34"/>
      <c r="Q327" s="34"/>
      <c r="R327" s="34"/>
      <c r="S327" s="34"/>
      <c r="T327" s="34"/>
      <c r="U327" s="34"/>
      <c r="V327" s="34"/>
    </row>
    <row r="328" spans="2:22" x14ac:dyDescent="0.3">
      <c r="B328" s="33"/>
      <c r="C328" s="34"/>
      <c r="D328" s="34"/>
      <c r="E328" s="34"/>
      <c r="F328" s="34"/>
      <c r="G328" s="34"/>
      <c r="H328" s="34"/>
      <c r="I328" s="34"/>
      <c r="J328" s="34"/>
      <c r="K328" s="35"/>
      <c r="L328" s="34"/>
      <c r="M328" s="32"/>
      <c r="N328" s="34"/>
      <c r="O328" s="34"/>
      <c r="P328" s="34"/>
      <c r="Q328" s="34"/>
      <c r="R328" s="34"/>
      <c r="S328" s="34"/>
      <c r="T328" s="34"/>
      <c r="U328" s="34"/>
      <c r="V328" s="34"/>
    </row>
    <row r="329" spans="2:22" x14ac:dyDescent="0.3">
      <c r="B329" s="33"/>
      <c r="C329" s="34"/>
      <c r="D329" s="34"/>
      <c r="E329" s="34"/>
      <c r="F329" s="34"/>
      <c r="G329" s="34"/>
      <c r="H329" s="34"/>
      <c r="I329" s="34"/>
      <c r="J329" s="34"/>
      <c r="K329" s="35"/>
      <c r="L329" s="34"/>
      <c r="M329" s="32"/>
      <c r="N329" s="34"/>
      <c r="O329" s="34"/>
      <c r="P329" s="34"/>
      <c r="Q329" s="34"/>
      <c r="R329" s="34"/>
      <c r="S329" s="34"/>
      <c r="T329" s="34"/>
      <c r="U329" s="34"/>
      <c r="V329" s="34"/>
    </row>
    <row r="330" spans="2:22" x14ac:dyDescent="0.3">
      <c r="B330" s="33"/>
      <c r="C330" s="34"/>
      <c r="D330" s="34"/>
      <c r="E330" s="34"/>
      <c r="F330" s="34"/>
      <c r="G330" s="34"/>
      <c r="H330" s="34"/>
      <c r="I330" s="34"/>
      <c r="J330" s="34"/>
      <c r="K330" s="35"/>
      <c r="L330" s="34"/>
      <c r="M330" s="32"/>
      <c r="N330" s="34"/>
      <c r="O330" s="34"/>
      <c r="P330" s="34"/>
      <c r="Q330" s="34"/>
      <c r="R330" s="34"/>
      <c r="S330" s="34"/>
      <c r="T330" s="34"/>
      <c r="U330" s="34"/>
      <c r="V330" s="34"/>
    </row>
    <row r="331" spans="2:22" x14ac:dyDescent="0.3">
      <c r="B331" s="33"/>
      <c r="C331" s="34"/>
      <c r="D331" s="34"/>
      <c r="E331" s="34"/>
      <c r="F331" s="34"/>
      <c r="G331" s="34"/>
      <c r="H331" s="34"/>
      <c r="I331" s="34"/>
      <c r="J331" s="34"/>
      <c r="K331" s="35"/>
      <c r="L331" s="34"/>
      <c r="M331" s="32"/>
      <c r="N331" s="34"/>
      <c r="O331" s="34"/>
      <c r="P331" s="34"/>
      <c r="Q331" s="34"/>
      <c r="R331" s="34"/>
      <c r="S331" s="34"/>
      <c r="T331" s="34"/>
      <c r="U331" s="34"/>
      <c r="V331" s="34"/>
    </row>
    <row r="332" spans="2:22" x14ac:dyDescent="0.3">
      <c r="B332" s="33"/>
      <c r="C332" s="34"/>
      <c r="D332" s="34"/>
      <c r="E332" s="34"/>
      <c r="F332" s="34"/>
      <c r="G332" s="34"/>
      <c r="H332" s="34"/>
      <c r="I332" s="34"/>
      <c r="J332" s="34"/>
      <c r="K332" s="35"/>
      <c r="L332" s="34"/>
      <c r="M332" s="32"/>
      <c r="N332" s="34"/>
      <c r="O332" s="34"/>
      <c r="P332" s="34"/>
      <c r="Q332" s="34"/>
      <c r="R332" s="34"/>
      <c r="S332" s="34"/>
      <c r="T332" s="34"/>
      <c r="U332" s="34"/>
      <c r="V332" s="34"/>
    </row>
    <row r="333" spans="2:22" x14ac:dyDescent="0.3">
      <c r="B333" s="33"/>
      <c r="C333" s="34"/>
      <c r="D333" s="34"/>
      <c r="E333" s="34"/>
      <c r="F333" s="34"/>
      <c r="G333" s="34"/>
      <c r="H333" s="34"/>
      <c r="I333" s="34"/>
      <c r="J333" s="34"/>
      <c r="K333" s="35"/>
      <c r="L333" s="34"/>
      <c r="M333" s="32"/>
      <c r="N333" s="34"/>
      <c r="O333" s="34"/>
      <c r="P333" s="34"/>
      <c r="Q333" s="34"/>
      <c r="R333" s="34"/>
      <c r="S333" s="34"/>
      <c r="T333" s="34"/>
      <c r="U333" s="34"/>
      <c r="V333" s="34"/>
    </row>
    <row r="334" spans="2:22" x14ac:dyDescent="0.3">
      <c r="B334" s="33"/>
      <c r="C334" s="34"/>
      <c r="D334" s="34"/>
      <c r="E334" s="34"/>
      <c r="F334" s="34"/>
      <c r="G334" s="34"/>
      <c r="H334" s="34"/>
      <c r="I334" s="34"/>
      <c r="J334" s="34"/>
      <c r="K334" s="35"/>
      <c r="L334" s="34"/>
      <c r="M334" s="32"/>
      <c r="N334" s="34"/>
      <c r="O334" s="34"/>
      <c r="P334" s="34"/>
      <c r="Q334" s="34"/>
      <c r="R334" s="34"/>
      <c r="S334" s="34"/>
      <c r="T334" s="34"/>
      <c r="U334" s="34"/>
      <c r="V334" s="34"/>
    </row>
    <row r="335" spans="2:22" x14ac:dyDescent="0.3">
      <c r="B335" s="33"/>
      <c r="C335" s="34"/>
      <c r="D335" s="34"/>
      <c r="E335" s="34"/>
      <c r="F335" s="34"/>
      <c r="G335" s="34"/>
      <c r="H335" s="34"/>
      <c r="I335" s="34"/>
      <c r="J335" s="34"/>
      <c r="K335" s="35"/>
      <c r="L335" s="34"/>
      <c r="M335" s="32"/>
      <c r="N335" s="34"/>
      <c r="O335" s="34"/>
      <c r="P335" s="34"/>
      <c r="Q335" s="34"/>
      <c r="R335" s="34"/>
      <c r="S335" s="34"/>
      <c r="T335" s="34"/>
      <c r="U335" s="34"/>
      <c r="V335" s="34"/>
    </row>
    <row r="336" spans="2:22" x14ac:dyDescent="0.3">
      <c r="B336" s="33"/>
      <c r="C336" s="34"/>
      <c r="D336" s="34"/>
      <c r="E336" s="34"/>
      <c r="F336" s="34"/>
      <c r="G336" s="34"/>
      <c r="H336" s="34"/>
      <c r="I336" s="34"/>
      <c r="J336" s="34"/>
      <c r="K336" s="35"/>
      <c r="L336" s="34"/>
      <c r="M336" s="32"/>
      <c r="N336" s="34"/>
      <c r="O336" s="34"/>
      <c r="P336" s="34"/>
      <c r="Q336" s="34"/>
      <c r="R336" s="34"/>
      <c r="S336" s="34"/>
      <c r="T336" s="34"/>
      <c r="U336" s="34"/>
      <c r="V336" s="34"/>
    </row>
    <row r="337" spans="2:22" x14ac:dyDescent="0.3">
      <c r="B337" s="33"/>
      <c r="C337" s="34"/>
      <c r="D337" s="34"/>
      <c r="E337" s="34"/>
      <c r="F337" s="34"/>
      <c r="G337" s="34"/>
      <c r="H337" s="34"/>
      <c r="I337" s="34"/>
      <c r="J337" s="34"/>
      <c r="K337" s="35"/>
      <c r="L337" s="34"/>
      <c r="M337" s="32"/>
      <c r="N337" s="34"/>
      <c r="O337" s="34"/>
      <c r="P337" s="34"/>
      <c r="Q337" s="34"/>
      <c r="R337" s="34"/>
      <c r="S337" s="34"/>
      <c r="T337" s="34"/>
      <c r="U337" s="34"/>
      <c r="V337" s="34"/>
    </row>
    <row r="338" spans="2:22" x14ac:dyDescent="0.3">
      <c r="B338" s="33"/>
      <c r="C338" s="34"/>
      <c r="D338" s="34"/>
      <c r="E338" s="34"/>
      <c r="F338" s="34"/>
      <c r="G338" s="34"/>
      <c r="H338" s="34"/>
      <c r="I338" s="34"/>
      <c r="J338" s="34"/>
      <c r="K338" s="35"/>
      <c r="L338" s="34"/>
      <c r="M338" s="32"/>
      <c r="N338" s="34"/>
      <c r="O338" s="34"/>
      <c r="P338" s="34"/>
      <c r="Q338" s="34"/>
      <c r="R338" s="34"/>
      <c r="S338" s="34"/>
      <c r="T338" s="34"/>
      <c r="U338" s="34"/>
      <c r="V338" s="34"/>
    </row>
    <row r="339" spans="2:22" x14ac:dyDescent="0.3">
      <c r="B339" s="33"/>
      <c r="C339" s="34"/>
      <c r="D339" s="34"/>
      <c r="E339" s="34"/>
      <c r="F339" s="34"/>
      <c r="G339" s="34"/>
      <c r="H339" s="34"/>
      <c r="I339" s="34"/>
      <c r="J339" s="34"/>
      <c r="K339" s="35"/>
      <c r="L339" s="34"/>
      <c r="M339" s="32"/>
      <c r="N339" s="34"/>
      <c r="O339" s="34"/>
      <c r="P339" s="34"/>
      <c r="Q339" s="34"/>
      <c r="R339" s="34"/>
      <c r="S339" s="34"/>
      <c r="T339" s="34"/>
      <c r="U339" s="34"/>
      <c r="V339" s="34"/>
    </row>
    <row r="340" spans="2:22" x14ac:dyDescent="0.3">
      <c r="B340" s="33"/>
      <c r="C340" s="34"/>
      <c r="D340" s="34"/>
      <c r="E340" s="34"/>
      <c r="F340" s="34"/>
      <c r="G340" s="34"/>
      <c r="H340" s="34"/>
      <c r="I340" s="34"/>
      <c r="J340" s="34"/>
      <c r="K340" s="35"/>
      <c r="L340" s="34"/>
      <c r="M340" s="32"/>
      <c r="N340" s="34"/>
      <c r="O340" s="34"/>
      <c r="P340" s="34"/>
      <c r="Q340" s="34"/>
      <c r="R340" s="34"/>
      <c r="S340" s="34"/>
      <c r="T340" s="34"/>
      <c r="U340" s="34"/>
      <c r="V340" s="34"/>
    </row>
    <row r="341" spans="2:22" x14ac:dyDescent="0.3">
      <c r="B341" s="33"/>
      <c r="C341" s="34"/>
      <c r="D341" s="34"/>
      <c r="E341" s="34"/>
      <c r="F341" s="34"/>
      <c r="G341" s="34"/>
      <c r="H341" s="34"/>
      <c r="I341" s="34"/>
      <c r="J341" s="34"/>
      <c r="K341" s="35"/>
      <c r="L341" s="34"/>
      <c r="M341" s="32"/>
      <c r="N341" s="34"/>
      <c r="O341" s="34"/>
      <c r="P341" s="34"/>
      <c r="Q341" s="34"/>
      <c r="R341" s="34"/>
      <c r="S341" s="34"/>
      <c r="T341" s="34"/>
      <c r="U341" s="34"/>
      <c r="V341" s="34"/>
    </row>
    <row r="342" spans="2:22" x14ac:dyDescent="0.3">
      <c r="B342" s="33"/>
      <c r="C342" s="34"/>
      <c r="D342" s="34"/>
      <c r="E342" s="34"/>
      <c r="F342" s="34"/>
      <c r="G342" s="34"/>
      <c r="H342" s="34"/>
      <c r="I342" s="34"/>
      <c r="J342" s="34"/>
      <c r="K342" s="35"/>
      <c r="L342" s="34"/>
      <c r="M342" s="32"/>
      <c r="N342" s="34"/>
      <c r="O342" s="34"/>
      <c r="P342" s="34"/>
      <c r="Q342" s="34"/>
      <c r="R342" s="34"/>
      <c r="S342" s="34"/>
      <c r="T342" s="34"/>
      <c r="U342" s="34"/>
      <c r="V342" s="34"/>
    </row>
    <row r="343" spans="2:22" x14ac:dyDescent="0.3">
      <c r="B343" s="33"/>
      <c r="C343" s="34"/>
      <c r="D343" s="34"/>
      <c r="E343" s="34"/>
      <c r="F343" s="34"/>
      <c r="G343" s="34"/>
      <c r="H343" s="34"/>
      <c r="I343" s="34"/>
      <c r="J343" s="34"/>
      <c r="K343" s="35"/>
      <c r="L343" s="34"/>
      <c r="M343" s="32"/>
      <c r="N343" s="34"/>
      <c r="O343" s="34"/>
      <c r="P343" s="34"/>
      <c r="Q343" s="34"/>
      <c r="R343" s="34"/>
      <c r="S343" s="34"/>
      <c r="T343" s="34"/>
      <c r="U343" s="34"/>
      <c r="V343" s="34"/>
    </row>
    <row r="344" spans="2:22" x14ac:dyDescent="0.3">
      <c r="B344" s="33"/>
      <c r="C344" s="34"/>
      <c r="D344" s="34"/>
      <c r="E344" s="34"/>
      <c r="F344" s="34"/>
      <c r="G344" s="34"/>
      <c r="H344" s="34"/>
      <c r="I344" s="34"/>
      <c r="J344" s="34"/>
      <c r="K344" s="35"/>
      <c r="L344" s="34"/>
      <c r="M344" s="32"/>
      <c r="N344" s="34"/>
      <c r="O344" s="34"/>
      <c r="P344" s="34"/>
      <c r="Q344" s="34"/>
      <c r="R344" s="34"/>
      <c r="S344" s="34"/>
      <c r="T344" s="34"/>
      <c r="U344" s="34"/>
      <c r="V344" s="34"/>
    </row>
    <row r="345" spans="2:22" x14ac:dyDescent="0.3">
      <c r="B345" s="33"/>
      <c r="C345" s="34"/>
      <c r="D345" s="34"/>
      <c r="E345" s="34"/>
      <c r="F345" s="34"/>
      <c r="G345" s="34"/>
      <c r="H345" s="34"/>
      <c r="I345" s="34"/>
      <c r="J345" s="34"/>
      <c r="K345" s="35"/>
      <c r="L345" s="34"/>
      <c r="M345" s="32"/>
      <c r="N345" s="34"/>
      <c r="O345" s="34"/>
      <c r="P345" s="34"/>
      <c r="Q345" s="34"/>
      <c r="R345" s="34"/>
      <c r="S345" s="34"/>
      <c r="T345" s="34"/>
      <c r="U345" s="34"/>
      <c r="V345" s="34"/>
    </row>
    <row r="346" spans="2:22" x14ac:dyDescent="0.3">
      <c r="B346" s="33"/>
      <c r="C346" s="34"/>
      <c r="D346" s="34"/>
      <c r="E346" s="34"/>
      <c r="F346" s="34"/>
      <c r="G346" s="34"/>
      <c r="H346" s="34"/>
      <c r="I346" s="34"/>
      <c r="J346" s="34"/>
      <c r="K346" s="35"/>
      <c r="L346" s="34"/>
      <c r="M346" s="32"/>
      <c r="N346" s="34"/>
      <c r="O346" s="34"/>
      <c r="P346" s="34"/>
      <c r="Q346" s="34"/>
      <c r="R346" s="34"/>
      <c r="S346" s="34"/>
      <c r="T346" s="34"/>
      <c r="U346" s="34"/>
      <c r="V346" s="34"/>
    </row>
    <row r="347" spans="2:22" x14ac:dyDescent="0.3">
      <c r="B347" s="33"/>
      <c r="C347" s="34"/>
      <c r="D347" s="34"/>
      <c r="E347" s="34"/>
      <c r="F347" s="34"/>
      <c r="G347" s="34"/>
      <c r="H347" s="34"/>
      <c r="I347" s="34"/>
      <c r="J347" s="34"/>
      <c r="K347" s="35"/>
      <c r="L347" s="34"/>
      <c r="M347" s="32"/>
      <c r="N347" s="34"/>
      <c r="O347" s="34"/>
      <c r="P347" s="34"/>
      <c r="Q347" s="34"/>
      <c r="R347" s="34"/>
      <c r="S347" s="34"/>
      <c r="T347" s="34"/>
      <c r="U347" s="34"/>
      <c r="V347" s="34"/>
    </row>
    <row r="348" spans="2:22" x14ac:dyDescent="0.3">
      <c r="B348" s="33"/>
      <c r="C348" s="34"/>
      <c r="D348" s="34"/>
      <c r="E348" s="34"/>
      <c r="F348" s="34"/>
      <c r="G348" s="34"/>
      <c r="H348" s="34"/>
      <c r="I348" s="34"/>
      <c r="J348" s="34"/>
      <c r="K348" s="35"/>
      <c r="L348" s="34"/>
      <c r="M348" s="32"/>
      <c r="N348" s="34"/>
      <c r="O348" s="34"/>
      <c r="P348" s="34"/>
      <c r="Q348" s="34"/>
      <c r="R348" s="34"/>
      <c r="S348" s="34"/>
      <c r="T348" s="34"/>
      <c r="U348" s="34"/>
      <c r="V348" s="34"/>
    </row>
    <row r="349" spans="2:22" x14ac:dyDescent="0.3">
      <c r="B349" s="33"/>
      <c r="C349" s="34"/>
      <c r="D349" s="34"/>
      <c r="E349" s="34"/>
      <c r="F349" s="34"/>
      <c r="G349" s="34"/>
      <c r="H349" s="34"/>
      <c r="I349" s="34"/>
      <c r="J349" s="34"/>
      <c r="K349" s="35"/>
      <c r="L349" s="34"/>
      <c r="M349" s="32"/>
      <c r="N349" s="34"/>
      <c r="O349" s="34"/>
      <c r="P349" s="34"/>
      <c r="Q349" s="34"/>
      <c r="R349" s="34"/>
      <c r="S349" s="34"/>
      <c r="T349" s="34"/>
      <c r="U349" s="34"/>
      <c r="V349" s="34"/>
    </row>
    <row r="350" spans="2:22" x14ac:dyDescent="0.3">
      <c r="B350" s="33"/>
      <c r="C350" s="34"/>
      <c r="D350" s="34"/>
      <c r="E350" s="34"/>
      <c r="F350" s="34"/>
      <c r="G350" s="34"/>
      <c r="H350" s="34"/>
      <c r="I350" s="34"/>
      <c r="J350" s="34"/>
      <c r="K350" s="35"/>
      <c r="L350" s="34"/>
      <c r="M350" s="32"/>
      <c r="N350" s="34"/>
      <c r="O350" s="34"/>
      <c r="P350" s="34"/>
      <c r="Q350" s="34"/>
      <c r="R350" s="34"/>
      <c r="S350" s="34"/>
      <c r="T350" s="34"/>
      <c r="U350" s="34"/>
      <c r="V350" s="34"/>
    </row>
    <row r="351" spans="2:22" x14ac:dyDescent="0.3">
      <c r="B351" s="33"/>
      <c r="C351" s="34"/>
      <c r="D351" s="34"/>
      <c r="E351" s="34"/>
      <c r="F351" s="34"/>
      <c r="G351" s="34"/>
      <c r="H351" s="34"/>
      <c r="I351" s="34"/>
      <c r="J351" s="34"/>
      <c r="K351" s="35"/>
      <c r="L351" s="34"/>
      <c r="M351" s="32"/>
      <c r="N351" s="34"/>
      <c r="O351" s="34"/>
      <c r="P351" s="34"/>
      <c r="Q351" s="34"/>
      <c r="R351" s="34"/>
      <c r="S351" s="34"/>
      <c r="T351" s="34"/>
      <c r="U351" s="34"/>
      <c r="V351" s="34"/>
    </row>
    <row r="352" spans="2:22" x14ac:dyDescent="0.3">
      <c r="B352" s="33"/>
      <c r="C352" s="34"/>
      <c r="D352" s="34"/>
      <c r="E352" s="34"/>
      <c r="F352" s="34"/>
      <c r="G352" s="34"/>
      <c r="H352" s="34"/>
      <c r="I352" s="34"/>
      <c r="J352" s="34"/>
      <c r="K352" s="35"/>
      <c r="L352" s="34"/>
      <c r="M352" s="32"/>
      <c r="N352" s="34"/>
      <c r="O352" s="34"/>
      <c r="P352" s="34"/>
      <c r="Q352" s="34"/>
      <c r="R352" s="34"/>
      <c r="S352" s="34"/>
      <c r="T352" s="34"/>
      <c r="U352" s="34"/>
      <c r="V352" s="34"/>
    </row>
    <row r="353" spans="2:22" x14ac:dyDescent="0.3">
      <c r="B353" s="33"/>
      <c r="C353" s="34"/>
      <c r="D353" s="34"/>
      <c r="E353" s="34"/>
      <c r="F353" s="34"/>
      <c r="G353" s="34"/>
      <c r="H353" s="34"/>
      <c r="I353" s="34"/>
      <c r="J353" s="34"/>
      <c r="K353" s="35"/>
      <c r="L353" s="34"/>
      <c r="M353" s="32"/>
      <c r="N353" s="34"/>
      <c r="O353" s="34"/>
      <c r="P353" s="34"/>
      <c r="Q353" s="34"/>
      <c r="R353" s="34"/>
      <c r="S353" s="34"/>
      <c r="T353" s="34"/>
      <c r="U353" s="34"/>
      <c r="V353" s="34"/>
    </row>
    <row r="354" spans="2:22" x14ac:dyDescent="0.3">
      <c r="B354" s="33"/>
      <c r="C354" s="34"/>
      <c r="D354" s="34"/>
      <c r="E354" s="34"/>
      <c r="F354" s="34"/>
      <c r="G354" s="34"/>
      <c r="H354" s="34"/>
      <c r="I354" s="34"/>
      <c r="J354" s="34"/>
      <c r="K354" s="35"/>
      <c r="L354" s="34"/>
      <c r="M354" s="32"/>
      <c r="N354" s="34"/>
      <c r="O354" s="34"/>
      <c r="P354" s="34"/>
      <c r="Q354" s="34"/>
      <c r="R354" s="34"/>
      <c r="S354" s="34"/>
      <c r="T354" s="34"/>
      <c r="U354" s="34"/>
      <c r="V354" s="34"/>
    </row>
    <row r="355" spans="2:22" x14ac:dyDescent="0.3">
      <c r="B355" s="33"/>
      <c r="C355" s="34"/>
      <c r="D355" s="34"/>
      <c r="E355" s="34"/>
      <c r="F355" s="34"/>
      <c r="G355" s="34"/>
      <c r="H355" s="34"/>
      <c r="I355" s="34"/>
      <c r="J355" s="34"/>
      <c r="K355" s="35"/>
      <c r="L355" s="34"/>
      <c r="M355" s="32"/>
      <c r="N355" s="34"/>
      <c r="O355" s="34"/>
      <c r="P355" s="34"/>
      <c r="Q355" s="34"/>
      <c r="R355" s="34"/>
      <c r="S355" s="34"/>
      <c r="T355" s="34"/>
      <c r="U355" s="34"/>
      <c r="V355" s="34"/>
    </row>
    <row r="356" spans="2:22" x14ac:dyDescent="0.3">
      <c r="B356" s="33"/>
      <c r="C356" s="34"/>
      <c r="D356" s="34"/>
      <c r="E356" s="34"/>
      <c r="F356" s="34"/>
      <c r="G356" s="34"/>
      <c r="H356" s="34"/>
      <c r="I356" s="34"/>
      <c r="J356" s="34"/>
      <c r="K356" s="35"/>
      <c r="L356" s="34"/>
      <c r="M356" s="32"/>
      <c r="N356" s="34"/>
      <c r="O356" s="34"/>
      <c r="P356" s="34"/>
      <c r="Q356" s="34"/>
      <c r="R356" s="34"/>
      <c r="S356" s="34"/>
      <c r="T356" s="34"/>
      <c r="U356" s="34"/>
      <c r="V356" s="34"/>
    </row>
    <row r="357" spans="2:22" x14ac:dyDescent="0.3">
      <c r="B357" s="33"/>
      <c r="C357" s="34"/>
      <c r="D357" s="34"/>
      <c r="E357" s="34"/>
      <c r="F357" s="34"/>
      <c r="G357" s="34"/>
      <c r="H357" s="34"/>
      <c r="I357" s="34"/>
      <c r="J357" s="34"/>
      <c r="K357" s="35"/>
      <c r="L357" s="34"/>
      <c r="M357" s="32"/>
      <c r="N357" s="34"/>
      <c r="O357" s="34"/>
      <c r="P357" s="34"/>
      <c r="Q357" s="34"/>
      <c r="R357" s="34"/>
      <c r="S357" s="34"/>
      <c r="T357" s="34"/>
      <c r="U357" s="34"/>
      <c r="V357" s="34"/>
    </row>
    <row r="358" spans="2:22" x14ac:dyDescent="0.3">
      <c r="B358" s="33"/>
      <c r="C358" s="34"/>
      <c r="D358" s="34"/>
      <c r="E358" s="34"/>
      <c r="F358" s="34"/>
      <c r="G358" s="34"/>
      <c r="H358" s="34"/>
      <c r="I358" s="34"/>
      <c r="J358" s="34"/>
      <c r="K358" s="35"/>
      <c r="L358" s="34"/>
      <c r="M358" s="32"/>
      <c r="N358" s="34"/>
      <c r="O358" s="34"/>
      <c r="P358" s="34"/>
      <c r="Q358" s="34"/>
      <c r="R358" s="34"/>
      <c r="S358" s="34"/>
      <c r="T358" s="34"/>
      <c r="U358" s="34"/>
      <c r="V358" s="34"/>
    </row>
    <row r="359" spans="2:22" x14ac:dyDescent="0.3">
      <c r="B359" s="33"/>
      <c r="C359" s="34"/>
      <c r="D359" s="34"/>
      <c r="E359" s="34"/>
      <c r="F359" s="34"/>
      <c r="G359" s="34"/>
      <c r="H359" s="34"/>
      <c r="I359" s="34"/>
      <c r="J359" s="34"/>
      <c r="K359" s="35"/>
      <c r="L359" s="34"/>
      <c r="M359" s="32"/>
      <c r="N359" s="34"/>
      <c r="O359" s="34"/>
      <c r="P359" s="34"/>
      <c r="Q359" s="34"/>
      <c r="R359" s="34"/>
      <c r="S359" s="34"/>
      <c r="T359" s="34"/>
      <c r="U359" s="34"/>
      <c r="V359" s="34"/>
    </row>
    <row r="360" spans="2:22" x14ac:dyDescent="0.3">
      <c r="B360" s="33"/>
      <c r="C360" s="34"/>
      <c r="D360" s="34"/>
      <c r="E360" s="34"/>
      <c r="F360" s="34"/>
      <c r="G360" s="34"/>
      <c r="H360" s="34"/>
      <c r="I360" s="34"/>
      <c r="J360" s="34"/>
      <c r="K360" s="35"/>
      <c r="L360" s="34"/>
      <c r="M360" s="32"/>
      <c r="N360" s="34"/>
      <c r="O360" s="34"/>
      <c r="P360" s="34"/>
      <c r="Q360" s="34"/>
      <c r="R360" s="34"/>
      <c r="S360" s="34"/>
      <c r="T360" s="34"/>
      <c r="U360" s="34"/>
      <c r="V360" s="34"/>
    </row>
    <row r="361" spans="2:22" x14ac:dyDescent="0.3">
      <c r="B361" s="33"/>
      <c r="C361" s="34"/>
      <c r="D361" s="34"/>
      <c r="E361" s="34"/>
      <c r="F361" s="34"/>
      <c r="G361" s="34"/>
      <c r="H361" s="34"/>
      <c r="I361" s="34"/>
      <c r="J361" s="34"/>
      <c r="K361" s="35"/>
      <c r="L361" s="34"/>
      <c r="M361" s="32"/>
      <c r="N361" s="34"/>
      <c r="O361" s="34"/>
      <c r="P361" s="34"/>
      <c r="Q361" s="34"/>
      <c r="R361" s="34"/>
      <c r="S361" s="34"/>
      <c r="T361" s="34"/>
      <c r="U361" s="34"/>
      <c r="V361" s="34"/>
    </row>
    <row r="362" spans="2:22" x14ac:dyDescent="0.3">
      <c r="B362" s="33"/>
      <c r="C362" s="34"/>
      <c r="D362" s="34"/>
      <c r="E362" s="34"/>
      <c r="F362" s="34"/>
      <c r="G362" s="34"/>
      <c r="H362" s="34"/>
      <c r="I362" s="34"/>
      <c r="J362" s="34"/>
      <c r="K362" s="35"/>
      <c r="L362" s="34"/>
      <c r="M362" s="32"/>
      <c r="N362" s="34"/>
      <c r="O362" s="34"/>
      <c r="P362" s="34"/>
      <c r="Q362" s="34"/>
      <c r="R362" s="34"/>
      <c r="S362" s="34"/>
      <c r="T362" s="34"/>
      <c r="U362" s="34"/>
      <c r="V362" s="34"/>
    </row>
    <row r="363" spans="2:22" x14ac:dyDescent="0.3">
      <c r="B363" s="33"/>
      <c r="C363" s="34"/>
      <c r="D363" s="34"/>
      <c r="E363" s="34"/>
      <c r="F363" s="34"/>
      <c r="G363" s="34"/>
      <c r="H363" s="34"/>
      <c r="I363" s="34"/>
      <c r="J363" s="34"/>
      <c r="K363" s="35"/>
      <c r="L363" s="34"/>
      <c r="M363" s="32"/>
      <c r="N363" s="34"/>
      <c r="O363" s="34"/>
      <c r="P363" s="34"/>
      <c r="Q363" s="34"/>
      <c r="R363" s="34"/>
      <c r="S363" s="34"/>
      <c r="T363" s="34"/>
      <c r="U363" s="34"/>
      <c r="V363" s="34"/>
    </row>
    <row r="364" spans="2:22" x14ac:dyDescent="0.3">
      <c r="B364" s="33"/>
      <c r="C364" s="34"/>
      <c r="D364" s="34"/>
      <c r="E364" s="34"/>
      <c r="F364" s="34"/>
      <c r="G364" s="34"/>
      <c r="H364" s="34"/>
      <c r="I364" s="34"/>
      <c r="J364" s="34"/>
      <c r="K364" s="35"/>
      <c r="L364" s="34"/>
      <c r="M364" s="32"/>
      <c r="N364" s="34"/>
      <c r="O364" s="34"/>
      <c r="P364" s="34"/>
      <c r="Q364" s="34"/>
      <c r="R364" s="34"/>
      <c r="S364" s="34"/>
      <c r="T364" s="34"/>
      <c r="U364" s="34"/>
      <c r="V364" s="34"/>
    </row>
    <row r="365" spans="2:22" x14ac:dyDescent="0.3">
      <c r="B365" s="33"/>
      <c r="C365" s="34"/>
      <c r="D365" s="34"/>
      <c r="E365" s="34"/>
      <c r="F365" s="34"/>
      <c r="G365" s="34"/>
      <c r="H365" s="34"/>
      <c r="I365" s="34"/>
      <c r="J365" s="34"/>
      <c r="K365" s="35"/>
      <c r="L365" s="34"/>
      <c r="M365" s="32"/>
      <c r="N365" s="34"/>
      <c r="O365" s="34"/>
      <c r="P365" s="34"/>
      <c r="Q365" s="34"/>
      <c r="R365" s="34"/>
      <c r="S365" s="34"/>
      <c r="T365" s="34"/>
      <c r="U365" s="34"/>
      <c r="V365" s="34"/>
    </row>
    <row r="366" spans="2:22" x14ac:dyDescent="0.3">
      <c r="B366" s="33"/>
      <c r="C366" s="34"/>
      <c r="D366" s="34"/>
      <c r="E366" s="34"/>
      <c r="F366" s="34"/>
      <c r="G366" s="34"/>
      <c r="H366" s="34"/>
      <c r="I366" s="34"/>
      <c r="J366" s="34"/>
      <c r="K366" s="35"/>
      <c r="L366" s="34"/>
      <c r="M366" s="32"/>
      <c r="N366" s="34"/>
      <c r="O366" s="34"/>
      <c r="P366" s="34"/>
      <c r="Q366" s="34"/>
      <c r="R366" s="34"/>
      <c r="S366" s="34"/>
      <c r="T366" s="34"/>
      <c r="U366" s="34"/>
      <c r="V366" s="34"/>
    </row>
    <row r="367" spans="2:22" x14ac:dyDescent="0.3">
      <c r="B367" s="33"/>
      <c r="C367" s="34"/>
      <c r="D367" s="34"/>
      <c r="E367" s="34"/>
      <c r="F367" s="34"/>
      <c r="G367" s="34"/>
      <c r="H367" s="34"/>
      <c r="I367" s="34"/>
      <c r="J367" s="34"/>
      <c r="K367" s="35"/>
      <c r="L367" s="34"/>
      <c r="M367" s="32"/>
      <c r="N367" s="34"/>
      <c r="O367" s="34"/>
      <c r="P367" s="34"/>
      <c r="Q367" s="34"/>
      <c r="R367" s="34"/>
      <c r="S367" s="34"/>
      <c r="T367" s="34"/>
      <c r="U367" s="34"/>
      <c r="V367" s="34"/>
    </row>
    <row r="368" spans="2:22" x14ac:dyDescent="0.3">
      <c r="B368" s="33"/>
      <c r="C368" s="34"/>
      <c r="D368" s="34"/>
      <c r="E368" s="34"/>
      <c r="F368" s="34"/>
      <c r="G368" s="34"/>
      <c r="H368" s="34"/>
      <c r="I368" s="34"/>
      <c r="J368" s="34"/>
      <c r="K368" s="35"/>
      <c r="L368" s="34"/>
      <c r="M368" s="32"/>
      <c r="N368" s="34"/>
      <c r="O368" s="34"/>
      <c r="P368" s="34"/>
      <c r="Q368" s="34"/>
      <c r="R368" s="34"/>
      <c r="S368" s="34"/>
      <c r="T368" s="34"/>
      <c r="U368" s="34"/>
      <c r="V368" s="34"/>
    </row>
    <row r="369" spans="2:22" x14ac:dyDescent="0.3">
      <c r="B369" s="33"/>
      <c r="C369" s="34"/>
      <c r="D369" s="34"/>
      <c r="E369" s="34"/>
      <c r="F369" s="34"/>
      <c r="G369" s="34"/>
      <c r="H369" s="34"/>
      <c r="I369" s="34"/>
      <c r="J369" s="34"/>
      <c r="K369" s="35"/>
      <c r="L369" s="34"/>
      <c r="M369" s="32"/>
      <c r="N369" s="34"/>
      <c r="O369" s="34"/>
      <c r="P369" s="34"/>
      <c r="Q369" s="34"/>
      <c r="R369" s="34"/>
      <c r="S369" s="34"/>
      <c r="T369" s="34"/>
      <c r="U369" s="34"/>
      <c r="V369" s="34"/>
    </row>
    <row r="370" spans="2:22" x14ac:dyDescent="0.3">
      <c r="B370" s="33"/>
      <c r="C370" s="34"/>
      <c r="D370" s="34"/>
      <c r="E370" s="34"/>
      <c r="F370" s="34"/>
      <c r="G370" s="34"/>
      <c r="H370" s="34"/>
      <c r="I370" s="34"/>
      <c r="J370" s="34"/>
      <c r="K370" s="35"/>
      <c r="L370" s="34"/>
      <c r="M370" s="32"/>
      <c r="N370" s="34"/>
      <c r="O370" s="34"/>
      <c r="P370" s="34"/>
      <c r="Q370" s="34"/>
      <c r="R370" s="34"/>
      <c r="S370" s="34"/>
      <c r="T370" s="34"/>
      <c r="U370" s="34"/>
      <c r="V370" s="34"/>
    </row>
    <row r="371" spans="2:22" x14ac:dyDescent="0.3">
      <c r="B371" s="33"/>
      <c r="C371" s="34"/>
      <c r="D371" s="34"/>
      <c r="E371" s="34"/>
      <c r="F371" s="34"/>
      <c r="G371" s="34"/>
      <c r="H371" s="34"/>
      <c r="I371" s="34"/>
      <c r="J371" s="34"/>
      <c r="K371" s="35"/>
      <c r="L371" s="34"/>
      <c r="M371" s="32"/>
      <c r="N371" s="34"/>
      <c r="O371" s="34"/>
      <c r="P371" s="34"/>
      <c r="Q371" s="34"/>
      <c r="R371" s="34"/>
      <c r="S371" s="34"/>
      <c r="T371" s="34"/>
      <c r="U371" s="34"/>
      <c r="V371" s="34"/>
    </row>
    <row r="372" spans="2:22" x14ac:dyDescent="0.3">
      <c r="B372" s="33"/>
      <c r="C372" s="34"/>
      <c r="D372" s="34"/>
      <c r="E372" s="34"/>
      <c r="F372" s="34"/>
      <c r="G372" s="34"/>
      <c r="H372" s="34"/>
      <c r="I372" s="34"/>
      <c r="J372" s="34"/>
      <c r="K372" s="35"/>
      <c r="L372" s="34"/>
      <c r="M372" s="32"/>
      <c r="N372" s="34"/>
      <c r="O372" s="34"/>
      <c r="P372" s="34"/>
      <c r="Q372" s="34"/>
      <c r="R372" s="34"/>
      <c r="S372" s="34"/>
      <c r="T372" s="34"/>
      <c r="U372" s="34"/>
      <c r="V372" s="34"/>
    </row>
    <row r="373" spans="2:22" x14ac:dyDescent="0.3">
      <c r="B373" s="33"/>
      <c r="C373" s="34"/>
      <c r="D373" s="34"/>
      <c r="E373" s="34"/>
      <c r="F373" s="34"/>
      <c r="G373" s="34"/>
      <c r="H373" s="34"/>
      <c r="I373" s="34"/>
      <c r="J373" s="34"/>
      <c r="K373" s="35"/>
      <c r="L373" s="34"/>
      <c r="M373" s="32"/>
      <c r="N373" s="34"/>
      <c r="O373" s="34"/>
      <c r="P373" s="34"/>
      <c r="Q373" s="34"/>
      <c r="R373" s="34"/>
      <c r="S373" s="34"/>
      <c r="T373" s="34"/>
      <c r="U373" s="34"/>
      <c r="V373" s="34"/>
    </row>
    <row r="374" spans="2:22" x14ac:dyDescent="0.3">
      <c r="B374" s="33"/>
      <c r="C374" s="34"/>
      <c r="D374" s="34"/>
      <c r="E374" s="34"/>
      <c r="F374" s="34"/>
      <c r="G374" s="34"/>
      <c r="H374" s="34"/>
      <c r="I374" s="34"/>
      <c r="J374" s="34"/>
      <c r="K374" s="35"/>
      <c r="L374" s="34"/>
      <c r="M374" s="32"/>
      <c r="N374" s="34"/>
      <c r="O374" s="34"/>
      <c r="P374" s="34"/>
      <c r="Q374" s="34"/>
      <c r="R374" s="34"/>
      <c r="S374" s="34"/>
      <c r="T374" s="34"/>
      <c r="U374" s="34"/>
      <c r="V374" s="34"/>
    </row>
    <row r="375" spans="2:22" x14ac:dyDescent="0.3">
      <c r="B375" s="33"/>
      <c r="C375" s="34"/>
      <c r="D375" s="34"/>
      <c r="E375" s="34"/>
      <c r="F375" s="34"/>
      <c r="G375" s="34"/>
      <c r="H375" s="34"/>
      <c r="I375" s="34"/>
      <c r="J375" s="34"/>
      <c r="K375" s="35"/>
      <c r="L375" s="34"/>
      <c r="M375" s="32"/>
      <c r="N375" s="34"/>
      <c r="O375" s="34"/>
      <c r="P375" s="34"/>
      <c r="Q375" s="34"/>
      <c r="R375" s="34"/>
      <c r="S375" s="34"/>
      <c r="T375" s="34"/>
      <c r="U375" s="34"/>
      <c r="V375" s="34"/>
    </row>
    <row r="376" spans="2:22" x14ac:dyDescent="0.3">
      <c r="B376" s="33"/>
      <c r="C376" s="34"/>
      <c r="D376" s="34"/>
      <c r="E376" s="34"/>
      <c r="F376" s="34"/>
      <c r="G376" s="34"/>
      <c r="H376" s="34"/>
      <c r="I376" s="34"/>
      <c r="J376" s="34"/>
      <c r="K376" s="35"/>
      <c r="L376" s="34"/>
      <c r="M376" s="32"/>
      <c r="N376" s="34"/>
      <c r="O376" s="34"/>
      <c r="P376" s="34"/>
      <c r="Q376" s="34"/>
      <c r="R376" s="34"/>
      <c r="S376" s="34"/>
      <c r="T376" s="34"/>
      <c r="U376" s="34"/>
      <c r="V376" s="34"/>
    </row>
    <row r="377" spans="2:22" x14ac:dyDescent="0.3">
      <c r="B377" s="33"/>
      <c r="C377" s="34"/>
      <c r="D377" s="34"/>
      <c r="E377" s="34"/>
      <c r="F377" s="34"/>
      <c r="G377" s="34"/>
      <c r="H377" s="34"/>
      <c r="I377" s="34"/>
      <c r="J377" s="34"/>
      <c r="K377" s="35"/>
      <c r="L377" s="34"/>
      <c r="M377" s="32"/>
      <c r="N377" s="34"/>
      <c r="O377" s="34"/>
      <c r="P377" s="34"/>
      <c r="Q377" s="34"/>
      <c r="R377" s="34"/>
      <c r="S377" s="34"/>
      <c r="T377" s="34"/>
      <c r="U377" s="34"/>
      <c r="V377" s="34"/>
    </row>
    <row r="378" spans="2:22" x14ac:dyDescent="0.3">
      <c r="B378" s="33"/>
      <c r="C378" s="34"/>
      <c r="D378" s="34"/>
      <c r="E378" s="34"/>
      <c r="F378" s="34"/>
      <c r="G378" s="34"/>
      <c r="H378" s="34"/>
      <c r="I378" s="34"/>
      <c r="J378" s="34"/>
      <c r="K378" s="35"/>
      <c r="L378" s="34"/>
      <c r="M378" s="32"/>
      <c r="N378" s="34"/>
      <c r="O378" s="34"/>
      <c r="P378" s="34"/>
      <c r="Q378" s="34"/>
      <c r="R378" s="34"/>
      <c r="S378" s="34"/>
      <c r="T378" s="34"/>
      <c r="U378" s="34"/>
      <c r="V378" s="34"/>
    </row>
    <row r="379" spans="2:22" x14ac:dyDescent="0.3">
      <c r="B379" s="33"/>
      <c r="C379" s="34"/>
      <c r="D379" s="34"/>
      <c r="E379" s="34"/>
      <c r="F379" s="34"/>
      <c r="G379" s="34"/>
      <c r="H379" s="34"/>
      <c r="I379" s="34"/>
      <c r="J379" s="34"/>
      <c r="K379" s="35"/>
      <c r="L379" s="34"/>
      <c r="M379" s="32"/>
      <c r="N379" s="34"/>
      <c r="O379" s="34"/>
      <c r="P379" s="34"/>
      <c r="Q379" s="34"/>
      <c r="R379" s="34"/>
      <c r="S379" s="34"/>
      <c r="T379" s="34"/>
      <c r="U379" s="34"/>
      <c r="V379" s="34"/>
    </row>
    <row r="380" spans="2:22" x14ac:dyDescent="0.3">
      <c r="B380" s="33"/>
      <c r="C380" s="34"/>
      <c r="D380" s="34"/>
      <c r="E380" s="34"/>
      <c r="F380" s="34"/>
      <c r="G380" s="34"/>
      <c r="H380" s="34"/>
      <c r="I380" s="34"/>
      <c r="J380" s="34"/>
      <c r="K380" s="35"/>
      <c r="L380" s="34"/>
      <c r="M380" s="32"/>
      <c r="N380" s="34"/>
      <c r="O380" s="34"/>
      <c r="P380" s="34"/>
      <c r="Q380" s="34"/>
      <c r="R380" s="34"/>
      <c r="S380" s="34"/>
      <c r="T380" s="34"/>
      <c r="U380" s="34"/>
      <c r="V380" s="34"/>
    </row>
    <row r="381" spans="2:22" x14ac:dyDescent="0.3">
      <c r="B381" s="33"/>
      <c r="C381" s="34"/>
      <c r="D381" s="34"/>
      <c r="E381" s="34"/>
      <c r="F381" s="34"/>
      <c r="G381" s="34"/>
      <c r="H381" s="34"/>
      <c r="I381" s="34"/>
      <c r="J381" s="34"/>
      <c r="K381" s="35"/>
      <c r="L381" s="34"/>
      <c r="M381" s="32"/>
      <c r="N381" s="34"/>
      <c r="O381" s="34"/>
      <c r="P381" s="34"/>
      <c r="Q381" s="34"/>
      <c r="R381" s="34"/>
      <c r="S381" s="34"/>
      <c r="T381" s="34"/>
      <c r="U381" s="34"/>
      <c r="V381" s="34"/>
    </row>
    <row r="382" spans="2:22" x14ac:dyDescent="0.3">
      <c r="B382" s="33"/>
      <c r="C382" s="34"/>
      <c r="D382" s="34"/>
      <c r="E382" s="34"/>
      <c r="F382" s="34"/>
      <c r="G382" s="34"/>
      <c r="H382" s="34"/>
      <c r="I382" s="34"/>
      <c r="J382" s="34"/>
      <c r="K382" s="35"/>
      <c r="L382" s="34"/>
      <c r="M382" s="32"/>
      <c r="N382" s="34"/>
      <c r="O382" s="34"/>
      <c r="P382" s="34"/>
      <c r="Q382" s="34"/>
      <c r="R382" s="34"/>
      <c r="S382" s="34"/>
      <c r="T382" s="34"/>
      <c r="U382" s="34"/>
      <c r="V382" s="34"/>
    </row>
    <row r="383" spans="2:22" x14ac:dyDescent="0.3">
      <c r="B383" s="33"/>
      <c r="C383" s="34"/>
      <c r="D383" s="34"/>
      <c r="E383" s="34"/>
      <c r="F383" s="34"/>
      <c r="G383" s="34"/>
      <c r="H383" s="34"/>
      <c r="I383" s="34"/>
      <c r="J383" s="34"/>
      <c r="K383" s="35"/>
      <c r="L383" s="34"/>
      <c r="M383" s="32"/>
      <c r="N383" s="34"/>
      <c r="O383" s="34"/>
      <c r="P383" s="34"/>
      <c r="Q383" s="34"/>
      <c r="R383" s="34"/>
      <c r="S383" s="34"/>
      <c r="T383" s="34"/>
      <c r="U383" s="34"/>
      <c r="V383" s="34"/>
    </row>
    <row r="384" spans="2:22" x14ac:dyDescent="0.3">
      <c r="B384" s="33"/>
      <c r="C384" s="34"/>
      <c r="D384" s="34"/>
      <c r="E384" s="34"/>
      <c r="F384" s="34"/>
      <c r="G384" s="34"/>
      <c r="H384" s="34"/>
      <c r="I384" s="34"/>
      <c r="J384" s="34"/>
      <c r="K384" s="35"/>
      <c r="L384" s="34"/>
      <c r="M384" s="32"/>
      <c r="N384" s="34"/>
      <c r="O384" s="34"/>
      <c r="P384" s="34"/>
      <c r="Q384" s="34"/>
      <c r="R384" s="34"/>
      <c r="S384" s="34"/>
      <c r="T384" s="34"/>
      <c r="U384" s="34"/>
      <c r="V384" s="34"/>
    </row>
    <row r="385" spans="2:22" x14ac:dyDescent="0.3">
      <c r="B385" s="33"/>
      <c r="C385" s="34"/>
      <c r="D385" s="34"/>
      <c r="E385" s="34"/>
      <c r="F385" s="34"/>
      <c r="G385" s="34"/>
      <c r="H385" s="34"/>
      <c r="I385" s="34"/>
      <c r="J385" s="34"/>
      <c r="K385" s="35"/>
      <c r="L385" s="34"/>
      <c r="M385" s="32"/>
      <c r="N385" s="34"/>
      <c r="O385" s="34"/>
      <c r="P385" s="34"/>
      <c r="Q385" s="34"/>
      <c r="R385" s="34"/>
      <c r="S385" s="34"/>
      <c r="T385" s="34"/>
      <c r="U385" s="34"/>
      <c r="V385" s="34"/>
    </row>
    <row r="386" spans="2:22" x14ac:dyDescent="0.3">
      <c r="B386" s="33"/>
      <c r="C386" s="34"/>
      <c r="D386" s="34"/>
      <c r="E386" s="34"/>
      <c r="F386" s="34"/>
      <c r="G386" s="34"/>
      <c r="H386" s="34"/>
      <c r="I386" s="34"/>
      <c r="J386" s="34"/>
      <c r="K386" s="35"/>
      <c r="L386" s="34"/>
      <c r="M386" s="32"/>
      <c r="N386" s="34"/>
      <c r="O386" s="34"/>
      <c r="P386" s="34"/>
      <c r="Q386" s="34"/>
      <c r="R386" s="34"/>
      <c r="S386" s="34"/>
      <c r="T386" s="34"/>
      <c r="U386" s="34"/>
      <c r="V386" s="34"/>
    </row>
    <row r="387" spans="2:22" x14ac:dyDescent="0.3">
      <c r="B387" s="33"/>
      <c r="C387" s="34"/>
      <c r="D387" s="34"/>
      <c r="E387" s="34"/>
      <c r="F387" s="34"/>
      <c r="G387" s="34"/>
      <c r="H387" s="34"/>
      <c r="I387" s="34"/>
      <c r="J387" s="34"/>
      <c r="K387" s="35"/>
      <c r="L387" s="34"/>
      <c r="M387" s="32"/>
      <c r="N387" s="34"/>
      <c r="O387" s="34"/>
      <c r="P387" s="34"/>
      <c r="Q387" s="34"/>
      <c r="R387" s="34"/>
      <c r="S387" s="34"/>
      <c r="T387" s="34"/>
      <c r="U387" s="34"/>
      <c r="V387" s="34"/>
    </row>
    <row r="388" spans="2:22" x14ac:dyDescent="0.3">
      <c r="B388" s="33"/>
      <c r="C388" s="34"/>
      <c r="D388" s="34"/>
      <c r="E388" s="34"/>
      <c r="F388" s="34"/>
      <c r="G388" s="34"/>
      <c r="H388" s="34"/>
      <c r="I388" s="34"/>
      <c r="J388" s="34"/>
      <c r="K388" s="35"/>
      <c r="L388" s="34"/>
      <c r="M388" s="32"/>
      <c r="N388" s="34"/>
      <c r="O388" s="34"/>
      <c r="P388" s="34"/>
      <c r="Q388" s="34"/>
      <c r="R388" s="34"/>
      <c r="S388" s="34"/>
      <c r="T388" s="34"/>
      <c r="U388" s="34"/>
      <c r="V388" s="34"/>
    </row>
    <row r="389" spans="2:22" x14ac:dyDescent="0.3">
      <c r="B389" s="33"/>
      <c r="C389" s="34"/>
      <c r="D389" s="34"/>
      <c r="E389" s="34"/>
      <c r="F389" s="34"/>
      <c r="G389" s="34"/>
      <c r="H389" s="34"/>
      <c r="I389" s="34"/>
      <c r="J389" s="34"/>
      <c r="K389" s="35"/>
      <c r="L389" s="34"/>
      <c r="M389" s="32"/>
      <c r="N389" s="34"/>
      <c r="O389" s="34"/>
      <c r="P389" s="34"/>
      <c r="Q389" s="34"/>
      <c r="R389" s="34"/>
      <c r="S389" s="34"/>
      <c r="T389" s="34"/>
      <c r="U389" s="34"/>
      <c r="V389" s="34"/>
    </row>
    <row r="390" spans="2:22" x14ac:dyDescent="0.3">
      <c r="B390" s="33"/>
      <c r="C390" s="34"/>
      <c r="D390" s="34"/>
      <c r="E390" s="34"/>
      <c r="F390" s="34"/>
      <c r="G390" s="34"/>
      <c r="H390" s="34"/>
      <c r="I390" s="34"/>
      <c r="J390" s="34"/>
      <c r="K390" s="35"/>
      <c r="L390" s="34"/>
      <c r="M390" s="32"/>
      <c r="N390" s="34"/>
      <c r="O390" s="34"/>
      <c r="P390" s="34"/>
      <c r="Q390" s="34"/>
      <c r="R390" s="34"/>
      <c r="S390" s="34"/>
      <c r="T390" s="34"/>
      <c r="U390" s="34"/>
      <c r="V390" s="34"/>
    </row>
    <row r="391" spans="2:22" x14ac:dyDescent="0.3">
      <c r="B391" s="33"/>
      <c r="C391" s="34"/>
      <c r="D391" s="34"/>
      <c r="E391" s="34"/>
      <c r="F391" s="34"/>
      <c r="G391" s="34"/>
      <c r="H391" s="34"/>
      <c r="I391" s="34"/>
      <c r="J391" s="34"/>
      <c r="K391" s="35"/>
      <c r="L391" s="34"/>
      <c r="M391" s="32"/>
      <c r="N391" s="34"/>
      <c r="O391" s="34"/>
      <c r="P391" s="34"/>
      <c r="Q391" s="34"/>
      <c r="R391" s="34"/>
      <c r="S391" s="34"/>
      <c r="T391" s="34"/>
      <c r="U391" s="34"/>
      <c r="V391" s="34"/>
    </row>
    <row r="392" spans="2:22" x14ac:dyDescent="0.3">
      <c r="B392" s="33"/>
      <c r="C392" s="34"/>
      <c r="D392" s="34"/>
      <c r="E392" s="34"/>
      <c r="F392" s="34"/>
      <c r="G392" s="34"/>
      <c r="H392" s="34"/>
      <c r="I392" s="34"/>
      <c r="J392" s="34"/>
      <c r="K392" s="35"/>
      <c r="L392" s="34"/>
      <c r="M392" s="32"/>
      <c r="N392" s="34"/>
      <c r="O392" s="34"/>
      <c r="P392" s="34"/>
      <c r="Q392" s="34"/>
      <c r="R392" s="34"/>
      <c r="S392" s="34"/>
      <c r="T392" s="34"/>
      <c r="U392" s="34"/>
      <c r="V392" s="34"/>
    </row>
    <row r="393" spans="2:22" x14ac:dyDescent="0.3">
      <c r="B393" s="33"/>
      <c r="C393" s="34"/>
      <c r="D393" s="34"/>
      <c r="E393" s="34"/>
      <c r="F393" s="34"/>
      <c r="G393" s="34"/>
      <c r="H393" s="34"/>
      <c r="I393" s="34"/>
      <c r="J393" s="34"/>
      <c r="K393" s="35"/>
      <c r="L393" s="34"/>
      <c r="M393" s="32"/>
      <c r="N393" s="34"/>
      <c r="O393" s="34"/>
      <c r="P393" s="34"/>
      <c r="Q393" s="34"/>
      <c r="R393" s="34"/>
      <c r="S393" s="34"/>
      <c r="T393" s="34"/>
      <c r="U393" s="34"/>
      <c r="V393" s="34"/>
    </row>
    <row r="394" spans="2:22" x14ac:dyDescent="0.3">
      <c r="B394" s="33"/>
      <c r="C394" s="34"/>
      <c r="D394" s="34"/>
      <c r="E394" s="34"/>
      <c r="F394" s="34"/>
      <c r="G394" s="34"/>
      <c r="H394" s="34"/>
      <c r="I394" s="34"/>
      <c r="J394" s="34"/>
      <c r="K394" s="35"/>
      <c r="L394" s="34"/>
      <c r="M394" s="32"/>
      <c r="N394" s="34"/>
      <c r="O394" s="34"/>
      <c r="P394" s="34"/>
      <c r="Q394" s="34"/>
      <c r="R394" s="34"/>
      <c r="S394" s="34"/>
      <c r="T394" s="34"/>
      <c r="U394" s="34"/>
      <c r="V394" s="34"/>
    </row>
    <row r="395" spans="2:22" x14ac:dyDescent="0.3">
      <c r="B395" s="33"/>
      <c r="C395" s="34"/>
      <c r="D395" s="34"/>
      <c r="E395" s="34"/>
      <c r="F395" s="34"/>
      <c r="G395" s="34"/>
      <c r="H395" s="34"/>
      <c r="I395" s="34"/>
      <c r="J395" s="34"/>
      <c r="K395" s="35"/>
      <c r="L395" s="34"/>
      <c r="M395" s="32"/>
      <c r="N395" s="34"/>
      <c r="O395" s="34"/>
      <c r="P395" s="34"/>
      <c r="Q395" s="34"/>
      <c r="R395" s="34"/>
      <c r="S395" s="34"/>
      <c r="T395" s="34"/>
      <c r="U395" s="34"/>
      <c r="V395" s="34"/>
    </row>
    <row r="396" spans="2:22" x14ac:dyDescent="0.3">
      <c r="B396" s="33"/>
      <c r="C396" s="34"/>
      <c r="D396" s="34"/>
      <c r="E396" s="34"/>
      <c r="F396" s="34"/>
      <c r="G396" s="34"/>
      <c r="H396" s="34"/>
      <c r="I396" s="34"/>
      <c r="J396" s="34"/>
      <c r="K396" s="35"/>
      <c r="L396" s="34"/>
      <c r="M396" s="32"/>
      <c r="N396" s="34"/>
      <c r="O396" s="34"/>
      <c r="P396" s="34"/>
      <c r="Q396" s="34"/>
      <c r="R396" s="34"/>
      <c r="S396" s="34"/>
      <c r="T396" s="34"/>
      <c r="U396" s="34"/>
      <c r="V396" s="34"/>
    </row>
    <row r="397" spans="2:22" x14ac:dyDescent="0.3">
      <c r="B397" s="33"/>
      <c r="C397" s="34"/>
      <c r="D397" s="34"/>
      <c r="E397" s="34"/>
      <c r="F397" s="34"/>
      <c r="G397" s="34"/>
      <c r="H397" s="34"/>
      <c r="I397" s="34"/>
      <c r="J397" s="34"/>
      <c r="K397" s="35"/>
      <c r="L397" s="34"/>
      <c r="M397" s="32"/>
      <c r="N397" s="34"/>
      <c r="O397" s="34"/>
      <c r="P397" s="34"/>
      <c r="Q397" s="34"/>
      <c r="R397" s="34"/>
      <c r="S397" s="34"/>
      <c r="T397" s="34"/>
      <c r="U397" s="34"/>
      <c r="V397" s="34"/>
    </row>
    <row r="398" spans="2:22" x14ac:dyDescent="0.3">
      <c r="B398" s="33"/>
      <c r="C398" s="34"/>
      <c r="D398" s="34"/>
      <c r="E398" s="34"/>
      <c r="F398" s="34"/>
      <c r="G398" s="34"/>
      <c r="H398" s="34"/>
      <c r="I398" s="34"/>
      <c r="J398" s="34"/>
      <c r="K398" s="35"/>
      <c r="L398" s="34"/>
      <c r="M398" s="32"/>
      <c r="N398" s="34"/>
      <c r="O398" s="34"/>
      <c r="P398" s="34"/>
      <c r="Q398" s="34"/>
      <c r="R398" s="34"/>
      <c r="S398" s="34"/>
      <c r="T398" s="34"/>
      <c r="U398" s="34"/>
      <c r="V398" s="34"/>
    </row>
    <row r="399" spans="2:22" x14ac:dyDescent="0.3">
      <c r="B399" s="33"/>
      <c r="C399" s="34"/>
      <c r="D399" s="34"/>
      <c r="E399" s="34"/>
      <c r="F399" s="34"/>
      <c r="G399" s="34"/>
      <c r="H399" s="34"/>
      <c r="I399" s="34"/>
      <c r="J399" s="34"/>
      <c r="K399" s="35"/>
      <c r="L399" s="34"/>
      <c r="M399" s="32"/>
      <c r="N399" s="34"/>
      <c r="O399" s="34"/>
      <c r="P399" s="34"/>
      <c r="Q399" s="34"/>
      <c r="R399" s="34"/>
      <c r="S399" s="34"/>
      <c r="T399" s="34"/>
      <c r="U399" s="34"/>
      <c r="V399" s="34"/>
    </row>
    <row r="400" spans="2:22" x14ac:dyDescent="0.3">
      <c r="B400" s="33"/>
      <c r="C400" s="34"/>
      <c r="D400" s="34"/>
      <c r="E400" s="34"/>
      <c r="F400" s="34"/>
      <c r="G400" s="34"/>
      <c r="H400" s="34"/>
      <c r="I400" s="34"/>
      <c r="J400" s="34"/>
      <c r="K400" s="35"/>
      <c r="L400" s="34"/>
      <c r="M400" s="32"/>
      <c r="N400" s="34"/>
      <c r="O400" s="34"/>
      <c r="P400" s="34"/>
      <c r="Q400" s="34"/>
      <c r="R400" s="34"/>
      <c r="S400" s="34"/>
      <c r="T400" s="34"/>
      <c r="U400" s="34"/>
      <c r="V400" s="34"/>
    </row>
    <row r="401" spans="2:22" x14ac:dyDescent="0.3">
      <c r="B401" s="33"/>
      <c r="C401" s="34"/>
      <c r="D401" s="34"/>
      <c r="E401" s="34"/>
      <c r="F401" s="34"/>
      <c r="G401" s="34"/>
      <c r="H401" s="34"/>
      <c r="I401" s="34"/>
      <c r="J401" s="34"/>
      <c r="K401" s="35"/>
      <c r="L401" s="34"/>
      <c r="M401" s="32"/>
      <c r="N401" s="34"/>
      <c r="O401" s="34"/>
      <c r="P401" s="34"/>
      <c r="Q401" s="34"/>
      <c r="R401" s="34"/>
      <c r="S401" s="34"/>
      <c r="T401" s="34"/>
      <c r="U401" s="34"/>
      <c r="V401" s="34"/>
    </row>
    <row r="402" spans="2:22" x14ac:dyDescent="0.3">
      <c r="B402" s="33"/>
      <c r="C402" s="34"/>
      <c r="D402" s="34"/>
      <c r="E402" s="34"/>
      <c r="F402" s="34"/>
      <c r="G402" s="34"/>
      <c r="H402" s="34"/>
      <c r="I402" s="34"/>
      <c r="J402" s="34"/>
      <c r="K402" s="35"/>
      <c r="L402" s="34"/>
      <c r="M402" s="32"/>
      <c r="N402" s="34"/>
      <c r="O402" s="34"/>
      <c r="P402" s="34"/>
      <c r="Q402" s="34"/>
      <c r="R402" s="34"/>
      <c r="S402" s="34"/>
      <c r="T402" s="34"/>
      <c r="U402" s="34"/>
      <c r="V402" s="34"/>
    </row>
    <row r="403" spans="2:22" x14ac:dyDescent="0.3">
      <c r="B403" s="33"/>
      <c r="C403" s="34"/>
      <c r="D403" s="34"/>
      <c r="E403" s="34"/>
      <c r="F403" s="34"/>
      <c r="G403" s="34"/>
      <c r="H403" s="34"/>
      <c r="I403" s="34"/>
      <c r="J403" s="34"/>
      <c r="K403" s="35"/>
      <c r="L403" s="34"/>
      <c r="M403" s="32"/>
      <c r="N403" s="34"/>
      <c r="O403" s="34"/>
      <c r="P403" s="34"/>
      <c r="Q403" s="34"/>
      <c r="R403" s="34"/>
      <c r="S403" s="34"/>
      <c r="T403" s="34"/>
      <c r="U403" s="34"/>
      <c r="V403" s="34"/>
    </row>
    <row r="404" spans="2:22" x14ac:dyDescent="0.3">
      <c r="B404" s="33"/>
      <c r="C404" s="34"/>
      <c r="D404" s="34"/>
      <c r="E404" s="34"/>
      <c r="F404" s="34"/>
      <c r="G404" s="34"/>
      <c r="H404" s="34"/>
      <c r="I404" s="34"/>
      <c r="J404" s="34"/>
      <c r="K404" s="35"/>
      <c r="L404" s="34"/>
      <c r="M404" s="32"/>
      <c r="N404" s="34"/>
      <c r="O404" s="34"/>
      <c r="P404" s="34"/>
      <c r="Q404" s="34"/>
      <c r="R404" s="34"/>
      <c r="S404" s="34"/>
      <c r="T404" s="34"/>
      <c r="U404" s="34"/>
      <c r="V404" s="34"/>
    </row>
    <row r="405" spans="2:22" x14ac:dyDescent="0.3">
      <c r="B405" s="33"/>
      <c r="C405" s="34"/>
      <c r="D405" s="34"/>
      <c r="E405" s="34"/>
      <c r="F405" s="34"/>
      <c r="G405" s="34"/>
      <c r="H405" s="34"/>
      <c r="I405" s="34"/>
      <c r="J405" s="34"/>
      <c r="K405" s="35"/>
      <c r="L405" s="34"/>
      <c r="M405" s="32"/>
      <c r="N405" s="34"/>
      <c r="O405" s="34"/>
      <c r="P405" s="34"/>
      <c r="Q405" s="34"/>
      <c r="R405" s="34"/>
      <c r="S405" s="34"/>
      <c r="T405" s="34"/>
      <c r="U405" s="34"/>
      <c r="V405" s="34"/>
    </row>
    <row r="406" spans="2:22" x14ac:dyDescent="0.3">
      <c r="B406" s="33"/>
      <c r="C406" s="34"/>
      <c r="D406" s="34"/>
      <c r="E406" s="34"/>
      <c r="F406" s="34"/>
      <c r="G406" s="34"/>
      <c r="H406" s="34"/>
      <c r="I406" s="34"/>
      <c r="J406" s="34"/>
      <c r="K406" s="35"/>
      <c r="L406" s="34"/>
      <c r="M406" s="32"/>
      <c r="N406" s="34"/>
      <c r="O406" s="34"/>
      <c r="P406" s="34"/>
      <c r="Q406" s="34"/>
      <c r="R406" s="34"/>
      <c r="S406" s="34"/>
      <c r="T406" s="34"/>
      <c r="U406" s="34"/>
      <c r="V406" s="34"/>
    </row>
    <row r="407" spans="2:22" x14ac:dyDescent="0.3">
      <c r="B407" s="33"/>
      <c r="C407" s="34"/>
      <c r="D407" s="34"/>
      <c r="E407" s="34"/>
      <c r="F407" s="34"/>
      <c r="G407" s="34"/>
      <c r="H407" s="34"/>
      <c r="I407" s="34"/>
      <c r="J407" s="34"/>
      <c r="K407" s="35"/>
      <c r="L407" s="34"/>
      <c r="M407" s="32"/>
      <c r="N407" s="34"/>
      <c r="O407" s="34"/>
      <c r="P407" s="34"/>
      <c r="Q407" s="34"/>
      <c r="R407" s="34"/>
      <c r="S407" s="34"/>
      <c r="T407" s="34"/>
      <c r="U407" s="34"/>
      <c r="V407" s="34"/>
    </row>
    <row r="408" spans="2:22" x14ac:dyDescent="0.3">
      <c r="B408" s="33"/>
      <c r="C408" s="34"/>
      <c r="D408" s="34"/>
      <c r="E408" s="34"/>
      <c r="F408" s="34"/>
      <c r="G408" s="34"/>
      <c r="H408" s="34"/>
      <c r="I408" s="34"/>
      <c r="J408" s="34"/>
      <c r="K408" s="35"/>
      <c r="L408" s="34"/>
      <c r="M408" s="32"/>
      <c r="N408" s="34"/>
      <c r="O408" s="34"/>
      <c r="P408" s="34"/>
      <c r="Q408" s="34"/>
      <c r="R408" s="34"/>
      <c r="S408" s="34"/>
      <c r="T408" s="34"/>
      <c r="U408" s="34"/>
      <c r="V408" s="34"/>
    </row>
    <row r="409" spans="2:22" x14ac:dyDescent="0.3">
      <c r="B409" s="33"/>
      <c r="C409" s="34"/>
      <c r="D409" s="34"/>
      <c r="E409" s="34"/>
      <c r="F409" s="34"/>
      <c r="G409" s="34"/>
      <c r="H409" s="34"/>
      <c r="I409" s="34"/>
      <c r="J409" s="34"/>
      <c r="K409" s="35"/>
      <c r="L409" s="34"/>
      <c r="M409" s="32"/>
      <c r="N409" s="34"/>
      <c r="O409" s="34"/>
      <c r="P409" s="34"/>
      <c r="Q409" s="34"/>
      <c r="R409" s="34"/>
      <c r="S409" s="34"/>
      <c r="T409" s="34"/>
      <c r="U409" s="34"/>
      <c r="V409" s="34"/>
    </row>
    <row r="410" spans="2:22" x14ac:dyDescent="0.3">
      <c r="B410" s="33"/>
      <c r="C410" s="34"/>
      <c r="D410" s="34"/>
      <c r="E410" s="34"/>
      <c r="F410" s="34"/>
      <c r="G410" s="34"/>
      <c r="H410" s="34"/>
      <c r="I410" s="34"/>
      <c r="J410" s="34"/>
      <c r="K410" s="35"/>
      <c r="L410" s="34"/>
      <c r="M410" s="32"/>
      <c r="N410" s="34"/>
      <c r="O410" s="34"/>
      <c r="P410" s="34"/>
      <c r="Q410" s="34"/>
      <c r="R410" s="34"/>
      <c r="S410" s="34"/>
      <c r="T410" s="34"/>
      <c r="U410" s="34"/>
      <c r="V410" s="34"/>
    </row>
    <row r="411" spans="2:22" x14ac:dyDescent="0.3">
      <c r="B411" s="33"/>
      <c r="C411" s="34"/>
      <c r="D411" s="34"/>
      <c r="E411" s="34"/>
      <c r="F411" s="34"/>
      <c r="G411" s="34"/>
      <c r="H411" s="34"/>
      <c r="I411" s="34"/>
      <c r="J411" s="34"/>
      <c r="K411" s="35"/>
      <c r="L411" s="34"/>
      <c r="M411" s="32"/>
      <c r="N411" s="34"/>
      <c r="O411" s="34"/>
      <c r="P411" s="34"/>
      <c r="Q411" s="34"/>
      <c r="R411" s="34"/>
      <c r="S411" s="34"/>
      <c r="T411" s="34"/>
      <c r="U411" s="34"/>
      <c r="V411" s="34"/>
    </row>
    <row r="412" spans="2:22" x14ac:dyDescent="0.3">
      <c r="B412" s="33"/>
      <c r="C412" s="34"/>
      <c r="D412" s="34"/>
      <c r="E412" s="34"/>
      <c r="F412" s="34"/>
      <c r="G412" s="34"/>
      <c r="H412" s="34"/>
      <c r="I412" s="34"/>
      <c r="J412" s="34"/>
      <c r="K412" s="35"/>
      <c r="L412" s="34"/>
      <c r="M412" s="32"/>
      <c r="N412" s="34"/>
      <c r="O412" s="34"/>
      <c r="P412" s="34"/>
      <c r="Q412" s="34"/>
      <c r="R412" s="34"/>
      <c r="S412" s="34"/>
      <c r="T412" s="34"/>
      <c r="U412" s="34"/>
      <c r="V412" s="34"/>
    </row>
    <row r="413" spans="2:22" x14ac:dyDescent="0.3">
      <c r="B413" s="33"/>
      <c r="C413" s="34"/>
      <c r="D413" s="34"/>
      <c r="E413" s="34"/>
      <c r="F413" s="34"/>
      <c r="G413" s="34"/>
      <c r="H413" s="34"/>
      <c r="I413" s="34"/>
      <c r="J413" s="34"/>
      <c r="K413" s="35"/>
      <c r="L413" s="34"/>
      <c r="M413" s="32"/>
      <c r="N413" s="34"/>
      <c r="O413" s="34"/>
      <c r="P413" s="34"/>
      <c r="Q413" s="34"/>
      <c r="R413" s="34"/>
      <c r="S413" s="34"/>
      <c r="T413" s="34"/>
      <c r="U413" s="34"/>
      <c r="V413" s="34"/>
    </row>
    <row r="414" spans="2:22" x14ac:dyDescent="0.3">
      <c r="B414" s="33"/>
      <c r="C414" s="34"/>
      <c r="D414" s="34"/>
      <c r="E414" s="34"/>
      <c r="F414" s="34"/>
      <c r="G414" s="34"/>
      <c r="H414" s="34"/>
      <c r="I414" s="34"/>
      <c r="J414" s="34"/>
      <c r="K414" s="35"/>
      <c r="L414" s="34"/>
      <c r="M414" s="32"/>
      <c r="N414" s="34"/>
      <c r="O414" s="34"/>
      <c r="P414" s="34"/>
      <c r="Q414" s="34"/>
      <c r="R414" s="34"/>
      <c r="S414" s="34"/>
      <c r="T414" s="34"/>
      <c r="U414" s="34"/>
      <c r="V414" s="34"/>
    </row>
    <row r="415" spans="2:22" x14ac:dyDescent="0.3">
      <c r="B415" s="33"/>
      <c r="C415" s="34"/>
      <c r="D415" s="34"/>
      <c r="E415" s="34"/>
      <c r="F415" s="34"/>
      <c r="G415" s="34"/>
      <c r="H415" s="34"/>
      <c r="I415" s="34"/>
      <c r="J415" s="34"/>
      <c r="K415" s="35"/>
      <c r="L415" s="34"/>
      <c r="M415" s="32"/>
      <c r="N415" s="34"/>
      <c r="O415" s="34"/>
      <c r="P415" s="34"/>
      <c r="Q415" s="34"/>
      <c r="R415" s="34"/>
      <c r="S415" s="34"/>
      <c r="T415" s="34"/>
      <c r="U415" s="34"/>
      <c r="V415" s="34"/>
    </row>
    <row r="416" spans="2:22" x14ac:dyDescent="0.3">
      <c r="B416" s="33"/>
      <c r="C416" s="34"/>
      <c r="D416" s="34"/>
      <c r="E416" s="34"/>
      <c r="F416" s="34"/>
      <c r="G416" s="34"/>
      <c r="H416" s="34"/>
      <c r="I416" s="34"/>
      <c r="J416" s="34"/>
      <c r="K416" s="35"/>
      <c r="L416" s="34"/>
      <c r="M416" s="32"/>
      <c r="N416" s="34"/>
      <c r="O416" s="34"/>
      <c r="P416" s="34"/>
      <c r="Q416" s="34"/>
      <c r="R416" s="34"/>
      <c r="S416" s="34"/>
      <c r="T416" s="34"/>
      <c r="U416" s="34"/>
      <c r="V416" s="34"/>
    </row>
    <row r="417" spans="2:22" x14ac:dyDescent="0.3">
      <c r="B417" s="33"/>
      <c r="C417" s="34"/>
      <c r="D417" s="34"/>
      <c r="E417" s="34"/>
      <c r="F417" s="34"/>
      <c r="G417" s="34"/>
      <c r="H417" s="34"/>
      <c r="I417" s="34"/>
      <c r="J417" s="34"/>
      <c r="K417" s="35"/>
      <c r="L417" s="34"/>
      <c r="M417" s="32"/>
      <c r="N417" s="34"/>
      <c r="O417" s="34"/>
      <c r="P417" s="34"/>
      <c r="Q417" s="34"/>
      <c r="R417" s="34"/>
      <c r="S417" s="34"/>
      <c r="T417" s="34"/>
      <c r="U417" s="34"/>
      <c r="V417" s="34"/>
    </row>
    <row r="418" spans="2:22" x14ac:dyDescent="0.3">
      <c r="B418" s="33"/>
      <c r="C418" s="34"/>
      <c r="D418" s="34"/>
      <c r="E418" s="34"/>
      <c r="F418" s="34"/>
      <c r="G418" s="34"/>
      <c r="H418" s="34"/>
      <c r="I418" s="34"/>
      <c r="J418" s="34"/>
      <c r="K418" s="35"/>
      <c r="L418" s="34"/>
      <c r="M418" s="32"/>
      <c r="N418" s="34"/>
      <c r="O418" s="34"/>
      <c r="P418" s="34"/>
      <c r="Q418" s="34"/>
      <c r="R418" s="34"/>
      <c r="S418" s="34"/>
      <c r="T418" s="34"/>
      <c r="U418" s="34"/>
      <c r="V418" s="34"/>
    </row>
    <row r="419" spans="2:22" x14ac:dyDescent="0.3">
      <c r="B419" s="33"/>
      <c r="C419" s="34"/>
      <c r="D419" s="34"/>
      <c r="E419" s="34"/>
      <c r="F419" s="34"/>
      <c r="G419" s="34"/>
      <c r="H419" s="34"/>
      <c r="I419" s="34"/>
      <c r="J419" s="34"/>
      <c r="K419" s="35"/>
      <c r="L419" s="34"/>
      <c r="M419" s="32"/>
      <c r="N419" s="34"/>
      <c r="O419" s="34"/>
      <c r="P419" s="34"/>
      <c r="Q419" s="34"/>
      <c r="R419" s="34"/>
      <c r="S419" s="34"/>
      <c r="T419" s="34"/>
      <c r="U419" s="34"/>
      <c r="V419" s="34"/>
    </row>
    <row r="420" spans="2:22" x14ac:dyDescent="0.3">
      <c r="B420" s="33"/>
      <c r="C420" s="34"/>
      <c r="D420" s="34"/>
      <c r="E420" s="34"/>
      <c r="F420" s="34"/>
      <c r="G420" s="34"/>
      <c r="H420" s="34"/>
      <c r="I420" s="34"/>
      <c r="J420" s="34"/>
      <c r="K420" s="35"/>
      <c r="L420" s="34"/>
      <c r="M420" s="32"/>
      <c r="N420" s="34"/>
      <c r="O420" s="34"/>
      <c r="P420" s="34"/>
      <c r="Q420" s="34"/>
      <c r="R420" s="34"/>
      <c r="S420" s="34"/>
      <c r="T420" s="34"/>
      <c r="U420" s="34"/>
      <c r="V420" s="34"/>
    </row>
    <row r="421" spans="2:22" x14ac:dyDescent="0.3">
      <c r="B421" s="33"/>
      <c r="C421" s="34"/>
      <c r="D421" s="34"/>
      <c r="E421" s="34"/>
      <c r="F421" s="34"/>
      <c r="G421" s="34"/>
      <c r="H421" s="34"/>
      <c r="I421" s="34"/>
      <c r="J421" s="34"/>
      <c r="K421" s="35"/>
      <c r="L421" s="34"/>
      <c r="M421" s="32"/>
      <c r="N421" s="34"/>
      <c r="O421" s="34"/>
      <c r="P421" s="34"/>
      <c r="Q421" s="34"/>
      <c r="R421" s="34"/>
      <c r="S421" s="34"/>
      <c r="T421" s="34"/>
      <c r="U421" s="34"/>
      <c r="V421" s="34"/>
    </row>
    <row r="422" spans="2:22" x14ac:dyDescent="0.3">
      <c r="B422" s="33"/>
      <c r="C422" s="34"/>
      <c r="D422" s="34"/>
      <c r="E422" s="34"/>
      <c r="F422" s="34"/>
      <c r="G422" s="34"/>
      <c r="H422" s="34"/>
      <c r="I422" s="34"/>
      <c r="J422" s="34"/>
      <c r="K422" s="35"/>
      <c r="L422" s="34"/>
      <c r="M422" s="32"/>
      <c r="N422" s="34"/>
      <c r="O422" s="34"/>
      <c r="P422" s="34"/>
      <c r="Q422" s="34"/>
      <c r="R422" s="34"/>
      <c r="S422" s="34"/>
      <c r="T422" s="34"/>
      <c r="U422" s="34"/>
      <c r="V422" s="34"/>
    </row>
    <row r="423" spans="2:22" x14ac:dyDescent="0.3">
      <c r="B423" s="33"/>
      <c r="C423" s="34"/>
      <c r="D423" s="34"/>
      <c r="E423" s="34"/>
      <c r="F423" s="34"/>
      <c r="G423" s="34"/>
      <c r="H423" s="34"/>
      <c r="I423" s="34"/>
      <c r="J423" s="34"/>
      <c r="K423" s="35"/>
      <c r="L423" s="34"/>
      <c r="M423" s="32"/>
      <c r="N423" s="34"/>
      <c r="O423" s="34"/>
      <c r="P423" s="34"/>
      <c r="Q423" s="34"/>
      <c r="R423" s="34"/>
      <c r="S423" s="34"/>
      <c r="T423" s="34"/>
      <c r="U423" s="34"/>
      <c r="V423" s="34"/>
    </row>
    <row r="424" spans="2:22" x14ac:dyDescent="0.3">
      <c r="B424" s="33"/>
      <c r="C424" s="34"/>
      <c r="D424" s="34"/>
      <c r="E424" s="34"/>
      <c r="F424" s="34"/>
      <c r="G424" s="34"/>
      <c r="H424" s="34"/>
      <c r="I424" s="34"/>
      <c r="J424" s="34"/>
      <c r="K424" s="35"/>
      <c r="L424" s="34"/>
      <c r="M424" s="32"/>
      <c r="N424" s="34"/>
      <c r="O424" s="34"/>
      <c r="P424" s="34"/>
      <c r="Q424" s="34"/>
      <c r="R424" s="34"/>
      <c r="S424" s="34"/>
      <c r="T424" s="34"/>
      <c r="U424" s="34"/>
      <c r="V424" s="34"/>
    </row>
    <row r="425" spans="2:22" x14ac:dyDescent="0.3">
      <c r="B425" s="33"/>
      <c r="C425" s="34"/>
      <c r="D425" s="34"/>
      <c r="E425" s="34"/>
      <c r="F425" s="34"/>
      <c r="G425" s="34"/>
      <c r="H425" s="34"/>
      <c r="I425" s="34"/>
      <c r="J425" s="34"/>
      <c r="K425" s="35"/>
      <c r="L425" s="34"/>
      <c r="M425" s="32"/>
      <c r="N425" s="34"/>
      <c r="O425" s="34"/>
      <c r="P425" s="34"/>
      <c r="Q425" s="34"/>
      <c r="R425" s="34"/>
      <c r="S425" s="34"/>
      <c r="T425" s="34"/>
      <c r="U425" s="34"/>
      <c r="V425" s="34"/>
    </row>
    <row r="426" spans="2:22" x14ac:dyDescent="0.3">
      <c r="B426" s="33"/>
      <c r="C426" s="34"/>
      <c r="D426" s="34"/>
      <c r="E426" s="34"/>
      <c r="F426" s="34"/>
      <c r="G426" s="34"/>
      <c r="H426" s="34"/>
      <c r="I426" s="34"/>
      <c r="J426" s="34"/>
      <c r="K426" s="35"/>
      <c r="L426" s="34"/>
      <c r="M426" s="32"/>
      <c r="N426" s="34"/>
      <c r="O426" s="34"/>
      <c r="P426" s="34"/>
      <c r="Q426" s="34"/>
      <c r="R426" s="34"/>
      <c r="S426" s="34"/>
      <c r="T426" s="34"/>
      <c r="U426" s="34"/>
      <c r="V426" s="34"/>
    </row>
    <row r="427" spans="2:22" x14ac:dyDescent="0.3">
      <c r="B427" s="33"/>
      <c r="C427" s="34"/>
      <c r="D427" s="34"/>
      <c r="E427" s="34"/>
      <c r="F427" s="34"/>
      <c r="G427" s="34"/>
      <c r="H427" s="34"/>
      <c r="I427" s="34"/>
      <c r="J427" s="34"/>
      <c r="K427" s="35"/>
      <c r="L427" s="34"/>
      <c r="M427" s="32"/>
      <c r="N427" s="34"/>
      <c r="O427" s="34"/>
      <c r="P427" s="34"/>
      <c r="Q427" s="34"/>
      <c r="R427" s="34"/>
      <c r="S427" s="34"/>
      <c r="T427" s="34"/>
      <c r="U427" s="34"/>
      <c r="V427" s="34"/>
    </row>
    <row r="428" spans="2:22" x14ac:dyDescent="0.3">
      <c r="B428" s="33"/>
      <c r="C428" s="34"/>
      <c r="D428" s="34"/>
      <c r="E428" s="34"/>
      <c r="F428" s="34"/>
      <c r="G428" s="34"/>
      <c r="H428" s="34"/>
      <c r="I428" s="34"/>
      <c r="J428" s="34"/>
      <c r="K428" s="35"/>
      <c r="L428" s="34"/>
      <c r="M428" s="32"/>
      <c r="N428" s="34"/>
      <c r="O428" s="34"/>
      <c r="P428" s="34"/>
      <c r="Q428" s="34"/>
      <c r="R428" s="34"/>
      <c r="S428" s="34"/>
      <c r="T428" s="34"/>
      <c r="U428" s="34"/>
      <c r="V428" s="34"/>
    </row>
    <row r="429" spans="2:22" x14ac:dyDescent="0.3">
      <c r="B429" s="33"/>
      <c r="C429" s="34"/>
      <c r="D429" s="34"/>
      <c r="E429" s="34"/>
      <c r="F429" s="34"/>
      <c r="G429" s="34"/>
      <c r="H429" s="34"/>
      <c r="I429" s="34"/>
      <c r="J429" s="34"/>
      <c r="K429" s="35"/>
      <c r="L429" s="34"/>
      <c r="M429" s="32"/>
      <c r="N429" s="34"/>
      <c r="O429" s="34"/>
      <c r="P429" s="34"/>
      <c r="Q429" s="34"/>
      <c r="R429" s="34"/>
      <c r="S429" s="34"/>
      <c r="T429" s="34"/>
      <c r="U429" s="34"/>
      <c r="V429" s="34"/>
    </row>
    <row r="430" spans="2:22" x14ac:dyDescent="0.3">
      <c r="B430" s="33"/>
      <c r="C430" s="34"/>
      <c r="D430" s="34"/>
      <c r="E430" s="34"/>
      <c r="F430" s="34"/>
      <c r="G430" s="34"/>
      <c r="H430" s="34"/>
      <c r="I430" s="34"/>
      <c r="J430" s="34"/>
      <c r="K430" s="35"/>
      <c r="L430" s="34"/>
      <c r="M430" s="32"/>
      <c r="N430" s="34"/>
      <c r="O430" s="34"/>
      <c r="P430" s="34"/>
      <c r="Q430" s="34"/>
      <c r="R430" s="34"/>
      <c r="S430" s="34"/>
      <c r="T430" s="34"/>
      <c r="U430" s="34"/>
      <c r="V430" s="34"/>
    </row>
    <row r="431" spans="2:22" x14ac:dyDescent="0.3">
      <c r="B431" s="33"/>
      <c r="C431" s="34"/>
      <c r="D431" s="34"/>
      <c r="E431" s="34"/>
      <c r="F431" s="34"/>
      <c r="G431" s="34"/>
      <c r="H431" s="34"/>
      <c r="I431" s="34"/>
      <c r="J431" s="34"/>
      <c r="K431" s="35"/>
      <c r="L431" s="34"/>
      <c r="M431" s="32"/>
      <c r="N431" s="34"/>
      <c r="O431" s="34"/>
      <c r="P431" s="34"/>
      <c r="Q431" s="34"/>
      <c r="R431" s="34"/>
      <c r="S431" s="34"/>
      <c r="T431" s="34"/>
      <c r="U431" s="34"/>
      <c r="V431" s="34"/>
    </row>
    <row r="432" spans="2:22" x14ac:dyDescent="0.3">
      <c r="B432" s="33"/>
      <c r="C432" s="34"/>
      <c r="D432" s="34"/>
      <c r="E432" s="34"/>
      <c r="F432" s="34"/>
      <c r="G432" s="34"/>
      <c r="H432" s="34"/>
      <c r="I432" s="34"/>
      <c r="J432" s="34"/>
      <c r="K432" s="35"/>
      <c r="L432" s="34"/>
      <c r="M432" s="32"/>
      <c r="N432" s="34"/>
      <c r="O432" s="34"/>
      <c r="P432" s="34"/>
      <c r="Q432" s="34"/>
      <c r="R432" s="34"/>
      <c r="S432" s="34"/>
      <c r="T432" s="34"/>
      <c r="U432" s="34"/>
      <c r="V432" s="34"/>
    </row>
    <row r="433" spans="2:22" x14ac:dyDescent="0.3">
      <c r="B433" s="33"/>
      <c r="C433" s="34"/>
      <c r="D433" s="34"/>
      <c r="E433" s="34"/>
      <c r="F433" s="34"/>
      <c r="G433" s="34"/>
      <c r="H433" s="34"/>
      <c r="I433" s="34"/>
      <c r="J433" s="34"/>
      <c r="K433" s="35"/>
      <c r="L433" s="34"/>
      <c r="M433" s="32"/>
      <c r="N433" s="34"/>
      <c r="O433" s="34"/>
      <c r="P433" s="34"/>
      <c r="Q433" s="34"/>
      <c r="R433" s="34"/>
      <c r="S433" s="34"/>
      <c r="T433" s="34"/>
      <c r="U433" s="34"/>
      <c r="V433" s="34"/>
    </row>
    <row r="434" spans="2:22" x14ac:dyDescent="0.3">
      <c r="B434" s="33"/>
      <c r="C434" s="34"/>
      <c r="D434" s="34"/>
      <c r="E434" s="34"/>
      <c r="F434" s="34"/>
      <c r="G434" s="34"/>
      <c r="H434" s="34"/>
      <c r="I434" s="34"/>
      <c r="J434" s="34"/>
      <c r="K434" s="35"/>
      <c r="L434" s="34"/>
      <c r="M434" s="32"/>
      <c r="N434" s="34"/>
      <c r="O434" s="34"/>
      <c r="P434" s="34"/>
      <c r="Q434" s="34"/>
      <c r="R434" s="34"/>
      <c r="S434" s="34"/>
      <c r="T434" s="34"/>
      <c r="U434" s="34"/>
      <c r="V434" s="34"/>
    </row>
    <row r="435" spans="2:22" x14ac:dyDescent="0.3">
      <c r="B435" s="33"/>
      <c r="C435" s="34"/>
      <c r="D435" s="34"/>
      <c r="E435" s="34"/>
      <c r="F435" s="34"/>
      <c r="G435" s="34"/>
      <c r="H435" s="34"/>
      <c r="I435" s="34"/>
      <c r="J435" s="34"/>
      <c r="K435" s="35"/>
      <c r="L435" s="34"/>
      <c r="M435" s="32"/>
      <c r="N435" s="34"/>
      <c r="O435" s="34"/>
      <c r="P435" s="34"/>
      <c r="Q435" s="34"/>
      <c r="R435" s="34"/>
      <c r="S435" s="34"/>
      <c r="T435" s="34"/>
      <c r="U435" s="34"/>
      <c r="V435" s="34"/>
    </row>
    <row r="436" spans="2:22" x14ac:dyDescent="0.3">
      <c r="B436" s="33"/>
      <c r="C436" s="34"/>
      <c r="D436" s="34"/>
      <c r="E436" s="34"/>
      <c r="F436" s="34"/>
      <c r="G436" s="34"/>
      <c r="H436" s="34"/>
      <c r="I436" s="34"/>
      <c r="J436" s="34"/>
      <c r="K436" s="35"/>
      <c r="L436" s="34"/>
      <c r="M436" s="32"/>
      <c r="N436" s="34"/>
      <c r="O436" s="34"/>
      <c r="P436" s="34"/>
      <c r="Q436" s="34"/>
      <c r="R436" s="34"/>
      <c r="S436" s="34"/>
      <c r="T436" s="34"/>
      <c r="U436" s="34"/>
      <c r="V436" s="34"/>
    </row>
    <row r="437" spans="2:22" x14ac:dyDescent="0.3">
      <c r="B437" s="33"/>
      <c r="C437" s="34"/>
      <c r="D437" s="34"/>
      <c r="E437" s="34"/>
      <c r="F437" s="34"/>
      <c r="G437" s="34"/>
      <c r="H437" s="34"/>
      <c r="I437" s="34"/>
      <c r="J437" s="34"/>
      <c r="K437" s="35"/>
      <c r="L437" s="34"/>
      <c r="M437" s="32"/>
      <c r="N437" s="34"/>
      <c r="O437" s="34"/>
      <c r="P437" s="34"/>
      <c r="Q437" s="34"/>
      <c r="R437" s="34"/>
      <c r="S437" s="34"/>
      <c r="T437" s="34"/>
      <c r="U437" s="34"/>
      <c r="V437" s="34"/>
    </row>
    <row r="438" spans="2:22" x14ac:dyDescent="0.3">
      <c r="B438" s="33"/>
      <c r="C438" s="34"/>
      <c r="D438" s="34"/>
      <c r="E438" s="34"/>
      <c r="F438" s="34"/>
      <c r="G438" s="34"/>
      <c r="H438" s="34"/>
      <c r="I438" s="34"/>
      <c r="J438" s="34"/>
      <c r="K438" s="35"/>
      <c r="L438" s="34"/>
      <c r="M438" s="32"/>
      <c r="N438" s="34"/>
      <c r="O438" s="34"/>
      <c r="P438" s="34"/>
      <c r="Q438" s="34"/>
      <c r="R438" s="34"/>
      <c r="S438" s="34"/>
      <c r="T438" s="34"/>
      <c r="U438" s="34"/>
      <c r="V438" s="34"/>
    </row>
    <row r="439" spans="2:22" x14ac:dyDescent="0.3">
      <c r="B439" s="33"/>
      <c r="C439" s="34"/>
      <c r="D439" s="34"/>
      <c r="E439" s="34"/>
      <c r="F439" s="34"/>
      <c r="G439" s="34"/>
      <c r="H439" s="34"/>
      <c r="I439" s="34"/>
      <c r="J439" s="34"/>
      <c r="K439" s="35"/>
      <c r="L439" s="34"/>
      <c r="M439" s="32"/>
      <c r="N439" s="34"/>
      <c r="O439" s="34"/>
      <c r="P439" s="34"/>
      <c r="Q439" s="34"/>
      <c r="R439" s="34"/>
      <c r="S439" s="34"/>
      <c r="T439" s="34"/>
      <c r="U439" s="34"/>
      <c r="V439" s="34"/>
    </row>
    <row r="440" spans="2:22" x14ac:dyDescent="0.3">
      <c r="B440" s="33"/>
      <c r="C440" s="34"/>
      <c r="D440" s="34"/>
      <c r="E440" s="34"/>
      <c r="F440" s="34"/>
      <c r="G440" s="34"/>
      <c r="H440" s="34"/>
      <c r="I440" s="34"/>
      <c r="J440" s="34"/>
      <c r="K440" s="35"/>
      <c r="L440" s="34"/>
      <c r="M440" s="32"/>
      <c r="N440" s="34"/>
      <c r="O440" s="34"/>
      <c r="P440" s="34"/>
      <c r="Q440" s="34"/>
      <c r="R440" s="34"/>
      <c r="S440" s="34"/>
      <c r="T440" s="34"/>
      <c r="U440" s="34"/>
      <c r="V440" s="34"/>
    </row>
    <row r="441" spans="2:22" x14ac:dyDescent="0.3">
      <c r="B441" s="33"/>
      <c r="C441" s="34"/>
      <c r="D441" s="34"/>
      <c r="E441" s="34"/>
      <c r="F441" s="34"/>
      <c r="G441" s="34"/>
      <c r="H441" s="34"/>
      <c r="I441" s="34"/>
      <c r="J441" s="34"/>
      <c r="K441" s="35"/>
      <c r="L441" s="34"/>
      <c r="M441" s="32"/>
      <c r="N441" s="34"/>
      <c r="O441" s="34"/>
      <c r="P441" s="34"/>
      <c r="Q441" s="34"/>
      <c r="R441" s="34"/>
      <c r="S441" s="34"/>
      <c r="T441" s="34"/>
      <c r="U441" s="34"/>
      <c r="V441" s="34"/>
    </row>
    <row r="442" spans="2:22" x14ac:dyDescent="0.3">
      <c r="B442" s="33"/>
      <c r="C442" s="34"/>
      <c r="D442" s="34"/>
      <c r="E442" s="34"/>
      <c r="F442" s="34"/>
      <c r="G442" s="34"/>
      <c r="H442" s="34"/>
      <c r="I442" s="34"/>
      <c r="J442" s="34"/>
      <c r="K442" s="35"/>
      <c r="L442" s="34"/>
      <c r="M442" s="32"/>
      <c r="N442" s="34"/>
      <c r="O442" s="34"/>
      <c r="P442" s="34"/>
      <c r="Q442" s="34"/>
      <c r="R442" s="34"/>
      <c r="S442" s="34"/>
      <c r="T442" s="34"/>
      <c r="U442" s="34"/>
      <c r="V442" s="34"/>
    </row>
    <row r="443" spans="2:22" x14ac:dyDescent="0.3">
      <c r="B443" s="33"/>
      <c r="C443" s="34"/>
      <c r="D443" s="34"/>
      <c r="E443" s="34"/>
      <c r="F443" s="34"/>
      <c r="G443" s="34"/>
      <c r="H443" s="34"/>
      <c r="I443" s="34"/>
      <c r="J443" s="34"/>
      <c r="K443" s="35"/>
      <c r="L443" s="34"/>
      <c r="M443" s="32"/>
      <c r="N443" s="34"/>
      <c r="O443" s="34"/>
      <c r="P443" s="34"/>
      <c r="Q443" s="34"/>
      <c r="R443" s="34"/>
      <c r="S443" s="34"/>
      <c r="T443" s="34"/>
      <c r="U443" s="34"/>
      <c r="V443" s="34"/>
    </row>
    <row r="444" spans="2:22" x14ac:dyDescent="0.3">
      <c r="B444" s="33"/>
      <c r="C444" s="34"/>
      <c r="D444" s="34"/>
      <c r="E444" s="34"/>
      <c r="F444" s="34"/>
      <c r="G444" s="34"/>
      <c r="H444" s="34"/>
      <c r="I444" s="34"/>
      <c r="J444" s="34"/>
      <c r="K444" s="35"/>
      <c r="L444" s="34"/>
      <c r="M444" s="32"/>
      <c r="N444" s="34"/>
      <c r="O444" s="34"/>
      <c r="P444" s="34"/>
      <c r="Q444" s="34"/>
      <c r="R444" s="34"/>
      <c r="S444" s="34"/>
      <c r="T444" s="34"/>
      <c r="U444" s="34"/>
      <c r="V444" s="34"/>
    </row>
    <row r="445" spans="2:22" x14ac:dyDescent="0.3">
      <c r="B445" s="33"/>
      <c r="C445" s="34"/>
      <c r="D445" s="34"/>
      <c r="E445" s="34"/>
      <c r="F445" s="34"/>
      <c r="G445" s="34"/>
      <c r="H445" s="34"/>
      <c r="I445" s="34"/>
      <c r="J445" s="34"/>
      <c r="K445" s="35"/>
      <c r="L445" s="34"/>
      <c r="M445" s="32"/>
      <c r="N445" s="34"/>
      <c r="O445" s="34"/>
      <c r="P445" s="34"/>
      <c r="Q445" s="34"/>
      <c r="R445" s="34"/>
      <c r="S445" s="34"/>
      <c r="T445" s="34"/>
      <c r="U445" s="34"/>
      <c r="V445" s="34"/>
    </row>
    <row r="446" spans="2:22" x14ac:dyDescent="0.3">
      <c r="B446" s="33"/>
      <c r="C446" s="34"/>
      <c r="D446" s="34"/>
      <c r="E446" s="34"/>
      <c r="F446" s="34"/>
      <c r="G446" s="34"/>
      <c r="H446" s="34"/>
      <c r="I446" s="34"/>
      <c r="J446" s="34"/>
      <c r="K446" s="35"/>
      <c r="L446" s="34"/>
      <c r="M446" s="32"/>
      <c r="N446" s="34"/>
      <c r="O446" s="34"/>
      <c r="P446" s="34"/>
      <c r="Q446" s="34"/>
      <c r="R446" s="34"/>
      <c r="S446" s="34"/>
      <c r="T446" s="34"/>
      <c r="U446" s="34"/>
      <c r="V446" s="34"/>
    </row>
    <row r="447" spans="2:22" x14ac:dyDescent="0.3">
      <c r="B447" s="33"/>
      <c r="C447" s="34"/>
      <c r="D447" s="34"/>
      <c r="E447" s="34"/>
      <c r="F447" s="34"/>
      <c r="G447" s="34"/>
      <c r="H447" s="34"/>
      <c r="I447" s="34"/>
      <c r="J447" s="34"/>
      <c r="K447" s="35"/>
      <c r="L447" s="34"/>
      <c r="M447" s="32"/>
      <c r="N447" s="34"/>
      <c r="O447" s="34"/>
      <c r="P447" s="34"/>
      <c r="Q447" s="34"/>
      <c r="R447" s="34"/>
      <c r="S447" s="34"/>
      <c r="T447" s="34"/>
      <c r="U447" s="34"/>
      <c r="V447" s="34"/>
    </row>
    <row r="448" spans="2:22" x14ac:dyDescent="0.3">
      <c r="B448" s="33"/>
      <c r="C448" s="34"/>
      <c r="D448" s="34"/>
      <c r="E448" s="34"/>
      <c r="F448" s="34"/>
      <c r="G448" s="34"/>
      <c r="H448" s="34"/>
      <c r="I448" s="34"/>
      <c r="J448" s="34"/>
      <c r="K448" s="35"/>
      <c r="L448" s="34"/>
      <c r="M448" s="32"/>
      <c r="N448" s="34"/>
      <c r="O448" s="34"/>
      <c r="P448" s="34"/>
      <c r="Q448" s="34"/>
      <c r="R448" s="34"/>
      <c r="S448" s="34"/>
      <c r="T448" s="34"/>
      <c r="U448" s="34"/>
      <c r="V448" s="34"/>
    </row>
    <row r="449" spans="2:22" x14ac:dyDescent="0.3">
      <c r="B449" s="33"/>
      <c r="C449" s="34"/>
      <c r="D449" s="34"/>
      <c r="E449" s="34"/>
      <c r="F449" s="34"/>
      <c r="G449" s="34"/>
      <c r="H449" s="34"/>
      <c r="I449" s="34"/>
      <c r="J449" s="34"/>
      <c r="K449" s="35"/>
      <c r="L449" s="34"/>
      <c r="M449" s="32"/>
      <c r="N449" s="34"/>
      <c r="O449" s="34"/>
      <c r="P449" s="34"/>
      <c r="Q449" s="34"/>
      <c r="R449" s="34"/>
      <c r="S449" s="34"/>
      <c r="T449" s="34"/>
      <c r="U449" s="34"/>
      <c r="V449" s="34"/>
    </row>
    <row r="450" spans="2:22" x14ac:dyDescent="0.3">
      <c r="B450" s="33"/>
      <c r="C450" s="34"/>
      <c r="D450" s="34"/>
      <c r="E450" s="34"/>
      <c r="F450" s="34"/>
      <c r="G450" s="34"/>
      <c r="H450" s="34"/>
      <c r="I450" s="34"/>
      <c r="J450" s="34"/>
      <c r="K450" s="35"/>
      <c r="L450" s="34"/>
      <c r="M450" s="32"/>
      <c r="N450" s="34"/>
      <c r="O450" s="34"/>
      <c r="P450" s="34"/>
      <c r="Q450" s="34"/>
      <c r="R450" s="34"/>
      <c r="S450" s="34"/>
      <c r="T450" s="34"/>
      <c r="U450" s="34"/>
      <c r="V450" s="34"/>
    </row>
    <row r="451" spans="2:22" x14ac:dyDescent="0.3">
      <c r="B451" s="33"/>
      <c r="C451" s="34"/>
      <c r="D451" s="34"/>
      <c r="E451" s="34"/>
      <c r="F451" s="34"/>
      <c r="G451" s="34"/>
      <c r="H451" s="34"/>
      <c r="I451" s="34"/>
      <c r="J451" s="34"/>
      <c r="K451" s="35"/>
      <c r="L451" s="34"/>
      <c r="M451" s="32"/>
      <c r="N451" s="34"/>
      <c r="O451" s="34"/>
      <c r="P451" s="34"/>
      <c r="Q451" s="34"/>
      <c r="R451" s="34"/>
      <c r="S451" s="34"/>
      <c r="T451" s="34"/>
      <c r="U451" s="34"/>
      <c r="V451" s="34"/>
    </row>
    <row r="452" spans="2:22" x14ac:dyDescent="0.3">
      <c r="B452" s="33"/>
      <c r="C452" s="34"/>
      <c r="D452" s="34"/>
      <c r="E452" s="34"/>
      <c r="F452" s="34"/>
      <c r="G452" s="34"/>
      <c r="H452" s="34"/>
      <c r="I452" s="34"/>
      <c r="J452" s="34"/>
      <c r="K452" s="35"/>
      <c r="L452" s="34"/>
      <c r="M452" s="32"/>
      <c r="N452" s="34"/>
      <c r="O452" s="34"/>
      <c r="P452" s="34"/>
      <c r="Q452" s="34"/>
      <c r="R452" s="34"/>
      <c r="S452" s="34"/>
      <c r="T452" s="34"/>
      <c r="U452" s="34"/>
      <c r="V452" s="34"/>
    </row>
    <row r="453" spans="2:22" x14ac:dyDescent="0.3">
      <c r="B453" s="33"/>
      <c r="C453" s="34"/>
      <c r="D453" s="34"/>
      <c r="E453" s="34"/>
      <c r="F453" s="34"/>
      <c r="G453" s="34"/>
      <c r="H453" s="34"/>
      <c r="I453" s="34"/>
      <c r="J453" s="34"/>
      <c r="K453" s="35"/>
      <c r="L453" s="34"/>
      <c r="M453" s="32"/>
      <c r="N453" s="34"/>
      <c r="O453" s="34"/>
      <c r="P453" s="34"/>
      <c r="Q453" s="34"/>
      <c r="R453" s="34"/>
      <c r="S453" s="34"/>
      <c r="T453" s="34"/>
      <c r="U453" s="34"/>
      <c r="V453" s="34"/>
    </row>
    <row r="454" spans="2:22" x14ac:dyDescent="0.3">
      <c r="B454" s="33"/>
      <c r="C454" s="34"/>
      <c r="D454" s="34"/>
      <c r="E454" s="34"/>
      <c r="F454" s="34"/>
      <c r="G454" s="34"/>
      <c r="H454" s="34"/>
      <c r="I454" s="34"/>
      <c r="J454" s="34"/>
      <c r="K454" s="35"/>
      <c r="L454" s="34"/>
      <c r="M454" s="32"/>
      <c r="N454" s="34"/>
      <c r="O454" s="34"/>
      <c r="P454" s="34"/>
      <c r="Q454" s="34"/>
      <c r="R454" s="34"/>
      <c r="S454" s="34"/>
      <c r="T454" s="34"/>
      <c r="U454" s="34"/>
      <c r="V454" s="34"/>
    </row>
    <row r="455" spans="2:22" x14ac:dyDescent="0.3">
      <c r="B455" s="33"/>
      <c r="C455" s="34"/>
      <c r="D455" s="34"/>
      <c r="E455" s="34"/>
      <c r="F455" s="34"/>
      <c r="G455" s="34"/>
      <c r="H455" s="34"/>
      <c r="I455" s="34"/>
      <c r="J455" s="34"/>
      <c r="K455" s="35"/>
      <c r="L455" s="34"/>
      <c r="M455" s="32"/>
      <c r="N455" s="34"/>
      <c r="O455" s="34"/>
      <c r="P455" s="34"/>
      <c r="Q455" s="34"/>
      <c r="R455" s="34"/>
      <c r="S455" s="34"/>
      <c r="T455" s="34"/>
      <c r="U455" s="34"/>
      <c r="V455" s="34"/>
    </row>
    <row r="456" spans="2:22" x14ac:dyDescent="0.3">
      <c r="B456" s="33"/>
      <c r="C456" s="34"/>
      <c r="D456" s="34"/>
      <c r="E456" s="34"/>
      <c r="F456" s="34"/>
      <c r="G456" s="34"/>
      <c r="H456" s="34"/>
      <c r="I456" s="34"/>
      <c r="J456" s="34"/>
      <c r="K456" s="35"/>
      <c r="L456" s="34"/>
      <c r="M456" s="32"/>
      <c r="N456" s="34"/>
      <c r="O456" s="34"/>
      <c r="P456" s="34"/>
      <c r="Q456" s="34"/>
      <c r="R456" s="34"/>
      <c r="S456" s="34"/>
      <c r="T456" s="34"/>
      <c r="U456" s="34"/>
      <c r="V456" s="34"/>
    </row>
    <row r="457" spans="2:22" x14ac:dyDescent="0.3">
      <c r="B457" s="33"/>
      <c r="C457" s="34"/>
      <c r="D457" s="34"/>
      <c r="E457" s="34"/>
      <c r="F457" s="34"/>
      <c r="G457" s="34"/>
      <c r="H457" s="34"/>
      <c r="I457" s="34"/>
      <c r="J457" s="34"/>
      <c r="K457" s="35"/>
      <c r="L457" s="34"/>
      <c r="M457" s="32"/>
      <c r="N457" s="34"/>
      <c r="O457" s="34"/>
      <c r="P457" s="34"/>
      <c r="Q457" s="34"/>
      <c r="R457" s="34"/>
      <c r="S457" s="34"/>
      <c r="T457" s="34"/>
      <c r="U457" s="34"/>
      <c r="V457" s="34"/>
    </row>
    <row r="458" spans="2:22" x14ac:dyDescent="0.3">
      <c r="B458" s="33"/>
      <c r="C458" s="34"/>
      <c r="D458" s="34"/>
      <c r="E458" s="34"/>
      <c r="F458" s="34"/>
      <c r="G458" s="34"/>
      <c r="H458" s="34"/>
      <c r="I458" s="34"/>
      <c r="J458" s="34"/>
      <c r="K458" s="35"/>
      <c r="L458" s="34"/>
      <c r="M458" s="32"/>
      <c r="N458" s="34"/>
      <c r="O458" s="34"/>
      <c r="P458" s="34"/>
      <c r="Q458" s="34"/>
      <c r="R458" s="34"/>
      <c r="S458" s="34"/>
      <c r="T458" s="34"/>
      <c r="U458" s="34"/>
      <c r="V458" s="34"/>
    </row>
    <row r="459" spans="2:22" x14ac:dyDescent="0.3">
      <c r="B459" s="33"/>
      <c r="C459" s="34"/>
      <c r="D459" s="34"/>
      <c r="E459" s="34"/>
      <c r="F459" s="34"/>
      <c r="G459" s="34"/>
      <c r="H459" s="34"/>
      <c r="I459" s="34"/>
      <c r="J459" s="34"/>
      <c r="K459" s="35"/>
      <c r="L459" s="34"/>
      <c r="M459" s="32"/>
      <c r="N459" s="34"/>
      <c r="O459" s="34"/>
      <c r="P459" s="34"/>
      <c r="Q459" s="34"/>
      <c r="R459" s="34"/>
      <c r="S459" s="34"/>
      <c r="T459" s="34"/>
      <c r="U459" s="34"/>
      <c r="V459" s="34"/>
    </row>
    <row r="460" spans="2:22" x14ac:dyDescent="0.3">
      <c r="B460" s="33"/>
      <c r="C460" s="34"/>
      <c r="D460" s="34"/>
      <c r="E460" s="34"/>
      <c r="F460" s="34"/>
      <c r="G460" s="34"/>
      <c r="H460" s="34"/>
      <c r="I460" s="34"/>
      <c r="J460" s="34"/>
      <c r="K460" s="35"/>
      <c r="L460" s="34"/>
      <c r="M460" s="32"/>
      <c r="N460" s="34"/>
      <c r="O460" s="34"/>
      <c r="P460" s="34"/>
      <c r="Q460" s="34"/>
      <c r="R460" s="34"/>
      <c r="S460" s="34"/>
      <c r="T460" s="34"/>
      <c r="U460" s="34"/>
      <c r="V460" s="34"/>
    </row>
    <row r="461" spans="2:22" x14ac:dyDescent="0.3">
      <c r="B461" s="33"/>
      <c r="C461" s="34"/>
      <c r="D461" s="34"/>
      <c r="E461" s="34"/>
      <c r="F461" s="34"/>
      <c r="G461" s="34"/>
      <c r="H461" s="34"/>
      <c r="I461" s="34"/>
      <c r="J461" s="34"/>
      <c r="K461" s="35"/>
      <c r="L461" s="34"/>
      <c r="M461" s="32"/>
      <c r="N461" s="34"/>
      <c r="O461" s="34"/>
      <c r="P461" s="34"/>
      <c r="Q461" s="34"/>
      <c r="R461" s="34"/>
      <c r="S461" s="34"/>
      <c r="T461" s="34"/>
      <c r="U461" s="34"/>
      <c r="V461" s="34"/>
    </row>
    <row r="462" spans="2:22" x14ac:dyDescent="0.3">
      <c r="B462" s="33"/>
      <c r="C462" s="34"/>
      <c r="D462" s="34"/>
      <c r="E462" s="34"/>
      <c r="F462" s="34"/>
      <c r="G462" s="34"/>
      <c r="H462" s="34"/>
      <c r="I462" s="34"/>
      <c r="J462" s="34"/>
      <c r="K462" s="35"/>
      <c r="L462" s="34"/>
      <c r="M462" s="32"/>
      <c r="N462" s="34"/>
      <c r="O462" s="34"/>
      <c r="P462" s="34"/>
      <c r="Q462" s="34"/>
      <c r="R462" s="34"/>
      <c r="S462" s="34"/>
      <c r="T462" s="34"/>
      <c r="U462" s="34"/>
      <c r="V462" s="34"/>
    </row>
    <row r="463" spans="2:22" x14ac:dyDescent="0.3">
      <c r="B463" s="33"/>
      <c r="C463" s="34"/>
      <c r="D463" s="34"/>
      <c r="E463" s="34"/>
      <c r="F463" s="34"/>
      <c r="G463" s="34"/>
      <c r="H463" s="34"/>
      <c r="I463" s="34"/>
      <c r="J463" s="34"/>
      <c r="K463" s="35"/>
      <c r="L463" s="34"/>
      <c r="M463" s="32"/>
      <c r="N463" s="34"/>
      <c r="O463" s="34"/>
      <c r="P463" s="34"/>
      <c r="Q463" s="34"/>
      <c r="R463" s="34"/>
      <c r="S463" s="34"/>
      <c r="T463" s="34"/>
      <c r="U463" s="34"/>
      <c r="V463" s="34"/>
    </row>
    <row r="464" spans="2:22" x14ac:dyDescent="0.3">
      <c r="B464" s="33"/>
      <c r="C464" s="34"/>
      <c r="D464" s="34"/>
      <c r="E464" s="34"/>
      <c r="F464" s="34"/>
      <c r="G464" s="34"/>
      <c r="H464" s="34"/>
      <c r="I464" s="34"/>
      <c r="J464" s="34"/>
      <c r="K464" s="35"/>
      <c r="L464" s="34"/>
      <c r="M464" s="32"/>
      <c r="N464" s="34"/>
      <c r="O464" s="34"/>
      <c r="P464" s="34"/>
      <c r="Q464" s="34"/>
      <c r="R464" s="34"/>
      <c r="S464" s="34"/>
      <c r="T464" s="34"/>
      <c r="U464" s="34"/>
      <c r="V464" s="34"/>
    </row>
    <row r="465" spans="2:22" x14ac:dyDescent="0.3">
      <c r="B465" s="33"/>
      <c r="C465" s="34"/>
      <c r="D465" s="34"/>
      <c r="E465" s="34"/>
      <c r="F465" s="34"/>
      <c r="G465" s="34"/>
      <c r="H465" s="34"/>
      <c r="I465" s="34"/>
      <c r="J465" s="34"/>
      <c r="K465" s="35"/>
      <c r="L465" s="34"/>
      <c r="M465" s="32"/>
      <c r="N465" s="34"/>
      <c r="O465" s="34"/>
      <c r="P465" s="34"/>
      <c r="Q465" s="34"/>
      <c r="R465" s="34"/>
      <c r="S465" s="34"/>
      <c r="T465" s="34"/>
      <c r="U465" s="34"/>
      <c r="V465" s="34"/>
    </row>
    <row r="466" spans="2:22" x14ac:dyDescent="0.3">
      <c r="B466" s="33"/>
      <c r="C466" s="34"/>
      <c r="D466" s="34"/>
      <c r="E466" s="34"/>
      <c r="F466" s="34"/>
      <c r="G466" s="34"/>
      <c r="H466" s="34"/>
      <c r="I466" s="34"/>
      <c r="J466" s="34"/>
      <c r="K466" s="35"/>
      <c r="L466" s="34"/>
      <c r="M466" s="32"/>
      <c r="N466" s="34"/>
      <c r="O466" s="34"/>
      <c r="P466" s="34"/>
      <c r="Q466" s="34"/>
      <c r="R466" s="34"/>
      <c r="S466" s="34"/>
      <c r="T466" s="34"/>
      <c r="U466" s="34"/>
      <c r="V466" s="34"/>
    </row>
    <row r="467" spans="2:22" x14ac:dyDescent="0.3">
      <c r="B467" s="33"/>
      <c r="C467" s="34"/>
      <c r="D467" s="34"/>
      <c r="E467" s="34"/>
      <c r="F467" s="34"/>
      <c r="G467" s="34"/>
      <c r="H467" s="34"/>
      <c r="I467" s="34"/>
      <c r="J467" s="34"/>
      <c r="K467" s="35"/>
      <c r="L467" s="34"/>
      <c r="M467" s="32"/>
      <c r="N467" s="34"/>
      <c r="O467" s="34"/>
      <c r="P467" s="34"/>
      <c r="Q467" s="34"/>
      <c r="R467" s="34"/>
      <c r="S467" s="34"/>
      <c r="T467" s="34"/>
      <c r="U467" s="34"/>
      <c r="V467" s="34"/>
    </row>
    <row r="468" spans="2:22" x14ac:dyDescent="0.3">
      <c r="B468" s="33"/>
      <c r="C468" s="34"/>
      <c r="D468" s="34"/>
      <c r="E468" s="34"/>
      <c r="F468" s="34"/>
      <c r="G468" s="34"/>
      <c r="H468" s="34"/>
      <c r="I468" s="34"/>
      <c r="J468" s="34"/>
      <c r="K468" s="35"/>
      <c r="L468" s="34"/>
      <c r="M468" s="32"/>
      <c r="N468" s="34"/>
      <c r="O468" s="34"/>
      <c r="P468" s="34"/>
      <c r="Q468" s="34"/>
      <c r="R468" s="34"/>
      <c r="S468" s="34"/>
      <c r="T468" s="34"/>
      <c r="U468" s="34"/>
      <c r="V468" s="34"/>
    </row>
    <row r="469" spans="2:22" x14ac:dyDescent="0.3">
      <c r="B469" s="33"/>
      <c r="C469" s="34"/>
      <c r="D469" s="34"/>
      <c r="E469" s="34"/>
      <c r="F469" s="34"/>
      <c r="G469" s="34"/>
      <c r="H469" s="34"/>
      <c r="I469" s="34"/>
      <c r="J469" s="34"/>
      <c r="K469" s="35"/>
      <c r="L469" s="34"/>
      <c r="M469" s="32"/>
      <c r="N469" s="34"/>
      <c r="O469" s="34"/>
      <c r="P469" s="34"/>
      <c r="Q469" s="34"/>
      <c r="R469" s="34"/>
      <c r="S469" s="34"/>
      <c r="T469" s="34"/>
      <c r="U469" s="34"/>
      <c r="V469" s="34"/>
    </row>
    <row r="470" spans="2:22" x14ac:dyDescent="0.3">
      <c r="B470" s="33"/>
      <c r="C470" s="34"/>
      <c r="D470" s="34"/>
      <c r="E470" s="34"/>
      <c r="F470" s="34"/>
      <c r="G470" s="34"/>
      <c r="H470" s="34"/>
      <c r="I470" s="34"/>
      <c r="J470" s="34"/>
      <c r="K470" s="35"/>
      <c r="L470" s="34"/>
      <c r="M470" s="32"/>
      <c r="N470" s="34"/>
      <c r="O470" s="34"/>
      <c r="P470" s="34"/>
      <c r="Q470" s="34"/>
      <c r="R470" s="34"/>
      <c r="S470" s="34"/>
      <c r="T470" s="34"/>
      <c r="U470" s="34"/>
      <c r="V470" s="34"/>
    </row>
    <row r="471" spans="2:22" x14ac:dyDescent="0.3">
      <c r="B471" s="33"/>
      <c r="C471" s="34"/>
      <c r="D471" s="34"/>
      <c r="E471" s="34"/>
      <c r="F471" s="34"/>
      <c r="G471" s="34"/>
      <c r="H471" s="34"/>
      <c r="I471" s="34"/>
      <c r="J471" s="34"/>
      <c r="K471" s="35"/>
      <c r="L471" s="34"/>
      <c r="M471" s="32"/>
      <c r="N471" s="34"/>
      <c r="O471" s="34"/>
      <c r="P471" s="34"/>
      <c r="Q471" s="34"/>
      <c r="R471" s="34"/>
      <c r="S471" s="34"/>
      <c r="T471" s="34"/>
      <c r="U471" s="34"/>
      <c r="V471" s="34"/>
    </row>
    <row r="472" spans="2:22" x14ac:dyDescent="0.3">
      <c r="B472" s="33"/>
      <c r="C472" s="34"/>
      <c r="D472" s="34"/>
      <c r="E472" s="34"/>
      <c r="F472" s="34"/>
      <c r="G472" s="34"/>
      <c r="H472" s="34"/>
      <c r="I472" s="34"/>
      <c r="J472" s="34"/>
      <c r="K472" s="35"/>
      <c r="L472" s="34"/>
      <c r="M472" s="32"/>
      <c r="N472" s="34"/>
      <c r="O472" s="34"/>
      <c r="P472" s="34"/>
      <c r="Q472" s="34"/>
      <c r="R472" s="34"/>
      <c r="S472" s="34"/>
      <c r="T472" s="34"/>
      <c r="U472" s="34"/>
      <c r="V472" s="34"/>
    </row>
    <row r="473" spans="2:22" x14ac:dyDescent="0.3">
      <c r="B473" s="33"/>
      <c r="C473" s="34"/>
      <c r="D473" s="34"/>
      <c r="E473" s="34"/>
      <c r="F473" s="34"/>
      <c r="G473" s="34"/>
      <c r="H473" s="34"/>
      <c r="I473" s="34"/>
      <c r="J473" s="34"/>
      <c r="K473" s="35"/>
      <c r="L473" s="34"/>
      <c r="M473" s="32"/>
      <c r="N473" s="34"/>
      <c r="O473" s="34"/>
      <c r="P473" s="34"/>
      <c r="Q473" s="34"/>
      <c r="R473" s="34"/>
      <c r="S473" s="34"/>
      <c r="T473" s="34"/>
      <c r="U473" s="34"/>
      <c r="V473" s="34"/>
    </row>
    <row r="474" spans="2:22" x14ac:dyDescent="0.3">
      <c r="B474" s="33"/>
      <c r="C474" s="34"/>
      <c r="D474" s="34"/>
      <c r="E474" s="34"/>
      <c r="F474" s="34"/>
      <c r="G474" s="34"/>
      <c r="H474" s="34"/>
      <c r="I474" s="34"/>
      <c r="J474" s="34"/>
      <c r="K474" s="35"/>
      <c r="L474" s="34"/>
      <c r="M474" s="32"/>
      <c r="N474" s="34"/>
      <c r="O474" s="34"/>
      <c r="P474" s="34"/>
      <c r="Q474" s="34"/>
      <c r="R474" s="34"/>
      <c r="S474" s="34"/>
      <c r="T474" s="34"/>
      <c r="U474" s="34"/>
      <c r="V474" s="34"/>
    </row>
    <row r="475" spans="2:22" x14ac:dyDescent="0.3">
      <c r="B475" s="33"/>
      <c r="C475" s="34"/>
      <c r="D475" s="34"/>
      <c r="E475" s="34"/>
      <c r="F475" s="34"/>
      <c r="G475" s="34"/>
      <c r="H475" s="34"/>
      <c r="I475" s="34"/>
      <c r="J475" s="34"/>
      <c r="K475" s="35"/>
      <c r="L475" s="34"/>
      <c r="M475" s="32"/>
      <c r="N475" s="34"/>
      <c r="O475" s="34"/>
      <c r="P475" s="34"/>
      <c r="Q475" s="34"/>
      <c r="R475" s="34"/>
      <c r="S475" s="34"/>
      <c r="T475" s="34"/>
      <c r="U475" s="34"/>
      <c r="V475" s="34"/>
    </row>
    <row r="476" spans="2:22" x14ac:dyDescent="0.3">
      <c r="B476" s="33"/>
      <c r="C476" s="34"/>
      <c r="D476" s="34"/>
      <c r="E476" s="34"/>
      <c r="F476" s="34"/>
      <c r="G476" s="34"/>
      <c r="H476" s="34"/>
      <c r="I476" s="34"/>
      <c r="J476" s="34"/>
      <c r="K476" s="35"/>
      <c r="L476" s="34"/>
      <c r="M476" s="32"/>
      <c r="N476" s="34"/>
      <c r="O476" s="34"/>
      <c r="P476" s="34"/>
      <c r="Q476" s="34"/>
      <c r="R476" s="34"/>
      <c r="S476" s="34"/>
      <c r="T476" s="34"/>
      <c r="U476" s="34"/>
      <c r="V476" s="34"/>
    </row>
    <row r="477" spans="2:22" x14ac:dyDescent="0.3">
      <c r="B477" s="33"/>
      <c r="C477" s="34"/>
      <c r="D477" s="34"/>
      <c r="E477" s="34"/>
      <c r="F477" s="34"/>
      <c r="G477" s="34"/>
      <c r="H477" s="34"/>
      <c r="I477" s="34"/>
      <c r="J477" s="34"/>
      <c r="K477" s="35"/>
      <c r="L477" s="34"/>
      <c r="M477" s="32"/>
      <c r="N477" s="34"/>
      <c r="O477" s="34"/>
      <c r="P477" s="34"/>
      <c r="Q477" s="34"/>
      <c r="R477" s="34"/>
      <c r="S477" s="34"/>
      <c r="T477" s="34"/>
      <c r="U477" s="34"/>
      <c r="V477" s="34"/>
    </row>
    <row r="478" spans="2:22" x14ac:dyDescent="0.3">
      <c r="B478" s="33"/>
      <c r="C478" s="34"/>
      <c r="D478" s="34"/>
      <c r="E478" s="34"/>
      <c r="F478" s="34"/>
      <c r="G478" s="34"/>
      <c r="H478" s="34"/>
      <c r="I478" s="34"/>
      <c r="J478" s="34"/>
      <c r="K478" s="35"/>
      <c r="L478" s="34"/>
      <c r="M478" s="32"/>
      <c r="N478" s="34"/>
      <c r="O478" s="34"/>
      <c r="P478" s="34"/>
      <c r="Q478" s="34"/>
      <c r="R478" s="34"/>
      <c r="S478" s="34"/>
      <c r="T478" s="34"/>
      <c r="U478" s="34"/>
      <c r="V478" s="34"/>
    </row>
    <row r="479" spans="2:22" x14ac:dyDescent="0.3">
      <c r="B479" s="33"/>
      <c r="C479" s="34"/>
      <c r="D479" s="34"/>
      <c r="E479" s="34"/>
      <c r="F479" s="34"/>
      <c r="G479" s="34"/>
      <c r="H479" s="34"/>
      <c r="I479" s="34"/>
      <c r="J479" s="34"/>
      <c r="K479" s="35"/>
      <c r="L479" s="34"/>
      <c r="M479" s="32"/>
      <c r="N479" s="34"/>
      <c r="O479" s="34"/>
      <c r="P479" s="34"/>
      <c r="Q479" s="34"/>
      <c r="R479" s="34"/>
      <c r="S479" s="34"/>
      <c r="T479" s="34"/>
      <c r="U479" s="34"/>
      <c r="V479" s="34"/>
    </row>
    <row r="480" spans="2:22" x14ac:dyDescent="0.3">
      <c r="B480" s="33"/>
      <c r="C480" s="34"/>
      <c r="D480" s="34"/>
      <c r="E480" s="34"/>
      <c r="F480" s="34"/>
      <c r="G480" s="34"/>
      <c r="H480" s="34"/>
      <c r="I480" s="34"/>
      <c r="J480" s="34"/>
      <c r="K480" s="35"/>
      <c r="L480" s="34"/>
      <c r="M480" s="32"/>
      <c r="N480" s="34"/>
      <c r="O480" s="34"/>
      <c r="P480" s="34"/>
      <c r="Q480" s="34"/>
      <c r="R480" s="34"/>
      <c r="S480" s="34"/>
      <c r="T480" s="34"/>
      <c r="U480" s="34"/>
      <c r="V480" s="34"/>
    </row>
    <row r="481" spans="2:22" x14ac:dyDescent="0.3">
      <c r="B481" s="33"/>
      <c r="C481" s="34"/>
      <c r="D481" s="34"/>
      <c r="E481" s="34"/>
      <c r="F481" s="34"/>
      <c r="G481" s="34"/>
      <c r="H481" s="34"/>
      <c r="I481" s="34"/>
      <c r="J481" s="34"/>
      <c r="K481" s="35"/>
      <c r="L481" s="34"/>
      <c r="M481" s="32"/>
      <c r="N481" s="34"/>
      <c r="O481" s="34"/>
      <c r="P481" s="34"/>
      <c r="Q481" s="34"/>
      <c r="R481" s="34"/>
      <c r="S481" s="34"/>
      <c r="T481" s="34"/>
      <c r="U481" s="34"/>
      <c r="V481" s="34"/>
    </row>
    <row r="482" spans="2:22" x14ac:dyDescent="0.3">
      <c r="B482" s="33"/>
      <c r="C482" s="34"/>
      <c r="D482" s="34"/>
      <c r="E482" s="34"/>
      <c r="F482" s="34"/>
      <c r="G482" s="34"/>
      <c r="H482" s="34"/>
      <c r="I482" s="34"/>
      <c r="J482" s="34"/>
      <c r="K482" s="35"/>
      <c r="L482" s="34"/>
      <c r="M482" s="32"/>
      <c r="N482" s="34"/>
      <c r="O482" s="34"/>
      <c r="P482" s="34"/>
      <c r="Q482" s="34"/>
      <c r="R482" s="34"/>
      <c r="S482" s="34"/>
      <c r="T482" s="34"/>
      <c r="U482" s="34"/>
      <c r="V482" s="34"/>
    </row>
    <row r="483" spans="2:22" x14ac:dyDescent="0.3">
      <c r="B483" s="33"/>
      <c r="C483" s="34"/>
      <c r="D483" s="34"/>
      <c r="E483" s="34"/>
      <c r="F483" s="34"/>
      <c r="G483" s="34"/>
      <c r="H483" s="34"/>
      <c r="I483" s="34"/>
      <c r="J483" s="34"/>
      <c r="K483" s="35"/>
      <c r="L483" s="34"/>
      <c r="M483" s="32"/>
      <c r="N483" s="34"/>
      <c r="O483" s="34"/>
      <c r="P483" s="34"/>
      <c r="Q483" s="34"/>
      <c r="R483" s="34"/>
      <c r="S483" s="34"/>
      <c r="T483" s="34"/>
      <c r="U483" s="34"/>
      <c r="V483" s="34"/>
    </row>
    <row r="484" spans="2:22" x14ac:dyDescent="0.3">
      <c r="B484" s="33"/>
      <c r="C484" s="34"/>
      <c r="D484" s="34"/>
      <c r="E484" s="34"/>
      <c r="F484" s="34"/>
      <c r="G484" s="34"/>
      <c r="H484" s="34"/>
      <c r="I484" s="34"/>
      <c r="J484" s="34"/>
      <c r="K484" s="35"/>
      <c r="L484" s="34"/>
      <c r="M484" s="32"/>
      <c r="N484" s="34"/>
      <c r="O484" s="34"/>
      <c r="P484" s="34"/>
      <c r="Q484" s="34"/>
      <c r="R484" s="34"/>
      <c r="S484" s="34"/>
      <c r="T484" s="34"/>
      <c r="U484" s="34"/>
      <c r="V484" s="34"/>
    </row>
    <row r="485" spans="2:22" x14ac:dyDescent="0.3">
      <c r="B485" s="33"/>
      <c r="C485" s="34"/>
      <c r="D485" s="34"/>
      <c r="E485" s="34"/>
      <c r="F485" s="34"/>
      <c r="G485" s="34"/>
      <c r="H485" s="34"/>
      <c r="I485" s="34"/>
      <c r="J485" s="34"/>
      <c r="K485" s="35"/>
      <c r="L485" s="34"/>
      <c r="M485" s="32"/>
      <c r="N485" s="34"/>
      <c r="O485" s="34"/>
      <c r="P485" s="34"/>
      <c r="Q485" s="34"/>
      <c r="R485" s="34"/>
      <c r="S485" s="34"/>
      <c r="T485" s="34"/>
      <c r="U485" s="34"/>
      <c r="V485" s="34"/>
    </row>
    <row r="486" spans="2:22" x14ac:dyDescent="0.3">
      <c r="B486" s="33"/>
      <c r="C486" s="34"/>
      <c r="D486" s="34"/>
      <c r="E486" s="34"/>
      <c r="F486" s="34"/>
      <c r="G486" s="34"/>
      <c r="H486" s="34"/>
      <c r="I486" s="34"/>
      <c r="J486" s="34"/>
      <c r="K486" s="35"/>
      <c r="L486" s="34"/>
      <c r="M486" s="32"/>
      <c r="N486" s="34"/>
      <c r="O486" s="34"/>
      <c r="P486" s="34"/>
      <c r="Q486" s="34"/>
      <c r="R486" s="34"/>
      <c r="S486" s="34"/>
      <c r="T486" s="34"/>
      <c r="U486" s="34"/>
      <c r="V486" s="34"/>
    </row>
    <row r="487" spans="2:22" x14ac:dyDescent="0.3">
      <c r="B487" s="33"/>
      <c r="C487" s="34"/>
      <c r="D487" s="34"/>
      <c r="E487" s="34"/>
      <c r="F487" s="34"/>
      <c r="G487" s="34"/>
      <c r="H487" s="34"/>
      <c r="I487" s="34"/>
      <c r="J487" s="34"/>
      <c r="K487" s="35"/>
      <c r="L487" s="34"/>
      <c r="M487" s="32"/>
      <c r="N487" s="34"/>
      <c r="O487" s="34"/>
      <c r="P487" s="34"/>
      <c r="Q487" s="34"/>
      <c r="R487" s="34"/>
      <c r="S487" s="34"/>
      <c r="T487" s="34"/>
      <c r="U487" s="34"/>
      <c r="V487" s="34"/>
    </row>
    <row r="488" spans="2:22" x14ac:dyDescent="0.3">
      <c r="B488" s="33"/>
      <c r="C488" s="34"/>
      <c r="D488" s="34"/>
      <c r="E488" s="34"/>
      <c r="F488" s="34"/>
      <c r="G488" s="34"/>
      <c r="H488" s="34"/>
      <c r="I488" s="34"/>
      <c r="J488" s="34"/>
      <c r="K488" s="35"/>
      <c r="L488" s="34"/>
      <c r="M488" s="32"/>
      <c r="N488" s="34"/>
      <c r="O488" s="34"/>
      <c r="P488" s="34"/>
      <c r="Q488" s="34"/>
      <c r="R488" s="34"/>
      <c r="S488" s="34"/>
      <c r="T488" s="34"/>
      <c r="U488" s="34"/>
      <c r="V488" s="34"/>
    </row>
    <row r="489" spans="2:22" x14ac:dyDescent="0.3">
      <c r="B489" s="33"/>
      <c r="C489" s="34"/>
      <c r="D489" s="34"/>
      <c r="E489" s="34"/>
      <c r="F489" s="34"/>
      <c r="G489" s="34"/>
      <c r="H489" s="34"/>
      <c r="I489" s="34"/>
      <c r="J489" s="34"/>
      <c r="K489" s="35"/>
      <c r="L489" s="34"/>
      <c r="M489" s="32"/>
      <c r="N489" s="34"/>
      <c r="O489" s="34"/>
      <c r="P489" s="34"/>
      <c r="Q489" s="34"/>
      <c r="R489" s="34"/>
      <c r="S489" s="34"/>
      <c r="T489" s="34"/>
      <c r="U489" s="34"/>
      <c r="V489" s="34"/>
    </row>
    <row r="490" spans="2:22" x14ac:dyDescent="0.3">
      <c r="B490" s="33"/>
      <c r="C490" s="34"/>
      <c r="D490" s="34"/>
      <c r="E490" s="34"/>
      <c r="F490" s="34"/>
      <c r="G490" s="34"/>
      <c r="H490" s="34"/>
      <c r="I490" s="34"/>
      <c r="J490" s="34"/>
      <c r="K490" s="35"/>
      <c r="L490" s="34"/>
      <c r="M490" s="32"/>
      <c r="N490" s="34"/>
      <c r="O490" s="34"/>
      <c r="P490" s="34"/>
      <c r="Q490" s="34"/>
      <c r="R490" s="34"/>
      <c r="S490" s="34"/>
      <c r="T490" s="34"/>
      <c r="U490" s="34"/>
      <c r="V490" s="34"/>
    </row>
    <row r="491" spans="2:22" x14ac:dyDescent="0.3">
      <c r="B491" s="33"/>
      <c r="C491" s="34"/>
      <c r="D491" s="34"/>
      <c r="E491" s="34"/>
      <c r="F491" s="34"/>
      <c r="G491" s="34"/>
      <c r="H491" s="34"/>
      <c r="I491" s="34"/>
      <c r="J491" s="34"/>
      <c r="K491" s="35"/>
      <c r="L491" s="34"/>
      <c r="M491" s="32"/>
      <c r="N491" s="34"/>
      <c r="O491" s="34"/>
      <c r="P491" s="34"/>
      <c r="Q491" s="34"/>
      <c r="R491" s="34"/>
      <c r="S491" s="34"/>
      <c r="T491" s="34"/>
      <c r="U491" s="34"/>
      <c r="V491" s="34"/>
    </row>
    <row r="492" spans="2:22" x14ac:dyDescent="0.3">
      <c r="B492" s="33"/>
      <c r="C492" s="34"/>
      <c r="D492" s="34"/>
      <c r="E492" s="34"/>
      <c r="F492" s="34"/>
      <c r="G492" s="34"/>
      <c r="H492" s="34"/>
      <c r="I492" s="34"/>
      <c r="J492" s="34"/>
      <c r="K492" s="35"/>
      <c r="L492" s="34"/>
      <c r="M492" s="32"/>
      <c r="N492" s="34"/>
      <c r="O492" s="34"/>
      <c r="P492" s="34"/>
      <c r="Q492" s="34"/>
      <c r="R492" s="34"/>
      <c r="S492" s="34"/>
      <c r="T492" s="34"/>
      <c r="U492" s="34"/>
      <c r="V492" s="34"/>
    </row>
    <row r="493" spans="2:22" x14ac:dyDescent="0.3">
      <c r="B493" s="33"/>
      <c r="C493" s="34"/>
      <c r="D493" s="34"/>
      <c r="E493" s="34"/>
      <c r="F493" s="34"/>
      <c r="G493" s="34"/>
      <c r="H493" s="34"/>
      <c r="I493" s="34"/>
      <c r="J493" s="34"/>
      <c r="K493" s="35"/>
      <c r="L493" s="34"/>
      <c r="M493" s="32"/>
      <c r="N493" s="34"/>
      <c r="O493" s="34"/>
      <c r="P493" s="34"/>
      <c r="Q493" s="34"/>
      <c r="R493" s="34"/>
      <c r="S493" s="34"/>
      <c r="T493" s="34"/>
      <c r="U493" s="34"/>
      <c r="V493" s="34"/>
    </row>
    <row r="494" spans="2:22" x14ac:dyDescent="0.3">
      <c r="B494" s="33"/>
      <c r="C494" s="34"/>
      <c r="D494" s="34"/>
      <c r="E494" s="34"/>
      <c r="F494" s="34"/>
      <c r="G494" s="34"/>
      <c r="H494" s="34"/>
      <c r="I494" s="34"/>
      <c r="J494" s="34"/>
      <c r="K494" s="35"/>
      <c r="L494" s="34"/>
      <c r="M494" s="32"/>
      <c r="N494" s="34"/>
      <c r="O494" s="34"/>
      <c r="P494" s="34"/>
      <c r="Q494" s="34"/>
      <c r="R494" s="34"/>
      <c r="S494" s="34"/>
      <c r="T494" s="34"/>
      <c r="U494" s="34"/>
      <c r="V494" s="34"/>
    </row>
    <row r="495" spans="2:22" x14ac:dyDescent="0.3">
      <c r="B495" s="33"/>
      <c r="C495" s="34"/>
      <c r="D495" s="34"/>
      <c r="E495" s="34"/>
      <c r="F495" s="34"/>
      <c r="G495" s="34"/>
      <c r="H495" s="34"/>
      <c r="I495" s="34"/>
      <c r="J495" s="34"/>
      <c r="K495" s="35"/>
      <c r="L495" s="34"/>
      <c r="M495" s="32"/>
      <c r="N495" s="34"/>
      <c r="O495" s="34"/>
      <c r="P495" s="34"/>
      <c r="Q495" s="34"/>
      <c r="R495" s="34"/>
      <c r="S495" s="34"/>
      <c r="T495" s="34"/>
      <c r="U495" s="34"/>
      <c r="V495" s="34"/>
    </row>
    <row r="496" spans="2:22" x14ac:dyDescent="0.3">
      <c r="B496" s="33"/>
      <c r="C496" s="34"/>
      <c r="D496" s="34"/>
      <c r="E496" s="34"/>
      <c r="F496" s="34"/>
      <c r="G496" s="34"/>
      <c r="H496" s="34"/>
      <c r="I496" s="34"/>
      <c r="J496" s="34"/>
      <c r="K496" s="35"/>
      <c r="L496" s="34"/>
      <c r="M496" s="32"/>
      <c r="N496" s="34"/>
      <c r="O496" s="34"/>
      <c r="P496" s="34"/>
      <c r="Q496" s="34"/>
      <c r="R496" s="34"/>
      <c r="S496" s="34"/>
      <c r="T496" s="34"/>
      <c r="U496" s="34"/>
      <c r="V496" s="34"/>
    </row>
    <row r="497" spans="2:22" x14ac:dyDescent="0.3">
      <c r="B497" s="33"/>
      <c r="C497" s="34"/>
      <c r="D497" s="34"/>
      <c r="E497" s="34"/>
      <c r="F497" s="34"/>
      <c r="G497" s="34"/>
      <c r="H497" s="34"/>
      <c r="I497" s="34"/>
      <c r="J497" s="34"/>
      <c r="K497" s="35"/>
      <c r="L497" s="34"/>
      <c r="M497" s="32"/>
      <c r="N497" s="34"/>
      <c r="O497" s="34"/>
      <c r="P497" s="34"/>
      <c r="Q497" s="34"/>
      <c r="R497" s="34"/>
      <c r="S497" s="34"/>
      <c r="T497" s="34"/>
      <c r="U497" s="34"/>
      <c r="V497" s="34"/>
    </row>
    <row r="498" spans="2:22" x14ac:dyDescent="0.3">
      <c r="B498" s="33"/>
      <c r="C498" s="34"/>
      <c r="D498" s="34"/>
      <c r="E498" s="34"/>
      <c r="F498" s="34"/>
      <c r="G498" s="34"/>
      <c r="H498" s="34"/>
      <c r="I498" s="34"/>
      <c r="J498" s="34"/>
      <c r="K498" s="35"/>
      <c r="L498" s="34"/>
      <c r="M498" s="32"/>
      <c r="N498" s="34"/>
      <c r="O498" s="34"/>
      <c r="P498" s="34"/>
      <c r="Q498" s="34"/>
      <c r="R498" s="34"/>
      <c r="S498" s="34"/>
      <c r="T498" s="34"/>
      <c r="U498" s="34"/>
      <c r="V498" s="34"/>
    </row>
    <row r="499" spans="2:22" x14ac:dyDescent="0.3">
      <c r="B499" s="33"/>
      <c r="C499" s="34"/>
      <c r="D499" s="34"/>
      <c r="E499" s="34"/>
      <c r="F499" s="34"/>
      <c r="G499" s="34"/>
      <c r="H499" s="34"/>
      <c r="I499" s="34"/>
      <c r="J499" s="34"/>
      <c r="K499" s="35"/>
      <c r="L499" s="34"/>
      <c r="M499" s="32"/>
      <c r="N499" s="34"/>
      <c r="O499" s="34"/>
      <c r="P499" s="34"/>
      <c r="Q499" s="34"/>
      <c r="R499" s="34"/>
      <c r="S499" s="34"/>
      <c r="T499" s="34"/>
      <c r="U499" s="34"/>
      <c r="V499" s="34"/>
    </row>
    <row r="500" spans="2:22" x14ac:dyDescent="0.3">
      <c r="B500" s="33"/>
      <c r="C500" s="34"/>
      <c r="D500" s="34"/>
      <c r="E500" s="34"/>
      <c r="F500" s="34"/>
      <c r="G500" s="34"/>
      <c r="H500" s="34"/>
      <c r="I500" s="34"/>
      <c r="J500" s="34"/>
      <c r="K500" s="35"/>
      <c r="L500" s="34"/>
      <c r="M500" s="32"/>
      <c r="N500" s="34"/>
      <c r="O500" s="34"/>
      <c r="P500" s="34"/>
      <c r="Q500" s="34"/>
      <c r="R500" s="34"/>
      <c r="S500" s="34"/>
      <c r="T500" s="34"/>
      <c r="U500" s="34"/>
      <c r="V500" s="34"/>
    </row>
    <row r="501" spans="2:22" x14ac:dyDescent="0.3">
      <c r="B501" s="33"/>
      <c r="C501" s="34"/>
      <c r="D501" s="34"/>
      <c r="E501" s="34"/>
      <c r="F501" s="34"/>
      <c r="G501" s="34"/>
      <c r="H501" s="34"/>
      <c r="I501" s="34"/>
      <c r="J501" s="34"/>
      <c r="K501" s="35"/>
      <c r="L501" s="34"/>
      <c r="M501" s="32"/>
      <c r="N501" s="34"/>
      <c r="O501" s="34"/>
      <c r="P501" s="34"/>
      <c r="Q501" s="34"/>
      <c r="R501" s="34"/>
      <c r="S501" s="34"/>
      <c r="T501" s="34"/>
      <c r="U501" s="34"/>
      <c r="V501" s="34"/>
    </row>
    <row r="502" spans="2:22" x14ac:dyDescent="0.3">
      <c r="B502" s="33"/>
      <c r="C502" s="34"/>
      <c r="D502" s="34"/>
      <c r="E502" s="34"/>
      <c r="F502" s="34"/>
      <c r="G502" s="34"/>
      <c r="H502" s="34"/>
      <c r="I502" s="34"/>
      <c r="J502" s="34"/>
      <c r="K502" s="35"/>
      <c r="L502" s="34"/>
      <c r="M502" s="32"/>
      <c r="N502" s="34"/>
      <c r="O502" s="34"/>
      <c r="P502" s="34"/>
      <c r="Q502" s="34"/>
      <c r="R502" s="34"/>
      <c r="S502" s="34"/>
      <c r="T502" s="34"/>
      <c r="U502" s="34"/>
      <c r="V502" s="34"/>
    </row>
    <row r="503" spans="2:22" x14ac:dyDescent="0.3">
      <c r="B503" s="33"/>
      <c r="C503" s="34"/>
      <c r="D503" s="34"/>
      <c r="E503" s="34"/>
      <c r="F503" s="34"/>
      <c r="G503" s="34"/>
      <c r="H503" s="34"/>
      <c r="I503" s="34"/>
      <c r="J503" s="34"/>
      <c r="K503" s="35"/>
      <c r="L503" s="34"/>
      <c r="M503" s="32"/>
      <c r="N503" s="34"/>
      <c r="O503" s="34"/>
      <c r="P503" s="34"/>
      <c r="Q503" s="34"/>
      <c r="R503" s="34"/>
      <c r="S503" s="34"/>
      <c r="T503" s="34"/>
      <c r="U503" s="34"/>
      <c r="V503" s="34"/>
    </row>
    <row r="504" spans="2:22" x14ac:dyDescent="0.3">
      <c r="B504" s="33"/>
      <c r="C504" s="34"/>
      <c r="D504" s="34"/>
      <c r="E504" s="34"/>
      <c r="F504" s="34"/>
      <c r="G504" s="34"/>
      <c r="H504" s="34"/>
      <c r="I504" s="34"/>
      <c r="J504" s="34"/>
      <c r="K504" s="35"/>
      <c r="L504" s="34"/>
      <c r="M504" s="32"/>
      <c r="N504" s="34"/>
      <c r="O504" s="34"/>
      <c r="P504" s="34"/>
      <c r="Q504" s="34"/>
      <c r="R504" s="34"/>
      <c r="S504" s="34"/>
      <c r="T504" s="34"/>
      <c r="U504" s="34"/>
      <c r="V504" s="34"/>
    </row>
    <row r="505" spans="2:22" x14ac:dyDescent="0.3">
      <c r="B505" s="33"/>
      <c r="C505" s="34"/>
      <c r="D505" s="34"/>
      <c r="E505" s="34"/>
      <c r="F505" s="34"/>
      <c r="G505" s="34"/>
      <c r="H505" s="34"/>
      <c r="I505" s="34"/>
      <c r="J505" s="34"/>
      <c r="K505" s="35"/>
      <c r="L505" s="34"/>
      <c r="M505" s="32"/>
      <c r="N505" s="34"/>
      <c r="O505" s="34"/>
      <c r="P505" s="34"/>
      <c r="Q505" s="34"/>
      <c r="R505" s="34"/>
      <c r="S505" s="34"/>
      <c r="T505" s="34"/>
      <c r="U505" s="34"/>
      <c r="V505" s="34"/>
    </row>
    <row r="506" spans="2:22" x14ac:dyDescent="0.3">
      <c r="B506" s="33"/>
      <c r="C506" s="34"/>
      <c r="D506" s="34"/>
      <c r="E506" s="34"/>
      <c r="F506" s="34"/>
      <c r="G506" s="34"/>
      <c r="H506" s="34"/>
      <c r="I506" s="34"/>
      <c r="J506" s="34"/>
      <c r="K506" s="35"/>
      <c r="L506" s="34"/>
      <c r="M506" s="32"/>
      <c r="N506" s="34"/>
      <c r="O506" s="34"/>
      <c r="P506" s="34"/>
      <c r="Q506" s="34"/>
      <c r="R506" s="34"/>
      <c r="S506" s="34"/>
      <c r="T506" s="34"/>
      <c r="U506" s="34"/>
      <c r="V506" s="34"/>
    </row>
    <row r="507" spans="2:22" x14ac:dyDescent="0.3">
      <c r="B507" s="33"/>
      <c r="C507" s="34"/>
      <c r="D507" s="34"/>
      <c r="E507" s="34"/>
      <c r="F507" s="34"/>
      <c r="G507" s="34"/>
      <c r="H507" s="34"/>
      <c r="I507" s="34"/>
      <c r="J507" s="34"/>
      <c r="K507" s="35"/>
      <c r="L507" s="34"/>
      <c r="M507" s="34"/>
      <c r="N507" s="34"/>
      <c r="O507" s="34"/>
      <c r="P507" s="34"/>
      <c r="Q507" s="34"/>
      <c r="R507" s="34"/>
      <c r="S507" s="34"/>
      <c r="T507" s="34"/>
      <c r="U507" s="34"/>
      <c r="V507" s="34"/>
    </row>
    <row r="508" spans="2:22" x14ac:dyDescent="0.3">
      <c r="B508" s="33"/>
      <c r="C508" s="34"/>
      <c r="D508" s="34"/>
      <c r="E508" s="34"/>
      <c r="F508" s="34"/>
      <c r="G508" s="34"/>
      <c r="H508" s="34"/>
      <c r="I508" s="34"/>
      <c r="J508" s="34"/>
      <c r="K508" s="35"/>
      <c r="L508" s="34"/>
      <c r="M508" s="34"/>
      <c r="N508" s="34"/>
      <c r="O508" s="34"/>
      <c r="P508" s="34"/>
      <c r="Q508" s="34"/>
      <c r="R508" s="34"/>
      <c r="S508" s="34"/>
      <c r="T508" s="34"/>
      <c r="U508" s="34"/>
      <c r="V508" s="34"/>
    </row>
    <row r="509" spans="2:22" x14ac:dyDescent="0.3">
      <c r="B509" s="33"/>
      <c r="C509" s="34"/>
      <c r="D509" s="34"/>
      <c r="E509" s="34"/>
      <c r="F509" s="34"/>
      <c r="G509" s="34"/>
      <c r="H509" s="34"/>
      <c r="I509" s="34"/>
      <c r="J509" s="34"/>
      <c r="K509" s="35"/>
      <c r="L509" s="34"/>
      <c r="M509" s="34"/>
      <c r="N509" s="34"/>
      <c r="O509" s="34"/>
      <c r="P509" s="34"/>
      <c r="Q509" s="34"/>
      <c r="R509" s="34"/>
      <c r="S509" s="34"/>
      <c r="T509" s="34"/>
      <c r="U509" s="34"/>
      <c r="V509" s="34"/>
    </row>
    <row r="510" spans="2:22" x14ac:dyDescent="0.3">
      <c r="B510" s="33"/>
      <c r="C510" s="34"/>
      <c r="D510" s="34"/>
      <c r="E510" s="34"/>
      <c r="F510" s="34"/>
      <c r="G510" s="34"/>
      <c r="H510" s="34"/>
      <c r="I510" s="34"/>
      <c r="J510" s="34"/>
      <c r="K510" s="35"/>
      <c r="L510" s="34"/>
      <c r="M510" s="34"/>
      <c r="N510" s="34"/>
      <c r="O510" s="34"/>
      <c r="P510" s="34"/>
      <c r="Q510" s="34"/>
      <c r="R510" s="34"/>
      <c r="S510" s="34"/>
      <c r="T510" s="34"/>
      <c r="U510" s="34"/>
      <c r="V510" s="34"/>
    </row>
    <row r="511" spans="2:22" x14ac:dyDescent="0.3">
      <c r="B511" s="33"/>
      <c r="C511" s="34"/>
      <c r="D511" s="34"/>
      <c r="E511" s="34"/>
      <c r="F511" s="34"/>
      <c r="G511" s="34"/>
      <c r="H511" s="34"/>
      <c r="I511" s="34"/>
      <c r="J511" s="34"/>
      <c r="K511" s="35"/>
      <c r="L511" s="34"/>
      <c r="M511" s="34"/>
      <c r="N511" s="34"/>
      <c r="O511" s="34"/>
      <c r="P511" s="34"/>
      <c r="Q511" s="34"/>
      <c r="R511" s="34"/>
      <c r="S511" s="34"/>
      <c r="T511" s="34"/>
      <c r="U511" s="34"/>
      <c r="V511" s="34"/>
    </row>
    <row r="512" spans="2:22" x14ac:dyDescent="0.3">
      <c r="B512" s="33"/>
      <c r="C512" s="34"/>
      <c r="D512" s="34"/>
      <c r="E512" s="34"/>
      <c r="F512" s="34"/>
      <c r="G512" s="34"/>
      <c r="H512" s="34"/>
      <c r="I512" s="34"/>
      <c r="J512" s="34"/>
      <c r="K512" s="35"/>
      <c r="L512" s="34"/>
      <c r="M512" s="34"/>
      <c r="N512" s="34"/>
      <c r="O512" s="34"/>
      <c r="P512" s="34"/>
      <c r="Q512" s="34"/>
      <c r="R512" s="34"/>
      <c r="S512" s="34"/>
      <c r="T512" s="34"/>
      <c r="U512" s="34"/>
      <c r="V512" s="34"/>
    </row>
    <row r="513" spans="2:22" x14ac:dyDescent="0.3">
      <c r="B513" s="33"/>
      <c r="C513" s="34"/>
      <c r="D513" s="34"/>
      <c r="E513" s="34"/>
      <c r="F513" s="34"/>
      <c r="G513" s="34"/>
      <c r="H513" s="34"/>
      <c r="I513" s="34"/>
      <c r="J513" s="34"/>
      <c r="K513" s="35"/>
      <c r="L513" s="34"/>
      <c r="M513" s="34"/>
      <c r="N513" s="34"/>
      <c r="O513" s="34"/>
      <c r="P513" s="34"/>
      <c r="Q513" s="34"/>
      <c r="R513" s="34"/>
      <c r="S513" s="34"/>
      <c r="T513" s="34"/>
      <c r="U513" s="34"/>
      <c r="V513" s="34"/>
    </row>
    <row r="514" spans="2:22" x14ac:dyDescent="0.3">
      <c r="B514" s="33"/>
      <c r="C514" s="34"/>
      <c r="D514" s="34"/>
      <c r="E514" s="34"/>
      <c r="F514" s="34"/>
      <c r="G514" s="34"/>
      <c r="H514" s="34"/>
      <c r="I514" s="34"/>
      <c r="J514" s="34"/>
      <c r="K514" s="35"/>
      <c r="L514" s="34"/>
      <c r="M514" s="34"/>
      <c r="N514" s="34"/>
      <c r="O514" s="34"/>
      <c r="P514" s="34"/>
      <c r="Q514" s="34"/>
      <c r="R514" s="34"/>
      <c r="S514" s="34"/>
      <c r="T514" s="34"/>
      <c r="U514" s="34"/>
      <c r="V514" s="34"/>
    </row>
    <row r="515" spans="2:22" x14ac:dyDescent="0.3">
      <c r="B515" s="33"/>
      <c r="C515" s="34"/>
      <c r="D515" s="34"/>
      <c r="E515" s="34"/>
      <c r="F515" s="34"/>
      <c r="G515" s="34"/>
      <c r="H515" s="34"/>
      <c r="I515" s="34"/>
      <c r="J515" s="34"/>
      <c r="K515" s="35"/>
      <c r="L515" s="34"/>
      <c r="M515" s="34"/>
      <c r="N515" s="34"/>
      <c r="O515" s="34"/>
      <c r="P515" s="34"/>
      <c r="Q515" s="34"/>
      <c r="R515" s="34"/>
      <c r="S515" s="34"/>
      <c r="T515" s="34"/>
      <c r="U515" s="34"/>
      <c r="V515" s="34"/>
    </row>
    <row r="516" spans="2:22" x14ac:dyDescent="0.3">
      <c r="B516" s="33"/>
      <c r="C516" s="34"/>
      <c r="D516" s="34"/>
      <c r="E516" s="34"/>
      <c r="F516" s="34"/>
      <c r="G516" s="34"/>
      <c r="H516" s="34"/>
      <c r="I516" s="34"/>
      <c r="J516" s="34"/>
      <c r="K516" s="35"/>
      <c r="L516" s="34"/>
      <c r="M516" s="34"/>
      <c r="N516" s="34"/>
      <c r="O516" s="34"/>
      <c r="P516" s="34"/>
      <c r="Q516" s="34"/>
      <c r="R516" s="34"/>
      <c r="S516" s="34"/>
      <c r="T516" s="34"/>
      <c r="U516" s="34"/>
      <c r="V516" s="34"/>
    </row>
    <row r="517" spans="2:22" x14ac:dyDescent="0.3">
      <c r="B517" s="33"/>
      <c r="C517" s="34"/>
      <c r="D517" s="34"/>
      <c r="E517" s="34"/>
      <c r="F517" s="34"/>
      <c r="G517" s="34"/>
      <c r="H517" s="34"/>
      <c r="I517" s="34"/>
      <c r="J517" s="34"/>
      <c r="K517" s="35"/>
      <c r="L517" s="34"/>
      <c r="M517" s="34"/>
      <c r="N517" s="34"/>
      <c r="O517" s="34"/>
      <c r="P517" s="34"/>
      <c r="Q517" s="34"/>
      <c r="R517" s="34"/>
      <c r="S517" s="34"/>
      <c r="T517" s="34"/>
      <c r="U517" s="34"/>
      <c r="V517" s="34"/>
    </row>
    <row r="518" spans="2:22" x14ac:dyDescent="0.3">
      <c r="B518" s="33"/>
      <c r="C518" s="34"/>
      <c r="D518" s="34"/>
      <c r="E518" s="34"/>
      <c r="F518" s="34"/>
      <c r="G518" s="34"/>
      <c r="H518" s="34"/>
      <c r="I518" s="34"/>
      <c r="J518" s="34"/>
      <c r="K518" s="35"/>
      <c r="L518" s="34"/>
      <c r="M518" s="34"/>
      <c r="N518" s="34"/>
      <c r="O518" s="34"/>
      <c r="P518" s="34"/>
      <c r="Q518" s="34"/>
      <c r="R518" s="34"/>
      <c r="S518" s="34"/>
      <c r="T518" s="34"/>
      <c r="U518" s="34"/>
      <c r="V518" s="34"/>
    </row>
    <row r="519" spans="2:22" x14ac:dyDescent="0.3">
      <c r="B519" s="33"/>
      <c r="C519" s="34"/>
      <c r="D519" s="34"/>
      <c r="E519" s="34"/>
      <c r="F519" s="34"/>
      <c r="G519" s="34"/>
      <c r="H519" s="34"/>
      <c r="I519" s="34"/>
      <c r="J519" s="34"/>
      <c r="K519" s="35"/>
      <c r="L519" s="34"/>
      <c r="M519" s="34"/>
      <c r="N519" s="34"/>
      <c r="O519" s="34"/>
      <c r="P519" s="34"/>
      <c r="Q519" s="34"/>
      <c r="R519" s="34"/>
      <c r="S519" s="34"/>
      <c r="T519" s="34"/>
      <c r="U519" s="34"/>
      <c r="V519" s="34"/>
    </row>
    <row r="520" spans="2:22" x14ac:dyDescent="0.3">
      <c r="B520" s="33"/>
      <c r="C520" s="34"/>
      <c r="D520" s="34"/>
      <c r="E520" s="34"/>
      <c r="F520" s="34"/>
      <c r="G520" s="34"/>
      <c r="H520" s="34"/>
      <c r="I520" s="34"/>
      <c r="J520" s="34"/>
      <c r="K520" s="35"/>
      <c r="L520" s="34"/>
      <c r="M520" s="34"/>
      <c r="N520" s="34"/>
      <c r="O520" s="34"/>
      <c r="P520" s="34"/>
      <c r="Q520" s="34"/>
      <c r="R520" s="34"/>
      <c r="S520" s="34"/>
      <c r="T520" s="34"/>
      <c r="U520" s="34"/>
      <c r="V520" s="34"/>
    </row>
    <row r="521" spans="2:22" x14ac:dyDescent="0.3">
      <c r="B521" s="33"/>
      <c r="C521" s="34"/>
      <c r="D521" s="34"/>
      <c r="E521" s="34"/>
      <c r="F521" s="34"/>
      <c r="G521" s="34"/>
      <c r="H521" s="34"/>
      <c r="I521" s="34"/>
      <c r="J521" s="34"/>
      <c r="K521" s="35"/>
      <c r="L521" s="34"/>
      <c r="M521" s="34"/>
      <c r="N521" s="34"/>
      <c r="O521" s="34"/>
      <c r="P521" s="34"/>
      <c r="Q521" s="34"/>
      <c r="R521" s="34"/>
      <c r="S521" s="34"/>
      <c r="T521" s="34"/>
      <c r="U521" s="34"/>
      <c r="V521" s="34"/>
    </row>
    <row r="522" spans="2:22" x14ac:dyDescent="0.3">
      <c r="B522" s="33"/>
      <c r="C522" s="34"/>
      <c r="D522" s="34"/>
      <c r="E522" s="34"/>
      <c r="F522" s="34"/>
      <c r="G522" s="34"/>
      <c r="H522" s="34"/>
      <c r="I522" s="34"/>
      <c r="J522" s="34"/>
      <c r="K522" s="35"/>
      <c r="L522" s="34"/>
      <c r="M522" s="34"/>
      <c r="N522" s="34"/>
      <c r="O522" s="34"/>
      <c r="P522" s="34"/>
      <c r="Q522" s="34"/>
      <c r="R522" s="34"/>
      <c r="S522" s="34"/>
      <c r="T522" s="34"/>
      <c r="U522" s="34"/>
      <c r="V522" s="34"/>
    </row>
    <row r="523" spans="2:22" x14ac:dyDescent="0.3">
      <c r="B523" s="33"/>
      <c r="C523" s="34"/>
      <c r="D523" s="34"/>
      <c r="E523" s="34"/>
      <c r="F523" s="34"/>
      <c r="G523" s="34"/>
      <c r="H523" s="34"/>
      <c r="I523" s="34"/>
      <c r="J523" s="34"/>
      <c r="K523" s="35"/>
      <c r="L523" s="34"/>
      <c r="M523" s="34"/>
      <c r="N523" s="34"/>
      <c r="O523" s="34"/>
      <c r="P523" s="34"/>
      <c r="Q523" s="34"/>
      <c r="R523" s="34"/>
      <c r="S523" s="34"/>
      <c r="T523" s="34"/>
      <c r="U523" s="34"/>
      <c r="V523" s="34"/>
    </row>
    <row r="524" spans="2:22" x14ac:dyDescent="0.3">
      <c r="B524" s="33"/>
      <c r="C524" s="34"/>
      <c r="D524" s="34"/>
      <c r="E524" s="34"/>
      <c r="F524" s="34"/>
      <c r="G524" s="34"/>
      <c r="H524" s="34"/>
      <c r="I524" s="34"/>
      <c r="J524" s="34"/>
      <c r="K524" s="35"/>
      <c r="L524" s="34"/>
      <c r="M524" s="34"/>
      <c r="N524" s="34"/>
      <c r="O524" s="34"/>
      <c r="P524" s="34"/>
      <c r="Q524" s="34"/>
      <c r="R524" s="34"/>
      <c r="S524" s="34"/>
      <c r="T524" s="34"/>
      <c r="U524" s="34"/>
      <c r="V524" s="34"/>
    </row>
    <row r="525" spans="2:22" x14ac:dyDescent="0.3">
      <c r="B525" s="33"/>
      <c r="C525" s="34"/>
      <c r="D525" s="34"/>
      <c r="E525" s="34"/>
      <c r="F525" s="34"/>
      <c r="G525" s="34"/>
      <c r="H525" s="34"/>
      <c r="I525" s="34"/>
      <c r="J525" s="34"/>
      <c r="K525" s="35"/>
      <c r="L525" s="34"/>
      <c r="M525" s="34"/>
      <c r="N525" s="34"/>
      <c r="O525" s="34"/>
      <c r="P525" s="34"/>
      <c r="Q525" s="34"/>
      <c r="R525" s="34"/>
      <c r="S525" s="34"/>
      <c r="T525" s="34"/>
      <c r="U525" s="34"/>
      <c r="V525" s="34"/>
    </row>
    <row r="526" spans="2:22" x14ac:dyDescent="0.3">
      <c r="B526" s="33"/>
      <c r="C526" s="34"/>
      <c r="D526" s="34"/>
      <c r="E526" s="34"/>
      <c r="F526" s="34"/>
      <c r="G526" s="34"/>
      <c r="H526" s="34"/>
      <c r="I526" s="34"/>
      <c r="J526" s="34"/>
      <c r="K526" s="35"/>
      <c r="L526" s="34"/>
      <c r="M526" s="34"/>
      <c r="N526" s="34"/>
      <c r="O526" s="34"/>
      <c r="P526" s="34"/>
      <c r="Q526" s="34"/>
      <c r="R526" s="34"/>
      <c r="S526" s="34"/>
      <c r="T526" s="34"/>
      <c r="U526" s="34"/>
      <c r="V526" s="34"/>
    </row>
    <row r="527" spans="2:22" x14ac:dyDescent="0.3">
      <c r="B527" s="33"/>
      <c r="C527" s="34"/>
      <c r="D527" s="34"/>
      <c r="E527" s="34"/>
      <c r="F527" s="34"/>
      <c r="G527" s="34"/>
      <c r="H527" s="34"/>
      <c r="I527" s="34"/>
      <c r="J527" s="34"/>
      <c r="K527" s="35"/>
      <c r="L527" s="34"/>
      <c r="M527" s="34"/>
      <c r="N527" s="34"/>
      <c r="O527" s="34"/>
      <c r="P527" s="34"/>
      <c r="Q527" s="34"/>
      <c r="R527" s="34"/>
      <c r="S527" s="34"/>
      <c r="T527" s="34"/>
      <c r="U527" s="34"/>
      <c r="V527" s="34"/>
    </row>
    <row r="528" spans="2:22" x14ac:dyDescent="0.3">
      <c r="B528" s="33"/>
      <c r="C528" s="34"/>
      <c r="D528" s="34"/>
      <c r="E528" s="34"/>
      <c r="F528" s="34"/>
      <c r="G528" s="34"/>
      <c r="H528" s="34"/>
      <c r="I528" s="34"/>
      <c r="J528" s="34"/>
      <c r="K528" s="35"/>
      <c r="L528" s="34"/>
      <c r="M528" s="34"/>
      <c r="N528" s="34"/>
      <c r="O528" s="34"/>
      <c r="P528" s="34"/>
      <c r="Q528" s="34"/>
      <c r="R528" s="34"/>
      <c r="S528" s="34"/>
      <c r="T528" s="34"/>
      <c r="U528" s="34"/>
      <c r="V528" s="34"/>
    </row>
    <row r="529" spans="2:22" x14ac:dyDescent="0.3">
      <c r="B529" s="33"/>
      <c r="C529" s="34"/>
      <c r="D529" s="34"/>
      <c r="E529" s="34"/>
      <c r="F529" s="34"/>
      <c r="G529" s="34"/>
      <c r="H529" s="34"/>
      <c r="I529" s="34"/>
      <c r="J529" s="34"/>
      <c r="K529" s="35"/>
      <c r="L529" s="34"/>
      <c r="M529" s="34"/>
      <c r="N529" s="34"/>
      <c r="O529" s="34"/>
      <c r="P529" s="34"/>
      <c r="Q529" s="34"/>
      <c r="R529" s="34"/>
      <c r="S529" s="34"/>
      <c r="T529" s="34"/>
      <c r="U529" s="34"/>
      <c r="V529" s="34"/>
    </row>
    <row r="530" spans="2:22" x14ac:dyDescent="0.3">
      <c r="B530" s="33"/>
      <c r="C530" s="34"/>
      <c r="D530" s="34"/>
      <c r="E530" s="34"/>
      <c r="F530" s="34"/>
      <c r="G530" s="34"/>
      <c r="H530" s="34"/>
      <c r="I530" s="34"/>
      <c r="J530" s="34"/>
      <c r="K530" s="35"/>
      <c r="L530" s="34"/>
      <c r="M530" s="34"/>
      <c r="N530" s="34"/>
      <c r="O530" s="34"/>
      <c r="P530" s="34"/>
      <c r="Q530" s="34"/>
      <c r="R530" s="34"/>
      <c r="S530" s="34"/>
      <c r="T530" s="34"/>
      <c r="U530" s="34"/>
      <c r="V530" s="34"/>
    </row>
    <row r="531" spans="2:22" x14ac:dyDescent="0.3">
      <c r="B531" s="33"/>
      <c r="C531" s="34"/>
      <c r="D531" s="34"/>
      <c r="E531" s="34"/>
      <c r="F531" s="34"/>
      <c r="G531" s="34"/>
      <c r="H531" s="34"/>
      <c r="I531" s="34"/>
      <c r="J531" s="34"/>
      <c r="K531" s="35"/>
      <c r="L531" s="34"/>
      <c r="M531" s="34"/>
      <c r="N531" s="34"/>
      <c r="O531" s="34"/>
      <c r="P531" s="34"/>
      <c r="Q531" s="34"/>
      <c r="R531" s="34"/>
      <c r="S531" s="34"/>
      <c r="T531" s="34"/>
      <c r="U531" s="34"/>
      <c r="V531" s="34"/>
    </row>
    <row r="532" spans="2:22" x14ac:dyDescent="0.3">
      <c r="B532" s="33"/>
      <c r="C532" s="34"/>
      <c r="D532" s="34"/>
      <c r="E532" s="34"/>
      <c r="F532" s="34"/>
      <c r="G532" s="34"/>
      <c r="H532" s="34"/>
      <c r="I532" s="34"/>
      <c r="J532" s="34"/>
      <c r="K532" s="35"/>
      <c r="L532" s="34"/>
      <c r="M532" s="34"/>
      <c r="N532" s="34"/>
      <c r="O532" s="34"/>
      <c r="P532" s="34"/>
      <c r="Q532" s="34"/>
      <c r="R532" s="34"/>
      <c r="S532" s="34"/>
      <c r="T532" s="34"/>
      <c r="U532" s="34"/>
      <c r="V532" s="34"/>
    </row>
    <row r="533" spans="2:22" x14ac:dyDescent="0.3">
      <c r="B533" s="33"/>
      <c r="C533" s="34"/>
      <c r="D533" s="34"/>
      <c r="E533" s="34"/>
      <c r="F533" s="34"/>
      <c r="G533" s="34"/>
      <c r="H533" s="34"/>
      <c r="I533" s="34"/>
      <c r="J533" s="34"/>
      <c r="K533" s="35"/>
      <c r="L533" s="34"/>
      <c r="M533" s="34"/>
      <c r="N533" s="34"/>
      <c r="O533" s="34"/>
      <c r="P533" s="34"/>
      <c r="Q533" s="34"/>
      <c r="R533" s="34"/>
      <c r="S533" s="34"/>
      <c r="T533" s="34"/>
      <c r="U533" s="34"/>
      <c r="V533" s="34"/>
    </row>
    <row r="534" spans="2:22" x14ac:dyDescent="0.3">
      <c r="B534" s="33"/>
      <c r="C534" s="34"/>
      <c r="D534" s="34"/>
      <c r="E534" s="34"/>
      <c r="F534" s="34"/>
      <c r="G534" s="34"/>
      <c r="H534" s="34"/>
      <c r="I534" s="34"/>
      <c r="J534" s="34"/>
      <c r="K534" s="35"/>
      <c r="L534" s="34"/>
      <c r="M534" s="34"/>
      <c r="N534" s="34"/>
      <c r="O534" s="34"/>
      <c r="P534" s="34"/>
      <c r="Q534" s="34"/>
      <c r="R534" s="34"/>
      <c r="S534" s="34"/>
      <c r="T534" s="34"/>
      <c r="U534" s="34"/>
      <c r="V534" s="34"/>
    </row>
    <row r="535" spans="2:22" x14ac:dyDescent="0.3">
      <c r="B535" s="33"/>
      <c r="C535" s="34"/>
      <c r="D535" s="34"/>
      <c r="E535" s="34"/>
      <c r="F535" s="34"/>
      <c r="G535" s="34"/>
      <c r="H535" s="34"/>
      <c r="I535" s="34"/>
      <c r="J535" s="34"/>
      <c r="K535" s="35"/>
      <c r="L535" s="34"/>
      <c r="M535" s="34"/>
      <c r="N535" s="34"/>
      <c r="O535" s="34"/>
      <c r="P535" s="34"/>
      <c r="Q535" s="34"/>
      <c r="R535" s="34"/>
      <c r="S535" s="34"/>
      <c r="T535" s="34"/>
      <c r="U535" s="34"/>
      <c r="V535" s="34"/>
    </row>
    <row r="536" spans="2:22" x14ac:dyDescent="0.3">
      <c r="B536" s="33"/>
      <c r="C536" s="34"/>
      <c r="D536" s="34"/>
      <c r="E536" s="34"/>
      <c r="F536" s="34"/>
      <c r="G536" s="34"/>
      <c r="H536" s="34"/>
      <c r="I536" s="34"/>
      <c r="J536" s="34"/>
      <c r="K536" s="35"/>
      <c r="L536" s="34"/>
      <c r="M536" s="34"/>
      <c r="N536" s="34"/>
      <c r="O536" s="34"/>
      <c r="P536" s="34"/>
      <c r="Q536" s="34"/>
      <c r="R536" s="34"/>
      <c r="S536" s="34"/>
      <c r="T536" s="34"/>
      <c r="U536" s="34"/>
      <c r="V536" s="34"/>
    </row>
    <row r="537" spans="2:22" x14ac:dyDescent="0.3">
      <c r="B537" s="33"/>
      <c r="C537" s="34"/>
      <c r="D537" s="34"/>
      <c r="E537" s="34"/>
      <c r="F537" s="34"/>
      <c r="G537" s="34"/>
      <c r="H537" s="34"/>
      <c r="I537" s="34"/>
      <c r="J537" s="34"/>
      <c r="K537" s="35"/>
      <c r="L537" s="34"/>
      <c r="M537" s="34"/>
      <c r="N537" s="34"/>
      <c r="O537" s="34"/>
      <c r="P537" s="34"/>
      <c r="Q537" s="34"/>
      <c r="R537" s="34"/>
      <c r="S537" s="34"/>
      <c r="T537" s="34"/>
      <c r="U537" s="34"/>
      <c r="V537" s="34"/>
    </row>
    <row r="538" spans="2:22" x14ac:dyDescent="0.3">
      <c r="B538" s="33"/>
      <c r="C538" s="34"/>
      <c r="D538" s="34"/>
      <c r="E538" s="34"/>
      <c r="F538" s="34"/>
      <c r="G538" s="34"/>
      <c r="H538" s="34"/>
      <c r="I538" s="34"/>
      <c r="J538" s="34"/>
      <c r="K538" s="35"/>
      <c r="L538" s="34"/>
      <c r="M538" s="34"/>
      <c r="N538" s="34"/>
      <c r="O538" s="34"/>
      <c r="P538" s="34"/>
      <c r="Q538" s="34"/>
      <c r="R538" s="34"/>
      <c r="S538" s="34"/>
      <c r="T538" s="34"/>
      <c r="U538" s="34"/>
      <c r="V538" s="34"/>
    </row>
    <row r="539" spans="2:22" x14ac:dyDescent="0.3">
      <c r="B539" s="33"/>
      <c r="C539" s="34"/>
      <c r="D539" s="34"/>
      <c r="E539" s="34"/>
      <c r="F539" s="34"/>
      <c r="G539" s="34"/>
      <c r="H539" s="34"/>
      <c r="I539" s="34"/>
      <c r="J539" s="34"/>
      <c r="K539" s="35"/>
      <c r="L539" s="34"/>
      <c r="M539" s="34"/>
      <c r="N539" s="34"/>
      <c r="O539" s="34"/>
      <c r="P539" s="34"/>
      <c r="Q539" s="34"/>
      <c r="R539" s="34"/>
      <c r="S539" s="34"/>
      <c r="T539" s="34"/>
      <c r="U539" s="34"/>
      <c r="V539" s="34"/>
    </row>
    <row r="540" spans="2:22" x14ac:dyDescent="0.3">
      <c r="B540" s="33"/>
      <c r="C540" s="34"/>
      <c r="D540" s="34"/>
      <c r="E540" s="34"/>
      <c r="F540" s="34"/>
      <c r="G540" s="34"/>
      <c r="H540" s="34"/>
      <c r="I540" s="34"/>
      <c r="J540" s="34"/>
      <c r="K540" s="35"/>
      <c r="L540" s="34"/>
      <c r="M540" s="34"/>
      <c r="N540" s="34"/>
      <c r="O540" s="34"/>
      <c r="P540" s="34"/>
      <c r="Q540" s="34"/>
      <c r="R540" s="34"/>
      <c r="S540" s="34"/>
      <c r="T540" s="34"/>
      <c r="U540" s="34"/>
      <c r="V540" s="34"/>
    </row>
    <row r="541" spans="2:22" x14ac:dyDescent="0.3">
      <c r="B541" s="33"/>
      <c r="C541" s="34"/>
      <c r="D541" s="34"/>
      <c r="E541" s="34"/>
      <c r="F541" s="34"/>
      <c r="G541" s="34"/>
      <c r="H541" s="34"/>
      <c r="I541" s="34"/>
      <c r="J541" s="34"/>
      <c r="K541" s="35"/>
      <c r="L541" s="34"/>
      <c r="M541" s="34"/>
      <c r="N541" s="34"/>
      <c r="O541" s="34"/>
      <c r="P541" s="34"/>
      <c r="Q541" s="34"/>
      <c r="R541" s="34"/>
      <c r="S541" s="34"/>
      <c r="T541" s="34"/>
      <c r="U541" s="34"/>
      <c r="V541" s="34"/>
    </row>
    <row r="542" spans="2:22" x14ac:dyDescent="0.3">
      <c r="B542" s="33"/>
      <c r="C542" s="34"/>
      <c r="D542" s="34"/>
      <c r="E542" s="34"/>
      <c r="F542" s="34"/>
      <c r="G542" s="34"/>
      <c r="H542" s="34"/>
      <c r="I542" s="34"/>
      <c r="J542" s="34"/>
      <c r="K542" s="35"/>
      <c r="L542" s="34"/>
      <c r="M542" s="34"/>
      <c r="N542" s="34"/>
      <c r="O542" s="34"/>
      <c r="P542" s="34"/>
      <c r="Q542" s="34"/>
      <c r="R542" s="34"/>
      <c r="S542" s="34"/>
      <c r="T542" s="34"/>
      <c r="U542" s="34"/>
      <c r="V542" s="34"/>
    </row>
    <row r="543" spans="2:22" x14ac:dyDescent="0.3">
      <c r="B543" s="33"/>
      <c r="C543" s="34"/>
      <c r="D543" s="34"/>
      <c r="E543" s="34"/>
      <c r="F543" s="34"/>
      <c r="G543" s="34"/>
      <c r="H543" s="34"/>
      <c r="I543" s="34"/>
      <c r="J543" s="34"/>
      <c r="K543" s="35"/>
      <c r="L543" s="34"/>
      <c r="M543" s="34"/>
      <c r="N543" s="34"/>
      <c r="O543" s="34"/>
      <c r="P543" s="34"/>
      <c r="Q543" s="34"/>
      <c r="R543" s="34"/>
      <c r="S543" s="34"/>
      <c r="T543" s="34"/>
      <c r="U543" s="34"/>
      <c r="V543" s="34"/>
    </row>
    <row r="544" spans="2:22" x14ac:dyDescent="0.3">
      <c r="B544" s="33"/>
      <c r="C544" s="34"/>
      <c r="D544" s="34"/>
      <c r="E544" s="34"/>
      <c r="F544" s="34"/>
      <c r="G544" s="34"/>
      <c r="H544" s="34"/>
      <c r="I544" s="34"/>
      <c r="J544" s="34"/>
      <c r="K544" s="35"/>
      <c r="L544" s="34"/>
      <c r="M544" s="34"/>
      <c r="N544" s="34"/>
      <c r="O544" s="34"/>
      <c r="P544" s="34"/>
      <c r="Q544" s="34"/>
      <c r="R544" s="34"/>
      <c r="S544" s="34"/>
      <c r="T544" s="34"/>
      <c r="U544" s="34"/>
      <c r="V544" s="34"/>
    </row>
    <row r="545" spans="2:22" x14ac:dyDescent="0.3">
      <c r="B545" s="33"/>
      <c r="C545" s="34"/>
      <c r="D545" s="34"/>
      <c r="E545" s="34"/>
      <c r="F545" s="34"/>
      <c r="G545" s="34"/>
      <c r="H545" s="34"/>
      <c r="I545" s="34"/>
      <c r="J545" s="34"/>
      <c r="K545" s="35"/>
      <c r="L545" s="34"/>
      <c r="M545" s="34"/>
      <c r="N545" s="34"/>
      <c r="O545" s="34"/>
      <c r="P545" s="34"/>
      <c r="Q545" s="34"/>
      <c r="R545" s="34"/>
      <c r="S545" s="34"/>
      <c r="T545" s="34"/>
      <c r="U545" s="34"/>
      <c r="V545" s="34"/>
    </row>
    <row r="546" spans="2:22" x14ac:dyDescent="0.3">
      <c r="B546" s="33"/>
      <c r="C546" s="34"/>
      <c r="D546" s="34"/>
      <c r="E546" s="34"/>
      <c r="F546" s="34"/>
      <c r="G546" s="34"/>
      <c r="H546" s="34"/>
      <c r="I546" s="34"/>
      <c r="J546" s="34"/>
      <c r="K546" s="35"/>
      <c r="L546" s="34"/>
      <c r="M546" s="34"/>
      <c r="N546" s="34"/>
      <c r="O546" s="34"/>
      <c r="P546" s="34"/>
      <c r="Q546" s="34"/>
      <c r="R546" s="34"/>
      <c r="S546" s="34"/>
      <c r="T546" s="34"/>
      <c r="U546" s="34"/>
      <c r="V546" s="34"/>
    </row>
    <row r="547" spans="2:22" x14ac:dyDescent="0.3">
      <c r="B547" s="33"/>
      <c r="C547" s="34"/>
      <c r="D547" s="34"/>
      <c r="E547" s="34"/>
      <c r="F547" s="34"/>
      <c r="G547" s="34"/>
      <c r="H547" s="34"/>
      <c r="I547" s="34"/>
      <c r="J547" s="34"/>
      <c r="K547" s="35"/>
      <c r="L547" s="34"/>
      <c r="M547" s="34"/>
      <c r="N547" s="34"/>
      <c r="O547" s="34"/>
      <c r="P547" s="34"/>
      <c r="Q547" s="34"/>
      <c r="R547" s="34"/>
      <c r="S547" s="34"/>
      <c r="T547" s="34"/>
      <c r="U547" s="34"/>
      <c r="V547" s="34"/>
    </row>
    <row r="548" spans="2:22" x14ac:dyDescent="0.3">
      <c r="B548" s="33"/>
      <c r="C548" s="34"/>
      <c r="D548" s="34"/>
      <c r="E548" s="34"/>
      <c r="F548" s="34"/>
      <c r="G548" s="34"/>
      <c r="H548" s="34"/>
      <c r="I548" s="34"/>
      <c r="J548" s="34"/>
      <c r="K548" s="35"/>
      <c r="L548" s="34"/>
      <c r="M548" s="34"/>
      <c r="N548" s="34"/>
      <c r="O548" s="34"/>
      <c r="P548" s="34"/>
      <c r="Q548" s="34"/>
      <c r="R548" s="34"/>
      <c r="S548" s="34"/>
      <c r="T548" s="34"/>
      <c r="U548" s="34"/>
      <c r="V548" s="34"/>
    </row>
    <row r="549" spans="2:22" x14ac:dyDescent="0.3">
      <c r="B549" s="33"/>
      <c r="C549" s="34"/>
      <c r="D549" s="34"/>
      <c r="E549" s="34"/>
      <c r="F549" s="34"/>
      <c r="G549" s="34"/>
      <c r="H549" s="34"/>
      <c r="I549" s="34"/>
      <c r="J549" s="34"/>
      <c r="K549" s="35"/>
      <c r="L549" s="34"/>
      <c r="M549" s="34"/>
      <c r="N549" s="34"/>
      <c r="O549" s="34"/>
      <c r="P549" s="34"/>
      <c r="Q549" s="34"/>
      <c r="R549" s="34"/>
      <c r="S549" s="34"/>
      <c r="T549" s="34"/>
      <c r="U549" s="34"/>
      <c r="V549" s="34"/>
    </row>
    <row r="550" spans="2:22" x14ac:dyDescent="0.3">
      <c r="B550" s="33"/>
      <c r="C550" s="34"/>
      <c r="D550" s="34"/>
      <c r="E550" s="34"/>
      <c r="F550" s="34"/>
      <c r="G550" s="34"/>
      <c r="H550" s="34"/>
      <c r="I550" s="34"/>
      <c r="J550" s="34"/>
      <c r="K550" s="35"/>
      <c r="L550" s="34"/>
      <c r="M550" s="34"/>
      <c r="N550" s="34"/>
      <c r="O550" s="34"/>
      <c r="P550" s="34"/>
      <c r="Q550" s="34"/>
      <c r="R550" s="34"/>
      <c r="S550" s="34"/>
      <c r="T550" s="34"/>
      <c r="U550" s="34"/>
      <c r="V550" s="34"/>
    </row>
    <row r="551" spans="2:22" x14ac:dyDescent="0.3">
      <c r="B551" s="33"/>
      <c r="C551" s="34"/>
      <c r="D551" s="34"/>
      <c r="E551" s="34"/>
      <c r="F551" s="34"/>
      <c r="G551" s="34"/>
      <c r="H551" s="34"/>
      <c r="I551" s="34"/>
      <c r="J551" s="34"/>
      <c r="K551" s="35"/>
      <c r="L551" s="34"/>
      <c r="M551" s="34"/>
      <c r="N551" s="34"/>
      <c r="O551" s="34"/>
      <c r="P551" s="34"/>
      <c r="Q551" s="34"/>
      <c r="R551" s="34"/>
      <c r="S551" s="34"/>
      <c r="T551" s="34"/>
      <c r="U551" s="34"/>
      <c r="V551" s="34"/>
    </row>
    <row r="552" spans="2:22" x14ac:dyDescent="0.3">
      <c r="B552" s="33"/>
      <c r="C552" s="34"/>
      <c r="D552" s="34"/>
      <c r="E552" s="34"/>
      <c r="F552" s="34"/>
      <c r="G552" s="34"/>
      <c r="H552" s="34"/>
      <c r="I552" s="34"/>
      <c r="J552" s="34"/>
      <c r="K552" s="35"/>
      <c r="L552" s="34"/>
      <c r="M552" s="34"/>
      <c r="N552" s="34"/>
      <c r="O552" s="34"/>
      <c r="P552" s="34"/>
      <c r="Q552" s="34"/>
      <c r="R552" s="34"/>
      <c r="S552" s="34"/>
      <c r="T552" s="34"/>
      <c r="U552" s="34"/>
      <c r="V552" s="34"/>
    </row>
    <row r="553" spans="2:22" x14ac:dyDescent="0.3">
      <c r="B553" s="33"/>
      <c r="C553" s="34"/>
      <c r="D553" s="34"/>
      <c r="E553" s="34"/>
      <c r="F553" s="34"/>
      <c r="G553" s="34"/>
      <c r="H553" s="34"/>
      <c r="I553" s="34"/>
      <c r="J553" s="34"/>
      <c r="K553" s="35"/>
      <c r="L553" s="34"/>
      <c r="M553" s="34"/>
      <c r="N553" s="34"/>
      <c r="O553" s="34"/>
      <c r="P553" s="34"/>
      <c r="Q553" s="34"/>
      <c r="R553" s="34"/>
      <c r="S553" s="34"/>
      <c r="T553" s="34"/>
      <c r="U553" s="34"/>
      <c r="V553" s="34"/>
    </row>
    <row r="554" spans="2:22" x14ac:dyDescent="0.3">
      <c r="B554" s="33"/>
      <c r="C554" s="34"/>
      <c r="D554" s="34"/>
      <c r="E554" s="34"/>
      <c r="F554" s="34"/>
      <c r="G554" s="34"/>
      <c r="H554" s="34"/>
      <c r="I554" s="34"/>
      <c r="J554" s="34"/>
      <c r="K554" s="35"/>
      <c r="L554" s="34"/>
      <c r="M554" s="34"/>
      <c r="N554" s="34"/>
      <c r="O554" s="34"/>
      <c r="P554" s="34"/>
      <c r="Q554" s="34"/>
      <c r="R554" s="34"/>
      <c r="S554" s="34"/>
      <c r="T554" s="34"/>
      <c r="U554" s="34"/>
      <c r="V554" s="34"/>
    </row>
    <row r="555" spans="2:22" x14ac:dyDescent="0.3">
      <c r="B555" s="33"/>
      <c r="C555" s="34"/>
      <c r="D555" s="34"/>
      <c r="E555" s="34"/>
      <c r="F555" s="34"/>
      <c r="G555" s="34"/>
      <c r="H555" s="34"/>
      <c r="I555" s="34"/>
      <c r="J555" s="34"/>
      <c r="K555" s="35"/>
      <c r="L555" s="34"/>
      <c r="M555" s="34"/>
      <c r="N555" s="34"/>
      <c r="O555" s="34"/>
      <c r="P555" s="34"/>
      <c r="Q555" s="34"/>
      <c r="R555" s="34"/>
      <c r="S555" s="34"/>
      <c r="T555" s="34"/>
      <c r="U555" s="34"/>
      <c r="V555" s="34"/>
    </row>
    <row r="556" spans="2:22" x14ac:dyDescent="0.3">
      <c r="B556" s="33"/>
      <c r="C556" s="34"/>
      <c r="D556" s="34"/>
      <c r="E556" s="34"/>
      <c r="F556" s="34"/>
      <c r="G556" s="34"/>
      <c r="H556" s="34"/>
      <c r="I556" s="34"/>
      <c r="J556" s="34"/>
      <c r="K556" s="35"/>
      <c r="L556" s="34"/>
      <c r="M556" s="34"/>
      <c r="N556" s="34"/>
      <c r="O556" s="34"/>
      <c r="P556" s="34"/>
      <c r="Q556" s="34"/>
      <c r="R556" s="34"/>
      <c r="S556" s="34"/>
      <c r="T556" s="34"/>
      <c r="U556" s="34"/>
      <c r="V556" s="34"/>
    </row>
    <row r="557" spans="2:22" x14ac:dyDescent="0.3">
      <c r="B557" s="33"/>
      <c r="C557" s="34"/>
      <c r="D557" s="34"/>
      <c r="E557" s="34"/>
      <c r="F557" s="34"/>
      <c r="G557" s="34"/>
      <c r="H557" s="34"/>
      <c r="I557" s="34"/>
      <c r="J557" s="34"/>
      <c r="K557" s="35"/>
      <c r="L557" s="34"/>
      <c r="M557" s="34"/>
      <c r="N557" s="34"/>
      <c r="O557" s="34"/>
      <c r="P557" s="34"/>
      <c r="Q557" s="34"/>
      <c r="R557" s="34"/>
      <c r="S557" s="34"/>
      <c r="T557" s="34"/>
      <c r="U557" s="34"/>
      <c r="V557" s="34"/>
    </row>
    <row r="558" spans="2:22" x14ac:dyDescent="0.3">
      <c r="B558" s="33"/>
      <c r="C558" s="34"/>
      <c r="D558" s="34"/>
      <c r="E558" s="34"/>
      <c r="F558" s="34"/>
      <c r="G558" s="34"/>
      <c r="H558" s="34"/>
      <c r="I558" s="34"/>
      <c r="J558" s="34"/>
      <c r="K558" s="35"/>
      <c r="L558" s="34"/>
      <c r="M558" s="34"/>
      <c r="N558" s="34"/>
      <c r="O558" s="34"/>
      <c r="P558" s="34"/>
      <c r="Q558" s="34"/>
      <c r="R558" s="34"/>
      <c r="S558" s="34"/>
      <c r="T558" s="34"/>
      <c r="U558" s="34"/>
      <c r="V558" s="34"/>
    </row>
    <row r="559" spans="2:22" x14ac:dyDescent="0.3">
      <c r="B559" s="33"/>
      <c r="C559" s="34"/>
      <c r="D559" s="34"/>
      <c r="E559" s="34"/>
      <c r="F559" s="34"/>
      <c r="G559" s="34"/>
      <c r="H559" s="34"/>
      <c r="I559" s="34"/>
      <c r="J559" s="34"/>
      <c r="K559" s="35"/>
      <c r="L559" s="34"/>
      <c r="M559" s="34"/>
      <c r="N559" s="34"/>
      <c r="O559" s="34"/>
      <c r="P559" s="34"/>
      <c r="Q559" s="34"/>
      <c r="R559" s="34"/>
      <c r="S559" s="34"/>
      <c r="T559" s="34"/>
      <c r="U559" s="34"/>
      <c r="V559" s="34"/>
    </row>
    <row r="560" spans="2:22" x14ac:dyDescent="0.3">
      <c r="B560" s="33"/>
      <c r="C560" s="34"/>
      <c r="D560" s="34"/>
      <c r="E560" s="34"/>
      <c r="F560" s="34"/>
      <c r="G560" s="34"/>
      <c r="H560" s="34"/>
      <c r="I560" s="34"/>
      <c r="J560" s="34"/>
      <c r="K560" s="35"/>
      <c r="L560" s="34"/>
      <c r="M560" s="34"/>
      <c r="N560" s="34"/>
      <c r="O560" s="34"/>
      <c r="P560" s="34"/>
      <c r="Q560" s="34"/>
      <c r="R560" s="34"/>
      <c r="S560" s="34"/>
      <c r="T560" s="34"/>
      <c r="U560" s="34"/>
      <c r="V560" s="34"/>
    </row>
    <row r="561" spans="2:22" x14ac:dyDescent="0.3">
      <c r="B561" s="33"/>
      <c r="C561" s="34"/>
      <c r="D561" s="34"/>
      <c r="E561" s="34"/>
      <c r="F561" s="34"/>
      <c r="G561" s="34"/>
      <c r="H561" s="34"/>
      <c r="I561" s="34"/>
      <c r="J561" s="34"/>
      <c r="K561" s="35"/>
      <c r="L561" s="34"/>
      <c r="M561" s="34"/>
      <c r="N561" s="34"/>
      <c r="O561" s="34"/>
      <c r="P561" s="34"/>
      <c r="Q561" s="34"/>
      <c r="R561" s="34"/>
      <c r="S561" s="34"/>
      <c r="T561" s="34"/>
      <c r="U561" s="34"/>
      <c r="V561" s="34"/>
    </row>
    <row r="562" spans="2:22" x14ac:dyDescent="0.3">
      <c r="B562" s="33"/>
      <c r="C562" s="34"/>
      <c r="D562" s="34"/>
      <c r="E562" s="34"/>
      <c r="F562" s="34"/>
      <c r="G562" s="34"/>
      <c r="H562" s="34"/>
      <c r="I562" s="34"/>
      <c r="J562" s="34"/>
      <c r="K562" s="35"/>
      <c r="L562" s="34"/>
      <c r="M562" s="34"/>
      <c r="N562" s="34"/>
      <c r="O562" s="34"/>
      <c r="P562" s="34"/>
      <c r="Q562" s="34"/>
      <c r="R562" s="34"/>
      <c r="S562" s="34"/>
      <c r="T562" s="34"/>
      <c r="U562" s="34"/>
      <c r="V562" s="34"/>
    </row>
    <row r="563" spans="2:22" x14ac:dyDescent="0.3">
      <c r="B563" s="33"/>
      <c r="C563" s="34"/>
      <c r="D563" s="34"/>
      <c r="E563" s="34"/>
      <c r="F563" s="34"/>
      <c r="G563" s="34"/>
      <c r="H563" s="34"/>
      <c r="I563" s="34"/>
      <c r="J563" s="34"/>
      <c r="K563" s="35"/>
      <c r="L563" s="34"/>
      <c r="M563" s="34"/>
      <c r="N563" s="34"/>
      <c r="O563" s="34"/>
      <c r="P563" s="34"/>
      <c r="Q563" s="34"/>
      <c r="R563" s="34"/>
      <c r="S563" s="34"/>
      <c r="T563" s="34"/>
      <c r="U563" s="34"/>
      <c r="V563" s="34"/>
    </row>
    <row r="564" spans="2:22" x14ac:dyDescent="0.3">
      <c r="B564" s="33"/>
      <c r="C564" s="34"/>
      <c r="D564" s="34"/>
      <c r="E564" s="34"/>
      <c r="F564" s="34"/>
      <c r="G564" s="34"/>
      <c r="H564" s="34"/>
      <c r="I564" s="34"/>
      <c r="J564" s="34"/>
      <c r="K564" s="35"/>
      <c r="L564" s="34"/>
      <c r="M564" s="34"/>
      <c r="N564" s="34"/>
      <c r="O564" s="34"/>
      <c r="P564" s="34"/>
      <c r="Q564" s="34"/>
      <c r="R564" s="34"/>
      <c r="S564" s="34"/>
      <c r="T564" s="34"/>
      <c r="U564" s="34"/>
      <c r="V564" s="34"/>
    </row>
    <row r="565" spans="2:22" x14ac:dyDescent="0.3">
      <c r="B565" s="33"/>
      <c r="C565" s="34"/>
      <c r="D565" s="34"/>
      <c r="E565" s="34"/>
      <c r="F565" s="34"/>
      <c r="G565" s="34"/>
      <c r="H565" s="34"/>
      <c r="I565" s="34"/>
      <c r="J565" s="34"/>
      <c r="K565" s="35"/>
      <c r="L565" s="34"/>
      <c r="M565" s="34"/>
      <c r="N565" s="34"/>
      <c r="O565" s="34"/>
      <c r="P565" s="34"/>
      <c r="Q565" s="34"/>
      <c r="R565" s="34"/>
      <c r="S565" s="34"/>
      <c r="T565" s="34"/>
      <c r="U565" s="34"/>
      <c r="V565" s="34"/>
    </row>
    <row r="566" spans="2:22" x14ac:dyDescent="0.3">
      <c r="B566" s="33"/>
      <c r="C566" s="34"/>
      <c r="D566" s="34"/>
      <c r="E566" s="34"/>
      <c r="F566" s="34"/>
      <c r="G566" s="34"/>
      <c r="H566" s="34"/>
      <c r="I566" s="34"/>
      <c r="J566" s="34"/>
      <c r="K566" s="35"/>
      <c r="L566" s="34"/>
      <c r="M566" s="34"/>
      <c r="N566" s="34"/>
      <c r="O566" s="34"/>
      <c r="P566" s="34"/>
      <c r="Q566" s="34"/>
      <c r="R566" s="34"/>
      <c r="S566" s="34"/>
      <c r="T566" s="34"/>
      <c r="U566" s="34"/>
      <c r="V566" s="34"/>
    </row>
    <row r="567" spans="2:22" x14ac:dyDescent="0.3">
      <c r="B567" s="33"/>
      <c r="C567" s="34"/>
      <c r="D567" s="34"/>
      <c r="E567" s="34"/>
      <c r="F567" s="34"/>
      <c r="G567" s="34"/>
      <c r="H567" s="34"/>
      <c r="I567" s="34"/>
      <c r="J567" s="34"/>
      <c r="K567" s="35"/>
      <c r="L567" s="34"/>
      <c r="M567" s="34"/>
      <c r="N567" s="34"/>
      <c r="O567" s="34"/>
      <c r="P567" s="34"/>
      <c r="Q567" s="34"/>
      <c r="R567" s="34"/>
      <c r="S567" s="34"/>
      <c r="T567" s="34"/>
      <c r="U567" s="34"/>
      <c r="V567" s="34"/>
    </row>
    <row r="568" spans="2:22" x14ac:dyDescent="0.3">
      <c r="B568" s="33"/>
      <c r="C568" s="34"/>
      <c r="D568" s="34"/>
      <c r="E568" s="34"/>
      <c r="F568" s="34"/>
      <c r="G568" s="34"/>
      <c r="H568" s="34"/>
      <c r="I568" s="34"/>
      <c r="J568" s="34"/>
      <c r="K568" s="35"/>
      <c r="L568" s="34"/>
      <c r="M568" s="34"/>
      <c r="N568" s="34"/>
      <c r="O568" s="34"/>
      <c r="P568" s="34"/>
      <c r="Q568" s="34"/>
      <c r="R568" s="34"/>
      <c r="S568" s="34"/>
      <c r="T568" s="34"/>
      <c r="U568" s="34"/>
      <c r="V568" s="34"/>
    </row>
    <row r="569" spans="2:22" x14ac:dyDescent="0.3">
      <c r="B569" s="33"/>
      <c r="C569" s="34"/>
      <c r="D569" s="34"/>
      <c r="E569" s="34"/>
      <c r="F569" s="34"/>
      <c r="G569" s="34"/>
      <c r="H569" s="34"/>
      <c r="I569" s="34"/>
      <c r="J569" s="34"/>
      <c r="K569" s="35"/>
      <c r="L569" s="34"/>
      <c r="M569" s="34"/>
      <c r="N569" s="34"/>
      <c r="O569" s="34"/>
      <c r="P569" s="34"/>
      <c r="Q569" s="34"/>
      <c r="R569" s="34"/>
      <c r="S569" s="34"/>
      <c r="T569" s="34"/>
      <c r="U569" s="34"/>
      <c r="V569" s="34"/>
    </row>
    <row r="570" spans="2:22" x14ac:dyDescent="0.3">
      <c r="B570" s="33"/>
      <c r="C570" s="34"/>
      <c r="D570" s="34"/>
      <c r="E570" s="34"/>
      <c r="F570" s="34"/>
      <c r="G570" s="34"/>
      <c r="H570" s="34"/>
      <c r="I570" s="34"/>
      <c r="J570" s="34"/>
      <c r="K570" s="35"/>
      <c r="L570" s="34"/>
      <c r="M570" s="34"/>
      <c r="N570" s="34"/>
      <c r="O570" s="34"/>
      <c r="P570" s="34"/>
      <c r="Q570" s="34"/>
      <c r="R570" s="34"/>
      <c r="S570" s="34"/>
      <c r="T570" s="34"/>
      <c r="U570" s="34"/>
      <c r="V570" s="34"/>
    </row>
    <row r="571" spans="2:22" x14ac:dyDescent="0.3">
      <c r="B571" s="33"/>
      <c r="C571" s="34"/>
      <c r="D571" s="34"/>
      <c r="E571" s="34"/>
      <c r="F571" s="34"/>
      <c r="G571" s="34"/>
      <c r="H571" s="34"/>
      <c r="I571" s="34"/>
      <c r="J571" s="34"/>
      <c r="K571" s="35"/>
      <c r="L571" s="34"/>
      <c r="M571" s="34"/>
      <c r="N571" s="34"/>
      <c r="O571" s="34"/>
      <c r="P571" s="34"/>
      <c r="Q571" s="34"/>
      <c r="R571" s="34"/>
      <c r="S571" s="34"/>
      <c r="T571" s="34"/>
      <c r="U571" s="34"/>
      <c r="V571" s="34"/>
    </row>
    <row r="572" spans="2:22" x14ac:dyDescent="0.3">
      <c r="B572" s="33"/>
      <c r="C572" s="34"/>
      <c r="D572" s="34"/>
      <c r="E572" s="34"/>
      <c r="F572" s="34"/>
      <c r="G572" s="34"/>
      <c r="H572" s="34"/>
      <c r="I572" s="34"/>
      <c r="J572" s="34"/>
      <c r="K572" s="35"/>
      <c r="L572" s="34"/>
      <c r="M572" s="34"/>
      <c r="N572" s="34"/>
      <c r="O572" s="34"/>
      <c r="P572" s="34"/>
      <c r="Q572" s="34"/>
      <c r="R572" s="34"/>
      <c r="S572" s="34"/>
      <c r="T572" s="34"/>
      <c r="U572" s="34"/>
      <c r="V572" s="34"/>
    </row>
    <row r="573" spans="2:22" x14ac:dyDescent="0.3">
      <c r="B573" s="33"/>
      <c r="C573" s="34"/>
      <c r="D573" s="34"/>
      <c r="E573" s="34"/>
      <c r="F573" s="34"/>
      <c r="G573" s="34"/>
      <c r="H573" s="34"/>
      <c r="I573" s="34"/>
      <c r="J573" s="34"/>
      <c r="K573" s="35"/>
      <c r="L573" s="34"/>
      <c r="M573" s="34"/>
      <c r="N573" s="34"/>
      <c r="O573" s="34"/>
      <c r="P573" s="34"/>
      <c r="Q573" s="34"/>
      <c r="R573" s="34"/>
      <c r="S573" s="34"/>
      <c r="T573" s="34"/>
      <c r="U573" s="34"/>
      <c r="V573" s="34"/>
    </row>
    <row r="574" spans="2:22" x14ac:dyDescent="0.3">
      <c r="B574" s="33"/>
      <c r="C574" s="34"/>
      <c r="D574" s="34"/>
      <c r="E574" s="34"/>
      <c r="F574" s="34"/>
      <c r="G574" s="34"/>
      <c r="H574" s="34"/>
      <c r="I574" s="34"/>
      <c r="J574" s="34"/>
      <c r="K574" s="35"/>
      <c r="L574" s="34"/>
      <c r="M574" s="34"/>
      <c r="N574" s="34"/>
      <c r="O574" s="34"/>
      <c r="P574" s="34"/>
      <c r="Q574" s="34"/>
      <c r="R574" s="34"/>
      <c r="S574" s="34"/>
      <c r="T574" s="34"/>
      <c r="U574" s="34"/>
      <c r="V574" s="34"/>
    </row>
    <row r="575" spans="2:22" x14ac:dyDescent="0.3">
      <c r="B575" s="33"/>
      <c r="C575" s="34"/>
      <c r="D575" s="34"/>
      <c r="E575" s="34"/>
      <c r="F575" s="34"/>
      <c r="G575" s="34"/>
      <c r="H575" s="34"/>
      <c r="I575" s="34"/>
      <c r="J575" s="34"/>
      <c r="K575" s="35"/>
      <c r="L575" s="34"/>
      <c r="M575" s="34"/>
      <c r="N575" s="34"/>
      <c r="O575" s="34"/>
      <c r="P575" s="34"/>
      <c r="Q575" s="34"/>
      <c r="R575" s="34"/>
      <c r="S575" s="34"/>
      <c r="T575" s="34"/>
      <c r="U575" s="34"/>
      <c r="V575" s="34"/>
    </row>
    <row r="576" spans="2:22" x14ac:dyDescent="0.3">
      <c r="B576" s="33"/>
      <c r="C576" s="34"/>
      <c r="D576" s="34"/>
      <c r="E576" s="34"/>
      <c r="F576" s="34"/>
      <c r="G576" s="34"/>
      <c r="H576" s="34"/>
      <c r="I576" s="34"/>
      <c r="J576" s="34"/>
      <c r="K576" s="35"/>
      <c r="L576" s="34"/>
      <c r="M576" s="34"/>
      <c r="N576" s="34"/>
      <c r="O576" s="34"/>
      <c r="P576" s="34"/>
      <c r="Q576" s="34"/>
      <c r="R576" s="34"/>
      <c r="S576" s="34"/>
      <c r="T576" s="34"/>
      <c r="U576" s="34"/>
      <c r="V576" s="34"/>
    </row>
    <row r="577" spans="2:22" x14ac:dyDescent="0.3">
      <c r="B577" s="33"/>
      <c r="C577" s="34"/>
      <c r="D577" s="34"/>
      <c r="E577" s="34"/>
      <c r="F577" s="34"/>
      <c r="G577" s="34"/>
      <c r="H577" s="34"/>
      <c r="I577" s="34"/>
      <c r="J577" s="34"/>
      <c r="K577" s="35"/>
      <c r="L577" s="34"/>
      <c r="M577" s="34"/>
      <c r="N577" s="34"/>
      <c r="O577" s="34"/>
      <c r="P577" s="34"/>
      <c r="Q577" s="34"/>
      <c r="R577" s="34"/>
      <c r="S577" s="34"/>
      <c r="T577" s="34"/>
      <c r="U577" s="34"/>
      <c r="V577" s="34"/>
    </row>
    <row r="578" spans="2:22" x14ac:dyDescent="0.3">
      <c r="B578" s="33"/>
      <c r="C578" s="34"/>
      <c r="D578" s="34"/>
      <c r="E578" s="34"/>
      <c r="F578" s="34"/>
      <c r="G578" s="34"/>
      <c r="H578" s="34"/>
      <c r="I578" s="34"/>
      <c r="J578" s="34"/>
      <c r="K578" s="35"/>
      <c r="L578" s="34"/>
      <c r="M578" s="34"/>
      <c r="N578" s="34"/>
      <c r="O578" s="34"/>
      <c r="P578" s="34"/>
      <c r="Q578" s="34"/>
      <c r="R578" s="34"/>
      <c r="S578" s="34"/>
      <c r="T578" s="34"/>
      <c r="U578" s="34"/>
      <c r="V578" s="34"/>
    </row>
    <row r="579" spans="2:22" x14ac:dyDescent="0.3">
      <c r="B579" s="33"/>
      <c r="C579" s="34"/>
      <c r="D579" s="34"/>
      <c r="E579" s="34"/>
      <c r="F579" s="34"/>
      <c r="G579" s="34"/>
      <c r="H579" s="34"/>
      <c r="I579" s="34"/>
      <c r="J579" s="34"/>
      <c r="K579" s="35"/>
      <c r="L579" s="34"/>
      <c r="M579" s="34"/>
      <c r="N579" s="34"/>
      <c r="O579" s="34"/>
      <c r="P579" s="34"/>
      <c r="Q579" s="34"/>
      <c r="R579" s="34"/>
      <c r="S579" s="34"/>
      <c r="T579" s="34"/>
      <c r="U579" s="34"/>
      <c r="V579" s="34"/>
    </row>
    <row r="580" spans="2:22" x14ac:dyDescent="0.3">
      <c r="B580" s="33"/>
      <c r="C580" s="34"/>
      <c r="D580" s="34"/>
      <c r="E580" s="34"/>
      <c r="F580" s="34"/>
      <c r="G580" s="34"/>
      <c r="H580" s="34"/>
      <c r="I580" s="34"/>
      <c r="J580" s="34"/>
      <c r="K580" s="35"/>
      <c r="L580" s="34"/>
      <c r="M580" s="34"/>
      <c r="N580" s="34"/>
      <c r="O580" s="34"/>
      <c r="P580" s="34"/>
      <c r="Q580" s="34"/>
      <c r="R580" s="34"/>
      <c r="S580" s="34"/>
      <c r="T580" s="34"/>
      <c r="U580" s="34"/>
      <c r="V580" s="34"/>
    </row>
    <row r="581" spans="2:22" x14ac:dyDescent="0.3">
      <c r="B581" s="33"/>
      <c r="C581" s="34"/>
      <c r="D581" s="34"/>
      <c r="E581" s="34"/>
      <c r="F581" s="34"/>
      <c r="G581" s="34"/>
      <c r="H581" s="34"/>
      <c r="I581" s="34"/>
      <c r="J581" s="34"/>
      <c r="K581" s="35"/>
      <c r="L581" s="34"/>
      <c r="M581" s="34"/>
      <c r="N581" s="34"/>
      <c r="O581" s="34"/>
      <c r="P581" s="34"/>
      <c r="Q581" s="34"/>
      <c r="R581" s="34"/>
      <c r="S581" s="34"/>
      <c r="T581" s="34"/>
      <c r="U581" s="34"/>
      <c r="V581" s="34"/>
    </row>
    <row r="582" spans="2:22" x14ac:dyDescent="0.3">
      <c r="B582" s="33"/>
      <c r="C582" s="34"/>
      <c r="D582" s="34"/>
      <c r="E582" s="34"/>
      <c r="F582" s="34"/>
      <c r="G582" s="34"/>
      <c r="H582" s="34"/>
      <c r="I582" s="34"/>
      <c r="J582" s="34"/>
      <c r="K582" s="35"/>
      <c r="L582" s="34"/>
      <c r="M582" s="34"/>
      <c r="N582" s="34"/>
      <c r="O582" s="34"/>
      <c r="P582" s="34"/>
      <c r="Q582" s="34"/>
      <c r="R582" s="34"/>
      <c r="S582" s="34"/>
      <c r="T582" s="34"/>
      <c r="U582" s="34"/>
      <c r="V582" s="34"/>
    </row>
    <row r="583" spans="2:22" x14ac:dyDescent="0.3">
      <c r="B583" s="33"/>
      <c r="C583" s="34"/>
      <c r="D583" s="34"/>
      <c r="E583" s="34"/>
      <c r="F583" s="34"/>
      <c r="G583" s="34"/>
      <c r="H583" s="34"/>
      <c r="I583" s="34"/>
      <c r="J583" s="34"/>
      <c r="K583" s="35"/>
      <c r="L583" s="34"/>
      <c r="M583" s="34"/>
      <c r="N583" s="34"/>
      <c r="O583" s="34"/>
      <c r="P583" s="34"/>
      <c r="Q583" s="34"/>
      <c r="R583" s="34"/>
      <c r="S583" s="34"/>
      <c r="T583" s="34"/>
      <c r="U583" s="34"/>
      <c r="V583" s="34"/>
    </row>
    <row r="584" spans="2:22" x14ac:dyDescent="0.3">
      <c r="B584" s="33"/>
      <c r="C584" s="34"/>
      <c r="D584" s="34"/>
      <c r="E584" s="34"/>
      <c r="F584" s="34"/>
      <c r="G584" s="34"/>
      <c r="H584" s="34"/>
      <c r="I584" s="34"/>
      <c r="J584" s="34"/>
      <c r="K584" s="35"/>
      <c r="L584" s="34"/>
      <c r="M584" s="34"/>
      <c r="N584" s="34"/>
      <c r="O584" s="34"/>
      <c r="P584" s="34"/>
      <c r="Q584" s="34"/>
      <c r="R584" s="34"/>
      <c r="S584" s="34"/>
      <c r="T584" s="34"/>
      <c r="U584" s="34"/>
      <c r="V584" s="34"/>
    </row>
    <row r="585" spans="2:22" x14ac:dyDescent="0.3">
      <c r="B585" s="33"/>
      <c r="C585" s="34"/>
      <c r="D585" s="34"/>
      <c r="E585" s="34"/>
      <c r="F585" s="34"/>
      <c r="G585" s="34"/>
      <c r="H585" s="34"/>
      <c r="I585" s="34"/>
      <c r="J585" s="34"/>
      <c r="K585" s="35"/>
      <c r="L585" s="34"/>
      <c r="M585" s="34"/>
      <c r="N585" s="34"/>
      <c r="O585" s="34"/>
      <c r="P585" s="34"/>
      <c r="Q585" s="34"/>
      <c r="R585" s="34"/>
      <c r="S585" s="34"/>
      <c r="T585" s="34"/>
      <c r="U585" s="34"/>
      <c r="V585" s="34"/>
    </row>
    <row r="586" spans="2:22" x14ac:dyDescent="0.3">
      <c r="B586" s="33"/>
      <c r="C586" s="34"/>
      <c r="D586" s="34"/>
      <c r="E586" s="34"/>
      <c r="F586" s="34"/>
      <c r="G586" s="34"/>
      <c r="H586" s="34"/>
      <c r="I586" s="34"/>
      <c r="J586" s="34"/>
      <c r="K586" s="35"/>
      <c r="L586" s="34"/>
      <c r="M586" s="34"/>
      <c r="N586" s="34"/>
      <c r="O586" s="34"/>
      <c r="P586" s="34"/>
      <c r="Q586" s="34"/>
      <c r="R586" s="34"/>
      <c r="S586" s="34"/>
      <c r="T586" s="34"/>
      <c r="U586" s="34"/>
      <c r="V586" s="34"/>
    </row>
    <row r="587" spans="2:22" x14ac:dyDescent="0.3">
      <c r="B587" s="33"/>
      <c r="C587" s="34"/>
      <c r="D587" s="34"/>
      <c r="E587" s="34"/>
      <c r="F587" s="34"/>
      <c r="G587" s="34"/>
      <c r="H587" s="34"/>
      <c r="I587" s="34"/>
      <c r="J587" s="34"/>
      <c r="K587" s="35"/>
      <c r="L587" s="34"/>
      <c r="M587" s="34"/>
      <c r="N587" s="34"/>
      <c r="O587" s="34"/>
      <c r="P587" s="34"/>
      <c r="Q587" s="34"/>
      <c r="R587" s="34"/>
      <c r="S587" s="34"/>
      <c r="T587" s="34"/>
      <c r="U587" s="34"/>
      <c r="V587" s="34"/>
    </row>
    <row r="588" spans="2:22" x14ac:dyDescent="0.3">
      <c r="B588" s="33"/>
      <c r="C588" s="34"/>
      <c r="D588" s="34"/>
      <c r="E588" s="34"/>
      <c r="F588" s="34"/>
      <c r="G588" s="34"/>
      <c r="H588" s="34"/>
      <c r="I588" s="34"/>
      <c r="J588" s="34"/>
      <c r="K588" s="35"/>
      <c r="L588" s="34"/>
      <c r="M588" s="34"/>
      <c r="N588" s="34"/>
      <c r="O588" s="34"/>
      <c r="P588" s="34"/>
      <c r="Q588" s="34"/>
      <c r="R588" s="34"/>
      <c r="S588" s="34"/>
      <c r="T588" s="34"/>
      <c r="U588" s="34"/>
      <c r="V588" s="34"/>
    </row>
    <row r="589" spans="2:22" x14ac:dyDescent="0.3">
      <c r="B589" s="33"/>
      <c r="C589" s="34"/>
      <c r="D589" s="34"/>
      <c r="E589" s="34"/>
      <c r="F589" s="34"/>
      <c r="G589" s="34"/>
      <c r="H589" s="34"/>
      <c r="I589" s="34"/>
      <c r="J589" s="34"/>
      <c r="K589" s="35"/>
      <c r="L589" s="34"/>
      <c r="M589" s="34"/>
      <c r="N589" s="34"/>
      <c r="O589" s="34"/>
      <c r="P589" s="34"/>
      <c r="Q589" s="34"/>
      <c r="R589" s="34"/>
      <c r="S589" s="34"/>
      <c r="T589" s="34"/>
      <c r="U589" s="34"/>
      <c r="V589" s="34"/>
    </row>
    <row r="590" spans="2:22" x14ac:dyDescent="0.3">
      <c r="B590" s="33"/>
      <c r="C590" s="34"/>
      <c r="D590" s="34"/>
      <c r="E590" s="34"/>
      <c r="F590" s="34"/>
      <c r="G590" s="34"/>
      <c r="H590" s="34"/>
      <c r="I590" s="34"/>
      <c r="J590" s="34"/>
      <c r="K590" s="35"/>
      <c r="L590" s="34"/>
      <c r="M590" s="34"/>
      <c r="N590" s="34"/>
      <c r="O590" s="34"/>
      <c r="P590" s="34"/>
      <c r="Q590" s="34"/>
      <c r="R590" s="34"/>
      <c r="S590" s="34"/>
      <c r="T590" s="34"/>
      <c r="U590" s="34"/>
      <c r="V590" s="34"/>
    </row>
    <row r="591" spans="2:22" x14ac:dyDescent="0.3">
      <c r="B591" s="33"/>
      <c r="C591" s="34"/>
      <c r="D591" s="34"/>
      <c r="E591" s="34"/>
      <c r="F591" s="34"/>
      <c r="G591" s="34"/>
      <c r="H591" s="34"/>
      <c r="I591" s="34"/>
      <c r="J591" s="34"/>
      <c r="K591" s="35"/>
      <c r="L591" s="34"/>
      <c r="M591" s="34"/>
      <c r="N591" s="34"/>
      <c r="O591" s="34"/>
      <c r="P591" s="34"/>
      <c r="Q591" s="34"/>
      <c r="R591" s="34"/>
      <c r="S591" s="34"/>
      <c r="T591" s="34"/>
      <c r="U591" s="34"/>
      <c r="V591" s="34"/>
    </row>
    <row r="592" spans="2:22" x14ac:dyDescent="0.3">
      <c r="B592" s="33"/>
      <c r="C592" s="34"/>
      <c r="D592" s="34"/>
      <c r="E592" s="34"/>
      <c r="F592" s="34"/>
      <c r="G592" s="34"/>
      <c r="H592" s="34"/>
      <c r="I592" s="34"/>
      <c r="J592" s="34"/>
      <c r="K592" s="35"/>
      <c r="L592" s="34"/>
      <c r="M592" s="34"/>
      <c r="N592" s="34"/>
      <c r="O592" s="34"/>
      <c r="P592" s="34"/>
      <c r="Q592" s="34"/>
      <c r="R592" s="34"/>
      <c r="S592" s="34"/>
      <c r="T592" s="34"/>
      <c r="U592" s="34"/>
      <c r="V592" s="34"/>
    </row>
    <row r="593" spans="2:22" x14ac:dyDescent="0.3">
      <c r="B593" s="33"/>
      <c r="C593" s="34"/>
      <c r="D593" s="34"/>
      <c r="E593" s="34"/>
      <c r="F593" s="34"/>
      <c r="G593" s="34"/>
      <c r="H593" s="34"/>
      <c r="I593" s="34"/>
      <c r="J593" s="34"/>
      <c r="K593" s="35"/>
      <c r="L593" s="34"/>
      <c r="M593" s="34"/>
      <c r="N593" s="34"/>
      <c r="O593" s="34"/>
      <c r="P593" s="34"/>
      <c r="Q593" s="34"/>
      <c r="R593" s="34"/>
      <c r="S593" s="34"/>
      <c r="T593" s="34"/>
      <c r="U593" s="34"/>
      <c r="V593" s="34"/>
    </row>
    <row r="594" spans="2:22" x14ac:dyDescent="0.3">
      <c r="B594" s="33"/>
      <c r="C594" s="34"/>
      <c r="D594" s="34"/>
      <c r="E594" s="34"/>
      <c r="F594" s="34"/>
      <c r="G594" s="34"/>
      <c r="H594" s="34"/>
      <c r="I594" s="34"/>
      <c r="J594" s="34"/>
      <c r="K594" s="35"/>
      <c r="L594" s="34"/>
      <c r="M594" s="34"/>
      <c r="N594" s="34"/>
      <c r="O594" s="34"/>
      <c r="P594" s="34"/>
      <c r="Q594" s="34"/>
      <c r="R594" s="34"/>
      <c r="S594" s="34"/>
      <c r="T594" s="34"/>
      <c r="U594" s="34"/>
      <c r="V594" s="34"/>
    </row>
    <row r="595" spans="2:22" x14ac:dyDescent="0.3">
      <c r="B595" s="33"/>
      <c r="C595" s="34"/>
      <c r="D595" s="34"/>
      <c r="E595" s="34"/>
      <c r="F595" s="34"/>
      <c r="G595" s="34"/>
      <c r="H595" s="34"/>
      <c r="I595" s="34"/>
      <c r="J595" s="34"/>
      <c r="K595" s="35"/>
      <c r="L595" s="34"/>
      <c r="M595" s="34"/>
      <c r="N595" s="34"/>
      <c r="O595" s="34"/>
      <c r="P595" s="34"/>
      <c r="Q595" s="34"/>
      <c r="R595" s="34"/>
      <c r="S595" s="34"/>
      <c r="T595" s="34"/>
      <c r="U595" s="34"/>
      <c r="V595" s="34"/>
    </row>
    <row r="596" spans="2:22" x14ac:dyDescent="0.3">
      <c r="B596" s="33"/>
      <c r="C596" s="34"/>
      <c r="D596" s="34"/>
      <c r="E596" s="34"/>
      <c r="F596" s="34"/>
      <c r="G596" s="34"/>
      <c r="H596" s="34"/>
      <c r="I596" s="34"/>
      <c r="J596" s="34"/>
      <c r="K596" s="35"/>
      <c r="L596" s="34"/>
      <c r="M596" s="34"/>
      <c r="N596" s="34"/>
      <c r="O596" s="34"/>
      <c r="P596" s="34"/>
      <c r="Q596" s="34"/>
      <c r="R596" s="34"/>
      <c r="S596" s="34"/>
      <c r="T596" s="34"/>
      <c r="U596" s="34"/>
      <c r="V596" s="34"/>
    </row>
    <row r="597" spans="2:22" x14ac:dyDescent="0.3">
      <c r="B597" s="33"/>
      <c r="C597" s="34"/>
      <c r="D597" s="34"/>
      <c r="E597" s="34"/>
      <c r="F597" s="34"/>
      <c r="G597" s="34"/>
      <c r="H597" s="34"/>
      <c r="I597" s="34"/>
      <c r="J597" s="34"/>
      <c r="K597" s="35"/>
      <c r="L597" s="34"/>
      <c r="M597" s="34"/>
      <c r="N597" s="34"/>
      <c r="O597" s="34"/>
      <c r="P597" s="34"/>
      <c r="Q597" s="34"/>
      <c r="R597" s="34"/>
      <c r="S597" s="34"/>
      <c r="T597" s="34"/>
      <c r="U597" s="34"/>
      <c r="V597" s="34"/>
    </row>
    <row r="598" spans="2:22" x14ac:dyDescent="0.3">
      <c r="B598" s="33"/>
      <c r="C598" s="34"/>
      <c r="D598" s="34"/>
      <c r="E598" s="34"/>
      <c r="F598" s="34"/>
      <c r="G598" s="34"/>
      <c r="H598" s="34"/>
      <c r="I598" s="34"/>
      <c r="J598" s="34"/>
      <c r="K598" s="35"/>
      <c r="L598" s="34"/>
      <c r="M598" s="34"/>
      <c r="N598" s="34"/>
      <c r="O598" s="34"/>
      <c r="P598" s="34"/>
      <c r="Q598" s="34"/>
      <c r="R598" s="34"/>
      <c r="S598" s="34"/>
      <c r="T598" s="34"/>
      <c r="U598" s="34"/>
      <c r="V598" s="34"/>
    </row>
    <row r="599" spans="2:22" x14ac:dyDescent="0.3">
      <c r="B599" s="33"/>
      <c r="C599" s="34"/>
      <c r="D599" s="34"/>
      <c r="E599" s="34"/>
      <c r="F599" s="34"/>
      <c r="G599" s="34"/>
      <c r="H599" s="34"/>
      <c r="I599" s="34"/>
      <c r="J599" s="34"/>
      <c r="K599" s="35"/>
      <c r="L599" s="34"/>
      <c r="M599" s="34"/>
      <c r="N599" s="34"/>
      <c r="O599" s="34"/>
      <c r="P599" s="34"/>
      <c r="Q599" s="34"/>
      <c r="R599" s="34"/>
      <c r="S599" s="34"/>
      <c r="T599" s="34"/>
      <c r="U599" s="34"/>
      <c r="V599" s="34"/>
    </row>
    <row r="600" spans="2:22" x14ac:dyDescent="0.3">
      <c r="B600" s="33"/>
      <c r="C600" s="34"/>
      <c r="D600" s="34"/>
      <c r="E600" s="34"/>
      <c r="F600" s="34"/>
      <c r="G600" s="34"/>
      <c r="H600" s="34"/>
      <c r="I600" s="34"/>
      <c r="J600" s="34"/>
      <c r="K600" s="35"/>
      <c r="L600" s="34"/>
      <c r="M600" s="34"/>
      <c r="N600" s="34"/>
      <c r="O600" s="34"/>
      <c r="P600" s="34"/>
      <c r="Q600" s="34"/>
      <c r="R600" s="34"/>
      <c r="S600" s="34"/>
      <c r="T600" s="34"/>
      <c r="U600" s="34"/>
      <c r="V600" s="34"/>
    </row>
    <row r="601" spans="2:22" x14ac:dyDescent="0.3">
      <c r="B601" s="33"/>
      <c r="C601" s="34"/>
      <c r="D601" s="34"/>
      <c r="E601" s="34"/>
      <c r="F601" s="34"/>
      <c r="G601" s="34"/>
      <c r="H601" s="34"/>
      <c r="I601" s="34"/>
      <c r="J601" s="34"/>
      <c r="K601" s="35"/>
      <c r="L601" s="34"/>
      <c r="M601" s="34"/>
      <c r="N601" s="34"/>
      <c r="O601" s="34"/>
      <c r="P601" s="34"/>
      <c r="Q601" s="34"/>
      <c r="R601" s="34"/>
      <c r="S601" s="34"/>
      <c r="T601" s="34"/>
      <c r="U601" s="34"/>
      <c r="V601" s="34"/>
    </row>
    <row r="602" spans="2:22" x14ac:dyDescent="0.3">
      <c r="B602" s="33"/>
      <c r="C602" s="34"/>
      <c r="D602" s="34"/>
      <c r="E602" s="34"/>
      <c r="F602" s="34"/>
      <c r="G602" s="34"/>
      <c r="H602" s="34"/>
      <c r="I602" s="34"/>
      <c r="J602" s="34"/>
      <c r="K602" s="35"/>
      <c r="L602" s="34"/>
      <c r="M602" s="34"/>
      <c r="N602" s="34"/>
      <c r="O602" s="34"/>
      <c r="P602" s="34"/>
      <c r="Q602" s="34"/>
      <c r="R602" s="34"/>
      <c r="S602" s="34"/>
      <c r="T602" s="34"/>
      <c r="U602" s="34"/>
      <c r="V602" s="34"/>
    </row>
    <row r="603" spans="2:22" x14ac:dyDescent="0.3">
      <c r="B603" s="33"/>
      <c r="C603" s="34"/>
      <c r="D603" s="34"/>
      <c r="E603" s="34"/>
      <c r="F603" s="34"/>
      <c r="G603" s="34"/>
      <c r="H603" s="34"/>
      <c r="I603" s="34"/>
      <c r="J603" s="34"/>
      <c r="K603" s="35"/>
      <c r="L603" s="34"/>
      <c r="M603" s="34"/>
      <c r="N603" s="34"/>
      <c r="O603" s="34"/>
      <c r="P603" s="34"/>
      <c r="Q603" s="34"/>
      <c r="R603" s="34"/>
      <c r="S603" s="34"/>
      <c r="T603" s="34"/>
      <c r="U603" s="34"/>
      <c r="V603" s="34"/>
    </row>
    <row r="604" spans="2:22" x14ac:dyDescent="0.3">
      <c r="B604" s="33"/>
      <c r="C604" s="34"/>
      <c r="D604" s="34"/>
      <c r="E604" s="34"/>
      <c r="F604" s="34"/>
      <c r="G604" s="34"/>
      <c r="H604" s="34"/>
      <c r="I604" s="34"/>
      <c r="J604" s="34"/>
      <c r="K604" s="35"/>
      <c r="L604" s="34"/>
      <c r="M604" s="34"/>
      <c r="N604" s="34"/>
      <c r="O604" s="34"/>
      <c r="P604" s="34"/>
      <c r="Q604" s="34"/>
      <c r="R604" s="34"/>
      <c r="S604" s="34"/>
      <c r="T604" s="34"/>
      <c r="U604" s="34"/>
      <c r="V604" s="34"/>
    </row>
    <row r="605" spans="2:22" x14ac:dyDescent="0.3">
      <c r="B605" s="33"/>
      <c r="C605" s="34"/>
      <c r="D605" s="34"/>
      <c r="E605" s="34"/>
      <c r="F605" s="34"/>
      <c r="G605" s="34"/>
      <c r="H605" s="34"/>
      <c r="I605" s="34"/>
      <c r="J605" s="34"/>
      <c r="K605" s="35"/>
      <c r="L605" s="34"/>
      <c r="M605" s="34"/>
      <c r="N605" s="34"/>
      <c r="O605" s="34"/>
      <c r="P605" s="34"/>
      <c r="Q605" s="34"/>
      <c r="R605" s="34"/>
      <c r="S605" s="34"/>
      <c r="T605" s="34"/>
      <c r="U605" s="34"/>
      <c r="V605" s="34"/>
    </row>
    <row r="606" spans="2:22" x14ac:dyDescent="0.3">
      <c r="B606" s="33"/>
      <c r="C606" s="34"/>
      <c r="D606" s="34"/>
      <c r="E606" s="34"/>
      <c r="F606" s="34"/>
      <c r="G606" s="34"/>
      <c r="H606" s="34"/>
      <c r="I606" s="34"/>
      <c r="J606" s="34"/>
      <c r="K606" s="35"/>
      <c r="L606" s="34"/>
      <c r="M606" s="34"/>
      <c r="N606" s="34"/>
      <c r="O606" s="34"/>
      <c r="P606" s="34"/>
      <c r="Q606" s="34"/>
      <c r="R606" s="34"/>
      <c r="S606" s="34"/>
      <c r="T606" s="34"/>
      <c r="U606" s="34"/>
      <c r="V606" s="34"/>
    </row>
    <row r="607" spans="2:22" x14ac:dyDescent="0.3">
      <c r="B607" s="33"/>
      <c r="C607" s="34"/>
      <c r="D607" s="34"/>
      <c r="E607" s="34"/>
      <c r="F607" s="34"/>
      <c r="G607" s="34"/>
      <c r="H607" s="34"/>
      <c r="I607" s="34"/>
      <c r="J607" s="34"/>
      <c r="K607" s="35"/>
      <c r="L607" s="34"/>
      <c r="M607" s="34"/>
      <c r="N607" s="34"/>
      <c r="O607" s="34"/>
      <c r="P607" s="34"/>
      <c r="Q607" s="34"/>
      <c r="R607" s="34"/>
      <c r="S607" s="34"/>
      <c r="T607" s="34"/>
      <c r="U607" s="34"/>
      <c r="V607" s="34"/>
    </row>
    <row r="608" spans="2:22" x14ac:dyDescent="0.3">
      <c r="B608" s="33"/>
      <c r="C608" s="34"/>
      <c r="D608" s="34"/>
      <c r="E608" s="34"/>
      <c r="F608" s="34"/>
      <c r="G608" s="34"/>
      <c r="H608" s="34"/>
      <c r="I608" s="34"/>
      <c r="J608" s="34"/>
      <c r="K608" s="35"/>
      <c r="L608" s="34"/>
      <c r="M608" s="34"/>
      <c r="N608" s="34"/>
      <c r="O608" s="34"/>
      <c r="P608" s="34"/>
      <c r="Q608" s="34"/>
      <c r="R608" s="34"/>
      <c r="S608" s="34"/>
      <c r="T608" s="34"/>
      <c r="U608" s="34"/>
      <c r="V608" s="34"/>
    </row>
    <row r="609" spans="2:22" x14ac:dyDescent="0.3">
      <c r="B609" s="33"/>
      <c r="C609" s="34"/>
      <c r="D609" s="34"/>
      <c r="E609" s="34"/>
      <c r="F609" s="34"/>
      <c r="G609" s="34"/>
      <c r="H609" s="34"/>
      <c r="I609" s="34"/>
      <c r="J609" s="34"/>
      <c r="K609" s="35"/>
      <c r="L609" s="34"/>
      <c r="M609" s="34"/>
      <c r="N609" s="34"/>
      <c r="O609" s="34"/>
      <c r="P609" s="34"/>
      <c r="Q609" s="34"/>
      <c r="R609" s="34"/>
      <c r="S609" s="34"/>
      <c r="T609" s="34"/>
      <c r="U609" s="34"/>
      <c r="V609" s="34"/>
    </row>
    <row r="610" spans="2:22" x14ac:dyDescent="0.3">
      <c r="B610" s="33"/>
      <c r="C610" s="34"/>
      <c r="D610" s="34"/>
      <c r="E610" s="34"/>
      <c r="F610" s="34"/>
      <c r="G610" s="34"/>
      <c r="H610" s="34"/>
      <c r="I610" s="34"/>
      <c r="J610" s="34"/>
      <c r="K610" s="35"/>
      <c r="L610" s="34"/>
      <c r="M610" s="34"/>
      <c r="N610" s="34"/>
      <c r="O610" s="34"/>
      <c r="P610" s="34"/>
      <c r="Q610" s="34"/>
      <c r="R610" s="34"/>
      <c r="S610" s="34"/>
      <c r="T610" s="34"/>
      <c r="U610" s="34"/>
      <c r="V610" s="34"/>
    </row>
    <row r="611" spans="2:22" x14ac:dyDescent="0.3">
      <c r="B611" s="33"/>
      <c r="C611" s="34"/>
      <c r="D611" s="34"/>
      <c r="E611" s="34"/>
      <c r="F611" s="34"/>
      <c r="G611" s="34"/>
      <c r="H611" s="34"/>
      <c r="I611" s="34"/>
      <c r="J611" s="34"/>
      <c r="K611" s="35"/>
      <c r="L611" s="34"/>
      <c r="M611" s="34"/>
      <c r="N611" s="34"/>
      <c r="O611" s="34"/>
      <c r="P611" s="34"/>
      <c r="Q611" s="34"/>
      <c r="R611" s="34"/>
      <c r="S611" s="34"/>
      <c r="T611" s="34"/>
      <c r="U611" s="34"/>
      <c r="V611" s="34"/>
    </row>
    <row r="612" spans="2:22" x14ac:dyDescent="0.3">
      <c r="B612" s="33"/>
      <c r="C612" s="34"/>
      <c r="D612" s="34"/>
      <c r="E612" s="34"/>
      <c r="F612" s="34"/>
      <c r="G612" s="34"/>
      <c r="H612" s="34"/>
      <c r="I612" s="34"/>
      <c r="J612" s="34"/>
      <c r="K612" s="35"/>
      <c r="L612" s="34"/>
      <c r="M612" s="34"/>
      <c r="N612" s="34"/>
      <c r="O612" s="34"/>
      <c r="P612" s="34"/>
      <c r="Q612" s="34"/>
      <c r="R612" s="34"/>
      <c r="S612" s="34"/>
      <c r="T612" s="34"/>
      <c r="U612" s="34"/>
      <c r="V612" s="34"/>
    </row>
    <row r="613" spans="2:22" x14ac:dyDescent="0.3">
      <c r="B613" s="33"/>
      <c r="C613" s="34"/>
      <c r="D613" s="34"/>
      <c r="E613" s="34"/>
      <c r="F613" s="34"/>
      <c r="G613" s="34"/>
      <c r="H613" s="34"/>
      <c r="I613" s="34"/>
      <c r="J613" s="34"/>
      <c r="K613" s="35"/>
      <c r="L613" s="34"/>
      <c r="M613" s="34"/>
      <c r="N613" s="34"/>
      <c r="O613" s="34"/>
      <c r="P613" s="34"/>
      <c r="Q613" s="34"/>
      <c r="R613" s="34"/>
      <c r="S613" s="34"/>
      <c r="T613" s="34"/>
      <c r="U613" s="34"/>
      <c r="V613" s="34"/>
    </row>
    <row r="614" spans="2:22" x14ac:dyDescent="0.3">
      <c r="B614" s="33"/>
      <c r="C614" s="34"/>
      <c r="D614" s="34"/>
      <c r="E614" s="34"/>
      <c r="F614" s="34"/>
      <c r="G614" s="34"/>
      <c r="H614" s="34"/>
      <c r="I614" s="34"/>
      <c r="J614" s="34"/>
      <c r="K614" s="35"/>
      <c r="L614" s="34"/>
      <c r="M614" s="34"/>
      <c r="N614" s="34"/>
      <c r="O614" s="34"/>
      <c r="P614" s="34"/>
      <c r="Q614" s="34"/>
      <c r="R614" s="34"/>
      <c r="S614" s="34"/>
      <c r="T614" s="34"/>
      <c r="U614" s="34"/>
      <c r="V614" s="34"/>
    </row>
    <row r="615" spans="2:22" x14ac:dyDescent="0.3">
      <c r="B615" s="33"/>
      <c r="C615" s="34"/>
      <c r="D615" s="34"/>
      <c r="E615" s="34"/>
      <c r="F615" s="34"/>
      <c r="G615" s="34"/>
      <c r="H615" s="34"/>
      <c r="I615" s="34"/>
      <c r="J615" s="34"/>
      <c r="K615" s="35"/>
      <c r="L615" s="34"/>
      <c r="M615" s="34"/>
      <c r="N615" s="34"/>
      <c r="O615" s="34"/>
      <c r="P615" s="34"/>
      <c r="Q615" s="34"/>
      <c r="R615" s="34"/>
      <c r="S615" s="34"/>
      <c r="T615" s="34"/>
      <c r="U615" s="34"/>
      <c r="V615" s="34"/>
    </row>
    <row r="616" spans="2:22" x14ac:dyDescent="0.3">
      <c r="B616" s="33"/>
      <c r="C616" s="34"/>
      <c r="D616" s="34"/>
      <c r="E616" s="34"/>
      <c r="F616" s="34"/>
      <c r="G616" s="34"/>
      <c r="H616" s="34"/>
      <c r="I616" s="34"/>
      <c r="J616" s="34"/>
      <c r="K616" s="35"/>
      <c r="L616" s="34"/>
      <c r="M616" s="34"/>
      <c r="N616" s="34"/>
      <c r="O616" s="34"/>
      <c r="P616" s="34"/>
      <c r="Q616" s="34"/>
      <c r="R616" s="34"/>
      <c r="S616" s="34"/>
      <c r="T616" s="34"/>
      <c r="U616" s="34"/>
      <c r="V616" s="34"/>
    </row>
    <row r="617" spans="2:22" x14ac:dyDescent="0.3">
      <c r="B617" s="33"/>
      <c r="C617" s="34"/>
      <c r="D617" s="34"/>
      <c r="E617" s="34"/>
      <c r="F617" s="34"/>
      <c r="G617" s="34"/>
      <c r="H617" s="34"/>
      <c r="I617" s="34"/>
      <c r="J617" s="34"/>
      <c r="K617" s="35"/>
      <c r="L617" s="34"/>
      <c r="M617" s="34"/>
      <c r="N617" s="34"/>
      <c r="O617" s="34"/>
      <c r="P617" s="34"/>
      <c r="Q617" s="34"/>
      <c r="R617" s="34"/>
      <c r="S617" s="34"/>
      <c r="T617" s="34"/>
      <c r="U617" s="34"/>
      <c r="V617" s="34"/>
    </row>
    <row r="618" spans="2:22" x14ac:dyDescent="0.3">
      <c r="B618" s="33"/>
      <c r="C618" s="34"/>
      <c r="D618" s="34"/>
      <c r="E618" s="34"/>
      <c r="F618" s="34"/>
      <c r="G618" s="34"/>
      <c r="H618" s="34"/>
      <c r="I618" s="34"/>
      <c r="J618" s="34"/>
      <c r="K618" s="35"/>
      <c r="L618" s="34"/>
      <c r="M618" s="34"/>
      <c r="N618" s="34"/>
      <c r="O618" s="34"/>
      <c r="P618" s="34"/>
      <c r="Q618" s="34"/>
      <c r="R618" s="34"/>
      <c r="S618" s="34"/>
      <c r="T618" s="34"/>
      <c r="U618" s="34"/>
      <c r="V618" s="34"/>
    </row>
    <row r="619" spans="2:22" x14ac:dyDescent="0.3">
      <c r="B619" s="33"/>
      <c r="C619" s="34"/>
      <c r="D619" s="34"/>
      <c r="E619" s="34"/>
      <c r="F619" s="34"/>
      <c r="G619" s="34"/>
      <c r="H619" s="34"/>
      <c r="I619" s="34"/>
      <c r="J619" s="34"/>
      <c r="K619" s="35"/>
      <c r="L619" s="34"/>
      <c r="M619" s="34"/>
      <c r="N619" s="34"/>
      <c r="O619" s="34"/>
      <c r="P619" s="34"/>
      <c r="Q619" s="34"/>
      <c r="R619" s="34"/>
      <c r="S619" s="34"/>
      <c r="T619" s="34"/>
      <c r="U619" s="34"/>
      <c r="V619" s="34"/>
    </row>
    <row r="620" spans="2:22" x14ac:dyDescent="0.3">
      <c r="B620" s="33"/>
      <c r="C620" s="34"/>
      <c r="D620" s="34"/>
      <c r="E620" s="34"/>
      <c r="F620" s="34"/>
      <c r="G620" s="34"/>
      <c r="H620" s="34"/>
      <c r="I620" s="34"/>
      <c r="J620" s="34"/>
      <c r="K620" s="35"/>
      <c r="L620" s="34"/>
      <c r="M620" s="34"/>
      <c r="N620" s="34"/>
      <c r="O620" s="34"/>
      <c r="P620" s="34"/>
      <c r="Q620" s="34"/>
      <c r="R620" s="34"/>
      <c r="S620" s="34"/>
      <c r="T620" s="34"/>
      <c r="U620" s="34"/>
      <c r="V620" s="34"/>
    </row>
    <row r="621" spans="2:22" x14ac:dyDescent="0.3">
      <c r="B621" s="33"/>
      <c r="C621" s="34"/>
      <c r="D621" s="34"/>
      <c r="E621" s="34"/>
      <c r="F621" s="34"/>
      <c r="G621" s="34"/>
      <c r="H621" s="34"/>
      <c r="I621" s="34"/>
      <c r="J621" s="34"/>
      <c r="K621" s="35"/>
      <c r="L621" s="34"/>
      <c r="M621" s="34"/>
      <c r="N621" s="34"/>
      <c r="O621" s="34"/>
      <c r="P621" s="34"/>
      <c r="Q621" s="34"/>
      <c r="R621" s="34"/>
      <c r="S621" s="34"/>
      <c r="T621" s="34"/>
      <c r="U621" s="34"/>
      <c r="V621" s="34"/>
    </row>
    <row r="622" spans="2:22" x14ac:dyDescent="0.3">
      <c r="B622" s="33"/>
      <c r="C622" s="34"/>
      <c r="D622" s="34"/>
      <c r="E622" s="34"/>
      <c r="F622" s="34"/>
      <c r="G622" s="34"/>
      <c r="H622" s="34"/>
      <c r="I622" s="34"/>
      <c r="J622" s="34"/>
      <c r="K622" s="35"/>
      <c r="L622" s="34"/>
      <c r="M622" s="34"/>
      <c r="N622" s="34"/>
      <c r="O622" s="34"/>
      <c r="P622" s="34"/>
      <c r="Q622" s="34"/>
      <c r="R622" s="34"/>
      <c r="S622" s="34"/>
      <c r="T622" s="34"/>
      <c r="U622" s="34"/>
      <c r="V622" s="34"/>
    </row>
    <row r="623" spans="2:22" x14ac:dyDescent="0.3">
      <c r="B623" s="33"/>
      <c r="C623" s="34"/>
      <c r="D623" s="34"/>
      <c r="E623" s="34"/>
      <c r="F623" s="34"/>
      <c r="G623" s="34"/>
      <c r="H623" s="34"/>
      <c r="I623" s="34"/>
      <c r="J623" s="34"/>
      <c r="K623" s="35"/>
      <c r="L623" s="34"/>
      <c r="M623" s="34"/>
      <c r="N623" s="34"/>
      <c r="O623" s="34"/>
      <c r="P623" s="34"/>
      <c r="Q623" s="34"/>
      <c r="R623" s="34"/>
      <c r="S623" s="34"/>
      <c r="T623" s="34"/>
      <c r="U623" s="34"/>
      <c r="V623" s="34"/>
    </row>
    <row r="624" spans="2:22" x14ac:dyDescent="0.3">
      <c r="B624" s="33"/>
      <c r="C624" s="34"/>
      <c r="D624" s="34"/>
      <c r="E624" s="34"/>
      <c r="F624" s="34"/>
      <c r="G624" s="34"/>
      <c r="H624" s="34"/>
      <c r="I624" s="34"/>
      <c r="J624" s="34"/>
      <c r="K624" s="35"/>
      <c r="L624" s="34"/>
      <c r="M624" s="34"/>
      <c r="N624" s="34"/>
      <c r="O624" s="34"/>
      <c r="P624" s="34"/>
      <c r="Q624" s="34"/>
      <c r="R624" s="34"/>
      <c r="S624" s="34"/>
      <c r="T624" s="34"/>
      <c r="U624" s="34"/>
      <c r="V624" s="34"/>
    </row>
    <row r="625" spans="2:22" x14ac:dyDescent="0.3">
      <c r="B625" s="33"/>
      <c r="C625" s="34"/>
      <c r="D625" s="34"/>
      <c r="E625" s="34"/>
      <c r="F625" s="34"/>
      <c r="G625" s="34"/>
      <c r="H625" s="34"/>
      <c r="I625" s="34"/>
      <c r="J625" s="34"/>
      <c r="K625" s="35"/>
      <c r="L625" s="34"/>
      <c r="M625" s="34"/>
      <c r="N625" s="34"/>
      <c r="O625" s="34"/>
      <c r="P625" s="34"/>
      <c r="Q625" s="34"/>
      <c r="R625" s="34"/>
      <c r="S625" s="34"/>
      <c r="T625" s="34"/>
      <c r="U625" s="34"/>
      <c r="V625" s="34"/>
    </row>
    <row r="626" spans="2:22" x14ac:dyDescent="0.3">
      <c r="B626" s="33"/>
      <c r="C626" s="34"/>
      <c r="D626" s="34"/>
      <c r="E626" s="34"/>
      <c r="F626" s="34"/>
      <c r="G626" s="34"/>
      <c r="H626" s="34"/>
      <c r="I626" s="34"/>
      <c r="J626" s="34"/>
      <c r="K626" s="35"/>
      <c r="L626" s="34"/>
      <c r="M626" s="34"/>
      <c r="N626" s="34"/>
      <c r="O626" s="34"/>
      <c r="P626" s="34"/>
      <c r="Q626" s="34"/>
      <c r="R626" s="34"/>
      <c r="S626" s="34"/>
      <c r="T626" s="34"/>
      <c r="U626" s="34"/>
      <c r="V626" s="34"/>
    </row>
    <row r="627" spans="2:22" x14ac:dyDescent="0.3">
      <c r="B627" s="33"/>
      <c r="C627" s="34"/>
      <c r="D627" s="34"/>
      <c r="E627" s="34"/>
      <c r="F627" s="34"/>
      <c r="G627" s="34"/>
      <c r="H627" s="34"/>
      <c r="I627" s="34"/>
      <c r="J627" s="34"/>
      <c r="K627" s="35"/>
      <c r="L627" s="34"/>
      <c r="M627" s="34"/>
      <c r="N627" s="34"/>
      <c r="O627" s="34"/>
      <c r="P627" s="34"/>
      <c r="Q627" s="34"/>
      <c r="R627" s="34"/>
      <c r="S627" s="34"/>
      <c r="T627" s="34"/>
      <c r="U627" s="34"/>
      <c r="V627" s="34"/>
    </row>
    <row r="628" spans="2:22" x14ac:dyDescent="0.3">
      <c r="B628" s="33"/>
      <c r="C628" s="34"/>
      <c r="D628" s="34"/>
      <c r="E628" s="34"/>
      <c r="F628" s="34"/>
      <c r="G628" s="34"/>
      <c r="H628" s="34"/>
      <c r="I628" s="34"/>
      <c r="J628" s="34"/>
      <c r="K628" s="35"/>
      <c r="L628" s="34"/>
      <c r="M628" s="34"/>
      <c r="N628" s="34"/>
      <c r="O628" s="34"/>
      <c r="P628" s="34"/>
      <c r="Q628" s="34"/>
      <c r="R628" s="34"/>
      <c r="S628" s="34"/>
      <c r="T628" s="34"/>
      <c r="U628" s="34"/>
      <c r="V628" s="34"/>
    </row>
    <row r="629" spans="2:22" x14ac:dyDescent="0.3">
      <c r="B629" s="33"/>
      <c r="C629" s="34"/>
      <c r="D629" s="34"/>
      <c r="E629" s="34"/>
      <c r="F629" s="34"/>
      <c r="G629" s="34"/>
      <c r="H629" s="34"/>
      <c r="I629" s="34"/>
      <c r="J629" s="34"/>
      <c r="K629" s="35"/>
      <c r="L629" s="34"/>
      <c r="M629" s="34"/>
      <c r="N629" s="34"/>
      <c r="O629" s="34"/>
      <c r="P629" s="34"/>
      <c r="Q629" s="34"/>
      <c r="R629" s="34"/>
      <c r="S629" s="34"/>
      <c r="T629" s="34"/>
      <c r="U629" s="34"/>
      <c r="V629" s="34"/>
    </row>
    <row r="630" spans="2:22" x14ac:dyDescent="0.3">
      <c r="B630" s="33"/>
      <c r="C630" s="34"/>
      <c r="D630" s="34"/>
      <c r="E630" s="34"/>
      <c r="F630" s="34"/>
      <c r="G630" s="34"/>
      <c r="H630" s="34"/>
      <c r="I630" s="34"/>
      <c r="J630" s="34"/>
      <c r="K630" s="35"/>
      <c r="L630" s="34"/>
      <c r="M630" s="34"/>
      <c r="N630" s="34"/>
      <c r="O630" s="34"/>
      <c r="P630" s="34"/>
      <c r="Q630" s="34"/>
      <c r="R630" s="34"/>
      <c r="S630" s="34"/>
      <c r="T630" s="34"/>
      <c r="U630" s="34"/>
      <c r="V630" s="34"/>
    </row>
    <row r="631" spans="2:22" x14ac:dyDescent="0.3">
      <c r="B631" s="33"/>
      <c r="C631" s="34"/>
      <c r="D631" s="34"/>
      <c r="E631" s="34"/>
      <c r="F631" s="34"/>
      <c r="G631" s="34"/>
      <c r="H631" s="34"/>
      <c r="I631" s="34"/>
      <c r="J631" s="34"/>
      <c r="K631" s="35"/>
      <c r="L631" s="34"/>
      <c r="M631" s="34"/>
      <c r="N631" s="34"/>
      <c r="O631" s="34"/>
      <c r="P631" s="34"/>
      <c r="Q631" s="34"/>
      <c r="R631" s="34"/>
      <c r="S631" s="34"/>
      <c r="T631" s="34"/>
      <c r="U631" s="34"/>
      <c r="V631" s="34"/>
    </row>
    <row r="632" spans="2:22" x14ac:dyDescent="0.3">
      <c r="B632" s="33"/>
      <c r="C632" s="34"/>
      <c r="D632" s="34"/>
      <c r="E632" s="34"/>
      <c r="F632" s="34"/>
      <c r="G632" s="34"/>
      <c r="H632" s="34"/>
      <c r="I632" s="34"/>
      <c r="J632" s="34"/>
      <c r="K632" s="35"/>
      <c r="L632" s="34"/>
      <c r="M632" s="34"/>
      <c r="N632" s="34"/>
      <c r="O632" s="34"/>
      <c r="P632" s="34"/>
      <c r="Q632" s="34"/>
      <c r="R632" s="34"/>
      <c r="S632" s="34"/>
      <c r="T632" s="34"/>
      <c r="U632" s="34"/>
      <c r="V632" s="34"/>
    </row>
    <row r="633" spans="2:22" x14ac:dyDescent="0.3">
      <c r="B633" s="33"/>
      <c r="C633" s="34"/>
      <c r="D633" s="34"/>
      <c r="E633" s="34"/>
      <c r="F633" s="34"/>
      <c r="G633" s="34"/>
      <c r="H633" s="34"/>
      <c r="I633" s="34"/>
      <c r="J633" s="34"/>
      <c r="K633" s="35"/>
      <c r="L633" s="34"/>
      <c r="M633" s="34"/>
      <c r="N633" s="34"/>
      <c r="O633" s="34"/>
      <c r="P633" s="34"/>
      <c r="Q633" s="34"/>
      <c r="R633" s="34"/>
      <c r="S633" s="34"/>
      <c r="T633" s="34"/>
      <c r="U633" s="34"/>
      <c r="V633" s="34"/>
    </row>
    <row r="634" spans="2:22" x14ac:dyDescent="0.3">
      <c r="B634" s="33"/>
      <c r="C634" s="34"/>
      <c r="D634" s="34"/>
      <c r="E634" s="34"/>
      <c r="F634" s="34"/>
      <c r="G634" s="34"/>
      <c r="H634" s="34"/>
      <c r="I634" s="34"/>
      <c r="J634" s="34"/>
      <c r="K634" s="35"/>
      <c r="L634" s="34"/>
      <c r="M634" s="34"/>
      <c r="N634" s="34"/>
      <c r="O634" s="34"/>
      <c r="P634" s="34"/>
      <c r="Q634" s="34"/>
      <c r="R634" s="34"/>
      <c r="S634" s="34"/>
      <c r="T634" s="34"/>
      <c r="U634" s="34"/>
      <c r="V634" s="34"/>
    </row>
    <row r="635" spans="2:22" x14ac:dyDescent="0.3">
      <c r="B635" s="33"/>
      <c r="C635" s="34"/>
      <c r="D635" s="34"/>
      <c r="E635" s="34"/>
      <c r="F635" s="34"/>
      <c r="G635" s="34"/>
      <c r="H635" s="34"/>
      <c r="I635" s="34"/>
      <c r="J635" s="34"/>
      <c r="K635" s="35"/>
      <c r="L635" s="34"/>
      <c r="M635" s="34"/>
      <c r="N635" s="34"/>
      <c r="O635" s="34"/>
      <c r="P635" s="34"/>
      <c r="Q635" s="34"/>
      <c r="R635" s="34"/>
      <c r="S635" s="34"/>
      <c r="T635" s="34"/>
      <c r="U635" s="34"/>
      <c r="V635" s="34"/>
    </row>
    <row r="636" spans="2:22" x14ac:dyDescent="0.3">
      <c r="B636" s="33"/>
      <c r="C636" s="34"/>
      <c r="D636" s="34"/>
      <c r="E636" s="34"/>
      <c r="F636" s="34"/>
      <c r="G636" s="34"/>
      <c r="H636" s="34"/>
      <c r="I636" s="34"/>
      <c r="J636" s="34"/>
      <c r="K636" s="35"/>
      <c r="L636" s="34"/>
      <c r="M636" s="34"/>
      <c r="N636" s="34"/>
      <c r="O636" s="34"/>
      <c r="P636" s="34"/>
      <c r="Q636" s="34"/>
      <c r="R636" s="34"/>
      <c r="S636" s="34"/>
      <c r="T636" s="34"/>
      <c r="U636" s="34"/>
      <c r="V636" s="34"/>
    </row>
    <row r="637" spans="2:22" x14ac:dyDescent="0.3">
      <c r="B637" s="33"/>
      <c r="C637" s="34"/>
      <c r="D637" s="34"/>
      <c r="E637" s="34"/>
      <c r="F637" s="34"/>
      <c r="G637" s="34"/>
      <c r="H637" s="34"/>
      <c r="I637" s="34"/>
      <c r="J637" s="34"/>
      <c r="K637" s="35"/>
      <c r="L637" s="34"/>
      <c r="M637" s="34"/>
      <c r="N637" s="34"/>
      <c r="O637" s="34"/>
      <c r="P637" s="34"/>
      <c r="Q637" s="34"/>
      <c r="R637" s="34"/>
      <c r="S637" s="34"/>
      <c r="T637" s="34"/>
      <c r="U637" s="34"/>
      <c r="V637" s="34"/>
    </row>
    <row r="638" spans="2:22" x14ac:dyDescent="0.3">
      <c r="B638" s="33"/>
      <c r="C638" s="34"/>
      <c r="D638" s="34"/>
      <c r="E638" s="34"/>
      <c r="F638" s="34"/>
      <c r="G638" s="34"/>
      <c r="H638" s="34"/>
      <c r="I638" s="34"/>
      <c r="J638" s="34"/>
      <c r="K638" s="35"/>
      <c r="L638" s="34"/>
      <c r="M638" s="34"/>
      <c r="N638" s="34"/>
      <c r="O638" s="34"/>
      <c r="P638" s="34"/>
      <c r="Q638" s="34"/>
      <c r="R638" s="34"/>
      <c r="S638" s="34"/>
      <c r="T638" s="34"/>
      <c r="U638" s="34"/>
      <c r="V638" s="34"/>
    </row>
    <row r="639" spans="2:22" x14ac:dyDescent="0.3">
      <c r="B639" s="33"/>
      <c r="C639" s="34"/>
      <c r="D639" s="34"/>
      <c r="E639" s="34"/>
      <c r="F639" s="34"/>
      <c r="G639" s="34"/>
      <c r="H639" s="34"/>
      <c r="I639" s="34"/>
      <c r="J639" s="34"/>
      <c r="K639" s="35"/>
      <c r="L639" s="34"/>
      <c r="M639" s="34"/>
      <c r="N639" s="34"/>
      <c r="O639" s="34"/>
      <c r="P639" s="34"/>
      <c r="Q639" s="34"/>
      <c r="R639" s="34"/>
      <c r="S639" s="34"/>
      <c r="T639" s="34"/>
      <c r="U639" s="34"/>
      <c r="V639" s="34"/>
    </row>
    <row r="640" spans="2:22" x14ac:dyDescent="0.3">
      <c r="B640" s="33"/>
      <c r="C640" s="34"/>
      <c r="D640" s="34"/>
      <c r="E640" s="34"/>
      <c r="F640" s="34"/>
      <c r="G640" s="34"/>
      <c r="H640" s="34"/>
      <c r="I640" s="34"/>
      <c r="J640" s="34"/>
      <c r="K640" s="35"/>
      <c r="L640" s="34"/>
      <c r="M640" s="34"/>
      <c r="N640" s="34"/>
      <c r="O640" s="34"/>
      <c r="P640" s="34"/>
      <c r="Q640" s="34"/>
      <c r="R640" s="34"/>
      <c r="S640" s="34"/>
      <c r="T640" s="34"/>
      <c r="U640" s="34"/>
      <c r="V640" s="34"/>
    </row>
    <row r="641" spans="2:22" x14ac:dyDescent="0.3">
      <c r="B641" s="33"/>
      <c r="C641" s="34"/>
      <c r="D641" s="34"/>
      <c r="E641" s="34"/>
      <c r="F641" s="34"/>
      <c r="G641" s="34"/>
      <c r="H641" s="34"/>
      <c r="I641" s="34"/>
      <c r="J641" s="34"/>
      <c r="K641" s="35"/>
      <c r="L641" s="34"/>
      <c r="M641" s="34"/>
      <c r="N641" s="34"/>
      <c r="O641" s="34"/>
      <c r="P641" s="34"/>
      <c r="Q641" s="34"/>
      <c r="R641" s="34"/>
      <c r="S641" s="34"/>
      <c r="T641" s="34"/>
      <c r="U641" s="34"/>
      <c r="V641" s="34"/>
    </row>
    <row r="642" spans="2:22" x14ac:dyDescent="0.3">
      <c r="B642" s="33"/>
      <c r="C642" s="34"/>
      <c r="D642" s="34"/>
      <c r="E642" s="34"/>
      <c r="F642" s="34"/>
      <c r="G642" s="34"/>
      <c r="H642" s="34"/>
      <c r="I642" s="34"/>
      <c r="J642" s="34"/>
      <c r="K642" s="35"/>
      <c r="L642" s="34"/>
      <c r="M642" s="34"/>
      <c r="N642" s="34"/>
      <c r="O642" s="34"/>
      <c r="P642" s="34"/>
      <c r="Q642" s="34"/>
      <c r="R642" s="34"/>
      <c r="S642" s="34"/>
      <c r="T642" s="34"/>
      <c r="U642" s="34"/>
      <c r="V642" s="34"/>
    </row>
    <row r="643" spans="2:22" x14ac:dyDescent="0.3">
      <c r="B643" s="33"/>
      <c r="C643" s="34"/>
      <c r="D643" s="34"/>
      <c r="E643" s="34"/>
      <c r="F643" s="34"/>
      <c r="G643" s="34"/>
      <c r="H643" s="34"/>
      <c r="I643" s="34"/>
      <c r="J643" s="34"/>
      <c r="K643" s="35"/>
      <c r="L643" s="34"/>
      <c r="M643" s="34"/>
      <c r="N643" s="34"/>
      <c r="O643" s="34"/>
      <c r="P643" s="34"/>
      <c r="Q643" s="34"/>
      <c r="R643" s="34"/>
      <c r="S643" s="34"/>
      <c r="T643" s="34"/>
      <c r="U643" s="34"/>
      <c r="V643" s="34"/>
    </row>
    <row r="644" spans="2:22" x14ac:dyDescent="0.3">
      <c r="B644" s="33"/>
      <c r="C644" s="34"/>
      <c r="D644" s="34"/>
      <c r="E644" s="34"/>
      <c r="F644" s="34"/>
      <c r="G644" s="34"/>
      <c r="H644" s="34"/>
      <c r="I644" s="34"/>
      <c r="J644" s="34"/>
      <c r="K644" s="35"/>
      <c r="L644" s="34"/>
      <c r="M644" s="34"/>
      <c r="N644" s="34"/>
      <c r="O644" s="34"/>
      <c r="P644" s="34"/>
      <c r="Q644" s="34"/>
      <c r="R644" s="34"/>
      <c r="S644" s="34"/>
      <c r="T644" s="34"/>
      <c r="U644" s="34"/>
      <c r="V644" s="34"/>
    </row>
    <row r="645" spans="2:22" x14ac:dyDescent="0.3">
      <c r="B645" s="33"/>
      <c r="C645" s="34"/>
      <c r="D645" s="34"/>
      <c r="E645" s="34"/>
      <c r="F645" s="34"/>
      <c r="G645" s="34"/>
      <c r="H645" s="34"/>
      <c r="I645" s="34"/>
      <c r="J645" s="34"/>
      <c r="K645" s="35"/>
      <c r="L645" s="34"/>
      <c r="M645" s="34"/>
      <c r="N645" s="34"/>
      <c r="O645" s="34"/>
      <c r="P645" s="34"/>
      <c r="Q645" s="34"/>
      <c r="R645" s="34"/>
      <c r="S645" s="34"/>
      <c r="T645" s="34"/>
      <c r="U645" s="34"/>
      <c r="V645" s="34"/>
    </row>
    <row r="646" spans="2:22" x14ac:dyDescent="0.3">
      <c r="B646" s="33"/>
      <c r="C646" s="34"/>
      <c r="D646" s="34"/>
      <c r="E646" s="34"/>
      <c r="F646" s="34"/>
      <c r="G646" s="34"/>
      <c r="H646" s="34"/>
      <c r="I646" s="34"/>
      <c r="J646" s="34"/>
      <c r="K646" s="35"/>
      <c r="L646" s="34"/>
      <c r="M646" s="34"/>
      <c r="N646" s="34"/>
      <c r="O646" s="34"/>
      <c r="P646" s="34"/>
      <c r="Q646" s="34"/>
      <c r="R646" s="34"/>
      <c r="S646" s="34"/>
      <c r="T646" s="34"/>
      <c r="U646" s="34"/>
      <c r="V646" s="34"/>
    </row>
    <row r="647" spans="2:22" x14ac:dyDescent="0.3">
      <c r="B647" s="33"/>
      <c r="C647" s="34"/>
      <c r="D647" s="34"/>
      <c r="E647" s="34"/>
      <c r="F647" s="34"/>
      <c r="G647" s="34"/>
      <c r="H647" s="34"/>
      <c r="I647" s="34"/>
      <c r="J647" s="34"/>
      <c r="K647" s="35"/>
      <c r="L647" s="34"/>
      <c r="M647" s="34"/>
      <c r="N647" s="34"/>
      <c r="O647" s="34"/>
      <c r="P647" s="34"/>
      <c r="Q647" s="34"/>
      <c r="R647" s="34"/>
      <c r="S647" s="34"/>
      <c r="T647" s="34"/>
      <c r="U647" s="34"/>
      <c r="V647" s="34"/>
    </row>
    <row r="648" spans="2:22" x14ac:dyDescent="0.3">
      <c r="B648" s="33"/>
      <c r="C648" s="34"/>
      <c r="D648" s="34"/>
      <c r="E648" s="34"/>
      <c r="F648" s="34"/>
      <c r="G648" s="34"/>
      <c r="H648" s="34"/>
      <c r="I648" s="34"/>
      <c r="J648" s="34"/>
      <c r="K648" s="35"/>
      <c r="L648" s="34"/>
      <c r="M648" s="34"/>
      <c r="N648" s="34"/>
      <c r="O648" s="34"/>
      <c r="P648" s="34"/>
      <c r="Q648" s="34"/>
      <c r="R648" s="34"/>
      <c r="S648" s="34"/>
      <c r="T648" s="34"/>
      <c r="U648" s="34"/>
      <c r="V648" s="34"/>
    </row>
    <row r="649" spans="2:22" x14ac:dyDescent="0.3">
      <c r="B649" s="33"/>
      <c r="C649" s="34"/>
      <c r="D649" s="34"/>
      <c r="E649" s="34"/>
      <c r="F649" s="34"/>
      <c r="G649" s="34"/>
      <c r="H649" s="34"/>
      <c r="I649" s="34"/>
      <c r="J649" s="34"/>
      <c r="K649" s="35"/>
      <c r="L649" s="34"/>
      <c r="M649" s="34"/>
      <c r="N649" s="34"/>
      <c r="O649" s="34"/>
      <c r="P649" s="34"/>
      <c r="Q649" s="34"/>
      <c r="R649" s="34"/>
      <c r="S649" s="34"/>
      <c r="T649" s="34"/>
      <c r="U649" s="34"/>
      <c r="V649" s="34"/>
    </row>
    <row r="650" spans="2:22" x14ac:dyDescent="0.3">
      <c r="B650" s="33"/>
      <c r="C650" s="34"/>
      <c r="D650" s="34"/>
      <c r="E650" s="34"/>
      <c r="F650" s="34"/>
      <c r="G650" s="34"/>
      <c r="H650" s="34"/>
      <c r="I650" s="34"/>
      <c r="J650" s="34"/>
      <c r="K650" s="35"/>
      <c r="L650" s="34"/>
      <c r="M650" s="34"/>
      <c r="N650" s="34"/>
      <c r="O650" s="34"/>
      <c r="P650" s="34"/>
      <c r="Q650" s="34"/>
      <c r="R650" s="34"/>
      <c r="S650" s="34"/>
      <c r="T650" s="34"/>
      <c r="U650" s="34"/>
      <c r="V650" s="34"/>
    </row>
    <row r="651" spans="2:22" x14ac:dyDescent="0.3">
      <c r="B651" s="33"/>
      <c r="C651" s="34"/>
      <c r="D651" s="34"/>
      <c r="E651" s="34"/>
      <c r="F651" s="34"/>
      <c r="G651" s="34"/>
      <c r="H651" s="34"/>
      <c r="I651" s="34"/>
      <c r="J651" s="34"/>
      <c r="K651" s="35"/>
      <c r="L651" s="34"/>
      <c r="M651" s="34"/>
      <c r="N651" s="34"/>
      <c r="O651" s="34"/>
      <c r="P651" s="34"/>
      <c r="Q651" s="34"/>
      <c r="R651" s="34"/>
      <c r="S651" s="34"/>
      <c r="T651" s="34"/>
      <c r="U651" s="34"/>
      <c r="V651" s="34"/>
    </row>
    <row r="652" spans="2:22" x14ac:dyDescent="0.3">
      <c r="B652" s="33"/>
      <c r="C652" s="34"/>
      <c r="D652" s="34"/>
      <c r="E652" s="34"/>
      <c r="F652" s="34"/>
      <c r="G652" s="34"/>
      <c r="H652" s="34"/>
      <c r="I652" s="34"/>
      <c r="J652" s="34"/>
      <c r="K652" s="35"/>
      <c r="L652" s="34"/>
      <c r="M652" s="34"/>
      <c r="N652" s="34"/>
      <c r="O652" s="34"/>
      <c r="P652" s="34"/>
      <c r="Q652" s="34"/>
      <c r="R652" s="34"/>
      <c r="S652" s="34"/>
      <c r="T652" s="34"/>
      <c r="U652" s="34"/>
      <c r="V652" s="34"/>
    </row>
    <row r="653" spans="2:22" x14ac:dyDescent="0.3">
      <c r="B653" s="33"/>
      <c r="C653" s="34"/>
      <c r="D653" s="34"/>
      <c r="E653" s="34"/>
      <c r="F653" s="34"/>
      <c r="G653" s="34"/>
      <c r="H653" s="34"/>
      <c r="I653" s="34"/>
      <c r="J653" s="34"/>
      <c r="K653" s="35"/>
      <c r="L653" s="34"/>
      <c r="M653" s="34"/>
      <c r="N653" s="34"/>
      <c r="O653" s="34"/>
      <c r="P653" s="34"/>
      <c r="Q653" s="34"/>
      <c r="R653" s="34"/>
      <c r="S653" s="34"/>
      <c r="T653" s="34"/>
      <c r="U653" s="34"/>
      <c r="V653" s="34"/>
    </row>
    <row r="654" spans="2:22" x14ac:dyDescent="0.3">
      <c r="B654" s="33"/>
      <c r="C654" s="34"/>
      <c r="D654" s="34"/>
      <c r="E654" s="34"/>
      <c r="F654" s="34"/>
      <c r="G654" s="34"/>
      <c r="H654" s="34"/>
      <c r="I654" s="34"/>
      <c r="J654" s="34"/>
      <c r="K654" s="35"/>
      <c r="L654" s="34"/>
      <c r="M654" s="34"/>
      <c r="N654" s="34"/>
      <c r="O654" s="34"/>
      <c r="P654" s="34"/>
      <c r="Q654" s="34"/>
      <c r="R654" s="34"/>
      <c r="S654" s="34"/>
      <c r="T654" s="34"/>
      <c r="U654" s="34"/>
      <c r="V654" s="34"/>
    </row>
    <row r="655" spans="2:22" x14ac:dyDescent="0.3">
      <c r="B655" s="33"/>
      <c r="C655" s="34"/>
      <c r="D655" s="34"/>
      <c r="E655" s="34"/>
      <c r="F655" s="34"/>
      <c r="G655" s="34"/>
      <c r="H655" s="34"/>
      <c r="I655" s="34"/>
      <c r="J655" s="34"/>
      <c r="K655" s="35"/>
      <c r="L655" s="34"/>
      <c r="M655" s="34"/>
      <c r="N655" s="34"/>
      <c r="O655" s="34"/>
      <c r="P655" s="34"/>
      <c r="Q655" s="34"/>
      <c r="R655" s="34"/>
      <c r="S655" s="34"/>
      <c r="T655" s="34"/>
      <c r="U655" s="34"/>
      <c r="V655" s="34"/>
    </row>
    <row r="656" spans="2:22" x14ac:dyDescent="0.3">
      <c r="B656" s="33"/>
      <c r="C656" s="34"/>
      <c r="D656" s="34"/>
      <c r="E656" s="34"/>
      <c r="F656" s="34"/>
      <c r="G656" s="34"/>
      <c r="H656" s="34"/>
      <c r="I656" s="34"/>
      <c r="J656" s="34"/>
      <c r="K656" s="35"/>
      <c r="L656" s="34"/>
      <c r="M656" s="34"/>
      <c r="N656" s="34"/>
      <c r="O656" s="34"/>
      <c r="P656" s="34"/>
      <c r="Q656" s="34"/>
      <c r="R656" s="34"/>
      <c r="S656" s="34"/>
      <c r="T656" s="34"/>
      <c r="U656" s="34"/>
      <c r="V656" s="34"/>
    </row>
    <row r="657" spans="2:22" x14ac:dyDescent="0.3">
      <c r="B657" s="33"/>
      <c r="C657" s="34"/>
      <c r="D657" s="34"/>
      <c r="E657" s="34"/>
      <c r="F657" s="34"/>
      <c r="G657" s="34"/>
      <c r="H657" s="34"/>
      <c r="I657" s="34"/>
      <c r="J657" s="34"/>
      <c r="K657" s="35"/>
      <c r="L657" s="34"/>
      <c r="M657" s="34"/>
      <c r="N657" s="34"/>
      <c r="O657" s="34"/>
      <c r="P657" s="34"/>
      <c r="Q657" s="34"/>
      <c r="R657" s="34"/>
      <c r="S657" s="34"/>
      <c r="T657" s="34"/>
      <c r="U657" s="34"/>
      <c r="V657" s="34"/>
    </row>
    <row r="658" spans="2:22" x14ac:dyDescent="0.3">
      <c r="B658" s="33"/>
      <c r="C658" s="34"/>
      <c r="D658" s="34"/>
      <c r="E658" s="34"/>
      <c r="F658" s="34"/>
      <c r="G658" s="34"/>
      <c r="H658" s="34"/>
      <c r="I658" s="34"/>
      <c r="J658" s="34"/>
      <c r="K658" s="35"/>
      <c r="L658" s="34"/>
      <c r="M658" s="34"/>
      <c r="N658" s="34"/>
      <c r="O658" s="34"/>
      <c r="P658" s="34"/>
      <c r="Q658" s="34"/>
      <c r="R658" s="34"/>
      <c r="S658" s="34"/>
      <c r="T658" s="34"/>
      <c r="U658" s="34"/>
      <c r="V658" s="34"/>
    </row>
    <row r="659" spans="2:22" x14ac:dyDescent="0.3">
      <c r="B659" s="33"/>
      <c r="C659" s="34"/>
      <c r="D659" s="34"/>
      <c r="E659" s="34"/>
      <c r="F659" s="34"/>
      <c r="G659" s="34"/>
      <c r="H659" s="34"/>
      <c r="I659" s="34"/>
      <c r="J659" s="34"/>
      <c r="K659" s="35"/>
      <c r="L659" s="34"/>
      <c r="M659" s="34"/>
      <c r="N659" s="34"/>
      <c r="O659" s="34"/>
      <c r="P659" s="34"/>
      <c r="Q659" s="34"/>
      <c r="R659" s="34"/>
      <c r="S659" s="34"/>
      <c r="T659" s="34"/>
      <c r="U659" s="34"/>
      <c r="V659" s="34"/>
    </row>
    <row r="660" spans="2:22" x14ac:dyDescent="0.3">
      <c r="B660" s="33"/>
      <c r="C660" s="34"/>
      <c r="D660" s="34"/>
      <c r="E660" s="34"/>
      <c r="F660" s="34"/>
      <c r="G660" s="34"/>
      <c r="H660" s="34"/>
      <c r="I660" s="34"/>
      <c r="J660" s="34"/>
      <c r="K660" s="35"/>
      <c r="L660" s="34"/>
      <c r="M660" s="34"/>
      <c r="N660" s="34"/>
      <c r="O660" s="34"/>
      <c r="P660" s="34"/>
      <c r="Q660" s="34"/>
      <c r="R660" s="34"/>
      <c r="S660" s="34"/>
      <c r="T660" s="34"/>
      <c r="U660" s="34"/>
      <c r="V660" s="34"/>
    </row>
    <row r="661" spans="2:22" x14ac:dyDescent="0.3">
      <c r="B661" s="33"/>
      <c r="C661" s="34"/>
      <c r="D661" s="34"/>
      <c r="E661" s="34"/>
      <c r="F661" s="34"/>
      <c r="G661" s="34"/>
      <c r="H661" s="34"/>
      <c r="I661" s="34"/>
      <c r="J661" s="34"/>
      <c r="K661" s="35"/>
      <c r="L661" s="34"/>
      <c r="M661" s="34"/>
      <c r="N661" s="34"/>
      <c r="O661" s="34"/>
      <c r="P661" s="34"/>
      <c r="Q661" s="34"/>
      <c r="R661" s="34"/>
      <c r="S661" s="34"/>
      <c r="T661" s="34"/>
      <c r="U661" s="34"/>
      <c r="V661" s="34"/>
    </row>
    <row r="662" spans="2:22" x14ac:dyDescent="0.3">
      <c r="B662" s="33"/>
      <c r="C662" s="34"/>
      <c r="D662" s="34"/>
      <c r="E662" s="34"/>
      <c r="F662" s="34"/>
      <c r="G662" s="34"/>
      <c r="H662" s="34"/>
      <c r="I662" s="34"/>
      <c r="J662" s="34"/>
      <c r="K662" s="35"/>
      <c r="L662" s="34"/>
      <c r="M662" s="34"/>
      <c r="N662" s="34"/>
      <c r="O662" s="34"/>
      <c r="P662" s="34"/>
      <c r="Q662" s="34"/>
      <c r="R662" s="34"/>
      <c r="S662" s="34"/>
      <c r="T662" s="34"/>
      <c r="U662" s="34"/>
      <c r="V662" s="34"/>
    </row>
    <row r="663" spans="2:22" x14ac:dyDescent="0.3">
      <c r="B663" s="33"/>
      <c r="C663" s="34"/>
      <c r="D663" s="34"/>
      <c r="E663" s="34"/>
      <c r="F663" s="34"/>
      <c r="G663" s="34"/>
      <c r="H663" s="34"/>
      <c r="I663" s="34"/>
      <c r="J663" s="34"/>
      <c r="K663" s="35"/>
      <c r="L663" s="34"/>
      <c r="M663" s="34"/>
      <c r="N663" s="34"/>
      <c r="O663" s="34"/>
      <c r="P663" s="34"/>
      <c r="Q663" s="34"/>
      <c r="R663" s="34"/>
      <c r="S663" s="34"/>
      <c r="T663" s="34"/>
      <c r="U663" s="34"/>
      <c r="V663" s="34"/>
    </row>
    <row r="664" spans="2:22" x14ac:dyDescent="0.3">
      <c r="B664" s="33"/>
      <c r="C664" s="34"/>
      <c r="D664" s="34"/>
      <c r="E664" s="34"/>
      <c r="F664" s="34"/>
      <c r="G664" s="34"/>
      <c r="H664" s="34"/>
      <c r="I664" s="34"/>
      <c r="J664" s="34"/>
      <c r="K664" s="35"/>
      <c r="L664" s="34"/>
      <c r="M664" s="34"/>
      <c r="N664" s="34"/>
      <c r="O664" s="34"/>
      <c r="P664" s="34"/>
      <c r="Q664" s="34"/>
      <c r="R664" s="34"/>
      <c r="S664" s="34"/>
      <c r="T664" s="34"/>
      <c r="U664" s="34"/>
      <c r="V664" s="34"/>
    </row>
    <row r="665" spans="2:22" x14ac:dyDescent="0.3">
      <c r="B665" s="33"/>
      <c r="C665" s="34"/>
      <c r="D665" s="34"/>
      <c r="E665" s="34"/>
      <c r="F665" s="34"/>
      <c r="G665" s="34"/>
      <c r="H665" s="34"/>
      <c r="I665" s="34"/>
      <c r="J665" s="34"/>
      <c r="K665" s="35"/>
      <c r="L665" s="34"/>
      <c r="M665" s="34"/>
      <c r="N665" s="34"/>
      <c r="O665" s="34"/>
      <c r="P665" s="34"/>
      <c r="Q665" s="34"/>
      <c r="R665" s="34"/>
      <c r="S665" s="34"/>
      <c r="T665" s="34"/>
      <c r="U665" s="34"/>
      <c r="V665" s="34"/>
    </row>
    <row r="666" spans="2:22" x14ac:dyDescent="0.3">
      <c r="B666" s="33"/>
      <c r="C666" s="34"/>
      <c r="D666" s="34"/>
      <c r="E666" s="34"/>
      <c r="F666" s="34"/>
      <c r="G666" s="34"/>
      <c r="H666" s="34"/>
      <c r="I666" s="34"/>
      <c r="J666" s="34"/>
      <c r="K666" s="35"/>
      <c r="L666" s="34"/>
      <c r="M666" s="34"/>
      <c r="N666" s="34"/>
      <c r="O666" s="34"/>
      <c r="P666" s="34"/>
      <c r="Q666" s="34"/>
      <c r="R666" s="34"/>
      <c r="S666" s="34"/>
      <c r="T666" s="34"/>
      <c r="U666" s="34"/>
      <c r="V666" s="34"/>
    </row>
    <row r="667" spans="2:22" x14ac:dyDescent="0.3">
      <c r="B667" s="33"/>
      <c r="C667" s="34"/>
      <c r="D667" s="34"/>
      <c r="E667" s="34"/>
      <c r="F667" s="34"/>
      <c r="G667" s="34"/>
      <c r="H667" s="34"/>
      <c r="I667" s="34"/>
      <c r="J667" s="34"/>
      <c r="K667" s="35"/>
      <c r="L667" s="34"/>
      <c r="M667" s="34"/>
      <c r="N667" s="34"/>
      <c r="O667" s="34"/>
      <c r="P667" s="34"/>
      <c r="Q667" s="34"/>
      <c r="R667" s="34"/>
      <c r="S667" s="34"/>
      <c r="T667" s="34"/>
      <c r="U667" s="34"/>
      <c r="V667" s="34"/>
    </row>
    <row r="668" spans="2:22" x14ac:dyDescent="0.3">
      <c r="B668" s="33"/>
      <c r="C668" s="34"/>
      <c r="D668" s="34"/>
      <c r="E668" s="34"/>
      <c r="F668" s="34"/>
      <c r="G668" s="34"/>
      <c r="H668" s="34"/>
      <c r="I668" s="34"/>
      <c r="J668" s="34"/>
      <c r="K668" s="35"/>
      <c r="L668" s="34"/>
      <c r="M668" s="34"/>
      <c r="N668" s="34"/>
      <c r="O668" s="34"/>
      <c r="P668" s="34"/>
      <c r="Q668" s="34"/>
      <c r="R668" s="34"/>
      <c r="S668" s="34"/>
      <c r="T668" s="34"/>
      <c r="U668" s="34"/>
      <c r="V668" s="34"/>
    </row>
    <row r="669" spans="2:22" x14ac:dyDescent="0.3">
      <c r="B669" s="33"/>
      <c r="C669" s="34"/>
      <c r="D669" s="34"/>
      <c r="E669" s="34"/>
      <c r="F669" s="34"/>
      <c r="G669" s="34"/>
      <c r="H669" s="34"/>
      <c r="I669" s="34"/>
      <c r="J669" s="34"/>
      <c r="K669" s="35"/>
      <c r="L669" s="34"/>
      <c r="M669" s="34"/>
      <c r="N669" s="34"/>
      <c r="O669" s="34"/>
      <c r="P669" s="34"/>
      <c r="Q669" s="34"/>
      <c r="R669" s="34"/>
      <c r="S669" s="34"/>
      <c r="T669" s="34"/>
      <c r="U669" s="34"/>
      <c r="V669" s="34"/>
    </row>
    <row r="670" spans="2:22" x14ac:dyDescent="0.3">
      <c r="B670" s="33"/>
      <c r="C670" s="34"/>
      <c r="D670" s="34"/>
      <c r="E670" s="34"/>
      <c r="F670" s="34"/>
      <c r="G670" s="34"/>
      <c r="H670" s="34"/>
      <c r="I670" s="34"/>
      <c r="J670" s="34"/>
      <c r="K670" s="35"/>
      <c r="L670" s="34"/>
      <c r="M670" s="34"/>
      <c r="N670" s="34"/>
      <c r="O670" s="34"/>
      <c r="P670" s="34"/>
      <c r="Q670" s="34"/>
      <c r="R670" s="34"/>
      <c r="S670" s="34"/>
      <c r="T670" s="34"/>
      <c r="U670" s="34"/>
      <c r="V670" s="34"/>
    </row>
    <row r="671" spans="2:22" x14ac:dyDescent="0.3">
      <c r="B671" s="33"/>
      <c r="C671" s="34"/>
      <c r="D671" s="34"/>
      <c r="E671" s="34"/>
      <c r="F671" s="34"/>
      <c r="G671" s="34"/>
      <c r="H671" s="34"/>
      <c r="I671" s="34"/>
      <c r="J671" s="34"/>
      <c r="K671" s="35"/>
      <c r="L671" s="34"/>
      <c r="M671" s="34"/>
      <c r="N671" s="34"/>
      <c r="O671" s="34"/>
      <c r="P671" s="34"/>
      <c r="Q671" s="34"/>
      <c r="R671" s="34"/>
      <c r="S671" s="34"/>
      <c r="T671" s="34"/>
      <c r="U671" s="34"/>
      <c r="V671" s="34"/>
    </row>
    <row r="672" spans="2:22" x14ac:dyDescent="0.3">
      <c r="B672" s="33"/>
      <c r="C672" s="34"/>
      <c r="D672" s="34"/>
      <c r="E672" s="34"/>
      <c r="F672" s="34"/>
      <c r="G672" s="34"/>
      <c r="H672" s="34"/>
      <c r="I672" s="34"/>
      <c r="J672" s="34"/>
      <c r="K672" s="35"/>
      <c r="L672" s="34"/>
      <c r="M672" s="34"/>
      <c r="N672" s="34"/>
      <c r="O672" s="34"/>
      <c r="P672" s="34"/>
      <c r="Q672" s="34"/>
      <c r="R672" s="34"/>
      <c r="S672" s="34"/>
      <c r="T672" s="34"/>
      <c r="U672" s="34"/>
      <c r="V672" s="34"/>
    </row>
    <row r="673" spans="2:22" x14ac:dyDescent="0.3">
      <c r="B673" s="33"/>
      <c r="C673" s="34"/>
      <c r="D673" s="34"/>
      <c r="E673" s="34"/>
      <c r="F673" s="34"/>
      <c r="G673" s="34"/>
      <c r="H673" s="34"/>
      <c r="I673" s="34"/>
      <c r="J673" s="34"/>
      <c r="K673" s="35"/>
      <c r="L673" s="34"/>
      <c r="M673" s="34"/>
      <c r="N673" s="34"/>
      <c r="O673" s="34"/>
      <c r="P673" s="34"/>
      <c r="Q673" s="34"/>
      <c r="R673" s="34"/>
      <c r="S673" s="34"/>
      <c r="T673" s="34"/>
      <c r="U673" s="34"/>
      <c r="V673" s="34"/>
    </row>
    <row r="674" spans="2:22" x14ac:dyDescent="0.3">
      <c r="B674" s="33"/>
      <c r="C674" s="34"/>
      <c r="D674" s="34"/>
      <c r="E674" s="34"/>
      <c r="F674" s="34"/>
      <c r="G674" s="34"/>
      <c r="H674" s="34"/>
      <c r="I674" s="34"/>
      <c r="J674" s="34"/>
      <c r="K674" s="35"/>
      <c r="L674" s="34"/>
      <c r="M674" s="34"/>
      <c r="N674" s="34"/>
      <c r="O674" s="34"/>
      <c r="P674" s="34"/>
      <c r="Q674" s="34"/>
      <c r="R674" s="34"/>
      <c r="S674" s="34"/>
      <c r="T674" s="34"/>
      <c r="U674" s="34"/>
      <c r="V674" s="34"/>
    </row>
    <row r="675" spans="2:22" x14ac:dyDescent="0.3">
      <c r="B675" s="33"/>
      <c r="C675" s="34"/>
      <c r="D675" s="34"/>
      <c r="E675" s="34"/>
      <c r="F675" s="34"/>
      <c r="G675" s="34"/>
      <c r="H675" s="34"/>
      <c r="I675" s="34"/>
      <c r="J675" s="34"/>
      <c r="K675" s="35"/>
      <c r="L675" s="34"/>
      <c r="M675" s="34"/>
      <c r="N675" s="34"/>
      <c r="O675" s="34"/>
      <c r="P675" s="34"/>
      <c r="Q675" s="34"/>
      <c r="R675" s="34"/>
      <c r="S675" s="34"/>
      <c r="T675" s="34"/>
      <c r="U675" s="34"/>
      <c r="V675" s="34"/>
    </row>
    <row r="676" spans="2:22" x14ac:dyDescent="0.3">
      <c r="B676" s="33"/>
      <c r="C676" s="34"/>
      <c r="D676" s="34"/>
      <c r="E676" s="34"/>
      <c r="F676" s="34"/>
      <c r="G676" s="34"/>
      <c r="H676" s="34"/>
      <c r="I676" s="34"/>
      <c r="J676" s="34"/>
      <c r="K676" s="35"/>
      <c r="L676" s="34"/>
      <c r="M676" s="34"/>
      <c r="N676" s="34"/>
      <c r="O676" s="34"/>
      <c r="P676" s="34"/>
      <c r="Q676" s="34"/>
      <c r="R676" s="34"/>
      <c r="S676" s="34"/>
      <c r="T676" s="34"/>
      <c r="U676" s="34"/>
      <c r="V676" s="34"/>
    </row>
    <row r="677" spans="2:22" x14ac:dyDescent="0.3">
      <c r="B677" s="33"/>
      <c r="C677" s="34"/>
      <c r="D677" s="34"/>
      <c r="E677" s="34"/>
      <c r="F677" s="34"/>
      <c r="G677" s="34"/>
      <c r="H677" s="34"/>
      <c r="I677" s="34"/>
      <c r="J677" s="34"/>
      <c r="K677" s="35"/>
      <c r="L677" s="34"/>
      <c r="M677" s="34"/>
      <c r="N677" s="34"/>
      <c r="O677" s="34"/>
      <c r="P677" s="34"/>
      <c r="Q677" s="34"/>
      <c r="R677" s="34"/>
      <c r="S677" s="34"/>
      <c r="T677" s="34"/>
      <c r="U677" s="34"/>
      <c r="V677" s="34"/>
    </row>
    <row r="678" spans="2:22" x14ac:dyDescent="0.3">
      <c r="B678" s="33"/>
      <c r="C678" s="34"/>
      <c r="D678" s="34"/>
      <c r="E678" s="34"/>
      <c r="F678" s="34"/>
      <c r="G678" s="34"/>
      <c r="H678" s="34"/>
      <c r="I678" s="34"/>
      <c r="J678" s="34"/>
      <c r="K678" s="35"/>
      <c r="L678" s="34"/>
      <c r="M678" s="34"/>
      <c r="N678" s="34"/>
      <c r="O678" s="34"/>
      <c r="P678" s="34"/>
      <c r="Q678" s="34"/>
      <c r="R678" s="34"/>
      <c r="S678" s="34"/>
      <c r="T678" s="34"/>
      <c r="U678" s="34"/>
      <c r="V678" s="34"/>
    </row>
    <row r="679" spans="2:22" x14ac:dyDescent="0.3">
      <c r="B679" s="33"/>
      <c r="C679" s="34"/>
      <c r="D679" s="34"/>
      <c r="E679" s="34"/>
      <c r="F679" s="34"/>
      <c r="G679" s="34"/>
      <c r="H679" s="34"/>
      <c r="I679" s="34"/>
      <c r="J679" s="34"/>
      <c r="K679" s="35"/>
      <c r="L679" s="34"/>
      <c r="M679" s="34"/>
      <c r="N679" s="34"/>
      <c r="O679" s="34"/>
      <c r="P679" s="34"/>
      <c r="Q679" s="34"/>
      <c r="R679" s="34"/>
      <c r="S679" s="34"/>
      <c r="T679" s="34"/>
      <c r="U679" s="34"/>
      <c r="V679" s="34"/>
    </row>
    <row r="680" spans="2:22" x14ac:dyDescent="0.3">
      <c r="B680" s="33"/>
      <c r="C680" s="34"/>
      <c r="D680" s="34"/>
      <c r="E680" s="34"/>
      <c r="F680" s="34"/>
      <c r="G680" s="34"/>
      <c r="H680" s="34"/>
      <c r="I680" s="34"/>
      <c r="J680" s="34"/>
      <c r="K680" s="35"/>
      <c r="L680" s="34"/>
      <c r="M680" s="34"/>
      <c r="N680" s="34"/>
      <c r="O680" s="34"/>
      <c r="P680" s="34"/>
      <c r="Q680" s="34"/>
      <c r="R680" s="34"/>
      <c r="S680" s="34"/>
      <c r="T680" s="34"/>
      <c r="U680" s="34"/>
      <c r="V680" s="34"/>
    </row>
    <row r="681" spans="2:22" x14ac:dyDescent="0.3">
      <c r="B681" s="33"/>
      <c r="C681" s="34"/>
      <c r="D681" s="34"/>
      <c r="E681" s="34"/>
      <c r="F681" s="34"/>
      <c r="G681" s="34"/>
      <c r="H681" s="34"/>
      <c r="I681" s="34"/>
      <c r="J681" s="34"/>
      <c r="K681" s="35"/>
      <c r="L681" s="34"/>
      <c r="M681" s="34"/>
      <c r="N681" s="34"/>
      <c r="O681" s="34"/>
      <c r="P681" s="34"/>
      <c r="Q681" s="34"/>
      <c r="R681" s="34"/>
      <c r="S681" s="34"/>
      <c r="T681" s="34"/>
      <c r="U681" s="34"/>
      <c r="V681" s="34"/>
    </row>
    <row r="682" spans="2:22" x14ac:dyDescent="0.3">
      <c r="B682" s="33"/>
      <c r="C682" s="34"/>
      <c r="D682" s="34"/>
      <c r="E682" s="34"/>
      <c r="F682" s="34"/>
      <c r="G682" s="34"/>
      <c r="H682" s="34"/>
      <c r="I682" s="34"/>
      <c r="J682" s="34"/>
      <c r="K682" s="35"/>
      <c r="L682" s="34"/>
      <c r="M682" s="34"/>
      <c r="N682" s="34"/>
      <c r="O682" s="34"/>
      <c r="P682" s="34"/>
      <c r="Q682" s="34"/>
      <c r="R682" s="34"/>
      <c r="S682" s="34"/>
      <c r="T682" s="34"/>
      <c r="U682" s="34"/>
      <c r="V682" s="34"/>
    </row>
    <row r="683" spans="2:22" x14ac:dyDescent="0.3">
      <c r="B683" s="33"/>
      <c r="C683" s="34"/>
      <c r="D683" s="34"/>
      <c r="E683" s="34"/>
      <c r="F683" s="34"/>
      <c r="G683" s="34"/>
      <c r="H683" s="34"/>
      <c r="I683" s="34"/>
      <c r="J683" s="34"/>
      <c r="K683" s="35"/>
      <c r="L683" s="34"/>
      <c r="M683" s="34"/>
      <c r="N683" s="34"/>
      <c r="O683" s="34"/>
      <c r="P683" s="34"/>
      <c r="Q683" s="34"/>
      <c r="R683" s="34"/>
      <c r="S683" s="34"/>
      <c r="T683" s="34"/>
      <c r="U683" s="34"/>
      <c r="V683" s="34"/>
    </row>
    <row r="684" spans="2:22" x14ac:dyDescent="0.3">
      <c r="B684" s="33"/>
      <c r="C684" s="34"/>
      <c r="D684" s="34"/>
      <c r="E684" s="34"/>
      <c r="F684" s="34"/>
      <c r="G684" s="34"/>
      <c r="H684" s="34"/>
      <c r="I684" s="34"/>
      <c r="J684" s="34"/>
      <c r="K684" s="35"/>
      <c r="L684" s="34"/>
      <c r="M684" s="34"/>
      <c r="N684" s="34"/>
      <c r="O684" s="34"/>
      <c r="P684" s="34"/>
      <c r="Q684" s="34"/>
      <c r="R684" s="34"/>
      <c r="S684" s="34"/>
      <c r="T684" s="34"/>
      <c r="U684" s="34"/>
      <c r="V684" s="34"/>
    </row>
    <row r="685" spans="2:22" x14ac:dyDescent="0.3">
      <c r="B685" s="33"/>
      <c r="C685" s="34"/>
      <c r="D685" s="34"/>
      <c r="E685" s="34"/>
      <c r="F685" s="34"/>
      <c r="G685" s="34"/>
      <c r="H685" s="34"/>
      <c r="I685" s="34"/>
      <c r="J685" s="34"/>
      <c r="K685" s="35"/>
      <c r="L685" s="34"/>
      <c r="M685" s="34"/>
      <c r="N685" s="34"/>
      <c r="O685" s="34"/>
      <c r="P685" s="34"/>
      <c r="Q685" s="34"/>
      <c r="R685" s="34"/>
      <c r="S685" s="34"/>
      <c r="T685" s="34"/>
      <c r="U685" s="34"/>
      <c r="V685" s="34"/>
    </row>
    <row r="686" spans="2:22" x14ac:dyDescent="0.3">
      <c r="B686" s="33"/>
      <c r="C686" s="34"/>
      <c r="D686" s="34"/>
      <c r="E686" s="34"/>
      <c r="F686" s="34"/>
      <c r="G686" s="34"/>
      <c r="H686" s="34"/>
      <c r="I686" s="34"/>
      <c r="J686" s="34"/>
      <c r="K686" s="35"/>
      <c r="L686" s="34"/>
      <c r="M686" s="34"/>
      <c r="N686" s="34"/>
      <c r="O686" s="34"/>
      <c r="P686" s="34"/>
      <c r="Q686" s="34"/>
      <c r="R686" s="34"/>
      <c r="S686" s="34"/>
      <c r="T686" s="34"/>
      <c r="U686" s="34"/>
      <c r="V686" s="34"/>
    </row>
    <row r="687" spans="2:22" x14ac:dyDescent="0.3">
      <c r="B687" s="33"/>
      <c r="C687" s="34"/>
      <c r="D687" s="34"/>
      <c r="E687" s="34"/>
      <c r="F687" s="34"/>
      <c r="G687" s="34"/>
      <c r="H687" s="34"/>
      <c r="I687" s="34"/>
      <c r="J687" s="34"/>
      <c r="K687" s="35"/>
      <c r="L687" s="34"/>
      <c r="M687" s="34"/>
      <c r="N687" s="34"/>
      <c r="O687" s="34"/>
      <c r="P687" s="34"/>
      <c r="Q687" s="34"/>
      <c r="R687" s="34"/>
      <c r="S687" s="34"/>
      <c r="T687" s="34"/>
      <c r="U687" s="34"/>
      <c r="V687" s="34"/>
    </row>
    <row r="688" spans="2:22" x14ac:dyDescent="0.3">
      <c r="B688" s="33"/>
      <c r="C688" s="34"/>
      <c r="D688" s="34"/>
      <c r="E688" s="34"/>
      <c r="F688" s="34"/>
      <c r="G688" s="34"/>
      <c r="H688" s="34"/>
      <c r="I688" s="34"/>
      <c r="J688" s="34"/>
      <c r="K688" s="35"/>
      <c r="L688" s="34"/>
      <c r="M688" s="34"/>
      <c r="N688" s="34"/>
      <c r="O688" s="34"/>
      <c r="P688" s="34"/>
      <c r="Q688" s="34"/>
      <c r="R688" s="34"/>
      <c r="S688" s="34"/>
      <c r="T688" s="34"/>
      <c r="U688" s="34"/>
      <c r="V688" s="34"/>
    </row>
    <row r="689" spans="2:22" x14ac:dyDescent="0.3">
      <c r="B689" s="33"/>
      <c r="C689" s="34"/>
      <c r="D689" s="34"/>
      <c r="E689" s="34"/>
      <c r="F689" s="34"/>
      <c r="G689" s="34"/>
      <c r="H689" s="34"/>
      <c r="I689" s="34"/>
      <c r="J689" s="34"/>
      <c r="K689" s="35"/>
      <c r="L689" s="34"/>
      <c r="M689" s="34"/>
      <c r="N689" s="34"/>
      <c r="O689" s="34"/>
      <c r="P689" s="34"/>
      <c r="Q689" s="34"/>
      <c r="R689" s="34"/>
      <c r="S689" s="34"/>
      <c r="T689" s="34"/>
      <c r="U689" s="34"/>
      <c r="V689" s="34"/>
    </row>
    <row r="690" spans="2:22" x14ac:dyDescent="0.3">
      <c r="B690" s="33"/>
      <c r="C690" s="34"/>
      <c r="D690" s="34"/>
      <c r="E690" s="34"/>
      <c r="F690" s="34"/>
      <c r="G690" s="34"/>
      <c r="H690" s="34"/>
      <c r="I690" s="34"/>
      <c r="J690" s="34"/>
      <c r="K690" s="35"/>
      <c r="L690" s="34"/>
      <c r="M690" s="34"/>
      <c r="N690" s="34"/>
      <c r="O690" s="34"/>
      <c r="P690" s="34"/>
      <c r="Q690" s="34"/>
      <c r="R690" s="34"/>
      <c r="S690" s="34"/>
      <c r="T690" s="34"/>
      <c r="U690" s="34"/>
      <c r="V690" s="34"/>
    </row>
    <row r="691" spans="2:22" x14ac:dyDescent="0.3">
      <c r="B691" s="33"/>
      <c r="C691" s="34"/>
      <c r="D691" s="34"/>
      <c r="E691" s="34"/>
      <c r="F691" s="34"/>
      <c r="G691" s="34"/>
      <c r="H691" s="34"/>
      <c r="I691" s="34"/>
      <c r="J691" s="34"/>
      <c r="K691" s="35"/>
      <c r="L691" s="34"/>
      <c r="M691" s="34"/>
      <c r="N691" s="34"/>
      <c r="O691" s="34"/>
      <c r="P691" s="34"/>
      <c r="Q691" s="34"/>
      <c r="R691" s="34"/>
      <c r="S691" s="34"/>
      <c r="T691" s="34"/>
      <c r="U691" s="34"/>
      <c r="V691" s="34"/>
    </row>
    <row r="692" spans="2:22" x14ac:dyDescent="0.3">
      <c r="B692" s="33"/>
      <c r="C692" s="34"/>
      <c r="D692" s="34"/>
      <c r="E692" s="34"/>
      <c r="F692" s="34"/>
      <c r="G692" s="34"/>
      <c r="H692" s="34"/>
      <c r="I692" s="34"/>
      <c r="J692" s="34"/>
      <c r="K692" s="35"/>
      <c r="L692" s="34"/>
      <c r="M692" s="34"/>
      <c r="N692" s="34"/>
      <c r="O692" s="34"/>
      <c r="P692" s="34"/>
      <c r="Q692" s="34"/>
      <c r="R692" s="34"/>
      <c r="S692" s="34"/>
      <c r="T692" s="34"/>
      <c r="U692" s="34"/>
      <c r="V692" s="34"/>
    </row>
    <row r="693" spans="2:22" x14ac:dyDescent="0.3">
      <c r="B693" s="33"/>
      <c r="C693" s="34"/>
      <c r="D693" s="34"/>
      <c r="E693" s="34"/>
      <c r="F693" s="34"/>
      <c r="G693" s="34"/>
      <c r="H693" s="34"/>
      <c r="I693" s="34"/>
      <c r="J693" s="34"/>
      <c r="K693" s="35"/>
      <c r="L693" s="34"/>
      <c r="M693" s="34"/>
      <c r="N693" s="34"/>
      <c r="O693" s="34"/>
      <c r="P693" s="34"/>
      <c r="Q693" s="34"/>
      <c r="R693" s="34"/>
      <c r="S693" s="34"/>
      <c r="T693" s="34"/>
      <c r="U693" s="34"/>
      <c r="V693" s="34"/>
    </row>
    <row r="694" spans="2:22" x14ac:dyDescent="0.3">
      <c r="B694" s="33"/>
      <c r="C694" s="34"/>
      <c r="D694" s="34"/>
      <c r="E694" s="34"/>
      <c r="F694" s="34"/>
      <c r="G694" s="34"/>
      <c r="H694" s="34"/>
      <c r="I694" s="34"/>
      <c r="J694" s="34"/>
      <c r="K694" s="35"/>
      <c r="L694" s="34"/>
      <c r="M694" s="34"/>
      <c r="N694" s="34"/>
      <c r="O694" s="34"/>
      <c r="P694" s="34"/>
      <c r="Q694" s="34"/>
      <c r="R694" s="34"/>
      <c r="S694" s="34"/>
      <c r="T694" s="34"/>
      <c r="U694" s="34"/>
      <c r="V694" s="34"/>
    </row>
    <row r="695" spans="2:22" x14ac:dyDescent="0.3">
      <c r="B695" s="33"/>
      <c r="C695" s="34"/>
      <c r="D695" s="34"/>
      <c r="E695" s="34"/>
      <c r="F695" s="34"/>
      <c r="G695" s="34"/>
      <c r="H695" s="34"/>
      <c r="I695" s="34"/>
      <c r="J695" s="34"/>
      <c r="K695" s="35"/>
      <c r="L695" s="34"/>
      <c r="M695" s="34"/>
      <c r="N695" s="34"/>
      <c r="O695" s="34"/>
      <c r="P695" s="34"/>
      <c r="Q695" s="34"/>
      <c r="R695" s="34"/>
      <c r="S695" s="34"/>
      <c r="T695" s="34"/>
      <c r="U695" s="34"/>
      <c r="V695" s="34"/>
    </row>
    <row r="696" spans="2:22" x14ac:dyDescent="0.3">
      <c r="B696" s="33"/>
      <c r="C696" s="34"/>
      <c r="D696" s="34"/>
      <c r="E696" s="34"/>
      <c r="F696" s="34"/>
      <c r="G696" s="34"/>
      <c r="H696" s="34"/>
      <c r="I696" s="34"/>
      <c r="J696" s="34"/>
      <c r="K696" s="35"/>
      <c r="L696" s="34"/>
      <c r="M696" s="34"/>
      <c r="N696" s="34"/>
      <c r="O696" s="34"/>
      <c r="P696" s="34"/>
      <c r="Q696" s="34"/>
      <c r="R696" s="34"/>
      <c r="S696" s="34"/>
      <c r="T696" s="34"/>
      <c r="U696" s="34"/>
      <c r="V696" s="34"/>
    </row>
    <row r="697" spans="2:22" x14ac:dyDescent="0.3">
      <c r="B697" s="33"/>
      <c r="C697" s="34"/>
      <c r="D697" s="34"/>
      <c r="E697" s="34"/>
      <c r="F697" s="34"/>
      <c r="G697" s="34"/>
      <c r="H697" s="34"/>
      <c r="I697" s="34"/>
      <c r="J697" s="34"/>
      <c r="K697" s="35"/>
      <c r="L697" s="34"/>
      <c r="M697" s="34"/>
      <c r="N697" s="34"/>
      <c r="O697" s="34"/>
      <c r="P697" s="34"/>
      <c r="Q697" s="34"/>
      <c r="R697" s="34"/>
      <c r="S697" s="34"/>
      <c r="T697" s="34"/>
      <c r="U697" s="34"/>
      <c r="V697" s="34"/>
    </row>
    <row r="698" spans="2:22" x14ac:dyDescent="0.3">
      <c r="B698" s="33"/>
      <c r="C698" s="34"/>
      <c r="D698" s="34"/>
      <c r="E698" s="34"/>
      <c r="F698" s="34"/>
      <c r="G698" s="34"/>
      <c r="H698" s="34"/>
      <c r="I698" s="34"/>
      <c r="J698" s="34"/>
      <c r="K698" s="35"/>
      <c r="L698" s="34"/>
      <c r="M698" s="34"/>
      <c r="N698" s="34"/>
      <c r="O698" s="34"/>
      <c r="P698" s="34"/>
      <c r="Q698" s="34"/>
      <c r="R698" s="34"/>
      <c r="S698" s="34"/>
      <c r="T698" s="34"/>
      <c r="U698" s="34"/>
      <c r="V698" s="34"/>
    </row>
    <row r="699" spans="2:22" x14ac:dyDescent="0.3">
      <c r="B699" s="33"/>
      <c r="C699" s="34"/>
      <c r="D699" s="34"/>
      <c r="E699" s="34"/>
      <c r="F699" s="34"/>
      <c r="G699" s="34"/>
      <c r="H699" s="34"/>
      <c r="I699" s="34"/>
      <c r="J699" s="34"/>
      <c r="K699" s="35"/>
      <c r="L699" s="34"/>
      <c r="M699" s="34"/>
      <c r="N699" s="34"/>
      <c r="O699" s="34"/>
      <c r="P699" s="34"/>
      <c r="Q699" s="34"/>
      <c r="R699" s="34"/>
      <c r="S699" s="34"/>
      <c r="T699" s="34"/>
      <c r="U699" s="34"/>
      <c r="V699" s="34"/>
    </row>
    <row r="700" spans="2:22" x14ac:dyDescent="0.3">
      <c r="B700" s="33"/>
      <c r="C700" s="34"/>
      <c r="D700" s="34"/>
      <c r="E700" s="34"/>
      <c r="F700" s="34"/>
      <c r="G700" s="34"/>
      <c r="H700" s="34"/>
      <c r="I700" s="34"/>
      <c r="J700" s="34"/>
      <c r="K700" s="35"/>
      <c r="L700" s="34"/>
      <c r="M700" s="34"/>
      <c r="N700" s="34"/>
      <c r="O700" s="34"/>
      <c r="P700" s="34"/>
      <c r="Q700" s="34"/>
      <c r="R700" s="34"/>
      <c r="S700" s="34"/>
      <c r="T700" s="34"/>
      <c r="U700" s="34"/>
      <c r="V700" s="34"/>
    </row>
    <row r="701" spans="2:22" x14ac:dyDescent="0.3">
      <c r="B701" s="33"/>
      <c r="C701" s="34"/>
      <c r="D701" s="34"/>
      <c r="E701" s="34"/>
      <c r="F701" s="34"/>
      <c r="G701" s="34"/>
      <c r="H701" s="34"/>
      <c r="I701" s="34"/>
      <c r="J701" s="34"/>
      <c r="K701" s="35"/>
      <c r="L701" s="34"/>
      <c r="M701" s="34"/>
      <c r="N701" s="34"/>
      <c r="O701" s="34"/>
      <c r="P701" s="34"/>
      <c r="Q701" s="34"/>
      <c r="R701" s="34"/>
      <c r="S701" s="34"/>
      <c r="T701" s="34"/>
      <c r="U701" s="34"/>
      <c r="V701" s="34"/>
    </row>
    <row r="702" spans="2:22" x14ac:dyDescent="0.3">
      <c r="B702" s="33"/>
      <c r="C702" s="34"/>
      <c r="D702" s="34"/>
      <c r="E702" s="34"/>
      <c r="F702" s="34"/>
      <c r="G702" s="34"/>
      <c r="H702" s="34"/>
      <c r="I702" s="34"/>
      <c r="J702" s="34"/>
      <c r="K702" s="35"/>
      <c r="L702" s="34"/>
      <c r="M702" s="34"/>
      <c r="N702" s="34"/>
      <c r="O702" s="34"/>
      <c r="P702" s="34"/>
      <c r="Q702" s="34"/>
      <c r="R702" s="34"/>
      <c r="S702" s="34"/>
      <c r="T702" s="34"/>
      <c r="U702" s="34"/>
      <c r="V702" s="34"/>
    </row>
    <row r="703" spans="2:22" x14ac:dyDescent="0.3">
      <c r="B703" s="33"/>
      <c r="C703" s="34"/>
      <c r="D703" s="34"/>
      <c r="E703" s="34"/>
      <c r="F703" s="34"/>
      <c r="G703" s="34"/>
      <c r="H703" s="34"/>
      <c r="I703" s="34"/>
      <c r="J703" s="34"/>
      <c r="K703" s="35"/>
      <c r="L703" s="34"/>
      <c r="M703" s="34"/>
      <c r="N703" s="34"/>
      <c r="O703" s="34"/>
      <c r="P703" s="34"/>
      <c r="Q703" s="34"/>
      <c r="R703" s="34"/>
      <c r="S703" s="34"/>
      <c r="T703" s="34"/>
      <c r="U703" s="34"/>
      <c r="V703" s="34"/>
    </row>
    <row r="704" spans="2:22" x14ac:dyDescent="0.3">
      <c r="B704" s="33"/>
      <c r="C704" s="34"/>
      <c r="D704" s="34"/>
      <c r="E704" s="34"/>
      <c r="F704" s="34"/>
      <c r="G704" s="34"/>
      <c r="H704" s="34"/>
      <c r="I704" s="34"/>
      <c r="J704" s="34"/>
      <c r="K704" s="35"/>
      <c r="L704" s="34"/>
      <c r="M704" s="34"/>
      <c r="N704" s="34"/>
      <c r="O704" s="34"/>
      <c r="P704" s="34"/>
      <c r="Q704" s="34"/>
      <c r="R704" s="34"/>
      <c r="S704" s="34"/>
      <c r="T704" s="34"/>
      <c r="U704" s="34"/>
      <c r="V704" s="34"/>
    </row>
    <row r="705" spans="2:22" x14ac:dyDescent="0.3">
      <c r="B705" s="33"/>
      <c r="C705" s="34"/>
      <c r="D705" s="34"/>
      <c r="E705" s="34"/>
      <c r="F705" s="34"/>
      <c r="G705" s="34"/>
      <c r="H705" s="34"/>
      <c r="I705" s="34"/>
      <c r="J705" s="34"/>
      <c r="K705" s="35"/>
      <c r="L705" s="34"/>
      <c r="M705" s="34"/>
      <c r="N705" s="34"/>
      <c r="O705" s="34"/>
      <c r="P705" s="34"/>
      <c r="Q705" s="34"/>
      <c r="R705" s="34"/>
      <c r="S705" s="34"/>
      <c r="T705" s="34"/>
      <c r="U705" s="34"/>
      <c r="V705" s="34"/>
    </row>
    <row r="706" spans="2:22" x14ac:dyDescent="0.3">
      <c r="B706" s="33"/>
      <c r="C706" s="34"/>
      <c r="D706" s="34"/>
      <c r="E706" s="34"/>
      <c r="F706" s="34"/>
      <c r="G706" s="34"/>
      <c r="H706" s="34"/>
      <c r="I706" s="34"/>
      <c r="J706" s="34"/>
      <c r="K706" s="35"/>
      <c r="L706" s="34"/>
      <c r="M706" s="34"/>
      <c r="N706" s="34"/>
      <c r="O706" s="34"/>
      <c r="P706" s="34"/>
      <c r="Q706" s="34"/>
      <c r="R706" s="34"/>
      <c r="S706" s="34"/>
      <c r="T706" s="34"/>
      <c r="U706" s="34"/>
      <c r="V706" s="34"/>
    </row>
    <row r="707" spans="2:22" x14ac:dyDescent="0.3">
      <c r="B707" s="33"/>
      <c r="C707" s="34"/>
      <c r="D707" s="34"/>
      <c r="E707" s="34"/>
      <c r="F707" s="34"/>
      <c r="G707" s="34"/>
      <c r="H707" s="34"/>
      <c r="I707" s="34"/>
      <c r="J707" s="34"/>
      <c r="K707" s="35"/>
      <c r="L707" s="34"/>
      <c r="M707" s="34"/>
      <c r="N707" s="34"/>
      <c r="O707" s="34"/>
      <c r="P707" s="34"/>
      <c r="Q707" s="34"/>
      <c r="R707" s="34"/>
      <c r="S707" s="34"/>
      <c r="T707" s="34"/>
      <c r="U707" s="34"/>
      <c r="V707" s="34"/>
    </row>
    <row r="708" spans="2:22" x14ac:dyDescent="0.3">
      <c r="B708" s="33"/>
      <c r="C708" s="34"/>
      <c r="D708" s="34"/>
      <c r="E708" s="34"/>
      <c r="F708" s="34"/>
      <c r="G708" s="34"/>
      <c r="H708" s="34"/>
      <c r="I708" s="34"/>
      <c r="J708" s="34"/>
      <c r="K708" s="35"/>
      <c r="L708" s="34"/>
      <c r="M708" s="34"/>
      <c r="N708" s="34"/>
      <c r="O708" s="34"/>
      <c r="P708" s="34"/>
      <c r="Q708" s="34"/>
      <c r="R708" s="34"/>
      <c r="S708" s="34"/>
      <c r="T708" s="34"/>
      <c r="U708" s="34"/>
      <c r="V708" s="34"/>
    </row>
    <row r="709" spans="2:22" x14ac:dyDescent="0.3">
      <c r="B709" s="33"/>
      <c r="C709" s="34"/>
      <c r="D709" s="34"/>
      <c r="E709" s="34"/>
      <c r="F709" s="34"/>
      <c r="G709" s="34"/>
      <c r="H709" s="34"/>
      <c r="I709" s="34"/>
      <c r="J709" s="34"/>
      <c r="K709" s="35"/>
      <c r="L709" s="34"/>
      <c r="M709" s="34"/>
      <c r="N709" s="34"/>
      <c r="O709" s="34"/>
      <c r="P709" s="34"/>
      <c r="Q709" s="34"/>
      <c r="R709" s="34"/>
      <c r="S709" s="34"/>
      <c r="T709" s="34"/>
      <c r="U709" s="34"/>
      <c r="V709" s="34"/>
    </row>
    <row r="710" spans="2:22" x14ac:dyDescent="0.3">
      <c r="B710" s="33"/>
      <c r="C710" s="34"/>
      <c r="D710" s="34"/>
      <c r="E710" s="34"/>
      <c r="F710" s="34"/>
      <c r="G710" s="34"/>
      <c r="H710" s="34"/>
      <c r="I710" s="34"/>
      <c r="J710" s="34"/>
      <c r="K710" s="35"/>
      <c r="L710" s="34"/>
      <c r="M710" s="34"/>
      <c r="N710" s="34"/>
      <c r="O710" s="34"/>
      <c r="P710" s="34"/>
      <c r="Q710" s="34"/>
      <c r="R710" s="34"/>
      <c r="S710" s="34"/>
      <c r="T710" s="34"/>
      <c r="U710" s="34"/>
      <c r="V710" s="34"/>
    </row>
    <row r="711" spans="2:22" x14ac:dyDescent="0.3">
      <c r="B711" s="33"/>
      <c r="C711" s="34"/>
      <c r="D711" s="34"/>
      <c r="E711" s="34"/>
      <c r="F711" s="34"/>
      <c r="G711" s="34"/>
      <c r="H711" s="34"/>
      <c r="I711" s="34"/>
      <c r="J711" s="34"/>
      <c r="K711" s="35"/>
      <c r="L711" s="34"/>
      <c r="M711" s="34"/>
      <c r="N711" s="34"/>
      <c r="O711" s="34"/>
      <c r="P711" s="34"/>
      <c r="Q711" s="34"/>
      <c r="R711" s="34"/>
      <c r="S711" s="34"/>
      <c r="T711" s="34"/>
      <c r="U711" s="34"/>
      <c r="V711" s="34"/>
    </row>
    <row r="712" spans="2:22" x14ac:dyDescent="0.3">
      <c r="B712" s="33"/>
      <c r="C712" s="34"/>
      <c r="D712" s="34"/>
      <c r="E712" s="34"/>
      <c r="F712" s="34"/>
      <c r="G712" s="34"/>
      <c r="H712" s="34"/>
      <c r="I712" s="34"/>
      <c r="J712" s="34"/>
      <c r="K712" s="35"/>
      <c r="L712" s="34"/>
      <c r="M712" s="34"/>
      <c r="N712" s="34"/>
      <c r="O712" s="34"/>
      <c r="P712" s="34"/>
      <c r="Q712" s="34"/>
      <c r="R712" s="34"/>
      <c r="S712" s="34"/>
      <c r="T712" s="34"/>
      <c r="U712" s="34"/>
      <c r="V712" s="34"/>
    </row>
    <row r="713" spans="2:22" x14ac:dyDescent="0.3">
      <c r="B713" s="33"/>
      <c r="C713" s="34"/>
      <c r="D713" s="34"/>
      <c r="E713" s="34"/>
      <c r="F713" s="34"/>
      <c r="G713" s="34"/>
      <c r="H713" s="34"/>
      <c r="I713" s="34"/>
      <c r="J713" s="34"/>
      <c r="K713" s="35"/>
      <c r="L713" s="34"/>
      <c r="M713" s="34"/>
      <c r="N713" s="34"/>
      <c r="O713" s="34"/>
      <c r="P713" s="34"/>
      <c r="Q713" s="34"/>
      <c r="R713" s="34"/>
      <c r="S713" s="34"/>
      <c r="T713" s="34"/>
      <c r="U713" s="34"/>
      <c r="V713" s="34"/>
    </row>
    <row r="714" spans="2:22" x14ac:dyDescent="0.3">
      <c r="B714" s="33"/>
      <c r="C714" s="34"/>
      <c r="D714" s="34"/>
      <c r="E714" s="34"/>
      <c r="F714" s="34"/>
      <c r="G714" s="34"/>
      <c r="H714" s="34"/>
      <c r="I714" s="34"/>
      <c r="J714" s="34"/>
      <c r="K714" s="35"/>
      <c r="L714" s="34"/>
      <c r="M714" s="34"/>
      <c r="N714" s="34"/>
      <c r="O714" s="34"/>
      <c r="P714" s="34"/>
      <c r="Q714" s="34"/>
      <c r="R714" s="34"/>
      <c r="S714" s="34"/>
      <c r="T714" s="34"/>
      <c r="U714" s="34"/>
      <c r="V714" s="34"/>
    </row>
    <row r="715" spans="2:22" x14ac:dyDescent="0.3">
      <c r="B715" s="33"/>
      <c r="C715" s="34"/>
      <c r="D715" s="34"/>
      <c r="E715" s="34"/>
      <c r="F715" s="34"/>
      <c r="G715" s="34"/>
      <c r="H715" s="34"/>
      <c r="I715" s="34"/>
      <c r="J715" s="34"/>
      <c r="K715" s="35"/>
      <c r="L715" s="34"/>
      <c r="M715" s="34"/>
      <c r="N715" s="34"/>
      <c r="O715" s="34"/>
      <c r="P715" s="34"/>
      <c r="Q715" s="34"/>
      <c r="R715" s="34"/>
      <c r="S715" s="34"/>
      <c r="T715" s="34"/>
      <c r="U715" s="34"/>
      <c r="V715" s="34"/>
    </row>
    <row r="716" spans="2:22" x14ac:dyDescent="0.3">
      <c r="B716" s="33"/>
      <c r="C716" s="34"/>
      <c r="D716" s="34"/>
      <c r="E716" s="34"/>
      <c r="F716" s="34"/>
      <c r="G716" s="34"/>
      <c r="H716" s="34"/>
      <c r="I716" s="34"/>
      <c r="J716" s="34"/>
      <c r="K716" s="35"/>
      <c r="L716" s="34"/>
      <c r="M716" s="34"/>
      <c r="N716" s="34"/>
      <c r="O716" s="34"/>
      <c r="P716" s="34"/>
      <c r="Q716" s="34"/>
      <c r="R716" s="34"/>
      <c r="S716" s="34"/>
      <c r="T716" s="34"/>
      <c r="U716" s="34"/>
      <c r="V716" s="34"/>
    </row>
    <row r="717" spans="2:22" x14ac:dyDescent="0.3">
      <c r="B717" s="33"/>
      <c r="C717" s="34"/>
      <c r="D717" s="34"/>
      <c r="E717" s="34"/>
      <c r="F717" s="34"/>
      <c r="G717" s="34"/>
      <c r="H717" s="34"/>
      <c r="I717" s="34"/>
      <c r="J717" s="34"/>
      <c r="K717" s="35"/>
      <c r="L717" s="34"/>
      <c r="M717" s="34"/>
      <c r="N717" s="34"/>
      <c r="O717" s="34"/>
      <c r="P717" s="34"/>
      <c r="Q717" s="34"/>
      <c r="R717" s="34"/>
      <c r="S717" s="34"/>
      <c r="T717" s="34"/>
      <c r="U717" s="34"/>
      <c r="V717" s="34"/>
    </row>
    <row r="718" spans="2:22" x14ac:dyDescent="0.3">
      <c r="B718" s="33"/>
      <c r="C718" s="34"/>
      <c r="D718" s="34"/>
      <c r="E718" s="34"/>
      <c r="F718" s="34"/>
      <c r="G718" s="34"/>
      <c r="H718" s="34"/>
      <c r="I718" s="34"/>
      <c r="J718" s="34"/>
      <c r="K718" s="35"/>
      <c r="L718" s="34"/>
      <c r="M718" s="34"/>
      <c r="N718" s="34"/>
      <c r="O718" s="34"/>
      <c r="P718" s="34"/>
      <c r="Q718" s="34"/>
      <c r="R718" s="34"/>
      <c r="S718" s="34"/>
      <c r="T718" s="34"/>
      <c r="U718" s="34"/>
      <c r="V718" s="34"/>
    </row>
    <row r="719" spans="2:22" x14ac:dyDescent="0.3">
      <c r="B719" s="33"/>
      <c r="C719" s="34"/>
      <c r="D719" s="34"/>
      <c r="E719" s="34"/>
      <c r="F719" s="34"/>
      <c r="G719" s="34"/>
      <c r="H719" s="34"/>
      <c r="I719" s="34"/>
      <c r="J719" s="34"/>
      <c r="K719" s="35"/>
      <c r="L719" s="34"/>
      <c r="M719" s="34"/>
      <c r="N719" s="34"/>
      <c r="O719" s="34"/>
      <c r="P719" s="34"/>
      <c r="Q719" s="34"/>
      <c r="R719" s="34"/>
      <c r="S719" s="34"/>
      <c r="T719" s="34"/>
      <c r="U719" s="34"/>
      <c r="V719" s="34"/>
    </row>
    <row r="720" spans="2:22" x14ac:dyDescent="0.3">
      <c r="B720" s="33"/>
      <c r="C720" s="34"/>
      <c r="D720" s="34"/>
      <c r="E720" s="34"/>
      <c r="F720" s="34"/>
      <c r="G720" s="34"/>
      <c r="H720" s="34"/>
      <c r="I720" s="34"/>
      <c r="J720" s="34"/>
      <c r="K720" s="35"/>
      <c r="L720" s="34"/>
      <c r="M720" s="34"/>
      <c r="N720" s="34"/>
      <c r="O720" s="34"/>
      <c r="P720" s="34"/>
      <c r="Q720" s="34"/>
      <c r="R720" s="34"/>
      <c r="S720" s="34"/>
      <c r="T720" s="34"/>
      <c r="U720" s="34"/>
      <c r="V720" s="34"/>
    </row>
    <row r="721" spans="2:22" x14ac:dyDescent="0.3">
      <c r="B721" s="33"/>
      <c r="C721" s="34"/>
      <c r="D721" s="34"/>
      <c r="E721" s="34"/>
      <c r="F721" s="34"/>
      <c r="G721" s="34"/>
      <c r="H721" s="34"/>
      <c r="I721" s="34"/>
      <c r="J721" s="34"/>
      <c r="K721" s="35"/>
      <c r="L721" s="34"/>
      <c r="M721" s="34"/>
      <c r="N721" s="34"/>
      <c r="O721" s="34"/>
      <c r="P721" s="34"/>
      <c r="Q721" s="34"/>
      <c r="R721" s="34"/>
      <c r="S721" s="34"/>
      <c r="T721" s="34"/>
      <c r="U721" s="34"/>
      <c r="V721" s="34"/>
    </row>
    <row r="722" spans="2:22" x14ac:dyDescent="0.3">
      <c r="B722" s="33"/>
      <c r="C722" s="34"/>
      <c r="D722" s="34"/>
      <c r="E722" s="34"/>
      <c r="F722" s="34"/>
      <c r="G722" s="34"/>
      <c r="H722" s="34"/>
      <c r="I722" s="34"/>
      <c r="J722" s="34"/>
      <c r="K722" s="35"/>
      <c r="L722" s="34"/>
      <c r="M722" s="34"/>
      <c r="N722" s="34"/>
      <c r="O722" s="34"/>
      <c r="P722" s="34"/>
      <c r="Q722" s="34"/>
      <c r="R722" s="34"/>
      <c r="S722" s="34"/>
      <c r="T722" s="34"/>
      <c r="U722" s="34"/>
      <c r="V722" s="34"/>
    </row>
    <row r="723" spans="2:22" x14ac:dyDescent="0.3">
      <c r="B723" s="33"/>
      <c r="C723" s="34"/>
      <c r="D723" s="34"/>
      <c r="E723" s="34"/>
      <c r="F723" s="34"/>
      <c r="G723" s="34"/>
      <c r="H723" s="34"/>
      <c r="I723" s="34"/>
      <c r="J723" s="34"/>
      <c r="K723" s="35"/>
      <c r="L723" s="34"/>
      <c r="M723" s="34"/>
      <c r="N723" s="34"/>
      <c r="O723" s="34"/>
      <c r="P723" s="34"/>
      <c r="Q723" s="34"/>
      <c r="R723" s="34"/>
      <c r="S723" s="34"/>
      <c r="T723" s="34"/>
      <c r="U723" s="34"/>
      <c r="V723" s="34"/>
    </row>
    <row r="724" spans="2:22" x14ac:dyDescent="0.3">
      <c r="B724" s="33"/>
      <c r="C724" s="34"/>
      <c r="D724" s="34"/>
      <c r="E724" s="34"/>
      <c r="F724" s="34"/>
      <c r="G724" s="34"/>
      <c r="H724" s="34"/>
      <c r="I724" s="34"/>
      <c r="J724" s="34"/>
      <c r="K724" s="35"/>
      <c r="L724" s="34"/>
      <c r="M724" s="34"/>
      <c r="N724" s="34"/>
      <c r="O724" s="34"/>
      <c r="P724" s="34"/>
      <c r="Q724" s="34"/>
      <c r="R724" s="34"/>
      <c r="S724" s="34"/>
      <c r="T724" s="34"/>
      <c r="U724" s="34"/>
      <c r="V724" s="34"/>
    </row>
    <row r="725" spans="2:22" x14ac:dyDescent="0.3">
      <c r="B725" s="33"/>
      <c r="C725" s="34"/>
      <c r="D725" s="34"/>
      <c r="E725" s="34"/>
      <c r="F725" s="34"/>
      <c r="G725" s="34"/>
      <c r="H725" s="34"/>
      <c r="I725" s="34"/>
      <c r="J725" s="34"/>
      <c r="K725" s="35"/>
      <c r="L725" s="34"/>
      <c r="M725" s="34"/>
      <c r="N725" s="34"/>
      <c r="O725" s="34"/>
      <c r="P725" s="34"/>
      <c r="Q725" s="34"/>
      <c r="R725" s="34"/>
      <c r="S725" s="34"/>
      <c r="T725" s="34"/>
      <c r="U725" s="34"/>
      <c r="V725" s="34"/>
    </row>
    <row r="726" spans="2:22" x14ac:dyDescent="0.3">
      <c r="B726" s="33"/>
      <c r="C726" s="34"/>
      <c r="D726" s="34"/>
      <c r="E726" s="34"/>
      <c r="F726" s="34"/>
      <c r="G726" s="34"/>
      <c r="H726" s="34"/>
      <c r="I726" s="34"/>
      <c r="J726" s="34"/>
      <c r="K726" s="35"/>
      <c r="L726" s="34"/>
      <c r="M726" s="34"/>
      <c r="N726" s="34"/>
      <c r="O726" s="34"/>
      <c r="P726" s="34"/>
      <c r="Q726" s="34"/>
      <c r="R726" s="34"/>
      <c r="S726" s="34"/>
      <c r="T726" s="34"/>
      <c r="U726" s="34"/>
      <c r="V726" s="34"/>
    </row>
    <row r="727" spans="2:22" x14ac:dyDescent="0.3">
      <c r="B727" s="33"/>
      <c r="C727" s="34"/>
      <c r="D727" s="34"/>
      <c r="E727" s="34"/>
      <c r="F727" s="34"/>
      <c r="G727" s="34"/>
      <c r="H727" s="34"/>
      <c r="I727" s="34"/>
      <c r="J727" s="34"/>
      <c r="K727" s="35"/>
      <c r="L727" s="34"/>
      <c r="M727" s="34"/>
      <c r="N727" s="34"/>
      <c r="O727" s="34"/>
      <c r="P727" s="34"/>
      <c r="Q727" s="34"/>
      <c r="R727" s="34"/>
      <c r="S727" s="34"/>
      <c r="T727" s="34"/>
      <c r="U727" s="34"/>
      <c r="V727" s="34"/>
    </row>
    <row r="728" spans="2:22" x14ac:dyDescent="0.3">
      <c r="B728" s="33"/>
      <c r="C728" s="34"/>
      <c r="D728" s="34"/>
      <c r="E728" s="34"/>
      <c r="F728" s="34"/>
      <c r="G728" s="34"/>
      <c r="H728" s="34"/>
      <c r="I728" s="34"/>
      <c r="J728" s="34"/>
      <c r="K728" s="35"/>
      <c r="L728" s="34"/>
      <c r="M728" s="34"/>
      <c r="N728" s="34"/>
      <c r="O728" s="34"/>
      <c r="P728" s="34"/>
      <c r="Q728" s="34"/>
      <c r="R728" s="34"/>
      <c r="S728" s="34"/>
      <c r="T728" s="34"/>
      <c r="U728" s="34"/>
      <c r="V728" s="34"/>
    </row>
    <row r="729" spans="2:22" x14ac:dyDescent="0.3">
      <c r="B729" s="33"/>
      <c r="C729" s="34"/>
      <c r="D729" s="34"/>
      <c r="E729" s="34"/>
      <c r="F729" s="34"/>
      <c r="G729" s="34"/>
      <c r="H729" s="34"/>
      <c r="I729" s="34"/>
      <c r="J729" s="34"/>
      <c r="K729" s="35"/>
      <c r="L729" s="34"/>
      <c r="M729" s="34"/>
      <c r="N729" s="34"/>
      <c r="O729" s="34"/>
      <c r="P729" s="34"/>
      <c r="Q729" s="34"/>
      <c r="R729" s="34"/>
      <c r="S729" s="34"/>
      <c r="T729" s="34"/>
      <c r="U729" s="34"/>
      <c r="V729" s="34"/>
    </row>
    <row r="730" spans="2:22" x14ac:dyDescent="0.3">
      <c r="B730" s="33"/>
      <c r="C730" s="34"/>
      <c r="D730" s="34"/>
      <c r="E730" s="34"/>
      <c r="F730" s="34"/>
      <c r="G730" s="34"/>
      <c r="H730" s="34"/>
      <c r="I730" s="34"/>
      <c r="J730" s="34"/>
      <c r="K730" s="35"/>
      <c r="L730" s="34"/>
      <c r="M730" s="34"/>
      <c r="N730" s="34"/>
      <c r="O730" s="34"/>
      <c r="P730" s="34"/>
      <c r="Q730" s="34"/>
      <c r="R730" s="34"/>
      <c r="S730" s="34"/>
      <c r="T730" s="34"/>
      <c r="U730" s="34"/>
      <c r="V730" s="34"/>
    </row>
    <row r="731" spans="2:22" x14ac:dyDescent="0.3">
      <c r="B731" s="33"/>
      <c r="C731" s="34"/>
      <c r="D731" s="34"/>
      <c r="E731" s="34"/>
      <c r="F731" s="34"/>
      <c r="G731" s="34"/>
      <c r="H731" s="34"/>
      <c r="I731" s="34"/>
      <c r="J731" s="34"/>
      <c r="K731" s="35"/>
      <c r="L731" s="34"/>
      <c r="M731" s="34"/>
      <c r="N731" s="34"/>
      <c r="O731" s="34"/>
      <c r="P731" s="34"/>
      <c r="Q731" s="34"/>
      <c r="R731" s="34"/>
      <c r="S731" s="34"/>
      <c r="T731" s="34"/>
      <c r="U731" s="34"/>
      <c r="V731" s="34"/>
    </row>
    <row r="732" spans="2:22" x14ac:dyDescent="0.3">
      <c r="B732" s="33"/>
      <c r="C732" s="34"/>
      <c r="D732" s="34"/>
      <c r="E732" s="34"/>
      <c r="F732" s="34"/>
      <c r="G732" s="34"/>
      <c r="H732" s="34"/>
      <c r="I732" s="34"/>
      <c r="J732" s="34"/>
      <c r="K732" s="35"/>
      <c r="L732" s="34"/>
      <c r="M732" s="34"/>
      <c r="N732" s="34"/>
      <c r="O732" s="34"/>
      <c r="P732" s="34"/>
      <c r="Q732" s="34"/>
      <c r="R732" s="34"/>
      <c r="S732" s="34"/>
      <c r="T732" s="34"/>
      <c r="U732" s="34"/>
      <c r="V732" s="34"/>
    </row>
    <row r="733" spans="2:22" x14ac:dyDescent="0.3">
      <c r="B733" s="33"/>
      <c r="C733" s="34"/>
      <c r="D733" s="34"/>
      <c r="E733" s="34"/>
      <c r="F733" s="34"/>
      <c r="G733" s="34"/>
      <c r="H733" s="34"/>
      <c r="I733" s="34"/>
      <c r="J733" s="34"/>
      <c r="K733" s="35"/>
      <c r="L733" s="34"/>
      <c r="M733" s="34"/>
      <c r="N733" s="34"/>
      <c r="O733" s="34"/>
      <c r="P733" s="34"/>
      <c r="Q733" s="34"/>
      <c r="R733" s="34"/>
      <c r="S733" s="34"/>
      <c r="T733" s="34"/>
      <c r="U733" s="34"/>
      <c r="V733" s="34"/>
    </row>
    <row r="734" spans="2:22" x14ac:dyDescent="0.3">
      <c r="B734" s="33"/>
      <c r="C734" s="34"/>
      <c r="D734" s="34"/>
      <c r="E734" s="34"/>
      <c r="F734" s="34"/>
      <c r="G734" s="34"/>
      <c r="H734" s="34"/>
      <c r="I734" s="34"/>
      <c r="J734" s="34"/>
      <c r="K734" s="35"/>
      <c r="L734" s="34"/>
      <c r="M734" s="34"/>
      <c r="N734" s="34"/>
      <c r="O734" s="34"/>
      <c r="P734" s="34"/>
      <c r="Q734" s="34"/>
      <c r="R734" s="34"/>
      <c r="S734" s="34"/>
      <c r="T734" s="34"/>
      <c r="U734" s="34"/>
      <c r="V734" s="34"/>
    </row>
    <row r="735" spans="2:22" x14ac:dyDescent="0.3">
      <c r="B735" s="33"/>
      <c r="C735" s="34"/>
      <c r="D735" s="34"/>
      <c r="E735" s="34"/>
      <c r="F735" s="34"/>
      <c r="G735" s="34"/>
      <c r="H735" s="34"/>
      <c r="I735" s="34"/>
      <c r="J735" s="34"/>
      <c r="K735" s="35"/>
      <c r="L735" s="34"/>
      <c r="M735" s="34"/>
      <c r="N735" s="34"/>
      <c r="O735" s="34"/>
      <c r="P735" s="34"/>
      <c r="Q735" s="34"/>
      <c r="R735" s="34"/>
      <c r="S735" s="34"/>
      <c r="T735" s="34"/>
      <c r="U735" s="34"/>
      <c r="V735" s="34"/>
    </row>
    <row r="736" spans="2:22" x14ac:dyDescent="0.3">
      <c r="B736" s="33"/>
      <c r="C736" s="34"/>
      <c r="D736" s="34"/>
      <c r="E736" s="34"/>
      <c r="F736" s="34"/>
      <c r="G736" s="34"/>
      <c r="H736" s="34"/>
      <c r="I736" s="34"/>
      <c r="J736" s="34"/>
      <c r="K736" s="35"/>
      <c r="L736" s="34"/>
      <c r="M736" s="34"/>
      <c r="N736" s="34"/>
      <c r="O736" s="34"/>
      <c r="P736" s="34"/>
      <c r="Q736" s="34"/>
      <c r="R736" s="34"/>
      <c r="S736" s="34"/>
      <c r="T736" s="34"/>
      <c r="U736" s="34"/>
      <c r="V736" s="34"/>
    </row>
    <row r="737" spans="2:22" x14ac:dyDescent="0.3">
      <c r="B737" s="33"/>
      <c r="C737" s="34"/>
      <c r="D737" s="34"/>
      <c r="E737" s="34"/>
      <c r="F737" s="34"/>
      <c r="G737" s="34"/>
      <c r="H737" s="34"/>
      <c r="I737" s="34"/>
      <c r="J737" s="34"/>
      <c r="K737" s="35"/>
      <c r="L737" s="34"/>
      <c r="M737" s="34"/>
      <c r="N737" s="34"/>
      <c r="O737" s="34"/>
      <c r="P737" s="34"/>
      <c r="Q737" s="34"/>
      <c r="R737" s="34"/>
      <c r="S737" s="34"/>
      <c r="T737" s="34"/>
      <c r="U737" s="34"/>
      <c r="V737" s="34"/>
    </row>
    <row r="738" spans="2:22" x14ac:dyDescent="0.3">
      <c r="B738" s="33"/>
      <c r="C738" s="34"/>
      <c r="D738" s="34"/>
      <c r="E738" s="34"/>
      <c r="F738" s="34"/>
      <c r="G738" s="34"/>
      <c r="H738" s="34"/>
      <c r="I738" s="34"/>
      <c r="J738" s="34"/>
      <c r="K738" s="35"/>
      <c r="L738" s="34"/>
      <c r="M738" s="34"/>
      <c r="N738" s="34"/>
      <c r="O738" s="34"/>
      <c r="P738" s="34"/>
      <c r="Q738" s="34"/>
      <c r="R738" s="34"/>
      <c r="S738" s="34"/>
      <c r="T738" s="34"/>
      <c r="U738" s="34"/>
      <c r="V738" s="34"/>
    </row>
    <row r="739" spans="2:22" x14ac:dyDescent="0.3">
      <c r="B739" s="33"/>
      <c r="C739" s="34"/>
      <c r="D739" s="34"/>
      <c r="E739" s="34"/>
      <c r="F739" s="34"/>
      <c r="G739" s="34"/>
      <c r="H739" s="34"/>
      <c r="I739" s="34"/>
      <c r="J739" s="34"/>
      <c r="K739" s="35"/>
      <c r="L739" s="34"/>
      <c r="M739" s="34"/>
      <c r="N739" s="34"/>
      <c r="O739" s="34"/>
      <c r="P739" s="34"/>
      <c r="Q739" s="34"/>
      <c r="R739" s="34"/>
      <c r="S739" s="34"/>
      <c r="T739" s="34"/>
      <c r="U739" s="34"/>
      <c r="V739" s="34"/>
    </row>
    <row r="740" spans="2:22" x14ac:dyDescent="0.3">
      <c r="B740" s="33"/>
      <c r="C740" s="34"/>
      <c r="D740" s="34"/>
      <c r="E740" s="34"/>
      <c r="F740" s="34"/>
      <c r="G740" s="34"/>
      <c r="H740" s="34"/>
      <c r="I740" s="34"/>
      <c r="J740" s="34"/>
      <c r="K740" s="35"/>
      <c r="L740" s="34"/>
      <c r="M740" s="34"/>
      <c r="N740" s="34"/>
      <c r="O740" s="34"/>
      <c r="P740" s="34"/>
      <c r="Q740" s="34"/>
      <c r="R740" s="34"/>
      <c r="S740" s="34"/>
      <c r="T740" s="34"/>
      <c r="U740" s="34"/>
      <c r="V740" s="34"/>
    </row>
    <row r="741" spans="2:22" x14ac:dyDescent="0.3">
      <c r="B741" s="33"/>
      <c r="C741" s="34"/>
      <c r="D741" s="34"/>
      <c r="E741" s="34"/>
      <c r="F741" s="34"/>
      <c r="G741" s="34"/>
      <c r="H741" s="34"/>
      <c r="I741" s="34"/>
      <c r="J741" s="34"/>
      <c r="K741" s="35"/>
      <c r="L741" s="34"/>
      <c r="M741" s="34"/>
      <c r="N741" s="34"/>
      <c r="O741" s="34"/>
      <c r="P741" s="34"/>
      <c r="Q741" s="34"/>
      <c r="R741" s="34"/>
      <c r="S741" s="34"/>
      <c r="T741" s="34"/>
      <c r="U741" s="34"/>
      <c r="V741" s="34"/>
    </row>
    <row r="742" spans="2:22" x14ac:dyDescent="0.3">
      <c r="B742" s="33"/>
      <c r="C742" s="34"/>
      <c r="D742" s="34"/>
      <c r="E742" s="34"/>
      <c r="F742" s="34"/>
      <c r="G742" s="34"/>
      <c r="H742" s="34"/>
      <c r="I742" s="34"/>
      <c r="J742" s="34"/>
      <c r="K742" s="35"/>
      <c r="L742" s="34"/>
      <c r="M742" s="34"/>
      <c r="N742" s="34"/>
      <c r="O742" s="34"/>
      <c r="P742" s="34"/>
      <c r="Q742" s="34"/>
      <c r="R742" s="34"/>
      <c r="S742" s="34"/>
      <c r="T742" s="34"/>
      <c r="U742" s="34"/>
      <c r="V742" s="34"/>
    </row>
    <row r="743" spans="2:22" x14ac:dyDescent="0.3">
      <c r="B743" s="33"/>
      <c r="C743" s="34"/>
      <c r="D743" s="34"/>
      <c r="E743" s="34"/>
      <c r="F743" s="34"/>
      <c r="G743" s="34"/>
      <c r="H743" s="34"/>
      <c r="I743" s="34"/>
      <c r="J743" s="34"/>
      <c r="K743" s="35"/>
      <c r="L743" s="34"/>
      <c r="M743" s="34"/>
      <c r="N743" s="34"/>
      <c r="O743" s="34"/>
      <c r="P743" s="34"/>
      <c r="Q743" s="34"/>
      <c r="R743" s="34"/>
      <c r="S743" s="34"/>
      <c r="T743" s="34"/>
      <c r="U743" s="34"/>
      <c r="V743" s="34"/>
    </row>
    <row r="744" spans="2:22" x14ac:dyDescent="0.3">
      <c r="B744" s="33"/>
      <c r="C744" s="34"/>
      <c r="D744" s="34"/>
      <c r="E744" s="34"/>
      <c r="F744" s="34"/>
      <c r="G744" s="34"/>
      <c r="H744" s="34"/>
      <c r="I744" s="34"/>
      <c r="J744" s="34"/>
      <c r="K744" s="35"/>
      <c r="L744" s="34"/>
      <c r="M744" s="34"/>
      <c r="N744" s="34"/>
      <c r="O744" s="34"/>
      <c r="P744" s="34"/>
      <c r="Q744" s="34"/>
      <c r="R744" s="34"/>
      <c r="S744" s="34"/>
      <c r="T744" s="34"/>
      <c r="U744" s="34"/>
      <c r="V744" s="34"/>
    </row>
    <row r="745" spans="2:22" x14ac:dyDescent="0.3">
      <c r="B745" s="33"/>
      <c r="C745" s="34"/>
      <c r="D745" s="34"/>
      <c r="E745" s="34"/>
      <c r="F745" s="34"/>
      <c r="G745" s="34"/>
      <c r="H745" s="34"/>
      <c r="I745" s="34"/>
      <c r="J745" s="34"/>
      <c r="K745" s="35"/>
      <c r="L745" s="34"/>
      <c r="M745" s="34"/>
      <c r="N745" s="34"/>
      <c r="O745" s="34"/>
      <c r="P745" s="34"/>
      <c r="Q745" s="34"/>
      <c r="R745" s="34"/>
      <c r="S745" s="34"/>
      <c r="T745" s="34"/>
      <c r="U745" s="34"/>
      <c r="V745" s="34"/>
    </row>
    <row r="746" spans="2:22" x14ac:dyDescent="0.3">
      <c r="B746" s="33"/>
      <c r="C746" s="34"/>
      <c r="D746" s="34"/>
      <c r="E746" s="34"/>
      <c r="F746" s="34"/>
      <c r="G746" s="34"/>
      <c r="H746" s="34"/>
      <c r="I746" s="34"/>
      <c r="J746" s="34"/>
      <c r="K746" s="35"/>
      <c r="L746" s="34"/>
      <c r="M746" s="34"/>
      <c r="N746" s="34"/>
      <c r="O746" s="34"/>
      <c r="P746" s="34"/>
      <c r="Q746" s="34"/>
      <c r="R746" s="34"/>
      <c r="S746" s="34"/>
      <c r="T746" s="34"/>
      <c r="U746" s="34"/>
      <c r="V746" s="34"/>
    </row>
    <row r="747" spans="2:22" x14ac:dyDescent="0.3">
      <c r="B747" s="33"/>
      <c r="C747" s="34"/>
      <c r="D747" s="34"/>
      <c r="E747" s="34"/>
      <c r="F747" s="34"/>
      <c r="G747" s="34"/>
      <c r="H747" s="34"/>
      <c r="I747" s="34"/>
      <c r="J747" s="34"/>
      <c r="K747" s="35"/>
      <c r="L747" s="34"/>
      <c r="M747" s="34"/>
      <c r="N747" s="34"/>
      <c r="O747" s="34"/>
      <c r="P747" s="34"/>
      <c r="Q747" s="34"/>
      <c r="R747" s="34"/>
      <c r="S747" s="34"/>
      <c r="T747" s="34"/>
      <c r="U747" s="34"/>
      <c r="V747" s="34"/>
    </row>
    <row r="748" spans="2:22" x14ac:dyDescent="0.3">
      <c r="B748" s="33"/>
      <c r="C748" s="34"/>
      <c r="D748" s="34"/>
      <c r="E748" s="34"/>
      <c r="F748" s="34"/>
      <c r="G748" s="34"/>
      <c r="H748" s="34"/>
      <c r="I748" s="34"/>
      <c r="J748" s="34"/>
      <c r="K748" s="35"/>
      <c r="L748" s="34"/>
      <c r="M748" s="34"/>
      <c r="N748" s="34"/>
      <c r="O748" s="34"/>
      <c r="P748" s="34"/>
      <c r="Q748" s="34"/>
      <c r="R748" s="34"/>
      <c r="S748" s="34"/>
      <c r="T748" s="34"/>
      <c r="U748" s="34"/>
      <c r="V748" s="34"/>
    </row>
    <row r="749" spans="2:22" x14ac:dyDescent="0.3">
      <c r="B749" s="33"/>
      <c r="C749" s="34"/>
      <c r="D749" s="34"/>
      <c r="E749" s="34"/>
      <c r="F749" s="34"/>
      <c r="G749" s="34"/>
      <c r="H749" s="34"/>
      <c r="I749" s="34"/>
      <c r="J749" s="34"/>
      <c r="K749" s="35"/>
      <c r="L749" s="34"/>
      <c r="M749" s="34"/>
      <c r="N749" s="34"/>
      <c r="O749" s="34"/>
      <c r="P749" s="34"/>
      <c r="Q749" s="34"/>
      <c r="R749" s="34"/>
      <c r="S749" s="34"/>
      <c r="T749" s="34"/>
      <c r="U749" s="34"/>
      <c r="V749" s="34"/>
    </row>
    <row r="750" spans="2:22" x14ac:dyDescent="0.3">
      <c r="B750" s="33"/>
      <c r="C750" s="34"/>
      <c r="D750" s="34"/>
      <c r="E750" s="34"/>
      <c r="F750" s="34"/>
      <c r="G750" s="34"/>
      <c r="H750" s="34"/>
      <c r="I750" s="34"/>
      <c r="J750" s="34"/>
      <c r="K750" s="35"/>
      <c r="L750" s="34"/>
      <c r="M750" s="34"/>
      <c r="N750" s="34"/>
      <c r="O750" s="34"/>
      <c r="P750" s="34"/>
      <c r="Q750" s="34"/>
      <c r="R750" s="34"/>
      <c r="S750" s="34"/>
      <c r="T750" s="34"/>
      <c r="U750" s="34"/>
      <c r="V750" s="34"/>
    </row>
    <row r="751" spans="2:22" x14ac:dyDescent="0.3">
      <c r="B751" s="33"/>
      <c r="C751" s="34"/>
      <c r="D751" s="34"/>
      <c r="E751" s="34"/>
      <c r="F751" s="34"/>
      <c r="G751" s="34"/>
      <c r="H751" s="34"/>
      <c r="I751" s="34"/>
      <c r="J751" s="34"/>
      <c r="K751" s="35"/>
      <c r="L751" s="34"/>
      <c r="M751" s="34"/>
      <c r="N751" s="34"/>
      <c r="O751" s="34"/>
      <c r="P751" s="34"/>
      <c r="Q751" s="34"/>
      <c r="R751" s="34"/>
      <c r="S751" s="34"/>
      <c r="T751" s="34"/>
      <c r="U751" s="34"/>
      <c r="V751" s="34"/>
    </row>
    <row r="752" spans="2:22" x14ac:dyDescent="0.3">
      <c r="B752" s="33"/>
      <c r="C752" s="34"/>
      <c r="D752" s="34"/>
      <c r="E752" s="34"/>
      <c r="F752" s="34"/>
      <c r="G752" s="34"/>
      <c r="H752" s="34"/>
      <c r="I752" s="34"/>
      <c r="J752" s="34"/>
      <c r="K752" s="35"/>
      <c r="L752" s="34"/>
      <c r="M752" s="34"/>
      <c r="N752" s="34"/>
      <c r="O752" s="34"/>
      <c r="P752" s="34"/>
      <c r="Q752" s="34"/>
      <c r="R752" s="34"/>
      <c r="S752" s="34"/>
      <c r="T752" s="34"/>
      <c r="U752" s="34"/>
      <c r="V752" s="34"/>
    </row>
    <row r="753" spans="2:22" x14ac:dyDescent="0.3">
      <c r="B753" s="33"/>
      <c r="C753" s="34"/>
      <c r="D753" s="34"/>
      <c r="E753" s="34"/>
      <c r="F753" s="34"/>
      <c r="G753" s="34"/>
      <c r="H753" s="34"/>
      <c r="I753" s="34"/>
      <c r="J753" s="34"/>
      <c r="K753" s="35"/>
      <c r="L753" s="34"/>
      <c r="M753" s="34"/>
      <c r="N753" s="34"/>
      <c r="O753" s="34"/>
      <c r="P753" s="34"/>
      <c r="Q753" s="34"/>
      <c r="R753" s="34"/>
      <c r="S753" s="34"/>
      <c r="T753" s="34"/>
      <c r="U753" s="34"/>
      <c r="V753" s="34"/>
    </row>
    <row r="754" spans="2:22" x14ac:dyDescent="0.3">
      <c r="B754" s="33"/>
      <c r="C754" s="34"/>
      <c r="D754" s="34"/>
      <c r="E754" s="34"/>
      <c r="F754" s="34"/>
      <c r="G754" s="34"/>
      <c r="H754" s="34"/>
      <c r="I754" s="34"/>
      <c r="J754" s="34"/>
      <c r="K754" s="35"/>
      <c r="L754" s="34"/>
      <c r="M754" s="34"/>
      <c r="N754" s="34"/>
      <c r="O754" s="34"/>
      <c r="P754" s="34"/>
      <c r="Q754" s="34"/>
      <c r="R754" s="34"/>
      <c r="S754" s="34"/>
      <c r="T754" s="34"/>
      <c r="U754" s="34"/>
      <c r="V754" s="34"/>
    </row>
    <row r="755" spans="2:22" x14ac:dyDescent="0.3">
      <c r="B755" s="33"/>
      <c r="C755" s="34"/>
      <c r="D755" s="34"/>
      <c r="E755" s="34"/>
      <c r="F755" s="34"/>
      <c r="G755" s="34"/>
      <c r="H755" s="34"/>
      <c r="I755" s="34"/>
      <c r="J755" s="34"/>
      <c r="K755" s="35"/>
      <c r="L755" s="34"/>
      <c r="M755" s="34"/>
      <c r="N755" s="34"/>
      <c r="O755" s="34"/>
      <c r="P755" s="34"/>
      <c r="Q755" s="34"/>
      <c r="R755" s="34"/>
      <c r="S755" s="34"/>
      <c r="T755" s="34"/>
      <c r="U755" s="34"/>
      <c r="V755" s="34"/>
    </row>
    <row r="756" spans="2:22" x14ac:dyDescent="0.3">
      <c r="B756" s="33"/>
      <c r="C756" s="34"/>
      <c r="D756" s="34"/>
      <c r="E756" s="34"/>
      <c r="F756" s="34"/>
      <c r="G756" s="34"/>
      <c r="H756" s="34"/>
      <c r="I756" s="34"/>
      <c r="J756" s="34"/>
      <c r="K756" s="35"/>
      <c r="L756" s="34"/>
      <c r="M756" s="34"/>
      <c r="N756" s="34"/>
      <c r="O756" s="34"/>
      <c r="P756" s="34"/>
      <c r="Q756" s="34"/>
      <c r="R756" s="34"/>
      <c r="S756" s="34"/>
      <c r="T756" s="34"/>
      <c r="U756" s="34"/>
      <c r="V756" s="34"/>
    </row>
    <row r="757" spans="2:22" x14ac:dyDescent="0.3">
      <c r="B757" s="33"/>
      <c r="C757" s="34"/>
      <c r="D757" s="34"/>
      <c r="E757" s="34"/>
      <c r="F757" s="34"/>
      <c r="G757" s="34"/>
      <c r="H757" s="34"/>
      <c r="I757" s="34"/>
      <c r="J757" s="34"/>
      <c r="K757" s="35"/>
      <c r="L757" s="34"/>
      <c r="M757" s="34"/>
      <c r="N757" s="34"/>
      <c r="O757" s="34"/>
      <c r="P757" s="34"/>
      <c r="Q757" s="34"/>
      <c r="R757" s="34"/>
      <c r="S757" s="34"/>
      <c r="T757" s="34"/>
      <c r="U757" s="34"/>
      <c r="V757" s="34"/>
    </row>
    <row r="758" spans="2:22" x14ac:dyDescent="0.3">
      <c r="B758" s="33"/>
      <c r="C758" s="34"/>
      <c r="D758" s="34"/>
      <c r="E758" s="34"/>
      <c r="F758" s="34"/>
      <c r="G758" s="34"/>
      <c r="H758" s="34"/>
      <c r="I758" s="34"/>
      <c r="J758" s="34"/>
      <c r="K758" s="35"/>
      <c r="L758" s="34"/>
      <c r="M758" s="34"/>
      <c r="N758" s="34"/>
      <c r="O758" s="34"/>
      <c r="P758" s="34"/>
      <c r="Q758" s="34"/>
      <c r="R758" s="34"/>
      <c r="S758" s="34"/>
      <c r="T758" s="34"/>
      <c r="U758" s="34"/>
      <c r="V758" s="34"/>
    </row>
    <row r="759" spans="2:22" x14ac:dyDescent="0.3">
      <c r="B759" s="33"/>
      <c r="C759" s="34"/>
      <c r="D759" s="34"/>
      <c r="E759" s="34"/>
      <c r="F759" s="34"/>
      <c r="G759" s="34"/>
      <c r="H759" s="34"/>
      <c r="I759" s="34"/>
      <c r="J759" s="34"/>
      <c r="K759" s="35"/>
      <c r="L759" s="34"/>
      <c r="M759" s="34"/>
      <c r="N759" s="34"/>
      <c r="O759" s="34"/>
      <c r="P759" s="34"/>
      <c r="Q759" s="34"/>
      <c r="R759" s="34"/>
      <c r="S759" s="34"/>
      <c r="T759" s="34"/>
      <c r="U759" s="34"/>
      <c r="V759" s="34"/>
    </row>
    <row r="760" spans="2:22" x14ac:dyDescent="0.3">
      <c r="B760" s="33"/>
      <c r="C760" s="34"/>
      <c r="D760" s="34"/>
      <c r="E760" s="34"/>
      <c r="F760" s="34"/>
      <c r="G760" s="34"/>
      <c r="H760" s="34"/>
      <c r="I760" s="34"/>
      <c r="J760" s="34"/>
      <c r="K760" s="35"/>
      <c r="L760" s="34"/>
      <c r="M760" s="34"/>
      <c r="N760" s="34"/>
      <c r="O760" s="34"/>
      <c r="P760" s="34"/>
      <c r="Q760" s="34"/>
      <c r="R760" s="34"/>
      <c r="S760" s="34"/>
      <c r="T760" s="34"/>
      <c r="U760" s="34"/>
      <c r="V760" s="34"/>
    </row>
    <row r="761" spans="2:22" x14ac:dyDescent="0.3">
      <c r="B761" s="33"/>
      <c r="C761" s="34"/>
      <c r="D761" s="34"/>
      <c r="E761" s="34"/>
      <c r="F761" s="34"/>
      <c r="G761" s="34"/>
      <c r="H761" s="34"/>
      <c r="I761" s="34"/>
      <c r="J761" s="34"/>
      <c r="K761" s="35"/>
      <c r="L761" s="34"/>
      <c r="M761" s="34"/>
      <c r="N761" s="34"/>
      <c r="O761" s="34"/>
      <c r="P761" s="34"/>
      <c r="Q761" s="34"/>
      <c r="R761" s="34"/>
      <c r="S761" s="34"/>
      <c r="T761" s="34"/>
      <c r="U761" s="34"/>
      <c r="V761" s="34"/>
    </row>
    <row r="762" spans="2:22" x14ac:dyDescent="0.3">
      <c r="B762" s="33"/>
      <c r="C762" s="34"/>
      <c r="D762" s="34"/>
      <c r="E762" s="34"/>
      <c r="F762" s="34"/>
      <c r="G762" s="34"/>
      <c r="H762" s="34"/>
      <c r="I762" s="34"/>
      <c r="J762" s="34"/>
      <c r="K762" s="35"/>
      <c r="L762" s="34"/>
      <c r="M762" s="34"/>
      <c r="N762" s="34"/>
      <c r="O762" s="34"/>
      <c r="P762" s="34"/>
      <c r="Q762" s="34"/>
      <c r="R762" s="34"/>
      <c r="S762" s="34"/>
      <c r="T762" s="34"/>
      <c r="U762" s="34"/>
      <c r="V762" s="34"/>
    </row>
    <row r="763" spans="2:22" x14ac:dyDescent="0.3">
      <c r="B763" s="33"/>
      <c r="C763" s="34"/>
      <c r="D763" s="34"/>
      <c r="E763" s="34"/>
      <c r="F763" s="34"/>
      <c r="G763" s="34"/>
      <c r="H763" s="34"/>
      <c r="I763" s="34"/>
      <c r="J763" s="34"/>
      <c r="K763" s="35"/>
      <c r="L763" s="34"/>
      <c r="M763" s="34"/>
      <c r="N763" s="34"/>
      <c r="O763" s="34"/>
      <c r="P763" s="34"/>
      <c r="Q763" s="34"/>
      <c r="R763" s="34"/>
      <c r="S763" s="34"/>
      <c r="T763" s="34"/>
      <c r="U763" s="34"/>
      <c r="V763" s="34"/>
    </row>
    <row r="764" spans="2:22" x14ac:dyDescent="0.3">
      <c r="B764" s="33"/>
      <c r="C764" s="34"/>
      <c r="D764" s="34"/>
      <c r="E764" s="34"/>
      <c r="F764" s="34"/>
      <c r="G764" s="34"/>
      <c r="H764" s="34"/>
      <c r="I764" s="34"/>
      <c r="J764" s="34"/>
      <c r="K764" s="35"/>
      <c r="L764" s="34"/>
      <c r="M764" s="34"/>
      <c r="N764" s="34"/>
      <c r="O764" s="34"/>
      <c r="P764" s="34"/>
      <c r="Q764" s="34"/>
      <c r="R764" s="34"/>
      <c r="S764" s="34"/>
      <c r="T764" s="34"/>
      <c r="U764" s="34"/>
      <c r="V764" s="34"/>
    </row>
    <row r="765" spans="2:22" x14ac:dyDescent="0.3">
      <c r="B765" s="33"/>
      <c r="C765" s="34"/>
      <c r="D765" s="34"/>
      <c r="E765" s="34"/>
      <c r="F765" s="34"/>
      <c r="G765" s="34"/>
      <c r="H765" s="34"/>
      <c r="I765" s="34"/>
      <c r="J765" s="34"/>
      <c r="K765" s="35"/>
      <c r="L765" s="34"/>
      <c r="M765" s="34"/>
      <c r="N765" s="34"/>
      <c r="O765" s="34"/>
      <c r="P765" s="34"/>
      <c r="Q765" s="34"/>
      <c r="R765" s="34"/>
      <c r="S765" s="34"/>
      <c r="T765" s="34"/>
      <c r="U765" s="34"/>
      <c r="V765" s="34"/>
    </row>
    <row r="766" spans="2:22" x14ac:dyDescent="0.3">
      <c r="B766" s="33"/>
      <c r="C766" s="34"/>
      <c r="D766" s="34"/>
      <c r="E766" s="34"/>
      <c r="F766" s="34"/>
      <c r="G766" s="34"/>
      <c r="H766" s="34"/>
      <c r="I766" s="34"/>
      <c r="J766" s="34"/>
      <c r="K766" s="35"/>
      <c r="L766" s="34"/>
      <c r="M766" s="34"/>
      <c r="N766" s="34"/>
      <c r="O766" s="34"/>
      <c r="P766" s="34"/>
      <c r="Q766" s="34"/>
      <c r="R766" s="34"/>
      <c r="S766" s="34"/>
      <c r="T766" s="34"/>
      <c r="U766" s="34"/>
      <c r="V766" s="34"/>
    </row>
    <row r="767" spans="2:22" x14ac:dyDescent="0.3">
      <c r="B767" s="33"/>
      <c r="C767" s="34"/>
      <c r="D767" s="34"/>
      <c r="E767" s="34"/>
      <c r="F767" s="34"/>
      <c r="G767" s="34"/>
      <c r="H767" s="34"/>
      <c r="I767" s="34"/>
      <c r="J767" s="34"/>
      <c r="K767" s="35"/>
      <c r="L767" s="34"/>
      <c r="M767" s="34"/>
      <c r="N767" s="34"/>
      <c r="O767" s="34"/>
      <c r="P767" s="34"/>
      <c r="Q767" s="34"/>
      <c r="R767" s="34"/>
      <c r="S767" s="34"/>
      <c r="T767" s="34"/>
      <c r="U767" s="34"/>
      <c r="V767" s="34"/>
    </row>
    <row r="768" spans="2:22" x14ac:dyDescent="0.3">
      <c r="B768" s="33"/>
      <c r="C768" s="34"/>
      <c r="D768" s="34"/>
      <c r="E768" s="34"/>
      <c r="F768" s="34"/>
      <c r="G768" s="34"/>
      <c r="H768" s="34"/>
      <c r="I768" s="34"/>
      <c r="J768" s="34"/>
      <c r="K768" s="35"/>
      <c r="L768" s="34"/>
      <c r="M768" s="34"/>
      <c r="N768" s="34"/>
      <c r="O768" s="34"/>
      <c r="P768" s="34"/>
      <c r="Q768" s="34"/>
      <c r="R768" s="34"/>
      <c r="S768" s="34"/>
      <c r="T768" s="34"/>
      <c r="U768" s="34"/>
      <c r="V768" s="34"/>
    </row>
    <row r="769" spans="2:22" x14ac:dyDescent="0.3">
      <c r="B769" s="33"/>
      <c r="C769" s="34"/>
      <c r="D769" s="34"/>
      <c r="E769" s="34"/>
      <c r="F769" s="34"/>
      <c r="G769" s="34"/>
      <c r="H769" s="34"/>
      <c r="I769" s="34"/>
      <c r="J769" s="34"/>
      <c r="K769" s="35"/>
      <c r="L769" s="34"/>
      <c r="M769" s="34"/>
      <c r="N769" s="34"/>
      <c r="O769" s="34"/>
      <c r="P769" s="34"/>
      <c r="Q769" s="34"/>
      <c r="R769" s="34"/>
      <c r="S769" s="34"/>
      <c r="T769" s="34"/>
      <c r="U769" s="34"/>
      <c r="V769" s="34"/>
    </row>
    <row r="770" spans="2:22" x14ac:dyDescent="0.3">
      <c r="B770" s="33"/>
      <c r="C770" s="34"/>
      <c r="D770" s="34"/>
      <c r="E770" s="34"/>
      <c r="F770" s="34"/>
      <c r="G770" s="34"/>
      <c r="H770" s="34"/>
      <c r="I770" s="34"/>
      <c r="J770" s="34"/>
      <c r="K770" s="35"/>
      <c r="L770" s="34"/>
      <c r="M770" s="34"/>
      <c r="N770" s="34"/>
      <c r="O770" s="34"/>
      <c r="P770" s="34"/>
      <c r="Q770" s="34"/>
      <c r="R770" s="34"/>
      <c r="S770" s="34"/>
      <c r="T770" s="34"/>
      <c r="U770" s="34"/>
      <c r="V770" s="34"/>
    </row>
    <row r="771" spans="2:22" x14ac:dyDescent="0.3">
      <c r="B771" s="33"/>
      <c r="C771" s="34"/>
      <c r="D771" s="34"/>
      <c r="E771" s="34"/>
      <c r="F771" s="34"/>
      <c r="G771" s="34"/>
      <c r="H771" s="34"/>
      <c r="I771" s="34"/>
      <c r="J771" s="34"/>
      <c r="K771" s="35"/>
      <c r="L771" s="34"/>
      <c r="M771" s="34"/>
      <c r="N771" s="34"/>
      <c r="O771" s="34"/>
      <c r="P771" s="34"/>
      <c r="Q771" s="34"/>
      <c r="R771" s="34"/>
      <c r="S771" s="34"/>
      <c r="T771" s="34"/>
      <c r="U771" s="34"/>
      <c r="V771" s="34"/>
    </row>
    <row r="772" spans="2:22" x14ac:dyDescent="0.3">
      <c r="K772" s="40"/>
    </row>
    <row r="773" spans="2:22" x14ac:dyDescent="0.3">
      <c r="K773" s="40"/>
    </row>
    <row r="774" spans="2:22" x14ac:dyDescent="0.3">
      <c r="K774" s="40"/>
    </row>
    <row r="775" spans="2:22" x14ac:dyDescent="0.3">
      <c r="K775" s="40"/>
    </row>
    <row r="776" spans="2:22" x14ac:dyDescent="0.3">
      <c r="K776" s="40"/>
    </row>
    <row r="777" spans="2:22" x14ac:dyDescent="0.3">
      <c r="K777" s="40"/>
    </row>
    <row r="778" spans="2:22" x14ac:dyDescent="0.3">
      <c r="K778" s="40"/>
    </row>
    <row r="779" spans="2:22" x14ac:dyDescent="0.3">
      <c r="K779" s="40"/>
    </row>
    <row r="780" spans="2:22" x14ac:dyDescent="0.3">
      <c r="K780" s="40"/>
    </row>
    <row r="781" spans="2:22" x14ac:dyDescent="0.3">
      <c r="K781" s="40"/>
    </row>
    <row r="782" spans="2:22" x14ac:dyDescent="0.3">
      <c r="K782" s="40"/>
    </row>
    <row r="783" spans="2:22" x14ac:dyDescent="0.3">
      <c r="K783" s="40"/>
    </row>
    <row r="784" spans="2:22"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sheetData>
  <phoneticPr fontId="0" type="noConversion"/>
  <pageMargins left="0.75" right="0.75" top="1" bottom="1" header="0.5" footer="0.5"/>
  <headerFooter alignWithMargins="0"/>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7"/>
  <sheetViews>
    <sheetView workbookViewId="0">
      <selection activeCell="A18" sqref="A18"/>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9.08984375" style="17"/>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6" x14ac:dyDescent="0.3">
      <c r="A1" s="61" t="s">
        <v>146</v>
      </c>
      <c r="B1" s="50" t="str">
        <f>model</f>
        <v>ME Grain &amp; Pulse</v>
      </c>
    </row>
    <row r="3" spans="1:6" x14ac:dyDescent="0.3">
      <c r="A3" s="7" t="s">
        <v>202</v>
      </c>
      <c r="B3" s="55" t="s">
        <v>92</v>
      </c>
      <c r="C3" s="54">
        <f>scorn</f>
        <v>0</v>
      </c>
      <c r="D3" s="17" t="s">
        <v>93</v>
      </c>
    </row>
    <row r="4" spans="1:6" x14ac:dyDescent="0.3">
      <c r="A4" s="8"/>
      <c r="B4" s="55" t="s">
        <v>232</v>
      </c>
      <c r="C4" s="54">
        <f>Data!B146</f>
        <v>15</v>
      </c>
      <c r="D4" s="17" t="s">
        <v>235</v>
      </c>
      <c r="E4" s="54">
        <f>(C4*2000)/100</f>
        <v>300</v>
      </c>
      <c r="F4" s="17" t="s">
        <v>233</v>
      </c>
    </row>
    <row r="5" spans="1:6" x14ac:dyDescent="0.3">
      <c r="B5" s="55" t="s">
        <v>284</v>
      </c>
      <c r="C5" s="97">
        <f>Data!B143</f>
        <v>45.991209640416329</v>
      </c>
      <c r="D5" s="79" t="s">
        <v>286</v>
      </c>
    </row>
    <row r="6" spans="1:6" x14ac:dyDescent="0.3">
      <c r="B6" s="55"/>
      <c r="C6" s="54"/>
      <c r="D6" s="17"/>
    </row>
    <row r="7" spans="1:6" ht="15.5" x14ac:dyDescent="0.35">
      <c r="A7" s="751" t="s">
        <v>202</v>
      </c>
      <c r="B7" s="697" t="s">
        <v>76</v>
      </c>
      <c r="C7" s="697"/>
      <c r="D7" s="697" t="s">
        <v>77</v>
      </c>
      <c r="E7" s="698"/>
      <c r="F7" s="697" t="s">
        <v>385</v>
      </c>
    </row>
    <row r="8" spans="1:6" ht="15.5" x14ac:dyDescent="0.35">
      <c r="A8" s="699" t="s">
        <v>362</v>
      </c>
      <c r="B8" s="759">
        <f>C3</f>
        <v>0</v>
      </c>
      <c r="C8" s="701"/>
      <c r="D8" s="702" t="s">
        <v>363</v>
      </c>
      <c r="E8" s="699"/>
      <c r="F8" s="702" t="s">
        <v>363</v>
      </c>
    </row>
    <row r="9" spans="1:6" ht="15.5" x14ac:dyDescent="0.35">
      <c r="A9" s="699" t="s">
        <v>790</v>
      </c>
      <c r="B9" s="759">
        <f>C3*C4</f>
        <v>0</v>
      </c>
      <c r="C9" s="701"/>
      <c r="D9" s="760">
        <f>C4</f>
        <v>15</v>
      </c>
      <c r="E9" s="699"/>
      <c r="F9" s="702" t="s">
        <v>363</v>
      </c>
    </row>
    <row r="10" spans="1:6" ht="15.65" customHeight="1" x14ac:dyDescent="0.35">
      <c r="A10" s="699" t="s">
        <v>792</v>
      </c>
      <c r="B10" s="702" t="s">
        <v>363</v>
      </c>
      <c r="C10" s="716"/>
      <c r="D10" s="702" t="s">
        <v>363</v>
      </c>
      <c r="E10" s="752"/>
      <c r="F10" s="716">
        <f>C5</f>
        <v>45.991209640416329</v>
      </c>
    </row>
    <row r="11" spans="1:6" ht="12.75" customHeight="1" x14ac:dyDescent="0.35">
      <c r="A11" s="699"/>
      <c r="B11" s="706"/>
      <c r="C11" s="706"/>
      <c r="D11" s="707"/>
      <c r="E11" s="744"/>
      <c r="F11" s="706"/>
    </row>
    <row r="12" spans="1:6" ht="15" x14ac:dyDescent="0.3">
      <c r="A12" s="709" t="s">
        <v>230</v>
      </c>
      <c r="B12" s="710">
        <f>C3*Data!B146*Data!B143</f>
        <v>0</v>
      </c>
      <c r="C12" s="711"/>
      <c r="D12" s="712" t="e">
        <f>B12/scorn</f>
        <v>#DIV/0!</v>
      </c>
      <c r="E12" s="756"/>
      <c r="F12" s="711" t="e">
        <f>B12/($C$4*scorn)</f>
        <v>#DIV/0!</v>
      </c>
    </row>
    <row r="13" spans="1:6" ht="15.5" x14ac:dyDescent="0.35">
      <c r="A13" s="699"/>
      <c r="B13" s="721"/>
      <c r="C13" s="722"/>
      <c r="D13" s="717"/>
      <c r="E13" s="752"/>
      <c r="F13" s="716"/>
    </row>
    <row r="14" spans="1:6" ht="15.5" x14ac:dyDescent="0.35">
      <c r="A14" s="709" t="s">
        <v>365</v>
      </c>
      <c r="B14" s="715"/>
      <c r="C14" s="716"/>
      <c r="D14" s="717"/>
      <c r="E14" s="752"/>
      <c r="F14" s="716"/>
    </row>
    <row r="15" spans="1:6" ht="15.5" x14ac:dyDescent="0.35">
      <c r="A15" s="714" t="s">
        <v>13</v>
      </c>
      <c r="B15" s="715">
        <f>CnSOprC!H9</f>
        <v>0</v>
      </c>
      <c r="C15" s="716"/>
      <c r="D15" s="717" t="e">
        <f>B15/scorn</f>
        <v>#DIV/0!</v>
      </c>
      <c r="E15" s="752"/>
      <c r="F15" s="716" t="e">
        <f>B15/($C$4*scorn)</f>
        <v>#DIV/0!</v>
      </c>
    </row>
    <row r="16" spans="1:6" ht="15.5" x14ac:dyDescent="0.35">
      <c r="A16" s="714" t="s">
        <v>1</v>
      </c>
      <c r="B16" s="715">
        <f>SUM(CnSOprC!H11:H12)</f>
        <v>0</v>
      </c>
      <c r="C16" s="716"/>
      <c r="D16" s="717" t="e">
        <f>B16/scorn</f>
        <v>#DIV/0!</v>
      </c>
      <c r="E16" s="752"/>
      <c r="F16" s="716" t="e">
        <f t="shared" ref="F16:F25" si="0">B16/($C$4*scorn)</f>
        <v>#DIV/0!</v>
      </c>
    </row>
    <row r="17" spans="1:6" ht="15.5" x14ac:dyDescent="0.35">
      <c r="A17" s="714" t="s">
        <v>2</v>
      </c>
      <c r="B17" s="715">
        <f>CnSOprC!H13</f>
        <v>0</v>
      </c>
      <c r="C17" s="716"/>
      <c r="D17" s="717" t="e">
        <f>B17/scorn</f>
        <v>#DIV/0!</v>
      </c>
      <c r="E17" s="752"/>
      <c r="F17" s="716" t="e">
        <f t="shared" si="0"/>
        <v>#DIV/0!</v>
      </c>
    </row>
    <row r="18" spans="1:6" ht="15.5" x14ac:dyDescent="0.35">
      <c r="A18" s="714" t="s">
        <v>1476</v>
      </c>
      <c r="B18" s="699"/>
      <c r="C18" s="699"/>
      <c r="D18" s="699"/>
      <c r="E18" s="699"/>
      <c r="F18" s="699"/>
    </row>
    <row r="19" spans="1:6" ht="15.5" x14ac:dyDescent="0.35">
      <c r="A19" s="714" t="s">
        <v>1119</v>
      </c>
      <c r="B19" s="745">
        <f>SUM(CnSOprC!H14:H16)</f>
        <v>0</v>
      </c>
      <c r="C19" s="746"/>
      <c r="D19" s="754" t="e">
        <f t="shared" ref="D19:D25" si="1">B19/scorn</f>
        <v>#DIV/0!</v>
      </c>
      <c r="E19" s="752"/>
      <c r="F19" s="746" t="e">
        <f>B19/($C$4*scorn)</f>
        <v>#DIV/0!</v>
      </c>
    </row>
    <row r="20" spans="1:6" ht="15.5" x14ac:dyDescent="0.35">
      <c r="A20" s="714" t="s">
        <v>1120</v>
      </c>
      <c r="B20" s="745">
        <v>0</v>
      </c>
      <c r="C20" s="746"/>
      <c r="D20" s="755" t="e">
        <f t="shared" si="1"/>
        <v>#DIV/0!</v>
      </c>
      <c r="E20" s="753"/>
      <c r="F20" s="745" t="e">
        <f>B20/($C$4*scorn)</f>
        <v>#DIV/0!</v>
      </c>
    </row>
    <row r="21" spans="1:6" ht="15.5" x14ac:dyDescent="0.35">
      <c r="A21" s="714" t="s">
        <v>14</v>
      </c>
      <c r="B21" s="715">
        <f>SUM(CnSOprC!H18:H34)</f>
        <v>0</v>
      </c>
      <c r="C21" s="716"/>
      <c r="D21" s="717" t="e">
        <f t="shared" si="1"/>
        <v>#DIV/0!</v>
      </c>
      <c r="E21" s="752"/>
      <c r="F21" s="716" t="e">
        <f t="shared" si="0"/>
        <v>#DIV/0!</v>
      </c>
    </row>
    <row r="22" spans="1:6" ht="15.5" x14ac:dyDescent="0.35">
      <c r="A22" s="714" t="s">
        <v>169</v>
      </c>
      <c r="B22" s="715">
        <f>SUM(CnSOprC!H36:H53)</f>
        <v>0</v>
      </c>
      <c r="C22" s="716"/>
      <c r="D22" s="717" t="e">
        <f t="shared" si="1"/>
        <v>#DIV/0!</v>
      </c>
      <c r="E22" s="752"/>
      <c r="F22" s="716" t="e">
        <f t="shared" si="0"/>
        <v>#DIV/0!</v>
      </c>
    </row>
    <row r="23" spans="1:6" ht="15.5" x14ac:dyDescent="0.35">
      <c r="A23" s="714" t="s">
        <v>78</v>
      </c>
      <c r="B23" s="715">
        <f>SUM(CnSOprC!H54:H55)</f>
        <v>0</v>
      </c>
      <c r="C23" s="716"/>
      <c r="D23" s="717" t="e">
        <f t="shared" si="1"/>
        <v>#DIV/0!</v>
      </c>
      <c r="E23" s="752"/>
      <c r="F23" s="716" t="e">
        <f t="shared" si="0"/>
        <v>#DIV/0!</v>
      </c>
    </row>
    <row r="24" spans="1:6" ht="15.5" x14ac:dyDescent="0.35">
      <c r="A24" s="714" t="s">
        <v>170</v>
      </c>
      <c r="B24" s="732">
        <f>CnSOprC!H56</f>
        <v>0</v>
      </c>
      <c r="C24" s="733"/>
      <c r="D24" s="719" t="e">
        <f t="shared" si="1"/>
        <v>#DIV/0!</v>
      </c>
      <c r="E24" s="753"/>
      <c r="F24" s="715" t="e">
        <f t="shared" si="0"/>
        <v>#DIV/0!</v>
      </c>
    </row>
    <row r="25" spans="1:6" ht="15.5" x14ac:dyDescent="0.35">
      <c r="A25" s="714" t="s">
        <v>171</v>
      </c>
      <c r="B25" s="732">
        <f>SUM(CnSOprC!H57:H58)</f>
        <v>0</v>
      </c>
      <c r="C25" s="733"/>
      <c r="D25" s="717" t="e">
        <f t="shared" si="1"/>
        <v>#DIV/0!</v>
      </c>
      <c r="E25" s="752"/>
      <c r="F25" s="716" t="e">
        <f t="shared" si="0"/>
        <v>#DIV/0!</v>
      </c>
    </row>
    <row r="26" spans="1:6" ht="15.5" x14ac:dyDescent="0.35">
      <c r="A26" s="714" t="s">
        <v>172</v>
      </c>
      <c r="B26" s="699"/>
      <c r="C26" s="699"/>
      <c r="D26" s="703"/>
      <c r="E26" s="699"/>
      <c r="F26" s="699"/>
    </row>
    <row r="27" spans="1:6" ht="15.5" x14ac:dyDescent="0.35">
      <c r="A27" s="734" t="s">
        <v>378</v>
      </c>
      <c r="B27" s="715">
        <f>CnSOprC!H60</f>
        <v>0</v>
      </c>
      <c r="C27" s="743"/>
      <c r="D27" s="717" t="e">
        <f t="shared" ref="D27:D32" si="2">B27/scorn</f>
        <v>#DIV/0!</v>
      </c>
      <c r="E27" s="752"/>
      <c r="F27" s="716" t="e">
        <f t="shared" ref="F27:F33" si="3">B27/($C$4*scorn)</f>
        <v>#DIV/0!</v>
      </c>
    </row>
    <row r="28" spans="1:6" ht="15.5" x14ac:dyDescent="0.35">
      <c r="A28" s="734" t="s">
        <v>379</v>
      </c>
      <c r="B28" s="715">
        <f>CnSOprC!H61</f>
        <v>0</v>
      </c>
      <c r="C28" s="743"/>
      <c r="D28" s="719" t="e">
        <f t="shared" si="2"/>
        <v>#DIV/0!</v>
      </c>
      <c r="E28" s="753"/>
      <c r="F28" s="715" t="e">
        <f t="shared" si="3"/>
        <v>#DIV/0!</v>
      </c>
    </row>
    <row r="29" spans="1:6" ht="15.5" x14ac:dyDescent="0.35">
      <c r="A29" s="734" t="s">
        <v>380</v>
      </c>
      <c r="B29" s="732">
        <f>SUM(CnSOprC!H63:H64)</f>
        <v>0</v>
      </c>
      <c r="C29" s="733"/>
      <c r="D29" s="717" t="e">
        <f t="shared" si="2"/>
        <v>#DIV/0!</v>
      </c>
      <c r="E29" s="752"/>
      <c r="F29" s="716" t="e">
        <f t="shared" si="3"/>
        <v>#DIV/0!</v>
      </c>
    </row>
    <row r="30" spans="1:6" ht="15.5" x14ac:dyDescent="0.35">
      <c r="A30" s="734" t="s">
        <v>381</v>
      </c>
      <c r="B30" s="732">
        <f>CnSOprC!H65</f>
        <v>0</v>
      </c>
      <c r="C30" s="733"/>
      <c r="D30" s="719" t="e">
        <f t="shared" si="2"/>
        <v>#DIV/0!</v>
      </c>
      <c r="E30" s="753"/>
      <c r="F30" s="715" t="e">
        <f t="shared" si="3"/>
        <v>#DIV/0!</v>
      </c>
    </row>
    <row r="31" spans="1:6" ht="15.5" x14ac:dyDescent="0.35">
      <c r="A31" s="734" t="s">
        <v>382</v>
      </c>
      <c r="B31" s="732">
        <f>SUM(CnSOprC!H66:H67)</f>
        <v>0</v>
      </c>
      <c r="C31" s="733"/>
      <c r="D31" s="717" t="e">
        <f t="shared" si="2"/>
        <v>#DIV/0!</v>
      </c>
      <c r="E31" s="752"/>
      <c r="F31" s="716" t="e">
        <f t="shared" si="3"/>
        <v>#DIV/0!</v>
      </c>
    </row>
    <row r="32" spans="1:6" ht="15.5" x14ac:dyDescent="0.35">
      <c r="A32" s="734" t="s">
        <v>383</v>
      </c>
      <c r="B32" s="732">
        <f>SUM(CnSOprC!H68:H70)</f>
        <v>0</v>
      </c>
      <c r="C32" s="733"/>
      <c r="D32" s="719" t="e">
        <f t="shared" si="2"/>
        <v>#DIV/0!</v>
      </c>
      <c r="E32" s="753"/>
      <c r="F32" s="715" t="e">
        <f t="shared" si="3"/>
        <v>#DIV/0!</v>
      </c>
    </row>
    <row r="33" spans="1:12" ht="15.5" x14ac:dyDescent="0.35">
      <c r="A33" s="714" t="s">
        <v>69</v>
      </c>
      <c r="B33" s="732">
        <f>CnSOprC!H74</f>
        <v>0</v>
      </c>
      <c r="C33" s="733"/>
      <c r="D33" s="717" t="e">
        <f>B33/scorn</f>
        <v>#DIV/0!</v>
      </c>
      <c r="E33" s="752"/>
      <c r="F33" s="716" t="e">
        <f t="shared" si="3"/>
        <v>#DIV/0!</v>
      </c>
    </row>
    <row r="34" spans="1:12" ht="15" x14ac:dyDescent="0.3">
      <c r="A34" s="709" t="s">
        <v>366</v>
      </c>
      <c r="B34" s="735">
        <f>SUM(B15:B33)</f>
        <v>0</v>
      </c>
      <c r="C34" s="736"/>
      <c r="D34" s="737" t="e">
        <f>SUM(D15:D33)</f>
        <v>#DIV/0!</v>
      </c>
      <c r="E34" s="736"/>
      <c r="F34" s="736" t="e">
        <f>SUM(F15:F33)</f>
        <v>#DIV/0!</v>
      </c>
    </row>
    <row r="35" spans="1:12" ht="15.5" x14ac:dyDescent="0.35">
      <c r="A35" s="738"/>
      <c r="B35" s="732"/>
      <c r="C35" s="733"/>
      <c r="D35" s="739"/>
      <c r="E35" s="757"/>
      <c r="F35" s="757"/>
    </row>
    <row r="36" spans="1:12" ht="15.5" x14ac:dyDescent="0.35">
      <c r="A36" s="709" t="s">
        <v>367</v>
      </c>
      <c r="B36" s="732"/>
      <c r="C36" s="733"/>
      <c r="D36" s="739"/>
      <c r="E36" s="757"/>
      <c r="F36" s="757"/>
    </row>
    <row r="37" spans="1:12" ht="15.5" x14ac:dyDescent="0.35">
      <c r="A37" s="714" t="s">
        <v>29</v>
      </c>
      <c r="B37" s="732"/>
      <c r="C37" s="733"/>
      <c r="D37" s="739"/>
      <c r="E37" s="757"/>
      <c r="F37" s="716"/>
      <c r="H37" s="764" t="s">
        <v>29</v>
      </c>
    </row>
    <row r="38" spans="1:12" ht="15.5" x14ac:dyDescent="0.35">
      <c r="A38" s="734" t="s">
        <v>1240</v>
      </c>
      <c r="B38" s="732">
        <f>SUM(CnSOwnC!H8:H10)</f>
        <v>0</v>
      </c>
      <c r="C38" s="733"/>
      <c r="D38" s="739" t="e">
        <f t="shared" ref="D38:D50" si="4">B38/scorn</f>
        <v>#DIV/0!</v>
      </c>
      <c r="E38" s="757"/>
      <c r="F38" s="716" t="e">
        <f t="shared" ref="F38:F50" si="5">B38/($C$4*scorn)</f>
        <v>#DIV/0!</v>
      </c>
      <c r="H38" s="697" t="s">
        <v>76</v>
      </c>
      <c r="I38" s="697"/>
      <c r="J38" s="697" t="s">
        <v>77</v>
      </c>
      <c r="K38" s="698"/>
      <c r="L38" s="697" t="s">
        <v>385</v>
      </c>
    </row>
    <row r="39" spans="1:12" ht="15.5" x14ac:dyDescent="0.35">
      <c r="A39" s="734" t="s">
        <v>1241</v>
      </c>
      <c r="B39" s="732">
        <f>SUM(CnSOwnC!H11:H14)</f>
        <v>0</v>
      </c>
      <c r="C39" s="733"/>
      <c r="D39" s="739" t="e">
        <f t="shared" si="4"/>
        <v>#DIV/0!</v>
      </c>
      <c r="E39" s="757"/>
      <c r="F39" s="716" t="e">
        <f t="shared" si="5"/>
        <v>#DIV/0!</v>
      </c>
      <c r="H39" s="763">
        <f>SUM(B38:B49)</f>
        <v>0</v>
      </c>
      <c r="J39" s="756" t="e">
        <f>SUM(D38:D49)</f>
        <v>#DIV/0!</v>
      </c>
      <c r="L39" s="756" t="e">
        <f>SUM(F38:F49)</f>
        <v>#DIV/0!</v>
      </c>
    </row>
    <row r="40" spans="1:12" ht="15.5" x14ac:dyDescent="0.35">
      <c r="A40" s="734" t="s">
        <v>1243</v>
      </c>
      <c r="B40" s="732">
        <f>SUM(CnSOwnC!H15:H19)</f>
        <v>0</v>
      </c>
      <c r="C40" s="733"/>
      <c r="D40" s="739" t="e">
        <f t="shared" si="4"/>
        <v>#DIV/0!</v>
      </c>
      <c r="E40" s="757"/>
      <c r="F40" s="716" t="e">
        <f t="shared" si="5"/>
        <v>#DIV/0!</v>
      </c>
    </row>
    <row r="41" spans="1:12" ht="15.5" x14ac:dyDescent="0.35">
      <c r="A41" s="734" t="s">
        <v>1242</v>
      </c>
      <c r="B41" s="732">
        <f>SUM(CnSOwnC!H20:H23)</f>
        <v>0</v>
      </c>
      <c r="C41" s="733"/>
      <c r="D41" s="739" t="e">
        <f t="shared" si="4"/>
        <v>#DIV/0!</v>
      </c>
      <c r="E41" s="757"/>
      <c r="F41" s="716" t="e">
        <f t="shared" si="5"/>
        <v>#DIV/0!</v>
      </c>
    </row>
    <row r="42" spans="1:12" ht="15.5" x14ac:dyDescent="0.35">
      <c r="A42" s="734" t="s">
        <v>1244</v>
      </c>
      <c r="B42" s="732">
        <f>SUM(CnSOwnC!H24:H26)</f>
        <v>0</v>
      </c>
      <c r="C42" s="733"/>
      <c r="D42" s="739" t="e">
        <f t="shared" si="4"/>
        <v>#DIV/0!</v>
      </c>
      <c r="E42" s="757"/>
      <c r="F42" s="716" t="e">
        <f t="shared" si="5"/>
        <v>#DIV/0!</v>
      </c>
    </row>
    <row r="43" spans="1:12" ht="15.5" x14ac:dyDescent="0.35">
      <c r="A43" s="734" t="s">
        <v>1245</v>
      </c>
      <c r="B43" s="732">
        <f>0</f>
        <v>0</v>
      </c>
      <c r="C43" s="733"/>
      <c r="D43" s="761" t="e">
        <f t="shared" si="4"/>
        <v>#DIV/0!</v>
      </c>
      <c r="E43" s="762"/>
      <c r="F43" s="715" t="e">
        <f t="shared" si="5"/>
        <v>#DIV/0!</v>
      </c>
    </row>
    <row r="44" spans="1:12" ht="15.5" x14ac:dyDescent="0.35">
      <c r="A44" s="734" t="s">
        <v>1246</v>
      </c>
      <c r="B44" s="732">
        <f>SUM(CnSOwnC!H27:H30)</f>
        <v>0</v>
      </c>
      <c r="C44" s="733"/>
      <c r="D44" s="739" t="e">
        <f t="shared" si="4"/>
        <v>#DIV/0!</v>
      </c>
      <c r="E44" s="757"/>
      <c r="F44" s="716" t="e">
        <f t="shared" si="5"/>
        <v>#DIV/0!</v>
      </c>
    </row>
    <row r="45" spans="1:12" ht="15.5" x14ac:dyDescent="0.35">
      <c r="A45" s="734" t="s">
        <v>1247</v>
      </c>
      <c r="B45" s="732">
        <f>SUM(CnSOwnC!H31:H34)</f>
        <v>0</v>
      </c>
      <c r="C45" s="733"/>
      <c r="D45" s="739" t="e">
        <f t="shared" si="4"/>
        <v>#DIV/0!</v>
      </c>
      <c r="E45" s="757"/>
      <c r="F45" s="716" t="e">
        <f t="shared" si="5"/>
        <v>#DIV/0!</v>
      </c>
    </row>
    <row r="46" spans="1:12" ht="15.5" x14ac:dyDescent="0.35">
      <c r="A46" s="734" t="s">
        <v>1250</v>
      </c>
      <c r="B46" s="732">
        <f>0</f>
        <v>0</v>
      </c>
      <c r="C46" s="733"/>
      <c r="D46" s="761" t="e">
        <f t="shared" si="4"/>
        <v>#DIV/0!</v>
      </c>
      <c r="E46" s="762"/>
      <c r="F46" s="715" t="e">
        <f t="shared" si="5"/>
        <v>#DIV/0!</v>
      </c>
    </row>
    <row r="47" spans="1:12" ht="15.5" x14ac:dyDescent="0.35">
      <c r="A47" s="734" t="s">
        <v>1304</v>
      </c>
      <c r="B47" s="732">
        <f>0</f>
        <v>0</v>
      </c>
      <c r="C47" s="733"/>
      <c r="D47" s="761" t="e">
        <f t="shared" si="4"/>
        <v>#DIV/0!</v>
      </c>
      <c r="E47" s="762"/>
      <c r="F47" s="715" t="e">
        <f t="shared" si="5"/>
        <v>#DIV/0!</v>
      </c>
    </row>
    <row r="48" spans="1:12" ht="15.5" x14ac:dyDescent="0.35">
      <c r="A48" s="734" t="s">
        <v>1248</v>
      </c>
      <c r="B48" s="732">
        <f>SUM(CnSOwnC!H37:H39)</f>
        <v>0</v>
      </c>
      <c r="C48" s="733"/>
      <c r="D48" s="739" t="e">
        <f t="shared" si="4"/>
        <v>#DIV/0!</v>
      </c>
      <c r="E48" s="757"/>
      <c r="F48" s="716" t="e">
        <f t="shared" si="5"/>
        <v>#DIV/0!</v>
      </c>
    </row>
    <row r="49" spans="1:8" ht="15.5" x14ac:dyDescent="0.35">
      <c r="A49" s="734" t="s">
        <v>1249</v>
      </c>
      <c r="B49" s="732">
        <f>SUM(CnSOwnC!H40:H42)</f>
        <v>0</v>
      </c>
      <c r="C49" s="733"/>
      <c r="D49" s="739" t="e">
        <f t="shared" si="4"/>
        <v>#DIV/0!</v>
      </c>
      <c r="E49" s="757"/>
      <c r="F49" s="716" t="e">
        <f t="shared" si="5"/>
        <v>#DIV/0!</v>
      </c>
    </row>
    <row r="50" spans="1:8" ht="15.5" x14ac:dyDescent="0.35">
      <c r="A50" s="714" t="s">
        <v>79</v>
      </c>
      <c r="B50" s="732">
        <f>CnSOwnC!L47</f>
        <v>0</v>
      </c>
      <c r="C50" s="733"/>
      <c r="D50" s="739" t="e">
        <f t="shared" si="4"/>
        <v>#DIV/0!</v>
      </c>
      <c r="E50" s="757"/>
      <c r="F50" s="716" t="e">
        <f t="shared" si="5"/>
        <v>#DIV/0!</v>
      </c>
    </row>
    <row r="51" spans="1:8" ht="15" x14ac:dyDescent="0.3">
      <c r="A51" s="709" t="s">
        <v>368</v>
      </c>
      <c r="B51" s="735">
        <f>SUM(B37:B50)</f>
        <v>0</v>
      </c>
      <c r="C51" s="736"/>
      <c r="D51" s="737" t="e">
        <f>SUM(D37:D50)</f>
        <v>#DIV/0!</v>
      </c>
      <c r="E51" s="736"/>
      <c r="F51" s="736" t="e">
        <f>SUM(F37:F50)</f>
        <v>#DIV/0!</v>
      </c>
    </row>
    <row r="52" spans="1:8" ht="15.5" x14ac:dyDescent="0.35">
      <c r="A52" s="699"/>
      <c r="B52" s="735"/>
      <c r="C52" s="736"/>
      <c r="D52" s="737"/>
      <c r="E52" s="758"/>
      <c r="F52" s="758"/>
    </row>
    <row r="53" spans="1:8" ht="15" x14ac:dyDescent="0.3">
      <c r="A53" s="709" t="s">
        <v>80</v>
      </c>
      <c r="B53" s="735">
        <f>B51+B34</f>
        <v>0</v>
      </c>
      <c r="C53" s="736"/>
      <c r="D53" s="737" t="e">
        <f>D51+D34</f>
        <v>#DIV/0!</v>
      </c>
      <c r="E53" s="736"/>
      <c r="F53" s="736" t="e">
        <f>F51+F34</f>
        <v>#DIV/0!</v>
      </c>
      <c r="H53" s="52"/>
    </row>
    <row r="54" spans="1:8" ht="15.5" x14ac:dyDescent="0.35">
      <c r="A54" s="742"/>
      <c r="B54" s="735"/>
      <c r="C54" s="736"/>
      <c r="D54" s="737"/>
      <c r="E54" s="736"/>
      <c r="F54" s="736"/>
    </row>
    <row r="55" spans="1:8" ht="15" x14ac:dyDescent="0.3">
      <c r="A55" s="709" t="s">
        <v>355</v>
      </c>
      <c r="B55" s="710">
        <f>B12-B53</f>
        <v>0</v>
      </c>
      <c r="C55" s="736"/>
      <c r="D55" s="712" t="e">
        <f>D12-D53</f>
        <v>#DIV/0!</v>
      </c>
      <c r="E55" s="736"/>
      <c r="F55" s="711" t="e">
        <f>F12-F53</f>
        <v>#DIV/0!</v>
      </c>
    </row>
    <row r="56" spans="1:8" ht="15" x14ac:dyDescent="0.3">
      <c r="A56" s="709" t="s">
        <v>356</v>
      </c>
      <c r="B56" s="735">
        <f>B12-B34</f>
        <v>0</v>
      </c>
      <c r="C56" s="736"/>
      <c r="D56" s="737" t="e">
        <f>D12-D34</f>
        <v>#DIV/0!</v>
      </c>
      <c r="E56" s="736"/>
      <c r="F56" s="736" t="e">
        <f>F12-F34</f>
        <v>#DIV/0!</v>
      </c>
    </row>
    <row r="57" spans="1:8" ht="15.5" x14ac:dyDescent="0.35">
      <c r="A57" s="699"/>
      <c r="B57" s="743"/>
      <c r="C57" s="743"/>
      <c r="D57" s="702"/>
      <c r="E57" s="699"/>
      <c r="F57" s="699"/>
    </row>
    <row r="58" spans="1:8" ht="15.5" x14ac:dyDescent="0.35">
      <c r="A58" s="709" t="s">
        <v>234</v>
      </c>
      <c r="B58" s="743"/>
      <c r="C58" s="743"/>
      <c r="D58" s="702"/>
      <c r="E58" s="699"/>
      <c r="F58" s="699"/>
    </row>
    <row r="59" spans="1:8" ht="12.75" customHeight="1" x14ac:dyDescent="0.35">
      <c r="A59" s="744" t="s">
        <v>369</v>
      </c>
      <c r="B59" s="703" t="s">
        <v>76</v>
      </c>
      <c r="C59" s="743"/>
      <c r="D59" s="703" t="s">
        <v>393</v>
      </c>
      <c r="E59" s="703"/>
      <c r="F59" s="703" t="s">
        <v>396</v>
      </c>
    </row>
    <row r="60" spans="1:8" ht="15.5" x14ac:dyDescent="0.35">
      <c r="A60" s="714" t="s">
        <v>370</v>
      </c>
      <c r="B60" s="745">
        <f>B53</f>
        <v>0</v>
      </c>
      <c r="C60" s="743"/>
      <c r="D60" s="717" t="e">
        <f>$B$53/scorn</f>
        <v>#DIV/0!</v>
      </c>
      <c r="E60" s="752"/>
      <c r="F60" s="716" t="e">
        <f>$B$53/($C$4*scorn)</f>
        <v>#DIV/0!</v>
      </c>
    </row>
    <row r="61" spans="1:8" ht="15.5" x14ac:dyDescent="0.35">
      <c r="A61" s="772" t="s">
        <v>371</v>
      </c>
      <c r="B61" s="745">
        <f>B34</f>
        <v>0</v>
      </c>
      <c r="C61" s="773"/>
      <c r="D61" s="739" t="e">
        <f>$B$34/scorn</f>
        <v>#DIV/0!</v>
      </c>
      <c r="E61" s="757"/>
      <c r="F61" s="733" t="e">
        <f>$B$34/($C$4*scorn)</f>
        <v>#DIV/0!</v>
      </c>
    </row>
    <row r="62" spans="1:8" ht="15.5" x14ac:dyDescent="0.35">
      <c r="A62" s="772"/>
      <c r="B62" s="773"/>
      <c r="C62" s="773"/>
      <c r="D62" s="739"/>
      <c r="E62" s="757"/>
      <c r="F62" s="733"/>
    </row>
    <row r="63" spans="1:8" ht="15.5" x14ac:dyDescent="0.35">
      <c r="A63" s="744" t="s">
        <v>1099</v>
      </c>
      <c r="B63" s="703" t="s">
        <v>1100</v>
      </c>
      <c r="C63" s="773"/>
      <c r="D63" s="739"/>
      <c r="E63" s="757"/>
      <c r="F63" s="733"/>
    </row>
    <row r="64" spans="1:8" ht="15.5" x14ac:dyDescent="0.35">
      <c r="A64" s="714" t="s">
        <v>1101</v>
      </c>
      <c r="B64" s="746" t="e">
        <f>B55/SUM(CnSOprC!E18:E35)</f>
        <v>#DIV/0!</v>
      </c>
      <c r="C64" s="773"/>
      <c r="D64" s="739"/>
      <c r="E64" s="757"/>
      <c r="F64" s="733"/>
    </row>
    <row r="65" spans="1:9" ht="15.5" x14ac:dyDescent="0.35">
      <c r="A65" s="714" t="s">
        <v>1102</v>
      </c>
      <c r="B65" s="746" t="e">
        <f>B56/SUM(CnSOprC!E18:E35)</f>
        <v>#DIV/0!</v>
      </c>
      <c r="C65" s="773"/>
      <c r="D65" s="739"/>
      <c r="E65" s="757"/>
      <c r="F65" s="733"/>
    </row>
    <row r="66" spans="1:9" ht="15.5" x14ac:dyDescent="0.35">
      <c r="A66" s="747"/>
      <c r="B66" s="748"/>
      <c r="C66" s="748"/>
      <c r="D66" s="749"/>
      <c r="E66" s="747"/>
      <c r="F66" s="747"/>
      <c r="I66" s="18"/>
    </row>
    <row r="67" spans="1:9" x14ac:dyDescent="0.3">
      <c r="D67" s="59"/>
    </row>
  </sheetData>
  <phoneticPr fontId="0" type="noConversion"/>
  <pageMargins left="0.75" right="0.75" top="1" bottom="1" header="0.5" footer="0.5"/>
  <headerFooter alignWithMargins="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activeCell="A20" sqref="A20"/>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1731</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2205</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372</v>
      </c>
      <c r="B5" s="1070">
        <f>FARM!D15</f>
        <v>42</v>
      </c>
      <c r="C5" s="982">
        <f>FARM!F15</f>
        <v>13.2</v>
      </c>
      <c r="D5" s="983" t="s">
        <v>1736</v>
      </c>
      <c r="E5" s="982">
        <f>B5*C5</f>
        <v>554.4</v>
      </c>
      <c r="F5" s="984"/>
      <c r="G5" s="985"/>
      <c r="I5" s="982"/>
    </row>
    <row r="6" spans="1:9" ht="13" customHeight="1" x14ac:dyDescent="0.3">
      <c r="A6" s="980" t="s">
        <v>2260</v>
      </c>
      <c r="B6" s="1365">
        <f>Straw!O9*SUM(Straw!Q9:R9)</f>
        <v>0</v>
      </c>
      <c r="C6" s="982">
        <f>Straw!D9</f>
        <v>40</v>
      </c>
      <c r="D6" s="983" t="s">
        <v>1736</v>
      </c>
      <c r="E6" s="982">
        <f>IF(Straw!C9="Both round &amp; square",(B6*C6*Straw!I9),(B6*C6))</f>
        <v>0</v>
      </c>
      <c r="F6" s="984"/>
      <c r="G6" s="989"/>
      <c r="I6" s="982"/>
    </row>
    <row r="7" spans="1:9" ht="13" customHeight="1" x14ac:dyDescent="0.3">
      <c r="A7" s="986" t="s">
        <v>1737</v>
      </c>
      <c r="B7" s="1069">
        <f>Straw!P9*SUM(Straw!R9:S9)</f>
        <v>0</v>
      </c>
      <c r="C7" s="1017">
        <f>Straw!F9</f>
        <v>5.0833333333333304</v>
      </c>
      <c r="D7" s="988" t="s">
        <v>1736</v>
      </c>
      <c r="E7" s="1017">
        <f>IF(Straw!C9="Both round &amp; square",(B7*C7*Straw!J9),(B7*C7))</f>
        <v>0</v>
      </c>
      <c r="F7" s="984"/>
      <c r="G7" s="989"/>
    </row>
    <row r="8" spans="1:9" ht="13" customHeight="1" x14ac:dyDescent="0.3">
      <c r="A8" s="990" t="s">
        <v>1738</v>
      </c>
      <c r="B8" s="991"/>
      <c r="C8" s="992"/>
      <c r="D8" s="993"/>
      <c r="E8" s="993">
        <f>SUM(E5:E7)</f>
        <v>554.4</v>
      </c>
      <c r="F8" s="984"/>
      <c r="G8" s="994"/>
    </row>
    <row r="9" spans="1:9" ht="13" customHeight="1" thickBot="1" x14ac:dyDescent="0.35">
      <c r="A9" s="1320" t="s">
        <v>2206</v>
      </c>
      <c r="B9" s="1322">
        <f>FARM!$C$15</f>
        <v>100</v>
      </c>
      <c r="C9" s="1321"/>
      <c r="D9" s="992"/>
      <c r="E9" s="992"/>
      <c r="F9" s="984"/>
      <c r="G9" s="989"/>
    </row>
    <row r="10" spans="1:9" ht="29" customHeight="1" thickBot="1" x14ac:dyDescent="0.35">
      <c r="A10" s="996" t="s">
        <v>1739</v>
      </c>
      <c r="B10" s="997" t="s">
        <v>1740</v>
      </c>
      <c r="C10" s="997" t="s">
        <v>1636</v>
      </c>
      <c r="D10" s="998"/>
      <c r="E10" s="998" t="s">
        <v>1741</v>
      </c>
      <c r="F10" s="984"/>
      <c r="G10" s="999" t="s">
        <v>1735</v>
      </c>
    </row>
    <row r="11" spans="1:9" ht="15" customHeight="1" x14ac:dyDescent="0.3">
      <c r="A11" s="1000" t="s">
        <v>1742</v>
      </c>
      <c r="B11" s="1001"/>
      <c r="C11" s="1001"/>
      <c r="D11" s="1001"/>
      <c r="E11" s="1001"/>
      <c r="F11" s="984"/>
      <c r="G11" s="989"/>
    </row>
    <row r="12" spans="1:9" ht="13" customHeight="1" x14ac:dyDescent="0.3">
      <c r="A12" s="1002" t="s">
        <v>1743</v>
      </c>
      <c r="B12" s="1070">
        <f>INPUT!$C$17</f>
        <v>125</v>
      </c>
      <c r="C12" s="982">
        <f>INPUT!$C$18</f>
        <v>0.55208333333333304</v>
      </c>
      <c r="D12" s="983" t="s">
        <v>1736</v>
      </c>
      <c r="E12" s="982">
        <f>B12*C12</f>
        <v>69.010416666666629</v>
      </c>
      <c r="F12" s="984"/>
      <c r="G12" s="985"/>
    </row>
    <row r="13" spans="1:9" ht="13" customHeight="1" x14ac:dyDescent="0.3">
      <c r="A13" s="1002" t="s">
        <v>1744</v>
      </c>
      <c r="B13" s="1004"/>
      <c r="C13" s="992"/>
      <c r="D13" s="983"/>
      <c r="E13" s="982"/>
      <c r="F13" s="984"/>
      <c r="G13" s="989"/>
    </row>
    <row r="14" spans="1:9" ht="13" customHeight="1" x14ac:dyDescent="0.3">
      <c r="A14" s="1005" t="s">
        <v>1745</v>
      </c>
      <c r="B14" s="1070">
        <f>INPUT!$C$32</f>
        <v>3</v>
      </c>
      <c r="C14" s="1004">
        <f>INPUT!$C$33</f>
        <v>35</v>
      </c>
      <c r="D14" s="983" t="s">
        <v>1736</v>
      </c>
      <c r="E14" s="982">
        <f>B14*C14</f>
        <v>105</v>
      </c>
      <c r="F14" s="984"/>
      <c r="G14" s="985"/>
    </row>
    <row r="15" spans="1:9" ht="13" customHeight="1" x14ac:dyDescent="0.3">
      <c r="A15" s="1005" t="s">
        <v>1746</v>
      </c>
      <c r="B15" s="1070">
        <f>INPUT!$C$38</f>
        <v>0</v>
      </c>
      <c r="C15" s="982">
        <f>INPUT!$C$39</f>
        <v>0.6</v>
      </c>
      <c r="D15" s="1372" t="s">
        <v>1736</v>
      </c>
      <c r="E15" s="1373">
        <f>B15*C15</f>
        <v>0</v>
      </c>
      <c r="F15" s="984"/>
      <c r="G15" s="985"/>
    </row>
    <row r="16" spans="1:9" ht="13" customHeight="1" x14ac:dyDescent="0.3">
      <c r="A16" s="1002" t="s">
        <v>1747</v>
      </c>
      <c r="B16" s="1003">
        <f>INPUT!$C$41*(INPUT!$C$43/INPUT!$C$44)</f>
        <v>0</v>
      </c>
      <c r="C16" s="1004">
        <f>OSI!$K$61</f>
        <v>75</v>
      </c>
      <c r="D16" s="1374" t="s">
        <v>1736</v>
      </c>
      <c r="E16" s="1017">
        <f>B16*C16</f>
        <v>0</v>
      </c>
      <c r="F16" s="984"/>
      <c r="G16" s="1007"/>
    </row>
    <row r="17" spans="1:7" ht="13" customHeight="1" x14ac:dyDescent="0.3">
      <c r="A17" s="1008" t="s">
        <v>1748</v>
      </c>
      <c r="B17" s="1381"/>
      <c r="C17" s="1382"/>
      <c r="D17" s="982"/>
      <c r="E17" s="982">
        <f>SUM(E12:E16)</f>
        <v>174.01041666666663</v>
      </c>
      <c r="F17" s="984"/>
      <c r="G17" s="985"/>
    </row>
    <row r="18" spans="1:7" ht="13" customHeight="1" x14ac:dyDescent="0.3">
      <c r="A18" s="1009" t="s">
        <v>1749</v>
      </c>
      <c r="B18" s="1004"/>
      <c r="C18" s="992"/>
      <c r="D18" s="982"/>
      <c r="E18" s="1004"/>
      <c r="F18" s="984"/>
      <c r="G18" s="989"/>
    </row>
    <row r="19" spans="1:7" ht="13" customHeight="1" x14ac:dyDescent="0.3">
      <c r="A19" s="1002" t="s">
        <v>1750</v>
      </c>
      <c r="B19" s="1004"/>
      <c r="C19" s="992"/>
      <c r="D19" s="982"/>
      <c r="E19" s="982">
        <f>Bb!D34</f>
        <v>34.195166360409864</v>
      </c>
      <c r="F19" s="984"/>
      <c r="G19" s="985"/>
    </row>
    <row r="20" spans="1:7" ht="13" customHeight="1" x14ac:dyDescent="0.3">
      <c r="A20" s="1002" t="s">
        <v>1751</v>
      </c>
      <c r="B20" s="1004"/>
      <c r="C20" s="992"/>
      <c r="D20" s="982"/>
      <c r="E20" s="982">
        <f>Bb!D35</f>
        <v>16.487770886472646</v>
      </c>
      <c r="F20" s="984"/>
      <c r="G20" s="985"/>
    </row>
    <row r="21" spans="1:7" ht="13" customHeight="1" x14ac:dyDescent="0.3">
      <c r="A21" s="1010" t="s">
        <v>1752</v>
      </c>
      <c r="B21" s="1004"/>
      <c r="C21" s="992"/>
      <c r="D21" s="982"/>
      <c r="E21" s="982">
        <f>Bb!D36</f>
        <v>78.189471181229507</v>
      </c>
      <c r="F21" s="984"/>
      <c r="G21" s="994"/>
    </row>
    <row r="22" spans="1:7" ht="13" customHeight="1" x14ac:dyDescent="0.3">
      <c r="A22" s="1002" t="s">
        <v>170</v>
      </c>
      <c r="B22" s="1004"/>
      <c r="C22" s="992"/>
      <c r="D22" s="982"/>
      <c r="E22" s="982">
        <f>Bb!D37</f>
        <v>0</v>
      </c>
      <c r="F22" s="984"/>
      <c r="G22" s="985"/>
    </row>
    <row r="23" spans="1:7" ht="13" customHeight="1" x14ac:dyDescent="0.3">
      <c r="A23" s="1002" t="s">
        <v>1756</v>
      </c>
      <c r="B23" s="1004"/>
      <c r="C23" s="992"/>
      <c r="D23" s="982"/>
      <c r="E23" s="1373">
        <f>Bb!D38</f>
        <v>3</v>
      </c>
      <c r="F23" s="984"/>
      <c r="G23" s="985"/>
    </row>
    <row r="24" spans="1:7" ht="13" customHeight="1" x14ac:dyDescent="0.3">
      <c r="A24" s="1002" t="s">
        <v>1753</v>
      </c>
      <c r="B24" s="1004"/>
      <c r="C24" s="992"/>
      <c r="D24" s="982"/>
      <c r="E24" s="1017">
        <f>Bb!D47</f>
        <v>0</v>
      </c>
      <c r="F24" s="984"/>
      <c r="G24" s="1007"/>
    </row>
    <row r="25" spans="1:7" ht="13" customHeight="1" x14ac:dyDescent="0.3">
      <c r="A25" s="1008" t="s">
        <v>1748</v>
      </c>
      <c r="B25" s="1381"/>
      <c r="C25" s="1382"/>
      <c r="D25" s="982"/>
      <c r="E25" s="982">
        <f>SUM(E19:E24)</f>
        <v>131.87240842811201</v>
      </c>
      <c r="F25" s="984"/>
      <c r="G25" s="989"/>
    </row>
    <row r="26" spans="1:7" ht="13" customHeight="1" x14ac:dyDescent="0.3">
      <c r="A26" s="1009" t="s">
        <v>1754</v>
      </c>
      <c r="B26" s="1004"/>
      <c r="C26" s="992"/>
      <c r="D26" s="982"/>
      <c r="E26" s="1004"/>
      <c r="F26" s="984"/>
      <c r="G26" s="1011"/>
    </row>
    <row r="27" spans="1:7" ht="13" customHeight="1" x14ac:dyDescent="0.3">
      <c r="A27" s="1002" t="s">
        <v>1757</v>
      </c>
      <c r="B27" s="1004"/>
      <c r="C27" s="992"/>
      <c r="D27" s="982"/>
      <c r="E27" s="982">
        <f>Bb!D40</f>
        <v>1.5</v>
      </c>
      <c r="F27" s="984"/>
      <c r="G27" s="985"/>
    </row>
    <row r="28" spans="1:7" ht="13" customHeight="1" x14ac:dyDescent="0.3">
      <c r="A28" s="1002" t="s">
        <v>1792</v>
      </c>
      <c r="B28" s="1004"/>
      <c r="C28" s="992"/>
      <c r="D28" s="982"/>
      <c r="E28" s="982">
        <f>Bb!D41</f>
        <v>8.75</v>
      </c>
      <c r="F28" s="984"/>
      <c r="G28" s="985"/>
    </row>
    <row r="29" spans="1:7" ht="13" customHeight="1" x14ac:dyDescent="0.3">
      <c r="A29" s="1002" t="s">
        <v>1795</v>
      </c>
      <c r="B29" s="1004"/>
      <c r="C29" s="992"/>
      <c r="D29" s="982"/>
      <c r="E29" s="982">
        <f>Bb!D42</f>
        <v>4.5</v>
      </c>
      <c r="F29" s="984"/>
      <c r="G29" s="985"/>
    </row>
    <row r="30" spans="1:7" ht="13" customHeight="1" x14ac:dyDescent="0.3">
      <c r="A30" s="1002" t="s">
        <v>2261</v>
      </c>
      <c r="B30" s="1004"/>
      <c r="C30" s="992"/>
      <c r="D30" s="982"/>
      <c r="E30" s="982">
        <f>Bb!D43</f>
        <v>15</v>
      </c>
      <c r="F30" s="984"/>
      <c r="G30" s="985"/>
    </row>
    <row r="31" spans="1:7" ht="13" customHeight="1" x14ac:dyDescent="0.3">
      <c r="A31" s="1002" t="s">
        <v>1755</v>
      </c>
      <c r="B31" s="1004"/>
      <c r="C31" s="992"/>
      <c r="D31" s="982"/>
      <c r="E31" s="982">
        <f>Bb!D44</f>
        <v>12.5</v>
      </c>
      <c r="F31" s="984"/>
      <c r="G31" s="985"/>
    </row>
    <row r="32" spans="1:7" ht="13" customHeight="1" x14ac:dyDescent="0.3">
      <c r="A32" s="1002" t="s">
        <v>1758</v>
      </c>
      <c r="B32" s="1004"/>
      <c r="C32" s="992"/>
      <c r="D32" s="982"/>
      <c r="E32" s="982">
        <f>Bb!D45</f>
        <v>22.479045114694269</v>
      </c>
      <c r="F32" s="984"/>
      <c r="G32" s="985"/>
    </row>
    <row r="33" spans="1:7" ht="12.65" customHeight="1" x14ac:dyDescent="0.3">
      <c r="A33" s="1002" t="s">
        <v>2262</v>
      </c>
      <c r="B33" s="1004"/>
      <c r="C33" s="992"/>
      <c r="D33" s="982"/>
      <c r="E33" s="982">
        <f>Bb!D46</f>
        <v>0</v>
      </c>
      <c r="F33" s="984"/>
      <c r="G33" s="985"/>
    </row>
    <row r="34" spans="1:7" ht="13" customHeight="1" x14ac:dyDescent="0.3">
      <c r="A34" s="1002" t="s">
        <v>2075</v>
      </c>
      <c r="B34" s="1004"/>
      <c r="C34" s="992"/>
      <c r="D34" s="982"/>
      <c r="E34" s="982">
        <f>Bb!D47</f>
        <v>0</v>
      </c>
      <c r="F34" s="984"/>
      <c r="G34" s="985"/>
    </row>
    <row r="35" spans="1:7" ht="13" customHeight="1" x14ac:dyDescent="0.3">
      <c r="A35" s="1002" t="s">
        <v>1793</v>
      </c>
      <c r="B35" s="1004"/>
      <c r="C35" s="992"/>
      <c r="D35" s="982"/>
      <c r="E35" s="982">
        <f>Bb!D48</f>
        <v>11.061</v>
      </c>
      <c r="F35" s="984"/>
      <c r="G35" s="985"/>
    </row>
    <row r="36" spans="1:7" ht="13" customHeight="1" x14ac:dyDescent="0.3">
      <c r="A36" s="1002" t="s">
        <v>2263</v>
      </c>
      <c r="B36" s="1004"/>
      <c r="C36" s="992"/>
      <c r="D36" s="982"/>
      <c r="E36" s="982">
        <f>Bb!D49</f>
        <v>0</v>
      </c>
      <c r="F36" s="984"/>
      <c r="G36" s="985"/>
    </row>
    <row r="37" spans="1:7" ht="13" customHeight="1" x14ac:dyDescent="0.3">
      <c r="A37" s="1002" t="s">
        <v>1794</v>
      </c>
      <c r="B37" s="1004"/>
      <c r="C37" s="992"/>
      <c r="D37" s="982"/>
      <c r="E37" s="1373">
        <f>SUM(Bb!D50:D52)</f>
        <v>2.375</v>
      </c>
      <c r="F37" s="984"/>
      <c r="G37" s="985"/>
    </row>
    <row r="38" spans="1:7" ht="13" customHeight="1" x14ac:dyDescent="0.3">
      <c r="A38" s="1002" t="s">
        <v>1759</v>
      </c>
      <c r="B38" s="1004"/>
      <c r="C38" s="992"/>
      <c r="D38" s="982"/>
      <c r="E38" s="1017">
        <f>Bb!D54</f>
        <v>10.605865158850278</v>
      </c>
      <c r="F38" s="984"/>
      <c r="G38" s="1007"/>
    </row>
    <row r="39" spans="1:7" ht="13" customHeight="1" x14ac:dyDescent="0.3">
      <c r="A39" s="1008" t="s">
        <v>1748</v>
      </c>
      <c r="B39" s="1381"/>
      <c r="C39" s="1382"/>
      <c r="D39" s="982"/>
      <c r="E39" s="982">
        <f>SUM(E27:E38)</f>
        <v>88.770910273544544</v>
      </c>
      <c r="F39" s="984"/>
      <c r="G39" s="985"/>
    </row>
    <row r="40" spans="1:7" ht="13" customHeight="1" thickBot="1" x14ac:dyDescent="0.35">
      <c r="A40" s="1012" t="s">
        <v>1760</v>
      </c>
      <c r="B40" s="1013"/>
      <c r="C40" s="1014"/>
      <c r="D40" s="1014"/>
      <c r="E40" s="1015">
        <f>E17+E25+E39</f>
        <v>394.65373536832317</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92"/>
      <c r="E42" s="982">
        <f>SUM(Bb!D59:D71)</f>
        <v>117.29048251872651</v>
      </c>
      <c r="F42" s="984"/>
      <c r="G42" s="989"/>
    </row>
    <row r="43" spans="1:7" ht="13" customHeight="1" x14ac:dyDescent="0.3">
      <c r="A43" s="1002" t="s">
        <v>79</v>
      </c>
      <c r="B43" s="1004"/>
      <c r="C43" s="992"/>
      <c r="D43" s="992"/>
      <c r="E43" s="1017">
        <f>Bb!D72</f>
        <v>28.076670241147795</v>
      </c>
      <c r="F43" s="984"/>
      <c r="G43" s="1007"/>
    </row>
    <row r="44" spans="1:7" ht="13" customHeight="1" x14ac:dyDescent="0.3">
      <c r="A44" s="990" t="s">
        <v>1762</v>
      </c>
      <c r="B44" s="991"/>
      <c r="C44" s="992"/>
      <c r="D44" s="992"/>
      <c r="E44" s="993">
        <f>SUM(E42:E43)</f>
        <v>145.3671527598743</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0"/>
      <c r="E46" s="1021">
        <f>E40+E44</f>
        <v>540.0208881281975</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554.4</v>
      </c>
      <c r="D49" s="1227" t="str">
        <f>CONCATENATE(" -   $",ROUND(E46,2)," =")</f>
        <v xml:space="preserve"> -   $540.02 =</v>
      </c>
      <c r="E49" s="993">
        <f>E8-E40-E44</f>
        <v>14.379111871802507</v>
      </c>
      <c r="F49" s="984"/>
      <c r="G49" s="985"/>
    </row>
    <row r="50" spans="1:7" ht="13" customHeight="1" thickBot="1" x14ac:dyDescent="0.35">
      <c r="A50" s="1016" t="s">
        <v>1765</v>
      </c>
      <c r="B50" s="1013"/>
      <c r="C50" s="1319">
        <f>E8</f>
        <v>554.4</v>
      </c>
      <c r="D50" s="1228" t="str">
        <f>CONCATENATE("   -   $",ROUND(E40,2)," =")</f>
        <v xml:space="preserve">   -   $394.65 =</v>
      </c>
      <c r="E50" s="1015">
        <f>E8-E40</f>
        <v>159.74626463167681</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f>E46</f>
        <v>540.0208881281975</v>
      </c>
      <c r="E53" s="982">
        <f>D53/$B$5</f>
        <v>12.857640193528512</v>
      </c>
      <c r="F53" s="984"/>
      <c r="G53" s="985"/>
    </row>
    <row r="54" spans="1:7" ht="13" customHeight="1" x14ac:dyDescent="0.3">
      <c r="A54" s="1002" t="s">
        <v>371</v>
      </c>
      <c r="B54" s="1027"/>
      <c r="C54" s="992"/>
      <c r="D54" s="982">
        <f>E40</f>
        <v>394.65373536832317</v>
      </c>
      <c r="E54" s="982">
        <f>D54/$B$5</f>
        <v>9.3965175087696</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1773</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1783</v>
      </c>
      <c r="F72" s="1050"/>
      <c r="G72" s="1051" t="s">
        <v>1735</v>
      </c>
    </row>
    <row r="73" spans="1:7" ht="12.75" customHeight="1" x14ac:dyDescent="0.3">
      <c r="A73" s="1053" t="s">
        <v>1784</v>
      </c>
      <c r="B73" s="982">
        <f>Bb!D127</f>
        <v>3.0724999999999998</v>
      </c>
      <c r="C73" s="982">
        <f>Bb!D141</f>
        <v>1.1270109002769051</v>
      </c>
      <c r="D73" s="982">
        <f>SUM(Bf!J56:J58)/200</f>
        <v>0.34477617192675036</v>
      </c>
      <c r="E73" s="982">
        <f t="shared" ref="E73:E81" si="0">SUM(B73:D73)</f>
        <v>4.5442870722036552</v>
      </c>
      <c r="F73" s="1054"/>
      <c r="G73" s="985"/>
    </row>
    <row r="74" spans="1:7" ht="12.75" customHeight="1" x14ac:dyDescent="0.3">
      <c r="A74" s="1053" t="s">
        <v>1429</v>
      </c>
      <c r="B74" s="982">
        <f>Bb!D128</f>
        <v>1.4458823529411715</v>
      </c>
      <c r="C74" s="982">
        <f>Bb!D142</f>
        <v>1.6384000000000001</v>
      </c>
      <c r="D74" s="982">
        <f>(SUM(Bf!J38:J40)/300)</f>
        <v>0.46800621798762432</v>
      </c>
      <c r="E74" s="982">
        <f>SUM(B74:D74)</f>
        <v>3.5522885709287957</v>
      </c>
      <c r="F74" s="1054"/>
      <c r="G74" s="985"/>
    </row>
    <row r="75" spans="1:7" ht="12.75" customHeight="1" x14ac:dyDescent="0.3">
      <c r="A75" s="1053" t="s">
        <v>1785</v>
      </c>
      <c r="B75" s="982">
        <f>Bb!D129</f>
        <v>1.0057283142389524</v>
      </c>
      <c r="C75" s="982">
        <f>Bb!D143</f>
        <v>1.8944000000000001</v>
      </c>
      <c r="D75" s="982">
        <f>SUM(Bf!J41:J43)/300</f>
        <v>1.3604973144873802</v>
      </c>
      <c r="E75" s="982">
        <f t="shared" si="0"/>
        <v>4.2606256287263324</v>
      </c>
      <c r="F75" s="1054"/>
      <c r="G75" s="985"/>
    </row>
    <row r="76" spans="1:7" ht="12.75" customHeight="1" x14ac:dyDescent="0.3">
      <c r="A76" s="1053" t="s">
        <v>1786</v>
      </c>
      <c r="B76" s="982">
        <f>Bb!D130</f>
        <v>0.94684129429892172</v>
      </c>
      <c r="C76" s="982">
        <f>Bb!D144</f>
        <v>0.87040000000000006</v>
      </c>
      <c r="D76" s="982">
        <f>SUM(Bf!J44:J46)/300</f>
        <v>0.85392916547612152</v>
      </c>
      <c r="E76" s="982">
        <f t="shared" si="0"/>
        <v>2.6711704597750434</v>
      </c>
      <c r="F76" s="1054"/>
      <c r="G76" s="985"/>
    </row>
    <row r="77" spans="1:7" ht="12.75" customHeight="1" x14ac:dyDescent="0.3">
      <c r="A77" s="1053" t="s">
        <v>1787</v>
      </c>
      <c r="B77" s="982">
        <f>Bb!D131</f>
        <v>0.94684129429892172</v>
      </c>
      <c r="C77" s="982">
        <f>Bb!D145</f>
        <v>1.5615999999999999</v>
      </c>
      <c r="D77" s="982">
        <f>SUM(Bf!J59:J61)/300</f>
        <v>1.0782158824009862</v>
      </c>
      <c r="E77" s="982">
        <f t="shared" si="0"/>
        <v>3.5866571766999078</v>
      </c>
      <c r="F77" s="1054"/>
      <c r="G77" s="985"/>
    </row>
    <row r="78" spans="1:7" ht="12.75" customHeight="1" x14ac:dyDescent="0.3">
      <c r="A78" s="1053" t="s">
        <v>2167</v>
      </c>
      <c r="B78" s="982">
        <f>Bb!D132</f>
        <v>1.8936825885978434</v>
      </c>
      <c r="C78" s="982">
        <f>Bb!D146</f>
        <v>1.7408000000000001</v>
      </c>
      <c r="D78" s="982">
        <f>(SUM(Bf!J47:J49)/200)*2</f>
        <v>0.30363725215460052</v>
      </c>
      <c r="E78" s="982">
        <f t="shared" si="0"/>
        <v>3.938119840752444</v>
      </c>
      <c r="F78" s="1054"/>
      <c r="G78" s="985"/>
    </row>
    <row r="79" spans="1:7" ht="12.75" customHeight="1" x14ac:dyDescent="0.3">
      <c r="A79" s="1053" t="s">
        <v>1788</v>
      </c>
      <c r="B79" s="982">
        <f>Bb!D133</f>
        <v>4.0966666666666622</v>
      </c>
      <c r="C79" s="982">
        <f>Bb!D147</f>
        <v>5.12</v>
      </c>
      <c r="D79" s="982">
        <f>(SUM(Bf!J69:J71)+SUM(Bf!J72:J74))/300</f>
        <v>7.5324924346958184</v>
      </c>
      <c r="E79" s="982">
        <f t="shared" si="0"/>
        <v>16.74915910136248</v>
      </c>
      <c r="F79" s="1054"/>
      <c r="G79" s="985"/>
    </row>
    <row r="80" spans="1:7" ht="12.75" customHeight="1" x14ac:dyDescent="0.3">
      <c r="A80" s="1055" t="s">
        <v>1819</v>
      </c>
      <c r="B80" s="1017">
        <f>Bb!D134</f>
        <v>1.4792547584583082</v>
      </c>
      <c r="C80" s="1017">
        <f>Bb!D148</f>
        <v>0.4738094432543386</v>
      </c>
      <c r="D80" s="1017">
        <f>SUM(Bf!J26:J28)/300</f>
        <v>2.1316422445840013</v>
      </c>
      <c r="E80" s="1017">
        <f t="shared" si="0"/>
        <v>4.0847064462966483</v>
      </c>
      <c r="F80" s="1054"/>
      <c r="G80" s="1056"/>
    </row>
    <row r="81" spans="1:7" ht="12.75" customHeight="1" x14ac:dyDescent="0.3">
      <c r="A81" s="1072" t="s">
        <v>1789</v>
      </c>
      <c r="B81" s="1017">
        <f>SUM(B73:B80)</f>
        <v>14.887397269500781</v>
      </c>
      <c r="C81" s="1017">
        <f>SUM(C73:C80)</f>
        <v>14.426420343531245</v>
      </c>
      <c r="D81" s="1017">
        <f>SUM(D73:D80)</f>
        <v>14.073196683713281</v>
      </c>
      <c r="E81" s="1058">
        <f t="shared" si="0"/>
        <v>43.387014296745306</v>
      </c>
      <c r="F81" s="1059"/>
      <c r="G81" s="1060"/>
    </row>
    <row r="82" spans="1:7" ht="18" customHeight="1" x14ac:dyDescent="0.3">
      <c r="A82" s="1061" t="s">
        <v>1790</v>
      </c>
      <c r="B82" s="1062"/>
      <c r="C82" s="1062"/>
      <c r="D82" s="1062"/>
      <c r="E82" s="1063"/>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tjSOugKyK555fDwDyZ9I2BkRqUJMMhxKrZQsdULoafPoigETipGIg526Howy7l6ayHjDe6dCoQgXINzToAMI7A==" saltValue="Ya6OOAZH/aQsbSBdrbRXzw==" spinCount="100000" sheet="1" objects="1" scenarios="1"/>
  <mergeCells count="15">
    <mergeCell ref="A69:G69"/>
    <mergeCell ref="A71:E71"/>
    <mergeCell ref="A83:G83"/>
    <mergeCell ref="A61:G61"/>
    <mergeCell ref="A62:G62"/>
    <mergeCell ref="A64:G64"/>
    <mergeCell ref="A65:G65"/>
    <mergeCell ref="A66:G66"/>
    <mergeCell ref="A68:G68"/>
    <mergeCell ref="B39:C39"/>
    <mergeCell ref="A1:G1"/>
    <mergeCell ref="A2:G2"/>
    <mergeCell ref="A3:G3"/>
    <mergeCell ref="B17:C17"/>
    <mergeCell ref="B25:C25"/>
  </mergeCells>
  <pageMargins left="0.7" right="0.7" top="0.75" bottom="0.75" header="0.3" footer="0.3"/>
  <pageSetup scale="84" orientation="portrait" r:id="rId1"/>
  <rowBreaks count="1" manualBreakCount="1">
    <brk id="57" max="16383" man="1"/>
  </rowBreaks>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46"/>
  <sheetViews>
    <sheetView workbookViewId="0">
      <pane ySplit="6" topLeftCell="A9" activePane="bottomLeft" state="frozen"/>
      <selection pane="bottomLeft" activeCell="L4" sqref="L4"/>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3" x14ac:dyDescent="0.3">
      <c r="A1" s="61" t="s">
        <v>146</v>
      </c>
      <c r="B1" s="17" t="str">
        <f>model</f>
        <v>ME Grain &amp; Pulse</v>
      </c>
      <c r="F1" s="539" t="s">
        <v>1044</v>
      </c>
      <c r="G1" s="540"/>
    </row>
    <row r="2" spans="1:13" x14ac:dyDescent="0.3">
      <c r="F2" s="537">
        <v>1</v>
      </c>
      <c r="G2" s="541"/>
    </row>
    <row r="3" spans="1:13" x14ac:dyDescent="0.3">
      <c r="A3" s="7" t="s">
        <v>770</v>
      </c>
      <c r="B3" s="8" t="s">
        <v>92</v>
      </c>
      <c r="C3" s="86">
        <f>hay</f>
        <v>0</v>
      </c>
      <c r="D3" s="4" t="s">
        <v>93</v>
      </c>
      <c r="F3" s="4" t="s">
        <v>907</v>
      </c>
    </row>
    <row r="4" spans="1:13" x14ac:dyDescent="0.3">
      <c r="F4" s="308" t="s">
        <v>706</v>
      </c>
      <c r="G4" s="309"/>
    </row>
    <row r="5" spans="1:13" ht="13.5" x14ac:dyDescent="0.35">
      <c r="A5" s="5" t="s">
        <v>0</v>
      </c>
      <c r="F5" s="304">
        <v>5</v>
      </c>
      <c r="G5" s="310" t="s">
        <v>562</v>
      </c>
    </row>
    <row r="6" spans="1:13" s="27" customFormat="1" ht="26" x14ac:dyDescent="0.3">
      <c r="A6" s="41"/>
      <c r="B6" s="391" t="s">
        <v>919</v>
      </c>
      <c r="C6" s="42" t="s">
        <v>21</v>
      </c>
      <c r="D6" s="42" t="s">
        <v>22</v>
      </c>
      <c r="E6" s="227" t="s">
        <v>900</v>
      </c>
      <c r="F6" s="42" t="s">
        <v>23</v>
      </c>
      <c r="G6" s="42" t="s">
        <v>24</v>
      </c>
      <c r="H6" s="42" t="s">
        <v>65</v>
      </c>
    </row>
    <row r="7" spans="1:13" x14ac:dyDescent="0.3">
      <c r="A7" s="3" t="s">
        <v>13</v>
      </c>
      <c r="B7" s="3"/>
    </row>
    <row r="8" spans="1:13" x14ac:dyDescent="0.3">
      <c r="A8" s="311" t="s">
        <v>709</v>
      </c>
      <c r="B8" s="397">
        <v>1</v>
      </c>
      <c r="C8" s="363">
        <v>8</v>
      </c>
      <c r="D8" s="317" t="s">
        <v>220</v>
      </c>
      <c r="E8" s="318">
        <f>C8*hay</f>
        <v>0</v>
      </c>
      <c r="F8" s="313">
        <v>1.6</v>
      </c>
      <c r="G8" s="319">
        <f>C8*F8</f>
        <v>12.8</v>
      </c>
      <c r="H8" s="314">
        <f>(B8*G8*hay)/$F$5</f>
        <v>0</v>
      </c>
      <c r="J8" s="204"/>
    </row>
    <row r="9" spans="1:13" x14ac:dyDescent="0.3">
      <c r="A9" s="311" t="s">
        <v>710</v>
      </c>
      <c r="B9" s="397">
        <v>1</v>
      </c>
      <c r="C9" s="312">
        <f>C8/3</f>
        <v>2.6666666666666665</v>
      </c>
      <c r="D9" s="317" t="s">
        <v>220</v>
      </c>
      <c r="E9" s="318">
        <f>C9*hay</f>
        <v>0</v>
      </c>
      <c r="F9" s="313">
        <v>3.6</v>
      </c>
      <c r="G9" s="319">
        <f>C9*F9</f>
        <v>9.6</v>
      </c>
      <c r="H9" s="314">
        <f>(B9*G9*hay)/$F$5</f>
        <v>0</v>
      </c>
      <c r="I9" s="108">
        <f>SUM(H8:H9)</f>
        <v>0</v>
      </c>
      <c r="J9" s="98" t="e">
        <f>I9/hay</f>
        <v>#DIV/0!</v>
      </c>
    </row>
    <row r="10" spans="1:13" x14ac:dyDescent="0.3">
      <c r="A10" s="3" t="s">
        <v>1</v>
      </c>
      <c r="B10" s="3"/>
      <c r="C10" s="60"/>
      <c r="D10" s="34"/>
      <c r="E10" s="34"/>
      <c r="F10" s="104"/>
      <c r="G10" s="114"/>
      <c r="H10" s="114"/>
    </row>
    <row r="11" spans="1:13" x14ac:dyDescent="0.3">
      <c r="A11" s="22" t="s">
        <v>490</v>
      </c>
      <c r="B11" s="397">
        <v>1</v>
      </c>
      <c r="C11" s="278">
        <f>200/2000</f>
        <v>0.1</v>
      </c>
      <c r="D11" s="34" t="s">
        <v>26</v>
      </c>
      <c r="E11" s="226">
        <f>C11*hay</f>
        <v>0</v>
      </c>
      <c r="F11" s="608">
        <v>575</v>
      </c>
      <c r="G11" s="114">
        <f>C11*F11</f>
        <v>57.5</v>
      </c>
      <c r="H11" s="110">
        <f>B11*G11*hay</f>
        <v>0</v>
      </c>
      <c r="I11" s="108"/>
    </row>
    <row r="12" spans="1:13" x14ac:dyDescent="0.3">
      <c r="A12" s="6" t="s">
        <v>266</v>
      </c>
      <c r="B12" s="397">
        <v>1</v>
      </c>
      <c r="C12" s="278">
        <f>110/2000</f>
        <v>5.5E-2</v>
      </c>
      <c r="D12" s="34" t="s">
        <v>26</v>
      </c>
      <c r="E12" s="226">
        <f>C12*hay</f>
        <v>0</v>
      </c>
      <c r="F12" s="608">
        <v>600</v>
      </c>
      <c r="G12" s="114">
        <f>C12*F12</f>
        <v>33</v>
      </c>
      <c r="H12" s="110">
        <f>B12*G12*hay</f>
        <v>0</v>
      </c>
      <c r="I12" s="108">
        <f>SUM(H11:H12)</f>
        <v>0</v>
      </c>
      <c r="J12" s="52"/>
    </row>
    <row r="13" spans="1:13" x14ac:dyDescent="0.3">
      <c r="A13" s="6" t="s">
        <v>2</v>
      </c>
      <c r="B13" s="397">
        <v>1</v>
      </c>
      <c r="C13" s="369">
        <f>limeapp</f>
        <v>0.2</v>
      </c>
      <c r="D13" s="34" t="s">
        <v>26</v>
      </c>
      <c r="E13" s="226">
        <f>C13*hay</f>
        <v>0</v>
      </c>
      <c r="F13" s="109">
        <f>lime</f>
        <v>38.260869565217391</v>
      </c>
      <c r="G13" s="114">
        <f>C13*F13</f>
        <v>7.6521739130434785</v>
      </c>
      <c r="H13" s="110">
        <f>B13*G13*hay</f>
        <v>0</v>
      </c>
      <c r="I13" s="52"/>
    </row>
    <row r="14" spans="1:13" x14ac:dyDescent="0.3">
      <c r="A14" s="3" t="s">
        <v>1476</v>
      </c>
      <c r="B14" s="3"/>
      <c r="C14" s="46"/>
      <c r="D14" s="34"/>
      <c r="E14" s="34"/>
      <c r="F14" s="104"/>
      <c r="G14" s="114"/>
      <c r="H14" s="110"/>
      <c r="I14" s="110"/>
      <c r="J14" s="114"/>
      <c r="K14" s="55"/>
      <c r="L14" s="24"/>
      <c r="M14" s="81"/>
    </row>
    <row r="15" spans="1:13" x14ac:dyDescent="0.3">
      <c r="A15" s="320" t="s">
        <v>219</v>
      </c>
      <c r="B15" s="397">
        <v>1</v>
      </c>
      <c r="C15" s="315">
        <v>2</v>
      </c>
      <c r="D15" s="317" t="s">
        <v>220</v>
      </c>
      <c r="E15" s="318">
        <f>C15*hay</f>
        <v>0</v>
      </c>
      <c r="F15" s="313">
        <f>7.504+(7.504*Data!$L$275)</f>
        <v>13.808774419387412</v>
      </c>
      <c r="G15" s="319">
        <f>C15*F15</f>
        <v>27.617548838774823</v>
      </c>
      <c r="H15" s="314">
        <f>(B15*G15*hay)/$F$5</f>
        <v>0</v>
      </c>
      <c r="I15" s="110"/>
      <c r="J15" s="114"/>
      <c r="K15" s="98"/>
    </row>
    <row r="16" spans="1:13" x14ac:dyDescent="0.3">
      <c r="A16" s="320" t="s">
        <v>221</v>
      </c>
      <c r="B16" s="397">
        <v>1</v>
      </c>
      <c r="C16" s="315">
        <v>0.37830000000000003</v>
      </c>
      <c r="D16" s="317" t="s">
        <v>117</v>
      </c>
      <c r="E16" s="318">
        <f>C16*hay</f>
        <v>0</v>
      </c>
      <c r="F16" s="313">
        <f>24.802+(24.802*Data!$L$275)</f>
        <v>45.64035489734097</v>
      </c>
      <c r="G16" s="319">
        <f>C16*F16</f>
        <v>17.265746257664091</v>
      </c>
      <c r="H16" s="314">
        <f>(B16*G16*hay)/$F$5</f>
        <v>0</v>
      </c>
      <c r="J16" s="114"/>
    </row>
    <row r="17" spans="1:13" x14ac:dyDescent="0.3">
      <c r="A17" s="22" t="s">
        <v>908</v>
      </c>
      <c r="B17" s="397">
        <v>1</v>
      </c>
      <c r="C17" s="364">
        <f>1/8</f>
        <v>0.125</v>
      </c>
      <c r="D17" s="163" t="s">
        <v>119</v>
      </c>
      <c r="E17" s="34">
        <f>C17*hay</f>
        <v>0</v>
      </c>
      <c r="F17" s="365">
        <f>(430/30)</f>
        <v>14.333333333333334</v>
      </c>
      <c r="G17" s="114">
        <f>C17*F17</f>
        <v>1.7916666666666667</v>
      </c>
      <c r="H17" s="110">
        <f>B17*G17*hay</f>
        <v>0</v>
      </c>
      <c r="I17" s="110">
        <f>SUM(H15:H17)</f>
        <v>0</v>
      </c>
      <c r="J17" s="114"/>
    </row>
    <row r="18" spans="1:13" x14ac:dyDescent="0.3">
      <c r="A18" s="3" t="s">
        <v>14</v>
      </c>
      <c r="B18" s="3"/>
      <c r="C18" s="46"/>
      <c r="D18" s="34"/>
      <c r="E18" s="34"/>
      <c r="F18" s="104"/>
      <c r="G18" s="114"/>
      <c r="H18" s="110"/>
    </row>
    <row r="19" spans="1:13" x14ac:dyDescent="0.3">
      <c r="A19" s="95" t="s">
        <v>323</v>
      </c>
      <c r="B19" s="95"/>
      <c r="C19" s="46"/>
      <c r="D19" s="34"/>
      <c r="E19" s="34"/>
      <c r="F19" s="104"/>
      <c r="G19" s="114"/>
      <c r="H19" s="110"/>
    </row>
    <row r="20" spans="1:13" x14ac:dyDescent="0.3">
      <c r="A20" s="320" t="s">
        <v>484</v>
      </c>
      <c r="B20" s="397">
        <v>1</v>
      </c>
      <c r="C20" s="321">
        <f>Data!H525</f>
        <v>0.25632748278140399</v>
      </c>
      <c r="D20" s="317" t="s">
        <v>128</v>
      </c>
      <c r="E20" s="318">
        <f t="shared" ref="E20:E50" si="0">C20*hay</f>
        <v>0</v>
      </c>
      <c r="F20" s="322">
        <f t="shared" ref="F20:F27" si="1">_wage_</f>
        <v>12.29</v>
      </c>
      <c r="G20" s="319">
        <f>C20*F20</f>
        <v>3.1502647633834551</v>
      </c>
      <c r="H20" s="314">
        <f>(B20*G20*hay)/$F$5</f>
        <v>0</v>
      </c>
      <c r="I20" s="110"/>
      <c r="J20" s="114"/>
      <c r="K20" s="55"/>
      <c r="L20" s="24"/>
      <c r="M20" s="81"/>
    </row>
    <row r="21" spans="1:13" x14ac:dyDescent="0.3">
      <c r="A21" s="320" t="s">
        <v>485</v>
      </c>
      <c r="B21" s="397">
        <v>1</v>
      </c>
      <c r="C21" s="321">
        <f>Data!H526</f>
        <v>0.39334140580266497</v>
      </c>
      <c r="D21" s="317" t="s">
        <v>128</v>
      </c>
      <c r="E21" s="318">
        <f t="shared" si="0"/>
        <v>0</v>
      </c>
      <c r="F21" s="322">
        <f t="shared" si="1"/>
        <v>12.29</v>
      </c>
      <c r="G21" s="319">
        <f>C21*F21</f>
        <v>4.834165877314752</v>
      </c>
      <c r="H21" s="314">
        <f>(B21*G21*hay)/$F$5</f>
        <v>0</v>
      </c>
      <c r="I21" s="110"/>
      <c r="J21" s="114"/>
      <c r="K21" s="55"/>
      <c r="L21" s="24"/>
      <c r="M21" s="81"/>
    </row>
    <row r="22" spans="1:13" x14ac:dyDescent="0.3">
      <c r="A22" s="22" t="s">
        <v>581</v>
      </c>
      <c r="B22" s="397">
        <v>1</v>
      </c>
      <c r="C22" s="156">
        <f>Data!H527</f>
        <v>9.2929292929292931E-2</v>
      </c>
      <c r="D22" s="34" t="s">
        <v>128</v>
      </c>
      <c r="E22" s="226">
        <f t="shared" si="0"/>
        <v>0</v>
      </c>
      <c r="F22" s="167">
        <f t="shared" si="1"/>
        <v>12.29</v>
      </c>
      <c r="G22" s="114">
        <f>C22*F22</f>
        <v>1.1421010101010101</v>
      </c>
      <c r="H22" s="110">
        <f>B22*G22*hay</f>
        <v>0</v>
      </c>
    </row>
    <row r="23" spans="1:13" x14ac:dyDescent="0.3">
      <c r="A23" s="323" t="s">
        <v>316</v>
      </c>
      <c r="B23" s="397">
        <v>1</v>
      </c>
      <c r="C23" s="316">
        <v>0</v>
      </c>
      <c r="D23" s="317" t="s">
        <v>128</v>
      </c>
      <c r="E23" s="318">
        <f t="shared" si="0"/>
        <v>0</v>
      </c>
      <c r="F23" s="322">
        <f t="shared" si="1"/>
        <v>12.29</v>
      </c>
      <c r="G23" s="324">
        <f t="shared" ref="G23:G34" si="2">C23*F23</f>
        <v>0</v>
      </c>
      <c r="H23" s="314">
        <f>(B23*G23*hay)/$F$5</f>
        <v>0</v>
      </c>
      <c r="I23" s="110"/>
      <c r="J23" s="114"/>
      <c r="K23" s="55"/>
      <c r="L23" s="24"/>
      <c r="M23" s="81"/>
    </row>
    <row r="24" spans="1:13" x14ac:dyDescent="0.3">
      <c r="A24" s="323" t="s">
        <v>411</v>
      </c>
      <c r="B24" s="397">
        <v>1</v>
      </c>
      <c r="C24" s="321">
        <f>Data!H528</f>
        <v>0.11</v>
      </c>
      <c r="D24" s="317" t="s">
        <v>128</v>
      </c>
      <c r="E24" s="318">
        <f t="shared" si="0"/>
        <v>0</v>
      </c>
      <c r="F24" s="322">
        <f t="shared" si="1"/>
        <v>12.29</v>
      </c>
      <c r="G24" s="319">
        <f t="shared" si="2"/>
        <v>1.3518999999999999</v>
      </c>
      <c r="H24" s="314">
        <f>(B24*G24*hay)/$F$5</f>
        <v>0</v>
      </c>
      <c r="I24" s="110"/>
      <c r="J24" s="114"/>
      <c r="K24" s="55"/>
      <c r="L24" s="24"/>
      <c r="M24" s="81"/>
    </row>
    <row r="25" spans="1:13" ht="13.5" customHeight="1" x14ac:dyDescent="0.3">
      <c r="A25" s="323" t="s">
        <v>735</v>
      </c>
      <c r="B25" s="397">
        <v>1</v>
      </c>
      <c r="C25" s="321">
        <f>Data!H530</f>
        <v>0.26666666666666666</v>
      </c>
      <c r="D25" s="317" t="s">
        <v>128</v>
      </c>
      <c r="E25" s="318">
        <f t="shared" si="0"/>
        <v>0</v>
      </c>
      <c r="F25" s="322">
        <f t="shared" si="1"/>
        <v>12.29</v>
      </c>
      <c r="G25" s="319">
        <f t="shared" si="2"/>
        <v>3.277333333333333</v>
      </c>
      <c r="H25" s="314">
        <f>(B25*G25*hay)/$F$5</f>
        <v>0</v>
      </c>
      <c r="I25" s="110"/>
      <c r="J25" s="114"/>
      <c r="K25" s="55"/>
      <c r="L25" s="24"/>
      <c r="M25" s="81"/>
    </row>
    <row r="26" spans="1:13" ht="13.5" customHeight="1" x14ac:dyDescent="0.3">
      <c r="A26" s="323" t="s">
        <v>304</v>
      </c>
      <c r="B26" s="397">
        <v>1</v>
      </c>
      <c r="C26" s="321">
        <f>Data!H537</f>
        <v>0.11851851851851852</v>
      </c>
      <c r="D26" s="317" t="s">
        <v>128</v>
      </c>
      <c r="E26" s="318">
        <f t="shared" si="0"/>
        <v>0</v>
      </c>
      <c r="F26" s="322">
        <f t="shared" si="1"/>
        <v>12.29</v>
      </c>
      <c r="G26" s="319">
        <f t="shared" si="2"/>
        <v>1.4565925925925924</v>
      </c>
      <c r="H26" s="324">
        <f>(B26*G26*hay)/$F$5</f>
        <v>0</v>
      </c>
      <c r="I26" s="110"/>
      <c r="J26" s="114"/>
      <c r="K26" s="55"/>
      <c r="L26" s="24"/>
      <c r="M26" s="81"/>
    </row>
    <row r="27" spans="1:13" s="374" customFormat="1" ht="13.5" customHeight="1" x14ac:dyDescent="0.3">
      <c r="A27" s="503" t="s">
        <v>304</v>
      </c>
      <c r="B27" s="397">
        <v>1</v>
      </c>
      <c r="C27" s="519">
        <f>Data!H537/2</f>
        <v>5.9259259259259262E-2</v>
      </c>
      <c r="D27" s="505" t="s">
        <v>128</v>
      </c>
      <c r="E27" s="506">
        <f>C27*hay</f>
        <v>0</v>
      </c>
      <c r="F27" s="507">
        <f t="shared" si="1"/>
        <v>12.29</v>
      </c>
      <c r="G27" s="114">
        <f t="shared" si="2"/>
        <v>0.72829629629629622</v>
      </c>
      <c r="H27" s="110">
        <f t="shared" ref="H27:H34" si="3">B27*G27*hay</f>
        <v>0</v>
      </c>
      <c r="I27" s="211"/>
      <c r="J27" s="168"/>
      <c r="K27" s="372"/>
      <c r="L27" s="174"/>
      <c r="M27" s="373"/>
    </row>
    <row r="28" spans="1:13" x14ac:dyDescent="0.3">
      <c r="A28" s="22" t="s">
        <v>324</v>
      </c>
      <c r="B28" s="508">
        <v>1</v>
      </c>
      <c r="C28" s="156">
        <f>Data!H538</f>
        <v>0.21851851851851867</v>
      </c>
      <c r="D28" s="34" t="s">
        <v>128</v>
      </c>
      <c r="E28" s="226">
        <f t="shared" si="0"/>
        <v>0</v>
      </c>
      <c r="F28" s="167">
        <f t="shared" ref="F28:F55" si="4">_wage_</f>
        <v>12.29</v>
      </c>
      <c r="G28" s="114">
        <f t="shared" si="2"/>
        <v>2.6855925925925943</v>
      </c>
      <c r="H28" s="110">
        <f t="shared" si="3"/>
        <v>0</v>
      </c>
    </row>
    <row r="29" spans="1:13" x14ac:dyDescent="0.3">
      <c r="A29" s="22" t="s">
        <v>325</v>
      </c>
      <c r="B29" s="397">
        <v>1</v>
      </c>
      <c r="C29" s="156">
        <f>Data!H539</f>
        <v>1.3</v>
      </c>
      <c r="D29" s="34" t="s">
        <v>128</v>
      </c>
      <c r="E29" s="226">
        <f t="shared" si="0"/>
        <v>0</v>
      </c>
      <c r="F29" s="167">
        <f t="shared" si="4"/>
        <v>12.29</v>
      </c>
      <c r="G29" s="114">
        <f t="shared" si="2"/>
        <v>15.977</v>
      </c>
      <c r="H29" s="110">
        <f t="shared" si="3"/>
        <v>0</v>
      </c>
    </row>
    <row r="30" spans="1:13" x14ac:dyDescent="0.3">
      <c r="A30" s="9" t="s">
        <v>1022</v>
      </c>
      <c r="B30" s="397">
        <v>0</v>
      </c>
      <c r="C30" s="47">
        <f>Data!$H$540*Data!$F$151</f>
        <v>0</v>
      </c>
      <c r="D30" s="48" t="s">
        <v>115</v>
      </c>
      <c r="E30" s="48">
        <f>C30*hay</f>
        <v>0</v>
      </c>
      <c r="F30" s="118">
        <f>_wage_</f>
        <v>12.29</v>
      </c>
      <c r="G30" s="465">
        <f>C30*F30</f>
        <v>0</v>
      </c>
      <c r="H30" s="123">
        <f>B30*G30*hay</f>
        <v>0</v>
      </c>
      <c r="J30" s="114"/>
      <c r="K30" s="55"/>
    </row>
    <row r="31" spans="1:13" x14ac:dyDescent="0.3">
      <c r="A31" s="22" t="s">
        <v>326</v>
      </c>
      <c r="B31" s="397">
        <v>1</v>
      </c>
      <c r="C31" s="156">
        <f>Data!H541</f>
        <v>0.60266666666666657</v>
      </c>
      <c r="D31" s="34" t="s">
        <v>128</v>
      </c>
      <c r="E31" s="226">
        <f t="shared" si="0"/>
        <v>0</v>
      </c>
      <c r="F31" s="167">
        <f t="shared" si="4"/>
        <v>12.29</v>
      </c>
      <c r="G31" s="114">
        <f t="shared" si="2"/>
        <v>7.4067733333333319</v>
      </c>
      <c r="H31" s="110">
        <f t="shared" si="3"/>
        <v>0</v>
      </c>
    </row>
    <row r="32" spans="1:13" x14ac:dyDescent="0.3">
      <c r="A32" s="9" t="s">
        <v>1022</v>
      </c>
      <c r="B32" s="397">
        <v>1</v>
      </c>
      <c r="C32" s="47">
        <f>Data!$H$542*Data!$F$151</f>
        <v>0</v>
      </c>
      <c r="D32" s="48" t="s">
        <v>115</v>
      </c>
      <c r="E32" s="83">
        <f>C32*hay</f>
        <v>0</v>
      </c>
      <c r="F32" s="118">
        <f>_wage_</f>
        <v>12.29</v>
      </c>
      <c r="G32" s="465">
        <f>C32*F32</f>
        <v>0</v>
      </c>
      <c r="H32" s="123">
        <f>B32*G32*hay</f>
        <v>0</v>
      </c>
      <c r="J32" s="114"/>
      <c r="K32" s="55"/>
    </row>
    <row r="33" spans="1:11" x14ac:dyDescent="0.3">
      <c r="A33" s="22" t="s">
        <v>322</v>
      </c>
      <c r="B33" s="397">
        <v>1</v>
      </c>
      <c r="C33" s="273">
        <f>0</f>
        <v>0</v>
      </c>
      <c r="D33" s="34" t="s">
        <v>128</v>
      </c>
      <c r="E33" s="226">
        <f t="shared" si="0"/>
        <v>0</v>
      </c>
      <c r="F33" s="167">
        <f t="shared" si="4"/>
        <v>12.29</v>
      </c>
      <c r="G33" s="110">
        <f t="shared" si="2"/>
        <v>0</v>
      </c>
      <c r="H33" s="110">
        <f t="shared" si="3"/>
        <v>0</v>
      </c>
    </row>
    <row r="34" spans="1:11" x14ac:dyDescent="0.3">
      <c r="A34" s="22" t="s">
        <v>581</v>
      </c>
      <c r="B34" s="397">
        <v>1</v>
      </c>
      <c r="C34" s="156">
        <f>Data!H557</f>
        <v>9.2929292929292931E-2</v>
      </c>
      <c r="D34" s="34" t="s">
        <v>128</v>
      </c>
      <c r="E34" s="226">
        <f t="shared" si="0"/>
        <v>0</v>
      </c>
      <c r="F34" s="167">
        <f>_wage_</f>
        <v>12.29</v>
      </c>
      <c r="G34" s="114">
        <f t="shared" si="2"/>
        <v>1.1421010101010101</v>
      </c>
      <c r="H34" s="110">
        <f t="shared" si="3"/>
        <v>0</v>
      </c>
    </row>
    <row r="35" spans="1:11" x14ac:dyDescent="0.3">
      <c r="A35" s="323" t="s">
        <v>328</v>
      </c>
      <c r="B35" s="397">
        <v>1</v>
      </c>
      <c r="C35" s="321">
        <f>Data!H558</f>
        <v>0.21851851851851867</v>
      </c>
      <c r="D35" s="317" t="s">
        <v>128</v>
      </c>
      <c r="E35" s="318">
        <f t="shared" si="0"/>
        <v>0</v>
      </c>
      <c r="F35" s="322">
        <f t="shared" si="4"/>
        <v>12.29</v>
      </c>
      <c r="G35" s="319">
        <f t="shared" ref="G35:G50" si="5">C35*F35</f>
        <v>2.6855925925925943</v>
      </c>
      <c r="H35" s="314">
        <f>IF($F$5=1,B35*G35*hay,B35*G35*hay*(($F$5-1)/$F$5))</f>
        <v>0</v>
      </c>
      <c r="I35" s="87"/>
    </row>
    <row r="36" spans="1:11" x14ac:dyDescent="0.3">
      <c r="A36" s="323" t="s">
        <v>329</v>
      </c>
      <c r="B36" s="397">
        <v>1</v>
      </c>
      <c r="C36" s="321">
        <f>Data!$H$559*HlgBud!$L$22</f>
        <v>1.3</v>
      </c>
      <c r="D36" s="317" t="s">
        <v>128</v>
      </c>
      <c r="E36" s="318">
        <f t="shared" si="0"/>
        <v>0</v>
      </c>
      <c r="F36" s="322">
        <f t="shared" si="4"/>
        <v>12.29</v>
      </c>
      <c r="G36" s="319">
        <f t="shared" si="5"/>
        <v>15.977</v>
      </c>
      <c r="H36" s="314">
        <f>IF($F$5=1,B36*G36*hay,B36*G36*hay*(($F$5-1)/$F$5))</f>
        <v>0</v>
      </c>
      <c r="I36" s="87"/>
    </row>
    <row r="37" spans="1:11" x14ac:dyDescent="0.3">
      <c r="A37" s="484" t="s">
        <v>1022</v>
      </c>
      <c r="B37" s="467">
        <v>0</v>
      </c>
      <c r="C37" s="478">
        <f>Data!$H$560*Data!$F$151*HlgBud!$L$22</f>
        <v>0</v>
      </c>
      <c r="D37" s="479" t="s">
        <v>115</v>
      </c>
      <c r="E37" s="479">
        <f>C37*hay</f>
        <v>0</v>
      </c>
      <c r="F37" s="480">
        <f>_wage_</f>
        <v>12.29</v>
      </c>
      <c r="G37" s="481">
        <f>C37*F37</f>
        <v>0</v>
      </c>
      <c r="H37" s="482">
        <f>IF($F$5=1,B37*G37*hay,B37*G37*hay*(($F$5-1)/$F$5))</f>
        <v>0</v>
      </c>
      <c r="J37" s="114"/>
      <c r="K37" s="55"/>
    </row>
    <row r="38" spans="1:11" x14ac:dyDescent="0.3">
      <c r="A38" s="323" t="s">
        <v>330</v>
      </c>
      <c r="B38" s="397">
        <v>1</v>
      </c>
      <c r="C38" s="321">
        <f>Data!$H$561*HlgBud!$L$22</f>
        <v>0.60266666666666657</v>
      </c>
      <c r="D38" s="317" t="s">
        <v>128</v>
      </c>
      <c r="E38" s="318">
        <f t="shared" si="0"/>
        <v>0</v>
      </c>
      <c r="F38" s="322">
        <f t="shared" si="4"/>
        <v>12.29</v>
      </c>
      <c r="G38" s="319">
        <f t="shared" si="5"/>
        <v>7.4067733333333319</v>
      </c>
      <c r="H38" s="314">
        <f>IF($F$5=1,B38*G38*hay,B38*G38*hay*(($F$5-1)/$F$5))</f>
        <v>0</v>
      </c>
      <c r="I38" s="87"/>
    </row>
    <row r="39" spans="1:11" x14ac:dyDescent="0.3">
      <c r="A39" s="484" t="s">
        <v>1022</v>
      </c>
      <c r="B39" s="467">
        <v>1</v>
      </c>
      <c r="C39" s="478">
        <f>Data!$H$562*Data!$F$151*HlgBud!$L$22</f>
        <v>0</v>
      </c>
      <c r="D39" s="479" t="s">
        <v>115</v>
      </c>
      <c r="E39" s="483">
        <f>C39*hay</f>
        <v>0</v>
      </c>
      <c r="F39" s="480">
        <f>_wage_</f>
        <v>12.29</v>
      </c>
      <c r="G39" s="481">
        <f>C39*F39</f>
        <v>0</v>
      </c>
      <c r="H39" s="482">
        <f>IF($F$5=1,B39*G39*hay,B39*G39*hay*(($F$5-1)/$F$5))</f>
        <v>0</v>
      </c>
      <c r="J39" s="114"/>
      <c r="K39" s="55"/>
    </row>
    <row r="40" spans="1:11" x14ac:dyDescent="0.3">
      <c r="A40" s="323" t="s">
        <v>1046</v>
      </c>
      <c r="B40" s="397">
        <v>1</v>
      </c>
      <c r="C40" s="321">
        <f>Data!$H$563*HlgBud!$L$23</f>
        <v>0</v>
      </c>
      <c r="D40" s="317" t="s">
        <v>128</v>
      </c>
      <c r="E40" s="403">
        <f t="shared" si="0"/>
        <v>0</v>
      </c>
      <c r="F40" s="322">
        <f t="shared" si="4"/>
        <v>12.29</v>
      </c>
      <c r="G40" s="319">
        <f t="shared" si="5"/>
        <v>0</v>
      </c>
      <c r="H40" s="404">
        <f>IF($F$5=1,B40*G40*hay*HlgOwnC!$B$32,B40*G40*hay*(($F$5-1)/$F$5)*HlgOwnC!$B$32)</f>
        <v>0</v>
      </c>
      <c r="I40" s="87"/>
    </row>
    <row r="41" spans="1:11" x14ac:dyDescent="0.3">
      <c r="A41" s="323" t="s">
        <v>1047</v>
      </c>
      <c r="B41" s="397">
        <v>1</v>
      </c>
      <c r="C41" s="321">
        <f>Data!$H$564*HlgBud!$L$23</f>
        <v>0</v>
      </c>
      <c r="D41" s="317" t="s">
        <v>128</v>
      </c>
      <c r="E41" s="403">
        <f t="shared" si="0"/>
        <v>0</v>
      </c>
      <c r="F41" s="322">
        <f t="shared" si="4"/>
        <v>12.29</v>
      </c>
      <c r="G41" s="319">
        <f t="shared" si="5"/>
        <v>0</v>
      </c>
      <c r="H41" s="404">
        <f>IF($F$5=1,B41*G41*hay*HlgOwnC!$B$33,B41*G41*hay*(($F$5-1)/$F$5)*HlgOwnC!$B$33)</f>
        <v>0</v>
      </c>
      <c r="I41" s="87"/>
    </row>
    <row r="42" spans="1:11" x14ac:dyDescent="0.3">
      <c r="A42" s="323" t="s">
        <v>1048</v>
      </c>
      <c r="B42" s="397">
        <v>1</v>
      </c>
      <c r="C42" s="321">
        <f>Data!$H$565*HlgBud!$L$23*HlgBud!$L$26</f>
        <v>0</v>
      </c>
      <c r="D42" s="317" t="s">
        <v>128</v>
      </c>
      <c r="E42" s="403">
        <f t="shared" si="0"/>
        <v>0</v>
      </c>
      <c r="F42" s="322">
        <f t="shared" si="4"/>
        <v>12.29</v>
      </c>
      <c r="G42" s="319">
        <f t="shared" si="5"/>
        <v>0</v>
      </c>
      <c r="H42" s="404">
        <f>IF($F$5=1,B42*G42*hay*HlgOwnC!$B$34,B42*G42*hay*(($F$5-1)/$F$5)*HlgOwnC!$B$34)</f>
        <v>0</v>
      </c>
      <c r="I42" s="87"/>
    </row>
    <row r="43" spans="1:11" x14ac:dyDescent="0.3">
      <c r="A43" s="484" t="s">
        <v>1022</v>
      </c>
      <c r="B43" s="467">
        <v>0</v>
      </c>
      <c r="C43" s="486">
        <f>Data!$H$566*Data!$M$151*HlgBud!$L$23*HlgBud!$L$26</f>
        <v>0</v>
      </c>
      <c r="D43" s="479" t="s">
        <v>115</v>
      </c>
      <c r="E43" s="479">
        <f>C43*hay</f>
        <v>0</v>
      </c>
      <c r="F43" s="480">
        <f>_wage_</f>
        <v>12.29</v>
      </c>
      <c r="G43" s="481">
        <f>C43*F43</f>
        <v>0</v>
      </c>
      <c r="H43" s="482">
        <f>IF($F$5=1,B43*G43*hay*HlgOwnC!$B$34,B43*G43*hay*(($F$5-1)/($F$5)*HlgOwnC!$B$34))</f>
        <v>0</v>
      </c>
      <c r="J43" s="114"/>
      <c r="K43" s="55"/>
    </row>
    <row r="44" spans="1:11" x14ac:dyDescent="0.3">
      <c r="A44" s="323" t="s">
        <v>1049</v>
      </c>
      <c r="B44" s="397">
        <v>1</v>
      </c>
      <c r="C44" s="321">
        <f>Data!$H$567*HlgBud!$L$23*HlgBud!$L$26</f>
        <v>0</v>
      </c>
      <c r="D44" s="317" t="s">
        <v>128</v>
      </c>
      <c r="E44" s="403">
        <f t="shared" si="0"/>
        <v>0</v>
      </c>
      <c r="F44" s="322">
        <f t="shared" si="4"/>
        <v>12.29</v>
      </c>
      <c r="G44" s="319">
        <f t="shared" si="5"/>
        <v>0</v>
      </c>
      <c r="H44" s="404">
        <f>IF($F$5=1,B44*G44*hay*HlgOwnC!$B$34,B44*G44*hay*(($F$5-1)/$F$5)*HlgOwnC!$B$34)</f>
        <v>0</v>
      </c>
      <c r="I44" s="87"/>
      <c r="J44" s="98"/>
    </row>
    <row r="45" spans="1:11" x14ac:dyDescent="0.3">
      <c r="A45" s="484" t="s">
        <v>1022</v>
      </c>
      <c r="B45" s="467">
        <v>1</v>
      </c>
      <c r="C45" s="486">
        <f>Data!$H$568*Data!$M$151*HlgBud!$L$23*HlgBud!$L$26</f>
        <v>0</v>
      </c>
      <c r="D45" s="479" t="s">
        <v>115</v>
      </c>
      <c r="E45" s="483">
        <f>C45*hay</f>
        <v>0</v>
      </c>
      <c r="F45" s="480">
        <f>_wage_</f>
        <v>12.29</v>
      </c>
      <c r="G45" s="481">
        <f>C45*F45</f>
        <v>0</v>
      </c>
      <c r="H45" s="482">
        <f>IF($F$5=1,B45*G45*hay*HlgOwnC!$B$34,B45*G45*hay*(($F$5-1)/($F$5))*HlgOwnC!$B$34)</f>
        <v>0</v>
      </c>
      <c r="J45" s="114"/>
      <c r="K45" s="55"/>
    </row>
    <row r="46" spans="1:11" x14ac:dyDescent="0.3">
      <c r="A46" s="323" t="s">
        <v>1050</v>
      </c>
      <c r="B46" s="397">
        <v>1</v>
      </c>
      <c r="C46" s="321">
        <f>Data!$H$569*HlgBud!$L$23*HlgBud!$L$27</f>
        <v>0</v>
      </c>
      <c r="D46" s="317" t="s">
        <v>128</v>
      </c>
      <c r="E46" s="403">
        <f t="shared" si="0"/>
        <v>0</v>
      </c>
      <c r="F46" s="322">
        <f t="shared" si="4"/>
        <v>12.29</v>
      </c>
      <c r="G46" s="319">
        <f t="shared" si="5"/>
        <v>0</v>
      </c>
      <c r="H46" s="404">
        <f>IF($F$5=1,B46*G46*hay*HlgOwnC!$B$35,B46*G46*hay*(($F$5-1)/$F$5)*HlgOwnC!$B$35)</f>
        <v>0</v>
      </c>
    </row>
    <row r="47" spans="1:11" x14ac:dyDescent="0.3">
      <c r="A47" s="484" t="s">
        <v>1022</v>
      </c>
      <c r="B47" s="467">
        <v>0</v>
      </c>
      <c r="C47" s="486">
        <f>Data!$H$570*Data!$U$151*HlgBud!$L$23*HlgBud!$L$27</f>
        <v>0</v>
      </c>
      <c r="D47" s="479" t="s">
        <v>115</v>
      </c>
      <c r="E47" s="479">
        <f>C47*hay</f>
        <v>0</v>
      </c>
      <c r="F47" s="480">
        <f>_wage_</f>
        <v>12.29</v>
      </c>
      <c r="G47" s="481">
        <f>C47*F47</f>
        <v>0</v>
      </c>
      <c r="H47" s="482">
        <f>IF($F$5=1,B47*G47*hay*HlgOwnC!$B$35,B47*G47*hay*(($F$5-1)/$F$5)*HlgOwnC!$B$35)</f>
        <v>0</v>
      </c>
      <c r="J47" s="114"/>
      <c r="K47" s="55"/>
    </row>
    <row r="48" spans="1:11" x14ac:dyDescent="0.3">
      <c r="A48" s="323" t="s">
        <v>1051</v>
      </c>
      <c r="B48" s="397">
        <v>1</v>
      </c>
      <c r="C48" s="321">
        <f>Data!$H$571*HlgBud!$L$23*HlgBud!$L$27</f>
        <v>0</v>
      </c>
      <c r="D48" s="317" t="s">
        <v>128</v>
      </c>
      <c r="E48" s="318">
        <f t="shared" si="0"/>
        <v>0</v>
      </c>
      <c r="F48" s="322">
        <f t="shared" si="4"/>
        <v>12.29</v>
      </c>
      <c r="G48" s="319">
        <f t="shared" si="5"/>
        <v>0</v>
      </c>
      <c r="H48" s="404">
        <f>IF($F$5=1,B48*G48*hay*HlgOwnC!$B$35,B48*G48*hay*(($F$5-1)/($F$5)*HlgOwnC!$B$35))</f>
        <v>0</v>
      </c>
      <c r="I48" s="87"/>
      <c r="J48" s="24"/>
    </row>
    <row r="49" spans="1:13" x14ac:dyDescent="0.3">
      <c r="A49" s="484" t="s">
        <v>1022</v>
      </c>
      <c r="B49" s="467">
        <v>1</v>
      </c>
      <c r="C49" s="486">
        <f>Data!$H$572*Data!$U$151*HlgBud!$L$23*HlgBud!$L$27</f>
        <v>0</v>
      </c>
      <c r="D49" s="479" t="s">
        <v>115</v>
      </c>
      <c r="E49" s="483">
        <f>C49*hay</f>
        <v>0</v>
      </c>
      <c r="F49" s="480">
        <f>_wage_</f>
        <v>12.29</v>
      </c>
      <c r="G49" s="481">
        <f>C49*F49</f>
        <v>0</v>
      </c>
      <c r="H49" s="482">
        <f>IF($F$5=1,B49*G49*hay*HlgOwnC!$B$35,B49*G49*hay*(($F$5-1)/($F$5)*HlgOwnC!$B$35))</f>
        <v>0</v>
      </c>
      <c r="J49" s="114"/>
      <c r="K49" s="55"/>
    </row>
    <row r="50" spans="1:13" x14ac:dyDescent="0.3">
      <c r="A50" s="323" t="s">
        <v>1052</v>
      </c>
      <c r="B50" s="397">
        <v>1</v>
      </c>
      <c r="C50" s="321">
        <f>Data!$H$573*HlgBud!$L$23*HlgBud!$L$26</f>
        <v>0</v>
      </c>
      <c r="D50" s="317" t="s">
        <v>128</v>
      </c>
      <c r="E50" s="318">
        <f t="shared" si="0"/>
        <v>0</v>
      </c>
      <c r="F50" s="322">
        <f t="shared" si="4"/>
        <v>12.29</v>
      </c>
      <c r="G50" s="319">
        <f t="shared" si="5"/>
        <v>0</v>
      </c>
      <c r="H50" s="404">
        <f>IF($F$5=1,B50*G50*hay*HlgOwnC!$B$33,B50*G50*hay*(($F$5-1)/$F$5)*HlgOwnC!$B$33)</f>
        <v>0</v>
      </c>
      <c r="I50" s="87"/>
    </row>
    <row r="51" spans="1:13" x14ac:dyDescent="0.3">
      <c r="A51" s="484" t="s">
        <v>1028</v>
      </c>
      <c r="B51" s="467">
        <v>1</v>
      </c>
      <c r="C51" s="486">
        <f>Data!$H$574*Data!$M$151*HlgBud!$L$23*HlgBud!$L$26</f>
        <v>0</v>
      </c>
      <c r="D51" s="479" t="s">
        <v>115</v>
      </c>
      <c r="E51" s="483">
        <f>C51*hay</f>
        <v>0</v>
      </c>
      <c r="F51" s="480">
        <f>_wage_</f>
        <v>12.29</v>
      </c>
      <c r="G51" s="481">
        <f>C51*F51</f>
        <v>0</v>
      </c>
      <c r="H51" s="482">
        <f>IF($F$5=1,B51*G51*hay*HlgOwnC!$B$34,B51*G51*hay*(($F$5-1)/$F$5)*HlgOwnC!$B$34)</f>
        <v>0</v>
      </c>
      <c r="J51" s="114"/>
      <c r="K51" s="55"/>
    </row>
    <row r="52" spans="1:13" x14ac:dyDescent="0.3">
      <c r="A52" s="323" t="s">
        <v>1053</v>
      </c>
      <c r="B52" s="397">
        <v>1</v>
      </c>
      <c r="C52" s="321">
        <f>Data!$H$575*HlgBud!$L$23*HlgBud!$L$27</f>
        <v>0</v>
      </c>
      <c r="D52" s="317" t="s">
        <v>128</v>
      </c>
      <c r="E52" s="318">
        <f>C52*hay</f>
        <v>0</v>
      </c>
      <c r="F52" s="322">
        <f t="shared" si="4"/>
        <v>12.29</v>
      </c>
      <c r="G52" s="319">
        <f>C52*F52</f>
        <v>0</v>
      </c>
      <c r="H52" s="404">
        <f>IF($F$5=1,B52*G52*hay*HlgOwnC!$B$33,B52*G52*hay*(($F$5-1)/$F$5)*HlgOwnC!$B$33)</f>
        <v>0</v>
      </c>
      <c r="I52" s="87"/>
    </row>
    <row r="53" spans="1:13" x14ac:dyDescent="0.3">
      <c r="A53" s="484" t="s">
        <v>1029</v>
      </c>
      <c r="B53" s="467">
        <v>1</v>
      </c>
      <c r="C53" s="486">
        <f>Data!$H$576*Data!$U$151*HlgBud!$L$23*HlgBud!$L$27</f>
        <v>0</v>
      </c>
      <c r="D53" s="479" t="s">
        <v>115</v>
      </c>
      <c r="E53" s="483">
        <f>C53*hay</f>
        <v>0</v>
      </c>
      <c r="F53" s="480">
        <f>_wage_</f>
        <v>12.29</v>
      </c>
      <c r="G53" s="481">
        <f>C53*F53</f>
        <v>0</v>
      </c>
      <c r="H53" s="482">
        <f>IF($F$5=1,B53*G53*hay*HlgOwnC!$B$35,B53*G53*hay*(($F$5-1)/$F$5)*HlgOwnC!$B$35)</f>
        <v>0</v>
      </c>
      <c r="J53" s="114"/>
      <c r="K53" s="55"/>
    </row>
    <row r="54" spans="1:13" x14ac:dyDescent="0.3">
      <c r="A54" s="95" t="s">
        <v>331</v>
      </c>
      <c r="B54" s="95"/>
      <c r="C54" s="46"/>
      <c r="D54" s="34"/>
      <c r="E54" s="34"/>
      <c r="F54" s="167"/>
      <c r="G54" s="114"/>
      <c r="H54" s="110"/>
      <c r="I54" s="87"/>
    </row>
    <row r="55" spans="1:13" x14ac:dyDescent="0.3">
      <c r="A55" s="6" t="s">
        <v>321</v>
      </c>
      <c r="B55" s="397">
        <v>1</v>
      </c>
      <c r="C55" s="273">
        <v>0</v>
      </c>
      <c r="D55" s="34" t="s">
        <v>115</v>
      </c>
      <c r="E55" s="226">
        <f>C55*hay</f>
        <v>0</v>
      </c>
      <c r="F55" s="167">
        <f t="shared" si="4"/>
        <v>12.29</v>
      </c>
      <c r="G55" s="110">
        <f>C55*F55</f>
        <v>0</v>
      </c>
      <c r="H55" s="110">
        <f>B55*G55*hay</f>
        <v>0</v>
      </c>
      <c r="I55" s="130">
        <f>SUM(H19:H55)</f>
        <v>0</v>
      </c>
    </row>
    <row r="56" spans="1:13" x14ac:dyDescent="0.3">
      <c r="A56" s="3" t="s">
        <v>66</v>
      </c>
      <c r="B56" s="3"/>
      <c r="C56" s="46"/>
      <c r="D56" s="34"/>
      <c r="E56" s="34"/>
      <c r="F56" s="104"/>
      <c r="G56" s="114"/>
      <c r="H56" s="110"/>
    </row>
    <row r="57" spans="1:13" x14ac:dyDescent="0.3">
      <c r="A57" s="95" t="s">
        <v>323</v>
      </c>
      <c r="B57" s="95"/>
      <c r="C57" s="46"/>
      <c r="D57" s="34"/>
      <c r="E57" s="34"/>
      <c r="F57" s="104"/>
      <c r="G57" s="114"/>
      <c r="H57" s="110"/>
    </row>
    <row r="58" spans="1:13" x14ac:dyDescent="0.3">
      <c r="A58" s="320" t="s">
        <v>484</v>
      </c>
      <c r="B58" s="405">
        <f t="shared" ref="B58:B74" si="6">B20</f>
        <v>1</v>
      </c>
      <c r="C58" s="321">
        <f>Data!R525</f>
        <v>0.6028033322985753</v>
      </c>
      <c r="D58" s="317" t="s">
        <v>117</v>
      </c>
      <c r="E58" s="318">
        <f t="shared" ref="E58:E88" si="7">C58*hay</f>
        <v>0</v>
      </c>
      <c r="F58" s="322">
        <f t="shared" ref="F58:F65" si="8">diesel_fuel</f>
        <v>2.56</v>
      </c>
      <c r="G58" s="319">
        <f>C58*F58</f>
        <v>1.5431765306843528</v>
      </c>
      <c r="H58" s="314">
        <f>(B58*G58*hay)/$F$5</f>
        <v>0</v>
      </c>
      <c r="I58" s="110"/>
      <c r="K58" s="55"/>
      <c r="L58" s="24"/>
      <c r="M58" s="81"/>
    </row>
    <row r="59" spans="1:13" x14ac:dyDescent="0.3">
      <c r="A59" s="320" t="s">
        <v>485</v>
      </c>
      <c r="B59" s="405">
        <f t="shared" si="6"/>
        <v>1</v>
      </c>
      <c r="C59" s="321">
        <f>Data!R526</f>
        <v>0.83039215686274503</v>
      </c>
      <c r="D59" s="317" t="s">
        <v>117</v>
      </c>
      <c r="E59" s="318">
        <f t="shared" si="7"/>
        <v>0</v>
      </c>
      <c r="F59" s="322">
        <f t="shared" si="8"/>
        <v>2.56</v>
      </c>
      <c r="G59" s="319">
        <f>C59*F59</f>
        <v>2.1258039215686275</v>
      </c>
      <c r="H59" s="314">
        <f>(B59*G59*hay)/$F$5</f>
        <v>0</v>
      </c>
      <c r="I59" s="110"/>
      <c r="K59" s="55"/>
      <c r="L59" s="24"/>
      <c r="M59" s="81"/>
    </row>
    <row r="60" spans="1:13" x14ac:dyDescent="0.3">
      <c r="A60" s="22" t="s">
        <v>581</v>
      </c>
      <c r="B60" s="405">
        <f t="shared" si="6"/>
        <v>1</v>
      </c>
      <c r="C60" s="156">
        <f>Data!R527</f>
        <v>0.13183670241332501</v>
      </c>
      <c r="D60" s="34" t="s">
        <v>117</v>
      </c>
      <c r="E60" s="226">
        <f t="shared" si="7"/>
        <v>0</v>
      </c>
      <c r="F60" s="167">
        <f t="shared" si="8"/>
        <v>2.56</v>
      </c>
      <c r="G60" s="114">
        <f>C60*F60</f>
        <v>0.33750195817811202</v>
      </c>
      <c r="H60" s="110">
        <f>B60*G60*hay</f>
        <v>0</v>
      </c>
      <c r="L60" s="62"/>
    </row>
    <row r="61" spans="1:13" x14ac:dyDescent="0.3">
      <c r="A61" s="323" t="s">
        <v>316</v>
      </c>
      <c r="B61" s="405">
        <f t="shared" si="6"/>
        <v>1</v>
      </c>
      <c r="C61" s="273">
        <v>0</v>
      </c>
      <c r="D61" s="317" t="s">
        <v>117</v>
      </c>
      <c r="E61" s="318">
        <f t="shared" si="7"/>
        <v>0</v>
      </c>
      <c r="F61" s="322">
        <f t="shared" si="8"/>
        <v>2.56</v>
      </c>
      <c r="G61" s="324">
        <f t="shared" ref="G61:G72" si="9">C61*F61</f>
        <v>0</v>
      </c>
      <c r="H61" s="314">
        <f>(B61*G61*hay)/$F$5</f>
        <v>0</v>
      </c>
      <c r="I61" s="110"/>
      <c r="K61" s="55"/>
      <c r="L61" s="24"/>
      <c r="M61" s="81"/>
    </row>
    <row r="62" spans="1:13" x14ac:dyDescent="0.3">
      <c r="A62" s="323" t="s">
        <v>411</v>
      </c>
      <c r="B62" s="405">
        <f t="shared" si="6"/>
        <v>1</v>
      </c>
      <c r="C62" s="321">
        <f>Data!R528</f>
        <v>0.29913189036743482</v>
      </c>
      <c r="D62" s="317" t="s">
        <v>117</v>
      </c>
      <c r="E62" s="318">
        <f t="shared" si="7"/>
        <v>0</v>
      </c>
      <c r="F62" s="322">
        <f t="shared" si="8"/>
        <v>2.56</v>
      </c>
      <c r="G62" s="319">
        <f t="shared" si="9"/>
        <v>0.76577763934063314</v>
      </c>
      <c r="H62" s="314">
        <f>(B62*G62*hay)/$F$5</f>
        <v>0</v>
      </c>
      <c r="I62" s="110"/>
      <c r="K62" s="55"/>
      <c r="L62" s="24"/>
      <c r="M62" s="81"/>
    </row>
    <row r="63" spans="1:13" x14ac:dyDescent="0.3">
      <c r="A63" s="323" t="s">
        <v>735</v>
      </c>
      <c r="B63" s="405">
        <f t="shared" si="6"/>
        <v>1</v>
      </c>
      <c r="C63" s="321">
        <f>Data!R530</f>
        <v>0.5114623979838181</v>
      </c>
      <c r="D63" s="317" t="s">
        <v>117</v>
      </c>
      <c r="E63" s="318">
        <f t="shared" si="7"/>
        <v>0</v>
      </c>
      <c r="F63" s="322">
        <f t="shared" si="8"/>
        <v>2.56</v>
      </c>
      <c r="G63" s="319">
        <f t="shared" si="9"/>
        <v>1.3093437388385742</v>
      </c>
      <c r="H63" s="314">
        <f>(B63*G63*hay)/$F$5</f>
        <v>0</v>
      </c>
      <c r="I63" s="110"/>
      <c r="K63" s="55"/>
      <c r="L63" s="24"/>
      <c r="M63" s="81"/>
    </row>
    <row r="64" spans="1:13" x14ac:dyDescent="0.3">
      <c r="A64" s="323" t="s">
        <v>304</v>
      </c>
      <c r="B64" s="530">
        <f t="shared" si="6"/>
        <v>1</v>
      </c>
      <c r="C64" s="321">
        <f>Data!R537</f>
        <v>0.11981642612033799</v>
      </c>
      <c r="D64" s="317" t="s">
        <v>117</v>
      </c>
      <c r="E64" s="318">
        <f t="shared" si="7"/>
        <v>0</v>
      </c>
      <c r="F64" s="322">
        <f t="shared" si="8"/>
        <v>2.56</v>
      </c>
      <c r="G64" s="319">
        <f t="shared" si="9"/>
        <v>0.30673005086806526</v>
      </c>
      <c r="H64" s="324">
        <f>(B64*G64*hay)/$F$5</f>
        <v>0</v>
      </c>
      <c r="I64" s="110"/>
      <c r="K64" s="55"/>
      <c r="L64" s="24"/>
      <c r="M64" s="81"/>
    </row>
    <row r="65" spans="1:13" s="374" customFormat="1" x14ac:dyDescent="0.3">
      <c r="A65" s="503" t="s">
        <v>304</v>
      </c>
      <c r="B65" s="405">
        <f t="shared" si="6"/>
        <v>1</v>
      </c>
      <c r="C65" s="519">
        <f>Data!R537</f>
        <v>0.11981642612033799</v>
      </c>
      <c r="D65" s="505" t="s">
        <v>117</v>
      </c>
      <c r="E65" s="506">
        <f>C65*hay</f>
        <v>0</v>
      </c>
      <c r="F65" s="507">
        <f t="shared" si="8"/>
        <v>2.56</v>
      </c>
      <c r="G65" s="114">
        <f t="shared" si="9"/>
        <v>0.30673005086806526</v>
      </c>
      <c r="H65" s="110">
        <f t="shared" ref="H65:H72" si="10">B65*G65*hay</f>
        <v>0</v>
      </c>
      <c r="I65" s="211"/>
      <c r="K65" s="372"/>
      <c r="L65" s="174"/>
      <c r="M65" s="373"/>
    </row>
    <row r="66" spans="1:13" x14ac:dyDescent="0.3">
      <c r="A66" s="22" t="s">
        <v>324</v>
      </c>
      <c r="B66" s="515">
        <f t="shared" si="6"/>
        <v>1</v>
      </c>
      <c r="C66" s="156">
        <f>Data!R538</f>
        <v>0.40333333333333299</v>
      </c>
      <c r="D66" s="34" t="s">
        <v>117</v>
      </c>
      <c r="E66" s="226">
        <f t="shared" si="7"/>
        <v>0</v>
      </c>
      <c r="F66" s="167">
        <f t="shared" ref="F66:F93" si="11">diesel_fuel</f>
        <v>2.56</v>
      </c>
      <c r="G66" s="114">
        <f t="shared" si="9"/>
        <v>1.0325333333333324</v>
      </c>
      <c r="H66" s="110">
        <f t="shared" si="10"/>
        <v>0</v>
      </c>
      <c r="K66" s="55"/>
      <c r="L66" s="55"/>
    </row>
    <row r="67" spans="1:13" x14ac:dyDescent="0.3">
      <c r="A67" s="22" t="s">
        <v>325</v>
      </c>
      <c r="B67" s="405">
        <f t="shared" si="6"/>
        <v>1</v>
      </c>
      <c r="C67" s="156">
        <f>Data!R539</f>
        <v>1.3961538461538501</v>
      </c>
      <c r="D67" s="34" t="s">
        <v>117</v>
      </c>
      <c r="E67" s="226">
        <f t="shared" si="7"/>
        <v>0</v>
      </c>
      <c r="F67" s="167">
        <f>diesel_fuel</f>
        <v>2.56</v>
      </c>
      <c r="G67" s="114">
        <f t="shared" si="9"/>
        <v>3.5741538461538562</v>
      </c>
      <c r="H67" s="110">
        <f t="shared" si="10"/>
        <v>0</v>
      </c>
      <c r="K67" s="55"/>
      <c r="L67" s="55"/>
    </row>
    <row r="68" spans="1:13" x14ac:dyDescent="0.3">
      <c r="A68" s="9" t="s">
        <v>1022</v>
      </c>
      <c r="B68" s="405">
        <f t="shared" si="6"/>
        <v>0</v>
      </c>
      <c r="C68" s="47">
        <f>Data!$R$540*Data!$F$151</f>
        <v>0</v>
      </c>
      <c r="D68" s="48" t="s">
        <v>117</v>
      </c>
      <c r="E68" s="83">
        <f>C68*hay</f>
        <v>0</v>
      </c>
      <c r="F68" s="118">
        <f>diesel_fuel</f>
        <v>2.56</v>
      </c>
      <c r="G68" s="465">
        <f>C68*F68</f>
        <v>0</v>
      </c>
      <c r="H68" s="123">
        <f>B68*G68*hay</f>
        <v>0</v>
      </c>
      <c r="J68" s="114"/>
      <c r="K68" s="55"/>
    </row>
    <row r="69" spans="1:13" x14ac:dyDescent="0.3">
      <c r="A69" s="22" t="s">
        <v>326</v>
      </c>
      <c r="B69" s="405">
        <f t="shared" si="6"/>
        <v>1</v>
      </c>
      <c r="C69" s="156">
        <f>Data!R541</f>
        <v>0.38105079305840639</v>
      </c>
      <c r="D69" s="34" t="s">
        <v>117</v>
      </c>
      <c r="E69" s="226">
        <f t="shared" si="7"/>
        <v>0</v>
      </c>
      <c r="F69" s="167">
        <f t="shared" si="11"/>
        <v>2.56</v>
      </c>
      <c r="G69" s="114">
        <f t="shared" si="9"/>
        <v>0.97549003022952041</v>
      </c>
      <c r="H69" s="110">
        <f t="shared" si="10"/>
        <v>0</v>
      </c>
      <c r="K69" s="55"/>
      <c r="L69" s="55"/>
    </row>
    <row r="70" spans="1:13" x14ac:dyDescent="0.3">
      <c r="A70" s="9" t="s">
        <v>1022</v>
      </c>
      <c r="B70" s="405">
        <f t="shared" si="6"/>
        <v>1</v>
      </c>
      <c r="C70" s="47">
        <f>Data!$R$542*Data!$F$151</f>
        <v>0</v>
      </c>
      <c r="D70" s="48" t="s">
        <v>117</v>
      </c>
      <c r="E70" s="83">
        <f>C70*hay</f>
        <v>0</v>
      </c>
      <c r="F70" s="118">
        <f>diesel_fuel</f>
        <v>2.56</v>
      </c>
      <c r="G70" s="465">
        <f>C70*F70</f>
        <v>0</v>
      </c>
      <c r="H70" s="123">
        <f>B70*G70*hay</f>
        <v>0</v>
      </c>
      <c r="J70" s="114"/>
      <c r="K70" s="55"/>
    </row>
    <row r="71" spans="1:13" x14ac:dyDescent="0.3">
      <c r="A71" s="22" t="s">
        <v>322</v>
      </c>
      <c r="B71" s="405">
        <f t="shared" si="6"/>
        <v>1</v>
      </c>
      <c r="C71" s="273">
        <f>0</f>
        <v>0</v>
      </c>
      <c r="D71" s="34" t="s">
        <v>117</v>
      </c>
      <c r="E71" s="226">
        <f t="shared" si="7"/>
        <v>0</v>
      </c>
      <c r="F71" s="167">
        <f t="shared" si="11"/>
        <v>2.56</v>
      </c>
      <c r="G71" s="110">
        <f t="shared" si="9"/>
        <v>0</v>
      </c>
      <c r="H71" s="110">
        <f t="shared" si="10"/>
        <v>0</v>
      </c>
      <c r="K71" s="55"/>
      <c r="L71" s="55"/>
    </row>
    <row r="72" spans="1:13" x14ac:dyDescent="0.3">
      <c r="A72" s="22" t="s">
        <v>581</v>
      </c>
      <c r="B72" s="405">
        <f t="shared" si="6"/>
        <v>1</v>
      </c>
      <c r="C72" s="156">
        <f>Data!R557</f>
        <v>0.13183670241332496</v>
      </c>
      <c r="D72" s="34" t="s">
        <v>117</v>
      </c>
      <c r="E72" s="226">
        <f t="shared" si="7"/>
        <v>0</v>
      </c>
      <c r="F72" s="167">
        <f>diesel_fuel</f>
        <v>2.56</v>
      </c>
      <c r="G72" s="114">
        <f t="shared" si="9"/>
        <v>0.3375019581781119</v>
      </c>
      <c r="H72" s="110">
        <f t="shared" si="10"/>
        <v>0</v>
      </c>
      <c r="L72" s="62"/>
    </row>
    <row r="73" spans="1:13" x14ac:dyDescent="0.3">
      <c r="A73" s="323" t="s">
        <v>328</v>
      </c>
      <c r="B73" s="405">
        <f t="shared" si="6"/>
        <v>1</v>
      </c>
      <c r="C73" s="321">
        <f>Data!R558</f>
        <v>0.44114583333333302</v>
      </c>
      <c r="D73" s="317" t="s">
        <v>117</v>
      </c>
      <c r="E73" s="318">
        <f t="shared" si="7"/>
        <v>0</v>
      </c>
      <c r="F73" s="322">
        <f t="shared" si="11"/>
        <v>2.56</v>
      </c>
      <c r="G73" s="319">
        <f t="shared" ref="G73:G88" si="12">C73*F73</f>
        <v>1.1293333333333326</v>
      </c>
      <c r="H73" s="314">
        <f>IF($F$5=1,B73*G73*hay,B73*G73*hay*(($F$5-1)/$F$5))</f>
        <v>0</v>
      </c>
      <c r="K73" s="55"/>
      <c r="L73" s="55"/>
    </row>
    <row r="74" spans="1:13" x14ac:dyDescent="0.3">
      <c r="A74" s="323" t="s">
        <v>329</v>
      </c>
      <c r="B74" s="405">
        <f t="shared" si="6"/>
        <v>1</v>
      </c>
      <c r="C74" s="321">
        <f>Data!$R$559*HlgBud!$L$22</f>
        <v>1.3961538461538501</v>
      </c>
      <c r="D74" s="317" t="s">
        <v>117</v>
      </c>
      <c r="E74" s="318">
        <f t="shared" si="7"/>
        <v>0</v>
      </c>
      <c r="F74" s="322">
        <f>diesel_fuel</f>
        <v>2.56</v>
      </c>
      <c r="G74" s="319">
        <f t="shared" si="12"/>
        <v>3.5741538461538562</v>
      </c>
      <c r="H74" s="314">
        <f>IF($F$5=1,B74*G74*hay,B74*G74*hay*(($F$5-1)/$F$5))</f>
        <v>0</v>
      </c>
      <c r="I74" s="108"/>
      <c r="K74" s="55"/>
      <c r="L74" s="55"/>
    </row>
    <row r="75" spans="1:13" x14ac:dyDescent="0.3">
      <c r="A75" s="484" t="s">
        <v>1022</v>
      </c>
      <c r="B75" s="405">
        <v>0</v>
      </c>
      <c r="C75" s="478">
        <f>Data!$R$560*Data!$F$151*HlgBud!$L$22</f>
        <v>0</v>
      </c>
      <c r="D75" s="477" t="s">
        <v>117</v>
      </c>
      <c r="E75" s="483">
        <f>C75*hay</f>
        <v>0</v>
      </c>
      <c r="F75" s="480">
        <f>diesel_fuel</f>
        <v>2.56</v>
      </c>
      <c r="G75" s="481">
        <f>C75*F75</f>
        <v>0</v>
      </c>
      <c r="H75" s="482">
        <f>IF($F$5=1,B75*G75*hay,B75*G75*hay*(($F$5-1)/$F$5))</f>
        <v>0</v>
      </c>
      <c r="J75" s="114"/>
      <c r="K75" s="55"/>
    </row>
    <row r="76" spans="1:13" x14ac:dyDescent="0.3">
      <c r="A76" s="323" t="s">
        <v>330</v>
      </c>
      <c r="B76" s="405">
        <f>B38</f>
        <v>1</v>
      </c>
      <c r="C76" s="321">
        <f>Data!$R$561*HlgBud!$L$22</f>
        <v>0.38105079305840639</v>
      </c>
      <c r="D76" s="317" t="s">
        <v>117</v>
      </c>
      <c r="E76" s="318">
        <f t="shared" si="7"/>
        <v>0</v>
      </c>
      <c r="F76" s="322">
        <f t="shared" si="11"/>
        <v>2.56</v>
      </c>
      <c r="G76" s="319">
        <f t="shared" si="12"/>
        <v>0.97549003022952041</v>
      </c>
      <c r="H76" s="314">
        <f>IF($F$5=1,B76*G76*hay,B76*G76*hay*(($F$5-1)/$F$5))</f>
        <v>0</v>
      </c>
      <c r="K76" s="55"/>
      <c r="L76" s="55"/>
    </row>
    <row r="77" spans="1:13" x14ac:dyDescent="0.3">
      <c r="A77" s="484" t="s">
        <v>1022</v>
      </c>
      <c r="B77" s="405">
        <f>B39</f>
        <v>1</v>
      </c>
      <c r="C77" s="478">
        <f>Data!$R$562*Data!$F$151*HlgBud!$L$22</f>
        <v>0</v>
      </c>
      <c r="D77" s="477" t="s">
        <v>117</v>
      </c>
      <c r="E77" s="483">
        <f>C77*hay</f>
        <v>0</v>
      </c>
      <c r="F77" s="480">
        <f>diesel_fuel</f>
        <v>2.56</v>
      </c>
      <c r="G77" s="481">
        <f>C77*F77</f>
        <v>0</v>
      </c>
      <c r="H77" s="482">
        <f>IF($F$5=1,B77*G77*hay,B77*G77*hay*(($F$5-1)/$F$5))</f>
        <v>0</v>
      </c>
      <c r="J77" s="114"/>
      <c r="K77" s="55"/>
    </row>
    <row r="78" spans="1:13" x14ac:dyDescent="0.3">
      <c r="A78" s="323" t="s">
        <v>1046</v>
      </c>
      <c r="B78" s="405">
        <f>B40</f>
        <v>1</v>
      </c>
      <c r="C78" s="321">
        <f>Data!$R$563*HlgBud!$L$23</f>
        <v>0</v>
      </c>
      <c r="D78" s="317" t="s">
        <v>117</v>
      </c>
      <c r="E78" s="318">
        <f t="shared" si="7"/>
        <v>0</v>
      </c>
      <c r="F78" s="322">
        <f t="shared" si="11"/>
        <v>2.56</v>
      </c>
      <c r="G78" s="319">
        <f t="shared" si="12"/>
        <v>0</v>
      </c>
      <c r="H78" s="314">
        <f>IF($F$5=1,B78*G78*hay*HlgOwnC!$B$32,B78*G78*hay*(($F$5-1)/$F$5)*HlgOwnC!$B$32)</f>
        <v>0</v>
      </c>
      <c r="K78" s="55"/>
      <c r="L78" s="55"/>
    </row>
    <row r="79" spans="1:13" x14ac:dyDescent="0.3">
      <c r="A79" s="323" t="s">
        <v>1047</v>
      </c>
      <c r="B79" s="405">
        <f>B41</f>
        <v>1</v>
      </c>
      <c r="C79" s="321">
        <f>Data!$R$564*HlgBud!$L$23</f>
        <v>0</v>
      </c>
      <c r="D79" s="317" t="s">
        <v>117</v>
      </c>
      <c r="E79" s="318">
        <f t="shared" si="7"/>
        <v>0</v>
      </c>
      <c r="F79" s="322">
        <f t="shared" si="11"/>
        <v>2.56</v>
      </c>
      <c r="G79" s="319">
        <f t="shared" si="12"/>
        <v>0</v>
      </c>
      <c r="H79" s="314">
        <f>IF($F$5=1,B79*G79*hay*HlgOwnC!$B$33,B79*G79*hay*(($F$5-1)/$F$5)*HlgOwnC!$B$33)</f>
        <v>0</v>
      </c>
      <c r="K79" s="55"/>
      <c r="L79" s="55"/>
    </row>
    <row r="80" spans="1:13" x14ac:dyDescent="0.3">
      <c r="A80" s="323" t="s">
        <v>1048</v>
      </c>
      <c r="B80" s="405">
        <f>B42</f>
        <v>1</v>
      </c>
      <c r="C80" s="321">
        <f>Data!$R$565*HlgBud!$L$23</f>
        <v>0</v>
      </c>
      <c r="D80" s="317" t="s">
        <v>117</v>
      </c>
      <c r="E80" s="318">
        <f t="shared" si="7"/>
        <v>0</v>
      </c>
      <c r="F80" s="322">
        <f t="shared" si="11"/>
        <v>2.56</v>
      </c>
      <c r="G80" s="319">
        <f t="shared" si="12"/>
        <v>0</v>
      </c>
      <c r="H80" s="314">
        <f>IF($F$5=1,B80*G80*hay*HlgOwnC!$B$34,B80*G80*hay*(($F$5-1)/$F$5)*HlgOwnC!$B$34)</f>
        <v>0</v>
      </c>
      <c r="K80" s="55"/>
      <c r="L80" s="55"/>
    </row>
    <row r="81" spans="1:13" x14ac:dyDescent="0.3">
      <c r="A81" s="484" t="s">
        <v>1022</v>
      </c>
      <c r="B81" s="405">
        <v>0</v>
      </c>
      <c r="C81" s="486">
        <f>Data!$R$566*Data!$M$151*HlgBud!$L$23*HlgBud!$L$26</f>
        <v>0</v>
      </c>
      <c r="D81" s="477" t="s">
        <v>117</v>
      </c>
      <c r="E81" s="483">
        <f>C81*hay</f>
        <v>0</v>
      </c>
      <c r="F81" s="480">
        <f>diesel_fuel</f>
        <v>2.56</v>
      </c>
      <c r="G81" s="481">
        <f>C81*F81</f>
        <v>0</v>
      </c>
      <c r="H81" s="482">
        <f>IF($F$5=1,B81*G81*hay*HlgOwnC!$B$34,B81*G81*hay*(($F$5-1)/$F$5)*HlgOwnC!$B$34)</f>
        <v>0</v>
      </c>
      <c r="J81" s="114"/>
      <c r="K81" s="55"/>
    </row>
    <row r="82" spans="1:13" x14ac:dyDescent="0.3">
      <c r="A82" s="323" t="s">
        <v>1049</v>
      </c>
      <c r="B82" s="405">
        <f>B44</f>
        <v>1</v>
      </c>
      <c r="C82" s="321">
        <f>Data!$R$567*HlgBud!$L$23</f>
        <v>0</v>
      </c>
      <c r="D82" s="317" t="s">
        <v>117</v>
      </c>
      <c r="E82" s="318">
        <f t="shared" si="7"/>
        <v>0</v>
      </c>
      <c r="F82" s="322">
        <f t="shared" si="11"/>
        <v>2.56</v>
      </c>
      <c r="G82" s="319">
        <f t="shared" si="12"/>
        <v>0</v>
      </c>
      <c r="H82" s="314">
        <f>IF($F$5=1,B82*G82*hay*HlgOwnC!$B$34,B82*G82*hay*(($F$5-1)/$F$5)*HlgOwnC!$B$34)</f>
        <v>0</v>
      </c>
      <c r="J82" s="98"/>
      <c r="K82" s="55"/>
      <c r="L82" s="55"/>
    </row>
    <row r="83" spans="1:13" x14ac:dyDescent="0.3">
      <c r="A83" s="484" t="s">
        <v>1022</v>
      </c>
      <c r="B83" s="405">
        <f>B45</f>
        <v>1</v>
      </c>
      <c r="C83" s="486">
        <f>Data!$R$568*Data!$M$151*HlgBud!$L$23*HlgBud!$L$26</f>
        <v>0</v>
      </c>
      <c r="D83" s="477" t="s">
        <v>117</v>
      </c>
      <c r="E83" s="493">
        <f>C83*hay</f>
        <v>0</v>
      </c>
      <c r="F83" s="480">
        <f>diesel_fuel</f>
        <v>2.56</v>
      </c>
      <c r="G83" s="481">
        <f>C83*F83</f>
        <v>0</v>
      </c>
      <c r="H83" s="482">
        <f>IF($F$5=1,B83*G83*hay*HlgOwnC!$B$34,B83*G83*hay*(($F$5-1)/$F$5)*HlgOwnC!$B$34)</f>
        <v>0</v>
      </c>
      <c r="J83" s="114"/>
      <c r="K83" s="55"/>
    </row>
    <row r="84" spans="1:13" x14ac:dyDescent="0.3">
      <c r="A84" s="323" t="s">
        <v>1050</v>
      </c>
      <c r="B84" s="405">
        <f>B46</f>
        <v>1</v>
      </c>
      <c r="C84" s="321">
        <f>Data!$R$569*HlgBud!$L$23</f>
        <v>0</v>
      </c>
      <c r="D84" s="317" t="s">
        <v>117</v>
      </c>
      <c r="E84" s="318">
        <f t="shared" si="7"/>
        <v>0</v>
      </c>
      <c r="F84" s="322">
        <f t="shared" si="11"/>
        <v>2.56</v>
      </c>
      <c r="G84" s="319">
        <f t="shared" si="12"/>
        <v>0</v>
      </c>
      <c r="H84" s="314">
        <f>IF($F$5=1,B84*G84*hay*HlgOwnC!$B$35,B84*G84*hay*(($F$5-1)/$F$5)*HlgOwnC!$B$35)</f>
        <v>0</v>
      </c>
      <c r="K84" s="55"/>
      <c r="L84" s="55"/>
    </row>
    <row r="85" spans="1:13" x14ac:dyDescent="0.3">
      <c r="A85" s="484" t="s">
        <v>1022</v>
      </c>
      <c r="B85" s="405">
        <v>0</v>
      </c>
      <c r="C85" s="486">
        <f>Data!$R$570*Data!$U$151*HlgBud!$L$23*HlgBud!$L$27</f>
        <v>0</v>
      </c>
      <c r="D85" s="477" t="s">
        <v>117</v>
      </c>
      <c r="E85" s="483">
        <f>C85*hay</f>
        <v>0</v>
      </c>
      <c r="F85" s="480">
        <f>diesel_fuel</f>
        <v>2.56</v>
      </c>
      <c r="G85" s="481">
        <f>C85*F85</f>
        <v>0</v>
      </c>
      <c r="H85" s="482">
        <f>IF($F$5=1,B85*GE85*hay*HlgOwnC!$B$35,B85*G85*hay*(($F$5-1)/$F$5)*HlgOwnC!$B$35)</f>
        <v>0</v>
      </c>
      <c r="J85" s="114"/>
      <c r="K85" s="55"/>
    </row>
    <row r="86" spans="1:13" x14ac:dyDescent="0.3">
      <c r="A86" s="323" t="s">
        <v>1051</v>
      </c>
      <c r="B86" s="405">
        <f t="shared" ref="B86:B91" si="13">B48</f>
        <v>1</v>
      </c>
      <c r="C86" s="325">
        <f>Data!$R$571</f>
        <v>0</v>
      </c>
      <c r="D86" s="317" t="s">
        <v>117</v>
      </c>
      <c r="E86" s="318">
        <f t="shared" si="7"/>
        <v>0</v>
      </c>
      <c r="F86" s="322">
        <f t="shared" si="11"/>
        <v>2.56</v>
      </c>
      <c r="G86" s="324">
        <f t="shared" si="12"/>
        <v>0</v>
      </c>
      <c r="H86" s="314">
        <f>IF($F$5=1,B86*G86*hay*HlgOwnC!$B$35,B86*G86*hay*(($F$5-1)/$F$5)*HlgOwnC!$B$35)</f>
        <v>0</v>
      </c>
      <c r="K86" s="55"/>
      <c r="L86" s="55"/>
    </row>
    <row r="87" spans="1:13" x14ac:dyDescent="0.3">
      <c r="A87" s="484" t="s">
        <v>1022</v>
      </c>
      <c r="B87" s="405">
        <f t="shared" si="13"/>
        <v>1</v>
      </c>
      <c r="C87" s="483">
        <f>Data!$R$572*Data!$U$151*HlgBud!$L$23*HlgBud!$L$27</f>
        <v>0</v>
      </c>
      <c r="D87" s="477" t="s">
        <v>117</v>
      </c>
      <c r="E87" s="483">
        <f>C87*hay</f>
        <v>0</v>
      </c>
      <c r="F87" s="480">
        <f>diesel_fuel</f>
        <v>2.56</v>
      </c>
      <c r="G87" s="482">
        <f>C87*F87</f>
        <v>0</v>
      </c>
      <c r="H87" s="482">
        <f>IF($F$5=1,B87*G87*hay*HlgOwnC!$B$35,B87*G87*hay*(($F$5-1)/$F$5)*HlgOwnC!$B$35)</f>
        <v>0</v>
      </c>
      <c r="J87" s="114"/>
      <c r="K87" s="55"/>
    </row>
    <row r="88" spans="1:13" x14ac:dyDescent="0.3">
      <c r="A88" s="323" t="s">
        <v>1052</v>
      </c>
      <c r="B88" s="405">
        <f t="shared" si="13"/>
        <v>1</v>
      </c>
      <c r="C88" s="321">
        <f>Data!$R$573*HlgBud!$L$23*HlgBud!$L$26</f>
        <v>0</v>
      </c>
      <c r="D88" s="317" t="s">
        <v>117</v>
      </c>
      <c r="E88" s="318">
        <f t="shared" si="7"/>
        <v>0</v>
      </c>
      <c r="F88" s="322">
        <f t="shared" si="11"/>
        <v>2.56</v>
      </c>
      <c r="G88" s="319">
        <f t="shared" si="12"/>
        <v>0</v>
      </c>
      <c r="H88" s="314">
        <f>IF($F$5=1,B88*G88*hay*HlgOwnC!$B$33,B88*G88*hay*(($F$5-1)/$F$5)*HlgOwnC!$B$33)</f>
        <v>0</v>
      </c>
      <c r="K88" s="55"/>
      <c r="L88" s="55"/>
    </row>
    <row r="89" spans="1:13" x14ac:dyDescent="0.3">
      <c r="A89" s="484" t="s">
        <v>1028</v>
      </c>
      <c r="B89" s="405">
        <f t="shared" si="13"/>
        <v>1</v>
      </c>
      <c r="C89" s="486">
        <f>Data!$R$574*Data!$M$151*HlgBud!$L$23*HlgBud!$L$26</f>
        <v>0</v>
      </c>
      <c r="D89" s="479" t="s">
        <v>117</v>
      </c>
      <c r="E89" s="483">
        <f>C89*hay</f>
        <v>0</v>
      </c>
      <c r="F89" s="480">
        <f>diesel_fuel</f>
        <v>2.56</v>
      </c>
      <c r="G89" s="522">
        <f>C89*F89</f>
        <v>0</v>
      </c>
      <c r="H89" s="482">
        <f>IF($F$5=1,B89*G89*hay*HlgOwnC!$B$34,B89*G89*hay*(($F$5-1)/$F$5)*HlgOwnC!$B$34)</f>
        <v>0</v>
      </c>
      <c r="J89" s="114"/>
      <c r="K89" s="55"/>
    </row>
    <row r="90" spans="1:13" x14ac:dyDescent="0.3">
      <c r="A90" s="323" t="s">
        <v>1053</v>
      </c>
      <c r="B90" s="405">
        <f t="shared" si="13"/>
        <v>1</v>
      </c>
      <c r="C90" s="321">
        <f>Data!$R$575*HlgBud!$L$23*HlgBud!$L$27</f>
        <v>0</v>
      </c>
      <c r="D90" s="317" t="s">
        <v>117</v>
      </c>
      <c r="E90" s="318">
        <f>C90*hay</f>
        <v>0</v>
      </c>
      <c r="F90" s="322">
        <f t="shared" si="11"/>
        <v>2.56</v>
      </c>
      <c r="G90" s="319">
        <f>C90*F90</f>
        <v>0</v>
      </c>
      <c r="H90" s="314">
        <f>IF($F$5=1,B90*G90*hay*HlgOwnC!$B$33,B90*G90*hay*(($F$5-1)/$F$5)*HlgOwnC!$B$33)</f>
        <v>0</v>
      </c>
      <c r="K90" s="55"/>
      <c r="L90" s="55"/>
    </row>
    <row r="91" spans="1:13" x14ac:dyDescent="0.3">
      <c r="A91" s="484" t="s">
        <v>1029</v>
      </c>
      <c r="B91" s="405">
        <f t="shared" si="13"/>
        <v>1</v>
      </c>
      <c r="C91" s="486">
        <f>Data!$R$576*Data!$U$151*HlgBud!$L$23*HlgBud!$L$27</f>
        <v>0</v>
      </c>
      <c r="D91" s="479" t="s">
        <v>117</v>
      </c>
      <c r="E91" s="483">
        <f>C91*hay</f>
        <v>0</v>
      </c>
      <c r="F91" s="480">
        <f>diesel_fuel</f>
        <v>2.56</v>
      </c>
      <c r="G91" s="522">
        <f>C91*F91</f>
        <v>0</v>
      </c>
      <c r="H91" s="482">
        <f>IF($F$5=1,B91*G91*hay*HlgOwnC!$B$35,B91*G91*hay*(($F$5-1)/$F$5)*HlgOwnC!$B$35)</f>
        <v>0</v>
      </c>
      <c r="J91" s="114"/>
      <c r="K91" s="55"/>
    </row>
    <row r="92" spans="1:13" x14ac:dyDescent="0.3">
      <c r="A92" s="95" t="s">
        <v>331</v>
      </c>
      <c r="B92" s="46"/>
      <c r="C92" s="46"/>
      <c r="D92" s="34"/>
      <c r="E92" s="34"/>
      <c r="F92" s="90"/>
      <c r="G92" s="114"/>
      <c r="H92" s="110"/>
      <c r="K92" s="55"/>
      <c r="L92" s="55"/>
    </row>
    <row r="93" spans="1:13" x14ac:dyDescent="0.3">
      <c r="A93" s="6" t="s">
        <v>314</v>
      </c>
      <c r="B93" s="397">
        <v>1</v>
      </c>
      <c r="C93" s="273">
        <v>0</v>
      </c>
      <c r="D93" s="34" t="s">
        <v>116</v>
      </c>
      <c r="E93" s="226">
        <f>C93*hay</f>
        <v>0</v>
      </c>
      <c r="F93" s="167">
        <f t="shared" si="11"/>
        <v>2.56</v>
      </c>
      <c r="G93" s="110">
        <f>C93*F93</f>
        <v>0</v>
      </c>
      <c r="H93" s="110">
        <f>B93*G93*hay</f>
        <v>0</v>
      </c>
      <c r="I93" s="130">
        <f>SUM(H57:H93)</f>
        <v>0</v>
      </c>
      <c r="K93" s="55"/>
      <c r="L93" s="24"/>
      <c r="M93" s="81"/>
    </row>
    <row r="94" spans="1:13" x14ac:dyDescent="0.3">
      <c r="A94" s="3" t="s">
        <v>20</v>
      </c>
      <c r="B94" s="397">
        <v>1</v>
      </c>
      <c r="C94" s="46" t="s">
        <v>45</v>
      </c>
      <c r="D94" s="34" t="s">
        <v>45</v>
      </c>
      <c r="E94" s="34" t="s">
        <v>45</v>
      </c>
      <c r="F94" s="55" t="s">
        <v>45</v>
      </c>
      <c r="G94" s="114" t="e">
        <f>H94/hay</f>
        <v>#DIV/0!</v>
      </c>
      <c r="H94" s="110">
        <f>B94*lube*SUM(H57:H93)</f>
        <v>0</v>
      </c>
      <c r="K94" s="55"/>
      <c r="L94" s="81"/>
      <c r="M94" s="81"/>
    </row>
    <row r="95" spans="1:13" x14ac:dyDescent="0.3">
      <c r="A95" s="3" t="s">
        <v>67</v>
      </c>
      <c r="B95" s="397">
        <v>1</v>
      </c>
      <c r="C95" s="46" t="s">
        <v>45</v>
      </c>
      <c r="D95" s="34" t="s">
        <v>45</v>
      </c>
      <c r="E95" s="34" t="s">
        <v>45</v>
      </c>
      <c r="F95" s="55" t="s">
        <v>45</v>
      </c>
      <c r="G95" s="114" t="e">
        <f>H95/hay</f>
        <v>#DIV/0!</v>
      </c>
      <c r="H95" s="110">
        <f>IF(Data!D7=1, B95*HlgOwnC!J53*Data!D7, 0)</f>
        <v>0</v>
      </c>
      <c r="L95" s="24"/>
      <c r="M95" s="24"/>
    </row>
    <row r="96" spans="1:13" x14ac:dyDescent="0.3">
      <c r="A96" s="3"/>
      <c r="B96" s="397">
        <v>1</v>
      </c>
      <c r="C96" s="46" t="s">
        <v>45</v>
      </c>
      <c r="D96" s="34" t="s">
        <v>45</v>
      </c>
      <c r="E96" s="34" t="s">
        <v>45</v>
      </c>
      <c r="F96" s="55" t="s">
        <v>45</v>
      </c>
      <c r="G96" s="272">
        <f>B96*0</f>
        <v>0</v>
      </c>
      <c r="H96" s="109">
        <f>G96*hay</f>
        <v>0</v>
      </c>
      <c r="I96" s="108">
        <f>SUM(H95:H96)</f>
        <v>0</v>
      </c>
    </row>
    <row r="97" spans="1:11" x14ac:dyDescent="0.3">
      <c r="A97" s="3" t="s">
        <v>170</v>
      </c>
      <c r="B97" s="397">
        <v>1</v>
      </c>
      <c r="C97" s="46" t="s">
        <v>45</v>
      </c>
      <c r="D97" s="34" t="s">
        <v>45</v>
      </c>
      <c r="E97" s="34" t="s">
        <v>45</v>
      </c>
      <c r="F97" s="55" t="s">
        <v>45</v>
      </c>
      <c r="G97" s="114">
        <f>supplies</f>
        <v>0</v>
      </c>
      <c r="H97" s="110">
        <f>B97*G97*hay</f>
        <v>0</v>
      </c>
    </row>
    <row r="98" spans="1:11" x14ac:dyDescent="0.3">
      <c r="A98" s="3" t="s">
        <v>75</v>
      </c>
      <c r="B98" s="397">
        <v>1</v>
      </c>
      <c r="C98" s="46" t="s">
        <v>45</v>
      </c>
      <c r="D98" s="34" t="s">
        <v>45</v>
      </c>
      <c r="E98" s="34" t="s">
        <v>45</v>
      </c>
      <c r="F98" s="114">
        <f>cropins</f>
        <v>3</v>
      </c>
      <c r="G98" s="114">
        <f>F98</f>
        <v>3</v>
      </c>
      <c r="H98" s="110">
        <f>B98*G98*hay</f>
        <v>0</v>
      </c>
    </row>
    <row r="99" spans="1:11" x14ac:dyDescent="0.3">
      <c r="A99" s="3"/>
      <c r="B99" s="397">
        <v>1</v>
      </c>
      <c r="C99" s="46" t="s">
        <v>45</v>
      </c>
      <c r="D99" s="34" t="s">
        <v>45</v>
      </c>
      <c r="E99" s="34" t="s">
        <v>45</v>
      </c>
      <c r="F99" s="55" t="s">
        <v>45</v>
      </c>
      <c r="G99" s="272">
        <v>0</v>
      </c>
      <c r="H99" s="110">
        <f>B99*G99*hay</f>
        <v>0</v>
      </c>
      <c r="I99" s="108">
        <f>SUM(H98:H99)</f>
        <v>0</v>
      </c>
    </row>
    <row r="100" spans="1:11" x14ac:dyDescent="0.3">
      <c r="A100" s="69" t="s">
        <v>173</v>
      </c>
      <c r="B100" s="69"/>
      <c r="C100" s="46"/>
      <c r="D100" s="34"/>
      <c r="E100" s="34"/>
      <c r="F100" s="114"/>
      <c r="G100" s="114"/>
      <c r="H100" s="110"/>
    </row>
    <row r="101" spans="1:11" x14ac:dyDescent="0.3">
      <c r="A101" s="70" t="s">
        <v>175</v>
      </c>
      <c r="B101" s="397">
        <v>1</v>
      </c>
      <c r="C101" s="46" t="s">
        <v>45</v>
      </c>
      <c r="D101" s="34" t="s">
        <v>45</v>
      </c>
      <c r="E101" s="34" t="s">
        <v>45</v>
      </c>
      <c r="F101" s="55" t="s">
        <v>45</v>
      </c>
      <c r="G101" s="676">
        <f>Data!$F$69</f>
        <v>12</v>
      </c>
      <c r="H101" s="110">
        <f>B101*G101*hay</f>
        <v>0</v>
      </c>
    </row>
    <row r="102" spans="1:11" x14ac:dyDescent="0.3">
      <c r="A102" s="70" t="s">
        <v>176</v>
      </c>
      <c r="B102" s="397">
        <v>1</v>
      </c>
      <c r="C102" s="46" t="s">
        <v>45</v>
      </c>
      <c r="D102" s="34" t="s">
        <v>45</v>
      </c>
      <c r="E102" s="34" t="s">
        <v>45</v>
      </c>
      <c r="F102" s="55" t="s">
        <v>45</v>
      </c>
      <c r="G102" s="272">
        <v>0</v>
      </c>
      <c r="H102" s="110">
        <f>B102*G102*hay</f>
        <v>0</v>
      </c>
    </row>
    <row r="103" spans="1:11" x14ac:dyDescent="0.3">
      <c r="A103" s="70" t="s">
        <v>177</v>
      </c>
      <c r="B103" s="70"/>
      <c r="C103" s="46"/>
      <c r="D103" s="34"/>
      <c r="E103" s="34"/>
      <c r="F103" s="114"/>
      <c r="G103" s="114"/>
      <c r="H103" s="110"/>
    </row>
    <row r="104" spans="1:11" x14ac:dyDescent="0.3">
      <c r="A104" s="22" t="s">
        <v>174</v>
      </c>
      <c r="B104" s="397">
        <v>1</v>
      </c>
      <c r="C104" s="34" t="s">
        <v>45</v>
      </c>
      <c r="D104" s="34" t="s">
        <v>81</v>
      </c>
      <c r="E104" s="34" t="s">
        <v>45</v>
      </c>
      <c r="F104" s="110">
        <f>Data!D61</f>
        <v>50</v>
      </c>
      <c r="G104" s="114" t="e">
        <f>H104/hay</f>
        <v>#DIV/0!</v>
      </c>
      <c r="H104" s="110">
        <f>B104*F104*hay*Data!E57*Data!D7</f>
        <v>0</v>
      </c>
    </row>
    <row r="105" spans="1:11" x14ac:dyDescent="0.3">
      <c r="A105" s="22" t="s">
        <v>928</v>
      </c>
      <c r="B105" s="397">
        <v>0</v>
      </c>
      <c r="C105" s="34" t="s">
        <v>45</v>
      </c>
      <c r="D105" s="34" t="s">
        <v>929</v>
      </c>
      <c r="E105" s="228" t="s">
        <v>45</v>
      </c>
      <c r="F105" s="55" t="s">
        <v>45</v>
      </c>
      <c r="G105" s="272">
        <f>15/5</f>
        <v>3</v>
      </c>
      <c r="H105" s="109">
        <f>B105*G105*hay</f>
        <v>0</v>
      </c>
      <c r="I105" s="108">
        <f>SUM(H104:H105)</f>
        <v>0</v>
      </c>
      <c r="J105" s="114"/>
    </row>
    <row r="106" spans="1:11" x14ac:dyDescent="0.3">
      <c r="A106" s="70" t="s">
        <v>178</v>
      </c>
      <c r="B106" s="397">
        <v>1</v>
      </c>
      <c r="C106" s="46" t="s">
        <v>45</v>
      </c>
      <c r="D106" s="34" t="s">
        <v>45</v>
      </c>
      <c r="E106" s="34" t="s">
        <v>45</v>
      </c>
      <c r="F106" s="55" t="s">
        <v>45</v>
      </c>
      <c r="G106" s="272">
        <v>0</v>
      </c>
      <c r="H106" s="110">
        <f>B106*G106*hay</f>
        <v>0</v>
      </c>
      <c r="I106" s="50"/>
    </row>
    <row r="107" spans="1:11" ht="13.5" thickBot="1" x14ac:dyDescent="0.35">
      <c r="A107" s="70" t="s">
        <v>179</v>
      </c>
      <c r="B107" s="110"/>
      <c r="C107" s="110"/>
      <c r="D107" s="110"/>
      <c r="E107" s="110"/>
      <c r="F107" s="110"/>
      <c r="G107" s="110"/>
      <c r="H107" s="110"/>
      <c r="I107" s="50"/>
    </row>
    <row r="108" spans="1:11" x14ac:dyDescent="0.3">
      <c r="A108" s="22" t="s">
        <v>952</v>
      </c>
      <c r="B108" s="110"/>
      <c r="C108" s="110"/>
      <c r="D108" s="110"/>
      <c r="E108" s="110"/>
      <c r="F108" s="110"/>
      <c r="G108" s="110"/>
      <c r="H108" s="110"/>
      <c r="I108" s="50"/>
      <c r="J108" s="487" t="s">
        <v>1038</v>
      </c>
      <c r="K108" s="488" t="s">
        <v>1041</v>
      </c>
    </row>
    <row r="109" spans="1:11" x14ac:dyDescent="0.3">
      <c r="A109" s="411" t="s">
        <v>953</v>
      </c>
      <c r="B109" s="405">
        <f>IF(HlgBud!L26&gt;0,1,0)</f>
        <v>0</v>
      </c>
      <c r="C109" s="46" t="s">
        <v>45</v>
      </c>
      <c r="D109" s="34" t="s">
        <v>956</v>
      </c>
      <c r="E109" s="34" t="s">
        <v>45</v>
      </c>
      <c r="F109" s="413">
        <v>2.8444444444444446</v>
      </c>
      <c r="G109" s="414">
        <f>B109*F109*Data!$I$151</f>
        <v>0</v>
      </c>
      <c r="H109" s="110">
        <f>B109*G109*(hay*HlgBud!$L$23)*HlgBud!L26*K109</f>
        <v>0</v>
      </c>
      <c r="I109" s="50"/>
      <c r="J109" s="489" t="s">
        <v>1039</v>
      </c>
      <c r="K109" s="490">
        <v>1</v>
      </c>
    </row>
    <row r="110" spans="1:11" ht="13.5" thickBot="1" x14ac:dyDescent="0.35">
      <c r="A110" s="411" t="s">
        <v>954</v>
      </c>
      <c r="B110" s="405">
        <f>IF(HlgBud!L26&gt;0,1,0)</f>
        <v>0</v>
      </c>
      <c r="C110" s="46" t="s">
        <v>45</v>
      </c>
      <c r="D110" s="34" t="s">
        <v>956</v>
      </c>
      <c r="E110" s="34" t="s">
        <v>45</v>
      </c>
      <c r="F110" s="413">
        <v>0.86</v>
      </c>
      <c r="G110" s="414">
        <f>B110*F110*Data!$I$151</f>
        <v>0</v>
      </c>
      <c r="H110" s="110">
        <f>B110*G110*(hay*HlgBud!$L$23)*HlgBud!L26*K110</f>
        <v>0</v>
      </c>
      <c r="I110" s="50"/>
      <c r="J110" s="491" t="s">
        <v>1040</v>
      </c>
      <c r="K110" s="492">
        <v>1</v>
      </c>
    </row>
    <row r="111" spans="1:11" x14ac:dyDescent="0.3">
      <c r="A111" s="411" t="s">
        <v>955</v>
      </c>
      <c r="B111" s="405">
        <f>IF(HlgBud!L27&gt;0,1,0)</f>
        <v>0</v>
      </c>
      <c r="C111" s="46" t="s">
        <v>45</v>
      </c>
      <c r="D111" s="34" t="s">
        <v>956</v>
      </c>
      <c r="E111" s="34" t="s">
        <v>45</v>
      </c>
      <c r="F111" s="413">
        <v>7.0000000000000007E-2</v>
      </c>
      <c r="G111" s="414">
        <f>B111*F111*Data!$Q$151</f>
        <v>0</v>
      </c>
      <c r="H111" s="110">
        <f>B111*G111*(hay*HlgBud!$L$23)*HlgBud!L27</f>
        <v>0</v>
      </c>
      <c r="I111" s="50"/>
      <c r="J111" s="416"/>
    </row>
    <row r="112" spans="1:11" x14ac:dyDescent="0.3">
      <c r="A112" s="9" t="s">
        <v>1036</v>
      </c>
      <c r="B112" s="397">
        <v>0</v>
      </c>
      <c r="C112" s="47" t="s">
        <v>45</v>
      </c>
      <c r="D112" s="48" t="s">
        <v>45</v>
      </c>
      <c r="E112" s="48" t="s">
        <v>45</v>
      </c>
      <c r="F112" s="118" t="s">
        <v>45</v>
      </c>
      <c r="G112" s="465">
        <f>(SUM(G109:G110)*Data!$M$152)</f>
        <v>0</v>
      </c>
      <c r="H112" s="124">
        <f>B112*G112*hay</f>
        <v>0</v>
      </c>
      <c r="I112" s="50"/>
      <c r="J112" s="416"/>
    </row>
    <row r="113" spans="1:10" x14ac:dyDescent="0.3">
      <c r="A113" s="9" t="s">
        <v>1037</v>
      </c>
      <c r="B113" s="397">
        <v>0</v>
      </c>
      <c r="C113" s="47" t="s">
        <v>45</v>
      </c>
      <c r="D113" s="48" t="s">
        <v>45</v>
      </c>
      <c r="E113" s="48" t="s">
        <v>45</v>
      </c>
      <c r="F113" s="118" t="s">
        <v>45</v>
      </c>
      <c r="G113" s="465">
        <f>(G111*Data!$U$152)</f>
        <v>0</v>
      </c>
      <c r="H113" s="124">
        <f>B113*G113*hay</f>
        <v>0</v>
      </c>
      <c r="I113" s="108">
        <f>SUM(H108:H113)</f>
        <v>0</v>
      </c>
      <c r="J113" s="416"/>
    </row>
    <row r="114" spans="1:10" x14ac:dyDescent="0.3">
      <c r="A114" s="70" t="s">
        <v>180</v>
      </c>
      <c r="B114" s="397">
        <v>1</v>
      </c>
      <c r="C114" s="46" t="s">
        <v>45</v>
      </c>
      <c r="D114" s="46" t="s">
        <v>45</v>
      </c>
      <c r="E114" s="34" t="s">
        <v>45</v>
      </c>
      <c r="F114" s="55" t="s">
        <v>45</v>
      </c>
      <c r="G114" s="114">
        <f>othexp</f>
        <v>0</v>
      </c>
      <c r="H114" s="110">
        <f>B114*G114*hay</f>
        <v>0</v>
      </c>
    </row>
    <row r="115" spans="1:10" x14ac:dyDescent="0.3">
      <c r="A115" s="22" t="s">
        <v>181</v>
      </c>
      <c r="B115" s="397">
        <v>1</v>
      </c>
      <c r="C115" s="46" t="s">
        <v>45</v>
      </c>
      <c r="D115" s="46" t="s">
        <v>45</v>
      </c>
      <c r="E115" s="34" t="s">
        <v>45</v>
      </c>
      <c r="F115" s="55" t="s">
        <v>45</v>
      </c>
      <c r="G115" s="272">
        <v>0</v>
      </c>
      <c r="H115" s="110">
        <f>B115*G115*hay</f>
        <v>0</v>
      </c>
      <c r="I115" s="108">
        <f>SUM(H114:H115)</f>
        <v>0</v>
      </c>
    </row>
    <row r="116" spans="1:10" x14ac:dyDescent="0.3">
      <c r="A116" s="3" t="s">
        <v>226</v>
      </c>
      <c r="B116" s="397">
        <v>1</v>
      </c>
      <c r="C116" s="46" t="s">
        <v>45</v>
      </c>
      <c r="D116" s="75" t="s">
        <v>45</v>
      </c>
      <c r="E116" s="34" t="s">
        <v>45</v>
      </c>
      <c r="F116" s="55" t="s">
        <v>45</v>
      </c>
      <c r="G116" s="272">
        <v>0</v>
      </c>
      <c r="H116" s="110">
        <f>B116*G116*hay</f>
        <v>0</v>
      </c>
    </row>
    <row r="117" spans="1:10" x14ac:dyDescent="0.3">
      <c r="A117" s="3" t="s">
        <v>73</v>
      </c>
      <c r="B117" s="3"/>
      <c r="F117" s="114"/>
      <c r="G117" s="119" t="e">
        <f>SUM(G18:G116)</f>
        <v>#DIV/0!</v>
      </c>
      <c r="H117" s="125">
        <f>SUM(H18:H116)</f>
        <v>0</v>
      </c>
    </row>
    <row r="118" spans="1:10" x14ac:dyDescent="0.3">
      <c r="F118" s="114"/>
      <c r="G118" s="114"/>
      <c r="H118" s="109"/>
    </row>
    <row r="119" spans="1:10" ht="39" x14ac:dyDescent="0.3">
      <c r="A119" s="3" t="s">
        <v>69</v>
      </c>
      <c r="B119" s="3"/>
      <c r="C119" s="25" t="s">
        <v>70</v>
      </c>
      <c r="D119" s="25" t="s">
        <v>71</v>
      </c>
      <c r="E119" s="25"/>
      <c r="F119" s="114"/>
      <c r="G119" s="120" t="s">
        <v>1292</v>
      </c>
      <c r="H119" s="126" t="s">
        <v>72</v>
      </c>
    </row>
    <row r="120" spans="1:10" x14ac:dyDescent="0.3">
      <c r="A120" s="3"/>
      <c r="B120" s="3"/>
      <c r="C120" s="35">
        <f>_int_oper_</f>
        <v>4.7341710603787002E-2</v>
      </c>
      <c r="D120" s="34">
        <f>Data!$B$48</f>
        <v>7</v>
      </c>
      <c r="E120" s="34"/>
      <c r="F120" s="114"/>
      <c r="G120" s="104" t="e">
        <f>H120/hay</f>
        <v>#DIV/0!</v>
      </c>
      <c r="H120" s="109">
        <f>C120*(D120/12)*(H117)</f>
        <v>0</v>
      </c>
    </row>
    <row r="121" spans="1:10" x14ac:dyDescent="0.3">
      <c r="F121" s="114"/>
      <c r="G121" s="103"/>
      <c r="H121" s="127"/>
    </row>
    <row r="122" spans="1:10" ht="14" thickBot="1" x14ac:dyDescent="0.4">
      <c r="A122" s="1" t="s">
        <v>74</v>
      </c>
      <c r="B122" s="1"/>
      <c r="F122" s="114"/>
      <c r="G122" s="121" t="e">
        <f>G117+G120</f>
        <v>#DIV/0!</v>
      </c>
      <c r="H122" s="128">
        <f>H117+H120</f>
        <v>0</v>
      </c>
    </row>
    <row r="123" spans="1:10" ht="13.5" thickTop="1" x14ac:dyDescent="0.3">
      <c r="F123" s="34"/>
      <c r="G123" s="34"/>
      <c r="H123" s="49"/>
    </row>
    <row r="124" spans="1:10" x14ac:dyDescent="0.3">
      <c r="F124" s="34"/>
      <c r="G124" s="34"/>
      <c r="H124" s="49"/>
    </row>
    <row r="125" spans="1:10" x14ac:dyDescent="0.3">
      <c r="F125" s="34"/>
      <c r="G125" s="34"/>
      <c r="H125" s="49"/>
    </row>
    <row r="126" spans="1:10" x14ac:dyDescent="0.3">
      <c r="F126" s="34"/>
      <c r="G126" s="34"/>
      <c r="H126" s="49"/>
    </row>
    <row r="127" spans="1:10" x14ac:dyDescent="0.3">
      <c r="F127" s="34"/>
      <c r="G127" s="34"/>
      <c r="H127" s="49"/>
    </row>
    <row r="128" spans="1:10" x14ac:dyDescent="0.3">
      <c r="F128" s="34"/>
      <c r="G128" s="34"/>
      <c r="H128" s="49"/>
    </row>
    <row r="129" spans="6:8" x14ac:dyDescent="0.3">
      <c r="F129" s="34"/>
      <c r="G129" s="34"/>
      <c r="H129" s="49"/>
    </row>
    <row r="130" spans="6:8" x14ac:dyDescent="0.3">
      <c r="F130" s="34"/>
      <c r="G130" s="34"/>
      <c r="H130" s="49"/>
    </row>
    <row r="131" spans="6:8" x14ac:dyDescent="0.3">
      <c r="F131" s="34"/>
      <c r="G131" s="34"/>
      <c r="H131" s="49"/>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6" x14ac:dyDescent="0.3">
      <c r="F625" s="34"/>
    </row>
    <row r="626" spans="6:6" x14ac:dyDescent="0.3">
      <c r="F626" s="34"/>
    </row>
    <row r="627" spans="6:6" x14ac:dyDescent="0.3">
      <c r="F627" s="34"/>
    </row>
    <row r="628" spans="6:6" x14ac:dyDescent="0.3">
      <c r="F628" s="34"/>
    </row>
    <row r="629" spans="6:6" x14ac:dyDescent="0.3">
      <c r="F629" s="34"/>
    </row>
    <row r="630" spans="6:6" x14ac:dyDescent="0.3">
      <c r="F630" s="34"/>
    </row>
    <row r="631" spans="6:6" x14ac:dyDescent="0.3">
      <c r="F631" s="34"/>
    </row>
    <row r="632" spans="6:6" x14ac:dyDescent="0.3">
      <c r="F632" s="34"/>
    </row>
    <row r="633" spans="6:6" x14ac:dyDescent="0.3">
      <c r="F633" s="34"/>
    </row>
    <row r="634" spans="6:6" x14ac:dyDescent="0.3">
      <c r="F634" s="34"/>
    </row>
    <row r="635" spans="6:6" x14ac:dyDescent="0.3">
      <c r="F635" s="34"/>
    </row>
    <row r="636" spans="6:6" x14ac:dyDescent="0.3">
      <c r="F636" s="34"/>
    </row>
    <row r="637" spans="6:6" x14ac:dyDescent="0.3">
      <c r="F637" s="34"/>
    </row>
    <row r="638" spans="6:6" x14ac:dyDescent="0.3">
      <c r="F638" s="34"/>
    </row>
    <row r="639" spans="6:6" x14ac:dyDescent="0.3">
      <c r="F639" s="34"/>
    </row>
    <row r="640" spans="6:6" x14ac:dyDescent="0.3">
      <c r="F640" s="34"/>
    </row>
    <row r="641" spans="6:6" x14ac:dyDescent="0.3">
      <c r="F641" s="34"/>
    </row>
    <row r="642" spans="6:6" x14ac:dyDescent="0.3">
      <c r="F642" s="34"/>
    </row>
    <row r="643" spans="6:6" x14ac:dyDescent="0.3">
      <c r="F643" s="34"/>
    </row>
    <row r="644" spans="6:6" x14ac:dyDescent="0.3">
      <c r="F644" s="34"/>
    </row>
    <row r="645" spans="6:6" x14ac:dyDescent="0.3">
      <c r="F645" s="34"/>
    </row>
    <row r="646" spans="6:6" x14ac:dyDescent="0.3">
      <c r="F646" s="34"/>
    </row>
  </sheetData>
  <phoneticPr fontId="0" type="noConversion"/>
  <pageMargins left="0.75" right="0.75" top="1" bottom="1" header="0.5" footer="0.5"/>
  <headerFooter alignWithMargins="0"/>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60"/>
  <sheetViews>
    <sheetView workbookViewId="0">
      <pane ySplit="6" topLeftCell="A36" activePane="bottomLeft" state="frozen"/>
      <selection pane="bottomLeft" activeCell="C41" sqref="C41"/>
    </sheetView>
  </sheetViews>
  <sheetFormatPr defaultColWidth="9.08984375" defaultRowHeight="13" x14ac:dyDescent="0.3"/>
  <cols>
    <col min="1" max="1" width="50.81640625" style="27" customWidth="1"/>
    <col min="2" max="2" width="9.36328125" style="27" customWidth="1"/>
    <col min="3" max="3" width="9.6328125" style="17" customWidth="1"/>
    <col min="4" max="4" width="8.6328125" style="17" customWidth="1"/>
    <col min="5" max="5" width="9.6328125" style="17" customWidth="1"/>
    <col min="6" max="7" width="7.6328125" style="17" customWidth="1"/>
    <col min="8" max="8" width="11.6328125" style="17" customWidth="1"/>
    <col min="9" max="9" width="11.90625" style="17" customWidth="1"/>
    <col min="10" max="10" width="12" style="17" customWidth="1"/>
    <col min="11" max="11" width="9" style="17" bestFit="1" customWidth="1"/>
    <col min="12" max="13" width="9.6328125" style="17" customWidth="1"/>
    <col min="14" max="14" width="2.6328125" style="17" customWidth="1"/>
    <col min="15" max="15" width="10.08984375" style="17" customWidth="1"/>
    <col min="16" max="23" width="9.08984375" style="17"/>
    <col min="24" max="24" width="9.36328125" style="17" customWidth="1"/>
    <col min="25" max="25" width="3" style="17" customWidth="1"/>
    <col min="26" max="16384" width="9.08984375" style="17"/>
  </cols>
  <sheetData>
    <row r="1" spans="1:22" x14ac:dyDescent="0.3">
      <c r="A1" s="61" t="s">
        <v>146</v>
      </c>
      <c r="B1" s="27" t="str">
        <f>model</f>
        <v>ME Grain &amp; Pulse</v>
      </c>
    </row>
    <row r="2" spans="1:22" x14ac:dyDescent="0.3">
      <c r="A2" s="3"/>
    </row>
    <row r="4" spans="1:22" x14ac:dyDescent="0.3">
      <c r="A4" s="16" t="s">
        <v>771</v>
      </c>
      <c r="B4" s="8" t="s">
        <v>92</v>
      </c>
      <c r="C4" s="65">
        <f>hay</f>
        <v>0</v>
      </c>
      <c r="D4" s="4" t="s">
        <v>93</v>
      </c>
    </row>
    <row r="5" spans="1:22" x14ac:dyDescent="0.3">
      <c r="B5" s="17"/>
    </row>
    <row r="6" spans="1:22"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row>
    <row r="7" spans="1:22" x14ac:dyDescent="0.3">
      <c r="A7" s="13"/>
      <c r="B7" s="29"/>
      <c r="C7" s="30"/>
      <c r="D7" s="31"/>
      <c r="E7" s="31"/>
      <c r="F7" s="18"/>
      <c r="G7" s="18"/>
      <c r="H7" s="32"/>
      <c r="I7" s="31"/>
      <c r="J7" s="31"/>
      <c r="K7" s="31"/>
      <c r="L7" s="31"/>
      <c r="M7" s="31"/>
    </row>
    <row r="8" spans="1:22" x14ac:dyDescent="0.3">
      <c r="A8" s="14" t="s">
        <v>3</v>
      </c>
      <c r="H8" s="108"/>
    </row>
    <row r="9" spans="1:22" x14ac:dyDescent="0.3">
      <c r="A9" s="6" t="str">
        <f>Data!A292</f>
        <v>Large tractor (200 hp) - LARGE SIZE</v>
      </c>
      <c r="B9" s="247">
        <v>1</v>
      </c>
      <c r="C9" s="34" t="str">
        <f>Data!C292</f>
        <v>tractor</v>
      </c>
      <c r="D9" s="109">
        <f>Data!D292*Data!H7</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c r="S9" s="34"/>
      <c r="T9" s="34"/>
      <c r="U9" s="34"/>
      <c r="V9" s="34"/>
    </row>
    <row r="10" spans="1:22" x14ac:dyDescent="0.3">
      <c r="A10" s="6" t="str">
        <f>Data!A285</f>
        <v>Large tractor (160 hp) - MEDIUM SIZE</v>
      </c>
      <c r="B10" s="33">
        <f>Data!B285</f>
        <v>1</v>
      </c>
      <c r="C10" s="34" t="str">
        <f>Data!C285</f>
        <v>tractor</v>
      </c>
      <c r="D10" s="109">
        <f>Data!D285*Data!AP7</f>
        <v>0</v>
      </c>
      <c r="E10" s="109">
        <f>D10*B10</f>
        <v>0</v>
      </c>
      <c r="F10" s="109">
        <f>Data!I285*E10</f>
        <v>0</v>
      </c>
      <c r="G10" s="34">
        <f>Data!F285</f>
        <v>30</v>
      </c>
      <c r="H10" s="109">
        <f>(E10*(_int_inv_*(1+_int_inv_)^G10)/((1+_int_inv_)^G10-1))-(F10*_int_inv_/((1+_int_inv_)^G10-1))</f>
        <v>0</v>
      </c>
      <c r="I10" s="35">
        <f>Data!H285</f>
        <v>1.6666666666666666E-2</v>
      </c>
      <c r="J10" s="109">
        <f>E10*I10</f>
        <v>0</v>
      </c>
      <c r="K10" s="36">
        <f>_tax_ins_</f>
        <v>6.7999999999999996E-3</v>
      </c>
      <c r="L10" s="109">
        <f>E10*K10</f>
        <v>0</v>
      </c>
      <c r="M10" s="109">
        <f>H10+J10+L10</f>
        <v>0</v>
      </c>
      <c r="N10" s="34"/>
      <c r="O10" s="34"/>
      <c r="P10" s="34"/>
      <c r="Q10" s="34"/>
      <c r="R10" s="34"/>
      <c r="S10" s="34"/>
      <c r="T10" s="34"/>
      <c r="U10" s="34"/>
      <c r="V10" s="34"/>
    </row>
    <row r="11" spans="1:22" x14ac:dyDescent="0.3">
      <c r="A11" s="6" t="str">
        <f>Data!A283</f>
        <v>Medium tractor (105 hp) - MEDIUM SIZE</v>
      </c>
      <c r="B11" s="33">
        <f>Data!B283</f>
        <v>1</v>
      </c>
      <c r="C11" s="34" t="str">
        <f>Data!C283</f>
        <v>tractor</v>
      </c>
      <c r="D11" s="109">
        <f>Data!D283*Data!AP7</f>
        <v>0</v>
      </c>
      <c r="E11" s="109">
        <f>D11*B11</f>
        <v>0</v>
      </c>
      <c r="F11" s="109">
        <f>Data!I283*E11</f>
        <v>0</v>
      </c>
      <c r="G11" s="34">
        <f>Data!F283</f>
        <v>40</v>
      </c>
      <c r="H11" s="109">
        <f>(E11*(_int_inv_*(1+_int_inv_)^G11)/((1+_int_inv_)^G11-1))-(F11*_int_inv_/((1+_int_inv_)^G11-1))</f>
        <v>0</v>
      </c>
      <c r="I11" s="35">
        <f>Data!H283</f>
        <v>1.35E-2</v>
      </c>
      <c r="J11" s="109">
        <f>E11*I11</f>
        <v>0</v>
      </c>
      <c r="K11" s="36">
        <f>_tax_ins_</f>
        <v>6.7999999999999996E-3</v>
      </c>
      <c r="L11" s="109">
        <f>E11*K11</f>
        <v>0</v>
      </c>
      <c r="M11" s="109">
        <f>H11+J11+L11</f>
        <v>0</v>
      </c>
      <c r="N11" s="34"/>
      <c r="O11" s="34"/>
      <c r="P11" s="34"/>
      <c r="Q11" s="34"/>
      <c r="R11" s="34"/>
      <c r="S11" s="34"/>
      <c r="T11" s="34"/>
      <c r="U11" s="34"/>
      <c r="V11" s="34"/>
    </row>
    <row r="12" spans="1:22" x14ac:dyDescent="0.3">
      <c r="B12" s="33"/>
      <c r="C12" s="34"/>
      <c r="D12" s="109"/>
      <c r="E12" s="109"/>
      <c r="F12" s="109"/>
      <c r="G12" s="34"/>
      <c r="H12" s="109"/>
      <c r="I12" s="35"/>
      <c r="J12" s="109"/>
      <c r="K12" s="35"/>
      <c r="L12" s="109"/>
      <c r="M12" s="109"/>
    </row>
    <row r="13" spans="1:22" x14ac:dyDescent="0.3">
      <c r="A13" s="14" t="s">
        <v>35</v>
      </c>
      <c r="D13" s="110"/>
      <c r="E13" s="110"/>
      <c r="F13" s="109"/>
      <c r="H13" s="109"/>
      <c r="J13" s="110"/>
      <c r="L13" s="110"/>
      <c r="M13" s="109"/>
    </row>
    <row r="14" spans="1:22" x14ac:dyDescent="0.3">
      <c r="A14" s="6" t="str">
        <f>Data!A297</f>
        <v>Bulk Body Truck(s) - SMALL SIZE</v>
      </c>
      <c r="B14" s="247">
        <v>3</v>
      </c>
      <c r="C14" s="34" t="str">
        <f>Data!C297</f>
        <v>truck</v>
      </c>
      <c r="D14" s="109">
        <f>Data!D297*Data!J7</f>
        <v>0</v>
      </c>
      <c r="E14" s="109">
        <f>D14*B14</f>
        <v>0</v>
      </c>
      <c r="F14" s="109">
        <f>Data!I297*E14</f>
        <v>0</v>
      </c>
      <c r="G14" s="34">
        <f>Data!F297</f>
        <v>40</v>
      </c>
      <c r="H14" s="109">
        <f>(E14*(_int_inv_*(1+_int_inv_)^G14)/((1+_int_inv_)^G14-1))-(F14*_int_inv_/((1+_int_inv_)^G14-1))</f>
        <v>0</v>
      </c>
      <c r="I14" s="35">
        <f>Data!H297</f>
        <v>0.02</v>
      </c>
      <c r="J14" s="109">
        <f>E14*I14</f>
        <v>0</v>
      </c>
      <c r="K14" s="36">
        <f>_tax_ins_</f>
        <v>6.7999999999999996E-3</v>
      </c>
      <c r="L14" s="109">
        <f>E14*K14</f>
        <v>0</v>
      </c>
      <c r="M14" s="109">
        <f>H14+J14+L14</f>
        <v>0</v>
      </c>
      <c r="N14" s="34"/>
      <c r="O14" s="34"/>
      <c r="P14" s="34"/>
      <c r="Q14" s="34"/>
      <c r="R14" s="34"/>
    </row>
    <row r="15" spans="1:22" x14ac:dyDescent="0.3">
      <c r="A15" s="6"/>
      <c r="B15" s="33"/>
      <c r="C15" s="34"/>
      <c r="D15" s="109"/>
      <c r="E15" s="109"/>
      <c r="F15" s="109"/>
      <c r="G15" s="60"/>
      <c r="H15" s="109"/>
      <c r="I15" s="35"/>
      <c r="J15" s="109"/>
      <c r="K15" s="36"/>
      <c r="L15" s="109"/>
      <c r="M15" s="109"/>
    </row>
    <row r="16" spans="1:22" x14ac:dyDescent="0.3">
      <c r="A16" s="14" t="s">
        <v>6</v>
      </c>
      <c r="B16" s="33"/>
      <c r="C16" s="34"/>
      <c r="D16" s="109"/>
      <c r="E16" s="109"/>
      <c r="F16" s="109"/>
      <c r="G16" s="34"/>
      <c r="H16" s="109"/>
      <c r="I16" s="35"/>
      <c r="J16" s="109"/>
      <c r="K16" s="35"/>
      <c r="L16" s="109"/>
      <c r="M16" s="109"/>
    </row>
    <row r="17" spans="1:23" x14ac:dyDescent="0.3">
      <c r="A17" s="6" t="str">
        <f>Data!A313</f>
        <v>Chisel Plow (15 ft) - SMALL SIZE</v>
      </c>
      <c r="B17" s="33">
        <f>Data!B313</f>
        <v>0</v>
      </c>
      <c r="C17" s="34" t="str">
        <f>Data!C313</f>
        <v>chisel plow</v>
      </c>
      <c r="D17" s="109">
        <f>Data!D313*Data!P7</f>
        <v>0</v>
      </c>
      <c r="E17" s="109">
        <f>D17*B17</f>
        <v>0</v>
      </c>
      <c r="F17" s="109">
        <f>Data!I313*E17</f>
        <v>0</v>
      </c>
      <c r="G17" s="34">
        <f>Data!F313</f>
        <v>40</v>
      </c>
      <c r="H17" s="112">
        <f>(E17*(_int_inv_*(1+_int_inv_)^G17)/((1+_int_inv_)^G17-1))-(F17*_int_inv_/((1+_int_inv_)^G17-1))</f>
        <v>0</v>
      </c>
      <c r="I17" s="35">
        <f>Data!H313</f>
        <v>2.433684210526316E-2</v>
      </c>
      <c r="J17" s="109">
        <f>E17*I17</f>
        <v>0</v>
      </c>
      <c r="K17" s="36">
        <f>_tax_ins_</f>
        <v>6.7999999999999996E-3</v>
      </c>
      <c r="L17" s="109">
        <f>E17*K17</f>
        <v>0</v>
      </c>
      <c r="M17" s="109">
        <f>H17+J17+L17</f>
        <v>0</v>
      </c>
      <c r="N17" s="34"/>
      <c r="O17" s="34"/>
      <c r="P17" s="34"/>
      <c r="Q17" s="34"/>
      <c r="R17" s="34"/>
      <c r="S17" s="34"/>
      <c r="T17" s="34"/>
      <c r="U17" s="34"/>
      <c r="V17" s="34"/>
      <c r="W17" s="34"/>
    </row>
    <row r="18" spans="1:23" x14ac:dyDescent="0.3">
      <c r="A18" s="6" t="str">
        <f>Data!A316</f>
        <v>Disk Harrow (12 ft) - SMALL SIZE</v>
      </c>
      <c r="B18" s="33">
        <f>Data!B316</f>
        <v>0</v>
      </c>
      <c r="C18" s="34" t="str">
        <f>Data!C316</f>
        <v>disk harrow</v>
      </c>
      <c r="D18" s="109">
        <f>Data!D316*Data!P7</f>
        <v>0</v>
      </c>
      <c r="E18" s="109">
        <f>D18*B18</f>
        <v>0</v>
      </c>
      <c r="F18" s="109">
        <f>Data!I316*E18</f>
        <v>0</v>
      </c>
      <c r="G18" s="34">
        <f>Data!F316</f>
        <v>50</v>
      </c>
      <c r="H18" s="112">
        <f>(E18*(_int_inv_*(1+_int_inv_)^G18)/((1+_int_inv_)^G18-1))-(F18*_int_inv_/((1+_int_inv_)^G18-1))</f>
        <v>0</v>
      </c>
      <c r="I18" s="35">
        <f>Data!H316</f>
        <v>2.2825263157894737E-2</v>
      </c>
      <c r="J18" s="109">
        <f>E18*I18</f>
        <v>0</v>
      </c>
      <c r="K18" s="36">
        <f>_tax_ins_</f>
        <v>6.7999999999999996E-3</v>
      </c>
      <c r="L18" s="109">
        <f>E18*K18</f>
        <v>0</v>
      </c>
      <c r="M18" s="109">
        <f>H18+J18+L18</f>
        <v>0</v>
      </c>
      <c r="N18" s="34"/>
      <c r="O18" s="34"/>
      <c r="P18" s="34"/>
      <c r="Q18" s="34"/>
      <c r="R18" s="34"/>
      <c r="S18" s="34"/>
      <c r="T18" s="34"/>
      <c r="U18" s="34"/>
      <c r="V18" s="34"/>
      <c r="W18" s="34"/>
    </row>
    <row r="19" spans="1:23" ht="13.25" customHeight="1" x14ac:dyDescent="0.3">
      <c r="A19" s="6" t="str">
        <f>Data!A319</f>
        <v>Soil Conditioner/Field Cultivator (18 ft) - SMALL SIZE</v>
      </c>
      <c r="B19" s="33">
        <f>Data!B319</f>
        <v>0</v>
      </c>
      <c r="C19" s="34" t="str">
        <f>Data!C319</f>
        <v>condit.</v>
      </c>
      <c r="D19" s="109">
        <f>Data!D319*Data!P7</f>
        <v>0</v>
      </c>
      <c r="E19" s="109">
        <f>D19*B19</f>
        <v>0</v>
      </c>
      <c r="F19" s="109">
        <f>Data!I319*E19</f>
        <v>0</v>
      </c>
      <c r="G19" s="34">
        <f>Data!F319</f>
        <v>40</v>
      </c>
      <c r="H19" s="112">
        <f>(E19*(_int_inv_*(1+_int_inv_)^G19)/((1+_int_inv_)^G19-1))-(F19*_int_inv_/((1+_int_inv_)^G19-1))</f>
        <v>0</v>
      </c>
      <c r="I19" s="35">
        <f>Data!H319</f>
        <v>3.245E-2</v>
      </c>
      <c r="J19" s="109">
        <f>E19*I19</f>
        <v>0</v>
      </c>
      <c r="K19" s="36">
        <f>_tax_ins_</f>
        <v>6.7999999999999996E-3</v>
      </c>
      <c r="L19" s="109">
        <f>E19*K19</f>
        <v>0</v>
      </c>
      <c r="M19" s="109">
        <f>H19+J19+L19</f>
        <v>0</v>
      </c>
      <c r="N19" s="34"/>
      <c r="O19" s="34"/>
      <c r="P19" s="34"/>
      <c r="Q19" s="34"/>
      <c r="R19" s="34"/>
      <c r="S19" s="34"/>
      <c r="T19" s="34"/>
      <c r="U19" s="34"/>
      <c r="V19" s="34"/>
      <c r="W19" s="34"/>
    </row>
    <row r="20" spans="1:23" x14ac:dyDescent="0.3">
      <c r="B20" s="33"/>
      <c r="C20" s="33"/>
      <c r="D20" s="109"/>
      <c r="E20" s="109"/>
      <c r="F20" s="109"/>
      <c r="G20" s="34"/>
      <c r="H20" s="109"/>
      <c r="I20" s="35"/>
      <c r="J20" s="109"/>
      <c r="K20" s="36"/>
      <c r="L20" s="109"/>
      <c r="M20" s="109"/>
    </row>
    <row r="21" spans="1:23" x14ac:dyDescent="0.3">
      <c r="A21" s="14" t="s">
        <v>4</v>
      </c>
      <c r="B21" s="33"/>
      <c r="C21" s="34"/>
      <c r="D21" s="109"/>
      <c r="E21" s="109"/>
      <c r="F21" s="109"/>
      <c r="G21" s="34"/>
      <c r="H21" s="109"/>
      <c r="I21" s="35"/>
      <c r="J21" s="109"/>
      <c r="K21" s="35"/>
      <c r="L21" s="109"/>
      <c r="M21" s="109"/>
    </row>
    <row r="22" spans="1:23" x14ac:dyDescent="0.3">
      <c r="A22" s="6" t="str">
        <f>Data!A334</f>
        <v xml:space="preserve">Fertilizer Spreader </v>
      </c>
      <c r="B22" s="247">
        <v>1</v>
      </c>
      <c r="C22" s="34" t="str">
        <f>Data!C334</f>
        <v>fert.spread</v>
      </c>
      <c r="D22" s="109">
        <f>Data!D334*Data!N7</f>
        <v>0</v>
      </c>
      <c r="E22" s="109">
        <f>D22*B22</f>
        <v>0</v>
      </c>
      <c r="F22" s="109">
        <f>Data!I334*E22</f>
        <v>0</v>
      </c>
      <c r="G22" s="60">
        <f>Data!F334</f>
        <v>10</v>
      </c>
      <c r="H22" s="109">
        <f>(E22*(_int_inv_*(1+_int_inv_)^G22)/((1+_int_inv_)^G22-1))-(F22*_int_inv_/((1+_int_inv_)^G22-1))</f>
        <v>0</v>
      </c>
      <c r="I22" s="35">
        <f>Data!H334</f>
        <v>4.4999999999999998E-2</v>
      </c>
      <c r="J22" s="109">
        <f>E22*I22</f>
        <v>0</v>
      </c>
      <c r="K22" s="36">
        <f>_tax_ins_</f>
        <v>6.7999999999999996E-3</v>
      </c>
      <c r="L22" s="109">
        <f>E22*K22</f>
        <v>0</v>
      </c>
      <c r="M22" s="109">
        <f>H22+J22+L22</f>
        <v>0</v>
      </c>
    </row>
    <row r="23" spans="1:23" x14ac:dyDescent="0.3">
      <c r="A23" s="6" t="str">
        <f>Data!A347</f>
        <v>Seeder (Brillion)</v>
      </c>
      <c r="B23" s="163">
        <f>Data!B347</f>
        <v>0</v>
      </c>
      <c r="C23" s="34" t="str">
        <f>Data!C347</f>
        <v>seeder</v>
      </c>
      <c r="D23" s="109">
        <f>Data!D347*Data!D7*Data!AV7</f>
        <v>0</v>
      </c>
      <c r="E23" s="109">
        <f>D23*B23</f>
        <v>0</v>
      </c>
      <c r="F23" s="109">
        <f>Data!I347*E23</f>
        <v>0</v>
      </c>
      <c r="G23" s="90">
        <f>Data!F347</f>
        <v>10</v>
      </c>
      <c r="H23" s="109">
        <f>(E23*(_int_inv_*(1+_int_inv_)^G23)/((1+_int_inv_)^G23-1))-(F23*_int_inv_/((1+_int_inv_)^G23-1))</f>
        <v>0</v>
      </c>
      <c r="I23" s="162">
        <f>Data!H347</f>
        <v>4.4999999999999998E-2</v>
      </c>
      <c r="J23" s="109">
        <f>E23*I23</f>
        <v>0</v>
      </c>
      <c r="K23" s="36">
        <f>_tax_ins_</f>
        <v>6.7999999999999996E-3</v>
      </c>
      <c r="L23" s="109">
        <f>E23*K23</f>
        <v>0</v>
      </c>
      <c r="M23" s="109">
        <f>H23+J23+L23</f>
        <v>0</v>
      </c>
      <c r="N23" s="34"/>
      <c r="O23" s="34"/>
      <c r="P23" s="34"/>
      <c r="Q23" s="34"/>
      <c r="R23" s="34"/>
      <c r="S23" s="34"/>
      <c r="T23" s="34"/>
      <c r="U23" s="34"/>
      <c r="V23" s="34"/>
      <c r="W23" s="34"/>
    </row>
    <row r="24" spans="1:23" x14ac:dyDescent="0.3">
      <c r="A24" s="6"/>
      <c r="B24" s="33"/>
      <c r="C24" s="34"/>
      <c r="D24" s="109"/>
      <c r="E24" s="109"/>
      <c r="F24" s="109"/>
      <c r="G24" s="60"/>
      <c r="H24" s="109"/>
      <c r="I24" s="35"/>
      <c r="J24" s="109"/>
      <c r="K24" s="36"/>
      <c r="L24" s="109"/>
      <c r="M24" s="109"/>
    </row>
    <row r="25" spans="1:23" x14ac:dyDescent="0.3">
      <c r="A25" s="14" t="s">
        <v>7</v>
      </c>
      <c r="B25" s="33"/>
      <c r="C25" s="34"/>
      <c r="D25" s="109"/>
      <c r="E25" s="109"/>
      <c r="F25" s="109"/>
      <c r="G25" s="34"/>
      <c r="H25" s="109"/>
      <c r="I25" s="35"/>
      <c r="J25" s="109"/>
      <c r="K25" s="36"/>
      <c r="L25" s="109"/>
      <c r="M25" s="109"/>
    </row>
    <row r="26" spans="1:23" ht="13.25" customHeight="1" x14ac:dyDescent="0.3">
      <c r="A26" s="6" t="str">
        <f>Data!A353</f>
        <v>Sprayer (Tractor Mounted Boom, 50 ft) - SMALL SIZE</v>
      </c>
      <c r="B26" s="247">
        <v>1</v>
      </c>
      <c r="C26" s="34" t="str">
        <f>Data!C353</f>
        <v>sprayer</v>
      </c>
      <c r="D26" s="109">
        <f>Data!D353*Data!P7</f>
        <v>0</v>
      </c>
      <c r="E26" s="109">
        <f>D26*B26</f>
        <v>0</v>
      </c>
      <c r="F26" s="109">
        <f>Data!I353*E26</f>
        <v>0</v>
      </c>
      <c r="G26" s="60">
        <f>Data!F353</f>
        <v>50</v>
      </c>
      <c r="H26" s="109">
        <f>(E26*(_int_inv_*(1+_int_inv_)^G26)/((1+_int_inv_)^G26-1))-(F26*_int_inv_/((1+_int_inv_)^G26-1))</f>
        <v>0</v>
      </c>
      <c r="I26" s="35">
        <f>Data!H353</f>
        <v>4.4999999999999998E-2</v>
      </c>
      <c r="J26" s="109">
        <f>E26*I26</f>
        <v>0</v>
      </c>
      <c r="K26" s="36">
        <f>_tax_ins_</f>
        <v>6.7999999999999996E-3</v>
      </c>
      <c r="L26" s="109">
        <f>E26*K26</f>
        <v>0</v>
      </c>
      <c r="M26" s="109">
        <f>H26+J26+L26</f>
        <v>0</v>
      </c>
    </row>
    <row r="27" spans="1:23" x14ac:dyDescent="0.3">
      <c r="A27" s="6"/>
      <c r="B27" s="33"/>
      <c r="C27" s="34"/>
      <c r="D27" s="109"/>
      <c r="E27" s="109"/>
      <c r="F27" s="109"/>
      <c r="G27" s="60"/>
      <c r="H27" s="109"/>
      <c r="I27" s="35"/>
      <c r="J27" s="109"/>
      <c r="K27" s="36"/>
      <c r="L27" s="109"/>
      <c r="M27" s="109"/>
    </row>
    <row r="28" spans="1:23" x14ac:dyDescent="0.3">
      <c r="A28" s="14" t="s">
        <v>9</v>
      </c>
      <c r="B28" s="33"/>
      <c r="C28" s="166"/>
      <c r="D28" s="109"/>
      <c r="E28" s="109"/>
      <c r="F28" s="109"/>
      <c r="G28" s="34"/>
      <c r="H28" s="109"/>
      <c r="I28" s="35"/>
      <c r="J28" s="109"/>
      <c r="K28" s="36"/>
      <c r="L28" s="109"/>
      <c r="M28" s="109"/>
    </row>
    <row r="29" spans="1:23" x14ac:dyDescent="0.3">
      <c r="A29" s="19" t="str">
        <f>Data!A370</f>
        <v>Mower-conditioner</v>
      </c>
      <c r="B29" s="33">
        <f>Data!B370</f>
        <v>0</v>
      </c>
      <c r="C29" s="34" t="str">
        <f>Data!C370</f>
        <v>mower-cond.</v>
      </c>
      <c r="D29" s="109">
        <f>Data!D370*Data!AB7</f>
        <v>0</v>
      </c>
      <c r="E29" s="109">
        <f t="shared" ref="E29:E35" si="0">D29*B29</f>
        <v>0</v>
      </c>
      <c r="F29" s="109">
        <f>Data!I370*E29</f>
        <v>0</v>
      </c>
      <c r="G29" s="60">
        <f>Data!F370</f>
        <v>8</v>
      </c>
      <c r="H29" s="109">
        <f t="shared" ref="H29:H35" si="1">(E29*(_int_inv_*(1+_int_inv_)^G29)/((1+_int_inv_)^G29-1))-(F29*_int_inv_/((1+_int_inv_)^G29-1))</f>
        <v>0</v>
      </c>
      <c r="I29" s="35">
        <f>Data!H370</f>
        <v>4.4999999999999998E-2</v>
      </c>
      <c r="J29" s="109">
        <f t="shared" ref="J29:J35" si="2">E29*I29</f>
        <v>0</v>
      </c>
      <c r="K29" s="36">
        <f t="shared" ref="K29:K35" si="3">_tax_ins_</f>
        <v>6.7999999999999996E-3</v>
      </c>
      <c r="L29" s="109">
        <f t="shared" ref="L29:L35" si="4">E29*K29</f>
        <v>0</v>
      </c>
      <c r="M29" s="109">
        <f t="shared" ref="M29:M35" si="5">H29+J29+L29</f>
        <v>0</v>
      </c>
    </row>
    <row r="30" spans="1:23" x14ac:dyDescent="0.3">
      <c r="A30" s="19" t="str">
        <f>Data!A371</f>
        <v>Chopper (Self-propelled)</v>
      </c>
      <c r="B30" s="247">
        <v>1</v>
      </c>
      <c r="C30" s="34" t="str">
        <f>Data!C371</f>
        <v>chopper</v>
      </c>
      <c r="D30" s="109">
        <f>Data!D371*IF(GrzOwnC!B19=1,Data!V7,Data!X7)</f>
        <v>0</v>
      </c>
      <c r="E30" s="109">
        <f t="shared" si="0"/>
        <v>0</v>
      </c>
      <c r="F30" s="109">
        <f>Data!I371*E30</f>
        <v>0</v>
      </c>
      <c r="G30" s="60">
        <f>Data!F371</f>
        <v>10</v>
      </c>
      <c r="H30" s="109">
        <f t="shared" si="1"/>
        <v>0</v>
      </c>
      <c r="I30" s="35">
        <f>Data!H371</f>
        <v>4.4999999999999998E-2</v>
      </c>
      <c r="J30" s="109">
        <f t="shared" si="2"/>
        <v>0</v>
      </c>
      <c r="K30" s="36">
        <f t="shared" si="3"/>
        <v>6.7999999999999996E-3</v>
      </c>
      <c r="L30" s="109">
        <f t="shared" si="4"/>
        <v>0</v>
      </c>
      <c r="M30" s="109">
        <f t="shared" si="5"/>
        <v>0</v>
      </c>
      <c r="N30" s="34"/>
      <c r="O30" s="34"/>
      <c r="P30" s="34"/>
      <c r="Q30" s="34"/>
      <c r="R30" s="34"/>
      <c r="S30" s="34"/>
      <c r="T30" s="34"/>
      <c r="U30" s="34"/>
      <c r="V30" s="34"/>
    </row>
    <row r="31" spans="1:23" x14ac:dyDescent="0.3">
      <c r="A31" s="19" t="str">
        <f>Data!A372</f>
        <v xml:space="preserve">     Chopper head (Pull-behind)</v>
      </c>
      <c r="B31" s="33">
        <f>Data!B374</f>
        <v>0</v>
      </c>
      <c r="C31" s="34" t="str">
        <f>Data!C372</f>
        <v>pick-up hd.</v>
      </c>
      <c r="D31" s="109">
        <f>Data!D372*Data!Z7</f>
        <v>0</v>
      </c>
      <c r="E31" s="109">
        <f>D31*B31</f>
        <v>0</v>
      </c>
      <c r="F31" s="109">
        <f>Data!I372*E31</f>
        <v>0</v>
      </c>
      <c r="G31" s="60">
        <f>Data!F372</f>
        <v>10</v>
      </c>
      <c r="H31" s="109">
        <f t="shared" si="1"/>
        <v>0</v>
      </c>
      <c r="I31" s="35">
        <f>Data!H372</f>
        <v>4.4999999999999998E-2</v>
      </c>
      <c r="J31" s="109">
        <f>E31*I31</f>
        <v>0</v>
      </c>
      <c r="K31" s="36">
        <f>_tax_ins_</f>
        <v>6.7999999999999996E-3</v>
      </c>
      <c r="L31" s="109">
        <f>E31*K31</f>
        <v>0</v>
      </c>
      <c r="M31" s="109">
        <f>H31+J31+L31</f>
        <v>0</v>
      </c>
      <c r="N31" s="34"/>
      <c r="O31" s="34"/>
      <c r="P31" s="34"/>
      <c r="Q31" s="34"/>
      <c r="R31" s="34"/>
      <c r="S31" s="34"/>
      <c r="T31" s="34"/>
      <c r="U31" s="34"/>
      <c r="V31" s="34"/>
    </row>
    <row r="32" spans="1:23" x14ac:dyDescent="0.3">
      <c r="A32" s="19" t="str">
        <f>Data!A374</f>
        <v>Teader</v>
      </c>
      <c r="B32" s="247">
        <v>0</v>
      </c>
      <c r="C32" s="34" t="str">
        <f>Data!C374</f>
        <v>teader</v>
      </c>
      <c r="D32" s="109">
        <f>Data!D374*Data!AD7*Data!D7</f>
        <v>0</v>
      </c>
      <c r="E32" s="109">
        <f>D32*B32</f>
        <v>0</v>
      </c>
      <c r="F32" s="109">
        <f>Data!I374*E32</f>
        <v>0</v>
      </c>
      <c r="G32" s="60">
        <f>Data!F374</f>
        <v>8</v>
      </c>
      <c r="H32" s="109">
        <f>(E32*(_int_inv_*(1+_int_inv_)^G32)/((1+_int_inv_)^G32-1))-(F32*_int_inv_/((1+_int_inv_)^G32-1))</f>
        <v>0</v>
      </c>
      <c r="I32" s="162">
        <f>Data!H374</f>
        <v>4.4999999999999998E-2</v>
      </c>
      <c r="J32" s="109">
        <f>E32*I32</f>
        <v>0</v>
      </c>
      <c r="K32" s="36">
        <f t="shared" si="3"/>
        <v>6.7999999999999996E-3</v>
      </c>
      <c r="L32" s="109">
        <f>E32*K32</f>
        <v>0</v>
      </c>
      <c r="M32" s="109">
        <f>H32+J32+L32</f>
        <v>0</v>
      </c>
    </row>
    <row r="33" spans="1:22" x14ac:dyDescent="0.3">
      <c r="A33" s="19" t="str">
        <f>Data!A378</f>
        <v xml:space="preserve">Raker </v>
      </c>
      <c r="B33" s="247">
        <v>0</v>
      </c>
      <c r="C33" s="34" t="str">
        <f>Data!C378</f>
        <v>raker</v>
      </c>
      <c r="D33" s="109">
        <f>Data!D378*Data!AF7*Data!D7</f>
        <v>0</v>
      </c>
      <c r="E33" s="109">
        <f t="shared" si="0"/>
        <v>0</v>
      </c>
      <c r="F33" s="109">
        <f>Data!I378*E33</f>
        <v>0</v>
      </c>
      <c r="G33" s="60">
        <f>Data!F378</f>
        <v>50</v>
      </c>
      <c r="H33" s="109">
        <f t="shared" si="1"/>
        <v>0</v>
      </c>
      <c r="I33" s="162">
        <f>Data!H378</f>
        <v>4.4999999999999998E-2</v>
      </c>
      <c r="J33" s="109">
        <f t="shared" si="2"/>
        <v>0</v>
      </c>
      <c r="K33" s="36">
        <f t="shared" si="3"/>
        <v>6.7999999999999996E-3</v>
      </c>
      <c r="L33" s="109">
        <f t="shared" si="4"/>
        <v>0</v>
      </c>
      <c r="M33" s="109">
        <f t="shared" si="5"/>
        <v>0</v>
      </c>
    </row>
    <row r="34" spans="1:22" x14ac:dyDescent="0.3">
      <c r="A34" s="19" t="str">
        <f>Data!A379</f>
        <v>Baler (Round)</v>
      </c>
      <c r="B34" s="247">
        <v>0</v>
      </c>
      <c r="C34" s="34" t="str">
        <f>Data!C379</f>
        <v>round baler</v>
      </c>
      <c r="D34" s="109">
        <f>Data!D379*Data!AF7*Data!D7</f>
        <v>0</v>
      </c>
      <c r="E34" s="109">
        <f t="shared" si="0"/>
        <v>0</v>
      </c>
      <c r="F34" s="109">
        <f>Data!I379*E34</f>
        <v>0</v>
      </c>
      <c r="G34" s="165">
        <f>Data!F379</f>
        <v>40</v>
      </c>
      <c r="H34" s="109">
        <f t="shared" si="1"/>
        <v>0</v>
      </c>
      <c r="I34" s="162">
        <f>Data!H379</f>
        <v>4.4999999999999998E-2</v>
      </c>
      <c r="J34" s="109">
        <f t="shared" si="2"/>
        <v>0</v>
      </c>
      <c r="K34" s="36">
        <f t="shared" si="3"/>
        <v>6.7999999999999996E-3</v>
      </c>
      <c r="L34" s="109">
        <f t="shared" si="4"/>
        <v>0</v>
      </c>
      <c r="M34" s="109">
        <f t="shared" si="5"/>
        <v>0</v>
      </c>
    </row>
    <row r="35" spans="1:22" x14ac:dyDescent="0.3">
      <c r="A35" s="19" t="str">
        <f>Data!A380</f>
        <v>Baler (Square)</v>
      </c>
      <c r="B35" s="247">
        <v>0</v>
      </c>
      <c r="C35" s="34" t="str">
        <f>Data!C380</f>
        <v>square baler</v>
      </c>
      <c r="D35" s="109">
        <f>Data!D380*Data!AF7*Data!D7</f>
        <v>0</v>
      </c>
      <c r="E35" s="109">
        <f t="shared" si="0"/>
        <v>0</v>
      </c>
      <c r="F35" s="109">
        <f>Data!I380*E35</f>
        <v>0</v>
      </c>
      <c r="G35" s="165">
        <f>Data!F380</f>
        <v>20</v>
      </c>
      <c r="H35" s="109">
        <f t="shared" si="1"/>
        <v>0</v>
      </c>
      <c r="I35" s="162">
        <f>Data!H380</f>
        <v>4.4999999999999998E-2</v>
      </c>
      <c r="J35" s="109">
        <f t="shared" si="2"/>
        <v>0</v>
      </c>
      <c r="K35" s="36">
        <f t="shared" si="3"/>
        <v>6.7999999999999996E-3</v>
      </c>
      <c r="L35" s="109">
        <f t="shared" si="4"/>
        <v>0</v>
      </c>
      <c r="M35" s="109">
        <f t="shared" si="5"/>
        <v>0</v>
      </c>
    </row>
    <row r="36" spans="1:22" x14ac:dyDescent="0.3">
      <c r="A36" s="6"/>
      <c r="B36" s="33"/>
      <c r="C36" s="34"/>
      <c r="D36" s="109"/>
      <c r="E36" s="109"/>
      <c r="F36" s="109"/>
      <c r="G36" s="60"/>
      <c r="H36" s="109"/>
      <c r="I36" s="35"/>
      <c r="J36" s="109"/>
      <c r="K36" s="36"/>
      <c r="L36" s="109"/>
      <c r="M36" s="109"/>
    </row>
    <row r="37" spans="1:22" x14ac:dyDescent="0.3">
      <c r="A37" s="14" t="s">
        <v>357</v>
      </c>
      <c r="B37" s="33"/>
      <c r="C37" s="34"/>
      <c r="D37" s="109"/>
      <c r="E37" s="109"/>
      <c r="F37" s="109"/>
      <c r="G37" s="34"/>
      <c r="H37" s="109"/>
      <c r="I37" s="35"/>
      <c r="J37" s="109"/>
      <c r="K37" s="36"/>
      <c r="L37" s="109"/>
      <c r="M37" s="109"/>
    </row>
    <row r="38" spans="1:22" x14ac:dyDescent="0.3">
      <c r="A38" s="6" t="str">
        <f>Data!A395</f>
        <v>Fuel Tanks - SMALL SIZE</v>
      </c>
      <c r="B38" s="33">
        <f>Data!B395</f>
        <v>0</v>
      </c>
      <c r="C38" s="34" t="str">
        <f>Data!C395</f>
        <v>fuel tank</v>
      </c>
      <c r="D38" s="109">
        <f>Data!D395*Data!H7</f>
        <v>0</v>
      </c>
      <c r="E38" s="109">
        <f>D38*B38</f>
        <v>0</v>
      </c>
      <c r="F38" s="109">
        <f>Data!I395*E38</f>
        <v>0</v>
      </c>
      <c r="G38" s="60">
        <f>Data!F395</f>
        <v>50</v>
      </c>
      <c r="H38" s="109">
        <f>(E38*(_int_inv_*(1+_int_inv_)^G38)/((1+_int_inv_)^G38-1))-(F38*_int_inv_/((1+_int_inv_)^G38-1))</f>
        <v>0</v>
      </c>
      <c r="I38" s="35">
        <f>Data!H395</f>
        <v>0.02</v>
      </c>
      <c r="J38" s="104">
        <f>E38*I38</f>
        <v>0</v>
      </c>
      <c r="K38" s="36">
        <f>_tax_ins_</f>
        <v>6.7999999999999996E-3</v>
      </c>
      <c r="L38" s="104">
        <f>E38*K38</f>
        <v>0</v>
      </c>
      <c r="M38" s="109">
        <f>H38+J38+L38</f>
        <v>0</v>
      </c>
    </row>
    <row r="39" spans="1:22" x14ac:dyDescent="0.3">
      <c r="A39" s="6" t="str">
        <f>Data!A396</f>
        <v>Shop Tools - SMALL SIZE</v>
      </c>
      <c r="B39" s="33">
        <f>Data!B396</f>
        <v>0</v>
      </c>
      <c r="C39" s="34" t="str">
        <f>Data!C396</f>
        <v>shop tools</v>
      </c>
      <c r="D39" s="109">
        <f>Data!D396*Data!H7</f>
        <v>0</v>
      </c>
      <c r="E39" s="109">
        <f>D39*B39</f>
        <v>0</v>
      </c>
      <c r="F39" s="109">
        <f>Data!I396*E39</f>
        <v>0</v>
      </c>
      <c r="G39" s="60">
        <f>Data!F396</f>
        <v>50</v>
      </c>
      <c r="H39" s="109">
        <f>(E39*(_int_inv_*(1+_int_inv_)^G39)/((1+_int_inv_)^G39-1))-(F39*_int_inv_/((1+_int_inv_)^G39-1))</f>
        <v>0</v>
      </c>
      <c r="I39" s="35">
        <f>Data!H396</f>
        <v>0.02</v>
      </c>
      <c r="J39" s="109">
        <f>E39*I39</f>
        <v>0</v>
      </c>
      <c r="K39" s="36">
        <f>_tax_ins_</f>
        <v>6.7999999999999996E-3</v>
      </c>
      <c r="L39" s="109">
        <f>E39*K39</f>
        <v>0</v>
      </c>
      <c r="M39" s="109">
        <f>H39+J39+L39</f>
        <v>0</v>
      </c>
    </row>
    <row r="40" spans="1:22" x14ac:dyDescent="0.3">
      <c r="A40" s="6"/>
      <c r="B40" s="33"/>
      <c r="C40" s="34"/>
      <c r="D40" s="109"/>
      <c r="E40" s="109"/>
      <c r="F40" s="109"/>
      <c r="G40" s="34"/>
      <c r="H40" s="109"/>
      <c r="I40" s="35"/>
      <c r="J40" s="109"/>
      <c r="K40" s="36"/>
      <c r="L40" s="109"/>
      <c r="M40" s="109"/>
    </row>
    <row r="41" spans="1:22" x14ac:dyDescent="0.3">
      <c r="A41" s="14" t="s">
        <v>12</v>
      </c>
      <c r="B41" s="84">
        <f>Data!B65</f>
        <v>0</v>
      </c>
      <c r="C41" s="868" t="str">
        <f>Data!H51</f>
        <v>acre(s)</v>
      </c>
      <c r="D41" s="109">
        <f>Data!F61</f>
        <v>1000</v>
      </c>
      <c r="E41" s="109">
        <f>D41*B41</f>
        <v>0</v>
      </c>
      <c r="F41" s="864" t="s">
        <v>45</v>
      </c>
      <c r="G41" s="865" t="s">
        <v>45</v>
      </c>
      <c r="H41" s="109">
        <f>E41*_int_inv_</f>
        <v>0</v>
      </c>
      <c r="I41" s="35">
        <f>Data!H61</f>
        <v>0.01</v>
      </c>
      <c r="J41" s="109">
        <f>E41*I41</f>
        <v>0</v>
      </c>
      <c r="K41" s="36">
        <f>_tax_ins_</f>
        <v>6.7999999999999996E-3</v>
      </c>
      <c r="L41" s="109">
        <f>E41*K41</f>
        <v>0</v>
      </c>
      <c r="M41" s="109">
        <f>H41+J41+L41</f>
        <v>0</v>
      </c>
    </row>
    <row r="42" spans="1:22" x14ac:dyDescent="0.3">
      <c r="B42" s="33"/>
      <c r="C42" s="34"/>
      <c r="D42" s="109"/>
      <c r="E42" s="109"/>
      <c r="F42" s="109"/>
      <c r="G42" s="38"/>
      <c r="H42" s="109"/>
      <c r="I42" s="35"/>
      <c r="J42" s="109"/>
      <c r="K42" s="36"/>
      <c r="L42" s="109"/>
      <c r="M42" s="109"/>
    </row>
    <row r="43" spans="1:22" x14ac:dyDescent="0.3">
      <c r="A43" s="14" t="s">
        <v>1229</v>
      </c>
      <c r="B43" s="33"/>
      <c r="C43" s="34"/>
      <c r="D43" s="109"/>
      <c r="E43" s="109"/>
      <c r="F43" s="109"/>
      <c r="G43" s="34"/>
      <c r="H43" s="109"/>
      <c r="I43" s="35"/>
      <c r="J43" s="109"/>
      <c r="K43" s="36"/>
      <c r="L43" s="110"/>
      <c r="M43" s="109"/>
    </row>
    <row r="44" spans="1:22" x14ac:dyDescent="0.3">
      <c r="A44" s="6" t="str">
        <f>Data!A495</f>
        <v>Shop/Loading Shed - SMALL SIZE</v>
      </c>
      <c r="B44" s="33">
        <f>Data!B495</f>
        <v>0</v>
      </c>
      <c r="C44" s="34" t="str">
        <f>Data!C495</f>
        <v>building</v>
      </c>
      <c r="D44" s="109">
        <f>Data!D495*Data!H7</f>
        <v>0</v>
      </c>
      <c r="E44" s="109">
        <f>D44*B44</f>
        <v>0</v>
      </c>
      <c r="F44" s="109">
        <f>Data!I495*E44</f>
        <v>0</v>
      </c>
      <c r="G44" s="34">
        <f>Data!F495</f>
        <v>33</v>
      </c>
      <c r="H44" s="109">
        <f>(E44*(_int_inv_*(1+_int_inv_)^G44)/((1+_int_inv_)^G44-1))-(F44*_int_inv_/((1+_int_inv_)^G44-1))</f>
        <v>0</v>
      </c>
      <c r="I44" s="35">
        <f>Data!H495</f>
        <v>0.01</v>
      </c>
      <c r="J44" s="109">
        <f>E44*I44</f>
        <v>0</v>
      </c>
      <c r="K44" s="36">
        <f>_tax_ins_</f>
        <v>6.7999999999999996E-3</v>
      </c>
      <c r="L44" s="109">
        <f>E44*K44</f>
        <v>0</v>
      </c>
      <c r="M44" s="109">
        <f>H44+J44+L44</f>
        <v>0</v>
      </c>
      <c r="N44" s="34"/>
      <c r="O44" s="34"/>
      <c r="P44" s="34"/>
      <c r="Q44" s="34"/>
    </row>
    <row r="45" spans="1:22" x14ac:dyDescent="0.3">
      <c r="A45" s="6"/>
      <c r="B45" s="33"/>
      <c r="C45" s="34"/>
      <c r="D45" s="109"/>
      <c r="E45" s="109"/>
      <c r="F45" s="109"/>
      <c r="G45" s="34"/>
      <c r="H45" s="109"/>
      <c r="I45" s="35"/>
      <c r="J45" s="109"/>
      <c r="K45" s="36"/>
      <c r="L45" s="109"/>
      <c r="M45" s="109"/>
    </row>
    <row r="46" spans="1:22" ht="12.75" customHeight="1" x14ac:dyDescent="0.3">
      <c r="A46" s="14" t="s">
        <v>514</v>
      </c>
      <c r="B46" s="351" t="s">
        <v>516</v>
      </c>
      <c r="C46" s="351"/>
      <c r="D46" s="351"/>
      <c r="E46" s="351"/>
      <c r="F46" s="351"/>
      <c r="G46" s="351"/>
      <c r="H46" s="351"/>
      <c r="I46" s="351"/>
      <c r="J46" s="109"/>
      <c r="K46" s="36"/>
      <c r="L46" s="109"/>
      <c r="M46" s="109"/>
      <c r="N46" s="34"/>
      <c r="O46" s="34"/>
      <c r="P46" s="34"/>
      <c r="Q46" s="34"/>
      <c r="R46" s="34"/>
      <c r="S46" s="34"/>
      <c r="T46" s="34"/>
      <c r="U46" s="34"/>
      <c r="V46" s="34"/>
    </row>
    <row r="47" spans="1:22" ht="12.75" customHeight="1" x14ac:dyDescent="0.3">
      <c r="A47" s="14" t="s">
        <v>515</v>
      </c>
      <c r="B47" s="351" t="s">
        <v>517</v>
      </c>
      <c r="C47" s="351"/>
      <c r="D47" s="351"/>
      <c r="E47" s="351"/>
      <c r="F47" s="351"/>
      <c r="G47" s="351"/>
      <c r="H47" s="351"/>
      <c r="I47" s="351"/>
      <c r="J47" s="109"/>
      <c r="K47" s="36"/>
      <c r="L47" s="109"/>
      <c r="M47" s="109"/>
      <c r="N47" s="34"/>
      <c r="O47" s="34"/>
      <c r="P47" s="34"/>
      <c r="Q47" s="34"/>
      <c r="R47" s="34"/>
      <c r="S47" s="34"/>
      <c r="T47" s="34"/>
      <c r="U47" s="34"/>
      <c r="V47" s="34"/>
    </row>
    <row r="48" spans="1:22" x14ac:dyDescent="0.3">
      <c r="B48" s="33"/>
      <c r="C48" s="34"/>
      <c r="D48" s="109"/>
      <c r="E48" s="109"/>
      <c r="F48" s="109"/>
      <c r="G48" s="34"/>
      <c r="H48" s="109"/>
      <c r="I48" s="35"/>
      <c r="J48" s="109"/>
      <c r="K48" s="36"/>
      <c r="L48" s="110"/>
      <c r="M48" s="109"/>
    </row>
    <row r="49" spans="1:13" x14ac:dyDescent="0.3">
      <c r="A49" s="14" t="s">
        <v>19</v>
      </c>
      <c r="B49" s="865" t="s">
        <v>45</v>
      </c>
      <c r="C49" s="864" t="s">
        <v>45</v>
      </c>
      <c r="D49" s="864" t="s">
        <v>45</v>
      </c>
      <c r="E49" s="864" t="s">
        <v>45</v>
      </c>
      <c r="F49" s="864" t="s">
        <v>45</v>
      </c>
      <c r="G49" s="865" t="s">
        <v>45</v>
      </c>
      <c r="H49" s="864" t="s">
        <v>45</v>
      </c>
      <c r="I49" s="865" t="s">
        <v>45</v>
      </c>
      <c r="J49" s="864" t="s">
        <v>45</v>
      </c>
      <c r="K49" s="865" t="s">
        <v>45</v>
      </c>
      <c r="L49" s="864" t="s">
        <v>45</v>
      </c>
      <c r="M49" s="864" t="s">
        <v>45</v>
      </c>
    </row>
    <row r="50" spans="1:13" x14ac:dyDescent="0.3">
      <c r="A50" s="14"/>
      <c r="B50" s="33"/>
      <c r="C50" s="34"/>
      <c r="D50" s="109"/>
      <c r="E50" s="109"/>
      <c r="F50" s="109"/>
      <c r="G50" s="34"/>
      <c r="H50" s="109"/>
      <c r="I50" s="35"/>
      <c r="J50" s="109"/>
      <c r="K50" s="35"/>
      <c r="L50" s="110"/>
      <c r="M50" s="109"/>
    </row>
    <row r="51" spans="1:13" x14ac:dyDescent="0.3">
      <c r="A51" s="14" t="s">
        <v>64</v>
      </c>
      <c r="B51" s="865" t="s">
        <v>45</v>
      </c>
      <c r="C51" s="864" t="s">
        <v>45</v>
      </c>
      <c r="D51" s="866">
        <v>0</v>
      </c>
      <c r="E51" s="866">
        <f>D51</f>
        <v>0</v>
      </c>
      <c r="F51" s="866">
        <v>0</v>
      </c>
      <c r="G51" s="247">
        <v>1</v>
      </c>
      <c r="H51" s="109">
        <f>(E51*(_int_inv_*(1+_int_inv_)^G51)/((1+_int_inv_)^G51-1))-(F51*_int_inv_/((1+_int_inv_)^G51-1))</f>
        <v>0</v>
      </c>
      <c r="I51" s="251">
        <v>0.01</v>
      </c>
      <c r="J51" s="109">
        <f>E51*I51</f>
        <v>0</v>
      </c>
      <c r="K51" s="36">
        <f>_tax_ins_</f>
        <v>6.7999999999999996E-3</v>
      </c>
      <c r="L51" s="109">
        <f>E51*K51</f>
        <v>0</v>
      </c>
      <c r="M51" s="109">
        <f>H51+J51+L51</f>
        <v>0</v>
      </c>
    </row>
    <row r="52" spans="1:13" x14ac:dyDescent="0.3">
      <c r="B52" s="33"/>
      <c r="C52" s="34"/>
      <c r="D52" s="109"/>
      <c r="E52" s="109"/>
      <c r="F52" s="109"/>
      <c r="G52" s="34"/>
      <c r="H52" s="109"/>
      <c r="I52" s="35"/>
      <c r="J52" s="110"/>
      <c r="K52" s="35"/>
      <c r="L52" s="110"/>
      <c r="M52" s="109"/>
    </row>
    <row r="53" spans="1:13" ht="13.5" x14ac:dyDescent="0.35">
      <c r="A53" s="1" t="s">
        <v>68</v>
      </c>
      <c r="B53" s="33"/>
      <c r="C53" s="34"/>
      <c r="D53" s="109"/>
      <c r="E53" s="109">
        <f>SUM(E7:E51)</f>
        <v>0</v>
      </c>
      <c r="F53" s="109">
        <f>SUM(F7:F51)</f>
        <v>0</v>
      </c>
      <c r="G53" s="34"/>
      <c r="H53" s="109">
        <f>SUM(H7:H51)</f>
        <v>0</v>
      </c>
      <c r="I53" s="35"/>
      <c r="J53" s="109">
        <f>SUM(J7:J51)</f>
        <v>0</v>
      </c>
      <c r="K53" s="35"/>
      <c r="L53" s="109">
        <f>SUM(L7:L51)</f>
        <v>0</v>
      </c>
      <c r="M53" s="109">
        <f>SUM(M7:M51)</f>
        <v>0</v>
      </c>
    </row>
    <row r="54" spans="1:13" x14ac:dyDescent="0.3">
      <c r="B54" s="33"/>
      <c r="C54" s="34"/>
      <c r="D54" s="32"/>
      <c r="E54" s="32"/>
      <c r="F54" s="32"/>
      <c r="G54" s="34"/>
      <c r="H54" s="107"/>
      <c r="I54" s="35"/>
      <c r="J54" s="110"/>
      <c r="K54" s="35"/>
      <c r="L54" s="34"/>
      <c r="M54" s="32"/>
    </row>
    <row r="55" spans="1:13" x14ac:dyDescent="0.3">
      <c r="B55" s="33"/>
      <c r="C55" s="34"/>
      <c r="D55" s="32"/>
      <c r="E55" s="32"/>
      <c r="F55" s="32"/>
      <c r="G55" s="34"/>
      <c r="H55" s="107"/>
      <c r="I55" s="35"/>
      <c r="J55" s="34"/>
      <c r="K55" s="35"/>
      <c r="L55" s="34"/>
      <c r="M55" s="32"/>
    </row>
    <row r="56" spans="1:13" x14ac:dyDescent="0.3">
      <c r="B56" s="33"/>
      <c r="C56" s="34"/>
      <c r="D56" s="8" t="s">
        <v>136</v>
      </c>
      <c r="E56" s="32"/>
      <c r="F56" s="32"/>
      <c r="G56" s="34"/>
      <c r="H56" s="107"/>
      <c r="I56" s="35"/>
      <c r="J56" s="34"/>
      <c r="K56" s="35"/>
      <c r="L56" s="34"/>
      <c r="M56" s="32"/>
    </row>
    <row r="57" spans="1:13" x14ac:dyDescent="0.3">
      <c r="B57" s="33"/>
      <c r="C57" s="34"/>
      <c r="D57" s="55" t="s">
        <v>262</v>
      </c>
      <c r="E57" s="112">
        <f>SUM(E7:E40)</f>
        <v>0</v>
      </c>
      <c r="F57" s="32"/>
      <c r="G57" s="34"/>
      <c r="H57" s="107"/>
      <c r="I57" s="35"/>
      <c r="J57" s="34"/>
      <c r="K57" s="35"/>
      <c r="L57" s="34"/>
      <c r="M57" s="32"/>
    </row>
    <row r="58" spans="1:13" x14ac:dyDescent="0.3">
      <c r="B58" s="33"/>
      <c r="C58" s="34"/>
      <c r="D58" s="55" t="s">
        <v>263</v>
      </c>
      <c r="E58" s="112">
        <f>SUM(E41:E42)</f>
        <v>0</v>
      </c>
      <c r="F58" s="32"/>
      <c r="G58" s="34"/>
      <c r="H58" s="32"/>
      <c r="I58" s="35"/>
      <c r="J58" s="34"/>
      <c r="K58" s="35"/>
      <c r="L58" s="34"/>
      <c r="M58" s="32"/>
    </row>
    <row r="59" spans="1:13" x14ac:dyDescent="0.3">
      <c r="B59" s="33"/>
      <c r="C59" s="34"/>
      <c r="D59" s="62" t="s">
        <v>264</v>
      </c>
      <c r="E59" s="113">
        <f>SUM(E44:E48)</f>
        <v>0</v>
      </c>
      <c r="F59" s="32"/>
      <c r="G59" s="34"/>
      <c r="H59" s="32"/>
      <c r="I59" s="34"/>
      <c r="J59" s="34"/>
      <c r="K59" s="35"/>
      <c r="L59" s="34"/>
      <c r="M59" s="32"/>
    </row>
    <row r="60" spans="1:13" x14ac:dyDescent="0.3">
      <c r="B60" s="33"/>
      <c r="C60" s="34"/>
      <c r="D60" s="61" t="s">
        <v>265</v>
      </c>
      <c r="E60" s="112">
        <f>SUM(E57:E59)</f>
        <v>0</v>
      </c>
      <c r="F60" s="32"/>
      <c r="G60" s="34"/>
      <c r="H60" s="32"/>
      <c r="I60" s="34"/>
      <c r="J60" s="34"/>
      <c r="K60" s="35"/>
      <c r="L60" s="34"/>
      <c r="M60" s="32"/>
    </row>
    <row r="61" spans="1:13" x14ac:dyDescent="0.3">
      <c r="B61" s="33"/>
      <c r="C61" s="34"/>
      <c r="D61" s="32"/>
      <c r="E61" s="32"/>
      <c r="F61" s="32"/>
      <c r="G61" s="34"/>
      <c r="H61" s="32"/>
      <c r="I61" s="34"/>
      <c r="J61" s="34"/>
      <c r="K61" s="35"/>
      <c r="L61" s="34"/>
      <c r="M61" s="32"/>
    </row>
    <row r="62" spans="1:13" x14ac:dyDescent="0.3">
      <c r="B62" s="33"/>
      <c r="C62" s="34"/>
      <c r="D62" s="32"/>
      <c r="E62" s="32"/>
      <c r="F62" s="32"/>
      <c r="G62" s="34"/>
      <c r="H62" s="32"/>
      <c r="I62" s="34"/>
      <c r="J62" s="34"/>
      <c r="K62" s="35"/>
      <c r="L62" s="34"/>
      <c r="M62" s="32"/>
    </row>
    <row r="63" spans="1:13" x14ac:dyDescent="0.3">
      <c r="B63" s="33"/>
      <c r="C63" s="34"/>
      <c r="D63" s="32"/>
      <c r="E63" s="32"/>
      <c r="F63" s="32"/>
      <c r="G63" s="34"/>
      <c r="H63" s="32"/>
      <c r="I63" s="34"/>
      <c r="J63" s="34"/>
      <c r="K63" s="35"/>
      <c r="L63" s="34"/>
      <c r="M63" s="32"/>
    </row>
    <row r="64" spans="1: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2"/>
      <c r="E76" s="32"/>
      <c r="F76" s="32"/>
      <c r="G76" s="34"/>
      <c r="H76" s="32"/>
      <c r="I76" s="34"/>
      <c r="J76" s="34"/>
      <c r="K76" s="35"/>
      <c r="L76" s="34"/>
      <c r="M76" s="32"/>
    </row>
    <row r="77" spans="2:13" x14ac:dyDescent="0.3">
      <c r="B77" s="33"/>
      <c r="C77" s="34"/>
      <c r="D77" s="32"/>
      <c r="E77" s="32"/>
      <c r="F77" s="32"/>
      <c r="G77" s="34"/>
      <c r="H77" s="32"/>
      <c r="I77" s="34"/>
      <c r="J77" s="34"/>
      <c r="K77" s="35"/>
      <c r="L77" s="34"/>
      <c r="M77" s="32"/>
    </row>
    <row r="78" spans="2:13" x14ac:dyDescent="0.3">
      <c r="B78" s="33"/>
      <c r="C78" s="34"/>
      <c r="D78" s="32"/>
      <c r="E78" s="32"/>
      <c r="F78" s="32"/>
      <c r="G78" s="34"/>
      <c r="H78" s="32"/>
      <c r="I78" s="34"/>
      <c r="J78" s="34"/>
      <c r="K78" s="35"/>
      <c r="L78" s="34"/>
      <c r="M78" s="32"/>
    </row>
    <row r="79" spans="2:13" x14ac:dyDescent="0.3">
      <c r="B79" s="33"/>
      <c r="C79" s="34"/>
      <c r="D79" s="32"/>
      <c r="E79" s="32"/>
      <c r="F79" s="32"/>
      <c r="G79" s="34"/>
      <c r="H79" s="32"/>
      <c r="I79" s="34"/>
      <c r="J79" s="34"/>
      <c r="K79" s="35"/>
      <c r="L79" s="34"/>
      <c r="M79" s="32"/>
    </row>
    <row r="80" spans="2:13" x14ac:dyDescent="0.3">
      <c r="B80" s="33"/>
      <c r="C80" s="34"/>
      <c r="D80" s="32"/>
      <c r="E80" s="32"/>
      <c r="F80" s="32"/>
      <c r="G80" s="34"/>
      <c r="H80" s="32"/>
      <c r="I80" s="34"/>
      <c r="J80" s="34"/>
      <c r="K80" s="35"/>
      <c r="L80" s="34"/>
      <c r="M80" s="32"/>
    </row>
    <row r="81" spans="2:13" x14ac:dyDescent="0.3">
      <c r="B81" s="33"/>
      <c r="C81" s="34"/>
      <c r="D81" s="32"/>
      <c r="E81" s="32"/>
      <c r="F81" s="32"/>
      <c r="G81" s="34"/>
      <c r="H81" s="32"/>
      <c r="I81" s="34"/>
      <c r="J81" s="34"/>
      <c r="K81" s="35"/>
      <c r="L81" s="34"/>
      <c r="M81" s="32"/>
    </row>
    <row r="82" spans="2:13" x14ac:dyDescent="0.3">
      <c r="B82" s="33"/>
      <c r="C82" s="34"/>
      <c r="D82" s="32"/>
      <c r="E82" s="32"/>
      <c r="F82" s="32"/>
      <c r="G82" s="34"/>
      <c r="H82" s="32"/>
      <c r="I82" s="34"/>
      <c r="J82" s="34"/>
      <c r="K82" s="35"/>
      <c r="L82" s="34"/>
      <c r="M82" s="32"/>
    </row>
    <row r="83" spans="2:13" x14ac:dyDescent="0.3">
      <c r="B83" s="33"/>
      <c r="C83" s="34"/>
      <c r="D83" s="32"/>
      <c r="E83" s="32"/>
      <c r="F83" s="32"/>
      <c r="G83" s="34"/>
      <c r="H83" s="32"/>
      <c r="I83" s="34"/>
      <c r="J83" s="34"/>
      <c r="K83" s="35"/>
      <c r="L83" s="34"/>
      <c r="M83" s="32"/>
    </row>
    <row r="84" spans="2:13" x14ac:dyDescent="0.3">
      <c r="B84" s="33"/>
      <c r="C84" s="34"/>
      <c r="D84" s="32"/>
      <c r="E84" s="32"/>
      <c r="F84" s="32"/>
      <c r="G84" s="34"/>
      <c r="H84" s="32"/>
      <c r="I84" s="34"/>
      <c r="J84" s="34"/>
      <c r="K84" s="35"/>
      <c r="L84" s="34"/>
      <c r="M84" s="32"/>
    </row>
    <row r="85" spans="2:13" x14ac:dyDescent="0.3">
      <c r="B85" s="33"/>
      <c r="C85" s="34"/>
      <c r="D85" s="32"/>
      <c r="E85" s="32"/>
      <c r="F85" s="32"/>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2"/>
      <c r="I181" s="34"/>
      <c r="J181" s="34"/>
      <c r="K181" s="35"/>
      <c r="L181" s="34"/>
      <c r="M181" s="32"/>
    </row>
    <row r="182" spans="2:13" x14ac:dyDescent="0.3">
      <c r="B182" s="33"/>
      <c r="C182" s="34"/>
      <c r="D182" s="39"/>
      <c r="E182" s="39"/>
      <c r="F182" s="39"/>
      <c r="G182" s="34"/>
      <c r="H182" s="32"/>
      <c r="I182" s="34"/>
      <c r="J182" s="34"/>
      <c r="K182" s="35"/>
      <c r="L182" s="34"/>
      <c r="M182" s="32"/>
    </row>
    <row r="183" spans="2:13" x14ac:dyDescent="0.3">
      <c r="B183" s="33"/>
      <c r="C183" s="34"/>
      <c r="D183" s="39"/>
      <c r="E183" s="39"/>
      <c r="F183" s="39"/>
      <c r="G183" s="34"/>
      <c r="H183" s="32"/>
      <c r="I183" s="34"/>
      <c r="J183" s="34"/>
      <c r="K183" s="35"/>
      <c r="L183" s="34"/>
      <c r="M183" s="32"/>
    </row>
    <row r="184" spans="2:13" x14ac:dyDescent="0.3">
      <c r="B184" s="33"/>
      <c r="C184" s="34"/>
      <c r="D184" s="39"/>
      <c r="E184" s="39"/>
      <c r="F184" s="39"/>
      <c r="G184" s="34"/>
      <c r="H184" s="32"/>
      <c r="I184" s="34"/>
      <c r="J184" s="34"/>
      <c r="K184" s="35"/>
      <c r="L184" s="34"/>
      <c r="M184" s="32"/>
    </row>
    <row r="185" spans="2:13" x14ac:dyDescent="0.3">
      <c r="B185" s="33"/>
      <c r="C185" s="34"/>
      <c r="D185" s="39"/>
      <c r="E185" s="39"/>
      <c r="F185" s="39"/>
      <c r="G185" s="34"/>
      <c r="H185" s="32"/>
      <c r="I185" s="34"/>
      <c r="J185" s="34"/>
      <c r="K185" s="35"/>
      <c r="L185" s="34"/>
      <c r="M185" s="32"/>
    </row>
    <row r="186" spans="2:13" x14ac:dyDescent="0.3">
      <c r="B186" s="33"/>
      <c r="C186" s="34"/>
      <c r="D186" s="39"/>
      <c r="E186" s="39"/>
      <c r="F186" s="39"/>
      <c r="G186" s="34"/>
      <c r="H186" s="32"/>
      <c r="I186" s="34"/>
      <c r="J186" s="34"/>
      <c r="K186" s="35"/>
      <c r="L186" s="34"/>
      <c r="M186" s="32"/>
    </row>
    <row r="187" spans="2:13" x14ac:dyDescent="0.3">
      <c r="B187" s="33"/>
      <c r="C187" s="34"/>
      <c r="D187" s="39"/>
      <c r="E187" s="39"/>
      <c r="F187" s="39"/>
      <c r="G187" s="34"/>
      <c r="H187" s="32"/>
      <c r="I187" s="34"/>
      <c r="J187" s="34"/>
      <c r="K187" s="35"/>
      <c r="L187" s="34"/>
      <c r="M187" s="32"/>
    </row>
    <row r="188" spans="2:13" x14ac:dyDescent="0.3">
      <c r="B188" s="33"/>
      <c r="C188" s="34"/>
      <c r="D188" s="39"/>
      <c r="E188" s="39"/>
      <c r="F188" s="39"/>
      <c r="G188" s="34"/>
      <c r="H188" s="32"/>
      <c r="I188" s="34"/>
      <c r="J188" s="34"/>
      <c r="K188" s="35"/>
      <c r="L188" s="34"/>
      <c r="M188" s="32"/>
    </row>
    <row r="189" spans="2:13" x14ac:dyDescent="0.3">
      <c r="B189" s="33"/>
      <c r="C189" s="34"/>
      <c r="D189" s="39"/>
      <c r="E189" s="39"/>
      <c r="F189" s="39"/>
      <c r="G189" s="34"/>
      <c r="H189" s="32"/>
      <c r="I189" s="34"/>
      <c r="J189" s="34"/>
      <c r="K189" s="35"/>
      <c r="L189" s="34"/>
      <c r="M189" s="32"/>
    </row>
    <row r="190" spans="2:13" x14ac:dyDescent="0.3">
      <c r="B190" s="33"/>
      <c r="C190" s="34"/>
      <c r="D190" s="39"/>
      <c r="E190" s="39"/>
      <c r="F190" s="39"/>
      <c r="G190" s="34"/>
      <c r="H190" s="32"/>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9"/>
      <c r="E194" s="39"/>
      <c r="F194" s="39"/>
      <c r="G194" s="34"/>
      <c r="H194" s="34"/>
      <c r="I194" s="34"/>
      <c r="J194" s="34"/>
      <c r="K194" s="35"/>
      <c r="L194" s="34"/>
      <c r="M194" s="32"/>
    </row>
    <row r="195" spans="2:13" x14ac:dyDescent="0.3">
      <c r="B195" s="33"/>
      <c r="C195" s="34"/>
      <c r="D195" s="39"/>
      <c r="E195" s="39"/>
      <c r="F195" s="39"/>
      <c r="G195" s="34"/>
      <c r="H195" s="34"/>
      <c r="I195" s="34"/>
      <c r="J195" s="34"/>
      <c r="K195" s="35"/>
      <c r="L195" s="34"/>
      <c r="M195" s="32"/>
    </row>
    <row r="196" spans="2:13" x14ac:dyDescent="0.3">
      <c r="B196" s="33"/>
      <c r="C196" s="34"/>
      <c r="D196" s="39"/>
      <c r="E196" s="39"/>
      <c r="F196" s="39"/>
      <c r="G196" s="34"/>
      <c r="H196" s="34"/>
      <c r="I196" s="34"/>
      <c r="J196" s="34"/>
      <c r="K196" s="35"/>
      <c r="L196" s="34"/>
      <c r="M196" s="32"/>
    </row>
    <row r="197" spans="2:13" x14ac:dyDescent="0.3">
      <c r="B197" s="33"/>
      <c r="C197" s="34"/>
      <c r="D197" s="39"/>
      <c r="E197" s="39"/>
      <c r="F197" s="39"/>
      <c r="G197" s="34"/>
      <c r="H197" s="34"/>
      <c r="I197" s="34"/>
      <c r="J197" s="34"/>
      <c r="K197" s="35"/>
      <c r="L197" s="34"/>
      <c r="M197" s="32"/>
    </row>
    <row r="198" spans="2:13" x14ac:dyDescent="0.3">
      <c r="B198" s="33"/>
      <c r="C198" s="34"/>
      <c r="D198" s="39"/>
      <c r="E198" s="39"/>
      <c r="F198" s="39"/>
      <c r="G198" s="34"/>
      <c r="H198" s="34"/>
      <c r="I198" s="34"/>
      <c r="J198" s="34"/>
      <c r="K198" s="35"/>
      <c r="L198" s="34"/>
      <c r="M198" s="32"/>
    </row>
    <row r="199" spans="2:13" x14ac:dyDescent="0.3">
      <c r="B199" s="33"/>
      <c r="C199" s="34"/>
      <c r="D199" s="39"/>
      <c r="E199" s="39"/>
      <c r="F199" s="39"/>
      <c r="G199" s="34"/>
      <c r="H199" s="34"/>
      <c r="I199" s="34"/>
      <c r="J199" s="34"/>
      <c r="K199" s="35"/>
      <c r="L199" s="34"/>
      <c r="M199" s="32"/>
    </row>
    <row r="200" spans="2:13" x14ac:dyDescent="0.3">
      <c r="B200" s="33"/>
      <c r="C200" s="34"/>
      <c r="D200" s="39"/>
      <c r="E200" s="39"/>
      <c r="F200" s="39"/>
      <c r="G200" s="34"/>
      <c r="H200" s="34"/>
      <c r="I200" s="34"/>
      <c r="J200" s="34"/>
      <c r="K200" s="35"/>
      <c r="L200" s="34"/>
      <c r="M200" s="32"/>
    </row>
    <row r="201" spans="2:13" x14ac:dyDescent="0.3">
      <c r="B201" s="33"/>
      <c r="C201" s="34"/>
      <c r="D201" s="39"/>
      <c r="E201" s="39"/>
      <c r="F201" s="39"/>
      <c r="G201" s="34"/>
      <c r="H201" s="34"/>
      <c r="I201" s="34"/>
      <c r="J201" s="34"/>
      <c r="K201" s="35"/>
      <c r="L201" s="34"/>
      <c r="M201" s="32"/>
    </row>
    <row r="202" spans="2:13" x14ac:dyDescent="0.3">
      <c r="B202" s="33"/>
      <c r="C202" s="34"/>
      <c r="D202" s="39"/>
      <c r="E202" s="39"/>
      <c r="F202" s="39"/>
      <c r="G202" s="34"/>
      <c r="H202" s="34"/>
      <c r="I202" s="34"/>
      <c r="J202" s="34"/>
      <c r="K202" s="35"/>
      <c r="L202" s="34"/>
      <c r="M202" s="32"/>
    </row>
    <row r="203" spans="2:13" x14ac:dyDescent="0.3">
      <c r="B203" s="33"/>
      <c r="C203" s="34"/>
      <c r="D203" s="39"/>
      <c r="E203" s="39"/>
      <c r="F203" s="39"/>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2"/>
    </row>
    <row r="504" spans="2:13" x14ac:dyDescent="0.3">
      <c r="B504" s="33"/>
      <c r="C504" s="34"/>
      <c r="D504" s="34"/>
      <c r="E504" s="34"/>
      <c r="F504" s="34"/>
      <c r="G504" s="34"/>
      <c r="H504" s="34"/>
      <c r="I504" s="34"/>
      <c r="J504" s="34"/>
      <c r="K504" s="35"/>
      <c r="L504" s="34"/>
      <c r="M504" s="32"/>
    </row>
    <row r="505" spans="2:13" x14ac:dyDescent="0.3">
      <c r="B505" s="33"/>
      <c r="C505" s="34"/>
      <c r="D505" s="34"/>
      <c r="E505" s="34"/>
      <c r="F505" s="34"/>
      <c r="G505" s="34"/>
      <c r="H505" s="34"/>
      <c r="I505" s="34"/>
      <c r="J505" s="34"/>
      <c r="K505" s="35"/>
      <c r="L505" s="34"/>
      <c r="M505" s="32"/>
    </row>
    <row r="506" spans="2:13" x14ac:dyDescent="0.3">
      <c r="B506" s="33"/>
      <c r="C506" s="34"/>
      <c r="D506" s="34"/>
      <c r="E506" s="34"/>
      <c r="F506" s="34"/>
      <c r="G506" s="34"/>
      <c r="H506" s="34"/>
      <c r="I506" s="34"/>
      <c r="J506" s="34"/>
      <c r="K506" s="35"/>
      <c r="L506" s="34"/>
      <c r="M506" s="32"/>
    </row>
    <row r="507" spans="2:13" x14ac:dyDescent="0.3">
      <c r="B507" s="33"/>
      <c r="C507" s="34"/>
      <c r="D507" s="34"/>
      <c r="E507" s="34"/>
      <c r="F507" s="34"/>
      <c r="G507" s="34"/>
      <c r="H507" s="34"/>
      <c r="I507" s="34"/>
      <c r="J507" s="34"/>
      <c r="K507" s="35"/>
      <c r="L507" s="34"/>
      <c r="M507" s="32"/>
    </row>
    <row r="508" spans="2:13" x14ac:dyDescent="0.3">
      <c r="B508" s="33"/>
      <c r="C508" s="34"/>
      <c r="D508" s="34"/>
      <c r="E508" s="34"/>
      <c r="F508" s="34"/>
      <c r="G508" s="34"/>
      <c r="H508" s="34"/>
      <c r="I508" s="34"/>
      <c r="J508" s="34"/>
      <c r="K508" s="35"/>
      <c r="L508" s="34"/>
      <c r="M508" s="32"/>
    </row>
    <row r="509" spans="2:13" x14ac:dyDescent="0.3">
      <c r="B509" s="33"/>
      <c r="C509" s="34"/>
      <c r="D509" s="34"/>
      <c r="E509" s="34"/>
      <c r="F509" s="34"/>
      <c r="G509" s="34"/>
      <c r="H509" s="34"/>
      <c r="I509" s="34"/>
      <c r="J509" s="34"/>
      <c r="K509" s="35"/>
      <c r="L509" s="34"/>
      <c r="M509" s="32"/>
    </row>
    <row r="510" spans="2:13" x14ac:dyDescent="0.3">
      <c r="B510" s="33"/>
      <c r="C510" s="34"/>
      <c r="D510" s="34"/>
      <c r="E510" s="34"/>
      <c r="F510" s="34"/>
      <c r="G510" s="34"/>
      <c r="H510" s="34"/>
      <c r="I510" s="34"/>
      <c r="J510" s="34"/>
      <c r="K510" s="35"/>
      <c r="L510" s="34"/>
      <c r="M510" s="32"/>
    </row>
    <row r="511" spans="2:13" x14ac:dyDescent="0.3">
      <c r="B511" s="33"/>
      <c r="C511" s="34"/>
      <c r="D511" s="34"/>
      <c r="E511" s="34"/>
      <c r="F511" s="34"/>
      <c r="G511" s="34"/>
      <c r="H511" s="34"/>
      <c r="I511" s="34"/>
      <c r="J511" s="34"/>
      <c r="K511" s="35"/>
      <c r="L511" s="34"/>
      <c r="M511" s="32"/>
    </row>
    <row r="512" spans="2:13" x14ac:dyDescent="0.3">
      <c r="B512" s="33"/>
      <c r="C512" s="34"/>
      <c r="D512" s="34"/>
      <c r="E512" s="34"/>
      <c r="F512" s="34"/>
      <c r="G512" s="34"/>
      <c r="H512" s="34"/>
      <c r="I512" s="34"/>
      <c r="J512" s="34"/>
      <c r="K512" s="35"/>
      <c r="L512" s="34"/>
      <c r="M512" s="32"/>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B768" s="33"/>
      <c r="C768" s="34"/>
      <c r="D768" s="34"/>
      <c r="E768" s="34"/>
      <c r="F768" s="34"/>
      <c r="G768" s="34"/>
      <c r="H768" s="34"/>
      <c r="I768" s="34"/>
      <c r="J768" s="34"/>
      <c r="K768" s="35"/>
      <c r="L768" s="34"/>
      <c r="M768" s="34"/>
    </row>
    <row r="769" spans="2:13" x14ac:dyDescent="0.3">
      <c r="B769" s="33"/>
      <c r="C769" s="34"/>
      <c r="D769" s="34"/>
      <c r="E769" s="34"/>
      <c r="F769" s="34"/>
      <c r="G769" s="34"/>
      <c r="H769" s="34"/>
      <c r="I769" s="34"/>
      <c r="J769" s="34"/>
      <c r="K769" s="35"/>
      <c r="L769" s="34"/>
      <c r="M769" s="34"/>
    </row>
    <row r="770" spans="2:13" x14ac:dyDescent="0.3">
      <c r="B770" s="33"/>
      <c r="C770" s="34"/>
      <c r="D770" s="34"/>
      <c r="E770" s="34"/>
      <c r="F770" s="34"/>
      <c r="G770" s="34"/>
      <c r="H770" s="34"/>
      <c r="I770" s="34"/>
      <c r="J770" s="34"/>
      <c r="K770" s="35"/>
      <c r="L770" s="34"/>
      <c r="M770" s="34"/>
    </row>
    <row r="771" spans="2:13" x14ac:dyDescent="0.3">
      <c r="B771" s="33"/>
      <c r="C771" s="34"/>
      <c r="D771" s="34"/>
      <c r="E771" s="34"/>
      <c r="F771" s="34"/>
      <c r="G771" s="34"/>
      <c r="H771" s="34"/>
      <c r="I771" s="34"/>
      <c r="J771" s="34"/>
      <c r="K771" s="35"/>
      <c r="L771" s="34"/>
      <c r="M771" s="34"/>
    </row>
    <row r="772" spans="2:13" x14ac:dyDescent="0.3">
      <c r="B772" s="33"/>
      <c r="C772" s="34"/>
      <c r="D772" s="34"/>
      <c r="E772" s="34"/>
      <c r="F772" s="34"/>
      <c r="G772" s="34"/>
      <c r="H772" s="34"/>
      <c r="I772" s="34"/>
      <c r="J772" s="34"/>
      <c r="K772" s="35"/>
      <c r="L772" s="34"/>
      <c r="M772" s="34"/>
    </row>
    <row r="773" spans="2:13" x14ac:dyDescent="0.3">
      <c r="B773" s="33"/>
      <c r="C773" s="34"/>
      <c r="D773" s="34"/>
      <c r="E773" s="34"/>
      <c r="F773" s="34"/>
      <c r="G773" s="34"/>
      <c r="H773" s="34"/>
      <c r="I773" s="34"/>
      <c r="J773" s="34"/>
      <c r="K773" s="35"/>
      <c r="L773" s="34"/>
      <c r="M773" s="34"/>
    </row>
    <row r="774" spans="2:13" x14ac:dyDescent="0.3">
      <c r="B774" s="33"/>
      <c r="C774" s="34"/>
      <c r="D774" s="34"/>
      <c r="E774" s="34"/>
      <c r="F774" s="34"/>
      <c r="G774" s="34"/>
      <c r="H774" s="34"/>
      <c r="I774" s="34"/>
      <c r="J774" s="34"/>
      <c r="K774" s="35"/>
      <c r="L774" s="34"/>
      <c r="M774" s="34"/>
    </row>
    <row r="775" spans="2:13" x14ac:dyDescent="0.3">
      <c r="B775" s="33"/>
      <c r="C775" s="34"/>
      <c r="D775" s="34"/>
      <c r="E775" s="34"/>
      <c r="F775" s="34"/>
      <c r="G775" s="34"/>
      <c r="H775" s="34"/>
      <c r="I775" s="34"/>
      <c r="J775" s="34"/>
      <c r="K775" s="35"/>
      <c r="L775" s="34"/>
      <c r="M775" s="34"/>
    </row>
    <row r="776" spans="2:13" x14ac:dyDescent="0.3">
      <c r="B776" s="33"/>
      <c r="C776" s="34"/>
      <c r="D776" s="34"/>
      <c r="E776" s="34"/>
      <c r="F776" s="34"/>
      <c r="G776" s="34"/>
      <c r="H776" s="34"/>
      <c r="I776" s="34"/>
      <c r="J776" s="34"/>
      <c r="K776" s="35"/>
      <c r="L776" s="34"/>
      <c r="M776" s="34"/>
    </row>
    <row r="777" spans="2:13" x14ac:dyDescent="0.3">
      <c r="B777" s="33"/>
      <c r="C777" s="34"/>
      <c r="D777" s="34"/>
      <c r="E777" s="34"/>
      <c r="F777" s="34"/>
      <c r="G777" s="34"/>
      <c r="H777" s="34"/>
      <c r="I777" s="34"/>
      <c r="J777" s="34"/>
      <c r="K777" s="35"/>
      <c r="L777" s="34"/>
      <c r="M777" s="34"/>
    </row>
    <row r="778" spans="2:13" x14ac:dyDescent="0.3">
      <c r="K778" s="40"/>
    </row>
    <row r="779" spans="2:13" x14ac:dyDescent="0.3">
      <c r="K779" s="40"/>
    </row>
    <row r="780" spans="2:13" x14ac:dyDescent="0.3">
      <c r="K780" s="40"/>
    </row>
    <row r="781" spans="2:13" x14ac:dyDescent="0.3">
      <c r="K781" s="40"/>
    </row>
    <row r="782" spans="2:13" x14ac:dyDescent="0.3">
      <c r="K782" s="40"/>
    </row>
    <row r="783" spans="2:13" x14ac:dyDescent="0.3">
      <c r="K783" s="40"/>
    </row>
    <row r="784" spans="2:1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sheetData>
  <phoneticPr fontId="0" type="noConversion"/>
  <pageMargins left="0.75" right="0.75" top="1" bottom="1" header="0.5" footer="0.5"/>
  <pageSetup orientation="portrait" horizontalDpi="4294967293" verticalDpi="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topLeftCell="A9" workbookViewId="0">
      <selection activeCell="A18" sqref="A18"/>
    </sheetView>
  </sheetViews>
  <sheetFormatPr defaultColWidth="9.08984375" defaultRowHeight="13" x14ac:dyDescent="0.3"/>
  <cols>
    <col min="1" max="1" width="41.81640625" style="17" customWidth="1"/>
    <col min="2" max="2" width="10.81640625" style="50" customWidth="1"/>
    <col min="3" max="3" width="7.81640625" style="51" customWidth="1"/>
    <col min="4" max="4" width="10.81640625" style="50" customWidth="1"/>
    <col min="5" max="5" width="7.81640625" style="50" customWidth="1"/>
    <col min="6" max="6" width="10.81640625" style="17" customWidth="1"/>
    <col min="7" max="7" width="10.0898437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12" x14ac:dyDescent="0.3">
      <c r="A1" s="61" t="s">
        <v>146</v>
      </c>
      <c r="B1" s="50" t="str">
        <f>model</f>
        <v>ME Grain &amp; Pulse</v>
      </c>
    </row>
    <row r="3" spans="1:12" x14ac:dyDescent="0.3">
      <c r="A3" s="7" t="s">
        <v>772</v>
      </c>
      <c r="B3" s="55" t="s">
        <v>92</v>
      </c>
      <c r="C3" s="54">
        <f>hay</f>
        <v>0</v>
      </c>
      <c r="D3" s="17" t="s">
        <v>93</v>
      </c>
      <c r="E3" s="17"/>
      <c r="F3" s="27"/>
      <c r="G3" s="27"/>
    </row>
    <row r="4" spans="1:12" x14ac:dyDescent="0.3">
      <c r="A4" s="7"/>
      <c r="B4" s="55" t="s">
        <v>232</v>
      </c>
      <c r="C4" s="210">
        <f>Data!B153</f>
        <v>5.5679999999999996</v>
      </c>
      <c r="D4" s="17" t="s">
        <v>235</v>
      </c>
      <c r="E4" s="54">
        <f>(Data!B153*2000)/100</f>
        <v>111.36</v>
      </c>
      <c r="F4" s="17" t="s">
        <v>233</v>
      </c>
    </row>
    <row r="5" spans="1:12" x14ac:dyDescent="0.3">
      <c r="A5" s="7"/>
      <c r="B5" s="55" t="s">
        <v>284</v>
      </c>
      <c r="C5" s="97">
        <f>I8</f>
        <v>55.189451568499592</v>
      </c>
      <c r="D5" s="17" t="s">
        <v>286</v>
      </c>
      <c r="E5" s="17"/>
      <c r="G5" s="50"/>
    </row>
    <row r="7" spans="1:12" ht="15.5" x14ac:dyDescent="0.35">
      <c r="A7" s="751" t="s">
        <v>772</v>
      </c>
      <c r="B7" s="697" t="s">
        <v>76</v>
      </c>
      <c r="C7" s="697"/>
      <c r="D7" s="697" t="s">
        <v>77</v>
      </c>
      <c r="E7" s="698"/>
      <c r="F7" s="697" t="s">
        <v>385</v>
      </c>
      <c r="H7" s="41" t="s">
        <v>268</v>
      </c>
      <c r="I7" s="41" t="s">
        <v>267</v>
      </c>
      <c r="J7" s="41" t="s">
        <v>269</v>
      </c>
      <c r="K7" s="41" t="s">
        <v>553</v>
      </c>
    </row>
    <row r="8" spans="1:12" ht="15.5" x14ac:dyDescent="0.35">
      <c r="A8" s="699" t="s">
        <v>362</v>
      </c>
      <c r="B8" s="759">
        <f>C3</f>
        <v>0</v>
      </c>
      <c r="C8" s="701"/>
      <c r="D8" s="702" t="s">
        <v>363</v>
      </c>
      <c r="E8" s="699"/>
      <c r="F8" s="702" t="s">
        <v>363</v>
      </c>
      <c r="H8" s="17" t="s">
        <v>258</v>
      </c>
      <c r="I8" s="173">
        <f>Data!B148</f>
        <v>55.189451568499592</v>
      </c>
      <c r="J8" s="109" t="s">
        <v>205</v>
      </c>
      <c r="K8" s="109" t="s">
        <v>205</v>
      </c>
    </row>
    <row r="9" spans="1:12" ht="15.5" x14ac:dyDescent="0.35">
      <c r="A9" s="699" t="s">
        <v>554</v>
      </c>
      <c r="B9" s="759">
        <f>C4*C3</f>
        <v>0</v>
      </c>
      <c r="C9" s="701"/>
      <c r="D9" s="768">
        <f>C4</f>
        <v>5.5679999999999996</v>
      </c>
      <c r="E9" s="699"/>
      <c r="F9" s="702" t="s">
        <v>363</v>
      </c>
      <c r="H9" s="17" t="s">
        <v>552</v>
      </c>
      <c r="I9" s="99">
        <f>(2000*J9)/K9</f>
        <v>82.784177352749396</v>
      </c>
      <c r="J9" s="172">
        <f>Data!E148</f>
        <v>41.392088676374698</v>
      </c>
      <c r="K9" s="171">
        <f>Data!I152</f>
        <v>1000</v>
      </c>
    </row>
    <row r="10" spans="1:12" ht="15.65" customHeight="1" x14ac:dyDescent="0.35">
      <c r="A10" s="699" t="s">
        <v>682</v>
      </c>
      <c r="B10" s="702" t="s">
        <v>363</v>
      </c>
      <c r="C10" s="716"/>
      <c r="D10" s="702" t="s">
        <v>363</v>
      </c>
      <c r="E10" s="752"/>
      <c r="F10" s="716">
        <f>C5</f>
        <v>55.189451568499592</v>
      </c>
      <c r="H10" s="17" t="s">
        <v>270</v>
      </c>
      <c r="I10" s="99">
        <f>(2000*J10)/K10</f>
        <v>172.46703615156122</v>
      </c>
      <c r="J10" s="172">
        <f>Data!H148</f>
        <v>3.4493407230312245</v>
      </c>
      <c r="K10" s="171">
        <f>Data!Q152</f>
        <v>40</v>
      </c>
    </row>
    <row r="11" spans="1:12" ht="15.5" x14ac:dyDescent="0.35">
      <c r="A11" s="699"/>
      <c r="B11" s="743"/>
      <c r="C11" s="773"/>
      <c r="D11" s="743"/>
      <c r="E11" s="743"/>
      <c r="F11" s="699"/>
    </row>
    <row r="12" spans="1:12" ht="15" x14ac:dyDescent="0.3">
      <c r="A12" s="709" t="s">
        <v>230</v>
      </c>
      <c r="B12" s="710">
        <f>hay*C4*C5</f>
        <v>0</v>
      </c>
      <c r="C12" s="736"/>
      <c r="D12" s="711" t="e">
        <f>B12/hay</f>
        <v>#DIV/0!</v>
      </c>
      <c r="E12" s="711"/>
      <c r="F12" s="711" t="e">
        <f>B12/($C$4*hay)</f>
        <v>#DIV/0!</v>
      </c>
      <c r="H12" s="17" t="s">
        <v>375</v>
      </c>
    </row>
    <row r="13" spans="1:12" ht="15.5" x14ac:dyDescent="0.35">
      <c r="A13" s="699"/>
      <c r="B13" s="721"/>
      <c r="C13" s="775"/>
      <c r="D13" s="716"/>
      <c r="E13" s="716"/>
      <c r="F13" s="752"/>
    </row>
    <row r="14" spans="1:12" ht="15.5" x14ac:dyDescent="0.35">
      <c r="A14" s="709" t="s">
        <v>365</v>
      </c>
      <c r="B14" s="715"/>
      <c r="C14" s="733"/>
      <c r="D14" s="716"/>
      <c r="E14" s="716"/>
      <c r="F14" s="752"/>
      <c r="I14" s="55" t="s">
        <v>147</v>
      </c>
    </row>
    <row r="15" spans="1:12" ht="15.5" x14ac:dyDescent="0.35">
      <c r="A15" s="714" t="s">
        <v>13</v>
      </c>
      <c r="B15" s="715">
        <f>SUM(HlgOprC!H8:H9)</f>
        <v>0</v>
      </c>
      <c r="C15" s="733"/>
      <c r="D15" s="716" t="e">
        <f t="shared" ref="D15:D33" si="0">B15/hay</f>
        <v>#DIV/0!</v>
      </c>
      <c r="E15" s="715"/>
      <c r="F15" s="716" t="e">
        <f t="shared" ref="F15:F25" si="1">B15/($C$4*hay)</f>
        <v>#DIV/0!</v>
      </c>
      <c r="H15" s="56" t="s">
        <v>271</v>
      </c>
      <c r="I15" s="56" t="s">
        <v>291</v>
      </c>
      <c r="J15" s="56" t="s">
        <v>272</v>
      </c>
      <c r="L15" s="85" t="s">
        <v>108</v>
      </c>
    </row>
    <row r="16" spans="1:12" ht="15.5" x14ac:dyDescent="0.35">
      <c r="A16" s="714" t="s">
        <v>1</v>
      </c>
      <c r="B16" s="715">
        <f>SUM(HlgOprC!H11:H12)</f>
        <v>0</v>
      </c>
      <c r="C16" s="733"/>
      <c r="D16" s="716" t="e">
        <f t="shared" si="0"/>
        <v>#DIV/0!</v>
      </c>
      <c r="E16" s="716"/>
      <c r="F16" s="716" t="e">
        <f t="shared" si="1"/>
        <v>#DIV/0!</v>
      </c>
      <c r="H16" s="55" t="s">
        <v>273</v>
      </c>
      <c r="I16" s="327">
        <v>3.6</v>
      </c>
      <c r="J16" s="108">
        <f>I16*I8</f>
        <v>198.68202564659853</v>
      </c>
      <c r="L16" s="174">
        <f>I16/$I$18</f>
        <v>0.6</v>
      </c>
    </row>
    <row r="17" spans="1:12" ht="15.5" x14ac:dyDescent="0.35">
      <c r="A17" s="714" t="s">
        <v>2</v>
      </c>
      <c r="B17" s="715">
        <f>HlgOprC!H13</f>
        <v>0</v>
      </c>
      <c r="C17" s="733"/>
      <c r="D17" s="716" t="e">
        <f t="shared" si="0"/>
        <v>#DIV/0!</v>
      </c>
      <c r="E17" s="716"/>
      <c r="F17" s="716" t="e">
        <f t="shared" si="1"/>
        <v>#DIV/0!</v>
      </c>
      <c r="H17" s="55" t="s">
        <v>274</v>
      </c>
      <c r="I17" s="326">
        <v>2.4</v>
      </c>
      <c r="J17" s="115">
        <f>I17*I10</f>
        <v>413.92088676374692</v>
      </c>
      <c r="L17" s="174">
        <f>I17/$I$18</f>
        <v>0.39999999999999997</v>
      </c>
    </row>
    <row r="18" spans="1:12" ht="15.5" x14ac:dyDescent="0.35">
      <c r="A18" s="714" t="s">
        <v>1476</v>
      </c>
      <c r="B18" s="699"/>
      <c r="C18" s="699"/>
      <c r="D18" s="699"/>
      <c r="E18" s="699"/>
      <c r="F18" s="699"/>
      <c r="I18" s="26">
        <f>SUM(I16:I17)</f>
        <v>6</v>
      </c>
      <c r="J18" s="99">
        <f>SUM(J16:J17)</f>
        <v>612.60291241034543</v>
      </c>
    </row>
    <row r="19" spans="1:12" ht="15.5" x14ac:dyDescent="0.35">
      <c r="A19" s="714" t="s">
        <v>1119</v>
      </c>
      <c r="B19" s="745">
        <f>SUM(HlgOprC!H14:H17)</f>
        <v>0</v>
      </c>
      <c r="C19" s="776"/>
      <c r="D19" s="746" t="e">
        <f>B19/hay</f>
        <v>#DIV/0!</v>
      </c>
      <c r="E19" s="745"/>
      <c r="F19" s="746" t="e">
        <f>B19/($C$4*hay)</f>
        <v>#DIV/0!</v>
      </c>
      <c r="I19" s="26"/>
      <c r="J19" s="99"/>
    </row>
    <row r="20" spans="1:12" ht="16" thickBot="1" x14ac:dyDescent="0.4">
      <c r="A20" s="714" t="s">
        <v>1120</v>
      </c>
      <c r="B20" s="745">
        <v>0</v>
      </c>
      <c r="C20" s="776"/>
      <c r="D20" s="745" t="e">
        <f>B20/hay</f>
        <v>#DIV/0!</v>
      </c>
      <c r="E20" s="745"/>
      <c r="F20" s="745" t="e">
        <f>B20/($C$4*hay)</f>
        <v>#DIV/0!</v>
      </c>
      <c r="I20" s="55" t="s">
        <v>275</v>
      </c>
    </row>
    <row r="21" spans="1:12" ht="15.5" x14ac:dyDescent="0.35">
      <c r="A21" s="714" t="s">
        <v>14</v>
      </c>
      <c r="B21" s="715">
        <f>SUM(HlgOprC!H19:H55)</f>
        <v>0</v>
      </c>
      <c r="C21" s="733"/>
      <c r="D21" s="716" t="e">
        <f t="shared" si="0"/>
        <v>#DIV/0!</v>
      </c>
      <c r="E21" s="716"/>
      <c r="F21" s="716" t="e">
        <f t="shared" si="1"/>
        <v>#DIV/0!</v>
      </c>
      <c r="H21" s="56" t="s">
        <v>271</v>
      </c>
      <c r="I21" s="56" t="s">
        <v>276</v>
      </c>
      <c r="K21" s="487" t="s">
        <v>1034</v>
      </c>
      <c r="L21" s="488" t="s">
        <v>108</v>
      </c>
    </row>
    <row r="22" spans="1:12" ht="15.5" x14ac:dyDescent="0.35">
      <c r="A22" s="714" t="s">
        <v>169</v>
      </c>
      <c r="B22" s="715">
        <f>SUM(HlgOprC!H57:H94)</f>
        <v>0</v>
      </c>
      <c r="C22" s="733"/>
      <c r="D22" s="716" t="e">
        <f t="shared" si="0"/>
        <v>#DIV/0!</v>
      </c>
      <c r="E22" s="716"/>
      <c r="F22" s="716" t="e">
        <f t="shared" si="1"/>
        <v>#DIV/0!</v>
      </c>
      <c r="H22" s="55" t="s">
        <v>273</v>
      </c>
      <c r="I22" s="108">
        <f>J16</f>
        <v>198.68202564659853</v>
      </c>
      <c r="K22" s="489" t="s">
        <v>258</v>
      </c>
      <c r="L22" s="533">
        <v>1</v>
      </c>
    </row>
    <row r="23" spans="1:12" ht="16" thickBot="1" x14ac:dyDescent="0.4">
      <c r="A23" s="714" t="s">
        <v>78</v>
      </c>
      <c r="B23" s="715">
        <f>SUM(HlgOprC!H95:H96)</f>
        <v>0</v>
      </c>
      <c r="C23" s="733"/>
      <c r="D23" s="716" t="e">
        <f t="shared" si="0"/>
        <v>#DIV/0!</v>
      </c>
      <c r="E23" s="716"/>
      <c r="F23" s="716" t="e">
        <f t="shared" si="1"/>
        <v>#DIV/0!</v>
      </c>
      <c r="H23" s="55" t="s">
        <v>274</v>
      </c>
      <c r="I23" s="115">
        <f>(L22*I8*I17)+(L23*I10*I17)</f>
        <v>132.45468376439902</v>
      </c>
      <c r="K23" s="491" t="s">
        <v>1035</v>
      </c>
      <c r="L23" s="534">
        <v>0</v>
      </c>
    </row>
    <row r="24" spans="1:12" ht="16" thickBot="1" x14ac:dyDescent="0.4">
      <c r="A24" s="714" t="s">
        <v>170</v>
      </c>
      <c r="B24" s="732">
        <f>HlgOprC!H97</f>
        <v>0</v>
      </c>
      <c r="C24" s="733"/>
      <c r="D24" s="715" t="e">
        <f t="shared" si="0"/>
        <v>#DIV/0!</v>
      </c>
      <c r="E24" s="715"/>
      <c r="F24" s="715" t="e">
        <f t="shared" si="1"/>
        <v>#DIV/0!</v>
      </c>
      <c r="I24" s="99">
        <f>SUM(I22:I23)</f>
        <v>331.13670941099758</v>
      </c>
    </row>
    <row r="25" spans="1:12" ht="15.5" x14ac:dyDescent="0.35">
      <c r="A25" s="714" t="s">
        <v>171</v>
      </c>
      <c r="B25" s="732">
        <f>SUM(HlgOprC!H98:H99)</f>
        <v>0</v>
      </c>
      <c r="C25" s="733"/>
      <c r="D25" s="716" t="e">
        <f t="shared" si="0"/>
        <v>#DIV/0!</v>
      </c>
      <c r="E25" s="716"/>
      <c r="F25" s="716" t="e">
        <f t="shared" si="1"/>
        <v>#DIV/0!</v>
      </c>
      <c r="K25" s="487" t="s">
        <v>1025</v>
      </c>
      <c r="L25" s="488" t="s">
        <v>108</v>
      </c>
    </row>
    <row r="26" spans="1:12" ht="15.5" x14ac:dyDescent="0.35">
      <c r="A26" s="714" t="s">
        <v>172</v>
      </c>
      <c r="B26" s="699"/>
      <c r="C26" s="699"/>
      <c r="D26" s="699"/>
      <c r="E26" s="699"/>
      <c r="F26" s="699"/>
      <c r="I26" s="170"/>
      <c r="K26" s="489" t="s">
        <v>1026</v>
      </c>
      <c r="L26" s="533">
        <v>0</v>
      </c>
    </row>
    <row r="27" spans="1:12" ht="16" thickBot="1" x14ac:dyDescent="0.4">
      <c r="A27" s="734" t="s">
        <v>378</v>
      </c>
      <c r="B27" s="753">
        <f>HlgOprC!H101</f>
        <v>0</v>
      </c>
      <c r="C27" s="699"/>
      <c r="D27" s="716" t="e">
        <f t="shared" ref="D27:D32" si="2">B27/hay</f>
        <v>#DIV/0!</v>
      </c>
      <c r="E27" s="752"/>
      <c r="F27" s="716" t="e">
        <f t="shared" ref="F27:F33" si="3">B27/($C$4*hay)</f>
        <v>#DIV/0!</v>
      </c>
      <c r="K27" s="491" t="s">
        <v>1027</v>
      </c>
      <c r="L27" s="534">
        <v>0</v>
      </c>
    </row>
    <row r="28" spans="1:12" ht="15.5" x14ac:dyDescent="0.35">
      <c r="A28" s="734" t="s">
        <v>379</v>
      </c>
      <c r="B28" s="753">
        <f>HlgOprC!H102</f>
        <v>0</v>
      </c>
      <c r="C28" s="699"/>
      <c r="D28" s="715" t="e">
        <f t="shared" si="2"/>
        <v>#DIV/0!</v>
      </c>
      <c r="E28" s="753"/>
      <c r="F28" s="715" t="e">
        <f t="shared" si="3"/>
        <v>#DIV/0!</v>
      </c>
    </row>
    <row r="29" spans="1:12" ht="15.5" x14ac:dyDescent="0.35">
      <c r="A29" s="734" t="s">
        <v>380</v>
      </c>
      <c r="B29" s="732">
        <f>SUM(HlgOprC!H104:H105)</f>
        <v>0</v>
      </c>
      <c r="C29" s="733"/>
      <c r="D29" s="716" t="e">
        <f t="shared" si="2"/>
        <v>#DIV/0!</v>
      </c>
      <c r="E29" s="752"/>
      <c r="F29" s="716" t="e">
        <f t="shared" si="3"/>
        <v>#DIV/0!</v>
      </c>
    </row>
    <row r="30" spans="1:12" ht="15.5" x14ac:dyDescent="0.35">
      <c r="A30" s="734" t="s">
        <v>381</v>
      </c>
      <c r="B30" s="732">
        <f>HlgOprC!H106</f>
        <v>0</v>
      </c>
      <c r="C30" s="733"/>
      <c r="D30" s="715" t="e">
        <f t="shared" si="2"/>
        <v>#DIV/0!</v>
      </c>
      <c r="E30" s="753"/>
      <c r="F30" s="715" t="e">
        <f t="shared" si="3"/>
        <v>#DIV/0!</v>
      </c>
    </row>
    <row r="31" spans="1:12" ht="15.5" x14ac:dyDescent="0.35">
      <c r="A31" s="734" t="s">
        <v>382</v>
      </c>
      <c r="B31" s="732">
        <f>SUM(HlgOprC!H107:H113)</f>
        <v>0</v>
      </c>
      <c r="C31" s="733"/>
      <c r="D31" s="715" t="e">
        <f t="shared" si="2"/>
        <v>#DIV/0!</v>
      </c>
      <c r="E31" s="753"/>
      <c r="F31" s="715" t="e">
        <f t="shared" si="3"/>
        <v>#DIV/0!</v>
      </c>
    </row>
    <row r="32" spans="1:12" ht="15.5" x14ac:dyDescent="0.35">
      <c r="A32" s="734" t="s">
        <v>383</v>
      </c>
      <c r="B32" s="732">
        <f>SUM(HlgOprC!H114:H116)</f>
        <v>0</v>
      </c>
      <c r="C32" s="733"/>
      <c r="D32" s="715" t="e">
        <f t="shared" si="2"/>
        <v>#DIV/0!</v>
      </c>
      <c r="E32" s="753"/>
      <c r="F32" s="715" t="e">
        <f t="shared" si="3"/>
        <v>#DIV/0!</v>
      </c>
    </row>
    <row r="33" spans="1:12" ht="15.5" x14ac:dyDescent="0.35">
      <c r="A33" s="714" t="s">
        <v>69</v>
      </c>
      <c r="B33" s="732">
        <f>HlgOprC!H120</f>
        <v>0</v>
      </c>
      <c r="C33" s="733"/>
      <c r="D33" s="733" t="e">
        <f t="shared" si="0"/>
        <v>#DIV/0!</v>
      </c>
      <c r="E33" s="733"/>
      <c r="F33" s="716" t="e">
        <f t="shared" si="3"/>
        <v>#DIV/0!</v>
      </c>
    </row>
    <row r="34" spans="1:12" ht="15" x14ac:dyDescent="0.3">
      <c r="A34" s="709" t="s">
        <v>366</v>
      </c>
      <c r="B34" s="735">
        <f>SUM(B15:B33)</f>
        <v>0</v>
      </c>
      <c r="C34" s="736"/>
      <c r="D34" s="736" t="e">
        <f>SUM(D15:D33)</f>
        <v>#DIV/0!</v>
      </c>
      <c r="E34" s="736"/>
      <c r="F34" s="736" t="e">
        <f>SUM(F15:F33)</f>
        <v>#DIV/0!</v>
      </c>
    </row>
    <row r="35" spans="1:12" ht="15.5" x14ac:dyDescent="0.35">
      <c r="A35" s="738"/>
      <c r="B35" s="732"/>
      <c r="C35" s="733"/>
      <c r="D35" s="733"/>
      <c r="E35" s="733"/>
      <c r="F35" s="757"/>
    </row>
    <row r="36" spans="1:12" ht="15.5" x14ac:dyDescent="0.35">
      <c r="A36" s="709" t="s">
        <v>367</v>
      </c>
      <c r="B36" s="732"/>
      <c r="C36" s="733"/>
      <c r="D36" s="733"/>
      <c r="E36" s="733"/>
      <c r="F36" s="757"/>
      <c r="I36" s="52"/>
    </row>
    <row r="37" spans="1:12" ht="15.5" x14ac:dyDescent="0.35">
      <c r="A37" s="714" t="s">
        <v>29</v>
      </c>
      <c r="B37" s="732"/>
      <c r="C37" s="733"/>
      <c r="D37" s="733"/>
      <c r="E37" s="733"/>
      <c r="F37" s="716"/>
      <c r="H37" s="764" t="s">
        <v>29</v>
      </c>
    </row>
    <row r="38" spans="1:12" ht="15.5" x14ac:dyDescent="0.35">
      <c r="A38" s="734" t="s">
        <v>1240</v>
      </c>
      <c r="B38" s="732">
        <f>SUM(HlgOwnC!H8:H12)</f>
        <v>0</v>
      </c>
      <c r="C38" s="733"/>
      <c r="D38" s="733" t="e">
        <f t="shared" ref="D38:D50" si="4">B38/hay</f>
        <v>#DIV/0!</v>
      </c>
      <c r="E38" s="733"/>
      <c r="F38" s="716" t="e">
        <f t="shared" ref="F38:F50" si="5">B38/($C$4*hay)</f>
        <v>#DIV/0!</v>
      </c>
      <c r="H38" s="697" t="s">
        <v>76</v>
      </c>
      <c r="I38" s="697"/>
      <c r="J38" s="697" t="s">
        <v>77</v>
      </c>
      <c r="K38" s="698"/>
      <c r="L38" s="697" t="s">
        <v>385</v>
      </c>
    </row>
    <row r="39" spans="1:12" ht="15.5" x14ac:dyDescent="0.35">
      <c r="A39" s="734" t="s">
        <v>1241</v>
      </c>
      <c r="B39" s="732">
        <f>SUM(HlgOwnC!H13:H15)</f>
        <v>0</v>
      </c>
      <c r="C39" s="733"/>
      <c r="D39" s="733" t="e">
        <f t="shared" si="4"/>
        <v>#DIV/0!</v>
      </c>
      <c r="E39" s="733"/>
      <c r="F39" s="716" t="e">
        <f t="shared" si="5"/>
        <v>#DIV/0!</v>
      </c>
      <c r="H39" s="763">
        <f>SUM(B38:B49)</f>
        <v>0</v>
      </c>
      <c r="J39" s="756" t="e">
        <f>SUM(D38:D49)</f>
        <v>#DIV/0!</v>
      </c>
      <c r="L39" s="756" t="e">
        <f>SUM(F38:F49)</f>
        <v>#DIV/0!</v>
      </c>
    </row>
    <row r="40" spans="1:12" ht="15.5" x14ac:dyDescent="0.35">
      <c r="A40" s="734" t="s">
        <v>1243</v>
      </c>
      <c r="B40" s="732">
        <f>SUM(HlgOwnC!H16:H20)</f>
        <v>0</v>
      </c>
      <c r="C40" s="733"/>
      <c r="D40" s="733" t="e">
        <f t="shared" si="4"/>
        <v>#DIV/0!</v>
      </c>
      <c r="E40" s="733"/>
      <c r="F40" s="716" t="e">
        <f t="shared" si="5"/>
        <v>#DIV/0!</v>
      </c>
    </row>
    <row r="41" spans="1:12" ht="15.5" x14ac:dyDescent="0.35">
      <c r="A41" s="734" t="s">
        <v>1242</v>
      </c>
      <c r="B41" s="732">
        <f>SUM(HlgOwnC!H21:H24)</f>
        <v>0</v>
      </c>
      <c r="C41" s="733"/>
      <c r="D41" s="733" t="e">
        <f t="shared" si="4"/>
        <v>#DIV/0!</v>
      </c>
      <c r="E41" s="733"/>
      <c r="F41" s="716" t="e">
        <f t="shared" si="5"/>
        <v>#DIV/0!</v>
      </c>
    </row>
    <row r="42" spans="1:12" ht="15.5" x14ac:dyDescent="0.35">
      <c r="A42" s="734" t="s">
        <v>1244</v>
      </c>
      <c r="B42" s="732">
        <f>SUM(HlgOwnC!H25:H27)</f>
        <v>0</v>
      </c>
      <c r="C42" s="733"/>
      <c r="D42" s="733" t="e">
        <f t="shared" si="4"/>
        <v>#DIV/0!</v>
      </c>
      <c r="E42" s="733"/>
      <c r="F42" s="716" t="e">
        <f t="shared" si="5"/>
        <v>#DIV/0!</v>
      </c>
    </row>
    <row r="43" spans="1:12" ht="15.5" x14ac:dyDescent="0.35">
      <c r="A43" s="734" t="s">
        <v>1245</v>
      </c>
      <c r="B43" s="732">
        <f>0</f>
        <v>0</v>
      </c>
      <c r="C43" s="733"/>
      <c r="D43" s="732" t="e">
        <f t="shared" si="4"/>
        <v>#DIV/0!</v>
      </c>
      <c r="E43" s="732"/>
      <c r="F43" s="715" t="e">
        <f t="shared" si="5"/>
        <v>#DIV/0!</v>
      </c>
    </row>
    <row r="44" spans="1:12" ht="15.5" x14ac:dyDescent="0.35">
      <c r="A44" s="734" t="s">
        <v>1246</v>
      </c>
      <c r="B44" s="732">
        <f>SUM(HlgOwnC!H28:H36)</f>
        <v>0</v>
      </c>
      <c r="C44" s="733"/>
      <c r="D44" s="733" t="e">
        <f t="shared" si="4"/>
        <v>#DIV/0!</v>
      </c>
      <c r="E44" s="733"/>
      <c r="F44" s="716" t="e">
        <f t="shared" si="5"/>
        <v>#DIV/0!</v>
      </c>
    </row>
    <row r="45" spans="1:12" ht="15.5" x14ac:dyDescent="0.35">
      <c r="A45" s="734" t="s">
        <v>1247</v>
      </c>
      <c r="B45" s="732">
        <f>SUM(HlgOwnC!H37:H40)</f>
        <v>0</v>
      </c>
      <c r="C45" s="733"/>
      <c r="D45" s="733" t="e">
        <f t="shared" si="4"/>
        <v>#DIV/0!</v>
      </c>
      <c r="E45" s="733"/>
      <c r="F45" s="716" t="e">
        <f t="shared" si="5"/>
        <v>#DIV/0!</v>
      </c>
    </row>
    <row r="46" spans="1:12" ht="15.5" x14ac:dyDescent="0.35">
      <c r="A46" s="734" t="s">
        <v>1250</v>
      </c>
      <c r="B46" s="732">
        <f>0</f>
        <v>0</v>
      </c>
      <c r="C46" s="733"/>
      <c r="D46" s="732" t="e">
        <f t="shared" si="4"/>
        <v>#DIV/0!</v>
      </c>
      <c r="E46" s="732"/>
      <c r="F46" s="715" t="e">
        <f t="shared" si="5"/>
        <v>#DIV/0!</v>
      </c>
    </row>
    <row r="47" spans="1:12" ht="15.5" x14ac:dyDescent="0.35">
      <c r="A47" s="734" t="s">
        <v>1304</v>
      </c>
      <c r="B47" s="732">
        <f>0</f>
        <v>0</v>
      </c>
      <c r="C47" s="733"/>
      <c r="D47" s="732" t="e">
        <f t="shared" si="4"/>
        <v>#DIV/0!</v>
      </c>
      <c r="E47" s="732"/>
      <c r="F47" s="715" t="e">
        <f t="shared" si="5"/>
        <v>#DIV/0!</v>
      </c>
    </row>
    <row r="48" spans="1:12" ht="15.5" x14ac:dyDescent="0.35">
      <c r="A48" s="734" t="s">
        <v>1248</v>
      </c>
      <c r="B48" s="732">
        <f>SUM(HlgOwnC!H41:H42)</f>
        <v>0</v>
      </c>
      <c r="C48" s="733"/>
      <c r="D48" s="733" t="e">
        <f t="shared" si="4"/>
        <v>#DIV/0!</v>
      </c>
      <c r="E48" s="733"/>
      <c r="F48" s="716" t="e">
        <f t="shared" si="5"/>
        <v>#DIV/0!</v>
      </c>
    </row>
    <row r="49" spans="1:6" ht="15.5" x14ac:dyDescent="0.35">
      <c r="A49" s="734" t="s">
        <v>1249</v>
      </c>
      <c r="B49" s="732">
        <f>SUM(HlgOwnC!H43:H45)</f>
        <v>0</v>
      </c>
      <c r="C49" s="733"/>
      <c r="D49" s="733" t="e">
        <f t="shared" si="4"/>
        <v>#DIV/0!</v>
      </c>
      <c r="E49" s="733"/>
      <c r="F49" s="716" t="e">
        <f t="shared" si="5"/>
        <v>#DIV/0!</v>
      </c>
    </row>
    <row r="50" spans="1:6" ht="15.5" x14ac:dyDescent="0.35">
      <c r="A50" s="714" t="s">
        <v>79</v>
      </c>
      <c r="B50" s="732">
        <f>HlgOwnC!L53</f>
        <v>0</v>
      </c>
      <c r="C50" s="733"/>
      <c r="D50" s="733" t="e">
        <f t="shared" si="4"/>
        <v>#DIV/0!</v>
      </c>
      <c r="E50" s="733"/>
      <c r="F50" s="716" t="e">
        <f t="shared" si="5"/>
        <v>#DIV/0!</v>
      </c>
    </row>
    <row r="51" spans="1:6" ht="15" x14ac:dyDescent="0.3">
      <c r="A51" s="709" t="s">
        <v>368</v>
      </c>
      <c r="B51" s="735">
        <f>SUM(B37:B50)</f>
        <v>0</v>
      </c>
      <c r="C51" s="736"/>
      <c r="D51" s="736" t="e">
        <f>SUM(D37:D50)</f>
        <v>#DIV/0!</v>
      </c>
      <c r="E51" s="736"/>
      <c r="F51" s="736" t="e">
        <f>SUM(F37:F50)</f>
        <v>#DIV/0!</v>
      </c>
    </row>
    <row r="52" spans="1:6" ht="15.5" x14ac:dyDescent="0.35">
      <c r="A52" s="699"/>
      <c r="B52" s="735"/>
      <c r="C52" s="736"/>
      <c r="D52" s="736"/>
      <c r="E52" s="736"/>
      <c r="F52" s="758"/>
    </row>
    <row r="53" spans="1:6" ht="15" x14ac:dyDescent="0.3">
      <c r="A53" s="709" t="s">
        <v>80</v>
      </c>
      <c r="B53" s="735">
        <f>B51+B34</f>
        <v>0</v>
      </c>
      <c r="C53" s="736"/>
      <c r="D53" s="736" t="e">
        <f>D51+D34</f>
        <v>#DIV/0!</v>
      </c>
      <c r="E53" s="736"/>
      <c r="F53" s="736" t="e">
        <f>F51+F34</f>
        <v>#DIV/0!</v>
      </c>
    </row>
    <row r="54" spans="1:6" ht="15.5" x14ac:dyDescent="0.35">
      <c r="A54" s="742"/>
      <c r="B54" s="735"/>
      <c r="C54" s="736"/>
      <c r="D54" s="736"/>
      <c r="E54" s="736"/>
      <c r="F54" s="736"/>
    </row>
    <row r="55" spans="1:6" ht="15" x14ac:dyDescent="0.3">
      <c r="A55" s="709" t="s">
        <v>355</v>
      </c>
      <c r="B55" s="710">
        <f>B12-B53</f>
        <v>0</v>
      </c>
      <c r="C55" s="736"/>
      <c r="D55" s="711" t="e">
        <f>D12-D53</f>
        <v>#DIV/0!</v>
      </c>
      <c r="E55" s="736"/>
      <c r="F55" s="711" t="e">
        <f>F12-F53</f>
        <v>#DIV/0!</v>
      </c>
    </row>
    <row r="56" spans="1:6" ht="15" x14ac:dyDescent="0.3">
      <c r="A56" s="709" t="s">
        <v>356</v>
      </c>
      <c r="B56" s="735">
        <f>B12-B34</f>
        <v>0</v>
      </c>
      <c r="C56" s="736"/>
      <c r="D56" s="736" t="e">
        <f>D12-D34</f>
        <v>#DIV/0!</v>
      </c>
      <c r="E56" s="736"/>
      <c r="F56" s="736" t="e">
        <f>F12-F34</f>
        <v>#DIV/0!</v>
      </c>
    </row>
    <row r="57" spans="1:6" ht="15.5" x14ac:dyDescent="0.35">
      <c r="A57" s="699"/>
      <c r="B57" s="743"/>
      <c r="C57" s="743"/>
      <c r="D57" s="743"/>
      <c r="E57" s="699"/>
      <c r="F57" s="699"/>
    </row>
    <row r="58" spans="1:6" ht="15.5" x14ac:dyDescent="0.35">
      <c r="A58" s="709" t="s">
        <v>234</v>
      </c>
      <c r="B58" s="743"/>
      <c r="C58" s="743"/>
      <c r="D58" s="743"/>
      <c r="E58" s="699"/>
      <c r="F58" s="699"/>
    </row>
    <row r="59" spans="1:6" ht="12.75" customHeight="1" x14ac:dyDescent="0.35">
      <c r="A59" s="744" t="s">
        <v>369</v>
      </c>
      <c r="B59" s="703" t="s">
        <v>76</v>
      </c>
      <c r="C59" s="743"/>
      <c r="D59" s="703" t="s">
        <v>393</v>
      </c>
      <c r="E59" s="703"/>
      <c r="F59" s="703" t="s">
        <v>396</v>
      </c>
    </row>
    <row r="60" spans="1:6" ht="15.5" x14ac:dyDescent="0.35">
      <c r="A60" s="714" t="s">
        <v>370</v>
      </c>
      <c r="B60" s="745">
        <f>B53</f>
        <v>0</v>
      </c>
      <c r="C60" s="743"/>
      <c r="D60" s="716" t="e">
        <f>$B$53/hay</f>
        <v>#DIV/0!</v>
      </c>
      <c r="E60" s="752"/>
      <c r="F60" s="716" t="e">
        <f>$B$53/($C$4*hay)</f>
        <v>#DIV/0!</v>
      </c>
    </row>
    <row r="61" spans="1:6" ht="15.5" x14ac:dyDescent="0.35">
      <c r="A61" s="714" t="s">
        <v>371</v>
      </c>
      <c r="B61" s="745">
        <f>B34</f>
        <v>0</v>
      </c>
      <c r="C61" s="743"/>
      <c r="D61" s="716" t="e">
        <f>$B$34/hay</f>
        <v>#DIV/0!</v>
      </c>
      <c r="E61" s="752"/>
      <c r="F61" s="716" t="e">
        <f>$B$34/($C$4*hay)</f>
        <v>#DIV/0!</v>
      </c>
    </row>
    <row r="62" spans="1:6" ht="15.5" x14ac:dyDescent="0.35">
      <c r="A62" s="714"/>
      <c r="B62" s="743"/>
      <c r="C62" s="743"/>
      <c r="D62" s="716"/>
      <c r="E62" s="752"/>
      <c r="F62" s="716"/>
    </row>
    <row r="63" spans="1:6" ht="15.5" x14ac:dyDescent="0.35">
      <c r="A63" s="744" t="s">
        <v>1099</v>
      </c>
      <c r="B63" s="703" t="s">
        <v>1100</v>
      </c>
      <c r="C63" s="743"/>
      <c r="D63" s="716"/>
      <c r="E63" s="752"/>
      <c r="F63" s="716"/>
    </row>
    <row r="64" spans="1:6" ht="15.5" x14ac:dyDescent="0.35">
      <c r="A64" s="714" t="s">
        <v>1101</v>
      </c>
      <c r="B64" s="746" t="e">
        <f>B55/SUM(HlgOprC!E19:E56)</f>
        <v>#DIV/0!</v>
      </c>
      <c r="C64" s="743"/>
      <c r="D64" s="716"/>
      <c r="E64" s="752"/>
      <c r="F64" s="716"/>
    </row>
    <row r="65" spans="1:6" ht="15.5" x14ac:dyDescent="0.35">
      <c r="A65" s="714" t="s">
        <v>1102</v>
      </c>
      <c r="B65" s="746" t="e">
        <f>B56/SUM(HlgOprC!E19:E56)</f>
        <v>#DIV/0!</v>
      </c>
      <c r="C65" s="743"/>
      <c r="D65" s="716"/>
      <c r="E65" s="752"/>
      <c r="F65" s="716"/>
    </row>
    <row r="66" spans="1:6" ht="15.5" x14ac:dyDescent="0.35">
      <c r="A66" s="747"/>
      <c r="B66" s="748"/>
      <c r="C66" s="748"/>
      <c r="D66" s="748"/>
      <c r="E66" s="748"/>
      <c r="F66" s="747"/>
    </row>
  </sheetData>
  <phoneticPr fontId="0" type="noConversion"/>
  <pageMargins left="0.75" right="0.75" top="1" bottom="1" header="0.5" footer="0.5"/>
  <headerFooter alignWithMargins="0"/>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58"/>
  <sheetViews>
    <sheetView workbookViewId="0">
      <pane ySplit="6" topLeftCell="A107" activePane="bottomLeft" state="frozen"/>
      <selection pane="bottomLeft" activeCell="K5" sqref="K5"/>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3" x14ac:dyDescent="0.3">
      <c r="A1" s="61" t="s">
        <v>146</v>
      </c>
      <c r="B1" s="17" t="str">
        <f>model</f>
        <v>ME Grain &amp; Pulse</v>
      </c>
      <c r="F1" s="535" t="s">
        <v>1043</v>
      </c>
      <c r="G1" s="536"/>
    </row>
    <row r="2" spans="1:13" x14ac:dyDescent="0.3">
      <c r="F2" s="537">
        <v>1</v>
      </c>
      <c r="G2" s="538"/>
    </row>
    <row r="3" spans="1:13" x14ac:dyDescent="0.3">
      <c r="A3" s="7" t="s">
        <v>683</v>
      </c>
      <c r="B3" s="8" t="s">
        <v>92</v>
      </c>
      <c r="C3" s="86">
        <f>balehay</f>
        <v>0</v>
      </c>
      <c r="D3" s="4" t="s">
        <v>93</v>
      </c>
      <c r="F3" s="4" t="s">
        <v>907</v>
      </c>
    </row>
    <row r="4" spans="1:13" x14ac:dyDescent="0.3">
      <c r="F4" s="334" t="s">
        <v>708</v>
      </c>
      <c r="G4" s="335"/>
    </row>
    <row r="5" spans="1:13" ht="13.5" x14ac:dyDescent="0.35">
      <c r="A5" s="5" t="s">
        <v>0</v>
      </c>
      <c r="F5" s="304">
        <v>5</v>
      </c>
      <c r="G5" s="336" t="s">
        <v>562</v>
      </c>
    </row>
    <row r="6" spans="1:13" s="27" customFormat="1" ht="26" x14ac:dyDescent="0.3">
      <c r="A6" s="41"/>
      <c r="B6" s="391" t="s">
        <v>919</v>
      </c>
      <c r="C6" s="42" t="s">
        <v>21</v>
      </c>
      <c r="D6" s="42" t="s">
        <v>22</v>
      </c>
      <c r="E6" s="227" t="s">
        <v>900</v>
      </c>
      <c r="F6" s="42" t="s">
        <v>23</v>
      </c>
      <c r="G6" s="42" t="s">
        <v>24</v>
      </c>
      <c r="H6" s="42" t="s">
        <v>65</v>
      </c>
    </row>
    <row r="7" spans="1:13" x14ac:dyDescent="0.3">
      <c r="A7" s="3" t="s">
        <v>13</v>
      </c>
      <c r="B7" s="3"/>
    </row>
    <row r="8" spans="1:13" x14ac:dyDescent="0.3">
      <c r="A8" s="328" t="s">
        <v>709</v>
      </c>
      <c r="B8" s="397">
        <v>1</v>
      </c>
      <c r="C8" s="363">
        <v>8</v>
      </c>
      <c r="D8" s="241" t="s">
        <v>220</v>
      </c>
      <c r="E8" s="329">
        <f>C8*balehay</f>
        <v>0</v>
      </c>
      <c r="F8" s="283">
        <v>1.6</v>
      </c>
      <c r="G8" s="330">
        <f>C8*F8</f>
        <v>12.8</v>
      </c>
      <c r="H8" s="333">
        <f>(B8*G8*balehay)/$F$5</f>
        <v>0</v>
      </c>
      <c r="J8" s="204"/>
    </row>
    <row r="9" spans="1:13" x14ac:dyDescent="0.3">
      <c r="A9" s="328" t="s">
        <v>710</v>
      </c>
      <c r="B9" s="397">
        <v>1</v>
      </c>
      <c r="C9" s="278">
        <f>C8/3</f>
        <v>2.6666666666666665</v>
      </c>
      <c r="D9" s="241" t="s">
        <v>220</v>
      </c>
      <c r="E9" s="329">
        <f>C9*balehay</f>
        <v>0</v>
      </c>
      <c r="F9" s="283">
        <v>3.6</v>
      </c>
      <c r="G9" s="330">
        <f>C9*F9</f>
        <v>9.6</v>
      </c>
      <c r="H9" s="333">
        <f>(B9*G9*balehay)/$F$5</f>
        <v>0</v>
      </c>
      <c r="I9" s="108">
        <f>SUM(H8:H9)</f>
        <v>0</v>
      </c>
      <c r="J9" s="98" t="e">
        <f>I9/balehay</f>
        <v>#DIV/0!</v>
      </c>
    </row>
    <row r="10" spans="1:13" x14ac:dyDescent="0.3">
      <c r="A10" s="3" t="s">
        <v>1</v>
      </c>
      <c r="B10" s="3"/>
      <c r="C10" s="60"/>
      <c r="D10" s="34"/>
      <c r="E10" s="34"/>
      <c r="F10" s="104"/>
      <c r="G10" s="114"/>
      <c r="H10" s="114"/>
    </row>
    <row r="11" spans="1:13" x14ac:dyDescent="0.3">
      <c r="A11" s="22" t="s">
        <v>490</v>
      </c>
      <c r="B11" s="397">
        <v>1</v>
      </c>
      <c r="C11" s="278">
        <f>200/2000</f>
        <v>0.1</v>
      </c>
      <c r="D11" s="34" t="s">
        <v>26</v>
      </c>
      <c r="E11" s="226">
        <f>C11*balehay</f>
        <v>0</v>
      </c>
      <c r="F11" s="608">
        <v>575</v>
      </c>
      <c r="G11" s="114">
        <f>C11*F11</f>
        <v>57.5</v>
      </c>
      <c r="H11" s="110">
        <f>B11*G11*balehay</f>
        <v>0</v>
      </c>
      <c r="I11" s="108"/>
    </row>
    <row r="12" spans="1:13" x14ac:dyDescent="0.3">
      <c r="A12" s="6" t="s">
        <v>266</v>
      </c>
      <c r="B12" s="397">
        <v>1</v>
      </c>
      <c r="C12" s="278">
        <f>110/2000</f>
        <v>5.5E-2</v>
      </c>
      <c r="D12" s="34" t="s">
        <v>26</v>
      </c>
      <c r="E12" s="226">
        <f>C12*balehay</f>
        <v>0</v>
      </c>
      <c r="F12" s="608">
        <v>600</v>
      </c>
      <c r="G12" s="114">
        <f>C12*F12</f>
        <v>33</v>
      </c>
      <c r="H12" s="110">
        <f>B12*G12*balehay</f>
        <v>0</v>
      </c>
      <c r="I12" s="108">
        <f>SUM(H11:H12)</f>
        <v>0</v>
      </c>
      <c r="J12" s="52"/>
    </row>
    <row r="13" spans="1:13" x14ac:dyDescent="0.3">
      <c r="A13" s="6" t="s">
        <v>2</v>
      </c>
      <c r="B13" s="397">
        <v>1</v>
      </c>
      <c r="C13" s="369">
        <f>limeapp</f>
        <v>0.2</v>
      </c>
      <c r="D13" s="34" t="s">
        <v>26</v>
      </c>
      <c r="E13" s="226">
        <f>C13*balehay</f>
        <v>0</v>
      </c>
      <c r="F13" s="109">
        <f>lime</f>
        <v>38.260869565217391</v>
      </c>
      <c r="G13" s="114">
        <f>C13*F13</f>
        <v>7.6521739130434785</v>
      </c>
      <c r="H13" s="110">
        <f>B13*G13*balehay</f>
        <v>0</v>
      </c>
      <c r="I13" s="52"/>
    </row>
    <row r="14" spans="1:13" x14ac:dyDescent="0.3">
      <c r="A14" s="3" t="s">
        <v>1476</v>
      </c>
      <c r="B14" s="3"/>
      <c r="C14" s="46"/>
      <c r="D14" s="34"/>
      <c r="E14" s="34"/>
      <c r="F14" s="104"/>
      <c r="G14" s="114"/>
      <c r="H14" s="110"/>
      <c r="I14" s="110"/>
      <c r="J14" s="114"/>
      <c r="K14" s="55"/>
      <c r="L14" s="24"/>
      <c r="M14" s="81"/>
    </row>
    <row r="15" spans="1:13" x14ac:dyDescent="0.3">
      <c r="A15" s="328" t="s">
        <v>219</v>
      </c>
      <c r="B15" s="397">
        <v>1</v>
      </c>
      <c r="C15" s="278">
        <v>2</v>
      </c>
      <c r="D15" s="241" t="s">
        <v>220</v>
      </c>
      <c r="E15" s="329">
        <f>C15*balehay</f>
        <v>0</v>
      </c>
      <c r="F15" s="283">
        <f>7.504+(7.504*Data!$L$275)</f>
        <v>13.808774419387412</v>
      </c>
      <c r="G15" s="330">
        <f>C15*F15</f>
        <v>27.617548838774823</v>
      </c>
      <c r="H15" s="333">
        <f>(B15*G15*balehay)/$F$5</f>
        <v>0</v>
      </c>
      <c r="I15" s="110"/>
      <c r="J15" s="114"/>
      <c r="K15" s="98"/>
    </row>
    <row r="16" spans="1:13" x14ac:dyDescent="0.3">
      <c r="A16" s="328" t="s">
        <v>221</v>
      </c>
      <c r="B16" s="397">
        <v>1</v>
      </c>
      <c r="C16" s="278">
        <v>0.37830000000000003</v>
      </c>
      <c r="D16" s="241" t="s">
        <v>117</v>
      </c>
      <c r="E16" s="329">
        <f>C16*balehay</f>
        <v>0</v>
      </c>
      <c r="F16" s="283">
        <f>24.802+(24.802*Data!$L$275)</f>
        <v>45.64035489734097</v>
      </c>
      <c r="G16" s="330">
        <f>C16*F16</f>
        <v>17.265746257664091</v>
      </c>
      <c r="H16" s="333">
        <f>(B16*G16*balehay)/$F$5</f>
        <v>0</v>
      </c>
      <c r="I16" s="110"/>
      <c r="J16" s="114"/>
    </row>
    <row r="17" spans="1:13" x14ac:dyDescent="0.3">
      <c r="A17" s="22" t="s">
        <v>908</v>
      </c>
      <c r="B17" s="397">
        <v>1</v>
      </c>
      <c r="C17" s="278">
        <f>1/8</f>
        <v>0.125</v>
      </c>
      <c r="D17" s="163" t="s">
        <v>119</v>
      </c>
      <c r="E17" s="34">
        <f>C17*balehay</f>
        <v>0</v>
      </c>
      <c r="F17" s="283">
        <f>(430/30)</f>
        <v>14.333333333333334</v>
      </c>
      <c r="G17" s="114">
        <f>C17*F17</f>
        <v>1.7916666666666667</v>
      </c>
      <c r="H17" s="110">
        <f>B17*G17*balehay</f>
        <v>0</v>
      </c>
      <c r="I17" s="110">
        <f>SUM(H15:H17)</f>
        <v>0</v>
      </c>
      <c r="J17" s="114"/>
    </row>
    <row r="18" spans="1:13" x14ac:dyDescent="0.3">
      <c r="A18" s="509" t="s">
        <v>14</v>
      </c>
      <c r="B18" s="511"/>
      <c r="C18" s="512"/>
      <c r="D18" s="500"/>
      <c r="E18" s="500"/>
      <c r="F18" s="513"/>
      <c r="G18" s="510"/>
      <c r="H18" s="510"/>
    </row>
    <row r="19" spans="1:13" x14ac:dyDescent="0.3">
      <c r="A19" s="95" t="s">
        <v>323</v>
      </c>
      <c r="B19" s="95"/>
      <c r="C19" s="46"/>
      <c r="D19" s="34"/>
      <c r="E19" s="34"/>
      <c r="F19" s="104"/>
      <c r="G19" s="114"/>
      <c r="H19" s="110"/>
    </row>
    <row r="20" spans="1:13" x14ac:dyDescent="0.3">
      <c r="A20" s="328" t="s">
        <v>484</v>
      </c>
      <c r="B20" s="397">
        <v>1</v>
      </c>
      <c r="C20" s="243">
        <f>Data!H525</f>
        <v>0.25632748278140399</v>
      </c>
      <c r="D20" s="241" t="s">
        <v>128</v>
      </c>
      <c r="E20" s="329">
        <f t="shared" ref="E20:E56" si="0">C20*balehay</f>
        <v>0</v>
      </c>
      <c r="F20" s="331">
        <f t="shared" ref="F20:F27" si="1">_wage_</f>
        <v>12.29</v>
      </c>
      <c r="G20" s="330">
        <f>C20*F20</f>
        <v>3.1502647633834551</v>
      </c>
      <c r="H20" s="333">
        <f>(B20*G20*balehay)/$F$5</f>
        <v>0</v>
      </c>
      <c r="I20" s="110"/>
      <c r="K20" s="55"/>
      <c r="L20" s="24"/>
      <c r="M20" s="81"/>
    </row>
    <row r="21" spans="1:13" x14ac:dyDescent="0.3">
      <c r="A21" s="328" t="s">
        <v>485</v>
      </c>
      <c r="B21" s="397">
        <v>1</v>
      </c>
      <c r="C21" s="243">
        <f>Data!H526</f>
        <v>0.39334140580266497</v>
      </c>
      <c r="D21" s="241" t="s">
        <v>128</v>
      </c>
      <c r="E21" s="329">
        <f t="shared" si="0"/>
        <v>0</v>
      </c>
      <c r="F21" s="331">
        <f t="shared" si="1"/>
        <v>12.29</v>
      </c>
      <c r="G21" s="330">
        <f>C21*F21</f>
        <v>4.834165877314752</v>
      </c>
      <c r="H21" s="333">
        <f>(B21*G21*balehay)/$F$5</f>
        <v>0</v>
      </c>
      <c r="I21" s="110"/>
      <c r="K21" s="55"/>
      <c r="L21" s="24"/>
      <c r="M21" s="81"/>
    </row>
    <row r="22" spans="1:13" x14ac:dyDescent="0.3">
      <c r="A22" s="22" t="s">
        <v>581</v>
      </c>
      <c r="B22" s="397">
        <v>1</v>
      </c>
      <c r="C22" s="156">
        <f>Data!H527</f>
        <v>9.2929292929292931E-2</v>
      </c>
      <c r="D22" s="34" t="s">
        <v>128</v>
      </c>
      <c r="E22" s="226">
        <f t="shared" si="0"/>
        <v>0</v>
      </c>
      <c r="F22" s="167">
        <f t="shared" si="1"/>
        <v>12.29</v>
      </c>
      <c r="G22" s="114">
        <f>C22*F22</f>
        <v>1.1421010101010101</v>
      </c>
      <c r="H22" s="110">
        <f>B22*G22*balehay</f>
        <v>0</v>
      </c>
    </row>
    <row r="23" spans="1:13" x14ac:dyDescent="0.3">
      <c r="A23" s="332" t="s">
        <v>316</v>
      </c>
      <c r="B23" s="397">
        <v>1</v>
      </c>
      <c r="C23" s="273">
        <v>0</v>
      </c>
      <c r="D23" s="241" t="s">
        <v>128</v>
      </c>
      <c r="E23" s="329">
        <f t="shared" si="0"/>
        <v>0</v>
      </c>
      <c r="F23" s="331">
        <f t="shared" si="1"/>
        <v>12.29</v>
      </c>
      <c r="G23" s="333">
        <f t="shared" ref="G23:G44" si="2">C23*F23</f>
        <v>0</v>
      </c>
      <c r="H23" s="333">
        <f>(B23*G23*balehay)/$F$5</f>
        <v>0</v>
      </c>
      <c r="I23" s="110"/>
      <c r="K23" s="55"/>
      <c r="L23" s="24"/>
      <c r="M23" s="81"/>
    </row>
    <row r="24" spans="1:13" x14ac:dyDescent="0.3">
      <c r="A24" s="332" t="s">
        <v>411</v>
      </c>
      <c r="B24" s="397">
        <v>1</v>
      </c>
      <c r="C24" s="243">
        <f>Data!H528</f>
        <v>0.11</v>
      </c>
      <c r="D24" s="241" t="s">
        <v>128</v>
      </c>
      <c r="E24" s="329">
        <f t="shared" si="0"/>
        <v>0</v>
      </c>
      <c r="F24" s="331">
        <f t="shared" si="1"/>
        <v>12.29</v>
      </c>
      <c r="G24" s="330">
        <f t="shared" si="2"/>
        <v>1.3518999999999999</v>
      </c>
      <c r="H24" s="333">
        <f>(B24*G24*balehay)/$F$5</f>
        <v>0</v>
      </c>
      <c r="I24" s="110"/>
      <c r="K24" s="55"/>
      <c r="L24" s="24"/>
      <c r="M24" s="81"/>
    </row>
    <row r="25" spans="1:13" ht="13.5" customHeight="1" x14ac:dyDescent="0.3">
      <c r="A25" s="332" t="s">
        <v>736</v>
      </c>
      <c r="B25" s="397">
        <v>1</v>
      </c>
      <c r="C25" s="243">
        <f>Data!H531</f>
        <v>0.26666666666666666</v>
      </c>
      <c r="D25" s="241" t="s">
        <v>128</v>
      </c>
      <c r="E25" s="329">
        <f t="shared" si="0"/>
        <v>0</v>
      </c>
      <c r="F25" s="331">
        <f t="shared" si="1"/>
        <v>12.29</v>
      </c>
      <c r="G25" s="330">
        <f t="shared" si="2"/>
        <v>3.277333333333333</v>
      </c>
      <c r="H25" s="333">
        <f>(B25*G25*balehay)/$F$5</f>
        <v>0</v>
      </c>
      <c r="I25" s="110"/>
      <c r="K25" s="55"/>
      <c r="L25" s="24"/>
      <c r="M25" s="81"/>
    </row>
    <row r="26" spans="1:13" ht="13.5" customHeight="1" x14ac:dyDescent="0.3">
      <c r="A26" s="332" t="s">
        <v>304</v>
      </c>
      <c r="B26" s="397">
        <v>1</v>
      </c>
      <c r="C26" s="243">
        <f>Data!H537</f>
        <v>0.11851851851851852</v>
      </c>
      <c r="D26" s="241" t="s">
        <v>128</v>
      </c>
      <c r="E26" s="329">
        <f t="shared" si="0"/>
        <v>0</v>
      </c>
      <c r="F26" s="331">
        <f t="shared" si="1"/>
        <v>12.29</v>
      </c>
      <c r="G26" s="330">
        <f t="shared" si="2"/>
        <v>1.4565925925925924</v>
      </c>
      <c r="H26" s="333">
        <f>(B26*G26*balehay)/$F$5</f>
        <v>0</v>
      </c>
      <c r="I26" s="110"/>
      <c r="K26" s="55"/>
      <c r="L26" s="24"/>
      <c r="M26" s="81"/>
    </row>
    <row r="27" spans="1:13" s="374" customFormat="1" ht="13.5" customHeight="1" x14ac:dyDescent="0.3">
      <c r="A27" s="503" t="s">
        <v>304</v>
      </c>
      <c r="B27" s="397">
        <v>1</v>
      </c>
      <c r="C27" s="504">
        <f>Data!H537/2</f>
        <v>5.9259259259259262E-2</v>
      </c>
      <c r="D27" s="505" t="s">
        <v>128</v>
      </c>
      <c r="E27" s="506">
        <f>C27*balehay</f>
        <v>0</v>
      </c>
      <c r="F27" s="507">
        <f t="shared" si="1"/>
        <v>12.29</v>
      </c>
      <c r="G27" s="114">
        <f t="shared" si="2"/>
        <v>0.72829629629629622</v>
      </c>
      <c r="H27" s="110">
        <f>B27*G27*balehay</f>
        <v>0</v>
      </c>
      <c r="I27" s="211"/>
      <c r="K27" s="372"/>
      <c r="L27" s="174"/>
      <c r="M27" s="373"/>
    </row>
    <row r="28" spans="1:13" x14ac:dyDescent="0.3">
      <c r="A28" s="502" t="s">
        <v>324</v>
      </c>
      <c r="B28" s="397">
        <v>1</v>
      </c>
      <c r="C28" s="498">
        <f>Data!H538</f>
        <v>0.21851851851851867</v>
      </c>
      <c r="D28" s="500" t="s">
        <v>128</v>
      </c>
      <c r="E28" s="501">
        <f t="shared" si="0"/>
        <v>0</v>
      </c>
      <c r="F28" s="499">
        <f t="shared" ref="F28:F61" si="3">_wage_</f>
        <v>12.29</v>
      </c>
      <c r="G28" s="114">
        <f t="shared" si="2"/>
        <v>2.6855925925925943</v>
      </c>
      <c r="H28" s="110">
        <f>B28*G28*balehay</f>
        <v>0</v>
      </c>
    </row>
    <row r="29" spans="1:13" x14ac:dyDescent="0.3">
      <c r="A29" s="22" t="s">
        <v>703</v>
      </c>
      <c r="B29" s="508">
        <v>1</v>
      </c>
      <c r="C29" s="156">
        <f>Data!H543</f>
        <v>0.7855706385118133</v>
      </c>
      <c r="D29" s="34" t="s">
        <v>128</v>
      </c>
      <c r="E29" s="226">
        <f t="shared" si="0"/>
        <v>0</v>
      </c>
      <c r="F29" s="167">
        <f t="shared" si="3"/>
        <v>12.29</v>
      </c>
      <c r="G29" s="114">
        <f t="shared" si="2"/>
        <v>9.6546631473101847</v>
      </c>
      <c r="H29" s="110">
        <f>B29*G29*balehay</f>
        <v>0</v>
      </c>
      <c r="I29" s="87"/>
    </row>
    <row r="30" spans="1:13" x14ac:dyDescent="0.3">
      <c r="A30" s="22" t="s">
        <v>704</v>
      </c>
      <c r="B30" s="397">
        <v>1</v>
      </c>
      <c r="C30" s="156">
        <f>Data!H544</f>
        <v>0.61567828230870669</v>
      </c>
      <c r="D30" s="34" t="s">
        <v>128</v>
      </c>
      <c r="E30" s="226">
        <f t="shared" si="0"/>
        <v>0</v>
      </c>
      <c r="F30" s="167">
        <f t="shared" si="3"/>
        <v>12.29</v>
      </c>
      <c r="G30" s="114">
        <f t="shared" si="2"/>
        <v>7.5666860895740049</v>
      </c>
      <c r="H30" s="110">
        <f>B30*G30*balehay</f>
        <v>0</v>
      </c>
      <c r="I30" s="87"/>
    </row>
    <row r="31" spans="1:13" x14ac:dyDescent="0.3">
      <c r="A31" s="22" t="s">
        <v>737</v>
      </c>
      <c r="B31" s="397">
        <v>1</v>
      </c>
      <c r="C31" s="156">
        <f>Data!H545*HayBud!$L$22</f>
        <v>0.32000000000000006</v>
      </c>
      <c r="D31" s="34" t="s">
        <v>128</v>
      </c>
      <c r="E31" s="226">
        <f t="shared" si="0"/>
        <v>0</v>
      </c>
      <c r="F31" s="167">
        <f t="shared" si="3"/>
        <v>12.29</v>
      </c>
      <c r="G31" s="114">
        <f t="shared" si="2"/>
        <v>3.9328000000000003</v>
      </c>
      <c r="H31" s="110">
        <f>B31*G31*balehay*HayOwnC!$B$32</f>
        <v>0</v>
      </c>
      <c r="I31" s="87"/>
    </row>
    <row r="32" spans="1:13" x14ac:dyDescent="0.3">
      <c r="A32" s="9" t="s">
        <v>1022</v>
      </c>
      <c r="B32" s="397">
        <v>0</v>
      </c>
      <c r="C32" s="47">
        <f>Data!$H$546*Data!$M$152*HayBud!$L$22</f>
        <v>0</v>
      </c>
      <c r="D32" s="48" t="s">
        <v>115</v>
      </c>
      <c r="E32" s="83">
        <f>C32*balehay</f>
        <v>0</v>
      </c>
      <c r="F32" s="118">
        <f>_wage_</f>
        <v>12.29</v>
      </c>
      <c r="G32" s="465">
        <f>C32*F32</f>
        <v>0</v>
      </c>
      <c r="H32" s="123">
        <f>B32*G32*balehay*HayOwnC!$B$32</f>
        <v>0</v>
      </c>
      <c r="J32" s="114"/>
      <c r="K32" s="55"/>
    </row>
    <row r="33" spans="1:11" x14ac:dyDescent="0.3">
      <c r="A33" s="22" t="s">
        <v>1032</v>
      </c>
      <c r="B33" s="397">
        <v>1</v>
      </c>
      <c r="C33" s="156">
        <f>Data!H547*HayBud!$L$22</f>
        <v>0.1</v>
      </c>
      <c r="D33" s="34" t="s">
        <v>128</v>
      </c>
      <c r="E33" s="226">
        <f t="shared" si="0"/>
        <v>0</v>
      </c>
      <c r="F33" s="167">
        <f t="shared" si="3"/>
        <v>12.29</v>
      </c>
      <c r="G33" s="114">
        <f t="shared" si="2"/>
        <v>1.2290000000000001</v>
      </c>
      <c r="H33" s="110">
        <f>B33*G33*balehay*HayOwnC!$B$32</f>
        <v>0</v>
      </c>
      <c r="I33" s="87"/>
    </row>
    <row r="34" spans="1:11" x14ac:dyDescent="0.3">
      <c r="A34" s="9" t="s">
        <v>1022</v>
      </c>
      <c r="B34" s="397">
        <v>1</v>
      </c>
      <c r="C34" s="47">
        <f>Data!$H$548*Data!$M$152*HayBud!$L$22</f>
        <v>0</v>
      </c>
      <c r="D34" s="48" t="s">
        <v>115</v>
      </c>
      <c r="E34" s="83">
        <f>C34*balehay</f>
        <v>0</v>
      </c>
      <c r="F34" s="118">
        <f>_wage_</f>
        <v>12.29</v>
      </c>
      <c r="G34" s="465">
        <f>C34*F34</f>
        <v>0</v>
      </c>
      <c r="H34" s="123">
        <f>B34*G34*balehay*HayOwnC!$B$32</f>
        <v>0</v>
      </c>
      <c r="J34" s="114"/>
      <c r="K34" s="55"/>
    </row>
    <row r="35" spans="1:11" x14ac:dyDescent="0.3">
      <c r="A35" s="22" t="s">
        <v>705</v>
      </c>
      <c r="B35" s="397">
        <v>1</v>
      </c>
      <c r="C35" s="156">
        <f>Data!H549*HayBud!$L$23</f>
        <v>0</v>
      </c>
      <c r="D35" s="34" t="s">
        <v>128</v>
      </c>
      <c r="E35" s="226">
        <f t="shared" si="0"/>
        <v>0</v>
      </c>
      <c r="F35" s="167">
        <f t="shared" si="3"/>
        <v>12.29</v>
      </c>
      <c r="G35" s="114">
        <f t="shared" si="2"/>
        <v>0</v>
      </c>
      <c r="H35" s="110">
        <f>B35*G35*balehay*HayOwnC!$B$33</f>
        <v>0</v>
      </c>
      <c r="I35" s="87"/>
      <c r="J35" s="24"/>
    </row>
    <row r="36" spans="1:11" x14ac:dyDescent="0.3">
      <c r="A36" s="9" t="s">
        <v>1022</v>
      </c>
      <c r="B36" s="397">
        <v>0</v>
      </c>
      <c r="C36" s="47">
        <f>Data!$H$550*Data!$U$152*HayBud!$L$23</f>
        <v>0</v>
      </c>
      <c r="D36" s="48" t="s">
        <v>115</v>
      </c>
      <c r="E36" s="83">
        <f>C36*balehay</f>
        <v>0</v>
      </c>
      <c r="F36" s="118">
        <f>_wage_</f>
        <v>12.29</v>
      </c>
      <c r="G36" s="465">
        <f>C36*F36</f>
        <v>0</v>
      </c>
      <c r="H36" s="123">
        <f>B36*G36*balehay*HayOwnC!$B$33</f>
        <v>0</v>
      </c>
      <c r="J36" s="114"/>
      <c r="K36" s="55"/>
    </row>
    <row r="37" spans="1:11" x14ac:dyDescent="0.3">
      <c r="A37" s="22" t="s">
        <v>1033</v>
      </c>
      <c r="B37" s="397">
        <v>1</v>
      </c>
      <c r="C37" s="156">
        <f>Data!H551*HayBud!$L$23</f>
        <v>0</v>
      </c>
      <c r="D37" s="34" t="s">
        <v>128</v>
      </c>
      <c r="E37" s="226">
        <f t="shared" si="0"/>
        <v>0</v>
      </c>
      <c r="F37" s="167">
        <f t="shared" si="3"/>
        <v>12.29</v>
      </c>
      <c r="G37" s="114">
        <f t="shared" si="2"/>
        <v>0</v>
      </c>
      <c r="H37" s="110">
        <f>B37*G37*balehay*HayOwnC!$B$33</f>
        <v>0</v>
      </c>
      <c r="I37" s="87"/>
      <c r="J37" s="24"/>
    </row>
    <row r="38" spans="1:11" x14ac:dyDescent="0.3">
      <c r="A38" s="9" t="s">
        <v>1022</v>
      </c>
      <c r="B38" s="397">
        <v>1</v>
      </c>
      <c r="C38" s="47">
        <f>Data!$H$552*Data!$U$152*HayBud!$L$23</f>
        <v>0</v>
      </c>
      <c r="D38" s="48" t="s">
        <v>115</v>
      </c>
      <c r="E38" s="83">
        <f>C38*balehay</f>
        <v>0</v>
      </c>
      <c r="F38" s="118">
        <f>_wage_</f>
        <v>12.29</v>
      </c>
      <c r="G38" s="465">
        <f>C38*F38</f>
        <v>0</v>
      </c>
      <c r="H38" s="123">
        <f>B38*G38*balehay*HayOwnC!$B$33</f>
        <v>0</v>
      </c>
      <c r="J38" s="114"/>
      <c r="K38" s="55"/>
    </row>
    <row r="39" spans="1:11" x14ac:dyDescent="0.3">
      <c r="A39" s="22" t="s">
        <v>1058</v>
      </c>
      <c r="B39" s="397">
        <v>1</v>
      </c>
      <c r="C39" s="156">
        <f>Data!$H$553*HayBud!$L$22</f>
        <v>0.26400000000000001</v>
      </c>
      <c r="D39" s="34" t="s">
        <v>128</v>
      </c>
      <c r="E39" s="226">
        <f t="shared" si="0"/>
        <v>0</v>
      </c>
      <c r="F39" s="167">
        <f t="shared" si="3"/>
        <v>12.29</v>
      </c>
      <c r="G39" s="114">
        <f t="shared" si="2"/>
        <v>3.2445599999999999</v>
      </c>
      <c r="H39" s="110">
        <f>B39*G39*balehay</f>
        <v>0</v>
      </c>
      <c r="I39" s="87"/>
    </row>
    <row r="40" spans="1:11" x14ac:dyDescent="0.3">
      <c r="A40" s="9" t="s">
        <v>1028</v>
      </c>
      <c r="B40" s="397">
        <v>1</v>
      </c>
      <c r="C40" s="47">
        <f>Data!$H$554*Data!$M$152*HayBud!$L$22</f>
        <v>0</v>
      </c>
      <c r="D40" s="48" t="s">
        <v>115</v>
      </c>
      <c r="E40" s="83">
        <f>C40*balehay</f>
        <v>0</v>
      </c>
      <c r="F40" s="118">
        <f>_wage_</f>
        <v>12.29</v>
      </c>
      <c r="G40" s="465">
        <f>C40*F40</f>
        <v>0</v>
      </c>
      <c r="H40" s="123">
        <f>B40*G40*balehay*HayOwnC!$B$32</f>
        <v>0</v>
      </c>
      <c r="J40" s="114"/>
      <c r="K40" s="55"/>
    </row>
    <row r="41" spans="1:11" x14ac:dyDescent="0.3">
      <c r="A41" s="22" t="s">
        <v>1060</v>
      </c>
      <c r="B41" s="397">
        <v>1</v>
      </c>
      <c r="C41" s="156">
        <f>Data!$H$555*HayBud!$L$23</f>
        <v>0</v>
      </c>
      <c r="D41" s="34" t="s">
        <v>128</v>
      </c>
      <c r="E41" s="226">
        <f>C41*balehay</f>
        <v>0</v>
      </c>
      <c r="F41" s="167">
        <f t="shared" si="3"/>
        <v>12.29</v>
      </c>
      <c r="G41" s="114">
        <f>C41*F41</f>
        <v>0</v>
      </c>
      <c r="H41" s="110">
        <f>B41*G41*balehay</f>
        <v>0</v>
      </c>
      <c r="I41" s="87"/>
    </row>
    <row r="42" spans="1:11" x14ac:dyDescent="0.3">
      <c r="A42" s="9" t="s">
        <v>1029</v>
      </c>
      <c r="B42" s="397">
        <v>1</v>
      </c>
      <c r="C42" s="47">
        <f>Data!$H$556*Data!$U$152*HayBud!$L$23</f>
        <v>0</v>
      </c>
      <c r="D42" s="48" t="s">
        <v>115</v>
      </c>
      <c r="E42" s="83">
        <f>C42*balehay</f>
        <v>0</v>
      </c>
      <c r="F42" s="118">
        <f>_wage_</f>
        <v>12.29</v>
      </c>
      <c r="G42" s="465">
        <f>C42*F42</f>
        <v>0</v>
      </c>
      <c r="H42" s="123">
        <f>B42*G42*balehay*HayOwnC!$B$33</f>
        <v>0</v>
      </c>
      <c r="J42" s="114"/>
      <c r="K42" s="55"/>
    </row>
    <row r="43" spans="1:11" x14ac:dyDescent="0.3">
      <c r="A43" s="22" t="s">
        <v>322</v>
      </c>
      <c r="B43" s="397">
        <v>1</v>
      </c>
      <c r="C43" s="273">
        <f>0</f>
        <v>0</v>
      </c>
      <c r="D43" s="34" t="s">
        <v>128</v>
      </c>
      <c r="E43" s="226">
        <f t="shared" si="0"/>
        <v>0</v>
      </c>
      <c r="F43" s="167">
        <f t="shared" si="3"/>
        <v>12.29</v>
      </c>
      <c r="G43" s="110">
        <f t="shared" si="2"/>
        <v>0</v>
      </c>
      <c r="H43" s="110">
        <f>B43*G43*balehay</f>
        <v>0</v>
      </c>
    </row>
    <row r="44" spans="1:11" x14ac:dyDescent="0.3">
      <c r="A44" s="22" t="s">
        <v>581</v>
      </c>
      <c r="B44" s="397">
        <v>1</v>
      </c>
      <c r="C44" s="156">
        <f>Data!H557</f>
        <v>9.2929292929292931E-2</v>
      </c>
      <c r="D44" s="34" t="s">
        <v>128</v>
      </c>
      <c r="E44" s="226">
        <f t="shared" si="0"/>
        <v>0</v>
      </c>
      <c r="F44" s="167">
        <f>_wage_</f>
        <v>12.29</v>
      </c>
      <c r="G44" s="114">
        <f t="shared" si="2"/>
        <v>1.1421010101010101</v>
      </c>
      <c r="H44" s="110">
        <f>B44*G44*balehay</f>
        <v>0</v>
      </c>
    </row>
    <row r="45" spans="1:11" x14ac:dyDescent="0.3">
      <c r="A45" s="332" t="s">
        <v>328</v>
      </c>
      <c r="B45" s="397">
        <v>1</v>
      </c>
      <c r="C45" s="243">
        <f>Data!H558</f>
        <v>0.21851851851851867</v>
      </c>
      <c r="D45" s="241" t="s">
        <v>128</v>
      </c>
      <c r="E45" s="329">
        <f t="shared" si="0"/>
        <v>0</v>
      </c>
      <c r="F45" s="331">
        <f t="shared" si="3"/>
        <v>12.29</v>
      </c>
      <c r="G45" s="330">
        <f t="shared" ref="G45:G56" si="4">C45*F45</f>
        <v>2.6855925925925943</v>
      </c>
      <c r="H45" s="333">
        <f>IF($F$5=1,B45*G45*balehay,B45*G45*balehay*(($F$5-1)/$F$5))</f>
        <v>0</v>
      </c>
    </row>
    <row r="46" spans="1:11" x14ac:dyDescent="0.3">
      <c r="A46" s="332" t="s">
        <v>698</v>
      </c>
      <c r="B46" s="397">
        <v>1</v>
      </c>
      <c r="C46" s="243">
        <f>Data!H563</f>
        <v>0.7855706385118133</v>
      </c>
      <c r="D46" s="241" t="s">
        <v>128</v>
      </c>
      <c r="E46" s="329">
        <f t="shared" si="0"/>
        <v>0</v>
      </c>
      <c r="F46" s="331">
        <f t="shared" si="3"/>
        <v>12.29</v>
      </c>
      <c r="G46" s="330">
        <f t="shared" si="4"/>
        <v>9.6546631473101847</v>
      </c>
      <c r="H46" s="333">
        <f>IF($F$5=1,B46*G46*balehay,B46*G46*balehay*(($F$5-1)/$F$5))</f>
        <v>0</v>
      </c>
    </row>
    <row r="47" spans="1:11" x14ac:dyDescent="0.3">
      <c r="A47" s="332" t="s">
        <v>699</v>
      </c>
      <c r="B47" s="397">
        <v>1</v>
      </c>
      <c r="C47" s="243">
        <f>Data!H564</f>
        <v>0.61567828230870669</v>
      </c>
      <c r="D47" s="241" t="s">
        <v>128</v>
      </c>
      <c r="E47" s="329">
        <f t="shared" si="0"/>
        <v>0</v>
      </c>
      <c r="F47" s="331">
        <f t="shared" si="3"/>
        <v>12.29</v>
      </c>
      <c r="G47" s="330">
        <f t="shared" si="4"/>
        <v>7.5666860895740049</v>
      </c>
      <c r="H47" s="333">
        <f>IF($F$5=1,B47*G47*balehay,B47*G47*balehay*(($F$5-1)/$F$5))</f>
        <v>0</v>
      </c>
    </row>
    <row r="48" spans="1:11" x14ac:dyDescent="0.3">
      <c r="A48" s="332" t="s">
        <v>738</v>
      </c>
      <c r="B48" s="397">
        <v>1</v>
      </c>
      <c r="C48" s="243">
        <f>Data!H565*HayBud!$L$22</f>
        <v>0.32000000000000006</v>
      </c>
      <c r="D48" s="241" t="s">
        <v>128</v>
      </c>
      <c r="E48" s="329">
        <f t="shared" si="0"/>
        <v>0</v>
      </c>
      <c r="F48" s="331">
        <f t="shared" si="3"/>
        <v>12.29</v>
      </c>
      <c r="G48" s="330">
        <f t="shared" si="4"/>
        <v>3.9328000000000003</v>
      </c>
      <c r="H48" s="333">
        <f>IF($F$5=1,B48*G48*balehay*HayOwnC!$B$32,B48*G48*balehay*(($F$5-1)/$F$5)*HayOwnC!$B$32)</f>
        <v>0</v>
      </c>
    </row>
    <row r="49" spans="1:13" x14ac:dyDescent="0.3">
      <c r="A49" s="523" t="s">
        <v>1022</v>
      </c>
      <c r="B49" s="397">
        <v>0</v>
      </c>
      <c r="C49" s="524">
        <f>Data!$H$566*Data!$M$152*HayBud!$L$22</f>
        <v>0</v>
      </c>
      <c r="D49" s="525" t="s">
        <v>115</v>
      </c>
      <c r="E49" s="526">
        <f>C49*balehay</f>
        <v>0</v>
      </c>
      <c r="F49" s="527">
        <f>_wage_</f>
        <v>12.29</v>
      </c>
      <c r="G49" s="528">
        <f>C49*F49</f>
        <v>0</v>
      </c>
      <c r="H49" s="529">
        <f>IF($F$5=1,B49*G49*balehay*HayOwnC!$B$32,B49*G49*balehay*(($F$5-1)/$F$5)*HayOwnC!$B$32)</f>
        <v>0</v>
      </c>
      <c r="J49" s="114"/>
      <c r="K49" s="55"/>
    </row>
    <row r="50" spans="1:13" x14ac:dyDescent="0.3">
      <c r="A50" s="332" t="s">
        <v>1032</v>
      </c>
      <c r="B50" s="397">
        <v>1</v>
      </c>
      <c r="C50" s="243">
        <f>Data!H567*HayBud!$L$22</f>
        <v>0.1</v>
      </c>
      <c r="D50" s="241" t="s">
        <v>128</v>
      </c>
      <c r="E50" s="329">
        <f t="shared" si="0"/>
        <v>0</v>
      </c>
      <c r="F50" s="331">
        <f t="shared" si="3"/>
        <v>12.29</v>
      </c>
      <c r="G50" s="330">
        <f t="shared" si="4"/>
        <v>1.2290000000000001</v>
      </c>
      <c r="H50" s="333">
        <f>IF($F$5=1,B50*G50*balehay*HayOwnC!$B$32,B50*G50*balehay*(($F$5-1)/$F$5)*HayOwnC!$B$32)</f>
        <v>0</v>
      </c>
      <c r="J50" s="98"/>
    </row>
    <row r="51" spans="1:13" x14ac:dyDescent="0.3">
      <c r="A51" s="523" t="s">
        <v>1022</v>
      </c>
      <c r="B51" s="397">
        <v>1</v>
      </c>
      <c r="C51" s="524">
        <f>Data!$H$568*Data!$M$152*HayBud!$L$22</f>
        <v>0</v>
      </c>
      <c r="D51" s="525" t="s">
        <v>115</v>
      </c>
      <c r="E51" s="526">
        <f>C51*balehay</f>
        <v>0</v>
      </c>
      <c r="F51" s="527">
        <f>_wage_</f>
        <v>12.29</v>
      </c>
      <c r="G51" s="528">
        <f>C51*F51</f>
        <v>0</v>
      </c>
      <c r="H51" s="529">
        <f>IF($F$5=1,B51*G51*balehay*HayOwnC!$B$32,B51*G51*balehay*(($F$5-1)/$F$5)*HayOwnC!$B$32)</f>
        <v>0</v>
      </c>
      <c r="J51" s="114"/>
      <c r="K51" s="55"/>
    </row>
    <row r="52" spans="1:13" x14ac:dyDescent="0.3">
      <c r="A52" s="332" t="s">
        <v>700</v>
      </c>
      <c r="B52" s="397">
        <v>1</v>
      </c>
      <c r="C52" s="243">
        <f>Data!H569*HayBud!$L$23</f>
        <v>0</v>
      </c>
      <c r="D52" s="241" t="s">
        <v>128</v>
      </c>
      <c r="E52" s="329">
        <f t="shared" si="0"/>
        <v>0</v>
      </c>
      <c r="F52" s="331">
        <f t="shared" si="3"/>
        <v>12.29</v>
      </c>
      <c r="G52" s="330">
        <f t="shared" si="4"/>
        <v>0</v>
      </c>
      <c r="H52" s="333">
        <f>IF($F$5=1,B52*G52*balehay*HayOwnC!$B$33,B52*G52*balehay*(($F$5-1)/$F$5)*HayOwnC!$B$33)</f>
        <v>0</v>
      </c>
    </row>
    <row r="53" spans="1:13" x14ac:dyDescent="0.3">
      <c r="A53" s="523" t="s">
        <v>1022</v>
      </c>
      <c r="B53" s="397">
        <v>0</v>
      </c>
      <c r="C53" s="524">
        <f>Data!$H$570*Data!$U$152*HayBud!$L$23</f>
        <v>0</v>
      </c>
      <c r="D53" s="525" t="s">
        <v>115</v>
      </c>
      <c r="E53" s="526">
        <f>C53*balehay</f>
        <v>0</v>
      </c>
      <c r="F53" s="527">
        <f>_wage_</f>
        <v>12.29</v>
      </c>
      <c r="G53" s="528">
        <f>C53*F53</f>
        <v>0</v>
      </c>
      <c r="H53" s="529">
        <f>IF($F$5=1,B53*G53*balehay*HayOwnC!$B$33,B53*G53*balehay*(($F$5-1)/$F$5)*HayOwnC!$B$33)</f>
        <v>0</v>
      </c>
      <c r="J53" s="114"/>
      <c r="K53" s="55"/>
    </row>
    <row r="54" spans="1:13" x14ac:dyDescent="0.3">
      <c r="A54" s="332" t="s">
        <v>1033</v>
      </c>
      <c r="B54" s="397">
        <v>1</v>
      </c>
      <c r="C54" s="243">
        <f>Data!H571*HayBud!$L$23</f>
        <v>0</v>
      </c>
      <c r="D54" s="241" t="s">
        <v>128</v>
      </c>
      <c r="E54" s="329">
        <f t="shared" si="0"/>
        <v>0</v>
      </c>
      <c r="F54" s="331">
        <f t="shared" si="3"/>
        <v>12.29</v>
      </c>
      <c r="G54" s="330">
        <f t="shared" si="4"/>
        <v>0</v>
      </c>
      <c r="H54" s="333">
        <f>IF($F$5=1,B54*G54*balehay*HayOwnC!$B$33,B54*G54*balehay*(($F$5-1)/$F$5)*HayOwnC!$B$33)</f>
        <v>0</v>
      </c>
      <c r="J54" s="24"/>
    </row>
    <row r="55" spans="1:13" x14ac:dyDescent="0.3">
      <c r="A55" s="523" t="s">
        <v>1022</v>
      </c>
      <c r="B55" s="397">
        <v>1</v>
      </c>
      <c r="C55" s="524">
        <f>Data!$H$572*Data!$U$152*HayBud!$L$23</f>
        <v>0</v>
      </c>
      <c r="D55" s="525" t="s">
        <v>115</v>
      </c>
      <c r="E55" s="526">
        <f>C55*balehay</f>
        <v>0</v>
      </c>
      <c r="F55" s="527">
        <f>_wage_</f>
        <v>12.29</v>
      </c>
      <c r="G55" s="528">
        <f>C55*F55</f>
        <v>0</v>
      </c>
      <c r="H55" s="529">
        <f>IF($F$5=1,B55*G55*balehay*HayOwnC!$B$33,B55*G55*balehay*(($F$5-1)/$F$5)*HayOwnC!$B$33)</f>
        <v>0</v>
      </c>
      <c r="J55" s="114"/>
      <c r="K55" s="55"/>
    </row>
    <row r="56" spans="1:13" x14ac:dyDescent="0.3">
      <c r="A56" s="332" t="s">
        <v>1054</v>
      </c>
      <c r="B56" s="397">
        <v>1</v>
      </c>
      <c r="C56" s="243">
        <f>Data!$H$573*HayBud!$L$22</f>
        <v>0.26400000000000001</v>
      </c>
      <c r="D56" s="241" t="s">
        <v>128</v>
      </c>
      <c r="E56" s="329">
        <f t="shared" si="0"/>
        <v>0</v>
      </c>
      <c r="F56" s="331">
        <f t="shared" si="3"/>
        <v>12.29</v>
      </c>
      <c r="G56" s="330">
        <f t="shared" si="4"/>
        <v>3.2445599999999999</v>
      </c>
      <c r="H56" s="333">
        <f>IF($F$5=1,B56*G56*balehay*HayOwnC!$B$32,B56*G56*balehay*(($F$5-1)/$F$5)*HayOwnC!$B$32)</f>
        <v>0</v>
      </c>
    </row>
    <row r="57" spans="1:13" x14ac:dyDescent="0.3">
      <c r="A57" s="523" t="s">
        <v>1028</v>
      </c>
      <c r="B57" s="397">
        <v>1</v>
      </c>
      <c r="C57" s="524">
        <f>Data!$H$574*Data!$M$152*HayBud!$L$22</f>
        <v>0</v>
      </c>
      <c r="D57" s="525" t="s">
        <v>115</v>
      </c>
      <c r="E57" s="526">
        <f>C57*balehay</f>
        <v>0</v>
      </c>
      <c r="F57" s="527">
        <f>_wage_</f>
        <v>12.29</v>
      </c>
      <c r="G57" s="528">
        <f>C57*F57</f>
        <v>0</v>
      </c>
      <c r="H57" s="529">
        <f>IF($F$5=1,B57*G57*balehay*HayOwnC!$B$32,B57*G57*balehay*(($F$5-1)/$F$5)*HayOwnC!$B$32)</f>
        <v>0</v>
      </c>
      <c r="J57" s="114"/>
      <c r="K57" s="55"/>
    </row>
    <row r="58" spans="1:13" x14ac:dyDescent="0.3">
      <c r="A58" s="332" t="s">
        <v>1055</v>
      </c>
      <c r="B58" s="397">
        <v>1</v>
      </c>
      <c r="C58" s="243">
        <f>Data!$H$575*HayBud!$L$23</f>
        <v>0</v>
      </c>
      <c r="D58" s="241" t="s">
        <v>128</v>
      </c>
      <c r="E58" s="329">
        <f>C58*balehay</f>
        <v>0</v>
      </c>
      <c r="F58" s="331">
        <f t="shared" si="3"/>
        <v>12.29</v>
      </c>
      <c r="G58" s="330">
        <f>C58*F58</f>
        <v>0</v>
      </c>
      <c r="H58" s="333">
        <f>IF($F$5=1,B58*G58*balehay*HayOwnC!$B$33,B58*G58*balehay*(($F$5-1)/$F$5)*HayOwnC!$B$33)</f>
        <v>0</v>
      </c>
    </row>
    <row r="59" spans="1:13" x14ac:dyDescent="0.3">
      <c r="A59" s="523" t="s">
        <v>1029</v>
      </c>
      <c r="B59" s="397">
        <v>1</v>
      </c>
      <c r="C59" s="524">
        <f>Data!$H$576*Data!$U$152*HayBud!$L$23</f>
        <v>0</v>
      </c>
      <c r="D59" s="525" t="s">
        <v>115</v>
      </c>
      <c r="E59" s="526">
        <f>C59*balehay</f>
        <v>0</v>
      </c>
      <c r="F59" s="527">
        <f>_wage_</f>
        <v>12.29</v>
      </c>
      <c r="G59" s="528">
        <f>C59*F59</f>
        <v>0</v>
      </c>
      <c r="H59" s="529">
        <f>IF($F$5=1,B59*G59*balehay*HayOwnC!$B$33,B59*G59*balehay*(($F$5-1)/$F$5)*HayOwnC!$B$33)</f>
        <v>0</v>
      </c>
      <c r="J59" s="114"/>
      <c r="K59" s="55"/>
    </row>
    <row r="60" spans="1:13" x14ac:dyDescent="0.3">
      <c r="A60" s="95" t="s">
        <v>331</v>
      </c>
      <c r="B60" s="95"/>
      <c r="C60" s="46"/>
      <c r="D60" s="34"/>
      <c r="E60" s="34"/>
      <c r="F60" s="167"/>
      <c r="G60" s="114"/>
      <c r="H60" s="110"/>
      <c r="I60" s="87"/>
    </row>
    <row r="61" spans="1:13" x14ac:dyDescent="0.3">
      <c r="A61" s="6" t="s">
        <v>321</v>
      </c>
      <c r="B61" s="397">
        <v>1</v>
      </c>
      <c r="C61" s="273">
        <v>0</v>
      </c>
      <c r="D61" s="34" t="s">
        <v>115</v>
      </c>
      <c r="E61" s="226">
        <f>C61*balehay</f>
        <v>0</v>
      </c>
      <c r="F61" s="167">
        <f t="shared" si="3"/>
        <v>12.29</v>
      </c>
      <c r="G61" s="110">
        <f>C61*F61</f>
        <v>0</v>
      </c>
      <c r="H61" s="110">
        <f>B61*G61*balehay</f>
        <v>0</v>
      </c>
      <c r="I61" s="130">
        <f>SUM(H19:H61)</f>
        <v>0</v>
      </c>
    </row>
    <row r="62" spans="1:13" x14ac:dyDescent="0.3">
      <c r="A62" s="3" t="s">
        <v>66</v>
      </c>
      <c r="B62" s="3"/>
      <c r="C62" s="46"/>
      <c r="D62" s="34"/>
      <c r="E62" s="34"/>
      <c r="F62" s="104"/>
      <c r="G62" s="114"/>
      <c r="H62" s="110"/>
    </row>
    <row r="63" spans="1:13" x14ac:dyDescent="0.3">
      <c r="A63" s="95" t="s">
        <v>323</v>
      </c>
      <c r="B63" s="95"/>
      <c r="C63" s="46"/>
      <c r="D63" s="34"/>
      <c r="E63" s="34"/>
      <c r="F63" s="104"/>
      <c r="G63" s="114"/>
      <c r="H63" s="110"/>
    </row>
    <row r="64" spans="1:13" x14ac:dyDescent="0.3">
      <c r="A64" s="328" t="s">
        <v>484</v>
      </c>
      <c r="B64" s="405">
        <f t="shared" ref="B64:B78" si="5">B20</f>
        <v>1</v>
      </c>
      <c r="C64" s="243">
        <f>Data!R525</f>
        <v>0.6028033322985753</v>
      </c>
      <c r="D64" s="241" t="s">
        <v>119</v>
      </c>
      <c r="E64" s="329">
        <f t="shared" ref="E64:E100" si="6">C64*balehay</f>
        <v>0</v>
      </c>
      <c r="F64" s="331">
        <f t="shared" ref="F64:F71" si="7">diesel_fuel</f>
        <v>2.56</v>
      </c>
      <c r="G64" s="330">
        <f t="shared" ref="G64:G71" si="8">C64*F64</f>
        <v>1.5431765306843528</v>
      </c>
      <c r="H64" s="333">
        <f>(B64*G64*balehay)/$F$5</f>
        <v>0</v>
      </c>
      <c r="I64" s="110"/>
      <c r="K64" s="55"/>
      <c r="L64" s="24"/>
      <c r="M64" s="81"/>
    </row>
    <row r="65" spans="1:13" x14ac:dyDescent="0.3">
      <c r="A65" s="328" t="s">
        <v>485</v>
      </c>
      <c r="B65" s="405">
        <f t="shared" si="5"/>
        <v>1</v>
      </c>
      <c r="C65" s="243">
        <f>Data!R526</f>
        <v>0.83039215686274503</v>
      </c>
      <c r="D65" s="241" t="s">
        <v>119</v>
      </c>
      <c r="E65" s="329">
        <f t="shared" si="6"/>
        <v>0</v>
      </c>
      <c r="F65" s="331">
        <f t="shared" si="7"/>
        <v>2.56</v>
      </c>
      <c r="G65" s="330">
        <f t="shared" si="8"/>
        <v>2.1258039215686275</v>
      </c>
      <c r="H65" s="333">
        <f>(B65*G65*balehay)/$F$5</f>
        <v>0</v>
      </c>
      <c r="I65" s="110"/>
      <c r="K65" s="55"/>
      <c r="L65" s="24"/>
      <c r="M65" s="81"/>
    </row>
    <row r="66" spans="1:13" x14ac:dyDescent="0.3">
      <c r="A66" s="22" t="s">
        <v>581</v>
      </c>
      <c r="B66" s="405">
        <f t="shared" si="5"/>
        <v>1</v>
      </c>
      <c r="C66" s="156">
        <f>Data!R527</f>
        <v>0.13183670241332501</v>
      </c>
      <c r="D66" s="34" t="s">
        <v>119</v>
      </c>
      <c r="E66" s="226">
        <f t="shared" si="6"/>
        <v>0</v>
      </c>
      <c r="F66" s="167">
        <f t="shared" si="7"/>
        <v>2.56</v>
      </c>
      <c r="G66" s="114">
        <f t="shared" si="8"/>
        <v>0.33750195817811202</v>
      </c>
      <c r="H66" s="110">
        <f>B66*G66*balehay</f>
        <v>0</v>
      </c>
      <c r="L66" s="62"/>
    </row>
    <row r="67" spans="1:13" x14ac:dyDescent="0.3">
      <c r="A67" s="332" t="s">
        <v>316</v>
      </c>
      <c r="B67" s="405">
        <f t="shared" si="5"/>
        <v>1</v>
      </c>
      <c r="C67" s="273">
        <v>0</v>
      </c>
      <c r="D67" s="241" t="s">
        <v>119</v>
      </c>
      <c r="E67" s="329">
        <f t="shared" si="6"/>
        <v>0</v>
      </c>
      <c r="F67" s="331">
        <f t="shared" si="7"/>
        <v>2.56</v>
      </c>
      <c r="G67" s="333">
        <f t="shared" si="8"/>
        <v>0</v>
      </c>
      <c r="H67" s="333">
        <f>(B67*G67*balehay)/$F$5</f>
        <v>0</v>
      </c>
      <c r="I67" s="110"/>
      <c r="K67" s="55"/>
      <c r="L67" s="24"/>
      <c r="M67" s="81"/>
    </row>
    <row r="68" spans="1:13" x14ac:dyDescent="0.3">
      <c r="A68" s="332" t="s">
        <v>411</v>
      </c>
      <c r="B68" s="405">
        <f t="shared" si="5"/>
        <v>1</v>
      </c>
      <c r="C68" s="243">
        <f>Data!R528</f>
        <v>0.29913189036743482</v>
      </c>
      <c r="D68" s="241" t="s">
        <v>119</v>
      </c>
      <c r="E68" s="329">
        <f t="shared" si="6"/>
        <v>0</v>
      </c>
      <c r="F68" s="331">
        <f t="shared" si="7"/>
        <v>2.56</v>
      </c>
      <c r="G68" s="330">
        <f t="shared" si="8"/>
        <v>0.76577763934063314</v>
      </c>
      <c r="H68" s="333">
        <f>(B68*G68*balehay)/$F$5</f>
        <v>0</v>
      </c>
      <c r="I68" s="110"/>
      <c r="K68" s="55"/>
      <c r="L68" s="24"/>
      <c r="M68" s="81"/>
    </row>
    <row r="69" spans="1:13" x14ac:dyDescent="0.3">
      <c r="A69" s="494" t="s">
        <v>736</v>
      </c>
      <c r="B69" s="514">
        <f t="shared" si="5"/>
        <v>1</v>
      </c>
      <c r="C69" s="495">
        <f>Data!R531</f>
        <v>0.5114623979838181</v>
      </c>
      <c r="D69" s="241" t="s">
        <v>119</v>
      </c>
      <c r="E69" s="496">
        <f t="shared" si="6"/>
        <v>0</v>
      </c>
      <c r="F69" s="497">
        <f t="shared" si="7"/>
        <v>2.56</v>
      </c>
      <c r="G69" s="517">
        <f t="shared" si="8"/>
        <v>1.3093437388385742</v>
      </c>
      <c r="H69" s="518">
        <f>(B69*G69*balehay)/$F$5</f>
        <v>0</v>
      </c>
      <c r="I69" s="110"/>
      <c r="K69" s="55"/>
      <c r="L69" s="24"/>
      <c r="M69" s="81"/>
    </row>
    <row r="70" spans="1:13" x14ac:dyDescent="0.3">
      <c r="A70" s="332" t="s">
        <v>304</v>
      </c>
      <c r="B70" s="405">
        <f t="shared" si="5"/>
        <v>1</v>
      </c>
      <c r="C70" s="243">
        <f>Data!R537</f>
        <v>0.11981642612033799</v>
      </c>
      <c r="D70" s="241" t="s">
        <v>119</v>
      </c>
      <c r="E70" s="329">
        <f t="shared" si="6"/>
        <v>0</v>
      </c>
      <c r="F70" s="331">
        <f t="shared" si="7"/>
        <v>2.56</v>
      </c>
      <c r="G70" s="330">
        <f t="shared" si="8"/>
        <v>0.30673005086806526</v>
      </c>
      <c r="H70" s="333">
        <f>(B70*G70*balehay)/$F$5</f>
        <v>0</v>
      </c>
      <c r="I70" s="110"/>
      <c r="K70" s="55"/>
      <c r="L70" s="24"/>
      <c r="M70" s="81"/>
    </row>
    <row r="71" spans="1:13" s="374" customFormat="1" x14ac:dyDescent="0.3">
      <c r="A71" s="503" t="s">
        <v>304</v>
      </c>
      <c r="B71" s="405">
        <f t="shared" si="5"/>
        <v>1</v>
      </c>
      <c r="C71" s="519">
        <f>Data!R537</f>
        <v>0.11981642612033799</v>
      </c>
      <c r="D71" s="34" t="s">
        <v>119</v>
      </c>
      <c r="E71" s="506">
        <f>C71*balehay</f>
        <v>0</v>
      </c>
      <c r="F71" s="507">
        <f t="shared" si="7"/>
        <v>2.56</v>
      </c>
      <c r="G71" s="114">
        <f t="shared" si="8"/>
        <v>0.30673005086806526</v>
      </c>
      <c r="H71" s="110">
        <f>B71*G71*balehay</f>
        <v>0</v>
      </c>
      <c r="I71" s="211"/>
      <c r="K71" s="372"/>
      <c r="L71" s="174"/>
      <c r="M71" s="373"/>
    </row>
    <row r="72" spans="1:13" x14ac:dyDescent="0.3">
      <c r="A72" s="502" t="s">
        <v>324</v>
      </c>
      <c r="B72" s="405">
        <f t="shared" si="5"/>
        <v>1</v>
      </c>
      <c r="C72" s="516">
        <f>Data!R538</f>
        <v>0.40333333333333299</v>
      </c>
      <c r="D72" s="34" t="s">
        <v>119</v>
      </c>
      <c r="E72" s="501">
        <f t="shared" si="6"/>
        <v>0</v>
      </c>
      <c r="F72" s="499">
        <f t="shared" ref="F72:F105" si="9">diesel_fuel</f>
        <v>2.56</v>
      </c>
      <c r="G72" s="114">
        <f t="shared" ref="G72:G88" si="10">C72*F72</f>
        <v>1.0325333333333324</v>
      </c>
      <c r="H72" s="110">
        <f>B72*G72*balehay</f>
        <v>0</v>
      </c>
      <c r="K72" s="55"/>
      <c r="L72" s="55"/>
    </row>
    <row r="73" spans="1:13" x14ac:dyDescent="0.3">
      <c r="A73" s="22" t="s">
        <v>703</v>
      </c>
      <c r="B73" s="515">
        <f t="shared" si="5"/>
        <v>1</v>
      </c>
      <c r="C73" s="156">
        <f>Data!R543</f>
        <v>0.28809523809523802</v>
      </c>
      <c r="D73" s="34" t="s">
        <v>119</v>
      </c>
      <c r="E73" s="226">
        <f t="shared" si="6"/>
        <v>0</v>
      </c>
      <c r="F73" s="167">
        <f t="shared" si="9"/>
        <v>2.56</v>
      </c>
      <c r="G73" s="114">
        <f t="shared" si="10"/>
        <v>0.73752380952380936</v>
      </c>
      <c r="H73" s="110">
        <f>B73*G73*balehay</f>
        <v>0</v>
      </c>
      <c r="K73" s="55"/>
      <c r="L73" s="55"/>
    </row>
    <row r="74" spans="1:13" x14ac:dyDescent="0.3">
      <c r="A74" s="22" t="s">
        <v>704</v>
      </c>
      <c r="B74" s="405">
        <f t="shared" si="5"/>
        <v>1</v>
      </c>
      <c r="C74" s="156">
        <f>Data!R544</f>
        <v>0.28809523809523802</v>
      </c>
      <c r="D74" s="34" t="s">
        <v>119</v>
      </c>
      <c r="E74" s="226">
        <f t="shared" si="6"/>
        <v>0</v>
      </c>
      <c r="F74" s="167">
        <f t="shared" si="9"/>
        <v>2.56</v>
      </c>
      <c r="G74" s="114">
        <f t="shared" si="10"/>
        <v>0.73752380952380936</v>
      </c>
      <c r="H74" s="110">
        <f>B74*G74*balehay</f>
        <v>0</v>
      </c>
      <c r="K74" s="55"/>
      <c r="L74" s="55"/>
    </row>
    <row r="75" spans="1:13" x14ac:dyDescent="0.3">
      <c r="A75" s="22" t="s">
        <v>737</v>
      </c>
      <c r="B75" s="405">
        <f t="shared" si="5"/>
        <v>1</v>
      </c>
      <c r="C75" s="156">
        <f>Data!R545</f>
        <v>0.34903846153846102</v>
      </c>
      <c r="D75" s="34" t="s">
        <v>119</v>
      </c>
      <c r="E75" s="226">
        <f t="shared" si="6"/>
        <v>0</v>
      </c>
      <c r="F75" s="167">
        <f>diesel_fuel</f>
        <v>2.56</v>
      </c>
      <c r="G75" s="114">
        <f t="shared" si="10"/>
        <v>0.89353846153846028</v>
      </c>
      <c r="H75" s="110">
        <f>B75*G75*balehay*HayOwnC!$B$32</f>
        <v>0</v>
      </c>
      <c r="K75" s="55"/>
      <c r="L75" s="55"/>
    </row>
    <row r="76" spans="1:13" x14ac:dyDescent="0.3">
      <c r="A76" s="9" t="s">
        <v>1022</v>
      </c>
      <c r="B76" s="405">
        <f t="shared" si="5"/>
        <v>0</v>
      </c>
      <c r="C76" s="47">
        <f>Data!$R$546*Data!$M$152</f>
        <v>0</v>
      </c>
      <c r="D76" s="48" t="s">
        <v>119</v>
      </c>
      <c r="E76" s="83">
        <f>C76*balehay</f>
        <v>0</v>
      </c>
      <c r="F76" s="118">
        <f>diesel_fuel</f>
        <v>2.56</v>
      </c>
      <c r="G76" s="465">
        <f>C76*F76</f>
        <v>0</v>
      </c>
      <c r="H76" s="123">
        <f>B76*G76*balehay*HayOwnC!$B$32</f>
        <v>0</v>
      </c>
      <c r="J76" s="114"/>
      <c r="K76" s="55"/>
    </row>
    <row r="77" spans="1:13" x14ac:dyDescent="0.3">
      <c r="A77" s="22" t="s">
        <v>1032</v>
      </c>
      <c r="B77" s="405">
        <f t="shared" si="5"/>
        <v>1</v>
      </c>
      <c r="C77" s="156">
        <f>Data!R547</f>
        <v>0.1</v>
      </c>
      <c r="D77" s="34" t="s">
        <v>119</v>
      </c>
      <c r="E77" s="226">
        <f t="shared" si="6"/>
        <v>0</v>
      </c>
      <c r="F77" s="167">
        <f t="shared" si="9"/>
        <v>2.56</v>
      </c>
      <c r="G77" s="114">
        <f t="shared" si="10"/>
        <v>0.25600000000000001</v>
      </c>
      <c r="H77" s="110">
        <f>B77*G77*balehay*HayOwnC!$B$32</f>
        <v>0</v>
      </c>
      <c r="K77" s="55"/>
      <c r="L77" s="55"/>
    </row>
    <row r="78" spans="1:13" x14ac:dyDescent="0.3">
      <c r="A78" s="9" t="s">
        <v>1022</v>
      </c>
      <c r="B78" s="405">
        <f t="shared" si="5"/>
        <v>1</v>
      </c>
      <c r="C78" s="47">
        <f>Data!$R$548*Data!$M$152</f>
        <v>0</v>
      </c>
      <c r="D78" s="48" t="s">
        <v>119</v>
      </c>
      <c r="E78" s="83">
        <f>C78*balehay</f>
        <v>0</v>
      </c>
      <c r="F78" s="118">
        <f>diesel_fuel</f>
        <v>2.56</v>
      </c>
      <c r="G78" s="465">
        <f>C78*F78</f>
        <v>0</v>
      </c>
      <c r="H78" s="123">
        <f>B78*G78*balehay*HayOwnC!$B$32</f>
        <v>0</v>
      </c>
      <c r="J78" s="114"/>
      <c r="K78" s="55"/>
    </row>
    <row r="79" spans="1:13" x14ac:dyDescent="0.3">
      <c r="A79" s="22" t="s">
        <v>705</v>
      </c>
      <c r="B79" s="405">
        <f t="shared" ref="B79:B86" si="11">B35</f>
        <v>1</v>
      </c>
      <c r="C79" s="156">
        <f>Data!R549</f>
        <v>0.40333333333333299</v>
      </c>
      <c r="D79" s="34" t="s">
        <v>119</v>
      </c>
      <c r="E79" s="226">
        <f t="shared" si="6"/>
        <v>0</v>
      </c>
      <c r="F79" s="167">
        <f t="shared" si="9"/>
        <v>2.56</v>
      </c>
      <c r="G79" s="114">
        <f t="shared" si="10"/>
        <v>1.0325333333333324</v>
      </c>
      <c r="H79" s="110">
        <f>B79*G79*balehay*HayOwnC!$B$33</f>
        <v>0</v>
      </c>
      <c r="K79" s="55"/>
      <c r="L79" s="55"/>
    </row>
    <row r="80" spans="1:13" x14ac:dyDescent="0.3">
      <c r="A80" s="9" t="s">
        <v>1022</v>
      </c>
      <c r="B80" s="405">
        <f t="shared" si="11"/>
        <v>0</v>
      </c>
      <c r="C80" s="47">
        <f>Data!$R$550*Data!$U$152</f>
        <v>0</v>
      </c>
      <c r="D80" s="48" t="s">
        <v>119</v>
      </c>
      <c r="E80" s="83">
        <f>C80*balehay</f>
        <v>0</v>
      </c>
      <c r="F80" s="118">
        <f>diesel_fuel</f>
        <v>2.56</v>
      </c>
      <c r="G80" s="465">
        <f>C80*F80</f>
        <v>0</v>
      </c>
      <c r="H80" s="123">
        <f>B80*G80*balehay*HayOwnC!$B$33</f>
        <v>0</v>
      </c>
      <c r="J80" s="114"/>
      <c r="K80" s="55"/>
    </row>
    <row r="81" spans="1:12" x14ac:dyDescent="0.3">
      <c r="A81" s="22" t="s">
        <v>1033</v>
      </c>
      <c r="B81" s="405">
        <f t="shared" si="11"/>
        <v>1</v>
      </c>
      <c r="C81" s="165">
        <f>Data!R551</f>
        <v>0</v>
      </c>
      <c r="D81" s="34" t="s">
        <v>119</v>
      </c>
      <c r="E81" s="226">
        <f t="shared" si="6"/>
        <v>0</v>
      </c>
      <c r="F81" s="167">
        <f t="shared" si="9"/>
        <v>2.56</v>
      </c>
      <c r="G81" s="110">
        <f t="shared" si="10"/>
        <v>0</v>
      </c>
      <c r="H81" s="110">
        <f>B81*G81*balehay*HayOwnC!$B$33</f>
        <v>0</v>
      </c>
      <c r="K81" s="55"/>
      <c r="L81" s="55"/>
    </row>
    <row r="82" spans="1:12" x14ac:dyDescent="0.3">
      <c r="A82" s="9" t="s">
        <v>1022</v>
      </c>
      <c r="B82" s="405">
        <f t="shared" si="11"/>
        <v>1</v>
      </c>
      <c r="C82" s="83">
        <f>Data!$R$552*Data!$U$152</f>
        <v>0</v>
      </c>
      <c r="D82" s="48" t="s">
        <v>119</v>
      </c>
      <c r="E82" s="83">
        <f>C82*balehay</f>
        <v>0</v>
      </c>
      <c r="F82" s="118">
        <f>diesel_fuel</f>
        <v>2.56</v>
      </c>
      <c r="G82" s="123">
        <f>C82*F82</f>
        <v>0</v>
      </c>
      <c r="H82" s="123">
        <f>B82*G82*balehay*HayOwnC!$B$33</f>
        <v>0</v>
      </c>
      <c r="J82" s="114"/>
      <c r="K82" s="55"/>
    </row>
    <row r="83" spans="1:12" x14ac:dyDescent="0.3">
      <c r="A83" s="22" t="s">
        <v>1058</v>
      </c>
      <c r="B83" s="405">
        <f t="shared" si="11"/>
        <v>1</v>
      </c>
      <c r="C83" s="156">
        <f>Data!$R$553*HayBud!$L$22</f>
        <v>0.11</v>
      </c>
      <c r="D83" s="34" t="s">
        <v>119</v>
      </c>
      <c r="E83" s="226">
        <f t="shared" si="6"/>
        <v>0</v>
      </c>
      <c r="F83" s="167">
        <f>diesel_fuel</f>
        <v>2.56</v>
      </c>
      <c r="G83" s="114">
        <f t="shared" si="10"/>
        <v>0.28160000000000002</v>
      </c>
      <c r="H83" s="110">
        <f>B83*G83*balehay</f>
        <v>0</v>
      </c>
      <c r="K83" s="55"/>
      <c r="L83" s="55"/>
    </row>
    <row r="84" spans="1:12" x14ac:dyDescent="0.3">
      <c r="A84" s="9" t="s">
        <v>1028</v>
      </c>
      <c r="B84" s="405">
        <f t="shared" si="11"/>
        <v>1</v>
      </c>
      <c r="C84" s="47">
        <f>Data!$R$554*Data!$M$152*HayBud!$L$22</f>
        <v>0</v>
      </c>
      <c r="D84" s="48" t="s">
        <v>119</v>
      </c>
      <c r="E84" s="83">
        <f>C84*balehay</f>
        <v>0</v>
      </c>
      <c r="F84" s="118">
        <f>diesel_fuel</f>
        <v>2.56</v>
      </c>
      <c r="G84" s="465">
        <f>C84*F84</f>
        <v>0</v>
      </c>
      <c r="H84" s="123">
        <f>B84*G84*balehay*HayOwnC!$B$32</f>
        <v>0</v>
      </c>
      <c r="J84" s="114"/>
      <c r="K84" s="55"/>
    </row>
    <row r="85" spans="1:12" x14ac:dyDescent="0.3">
      <c r="A85" s="22" t="s">
        <v>1060</v>
      </c>
      <c r="B85" s="405">
        <f t="shared" si="11"/>
        <v>1</v>
      </c>
      <c r="C85" s="156">
        <f>Data!$R$553*HayBud!$L$23</f>
        <v>0</v>
      </c>
      <c r="D85" s="34" t="s">
        <v>119</v>
      </c>
      <c r="E85" s="226">
        <f>C85*balehay</f>
        <v>0</v>
      </c>
      <c r="F85" s="167">
        <f>diesel_fuel</f>
        <v>2.56</v>
      </c>
      <c r="G85" s="114">
        <f>C85*F85</f>
        <v>0</v>
      </c>
      <c r="H85" s="110">
        <f>B85*G85*balehay</f>
        <v>0</v>
      </c>
      <c r="K85" s="55"/>
      <c r="L85" s="55"/>
    </row>
    <row r="86" spans="1:12" x14ac:dyDescent="0.3">
      <c r="A86" s="9" t="s">
        <v>1029</v>
      </c>
      <c r="B86" s="405">
        <f t="shared" si="11"/>
        <v>1</v>
      </c>
      <c r="C86" s="47">
        <f>Data!$R$554*Data!$U$152*HayBud!$L$23</f>
        <v>0</v>
      </c>
      <c r="D86" s="48" t="s">
        <v>119</v>
      </c>
      <c r="E86" s="83">
        <f>C86*balehay</f>
        <v>0</v>
      </c>
      <c r="F86" s="118">
        <f>diesel_fuel</f>
        <v>2.56</v>
      </c>
      <c r="G86" s="465">
        <f>C86*F86</f>
        <v>0</v>
      </c>
      <c r="H86" s="123">
        <f>B86*G86*balehay*HayOwnC!$B$33</f>
        <v>0</v>
      </c>
      <c r="J86" s="114"/>
      <c r="K86" s="55"/>
    </row>
    <row r="87" spans="1:12" x14ac:dyDescent="0.3">
      <c r="A87" s="22" t="s">
        <v>322</v>
      </c>
      <c r="B87" s="405">
        <f t="shared" ref="B87:B99" si="12">B43</f>
        <v>1</v>
      </c>
      <c r="C87" s="273">
        <f>0</f>
        <v>0</v>
      </c>
      <c r="D87" s="34" t="s">
        <v>119</v>
      </c>
      <c r="E87" s="226">
        <f t="shared" si="6"/>
        <v>0</v>
      </c>
      <c r="F87" s="167">
        <f t="shared" si="9"/>
        <v>2.56</v>
      </c>
      <c r="G87" s="110">
        <f t="shared" si="10"/>
        <v>0</v>
      </c>
      <c r="H87" s="110">
        <f>B87*G87*balehay</f>
        <v>0</v>
      </c>
      <c r="K87" s="55"/>
      <c r="L87" s="55"/>
    </row>
    <row r="88" spans="1:12" x14ac:dyDescent="0.3">
      <c r="A88" s="22" t="s">
        <v>581</v>
      </c>
      <c r="B88" s="405">
        <f t="shared" si="12"/>
        <v>1</v>
      </c>
      <c r="C88" s="156">
        <f>Data!R557</f>
        <v>0.13183670241332496</v>
      </c>
      <c r="D88" s="34" t="s">
        <v>119</v>
      </c>
      <c r="E88" s="226">
        <f t="shared" si="6"/>
        <v>0</v>
      </c>
      <c r="F88" s="167">
        <f>diesel_fuel</f>
        <v>2.56</v>
      </c>
      <c r="G88" s="114">
        <f t="shared" si="10"/>
        <v>0.3375019581781119</v>
      </c>
      <c r="H88" s="110">
        <f>B88*G88*balehay</f>
        <v>0</v>
      </c>
      <c r="L88" s="62"/>
    </row>
    <row r="89" spans="1:12" x14ac:dyDescent="0.3">
      <c r="A89" s="332" t="s">
        <v>328</v>
      </c>
      <c r="B89" s="405">
        <f t="shared" si="12"/>
        <v>1</v>
      </c>
      <c r="C89" s="243">
        <f>Data!R558</f>
        <v>0.44114583333333302</v>
      </c>
      <c r="D89" s="241" t="s">
        <v>119</v>
      </c>
      <c r="E89" s="329">
        <f t="shared" si="6"/>
        <v>0</v>
      </c>
      <c r="F89" s="331">
        <f t="shared" si="9"/>
        <v>2.56</v>
      </c>
      <c r="G89" s="330">
        <f t="shared" ref="G89:G100" si="13">C89*F89</f>
        <v>1.1293333333333326</v>
      </c>
      <c r="H89" s="333">
        <f>IF($F$5=1,B89*G89*balehay,B89*G89*balehay*(($F$5-1)/$F$5))</f>
        <v>0</v>
      </c>
      <c r="I89" s="98"/>
      <c r="K89" s="55"/>
      <c r="L89" s="55"/>
    </row>
    <row r="90" spans="1:12" x14ac:dyDescent="0.3">
      <c r="A90" s="332" t="s">
        <v>698</v>
      </c>
      <c r="B90" s="405">
        <f t="shared" si="12"/>
        <v>1</v>
      </c>
      <c r="C90" s="243">
        <f>Data!R563</f>
        <v>0.28809523809523802</v>
      </c>
      <c r="D90" s="241" t="s">
        <v>119</v>
      </c>
      <c r="E90" s="329">
        <f t="shared" si="6"/>
        <v>0</v>
      </c>
      <c r="F90" s="331">
        <f t="shared" si="9"/>
        <v>2.56</v>
      </c>
      <c r="G90" s="330">
        <f t="shared" si="13"/>
        <v>0.73752380952380936</v>
      </c>
      <c r="H90" s="333">
        <f>IF($F$5=1,B90*G90*balehay,B90*G90*balehay*(($F$5-1)/$F$5))</f>
        <v>0</v>
      </c>
      <c r="I90" s="98"/>
      <c r="K90" s="55"/>
      <c r="L90" s="55"/>
    </row>
    <row r="91" spans="1:12" x14ac:dyDescent="0.3">
      <c r="A91" s="332" t="s">
        <v>701</v>
      </c>
      <c r="B91" s="405">
        <f t="shared" si="12"/>
        <v>1</v>
      </c>
      <c r="C91" s="243">
        <f>Data!R564</f>
        <v>0.28809523809523802</v>
      </c>
      <c r="D91" s="241" t="s">
        <v>119</v>
      </c>
      <c r="E91" s="329">
        <f t="shared" si="6"/>
        <v>0</v>
      </c>
      <c r="F91" s="331">
        <f t="shared" si="9"/>
        <v>2.56</v>
      </c>
      <c r="G91" s="330">
        <f t="shared" si="13"/>
        <v>0.73752380952380936</v>
      </c>
      <c r="H91" s="333">
        <f>IF($F$5=1,B91*G91*balehay,B91*G91*balehay*(($F$5-1)/$F$5))</f>
        <v>0</v>
      </c>
      <c r="K91" s="55"/>
      <c r="L91" s="55"/>
    </row>
    <row r="92" spans="1:12" x14ac:dyDescent="0.3">
      <c r="A92" s="332" t="s">
        <v>738</v>
      </c>
      <c r="B92" s="405">
        <f t="shared" si="12"/>
        <v>1</v>
      </c>
      <c r="C92" s="243">
        <f>Data!R565</f>
        <v>0.34903846153846102</v>
      </c>
      <c r="D92" s="241" t="s">
        <v>119</v>
      </c>
      <c r="E92" s="329">
        <f t="shared" si="6"/>
        <v>0</v>
      </c>
      <c r="F92" s="331">
        <f>diesel_fuel</f>
        <v>2.56</v>
      </c>
      <c r="G92" s="330">
        <f t="shared" si="13"/>
        <v>0.89353846153846028</v>
      </c>
      <c r="H92" s="333">
        <f>IF($F$5=1,B92*G92*balehay*HayOwnC!$B$32,B92*G92*balehay*(($F$5-1)/$F$5)*HayOwnC!$B$32)</f>
        <v>0</v>
      </c>
      <c r="K92" s="55"/>
      <c r="L92" s="55"/>
    </row>
    <row r="93" spans="1:12" x14ac:dyDescent="0.3">
      <c r="A93" s="523" t="s">
        <v>1022</v>
      </c>
      <c r="B93" s="405">
        <f t="shared" si="12"/>
        <v>0</v>
      </c>
      <c r="C93" s="524">
        <f>Data!$R$566*Data!$M$152*HayBud!$L$22</f>
        <v>0</v>
      </c>
      <c r="D93" s="525" t="s">
        <v>119</v>
      </c>
      <c r="E93" s="526">
        <f>C93*balehay</f>
        <v>0</v>
      </c>
      <c r="F93" s="527">
        <f>diesel_fuel</f>
        <v>2.56</v>
      </c>
      <c r="G93" s="528">
        <f>C93*F93</f>
        <v>0</v>
      </c>
      <c r="H93" s="529">
        <f>IF($F$5=1,B93*G93*balehay*HayOwnC!$B$32,B93*G93*balehay*(($F$5-1)/$F$5)*HayOwnC!$B$32)</f>
        <v>0</v>
      </c>
      <c r="J93" s="114"/>
      <c r="K93" s="55"/>
    </row>
    <row r="94" spans="1:12" x14ac:dyDescent="0.3">
      <c r="A94" s="332" t="s">
        <v>1032</v>
      </c>
      <c r="B94" s="405">
        <f>B50</f>
        <v>1</v>
      </c>
      <c r="C94" s="243">
        <f>Data!R567</f>
        <v>0.1</v>
      </c>
      <c r="D94" s="241" t="s">
        <v>119</v>
      </c>
      <c r="E94" s="329">
        <f t="shared" si="6"/>
        <v>0</v>
      </c>
      <c r="F94" s="331">
        <f t="shared" si="9"/>
        <v>2.56</v>
      </c>
      <c r="G94" s="330">
        <f t="shared" si="13"/>
        <v>0.25600000000000001</v>
      </c>
      <c r="H94" s="333">
        <f>IF($F$5=1,B94*G94*balehay*HayOwnC!$B$32,B94*G94*balehay*(($F$5-1)/$F$5)*HayOwnC!$B$32)</f>
        <v>0</v>
      </c>
      <c r="J94" s="98"/>
      <c r="K94" s="55"/>
      <c r="L94" s="55"/>
    </row>
    <row r="95" spans="1:12" x14ac:dyDescent="0.3">
      <c r="A95" s="523" t="s">
        <v>1022</v>
      </c>
      <c r="B95" s="405">
        <f t="shared" si="12"/>
        <v>1</v>
      </c>
      <c r="C95" s="524">
        <f>Data!$R$568*Data!$M$152*HayBud!$L$22</f>
        <v>0</v>
      </c>
      <c r="D95" s="525" t="s">
        <v>119</v>
      </c>
      <c r="E95" s="526">
        <f>C95*balehay</f>
        <v>0</v>
      </c>
      <c r="F95" s="527">
        <f>diesel_fuel</f>
        <v>2.56</v>
      </c>
      <c r="G95" s="528">
        <f>C95*F95</f>
        <v>0</v>
      </c>
      <c r="H95" s="529">
        <f>IF($F$5=1,B95*G95*balehay*HayOwnC!$B$32,B95*G95*balehay*(($F$5-1)/$F$5)*HayOwnC!$B$32)</f>
        <v>0</v>
      </c>
      <c r="J95" s="114"/>
      <c r="K95" s="55"/>
    </row>
    <row r="96" spans="1:12" x14ac:dyDescent="0.3">
      <c r="A96" s="332" t="s">
        <v>700</v>
      </c>
      <c r="B96" s="405">
        <f>B52</f>
        <v>1</v>
      </c>
      <c r="C96" s="243">
        <f>Data!R569*HayBud!$L$23</f>
        <v>0</v>
      </c>
      <c r="D96" s="241" t="s">
        <v>119</v>
      </c>
      <c r="E96" s="329">
        <f t="shared" si="6"/>
        <v>0</v>
      </c>
      <c r="F96" s="331">
        <f t="shared" si="9"/>
        <v>2.56</v>
      </c>
      <c r="G96" s="330">
        <f t="shared" si="13"/>
        <v>0</v>
      </c>
      <c r="H96" s="333">
        <f>IF($F$5=1,B96*G96*balehay*HayOwnC!$B$33,B96*G96*balehay*(($F$5-1)/$F$5)*HayOwnC!$B$33)</f>
        <v>0</v>
      </c>
      <c r="K96" s="55"/>
      <c r="L96" s="55"/>
    </row>
    <row r="97" spans="1:13" x14ac:dyDescent="0.3">
      <c r="A97" s="523" t="s">
        <v>1022</v>
      </c>
      <c r="B97" s="405">
        <f>B53</f>
        <v>0</v>
      </c>
      <c r="C97" s="524">
        <f>Data!$R$570*Data!$U$152*HayBud!$L$23</f>
        <v>0</v>
      </c>
      <c r="D97" s="525" t="s">
        <v>119</v>
      </c>
      <c r="E97" s="526">
        <f>C97*balehay</f>
        <v>0</v>
      </c>
      <c r="F97" s="527">
        <f>diesel_fuel</f>
        <v>2.56</v>
      </c>
      <c r="G97" s="528">
        <f>C97*F97</f>
        <v>0</v>
      </c>
      <c r="H97" s="529">
        <f>IF($F$5=1,B97*G97*balehay*HayOwnC!$B$33,B97*G97*balehay*(($F$5-1)/$F$5)*HayOwnC!$B$33)</f>
        <v>0</v>
      </c>
      <c r="J97" s="114"/>
      <c r="K97" s="55"/>
    </row>
    <row r="98" spans="1:13" x14ac:dyDescent="0.3">
      <c r="A98" s="332" t="s">
        <v>1033</v>
      </c>
      <c r="B98" s="405">
        <f>B54</f>
        <v>1</v>
      </c>
      <c r="C98" s="337">
        <f>Data!R571*HayBud!$L$23</f>
        <v>0</v>
      </c>
      <c r="D98" s="241" t="s">
        <v>119</v>
      </c>
      <c r="E98" s="329">
        <f t="shared" si="6"/>
        <v>0</v>
      </c>
      <c r="F98" s="331">
        <f t="shared" si="9"/>
        <v>2.56</v>
      </c>
      <c r="G98" s="333">
        <f t="shared" si="13"/>
        <v>0</v>
      </c>
      <c r="H98" s="333">
        <f>IF($F$5=1,B98*G98*balehay*HayOwnC!$B$33,B98*G98*balehay*(($F$5-1)/$F$5)*HayOwnC!$B$33)</f>
        <v>0</v>
      </c>
      <c r="K98" s="55"/>
      <c r="L98" s="55"/>
    </row>
    <row r="99" spans="1:13" x14ac:dyDescent="0.3">
      <c r="A99" s="523" t="s">
        <v>1022</v>
      </c>
      <c r="B99" s="405">
        <f t="shared" si="12"/>
        <v>1</v>
      </c>
      <c r="C99" s="531">
        <f>Data!$R$572*Data!$U$152*HayBud!$L$23</f>
        <v>0</v>
      </c>
      <c r="D99" s="525" t="s">
        <v>119</v>
      </c>
      <c r="E99" s="526">
        <f>C99*balehay</f>
        <v>0</v>
      </c>
      <c r="F99" s="527">
        <f>diesel_fuel</f>
        <v>2.56</v>
      </c>
      <c r="G99" s="532">
        <f>C99*F99</f>
        <v>0</v>
      </c>
      <c r="H99" s="529">
        <f>IF($F$5=1,B99*G99*balehay*HayOwnC!$B$33,B99*G99*balehay*(($F$5-1)/$F$5)*HayOwnC!$B$33)</f>
        <v>0</v>
      </c>
      <c r="J99" s="114"/>
      <c r="K99" s="55"/>
    </row>
    <row r="100" spans="1:13" x14ac:dyDescent="0.3">
      <c r="A100" s="332" t="s">
        <v>1054</v>
      </c>
      <c r="B100" s="405">
        <f>B56</f>
        <v>1</v>
      </c>
      <c r="C100" s="243">
        <f>Data!$R$573*HayBud!$L$22</f>
        <v>0.11</v>
      </c>
      <c r="D100" s="241" t="s">
        <v>119</v>
      </c>
      <c r="E100" s="329">
        <f t="shared" si="6"/>
        <v>0</v>
      </c>
      <c r="F100" s="331">
        <f t="shared" si="9"/>
        <v>2.56</v>
      </c>
      <c r="G100" s="330">
        <f t="shared" si="13"/>
        <v>0.28160000000000002</v>
      </c>
      <c r="H100" s="333">
        <f>IF($F$5=1,B100*G100*balehay,B100*G100*balehay*(($F$5-1)/$F$5))</f>
        <v>0</v>
      </c>
      <c r="K100" s="55"/>
      <c r="L100" s="55"/>
    </row>
    <row r="101" spans="1:13" x14ac:dyDescent="0.3">
      <c r="A101" s="523" t="s">
        <v>1028</v>
      </c>
      <c r="B101" s="405">
        <f>B57</f>
        <v>1</v>
      </c>
      <c r="C101" s="524">
        <f>Data!$R$574*Data!$M$152*HayBud!$L$22</f>
        <v>0</v>
      </c>
      <c r="D101" s="525" t="s">
        <v>119</v>
      </c>
      <c r="E101" s="526">
        <f>C101*balehay</f>
        <v>0</v>
      </c>
      <c r="F101" s="527">
        <f t="shared" si="9"/>
        <v>2.56</v>
      </c>
      <c r="G101" s="528">
        <f>C101*F101</f>
        <v>0</v>
      </c>
      <c r="H101" s="529">
        <f>IF($F$5=1,B101*G101*balehay*HayOwnC!$B$32,B101*G101*balehay*(($F$5-1)/$F$5)*HayOwnC!$B$32)</f>
        <v>0</v>
      </c>
      <c r="J101" s="114"/>
      <c r="K101" s="55"/>
    </row>
    <row r="102" spans="1:13" x14ac:dyDescent="0.3">
      <c r="A102" s="332" t="s">
        <v>1055</v>
      </c>
      <c r="B102" s="405">
        <f>B58</f>
        <v>1</v>
      </c>
      <c r="C102" s="243">
        <f>Data!$R$575*HayBud!$L$23</f>
        <v>0</v>
      </c>
      <c r="D102" s="241" t="s">
        <v>119</v>
      </c>
      <c r="E102" s="329">
        <f>C102*balehay</f>
        <v>0</v>
      </c>
      <c r="F102" s="331">
        <f t="shared" si="9"/>
        <v>2.56</v>
      </c>
      <c r="G102" s="330">
        <f>C102*F102</f>
        <v>0</v>
      </c>
      <c r="H102" s="333">
        <f>IF($F$5=1,B102*G102*balehay,B102*G102*balehay*(($F$5-1)/$F$5))</f>
        <v>0</v>
      </c>
      <c r="J102" s="114"/>
      <c r="K102" s="55"/>
    </row>
    <row r="103" spans="1:13" x14ac:dyDescent="0.3">
      <c r="A103" s="523" t="s">
        <v>1029</v>
      </c>
      <c r="B103" s="405">
        <f>B59</f>
        <v>1</v>
      </c>
      <c r="C103" s="524">
        <f>Data!$R$576*Data!$U$152*HayBud!$L$23</f>
        <v>0</v>
      </c>
      <c r="D103" s="525" t="s">
        <v>119</v>
      </c>
      <c r="E103" s="526">
        <f>C103*balehay</f>
        <v>0</v>
      </c>
      <c r="F103" s="527">
        <f t="shared" si="9"/>
        <v>2.56</v>
      </c>
      <c r="G103" s="528">
        <f>C103*F103</f>
        <v>0</v>
      </c>
      <c r="H103" s="529">
        <f>IF($F$5=1,B103*G103*balehay*HayOwnC!$B$33,B103*G103*balehay*(($F$5-1)/$F$5)*HayOwnC!$B$33)</f>
        <v>0</v>
      </c>
      <c r="J103" s="114"/>
      <c r="K103" s="55"/>
    </row>
    <row r="104" spans="1:13" x14ac:dyDescent="0.3">
      <c r="A104" s="95" t="s">
        <v>331</v>
      </c>
      <c r="B104" s="46"/>
      <c r="C104" s="46"/>
      <c r="D104" s="34"/>
      <c r="E104" s="34"/>
      <c r="F104" s="90"/>
      <c r="G104" s="114"/>
      <c r="H104" s="110"/>
      <c r="K104" s="55"/>
      <c r="L104" s="55"/>
    </row>
    <row r="105" spans="1:13" x14ac:dyDescent="0.3">
      <c r="A105" s="6" t="s">
        <v>314</v>
      </c>
      <c r="B105" s="397">
        <v>1</v>
      </c>
      <c r="C105" s="273">
        <v>0</v>
      </c>
      <c r="D105" s="34" t="s">
        <v>116</v>
      </c>
      <c r="E105" s="226">
        <f>C105*balehay</f>
        <v>0</v>
      </c>
      <c r="F105" s="167">
        <f t="shared" si="9"/>
        <v>2.56</v>
      </c>
      <c r="G105" s="110">
        <f>C105*F105</f>
        <v>0</v>
      </c>
      <c r="H105" s="110">
        <f>B105*G105*balehay</f>
        <v>0</v>
      </c>
      <c r="I105" s="130">
        <f>SUM(H63:H105)</f>
        <v>0</v>
      </c>
      <c r="K105" s="55"/>
      <c r="L105" s="24"/>
      <c r="M105" s="81"/>
    </row>
    <row r="106" spans="1:13" x14ac:dyDescent="0.3">
      <c r="A106" s="3" t="s">
        <v>20</v>
      </c>
      <c r="B106" s="397">
        <v>1</v>
      </c>
      <c r="C106" s="46" t="s">
        <v>45</v>
      </c>
      <c r="D106" s="34" t="s">
        <v>45</v>
      </c>
      <c r="E106" s="34" t="s">
        <v>45</v>
      </c>
      <c r="F106" s="55" t="s">
        <v>45</v>
      </c>
      <c r="G106" s="114" t="e">
        <f>H106/balehay</f>
        <v>#DIV/0!</v>
      </c>
      <c r="H106" s="110">
        <f>B106*lube*SUM(H63:H105)</f>
        <v>0</v>
      </c>
      <c r="K106" s="55"/>
      <c r="L106" s="81"/>
      <c r="M106" s="81"/>
    </row>
    <row r="107" spans="1:13" x14ac:dyDescent="0.3">
      <c r="A107" s="3" t="s">
        <v>67</v>
      </c>
      <c r="B107" s="397">
        <v>1</v>
      </c>
      <c r="C107" s="46" t="s">
        <v>45</v>
      </c>
      <c r="D107" s="34" t="s">
        <v>45</v>
      </c>
      <c r="E107" s="34" t="s">
        <v>45</v>
      </c>
      <c r="F107" s="55" t="s">
        <v>45</v>
      </c>
      <c r="G107" s="114" t="e">
        <f>H107/balehay</f>
        <v>#DIV/0!</v>
      </c>
      <c r="H107" s="110">
        <f>IF(Data!D8=1, B107*HayOwnC!J51*Data!D8, 0)</f>
        <v>0</v>
      </c>
      <c r="L107" s="24"/>
      <c r="M107" s="24"/>
    </row>
    <row r="108" spans="1:13" x14ac:dyDescent="0.3">
      <c r="A108" s="3"/>
      <c r="B108" s="397">
        <v>1</v>
      </c>
      <c r="C108" s="46" t="s">
        <v>45</v>
      </c>
      <c r="D108" s="34" t="s">
        <v>45</v>
      </c>
      <c r="E108" s="34" t="s">
        <v>45</v>
      </c>
      <c r="F108" s="55" t="s">
        <v>45</v>
      </c>
      <c r="G108" s="272">
        <v>0</v>
      </c>
      <c r="H108" s="110">
        <f>B108*G108*balehay</f>
        <v>0</v>
      </c>
      <c r="I108" s="108">
        <f>SUM(H107:H108)</f>
        <v>0</v>
      </c>
    </row>
    <row r="109" spans="1:13" x14ac:dyDescent="0.3">
      <c r="A109" s="3" t="s">
        <v>170</v>
      </c>
      <c r="B109" s="397">
        <v>1</v>
      </c>
      <c r="C109" s="46" t="s">
        <v>45</v>
      </c>
      <c r="D109" s="34" t="s">
        <v>45</v>
      </c>
      <c r="E109" s="34" t="s">
        <v>45</v>
      </c>
      <c r="F109" s="55" t="s">
        <v>45</v>
      </c>
      <c r="G109" s="114">
        <f>supplies</f>
        <v>0</v>
      </c>
      <c r="H109" s="110">
        <f>B109*G109*balehay</f>
        <v>0</v>
      </c>
    </row>
    <row r="110" spans="1:13" x14ac:dyDescent="0.3">
      <c r="A110" s="3" t="s">
        <v>75</v>
      </c>
      <c r="B110" s="397">
        <v>1</v>
      </c>
      <c r="C110" s="46" t="s">
        <v>45</v>
      </c>
      <c r="D110" s="34" t="s">
        <v>45</v>
      </c>
      <c r="E110" s="34" t="s">
        <v>45</v>
      </c>
      <c r="F110" s="114">
        <f>cropins</f>
        <v>3</v>
      </c>
      <c r="G110" s="114">
        <f>F110</f>
        <v>3</v>
      </c>
      <c r="H110" s="110">
        <f>B110*G110*balehay</f>
        <v>0</v>
      </c>
    </row>
    <row r="111" spans="1:13" x14ac:dyDescent="0.3">
      <c r="A111" s="3"/>
      <c r="B111" s="397">
        <v>1</v>
      </c>
      <c r="C111" s="46" t="s">
        <v>45</v>
      </c>
      <c r="D111" s="34" t="s">
        <v>45</v>
      </c>
      <c r="E111" s="34" t="s">
        <v>45</v>
      </c>
      <c r="F111" s="55" t="s">
        <v>45</v>
      </c>
      <c r="G111" s="272">
        <v>0</v>
      </c>
      <c r="H111" s="110">
        <f>B111*G111*balehay</f>
        <v>0</v>
      </c>
      <c r="I111" s="108">
        <f>SUM(H110:H111)</f>
        <v>0</v>
      </c>
    </row>
    <row r="112" spans="1:13" x14ac:dyDescent="0.3">
      <c r="A112" s="69" t="s">
        <v>173</v>
      </c>
      <c r="B112" s="46"/>
      <c r="C112" s="46"/>
      <c r="D112" s="34"/>
      <c r="E112" s="34"/>
      <c r="F112" s="114"/>
      <c r="G112" s="114"/>
      <c r="H112" s="110"/>
    </row>
    <row r="113" spans="1:11" x14ac:dyDescent="0.3">
      <c r="A113" s="70" t="s">
        <v>175</v>
      </c>
      <c r="B113" s="397">
        <v>1</v>
      </c>
      <c r="C113" s="46" t="s">
        <v>45</v>
      </c>
      <c r="D113" s="34" t="s">
        <v>45</v>
      </c>
      <c r="E113" s="34" t="s">
        <v>45</v>
      </c>
      <c r="F113" s="55" t="s">
        <v>45</v>
      </c>
      <c r="G113" s="676">
        <f>Data!$F$69</f>
        <v>12</v>
      </c>
      <c r="H113" s="110">
        <f>B113*G113*balehay</f>
        <v>0</v>
      </c>
    </row>
    <row r="114" spans="1:11" x14ac:dyDescent="0.3">
      <c r="A114" s="70" t="s">
        <v>176</v>
      </c>
      <c r="B114" s="397">
        <v>1</v>
      </c>
      <c r="C114" s="46" t="s">
        <v>45</v>
      </c>
      <c r="D114" s="34" t="s">
        <v>45</v>
      </c>
      <c r="E114" s="34" t="s">
        <v>45</v>
      </c>
      <c r="F114" s="55" t="s">
        <v>45</v>
      </c>
      <c r="G114" s="272">
        <v>0</v>
      </c>
      <c r="H114" s="110">
        <f>B114*G114*balehay</f>
        <v>0</v>
      </c>
    </row>
    <row r="115" spans="1:11" x14ac:dyDescent="0.3">
      <c r="A115" s="70" t="s">
        <v>177</v>
      </c>
      <c r="B115" s="70"/>
      <c r="C115" s="46"/>
      <c r="D115" s="34"/>
      <c r="E115" s="34"/>
      <c r="F115" s="114"/>
      <c r="G115" s="114"/>
      <c r="H115" s="110"/>
    </row>
    <row r="116" spans="1:11" x14ac:dyDescent="0.3">
      <c r="A116" s="22" t="s">
        <v>174</v>
      </c>
      <c r="B116" s="397">
        <v>1</v>
      </c>
      <c r="C116" s="34" t="s">
        <v>45</v>
      </c>
      <c r="D116" s="34" t="s">
        <v>81</v>
      </c>
      <c r="E116" s="34" t="s">
        <v>45</v>
      </c>
      <c r="F116" s="110">
        <f>Data!D61</f>
        <v>50</v>
      </c>
      <c r="G116" s="114" t="e">
        <f>H116/balehay</f>
        <v>#DIV/0!</v>
      </c>
      <c r="H116" s="110">
        <f>B116*F116*balehay*Data!E57*Data!D8</f>
        <v>0</v>
      </c>
    </row>
    <row r="117" spans="1:11" x14ac:dyDescent="0.3">
      <c r="A117" s="22" t="s">
        <v>928</v>
      </c>
      <c r="B117" s="397">
        <v>0</v>
      </c>
      <c r="C117" s="34" t="s">
        <v>45</v>
      </c>
      <c r="D117" s="34" t="s">
        <v>929</v>
      </c>
      <c r="E117" s="228" t="s">
        <v>45</v>
      </c>
      <c r="F117" s="55" t="s">
        <v>45</v>
      </c>
      <c r="G117" s="272">
        <f>15/5</f>
        <v>3</v>
      </c>
      <c r="H117" s="109">
        <f>B117*G117*balehay</f>
        <v>0</v>
      </c>
      <c r="I117" s="108">
        <f>SUM(H116:H117)</f>
        <v>0</v>
      </c>
      <c r="J117" s="114"/>
    </row>
    <row r="118" spans="1:11" x14ac:dyDescent="0.3">
      <c r="A118" s="70" t="s">
        <v>178</v>
      </c>
      <c r="B118" s="397">
        <v>1</v>
      </c>
      <c r="C118" s="46" t="s">
        <v>45</v>
      </c>
      <c r="D118" s="34" t="s">
        <v>45</v>
      </c>
      <c r="E118" s="34" t="s">
        <v>45</v>
      </c>
      <c r="F118" s="55" t="s">
        <v>45</v>
      </c>
      <c r="G118" s="272">
        <v>0</v>
      </c>
      <c r="H118" s="110">
        <f>B118*G118*balehay</f>
        <v>0</v>
      </c>
      <c r="I118" s="50"/>
    </row>
    <row r="119" spans="1:11" ht="13.5" thickBot="1" x14ac:dyDescent="0.35">
      <c r="A119" s="70" t="s">
        <v>179</v>
      </c>
      <c r="B119" s="110"/>
      <c r="C119" s="110"/>
      <c r="D119" s="110"/>
      <c r="E119" s="110"/>
      <c r="F119" s="110"/>
      <c r="G119" s="110"/>
      <c r="H119" s="110"/>
      <c r="I119" s="50"/>
    </row>
    <row r="120" spans="1:11" x14ac:dyDescent="0.3">
      <c r="A120" s="22" t="s">
        <v>952</v>
      </c>
      <c r="B120" s="110"/>
      <c r="C120" s="110"/>
      <c r="D120" s="110"/>
      <c r="E120" s="110"/>
      <c r="F120" s="110"/>
      <c r="G120" s="110"/>
      <c r="H120" s="110"/>
      <c r="I120" s="50"/>
      <c r="J120" s="487" t="s">
        <v>1038</v>
      </c>
      <c r="K120" s="488" t="s">
        <v>1041</v>
      </c>
    </row>
    <row r="121" spans="1:11" x14ac:dyDescent="0.3">
      <c r="A121" s="411" t="s">
        <v>953</v>
      </c>
      <c r="B121" s="405">
        <f>IF(HayBud!L22&gt;0,1,0)</f>
        <v>1</v>
      </c>
      <c r="C121" s="46" t="s">
        <v>45</v>
      </c>
      <c r="D121" s="34" t="s">
        <v>956</v>
      </c>
      <c r="E121" s="34" t="s">
        <v>45</v>
      </c>
      <c r="F121" s="413">
        <v>2.8444444444444446</v>
      </c>
      <c r="G121" s="414">
        <f>B121*F121*Data!$I$151</f>
        <v>14.506666666666666</v>
      </c>
      <c r="H121" s="110">
        <f>B121*G121*(balehay)*HayBud!L22*K121</f>
        <v>0</v>
      </c>
      <c r="I121" s="50"/>
      <c r="J121" s="489" t="s">
        <v>1039</v>
      </c>
      <c r="K121" s="490">
        <v>0</v>
      </c>
    </row>
    <row r="122" spans="1:11" ht="13.5" thickBot="1" x14ac:dyDescent="0.35">
      <c r="A122" s="411" t="s">
        <v>954</v>
      </c>
      <c r="B122" s="405">
        <f>IF(HayBud!L22&gt;0,1,0)</f>
        <v>1</v>
      </c>
      <c r="C122" s="46" t="s">
        <v>45</v>
      </c>
      <c r="D122" s="34" t="s">
        <v>956</v>
      </c>
      <c r="E122" s="34" t="s">
        <v>45</v>
      </c>
      <c r="F122" s="413">
        <v>0.86</v>
      </c>
      <c r="G122" s="414">
        <f>B122*F122*Data!$I$151</f>
        <v>4.3859999999999992</v>
      </c>
      <c r="H122" s="110">
        <f>B122*G122*(balehay)*HayBud!L22*K122</f>
        <v>0</v>
      </c>
      <c r="I122" s="50"/>
      <c r="J122" s="491" t="s">
        <v>1040</v>
      </c>
      <c r="K122" s="492">
        <v>1</v>
      </c>
    </row>
    <row r="123" spans="1:11" x14ac:dyDescent="0.3">
      <c r="A123" s="411" t="s">
        <v>955</v>
      </c>
      <c r="B123" s="405">
        <f>IF(HayBud!L23&gt;0,1,0)</f>
        <v>0</v>
      </c>
      <c r="C123" s="46" t="s">
        <v>45</v>
      </c>
      <c r="D123" s="34" t="s">
        <v>956</v>
      </c>
      <c r="E123" s="34" t="s">
        <v>45</v>
      </c>
      <c r="F123" s="413">
        <v>7.0000000000000007E-2</v>
      </c>
      <c r="G123" s="414">
        <f>B123*F123*Data!$Q$151</f>
        <v>0</v>
      </c>
      <c r="H123" s="110">
        <f>B123*G123*(balehay)*HayBud!L23</f>
        <v>0</v>
      </c>
      <c r="I123" s="50"/>
      <c r="J123" s="416"/>
    </row>
    <row r="124" spans="1:11" x14ac:dyDescent="0.3">
      <c r="A124" s="9" t="s">
        <v>1036</v>
      </c>
      <c r="B124" s="397">
        <v>0</v>
      </c>
      <c r="C124" s="47" t="s">
        <v>45</v>
      </c>
      <c r="D124" s="48" t="s">
        <v>45</v>
      </c>
      <c r="E124" s="48" t="s">
        <v>45</v>
      </c>
      <c r="F124" s="118" t="s">
        <v>45</v>
      </c>
      <c r="G124" s="465">
        <f>(SUM(G121:G122)*Data!$M$152)</f>
        <v>0</v>
      </c>
      <c r="H124" s="124">
        <f>B124*G124*balehay</f>
        <v>0</v>
      </c>
      <c r="I124" s="50"/>
      <c r="J124" s="416"/>
    </row>
    <row r="125" spans="1:11" x14ac:dyDescent="0.3">
      <c r="A125" s="9" t="s">
        <v>1037</v>
      </c>
      <c r="B125" s="397">
        <v>0</v>
      </c>
      <c r="C125" s="47" t="s">
        <v>45</v>
      </c>
      <c r="D125" s="48" t="s">
        <v>45</v>
      </c>
      <c r="E125" s="48" t="s">
        <v>45</v>
      </c>
      <c r="F125" s="118" t="s">
        <v>45</v>
      </c>
      <c r="G125" s="465">
        <f>(G123*Data!$U$152)</f>
        <v>0</v>
      </c>
      <c r="H125" s="124">
        <f>B125*G125*balehay</f>
        <v>0</v>
      </c>
      <c r="I125" s="108">
        <f>SUM(H120:H125)</f>
        <v>0</v>
      </c>
      <c r="J125" s="416"/>
    </row>
    <row r="126" spans="1:11" x14ac:dyDescent="0.3">
      <c r="A126" s="70" t="s">
        <v>180</v>
      </c>
      <c r="B126" s="397">
        <v>1</v>
      </c>
      <c r="C126" s="46" t="s">
        <v>45</v>
      </c>
      <c r="D126" s="46" t="s">
        <v>45</v>
      </c>
      <c r="E126" s="34" t="s">
        <v>45</v>
      </c>
      <c r="F126" s="55" t="s">
        <v>45</v>
      </c>
      <c r="G126" s="114">
        <f>othexp</f>
        <v>0</v>
      </c>
      <c r="H126" s="110">
        <f>B126*G126*balehay</f>
        <v>0</v>
      </c>
    </row>
    <row r="127" spans="1:11" x14ac:dyDescent="0.3">
      <c r="A127" s="22" t="s">
        <v>181</v>
      </c>
      <c r="B127" s="397">
        <v>1</v>
      </c>
      <c r="C127" s="46" t="s">
        <v>45</v>
      </c>
      <c r="D127" s="46" t="s">
        <v>45</v>
      </c>
      <c r="E127" s="34" t="s">
        <v>45</v>
      </c>
      <c r="F127" s="55" t="s">
        <v>45</v>
      </c>
      <c r="G127" s="272">
        <v>0</v>
      </c>
      <c r="H127" s="110">
        <f>B127*G127*balehay</f>
        <v>0</v>
      </c>
      <c r="I127" s="108">
        <f>SUM(H126:H127)</f>
        <v>0</v>
      </c>
    </row>
    <row r="128" spans="1:11" x14ac:dyDescent="0.3">
      <c r="A128" s="3" t="s">
        <v>226</v>
      </c>
      <c r="B128" s="397">
        <v>1</v>
      </c>
      <c r="C128" s="46" t="s">
        <v>45</v>
      </c>
      <c r="D128" s="75" t="s">
        <v>45</v>
      </c>
      <c r="E128" s="34" t="s">
        <v>45</v>
      </c>
      <c r="F128" s="55" t="s">
        <v>45</v>
      </c>
      <c r="G128" s="272">
        <v>0</v>
      </c>
      <c r="H128" s="110">
        <f>B128*G128*balehay</f>
        <v>0</v>
      </c>
    </row>
    <row r="129" spans="1:8" x14ac:dyDescent="0.3">
      <c r="A129" s="3" t="s">
        <v>73</v>
      </c>
      <c r="B129" s="3"/>
      <c r="F129" s="114"/>
      <c r="G129" s="119" t="e">
        <f>SUM(G18:G128)</f>
        <v>#DIV/0!</v>
      </c>
      <c r="H129" s="125">
        <f>SUM(H18:H128)</f>
        <v>0</v>
      </c>
    </row>
    <row r="130" spans="1:8" x14ac:dyDescent="0.3">
      <c r="F130" s="114"/>
      <c r="G130" s="114"/>
      <c r="H130" s="109"/>
    </row>
    <row r="131" spans="1:8" ht="39" x14ac:dyDescent="0.3">
      <c r="A131" s="3" t="s">
        <v>69</v>
      </c>
      <c r="B131" s="3"/>
      <c r="C131" s="25" t="s">
        <v>70</v>
      </c>
      <c r="D131" s="25" t="s">
        <v>71</v>
      </c>
      <c r="E131" s="25"/>
      <c r="F131" s="114"/>
      <c r="G131" s="120" t="s">
        <v>1292</v>
      </c>
      <c r="H131" s="126" t="s">
        <v>72</v>
      </c>
    </row>
    <row r="132" spans="1:8" x14ac:dyDescent="0.3">
      <c r="A132" s="3"/>
      <c r="B132" s="3"/>
      <c r="C132" s="35">
        <f>_int_oper_</f>
        <v>4.7341710603787002E-2</v>
      </c>
      <c r="D132" s="34">
        <f>Data!$B$48</f>
        <v>7</v>
      </c>
      <c r="E132" s="34"/>
      <c r="F132" s="114"/>
      <c r="G132" s="104" t="e">
        <f>H132/balehay</f>
        <v>#DIV/0!</v>
      </c>
      <c r="H132" s="109">
        <f>C132*(D132/12)*(H129)</f>
        <v>0</v>
      </c>
    </row>
    <row r="133" spans="1:8" x14ac:dyDescent="0.3">
      <c r="F133" s="114"/>
      <c r="G133" s="103"/>
      <c r="H133" s="127"/>
    </row>
    <row r="134" spans="1:8" ht="14" thickBot="1" x14ac:dyDescent="0.4">
      <c r="A134" s="1" t="s">
        <v>74</v>
      </c>
      <c r="B134" s="1"/>
      <c r="F134" s="114"/>
      <c r="G134" s="121" t="e">
        <f>G129+G132</f>
        <v>#DIV/0!</v>
      </c>
      <c r="H134" s="128">
        <f>H129+H132</f>
        <v>0</v>
      </c>
    </row>
    <row r="135" spans="1:8" ht="13.5" thickTop="1" x14ac:dyDescent="0.3">
      <c r="F135" s="34"/>
      <c r="G135" s="34"/>
      <c r="H135" s="49"/>
    </row>
    <row r="136" spans="1:8" x14ac:dyDescent="0.3">
      <c r="F136" s="34"/>
      <c r="G136" s="34"/>
      <c r="H136" s="49"/>
    </row>
    <row r="137" spans="1:8" x14ac:dyDescent="0.3">
      <c r="F137" s="34"/>
      <c r="G137" s="34"/>
      <c r="H137" s="49"/>
    </row>
    <row r="138" spans="1:8" x14ac:dyDescent="0.3">
      <c r="F138" s="34"/>
      <c r="G138" s="34"/>
      <c r="H138" s="49"/>
    </row>
    <row r="139" spans="1:8" x14ac:dyDescent="0.3">
      <c r="F139" s="34"/>
      <c r="G139" s="34"/>
      <c r="H139" s="49"/>
    </row>
    <row r="140" spans="1:8" x14ac:dyDescent="0.3">
      <c r="F140" s="34"/>
      <c r="G140" s="34"/>
      <c r="H140" s="49"/>
    </row>
    <row r="141" spans="1:8" x14ac:dyDescent="0.3">
      <c r="F141" s="34"/>
      <c r="G141" s="34"/>
      <c r="H141" s="49"/>
    </row>
    <row r="142" spans="1:8" x14ac:dyDescent="0.3">
      <c r="F142" s="34"/>
      <c r="G142" s="34"/>
      <c r="H142" s="49"/>
    </row>
    <row r="143" spans="1:8" x14ac:dyDescent="0.3">
      <c r="F143" s="34"/>
      <c r="G143" s="34"/>
      <c r="H143" s="49"/>
    </row>
    <row r="144" spans="1: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c r="G619" s="34"/>
      <c r="H619" s="34"/>
    </row>
    <row r="620" spans="6:8" x14ac:dyDescent="0.3">
      <c r="F620" s="34"/>
      <c r="G620" s="34"/>
      <c r="H620" s="34"/>
    </row>
    <row r="621" spans="6:8" x14ac:dyDescent="0.3">
      <c r="F621" s="34"/>
      <c r="G621" s="34"/>
      <c r="H621" s="34"/>
    </row>
    <row r="622" spans="6:8" x14ac:dyDescent="0.3">
      <c r="F622" s="34"/>
      <c r="G622" s="34"/>
      <c r="H622" s="34"/>
    </row>
    <row r="623" spans="6:8" x14ac:dyDescent="0.3">
      <c r="F623" s="34"/>
      <c r="G623" s="34"/>
      <c r="H623" s="34"/>
    </row>
    <row r="624" spans="6:8" x14ac:dyDescent="0.3">
      <c r="F624" s="34"/>
      <c r="G624" s="34"/>
      <c r="H624" s="34"/>
    </row>
    <row r="625" spans="6:8" x14ac:dyDescent="0.3">
      <c r="F625" s="34"/>
      <c r="G625" s="34"/>
      <c r="H625" s="34"/>
    </row>
    <row r="626" spans="6:8" x14ac:dyDescent="0.3">
      <c r="F626" s="34"/>
      <c r="G626" s="34"/>
      <c r="H626" s="34"/>
    </row>
    <row r="627" spans="6:8" x14ac:dyDescent="0.3">
      <c r="F627" s="34"/>
      <c r="G627" s="34"/>
      <c r="H627" s="34"/>
    </row>
    <row r="628" spans="6:8" x14ac:dyDescent="0.3">
      <c r="F628" s="34"/>
      <c r="G628" s="34"/>
      <c r="H628" s="34"/>
    </row>
    <row r="629" spans="6:8" x14ac:dyDescent="0.3">
      <c r="F629" s="34"/>
      <c r="G629" s="34"/>
      <c r="H629" s="34"/>
    </row>
    <row r="630" spans="6:8" x14ac:dyDescent="0.3">
      <c r="F630" s="34"/>
      <c r="G630" s="34"/>
      <c r="H630" s="34"/>
    </row>
    <row r="631" spans="6:8" x14ac:dyDescent="0.3">
      <c r="F631" s="34"/>
      <c r="G631" s="34"/>
      <c r="H631" s="34"/>
    </row>
    <row r="632" spans="6:8" x14ac:dyDescent="0.3">
      <c r="F632" s="34"/>
      <c r="G632" s="34"/>
      <c r="H632" s="34"/>
    </row>
    <row r="633" spans="6:8" x14ac:dyDescent="0.3">
      <c r="F633" s="34"/>
      <c r="G633" s="34"/>
      <c r="H633" s="34"/>
    </row>
    <row r="634" spans="6:8" x14ac:dyDescent="0.3">
      <c r="F634" s="34"/>
      <c r="G634" s="34"/>
      <c r="H634" s="34"/>
    </row>
    <row r="635" spans="6:8" x14ac:dyDescent="0.3">
      <c r="F635" s="34"/>
      <c r="G635" s="34"/>
      <c r="H635" s="34"/>
    </row>
    <row r="636" spans="6:8" x14ac:dyDescent="0.3">
      <c r="F636" s="34"/>
      <c r="G636" s="34"/>
      <c r="H636" s="34"/>
    </row>
    <row r="637" spans="6:8" x14ac:dyDescent="0.3">
      <c r="F637" s="34"/>
    </row>
    <row r="638" spans="6:8" x14ac:dyDescent="0.3">
      <c r="F638" s="34"/>
    </row>
    <row r="639" spans="6:8" x14ac:dyDescent="0.3">
      <c r="F639" s="34"/>
    </row>
    <row r="640" spans="6:8" x14ac:dyDescent="0.3">
      <c r="F640" s="34"/>
    </row>
    <row r="641" spans="6:6" x14ac:dyDescent="0.3">
      <c r="F641" s="34"/>
    </row>
    <row r="642" spans="6:6" x14ac:dyDescent="0.3">
      <c r="F642" s="34"/>
    </row>
    <row r="643" spans="6:6" x14ac:dyDescent="0.3">
      <c r="F643" s="34"/>
    </row>
    <row r="644" spans="6:6" x14ac:dyDescent="0.3">
      <c r="F644" s="34"/>
    </row>
    <row r="645" spans="6:6" x14ac:dyDescent="0.3">
      <c r="F645" s="34"/>
    </row>
    <row r="646" spans="6:6" x14ac:dyDescent="0.3">
      <c r="F646" s="34"/>
    </row>
    <row r="647" spans="6:6" x14ac:dyDescent="0.3">
      <c r="F647" s="34"/>
    </row>
    <row r="648" spans="6:6" x14ac:dyDescent="0.3">
      <c r="F648" s="34"/>
    </row>
    <row r="649" spans="6:6" x14ac:dyDescent="0.3">
      <c r="F649" s="34"/>
    </row>
    <row r="650" spans="6:6" x14ac:dyDescent="0.3">
      <c r="F650" s="34"/>
    </row>
    <row r="651" spans="6:6" x14ac:dyDescent="0.3">
      <c r="F651" s="34"/>
    </row>
    <row r="652" spans="6:6" x14ac:dyDescent="0.3">
      <c r="F652" s="34"/>
    </row>
    <row r="653" spans="6:6" x14ac:dyDescent="0.3">
      <c r="F653" s="34"/>
    </row>
    <row r="654" spans="6:6" x14ac:dyDescent="0.3">
      <c r="F654" s="34"/>
    </row>
    <row r="655" spans="6:6" x14ac:dyDescent="0.3">
      <c r="F655" s="34"/>
    </row>
    <row r="656" spans="6:6" x14ac:dyDescent="0.3">
      <c r="F656" s="34"/>
    </row>
    <row r="657" spans="6:6" x14ac:dyDescent="0.3">
      <c r="F657" s="34"/>
    </row>
    <row r="658" spans="6:6" x14ac:dyDescent="0.3">
      <c r="F658" s="34"/>
    </row>
  </sheetData>
  <phoneticPr fontId="16" type="noConversion"/>
  <pageMargins left="0.7" right="0.7" top="0.75" bottom="0.75" header="0.3" footer="0.3"/>
  <pageSetup orientation="portrait" horizontalDpi="4294967294" verticalDpi="0"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8"/>
  <sheetViews>
    <sheetView workbookViewId="0">
      <pane ySplit="6" topLeftCell="A28" activePane="bottomLeft" state="frozen"/>
      <selection pane="bottomLeft" activeCell="C39" sqref="C39"/>
    </sheetView>
  </sheetViews>
  <sheetFormatPr defaultColWidth="9.08984375" defaultRowHeight="13" x14ac:dyDescent="0.3"/>
  <cols>
    <col min="1" max="1" width="50.81640625" style="27" customWidth="1"/>
    <col min="2" max="2" width="9.36328125" style="27" customWidth="1"/>
    <col min="3" max="3" width="9.6328125" style="17" customWidth="1"/>
    <col min="4" max="4" width="8.6328125" style="17" customWidth="1"/>
    <col min="5" max="5" width="9.6328125" style="17" customWidth="1"/>
    <col min="6" max="7" width="7.6328125" style="17" customWidth="1"/>
    <col min="8" max="8" width="11.6328125" style="17" customWidth="1"/>
    <col min="9" max="9" width="11.90625" style="17" customWidth="1"/>
    <col min="10" max="10" width="12" style="17" customWidth="1"/>
    <col min="11" max="11" width="9" style="17" bestFit="1" customWidth="1"/>
    <col min="12" max="13" width="9.6328125" style="17" customWidth="1"/>
    <col min="14" max="14" width="2.6328125" style="17" customWidth="1"/>
    <col min="15" max="15" width="10.08984375" style="17" customWidth="1"/>
    <col min="16" max="23" width="9.08984375" style="17"/>
    <col min="24" max="24" width="9.36328125" style="17" customWidth="1"/>
    <col min="25" max="25" width="3" style="17" customWidth="1"/>
    <col min="26" max="16384" width="9.08984375" style="17"/>
  </cols>
  <sheetData>
    <row r="1" spans="1:22" x14ac:dyDescent="0.3">
      <c r="A1" s="61" t="s">
        <v>146</v>
      </c>
      <c r="B1" s="27" t="str">
        <f>model</f>
        <v>ME Grain &amp; Pulse</v>
      </c>
    </row>
    <row r="2" spans="1:22" x14ac:dyDescent="0.3">
      <c r="A2" s="3"/>
    </row>
    <row r="4" spans="1:22" x14ac:dyDescent="0.3">
      <c r="A4" s="16" t="s">
        <v>684</v>
      </c>
      <c r="B4" s="8" t="s">
        <v>92</v>
      </c>
      <c r="C4" s="65">
        <f>balehay</f>
        <v>0</v>
      </c>
      <c r="D4" s="4" t="s">
        <v>93</v>
      </c>
    </row>
    <row r="5" spans="1:22" x14ac:dyDescent="0.3">
      <c r="B5" s="17"/>
    </row>
    <row r="6" spans="1:22"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row>
    <row r="7" spans="1:22" x14ac:dyDescent="0.3">
      <c r="A7" s="13"/>
      <c r="B7" s="29"/>
      <c r="C7" s="30"/>
      <c r="D7" s="31"/>
      <c r="E7" s="31"/>
      <c r="F7" s="18"/>
      <c r="G7" s="18"/>
      <c r="H7" s="32"/>
      <c r="I7" s="31"/>
      <c r="J7" s="31"/>
      <c r="K7" s="31"/>
      <c r="L7" s="31"/>
      <c r="M7" s="31"/>
    </row>
    <row r="8" spans="1:22" x14ac:dyDescent="0.3">
      <c r="A8" s="14" t="s">
        <v>3</v>
      </c>
      <c r="H8" s="108"/>
    </row>
    <row r="9" spans="1:22" x14ac:dyDescent="0.3">
      <c r="A9" s="6" t="str">
        <f>Data!A292</f>
        <v>Large tractor (200 hp) - LARGE SIZE</v>
      </c>
      <c r="B9" s="247">
        <v>1</v>
      </c>
      <c r="C9" s="34" t="str">
        <f>Data!C292</f>
        <v>tractor</v>
      </c>
      <c r="D9" s="109">
        <f>Data!D292*Data!H8</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c r="S9" s="34"/>
      <c r="T9" s="34"/>
      <c r="U9" s="34"/>
      <c r="V9" s="34"/>
    </row>
    <row r="10" spans="1:22" x14ac:dyDescent="0.3">
      <c r="A10" s="6" t="str">
        <f>Data!A285</f>
        <v>Large tractor (160 hp) - MEDIUM SIZE</v>
      </c>
      <c r="B10" s="33">
        <f>Data!B285</f>
        <v>1</v>
      </c>
      <c r="C10" s="34" t="str">
        <f>Data!C285</f>
        <v>tractor</v>
      </c>
      <c r="D10" s="109">
        <f>Data!D285*Data!AP8</f>
        <v>0</v>
      </c>
      <c r="E10" s="109">
        <f>D10*B10</f>
        <v>0</v>
      </c>
      <c r="F10" s="109">
        <f>Data!I285*E10</f>
        <v>0</v>
      </c>
      <c r="G10" s="34">
        <f>Data!F285</f>
        <v>30</v>
      </c>
      <c r="H10" s="109">
        <f>(E10*(_int_inv_*(1+_int_inv_)^G10)/((1+_int_inv_)^G10-1))-(F10*_int_inv_/((1+_int_inv_)^G10-1))</f>
        <v>0</v>
      </c>
      <c r="I10" s="35">
        <f>Data!H285</f>
        <v>1.6666666666666666E-2</v>
      </c>
      <c r="J10" s="109">
        <f>E10*I10</f>
        <v>0</v>
      </c>
      <c r="K10" s="36">
        <f>_tax_ins_</f>
        <v>6.7999999999999996E-3</v>
      </c>
      <c r="L10" s="109">
        <f>E10*K10</f>
        <v>0</v>
      </c>
      <c r="M10" s="109">
        <f>H10+J10+L10</f>
        <v>0</v>
      </c>
      <c r="N10" s="34"/>
      <c r="O10" s="34"/>
      <c r="P10" s="34"/>
      <c r="Q10" s="34"/>
      <c r="R10" s="34"/>
      <c r="S10" s="34"/>
      <c r="T10" s="34"/>
      <c r="U10" s="34"/>
      <c r="V10" s="34"/>
    </row>
    <row r="11" spans="1:22" x14ac:dyDescent="0.3">
      <c r="A11" s="6" t="str">
        <f>Data!A283</f>
        <v>Medium tractor (105 hp) - MEDIUM SIZE</v>
      </c>
      <c r="B11" s="33">
        <f>Data!B283</f>
        <v>1</v>
      </c>
      <c r="C11" s="34" t="str">
        <f>Data!C283</f>
        <v>tractor</v>
      </c>
      <c r="D11" s="109">
        <f>Data!D283*Data!AP8</f>
        <v>0</v>
      </c>
      <c r="E11" s="109">
        <f>D11*B11</f>
        <v>0</v>
      </c>
      <c r="F11" s="109">
        <f>Data!I283*E11</f>
        <v>0</v>
      </c>
      <c r="G11" s="34">
        <f>Data!F283</f>
        <v>40</v>
      </c>
      <c r="H11" s="109">
        <f>(E11*(_int_inv_*(1+_int_inv_)^G11)/((1+_int_inv_)^G11-1))-(F11*_int_inv_/((1+_int_inv_)^G11-1))</f>
        <v>0</v>
      </c>
      <c r="I11" s="35">
        <f>Data!H283</f>
        <v>1.35E-2</v>
      </c>
      <c r="J11" s="109">
        <f>E11*I11</f>
        <v>0</v>
      </c>
      <c r="K11" s="36">
        <f>_tax_ins_</f>
        <v>6.7999999999999996E-3</v>
      </c>
      <c r="L11" s="109">
        <f>E11*K11</f>
        <v>0</v>
      </c>
      <c r="M11" s="109">
        <f>H11+J11+L11</f>
        <v>0</v>
      </c>
      <c r="N11" s="34"/>
      <c r="O11" s="34"/>
      <c r="P11" s="34"/>
      <c r="Q11" s="34"/>
      <c r="R11" s="34"/>
      <c r="S11" s="34"/>
      <c r="T11" s="34"/>
      <c r="U11" s="34"/>
      <c r="V11" s="34"/>
    </row>
    <row r="12" spans="1:22" x14ac:dyDescent="0.3">
      <c r="B12" s="33"/>
      <c r="C12" s="34"/>
      <c r="D12" s="109"/>
      <c r="E12" s="109"/>
      <c r="F12" s="109"/>
      <c r="G12" s="34"/>
      <c r="H12" s="109"/>
      <c r="I12" s="35"/>
      <c r="J12" s="109"/>
      <c r="K12" s="35"/>
      <c r="L12" s="109"/>
      <c r="M12" s="109"/>
    </row>
    <row r="13" spans="1:22" x14ac:dyDescent="0.3">
      <c r="A13" s="14" t="s">
        <v>35</v>
      </c>
      <c r="D13" s="110"/>
      <c r="E13" s="110"/>
      <c r="F13" s="109"/>
      <c r="H13" s="109"/>
      <c r="J13" s="110"/>
      <c r="L13" s="110"/>
      <c r="M13" s="109"/>
    </row>
    <row r="14" spans="1:22" x14ac:dyDescent="0.3">
      <c r="A14" s="6" t="str">
        <f>Data!A297</f>
        <v>Bulk Body Truck(s) - SMALL SIZE</v>
      </c>
      <c r="B14" s="33">
        <f>Data!B297</f>
        <v>0</v>
      </c>
      <c r="C14" s="34" t="str">
        <f>Data!C297</f>
        <v>truck</v>
      </c>
      <c r="D14" s="109">
        <f>Data!D297*Data!J8</f>
        <v>0</v>
      </c>
      <c r="E14" s="109">
        <f>D14*B14</f>
        <v>0</v>
      </c>
      <c r="F14" s="109">
        <f>Data!I297*E14</f>
        <v>0</v>
      </c>
      <c r="G14" s="34">
        <f>Data!F297</f>
        <v>40</v>
      </c>
      <c r="H14" s="109">
        <f>(E14*(_int_inv_*(1+_int_inv_)^G14)/((1+_int_inv_)^G14-1))-(F14*_int_inv_/((1+_int_inv_)^G14-1))</f>
        <v>0</v>
      </c>
      <c r="I14" s="35">
        <f>Data!H297</f>
        <v>0.02</v>
      </c>
      <c r="J14" s="109">
        <f>E14*I14</f>
        <v>0</v>
      </c>
      <c r="K14" s="36">
        <f>_tax_ins_</f>
        <v>6.7999999999999996E-3</v>
      </c>
      <c r="L14" s="109">
        <f>E14*K14</f>
        <v>0</v>
      </c>
      <c r="M14" s="109">
        <f>H14+J14+L14</f>
        <v>0</v>
      </c>
      <c r="N14" s="34"/>
      <c r="O14" s="34"/>
      <c r="P14" s="34"/>
      <c r="Q14" s="34"/>
      <c r="R14" s="34"/>
    </row>
    <row r="15" spans="1:22" x14ac:dyDescent="0.3">
      <c r="A15" s="6"/>
      <c r="B15" s="33"/>
      <c r="C15" s="34"/>
      <c r="D15" s="109"/>
      <c r="E15" s="109"/>
      <c r="F15" s="109"/>
      <c r="G15" s="60"/>
      <c r="H15" s="109"/>
      <c r="I15" s="35"/>
      <c r="J15" s="109"/>
      <c r="K15" s="36"/>
      <c r="L15" s="109"/>
      <c r="M15" s="109"/>
    </row>
    <row r="16" spans="1:22" x14ac:dyDescent="0.3">
      <c r="A16" s="14" t="s">
        <v>6</v>
      </c>
      <c r="B16" s="33"/>
      <c r="C16" s="34"/>
      <c r="D16" s="109"/>
      <c r="E16" s="109"/>
      <c r="F16" s="109"/>
      <c r="G16" s="34"/>
      <c r="H16" s="109"/>
      <c r="I16" s="35"/>
      <c r="J16" s="109"/>
      <c r="K16" s="35"/>
      <c r="L16" s="109"/>
      <c r="M16" s="109"/>
    </row>
    <row r="17" spans="1:23" x14ac:dyDescent="0.3">
      <c r="A17" s="6" t="str">
        <f>Data!A313</f>
        <v>Chisel Plow (15 ft) - SMALL SIZE</v>
      </c>
      <c r="B17" s="33">
        <f>Data!B313</f>
        <v>0</v>
      </c>
      <c r="C17" s="34" t="str">
        <f>Data!C313</f>
        <v>chisel plow</v>
      </c>
      <c r="D17" s="109">
        <f>Data!D313*Data!P8</f>
        <v>0</v>
      </c>
      <c r="E17" s="109">
        <f>D17*B17</f>
        <v>0</v>
      </c>
      <c r="F17" s="109">
        <f>Data!I313*E17</f>
        <v>0</v>
      </c>
      <c r="G17" s="34">
        <f>Data!F313</f>
        <v>40</v>
      </c>
      <c r="H17" s="112">
        <f>(E17*(_int_inv_*(1+_int_inv_)^G17)/((1+_int_inv_)^G17-1))-(F17*_int_inv_/((1+_int_inv_)^G17-1))</f>
        <v>0</v>
      </c>
      <c r="I17" s="35">
        <f>Data!H313</f>
        <v>2.433684210526316E-2</v>
      </c>
      <c r="J17" s="109">
        <f>E17*I17</f>
        <v>0</v>
      </c>
      <c r="K17" s="36">
        <f>_tax_ins_</f>
        <v>6.7999999999999996E-3</v>
      </c>
      <c r="L17" s="109">
        <f>E17*K17</f>
        <v>0</v>
      </c>
      <c r="M17" s="109">
        <f>H17+J17+L17</f>
        <v>0</v>
      </c>
      <c r="N17" s="34"/>
      <c r="O17" s="34"/>
      <c r="P17" s="34"/>
      <c r="Q17" s="34"/>
      <c r="R17" s="34"/>
      <c r="S17" s="34"/>
      <c r="T17" s="34"/>
      <c r="U17" s="34"/>
      <c r="V17" s="34"/>
      <c r="W17" s="34"/>
    </row>
    <row r="18" spans="1:23" x14ac:dyDescent="0.3">
      <c r="A18" s="6" t="str">
        <f>Data!A316</f>
        <v>Disk Harrow (12 ft) - SMALL SIZE</v>
      </c>
      <c r="B18" s="33">
        <f>Data!B316</f>
        <v>0</v>
      </c>
      <c r="C18" s="34" t="str">
        <f>Data!C316</f>
        <v>disk harrow</v>
      </c>
      <c r="D18" s="109">
        <f>Data!D316*Data!P8</f>
        <v>0</v>
      </c>
      <c r="E18" s="109">
        <f>D18*B18</f>
        <v>0</v>
      </c>
      <c r="F18" s="109">
        <f>Data!I316*E18</f>
        <v>0</v>
      </c>
      <c r="G18" s="34">
        <f>Data!F316</f>
        <v>50</v>
      </c>
      <c r="H18" s="112">
        <f>(E18*(_int_inv_*(1+_int_inv_)^G18)/((1+_int_inv_)^G18-1))-(F18*_int_inv_/((1+_int_inv_)^G18-1))</f>
        <v>0</v>
      </c>
      <c r="I18" s="35">
        <f>Data!H316</f>
        <v>2.2825263157894737E-2</v>
      </c>
      <c r="J18" s="109">
        <f>E18*I18</f>
        <v>0</v>
      </c>
      <c r="K18" s="36">
        <f>_tax_ins_</f>
        <v>6.7999999999999996E-3</v>
      </c>
      <c r="L18" s="109">
        <f>E18*K18</f>
        <v>0</v>
      </c>
      <c r="M18" s="109">
        <f>H18+J18+L18</f>
        <v>0</v>
      </c>
      <c r="N18" s="34"/>
      <c r="O18" s="34"/>
      <c r="P18" s="34"/>
      <c r="Q18" s="34"/>
      <c r="R18" s="34"/>
      <c r="S18" s="34"/>
      <c r="T18" s="34"/>
      <c r="U18" s="34"/>
      <c r="V18" s="34"/>
      <c r="W18" s="34"/>
    </row>
    <row r="19" spans="1:23" ht="13.25" customHeight="1" x14ac:dyDescent="0.3">
      <c r="A19" s="6" t="str">
        <f>Data!A319</f>
        <v>Soil Conditioner/Field Cultivator (18 ft) - SMALL SIZE</v>
      </c>
      <c r="B19" s="33">
        <f>Data!B319</f>
        <v>0</v>
      </c>
      <c r="C19" s="34" t="str">
        <f>Data!C319</f>
        <v>condit.</v>
      </c>
      <c r="D19" s="109">
        <f>Data!D319*Data!P8</f>
        <v>0</v>
      </c>
      <c r="E19" s="109">
        <f>D19*B19</f>
        <v>0</v>
      </c>
      <c r="F19" s="109">
        <f>Data!I319*E19</f>
        <v>0</v>
      </c>
      <c r="G19" s="34">
        <f>Data!F319</f>
        <v>40</v>
      </c>
      <c r="H19" s="112">
        <f>(E19*(_int_inv_*(1+_int_inv_)^G19)/((1+_int_inv_)^G19-1))-(F19*_int_inv_/((1+_int_inv_)^G19-1))</f>
        <v>0</v>
      </c>
      <c r="I19" s="35">
        <f>Data!H319</f>
        <v>3.245E-2</v>
      </c>
      <c r="J19" s="109">
        <f>E19*I19</f>
        <v>0</v>
      </c>
      <c r="K19" s="36">
        <f>_tax_ins_</f>
        <v>6.7999999999999996E-3</v>
      </c>
      <c r="L19" s="109">
        <f>E19*K19</f>
        <v>0</v>
      </c>
      <c r="M19" s="109">
        <f>H19+J19+L19</f>
        <v>0</v>
      </c>
      <c r="N19" s="34"/>
      <c r="O19" s="34"/>
      <c r="P19" s="34"/>
      <c r="Q19" s="34"/>
      <c r="R19" s="34"/>
      <c r="S19" s="34"/>
      <c r="T19" s="34"/>
      <c r="U19" s="34"/>
      <c r="V19" s="34"/>
      <c r="W19" s="34"/>
    </row>
    <row r="20" spans="1:23" x14ac:dyDescent="0.3">
      <c r="B20" s="33"/>
      <c r="C20" s="34"/>
      <c r="D20" s="109"/>
      <c r="E20" s="109"/>
      <c r="F20" s="109"/>
      <c r="G20" s="34"/>
      <c r="H20" s="109"/>
      <c r="I20" s="35"/>
      <c r="J20" s="109"/>
      <c r="K20" s="36"/>
      <c r="L20" s="109"/>
      <c r="M20" s="109"/>
    </row>
    <row r="21" spans="1:23" x14ac:dyDescent="0.3">
      <c r="A21" s="14" t="s">
        <v>4</v>
      </c>
      <c r="B21" s="33"/>
      <c r="C21" s="34"/>
      <c r="D21" s="109"/>
      <c r="E21" s="109"/>
      <c r="F21" s="109"/>
      <c r="G21" s="34"/>
      <c r="H21" s="109"/>
      <c r="I21" s="35"/>
      <c r="J21" s="109"/>
      <c r="K21" s="35"/>
      <c r="L21" s="109"/>
      <c r="M21" s="109"/>
    </row>
    <row r="22" spans="1:23" x14ac:dyDescent="0.3">
      <c r="A22" s="6" t="str">
        <f>Data!A334</f>
        <v xml:space="preserve">Fertilizer Spreader </v>
      </c>
      <c r="B22" s="247">
        <v>1</v>
      </c>
      <c r="C22" s="34" t="str">
        <f>Data!C334</f>
        <v>fert.spread</v>
      </c>
      <c r="D22" s="109">
        <f>Data!D334*Data!N8</f>
        <v>0</v>
      </c>
      <c r="E22" s="109">
        <f>D22*B22</f>
        <v>0</v>
      </c>
      <c r="F22" s="109">
        <f>Data!I334*E22</f>
        <v>0</v>
      </c>
      <c r="G22" s="60">
        <f>Data!F334</f>
        <v>10</v>
      </c>
      <c r="H22" s="109">
        <f>(E22*(_int_inv_*(1+_int_inv_)^G22)/((1+_int_inv_)^G22-1))-(F22*_int_inv_/((1+_int_inv_)^G22-1))</f>
        <v>0</v>
      </c>
      <c r="I22" s="35">
        <f>Data!H334</f>
        <v>4.4999999999999998E-2</v>
      </c>
      <c r="J22" s="109">
        <f>E22*I22</f>
        <v>0</v>
      </c>
      <c r="K22" s="36">
        <f>_tax_ins_</f>
        <v>6.7999999999999996E-3</v>
      </c>
      <c r="L22" s="109">
        <f>E22*K22</f>
        <v>0</v>
      </c>
      <c r="M22" s="109">
        <f>H22+J22+L22</f>
        <v>0</v>
      </c>
    </row>
    <row r="23" spans="1:23" x14ac:dyDescent="0.3">
      <c r="A23" s="6" t="str">
        <f>Data!A347</f>
        <v>Seeder (Brillion)</v>
      </c>
      <c r="B23" s="163">
        <f>Data!B347</f>
        <v>0</v>
      </c>
      <c r="C23" s="34" t="str">
        <f>Data!C347</f>
        <v>seeder</v>
      </c>
      <c r="D23" s="109">
        <f>Data!D347*Data!D8*Data!AV8</f>
        <v>0</v>
      </c>
      <c r="E23" s="109">
        <f>D23*B23</f>
        <v>0</v>
      </c>
      <c r="F23" s="109">
        <f>Data!I347*E23</f>
        <v>0</v>
      </c>
      <c r="G23" s="90">
        <f>Data!F347</f>
        <v>10</v>
      </c>
      <c r="H23" s="109">
        <f>(E23*(_int_inv_*(1+_int_inv_)^G23)/((1+_int_inv_)^G23-1))-(F23*_int_inv_/((1+_int_inv_)^G23-1))</f>
        <v>0</v>
      </c>
      <c r="I23" s="162">
        <f>Data!H347</f>
        <v>4.4999999999999998E-2</v>
      </c>
      <c r="J23" s="109">
        <f>E23*I23</f>
        <v>0</v>
      </c>
      <c r="K23" s="36">
        <f>_tax_ins_</f>
        <v>6.7999999999999996E-3</v>
      </c>
      <c r="L23" s="109">
        <f>E23*K23</f>
        <v>0</v>
      </c>
      <c r="M23" s="109">
        <f>H23+J23+L23</f>
        <v>0</v>
      </c>
      <c r="N23" s="34"/>
      <c r="O23" s="34"/>
      <c r="P23" s="34"/>
      <c r="Q23" s="34"/>
      <c r="R23" s="34"/>
      <c r="S23" s="34"/>
      <c r="T23" s="34"/>
      <c r="U23" s="34"/>
      <c r="V23" s="34"/>
      <c r="W23" s="34"/>
    </row>
    <row r="24" spans="1:23" x14ac:dyDescent="0.3">
      <c r="A24" s="6"/>
      <c r="B24" s="33"/>
      <c r="C24" s="34"/>
      <c r="D24" s="109"/>
      <c r="E24" s="109"/>
      <c r="F24" s="109"/>
      <c r="G24" s="60"/>
      <c r="H24" s="109"/>
      <c r="I24" s="35"/>
      <c r="J24" s="109"/>
      <c r="K24" s="36"/>
      <c r="L24" s="109"/>
      <c r="M24" s="109"/>
    </row>
    <row r="25" spans="1:23" x14ac:dyDescent="0.3">
      <c r="A25" s="14" t="s">
        <v>7</v>
      </c>
      <c r="B25" s="33"/>
      <c r="C25" s="34"/>
      <c r="D25" s="109"/>
      <c r="E25" s="109"/>
      <c r="F25" s="109"/>
      <c r="G25" s="34"/>
      <c r="H25" s="109"/>
      <c r="I25" s="35"/>
      <c r="J25" s="109"/>
      <c r="K25" s="36"/>
      <c r="L25" s="109"/>
      <c r="M25" s="109"/>
    </row>
    <row r="26" spans="1:23" ht="13.25" customHeight="1" x14ac:dyDescent="0.3">
      <c r="A26" s="6" t="str">
        <f>Data!A353</f>
        <v>Sprayer (Tractor Mounted Boom, 50 ft) - SMALL SIZE</v>
      </c>
      <c r="B26" s="247">
        <v>1</v>
      </c>
      <c r="C26" s="34" t="str">
        <f>Data!C353</f>
        <v>sprayer</v>
      </c>
      <c r="D26" s="109">
        <f>Data!D353*Data!P8</f>
        <v>0</v>
      </c>
      <c r="E26" s="109">
        <f>D26*B26</f>
        <v>0</v>
      </c>
      <c r="F26" s="109">
        <f>Data!I353*E26</f>
        <v>0</v>
      </c>
      <c r="G26" s="60">
        <f>Data!F353</f>
        <v>50</v>
      </c>
      <c r="H26" s="109">
        <f>(E26*(_int_inv_*(1+_int_inv_)^G26)/((1+_int_inv_)^G26-1))-(F26*_int_inv_/((1+_int_inv_)^G26-1))</f>
        <v>0</v>
      </c>
      <c r="I26" s="35">
        <f>Data!H353</f>
        <v>4.4999999999999998E-2</v>
      </c>
      <c r="J26" s="109">
        <f>E26*I26</f>
        <v>0</v>
      </c>
      <c r="K26" s="36">
        <f>_tax_ins_</f>
        <v>6.7999999999999996E-3</v>
      </c>
      <c r="L26" s="109">
        <f>E26*K26</f>
        <v>0</v>
      </c>
      <c r="M26" s="109">
        <f>H26+J26+L26</f>
        <v>0</v>
      </c>
    </row>
    <row r="27" spans="1:23" x14ac:dyDescent="0.3">
      <c r="A27" s="6"/>
      <c r="B27" s="33"/>
      <c r="C27" s="34"/>
      <c r="D27" s="109"/>
      <c r="E27" s="109"/>
      <c r="F27" s="109"/>
      <c r="G27" s="60"/>
      <c r="H27" s="109"/>
      <c r="I27" s="35"/>
      <c r="J27" s="109"/>
      <c r="K27" s="36"/>
      <c r="L27" s="109"/>
      <c r="M27" s="109"/>
    </row>
    <row r="28" spans="1:23" x14ac:dyDescent="0.3">
      <c r="A28" s="14" t="s">
        <v>9</v>
      </c>
      <c r="B28" s="33"/>
      <c r="C28" s="166"/>
      <c r="D28" s="109"/>
      <c r="E28" s="109"/>
      <c r="F28" s="109"/>
      <c r="G28" s="34"/>
      <c r="H28" s="109"/>
      <c r="I28" s="35"/>
      <c r="J28" s="109"/>
      <c r="K28" s="36"/>
      <c r="L28" s="109"/>
      <c r="M28" s="109"/>
    </row>
    <row r="29" spans="1:23" x14ac:dyDescent="0.3">
      <c r="A29" s="19" t="str">
        <f>Data!A370</f>
        <v>Mower-conditioner</v>
      </c>
      <c r="B29" s="33">
        <f>Data!B370</f>
        <v>0</v>
      </c>
      <c r="C29" s="34" t="str">
        <f>Data!C370</f>
        <v>mower-cond.</v>
      </c>
      <c r="D29" s="109">
        <f>Data!D370*Data!AB8</f>
        <v>0</v>
      </c>
      <c r="E29" s="109">
        <f>D29*B29</f>
        <v>0</v>
      </c>
      <c r="F29" s="109">
        <f>Data!I370*E29</f>
        <v>0</v>
      </c>
      <c r="G29" s="60">
        <f>Data!F370</f>
        <v>8</v>
      </c>
      <c r="H29" s="109">
        <f>(E29*(_int_inv_*(1+_int_inv_)^G29)/((1+_int_inv_)^G29-1))-(F29*_int_inv_/((1+_int_inv_)^G29-1))</f>
        <v>0</v>
      </c>
      <c r="I29" s="35">
        <f>Data!H370</f>
        <v>4.4999999999999998E-2</v>
      </c>
      <c r="J29" s="109">
        <f>E29*I29</f>
        <v>0</v>
      </c>
      <c r="K29" s="36">
        <f>_tax_ins_</f>
        <v>6.7999999999999996E-3</v>
      </c>
      <c r="L29" s="109">
        <f>E29*K29</f>
        <v>0</v>
      </c>
      <c r="M29" s="109">
        <f>H29+J29+L29</f>
        <v>0</v>
      </c>
    </row>
    <row r="30" spans="1:23" x14ac:dyDescent="0.3">
      <c r="A30" s="19" t="str">
        <f>Data!A374</f>
        <v>Teader</v>
      </c>
      <c r="B30" s="33">
        <f>Data!B374</f>
        <v>0</v>
      </c>
      <c r="C30" s="34" t="str">
        <f>Data!C374</f>
        <v>teader</v>
      </c>
      <c r="D30" s="109">
        <f>Data!D374*Data!AD8*Data!D8</f>
        <v>0</v>
      </c>
      <c r="E30" s="109">
        <f>D30*B30</f>
        <v>0</v>
      </c>
      <c r="F30" s="109">
        <f>Data!I374*E30</f>
        <v>0</v>
      </c>
      <c r="G30" s="60">
        <f>Data!F374</f>
        <v>8</v>
      </c>
      <c r="H30" s="109">
        <f>(E30*(_int_inv_*(1+_int_inv_)^G30)/((1+_int_inv_)^G30-1))-(F30*_int_inv_/((1+_int_inv_)^G30-1))</f>
        <v>0</v>
      </c>
      <c r="I30" s="162">
        <f>Data!H374</f>
        <v>4.4999999999999998E-2</v>
      </c>
      <c r="J30" s="109">
        <f>E30*I30</f>
        <v>0</v>
      </c>
      <c r="K30" s="36">
        <f>_tax_ins_</f>
        <v>6.7999999999999996E-3</v>
      </c>
      <c r="L30" s="109">
        <f>E30*K30</f>
        <v>0</v>
      </c>
      <c r="M30" s="109">
        <f>H30+J30+L30</f>
        <v>0</v>
      </c>
    </row>
    <row r="31" spans="1:23" x14ac:dyDescent="0.3">
      <c r="A31" s="19" t="str">
        <f>Data!A378</f>
        <v xml:space="preserve">Raker </v>
      </c>
      <c r="B31" s="33">
        <f>Data!B378</f>
        <v>0</v>
      </c>
      <c r="C31" s="34" t="str">
        <f>Data!C378</f>
        <v>raker</v>
      </c>
      <c r="D31" s="109">
        <f>Data!D378*Data!AF8*Data!D8</f>
        <v>0</v>
      </c>
      <c r="E31" s="109">
        <f>D31*B31</f>
        <v>0</v>
      </c>
      <c r="F31" s="109">
        <f>Data!I378*E31</f>
        <v>0</v>
      </c>
      <c r="G31" s="60">
        <f>Data!F378</f>
        <v>50</v>
      </c>
      <c r="H31" s="109">
        <f>(E31*(_int_inv_*(1+_int_inv_)^G31)/((1+_int_inv_)^G31-1))-(F31*_int_inv_/((1+_int_inv_)^G31-1))</f>
        <v>0</v>
      </c>
      <c r="I31" s="162">
        <f>Data!H378</f>
        <v>4.4999999999999998E-2</v>
      </c>
      <c r="J31" s="109">
        <f>E31*I31</f>
        <v>0</v>
      </c>
      <c r="K31" s="36">
        <f>_tax_ins_</f>
        <v>6.7999999999999996E-3</v>
      </c>
      <c r="L31" s="109">
        <f>E31*K31</f>
        <v>0</v>
      </c>
      <c r="M31" s="109">
        <f>H31+J31+L31</f>
        <v>0</v>
      </c>
    </row>
    <row r="32" spans="1:23" x14ac:dyDescent="0.3">
      <c r="A32" s="19" t="str">
        <f>Data!A379</f>
        <v>Baler (Round)</v>
      </c>
      <c r="B32" s="247">
        <v>1</v>
      </c>
      <c r="C32" s="34" t="str">
        <f>Data!C379</f>
        <v>round baler</v>
      </c>
      <c r="D32" s="109">
        <f>Data!D379*Data!AF8*Data!D8</f>
        <v>0</v>
      </c>
      <c r="E32" s="109">
        <f>D32*B32</f>
        <v>0</v>
      </c>
      <c r="F32" s="109">
        <f>Data!I379*E32</f>
        <v>0</v>
      </c>
      <c r="G32" s="165">
        <f>Data!F379</f>
        <v>40</v>
      </c>
      <c r="H32" s="109">
        <f>(E32*(_int_inv_*(1+_int_inv_)^G32)/((1+_int_inv_)^G32-1))-(F32*_int_inv_/((1+_int_inv_)^G32-1))</f>
        <v>0</v>
      </c>
      <c r="I32" s="162">
        <f>Data!H379</f>
        <v>4.4999999999999998E-2</v>
      </c>
      <c r="J32" s="109">
        <f>E32*I32</f>
        <v>0</v>
      </c>
      <c r="K32" s="36">
        <f>_tax_ins_</f>
        <v>6.7999999999999996E-3</v>
      </c>
      <c r="L32" s="109">
        <f>E32*K32</f>
        <v>0</v>
      </c>
      <c r="M32" s="109">
        <f>H32+J32+L32</f>
        <v>0</v>
      </c>
    </row>
    <row r="33" spans="1:22" x14ac:dyDescent="0.3">
      <c r="A33" s="19" t="str">
        <f>Data!A380</f>
        <v>Baler (Square)</v>
      </c>
      <c r="B33" s="247">
        <v>0</v>
      </c>
      <c r="C33" s="34" t="str">
        <f>Data!C380</f>
        <v>square baler</v>
      </c>
      <c r="D33" s="109">
        <f>Data!D380*Data!AF8*Data!D8</f>
        <v>0</v>
      </c>
      <c r="E33" s="109">
        <f>D33*B33</f>
        <v>0</v>
      </c>
      <c r="F33" s="109">
        <f>Data!I380*E33</f>
        <v>0</v>
      </c>
      <c r="G33" s="165">
        <f>Data!F380</f>
        <v>20</v>
      </c>
      <c r="H33" s="109">
        <f>(E33*(_int_inv_*(1+_int_inv_)^G33)/((1+_int_inv_)^G33-1))-(F33*_int_inv_/((1+_int_inv_)^G33-1))</f>
        <v>0</v>
      </c>
      <c r="I33" s="162">
        <f>Data!H380</f>
        <v>4.4999999999999998E-2</v>
      </c>
      <c r="J33" s="109">
        <f>E33*I33</f>
        <v>0</v>
      </c>
      <c r="K33" s="36">
        <f>_tax_ins_</f>
        <v>6.7999999999999996E-3</v>
      </c>
      <c r="L33" s="109">
        <f>E33*K33</f>
        <v>0</v>
      </c>
      <c r="M33" s="109">
        <f>H33+J33+L33</f>
        <v>0</v>
      </c>
    </row>
    <row r="34" spans="1:22" x14ac:dyDescent="0.3">
      <c r="A34" s="6"/>
      <c r="B34" s="33"/>
      <c r="C34" s="34"/>
      <c r="D34" s="109"/>
      <c r="E34" s="109"/>
      <c r="F34" s="109"/>
      <c r="G34" s="60"/>
      <c r="H34" s="109"/>
      <c r="I34" s="35"/>
      <c r="J34" s="109"/>
      <c r="K34" s="36"/>
      <c r="L34" s="109"/>
      <c r="M34" s="109"/>
    </row>
    <row r="35" spans="1:22" x14ac:dyDescent="0.3">
      <c r="A35" s="14" t="s">
        <v>357</v>
      </c>
      <c r="B35" s="33"/>
      <c r="C35" s="34"/>
      <c r="D35" s="109"/>
      <c r="E35" s="109"/>
      <c r="F35" s="109"/>
      <c r="G35" s="34"/>
      <c r="H35" s="109"/>
      <c r="I35" s="35"/>
      <c r="J35" s="109"/>
      <c r="K35" s="36"/>
      <c r="L35" s="109"/>
      <c r="M35" s="109"/>
    </row>
    <row r="36" spans="1:22" x14ac:dyDescent="0.3">
      <c r="A36" s="6" t="str">
        <f>Data!A395</f>
        <v>Fuel Tanks - SMALL SIZE</v>
      </c>
      <c r="B36" s="33">
        <f>Data!B395</f>
        <v>0</v>
      </c>
      <c r="C36" s="34" t="str">
        <f>Data!C395</f>
        <v>fuel tank</v>
      </c>
      <c r="D36" s="109">
        <f>Data!D395*Data!H8</f>
        <v>0</v>
      </c>
      <c r="E36" s="109">
        <f>D36*B36</f>
        <v>0</v>
      </c>
      <c r="F36" s="109">
        <f>Data!I395*E36</f>
        <v>0</v>
      </c>
      <c r="G36" s="60">
        <f>Data!F395</f>
        <v>50</v>
      </c>
      <c r="H36" s="109">
        <f>(E36*(_int_inv_*(1+_int_inv_)^G36)/((1+_int_inv_)^G36-1))-(F36*_int_inv_/((1+_int_inv_)^G36-1))</f>
        <v>0</v>
      </c>
      <c r="I36" s="35">
        <f>Data!H395</f>
        <v>0.02</v>
      </c>
      <c r="J36" s="104">
        <f>E36*I36</f>
        <v>0</v>
      </c>
      <c r="K36" s="36">
        <f>_tax_ins_</f>
        <v>6.7999999999999996E-3</v>
      </c>
      <c r="L36" s="104">
        <f>E36*K36</f>
        <v>0</v>
      </c>
      <c r="M36" s="109">
        <f>H36+J36+L36</f>
        <v>0</v>
      </c>
    </row>
    <row r="37" spans="1:22" x14ac:dyDescent="0.3">
      <c r="A37" s="6" t="str">
        <f>Data!A396</f>
        <v>Shop Tools - SMALL SIZE</v>
      </c>
      <c r="B37" s="33">
        <f>Data!B396</f>
        <v>0</v>
      </c>
      <c r="C37" s="34" t="str">
        <f>Data!C396</f>
        <v>shop tools</v>
      </c>
      <c r="D37" s="109">
        <f>Data!D396*Data!H8</f>
        <v>0</v>
      </c>
      <c r="E37" s="109">
        <f>D37*B37</f>
        <v>0</v>
      </c>
      <c r="F37" s="109">
        <f>Data!I396*E37</f>
        <v>0</v>
      </c>
      <c r="G37" s="60">
        <f>Data!F396</f>
        <v>50</v>
      </c>
      <c r="H37" s="109">
        <f>(E37*(_int_inv_*(1+_int_inv_)^G37)/((1+_int_inv_)^G37-1))-(F37*_int_inv_/((1+_int_inv_)^G37-1))</f>
        <v>0</v>
      </c>
      <c r="I37" s="35">
        <f>Data!H396</f>
        <v>0.02</v>
      </c>
      <c r="J37" s="109">
        <f>E37*I37</f>
        <v>0</v>
      </c>
      <c r="K37" s="36">
        <f>_tax_ins_</f>
        <v>6.7999999999999996E-3</v>
      </c>
      <c r="L37" s="109">
        <f>E37*K37</f>
        <v>0</v>
      </c>
      <c r="M37" s="109">
        <f>H37+J37+L37</f>
        <v>0</v>
      </c>
    </row>
    <row r="38" spans="1:22" x14ac:dyDescent="0.3">
      <c r="A38" s="6"/>
      <c r="B38" s="33"/>
      <c r="C38" s="34"/>
      <c r="D38" s="109"/>
      <c r="E38" s="109"/>
      <c r="F38" s="109"/>
      <c r="G38" s="34"/>
      <c r="H38" s="109"/>
      <c r="I38" s="35"/>
      <c r="J38" s="109"/>
      <c r="K38" s="36"/>
      <c r="L38" s="109"/>
      <c r="M38" s="109"/>
    </row>
    <row r="39" spans="1:22" x14ac:dyDescent="0.3">
      <c r="A39" s="14" t="s">
        <v>12</v>
      </c>
      <c r="B39" s="84">
        <f>Data!B68</f>
        <v>0</v>
      </c>
      <c r="C39" s="868" t="str">
        <f>Data!H51</f>
        <v>acre(s)</v>
      </c>
      <c r="D39" s="109">
        <f>Data!F61</f>
        <v>1000</v>
      </c>
      <c r="E39" s="109">
        <f>D39*B39</f>
        <v>0</v>
      </c>
      <c r="F39" s="864" t="s">
        <v>45</v>
      </c>
      <c r="G39" s="865" t="s">
        <v>45</v>
      </c>
      <c r="H39" s="109">
        <f>E39*_int_inv_</f>
        <v>0</v>
      </c>
      <c r="I39" s="35">
        <f>Data!H61</f>
        <v>0.01</v>
      </c>
      <c r="J39" s="109">
        <f>E39*I39</f>
        <v>0</v>
      </c>
      <c r="K39" s="36">
        <f>_tax_ins_</f>
        <v>6.7999999999999996E-3</v>
      </c>
      <c r="L39" s="109">
        <f>E39*K39</f>
        <v>0</v>
      </c>
      <c r="M39" s="109">
        <f>H39+J39+L39</f>
        <v>0</v>
      </c>
    </row>
    <row r="40" spans="1:22" x14ac:dyDescent="0.3">
      <c r="B40" s="33"/>
      <c r="C40" s="34"/>
      <c r="D40" s="109"/>
      <c r="E40" s="109"/>
      <c r="F40" s="109"/>
      <c r="G40" s="38"/>
      <c r="H40" s="109"/>
      <c r="I40" s="35"/>
      <c r="J40" s="109"/>
      <c r="K40" s="36"/>
      <c r="L40" s="109"/>
      <c r="M40" s="109"/>
    </row>
    <row r="41" spans="1:22" x14ac:dyDescent="0.3">
      <c r="A41" s="14" t="s">
        <v>1229</v>
      </c>
      <c r="B41" s="33"/>
      <c r="C41" s="34"/>
      <c r="D41" s="109"/>
      <c r="E41" s="109"/>
      <c r="F41" s="109"/>
      <c r="G41" s="34"/>
      <c r="H41" s="109"/>
      <c r="I41" s="35"/>
      <c r="J41" s="109"/>
      <c r="K41" s="36"/>
      <c r="L41" s="110"/>
      <c r="M41" s="109"/>
    </row>
    <row r="42" spans="1:22" x14ac:dyDescent="0.3">
      <c r="A42" s="6" t="str">
        <f>Data!A495</f>
        <v>Shop/Loading Shed - SMALL SIZE</v>
      </c>
      <c r="B42" s="33">
        <f>Data!B495</f>
        <v>0</v>
      </c>
      <c r="C42" s="34" t="str">
        <f>Data!C495</f>
        <v>building</v>
      </c>
      <c r="D42" s="109">
        <f>Data!D495*Data!H8</f>
        <v>0</v>
      </c>
      <c r="E42" s="109">
        <f>D42*B42</f>
        <v>0</v>
      </c>
      <c r="F42" s="109">
        <f>Data!I495*E42</f>
        <v>0</v>
      </c>
      <c r="G42" s="34">
        <f>Data!F495</f>
        <v>33</v>
      </c>
      <c r="H42" s="109">
        <f>(E42*(_int_inv_*(1+_int_inv_)^G42)/((1+_int_inv_)^G42-1))-(F42*_int_inv_/((1+_int_inv_)^G42-1))</f>
        <v>0</v>
      </c>
      <c r="I42" s="35">
        <f>Data!H495</f>
        <v>0.01</v>
      </c>
      <c r="J42" s="109">
        <f>E42*I42</f>
        <v>0</v>
      </c>
      <c r="K42" s="36">
        <f>_tax_ins_</f>
        <v>6.7999999999999996E-3</v>
      </c>
      <c r="L42" s="109">
        <f>E42*K42</f>
        <v>0</v>
      </c>
      <c r="M42" s="109">
        <f>H42+J42+L42</f>
        <v>0</v>
      </c>
      <c r="N42" s="34"/>
      <c r="O42" s="34"/>
      <c r="P42" s="34"/>
      <c r="Q42" s="34"/>
    </row>
    <row r="43" spans="1:22" x14ac:dyDescent="0.3">
      <c r="A43" s="6"/>
      <c r="B43" s="33"/>
      <c r="C43" s="34"/>
      <c r="D43" s="109"/>
      <c r="E43" s="109"/>
      <c r="F43" s="109"/>
      <c r="G43" s="34"/>
      <c r="H43" s="109"/>
      <c r="I43" s="35"/>
      <c r="J43" s="109"/>
      <c r="K43" s="36"/>
      <c r="L43" s="109"/>
      <c r="M43" s="109"/>
    </row>
    <row r="44" spans="1:22" ht="12.75" customHeight="1" x14ac:dyDescent="0.3">
      <c r="A44" s="14" t="s">
        <v>514</v>
      </c>
      <c r="B44" s="351" t="s">
        <v>516</v>
      </c>
      <c r="C44" s="351"/>
      <c r="D44" s="351"/>
      <c r="E44" s="351"/>
      <c r="F44" s="351"/>
      <c r="G44" s="351"/>
      <c r="H44" s="351"/>
      <c r="I44" s="351"/>
      <c r="J44" s="109"/>
      <c r="K44" s="36"/>
      <c r="L44" s="109"/>
      <c r="M44" s="109"/>
      <c r="N44" s="34"/>
      <c r="O44" s="34"/>
      <c r="P44" s="34"/>
      <c r="Q44" s="34"/>
      <c r="R44" s="34"/>
      <c r="S44" s="34"/>
      <c r="T44" s="34"/>
      <c r="U44" s="34"/>
      <c r="V44" s="34"/>
    </row>
    <row r="45" spans="1:22" ht="12.75" customHeight="1" x14ac:dyDescent="0.3">
      <c r="A45" s="14" t="s">
        <v>515</v>
      </c>
      <c r="B45" s="351" t="s">
        <v>517</v>
      </c>
      <c r="C45" s="351"/>
      <c r="D45" s="351"/>
      <c r="E45" s="351"/>
      <c r="F45" s="351"/>
      <c r="G45" s="351"/>
      <c r="H45" s="351"/>
      <c r="I45" s="351"/>
      <c r="J45" s="109"/>
      <c r="K45" s="36"/>
      <c r="L45" s="109"/>
      <c r="M45" s="109"/>
      <c r="N45" s="34"/>
      <c r="O45" s="34"/>
      <c r="P45" s="34"/>
      <c r="Q45" s="34"/>
      <c r="R45" s="34"/>
      <c r="S45" s="34"/>
      <c r="T45" s="34"/>
      <c r="U45" s="34"/>
      <c r="V45" s="34"/>
    </row>
    <row r="46" spans="1:22" x14ac:dyDescent="0.3">
      <c r="B46" s="33"/>
      <c r="C46" s="34"/>
      <c r="D46" s="109"/>
      <c r="E46" s="109"/>
      <c r="F46" s="109"/>
      <c r="G46" s="34"/>
      <c r="H46" s="109"/>
      <c r="I46" s="35"/>
      <c r="J46" s="109"/>
      <c r="K46" s="36"/>
      <c r="L46" s="110"/>
      <c r="M46" s="109"/>
    </row>
    <row r="47" spans="1:22" x14ac:dyDescent="0.3">
      <c r="A47" s="14" t="s">
        <v>19</v>
      </c>
      <c r="B47" s="865" t="s">
        <v>45</v>
      </c>
      <c r="C47" s="864" t="s">
        <v>45</v>
      </c>
      <c r="D47" s="864" t="s">
        <v>45</v>
      </c>
      <c r="E47" s="864" t="s">
        <v>45</v>
      </c>
      <c r="F47" s="864" t="s">
        <v>45</v>
      </c>
      <c r="G47" s="865" t="s">
        <v>45</v>
      </c>
      <c r="H47" s="864" t="s">
        <v>45</v>
      </c>
      <c r="I47" s="865" t="s">
        <v>45</v>
      </c>
      <c r="J47" s="864" t="s">
        <v>45</v>
      </c>
      <c r="K47" s="865" t="s">
        <v>45</v>
      </c>
      <c r="L47" s="864" t="s">
        <v>45</v>
      </c>
      <c r="M47" s="864" t="s">
        <v>45</v>
      </c>
    </row>
    <row r="48" spans="1:22" x14ac:dyDescent="0.3">
      <c r="A48" s="14"/>
      <c r="B48" s="33"/>
      <c r="C48" s="34"/>
      <c r="D48" s="109"/>
      <c r="E48" s="109"/>
      <c r="F48" s="109"/>
      <c r="G48" s="34"/>
      <c r="H48" s="109"/>
      <c r="I48" s="35"/>
      <c r="J48" s="109"/>
      <c r="K48" s="35"/>
      <c r="L48" s="110"/>
      <c r="M48" s="109"/>
    </row>
    <row r="49" spans="1:13" x14ac:dyDescent="0.3">
      <c r="A49" s="14" t="s">
        <v>64</v>
      </c>
      <c r="B49" s="865" t="s">
        <v>45</v>
      </c>
      <c r="C49" s="864" t="s">
        <v>45</v>
      </c>
      <c r="D49" s="866">
        <v>0</v>
      </c>
      <c r="E49" s="866">
        <f>D49</f>
        <v>0</v>
      </c>
      <c r="F49" s="866">
        <v>0</v>
      </c>
      <c r="G49" s="247">
        <v>1</v>
      </c>
      <c r="H49" s="109">
        <f>(E49*(_int_inv_*(1+_int_inv_)^G49)/((1+_int_inv_)^G49-1))-(F49*_int_inv_/((1+_int_inv_)^G49-1))</f>
        <v>0</v>
      </c>
      <c r="I49" s="251">
        <v>0.01</v>
      </c>
      <c r="J49" s="109">
        <f>E49*I49</f>
        <v>0</v>
      </c>
      <c r="K49" s="36">
        <f>_tax_ins_</f>
        <v>6.7999999999999996E-3</v>
      </c>
      <c r="L49" s="109">
        <f>E49*K49</f>
        <v>0</v>
      </c>
      <c r="M49" s="109">
        <f>H49+J49+L49</f>
        <v>0</v>
      </c>
    </row>
    <row r="50" spans="1:13" x14ac:dyDescent="0.3">
      <c r="B50" s="33"/>
      <c r="C50" s="34"/>
      <c r="D50" s="109"/>
      <c r="E50" s="109"/>
      <c r="F50" s="109"/>
      <c r="G50" s="34"/>
      <c r="H50" s="109"/>
      <c r="I50" s="35"/>
      <c r="J50" s="110"/>
      <c r="K50" s="35"/>
      <c r="L50" s="110"/>
      <c r="M50" s="109"/>
    </row>
    <row r="51" spans="1:13" ht="13.5" x14ac:dyDescent="0.35">
      <c r="A51" s="1" t="s">
        <v>68</v>
      </c>
      <c r="B51" s="33"/>
      <c r="C51" s="34"/>
      <c r="D51" s="109"/>
      <c r="E51" s="109">
        <f>SUM(E7:E49)</f>
        <v>0</v>
      </c>
      <c r="F51" s="109">
        <f>SUM(F7:F49)</f>
        <v>0</v>
      </c>
      <c r="G51" s="34"/>
      <c r="H51" s="109">
        <f>SUM(H7:H49)</f>
        <v>0</v>
      </c>
      <c r="I51" s="35"/>
      <c r="J51" s="109">
        <f>SUM(J7:J49)</f>
        <v>0</v>
      </c>
      <c r="K51" s="35"/>
      <c r="L51" s="109">
        <f>SUM(L7:L49)</f>
        <v>0</v>
      </c>
      <c r="M51" s="109">
        <f>SUM(M7:M49)</f>
        <v>0</v>
      </c>
    </row>
    <row r="52" spans="1:13" x14ac:dyDescent="0.3">
      <c r="B52" s="33"/>
      <c r="C52" s="34"/>
      <c r="D52" s="32"/>
      <c r="E52" s="32"/>
      <c r="F52" s="32"/>
      <c r="G52" s="34"/>
      <c r="H52" s="107"/>
      <c r="I52" s="35"/>
      <c r="J52" s="110"/>
      <c r="K52" s="35"/>
      <c r="L52" s="34"/>
      <c r="M52" s="32"/>
    </row>
    <row r="53" spans="1:13" x14ac:dyDescent="0.3">
      <c r="B53" s="33"/>
      <c r="C53" s="34"/>
      <c r="D53" s="32"/>
      <c r="E53" s="32"/>
      <c r="F53" s="32"/>
      <c r="G53" s="34"/>
      <c r="H53" s="107"/>
      <c r="I53" s="35"/>
      <c r="J53" s="34"/>
      <c r="K53" s="35"/>
      <c r="L53" s="34"/>
      <c r="M53" s="32"/>
    </row>
    <row r="54" spans="1:13" x14ac:dyDescent="0.3">
      <c r="B54" s="33"/>
      <c r="C54" s="34"/>
      <c r="D54" s="8" t="s">
        <v>136</v>
      </c>
      <c r="E54" s="32"/>
      <c r="F54" s="32"/>
      <c r="G54" s="34"/>
      <c r="H54" s="107"/>
      <c r="I54" s="35"/>
      <c r="J54" s="34"/>
      <c r="K54" s="35"/>
      <c r="L54" s="34"/>
      <c r="M54" s="32"/>
    </row>
    <row r="55" spans="1:13" x14ac:dyDescent="0.3">
      <c r="B55" s="33"/>
      <c r="C55" s="34"/>
      <c r="D55" s="55" t="s">
        <v>262</v>
      </c>
      <c r="E55" s="112">
        <f>SUM(E7:E38)</f>
        <v>0</v>
      </c>
      <c r="F55" s="32"/>
      <c r="G55" s="34"/>
      <c r="H55" s="107"/>
      <c r="I55" s="35"/>
      <c r="J55" s="34"/>
      <c r="K55" s="35"/>
      <c r="L55" s="34"/>
      <c r="M55" s="32"/>
    </row>
    <row r="56" spans="1:13" x14ac:dyDescent="0.3">
      <c r="B56" s="33"/>
      <c r="C56" s="34"/>
      <c r="D56" s="55" t="s">
        <v>263</v>
      </c>
      <c r="E56" s="112">
        <f>SUM(E39:E40)</f>
        <v>0</v>
      </c>
      <c r="F56" s="32"/>
      <c r="G56" s="34"/>
      <c r="H56" s="32"/>
      <c r="I56" s="35"/>
      <c r="J56" s="34"/>
      <c r="K56" s="35"/>
      <c r="L56" s="34"/>
      <c r="M56" s="32"/>
    </row>
    <row r="57" spans="1:13" x14ac:dyDescent="0.3">
      <c r="B57" s="33"/>
      <c r="C57" s="34"/>
      <c r="D57" s="62" t="s">
        <v>264</v>
      </c>
      <c r="E57" s="113">
        <f>SUM(E42:E46)</f>
        <v>0</v>
      </c>
      <c r="F57" s="32"/>
      <c r="G57" s="34"/>
      <c r="H57" s="32"/>
      <c r="I57" s="34"/>
      <c r="J57" s="34"/>
      <c r="K57" s="35"/>
      <c r="L57" s="34"/>
      <c r="M57" s="32"/>
    </row>
    <row r="58" spans="1:13" x14ac:dyDescent="0.3">
      <c r="B58" s="33"/>
      <c r="C58" s="34"/>
      <c r="D58" s="61" t="s">
        <v>265</v>
      </c>
      <c r="E58" s="112">
        <f>SUM(E55:E57)</f>
        <v>0</v>
      </c>
      <c r="F58" s="32"/>
      <c r="G58" s="34"/>
      <c r="H58" s="32"/>
      <c r="I58" s="34"/>
      <c r="J58" s="34"/>
      <c r="K58" s="35"/>
      <c r="L58" s="34"/>
      <c r="M58" s="32"/>
    </row>
    <row r="59" spans="1:13" x14ac:dyDescent="0.3">
      <c r="B59" s="33"/>
      <c r="C59" s="34"/>
      <c r="D59" s="32"/>
      <c r="E59" s="32"/>
      <c r="F59" s="32"/>
      <c r="G59" s="34"/>
      <c r="H59" s="32"/>
      <c r="I59" s="34"/>
      <c r="J59" s="34"/>
      <c r="K59" s="35"/>
      <c r="L59" s="34"/>
      <c r="M59" s="32"/>
    </row>
    <row r="60" spans="1:13" x14ac:dyDescent="0.3">
      <c r="B60" s="33"/>
      <c r="C60" s="34"/>
      <c r="D60" s="32"/>
      <c r="E60" s="32"/>
      <c r="F60" s="32"/>
      <c r="G60" s="34"/>
      <c r="H60" s="32"/>
      <c r="I60" s="34"/>
      <c r="J60" s="34"/>
      <c r="K60" s="35"/>
      <c r="L60" s="34"/>
      <c r="M60" s="32"/>
    </row>
    <row r="61" spans="1:13" x14ac:dyDescent="0.3">
      <c r="B61" s="33"/>
      <c r="C61" s="34"/>
      <c r="D61" s="32"/>
      <c r="E61" s="32"/>
      <c r="F61" s="32"/>
      <c r="G61" s="34"/>
      <c r="H61" s="32"/>
      <c r="I61" s="34"/>
      <c r="J61" s="34"/>
      <c r="K61" s="35"/>
      <c r="L61" s="34"/>
      <c r="M61" s="32"/>
    </row>
    <row r="62" spans="1:13" x14ac:dyDescent="0.3">
      <c r="B62" s="33"/>
      <c r="C62" s="34"/>
      <c r="D62" s="32"/>
      <c r="E62" s="32"/>
      <c r="F62" s="32"/>
      <c r="G62" s="34"/>
      <c r="H62" s="32"/>
      <c r="I62" s="34"/>
      <c r="J62" s="34"/>
      <c r="K62" s="35"/>
      <c r="L62" s="34"/>
      <c r="M62" s="32"/>
    </row>
    <row r="63" spans="1:13" x14ac:dyDescent="0.3">
      <c r="B63" s="33"/>
      <c r="C63" s="34"/>
      <c r="D63" s="32"/>
      <c r="E63" s="32"/>
      <c r="F63" s="32"/>
      <c r="G63" s="34"/>
      <c r="H63" s="32"/>
      <c r="I63" s="34"/>
      <c r="J63" s="34"/>
      <c r="K63" s="35"/>
      <c r="L63" s="34"/>
      <c r="M63" s="32"/>
    </row>
    <row r="64" spans="1: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2"/>
      <c r="E76" s="32"/>
      <c r="F76" s="32"/>
      <c r="G76" s="34"/>
      <c r="H76" s="32"/>
      <c r="I76" s="34"/>
      <c r="J76" s="34"/>
      <c r="K76" s="35"/>
      <c r="L76" s="34"/>
      <c r="M76" s="32"/>
    </row>
    <row r="77" spans="2:13" x14ac:dyDescent="0.3">
      <c r="B77" s="33"/>
      <c r="C77" s="34"/>
      <c r="D77" s="32"/>
      <c r="E77" s="32"/>
      <c r="F77" s="32"/>
      <c r="G77" s="34"/>
      <c r="H77" s="32"/>
      <c r="I77" s="34"/>
      <c r="J77" s="34"/>
      <c r="K77" s="35"/>
      <c r="L77" s="34"/>
      <c r="M77" s="32"/>
    </row>
    <row r="78" spans="2:13" x14ac:dyDescent="0.3">
      <c r="B78" s="33"/>
      <c r="C78" s="34"/>
      <c r="D78" s="32"/>
      <c r="E78" s="32"/>
      <c r="F78" s="32"/>
      <c r="G78" s="34"/>
      <c r="H78" s="32"/>
      <c r="I78" s="34"/>
      <c r="J78" s="34"/>
      <c r="K78" s="35"/>
      <c r="L78" s="34"/>
      <c r="M78" s="32"/>
    </row>
    <row r="79" spans="2:13" x14ac:dyDescent="0.3">
      <c r="B79" s="33"/>
      <c r="C79" s="34"/>
      <c r="D79" s="32"/>
      <c r="E79" s="32"/>
      <c r="F79" s="32"/>
      <c r="G79" s="34"/>
      <c r="H79" s="32"/>
      <c r="I79" s="34"/>
      <c r="J79" s="34"/>
      <c r="K79" s="35"/>
      <c r="L79" s="34"/>
      <c r="M79" s="32"/>
    </row>
    <row r="80" spans="2:13" x14ac:dyDescent="0.3">
      <c r="B80" s="33"/>
      <c r="C80" s="34"/>
      <c r="D80" s="32"/>
      <c r="E80" s="32"/>
      <c r="F80" s="32"/>
      <c r="G80" s="34"/>
      <c r="H80" s="32"/>
      <c r="I80" s="34"/>
      <c r="J80" s="34"/>
      <c r="K80" s="35"/>
      <c r="L80" s="34"/>
      <c r="M80" s="32"/>
    </row>
    <row r="81" spans="2:13" x14ac:dyDescent="0.3">
      <c r="B81" s="33"/>
      <c r="C81" s="34"/>
      <c r="D81" s="32"/>
      <c r="E81" s="32"/>
      <c r="F81" s="32"/>
      <c r="G81" s="34"/>
      <c r="H81" s="32"/>
      <c r="I81" s="34"/>
      <c r="J81" s="34"/>
      <c r="K81" s="35"/>
      <c r="L81" s="34"/>
      <c r="M81" s="32"/>
    </row>
    <row r="82" spans="2:13" x14ac:dyDescent="0.3">
      <c r="B82" s="33"/>
      <c r="C82" s="34"/>
      <c r="D82" s="32"/>
      <c r="E82" s="32"/>
      <c r="F82" s="32"/>
      <c r="G82" s="34"/>
      <c r="H82" s="32"/>
      <c r="I82" s="34"/>
      <c r="J82" s="34"/>
      <c r="K82" s="35"/>
      <c r="L82" s="34"/>
      <c r="M82" s="32"/>
    </row>
    <row r="83" spans="2:13" x14ac:dyDescent="0.3">
      <c r="B83" s="33"/>
      <c r="C83" s="34"/>
      <c r="D83" s="32"/>
      <c r="E83" s="32"/>
      <c r="F83" s="32"/>
      <c r="G83" s="34"/>
      <c r="H83" s="32"/>
      <c r="I83" s="34"/>
      <c r="J83" s="34"/>
      <c r="K83" s="35"/>
      <c r="L83" s="34"/>
      <c r="M83" s="32"/>
    </row>
    <row r="84" spans="2:13" x14ac:dyDescent="0.3">
      <c r="B84" s="33"/>
      <c r="C84" s="34"/>
      <c r="D84" s="39"/>
      <c r="E84" s="39"/>
      <c r="F84" s="39"/>
      <c r="G84" s="34"/>
      <c r="H84" s="32"/>
      <c r="I84" s="34"/>
      <c r="J84" s="34"/>
      <c r="K84" s="35"/>
      <c r="L84" s="34"/>
      <c r="M84" s="32"/>
    </row>
    <row r="85" spans="2:13" x14ac:dyDescent="0.3">
      <c r="B85" s="33"/>
      <c r="C85" s="34"/>
      <c r="D85" s="39"/>
      <c r="E85" s="39"/>
      <c r="F85" s="39"/>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2"/>
      <c r="I181" s="34"/>
      <c r="J181" s="34"/>
      <c r="K181" s="35"/>
      <c r="L181" s="34"/>
      <c r="M181" s="32"/>
    </row>
    <row r="182" spans="2:13" x14ac:dyDescent="0.3">
      <c r="B182" s="33"/>
      <c r="C182" s="34"/>
      <c r="D182" s="39"/>
      <c r="E182" s="39"/>
      <c r="F182" s="39"/>
      <c r="G182" s="34"/>
      <c r="H182" s="32"/>
      <c r="I182" s="34"/>
      <c r="J182" s="34"/>
      <c r="K182" s="35"/>
      <c r="L182" s="34"/>
      <c r="M182" s="32"/>
    </row>
    <row r="183" spans="2:13" x14ac:dyDescent="0.3">
      <c r="B183" s="33"/>
      <c r="C183" s="34"/>
      <c r="D183" s="39"/>
      <c r="E183" s="39"/>
      <c r="F183" s="39"/>
      <c r="G183" s="34"/>
      <c r="H183" s="32"/>
      <c r="I183" s="34"/>
      <c r="J183" s="34"/>
      <c r="K183" s="35"/>
      <c r="L183" s="34"/>
      <c r="M183" s="32"/>
    </row>
    <row r="184" spans="2:13" x14ac:dyDescent="0.3">
      <c r="B184" s="33"/>
      <c r="C184" s="34"/>
      <c r="D184" s="39"/>
      <c r="E184" s="39"/>
      <c r="F184" s="39"/>
      <c r="G184" s="34"/>
      <c r="H184" s="32"/>
      <c r="I184" s="34"/>
      <c r="J184" s="34"/>
      <c r="K184" s="35"/>
      <c r="L184" s="34"/>
      <c r="M184" s="32"/>
    </row>
    <row r="185" spans="2:13" x14ac:dyDescent="0.3">
      <c r="B185" s="33"/>
      <c r="C185" s="34"/>
      <c r="D185" s="39"/>
      <c r="E185" s="39"/>
      <c r="F185" s="39"/>
      <c r="G185" s="34"/>
      <c r="H185" s="32"/>
      <c r="I185" s="34"/>
      <c r="J185" s="34"/>
      <c r="K185" s="35"/>
      <c r="L185" s="34"/>
      <c r="M185" s="32"/>
    </row>
    <row r="186" spans="2:13" x14ac:dyDescent="0.3">
      <c r="B186" s="33"/>
      <c r="C186" s="34"/>
      <c r="D186" s="39"/>
      <c r="E186" s="39"/>
      <c r="F186" s="39"/>
      <c r="G186" s="34"/>
      <c r="H186" s="32"/>
      <c r="I186" s="34"/>
      <c r="J186" s="34"/>
      <c r="K186" s="35"/>
      <c r="L186" s="34"/>
      <c r="M186" s="32"/>
    </row>
    <row r="187" spans="2:13" x14ac:dyDescent="0.3">
      <c r="B187" s="33"/>
      <c r="C187" s="34"/>
      <c r="D187" s="39"/>
      <c r="E187" s="39"/>
      <c r="F187" s="39"/>
      <c r="G187" s="34"/>
      <c r="H187" s="32"/>
      <c r="I187" s="34"/>
      <c r="J187" s="34"/>
      <c r="K187" s="35"/>
      <c r="L187" s="34"/>
      <c r="M187" s="32"/>
    </row>
    <row r="188" spans="2:13" x14ac:dyDescent="0.3">
      <c r="B188" s="33"/>
      <c r="C188" s="34"/>
      <c r="D188" s="39"/>
      <c r="E188" s="39"/>
      <c r="F188" s="39"/>
      <c r="G188" s="34"/>
      <c r="H188" s="32"/>
      <c r="I188" s="34"/>
      <c r="J188" s="34"/>
      <c r="K188" s="35"/>
      <c r="L188" s="34"/>
      <c r="M188" s="32"/>
    </row>
    <row r="189" spans="2:13" x14ac:dyDescent="0.3">
      <c r="B189" s="33"/>
      <c r="C189" s="34"/>
      <c r="D189" s="39"/>
      <c r="E189" s="39"/>
      <c r="F189" s="39"/>
      <c r="G189" s="34"/>
      <c r="H189" s="34"/>
      <c r="I189" s="34"/>
      <c r="J189" s="34"/>
      <c r="K189" s="35"/>
      <c r="L189" s="34"/>
      <c r="M189" s="32"/>
    </row>
    <row r="190" spans="2:13" x14ac:dyDescent="0.3">
      <c r="B190" s="33"/>
      <c r="C190" s="34"/>
      <c r="D190" s="39"/>
      <c r="E190" s="39"/>
      <c r="F190" s="39"/>
      <c r="G190" s="34"/>
      <c r="H190" s="34"/>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9"/>
      <c r="E194" s="39"/>
      <c r="F194" s="39"/>
      <c r="G194" s="34"/>
      <c r="H194" s="34"/>
      <c r="I194" s="34"/>
      <c r="J194" s="34"/>
      <c r="K194" s="35"/>
      <c r="L194" s="34"/>
      <c r="M194" s="32"/>
    </row>
    <row r="195" spans="2:13" x14ac:dyDescent="0.3">
      <c r="B195" s="33"/>
      <c r="C195" s="34"/>
      <c r="D195" s="39"/>
      <c r="E195" s="39"/>
      <c r="F195" s="39"/>
      <c r="G195" s="34"/>
      <c r="H195" s="34"/>
      <c r="I195" s="34"/>
      <c r="J195" s="34"/>
      <c r="K195" s="35"/>
      <c r="L195" s="34"/>
      <c r="M195" s="32"/>
    </row>
    <row r="196" spans="2:13" x14ac:dyDescent="0.3">
      <c r="B196" s="33"/>
      <c r="C196" s="34"/>
      <c r="D196" s="39"/>
      <c r="E196" s="39"/>
      <c r="F196" s="39"/>
      <c r="G196" s="34"/>
      <c r="H196" s="34"/>
      <c r="I196" s="34"/>
      <c r="J196" s="34"/>
      <c r="K196" s="35"/>
      <c r="L196" s="34"/>
      <c r="M196" s="32"/>
    </row>
    <row r="197" spans="2:13" x14ac:dyDescent="0.3">
      <c r="B197" s="33"/>
      <c r="C197" s="34"/>
      <c r="D197" s="39"/>
      <c r="E197" s="39"/>
      <c r="F197" s="39"/>
      <c r="G197" s="34"/>
      <c r="H197" s="34"/>
      <c r="I197" s="34"/>
      <c r="J197" s="34"/>
      <c r="K197" s="35"/>
      <c r="L197" s="34"/>
      <c r="M197" s="32"/>
    </row>
    <row r="198" spans="2:13" x14ac:dyDescent="0.3">
      <c r="B198" s="33"/>
      <c r="C198" s="34"/>
      <c r="D198" s="39"/>
      <c r="E198" s="39"/>
      <c r="F198" s="39"/>
      <c r="G198" s="34"/>
      <c r="H198" s="34"/>
      <c r="I198" s="34"/>
      <c r="J198" s="34"/>
      <c r="K198" s="35"/>
      <c r="L198" s="34"/>
      <c r="M198" s="32"/>
    </row>
    <row r="199" spans="2:13" x14ac:dyDescent="0.3">
      <c r="B199" s="33"/>
      <c r="C199" s="34"/>
      <c r="D199" s="39"/>
      <c r="E199" s="39"/>
      <c r="F199" s="39"/>
      <c r="G199" s="34"/>
      <c r="H199" s="34"/>
      <c r="I199" s="34"/>
      <c r="J199" s="34"/>
      <c r="K199" s="35"/>
      <c r="L199" s="34"/>
      <c r="M199" s="32"/>
    </row>
    <row r="200" spans="2:13" x14ac:dyDescent="0.3">
      <c r="B200" s="33"/>
      <c r="C200" s="34"/>
      <c r="D200" s="39"/>
      <c r="E200" s="39"/>
      <c r="F200" s="39"/>
      <c r="G200" s="34"/>
      <c r="H200" s="34"/>
      <c r="I200" s="34"/>
      <c r="J200" s="34"/>
      <c r="K200" s="35"/>
      <c r="L200" s="34"/>
      <c r="M200" s="32"/>
    </row>
    <row r="201" spans="2:13" x14ac:dyDescent="0.3">
      <c r="B201" s="33"/>
      <c r="C201" s="34"/>
      <c r="D201" s="39"/>
      <c r="E201" s="39"/>
      <c r="F201" s="39"/>
      <c r="G201" s="34"/>
      <c r="H201" s="34"/>
      <c r="I201" s="34"/>
      <c r="J201" s="34"/>
      <c r="K201" s="35"/>
      <c r="L201" s="34"/>
      <c r="M201" s="32"/>
    </row>
    <row r="202" spans="2:13" x14ac:dyDescent="0.3">
      <c r="B202" s="33"/>
      <c r="C202" s="34"/>
      <c r="D202" s="34"/>
      <c r="E202" s="34"/>
      <c r="F202" s="34"/>
      <c r="G202" s="34"/>
      <c r="H202" s="34"/>
      <c r="I202" s="34"/>
      <c r="J202" s="34"/>
      <c r="K202" s="35"/>
      <c r="L202" s="34"/>
      <c r="M202" s="32"/>
    </row>
    <row r="203" spans="2:13" x14ac:dyDescent="0.3">
      <c r="B203" s="33"/>
      <c r="C203" s="34"/>
      <c r="D203" s="34"/>
      <c r="E203" s="34"/>
      <c r="F203" s="34"/>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2"/>
    </row>
    <row r="504" spans="2:13" x14ac:dyDescent="0.3">
      <c r="B504" s="33"/>
      <c r="C504" s="34"/>
      <c r="D504" s="34"/>
      <c r="E504" s="34"/>
      <c r="F504" s="34"/>
      <c r="G504" s="34"/>
      <c r="H504" s="34"/>
      <c r="I504" s="34"/>
      <c r="J504" s="34"/>
      <c r="K504" s="35"/>
      <c r="L504" s="34"/>
      <c r="M504" s="32"/>
    </row>
    <row r="505" spans="2:13" x14ac:dyDescent="0.3">
      <c r="B505" s="33"/>
      <c r="C505" s="34"/>
      <c r="D505" s="34"/>
      <c r="E505" s="34"/>
      <c r="F505" s="34"/>
      <c r="G505" s="34"/>
      <c r="H505" s="34"/>
      <c r="I505" s="34"/>
      <c r="J505" s="34"/>
      <c r="K505" s="35"/>
      <c r="L505" s="34"/>
      <c r="M505" s="32"/>
    </row>
    <row r="506" spans="2:13" x14ac:dyDescent="0.3">
      <c r="B506" s="33"/>
      <c r="C506" s="34"/>
      <c r="D506" s="34"/>
      <c r="E506" s="34"/>
      <c r="F506" s="34"/>
      <c r="G506" s="34"/>
      <c r="H506" s="34"/>
      <c r="I506" s="34"/>
      <c r="J506" s="34"/>
      <c r="K506" s="35"/>
      <c r="L506" s="34"/>
      <c r="M506" s="32"/>
    </row>
    <row r="507" spans="2:13" x14ac:dyDescent="0.3">
      <c r="B507" s="33"/>
      <c r="C507" s="34"/>
      <c r="D507" s="34"/>
      <c r="E507" s="34"/>
      <c r="F507" s="34"/>
      <c r="G507" s="34"/>
      <c r="H507" s="34"/>
      <c r="I507" s="34"/>
      <c r="J507" s="34"/>
      <c r="K507" s="35"/>
      <c r="L507" s="34"/>
      <c r="M507" s="32"/>
    </row>
    <row r="508" spans="2:13" x14ac:dyDescent="0.3">
      <c r="B508" s="33"/>
      <c r="C508" s="34"/>
      <c r="D508" s="34"/>
      <c r="E508" s="34"/>
      <c r="F508" s="34"/>
      <c r="G508" s="34"/>
      <c r="H508" s="34"/>
      <c r="I508" s="34"/>
      <c r="J508" s="34"/>
      <c r="K508" s="35"/>
      <c r="L508" s="34"/>
      <c r="M508" s="32"/>
    </row>
    <row r="509" spans="2:13" x14ac:dyDescent="0.3">
      <c r="B509" s="33"/>
      <c r="C509" s="34"/>
      <c r="D509" s="34"/>
      <c r="E509" s="34"/>
      <c r="F509" s="34"/>
      <c r="G509" s="34"/>
      <c r="H509" s="34"/>
      <c r="I509" s="34"/>
      <c r="J509" s="34"/>
      <c r="K509" s="35"/>
      <c r="L509" s="34"/>
      <c r="M509" s="32"/>
    </row>
    <row r="510" spans="2:13" x14ac:dyDescent="0.3">
      <c r="B510" s="33"/>
      <c r="C510" s="34"/>
      <c r="D510" s="34"/>
      <c r="E510" s="34"/>
      <c r="F510" s="34"/>
      <c r="G510" s="34"/>
      <c r="H510" s="34"/>
      <c r="I510" s="34"/>
      <c r="J510" s="34"/>
      <c r="K510" s="35"/>
      <c r="L510" s="34"/>
      <c r="M510" s="32"/>
    </row>
    <row r="511" spans="2:13" x14ac:dyDescent="0.3">
      <c r="B511" s="33"/>
      <c r="C511" s="34"/>
      <c r="D511" s="34"/>
      <c r="E511" s="34"/>
      <c r="F511" s="34"/>
      <c r="G511" s="34"/>
      <c r="H511" s="34"/>
      <c r="I511" s="34"/>
      <c r="J511" s="34"/>
      <c r="K511" s="35"/>
      <c r="L511" s="34"/>
      <c r="M511" s="34"/>
    </row>
    <row r="512" spans="2:13" x14ac:dyDescent="0.3">
      <c r="B512" s="33"/>
      <c r="C512" s="34"/>
      <c r="D512" s="34"/>
      <c r="E512" s="34"/>
      <c r="F512" s="34"/>
      <c r="G512" s="34"/>
      <c r="H512" s="34"/>
      <c r="I512" s="34"/>
      <c r="J512" s="34"/>
      <c r="K512" s="35"/>
      <c r="L512" s="34"/>
      <c r="M512" s="34"/>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B768" s="33"/>
      <c r="C768" s="34"/>
      <c r="D768" s="34"/>
      <c r="E768" s="34"/>
      <c r="F768" s="34"/>
      <c r="G768" s="34"/>
      <c r="H768" s="34"/>
      <c r="I768" s="34"/>
      <c r="J768" s="34"/>
      <c r="K768" s="35"/>
      <c r="L768" s="34"/>
      <c r="M768" s="34"/>
    </row>
    <row r="769" spans="2:13" x14ac:dyDescent="0.3">
      <c r="B769" s="33"/>
      <c r="C769" s="34"/>
      <c r="D769" s="34"/>
      <c r="E769" s="34"/>
      <c r="F769" s="34"/>
      <c r="G769" s="34"/>
      <c r="H769" s="34"/>
      <c r="I769" s="34"/>
      <c r="J769" s="34"/>
      <c r="K769" s="35"/>
      <c r="L769" s="34"/>
      <c r="M769" s="34"/>
    </row>
    <row r="770" spans="2:13" x14ac:dyDescent="0.3">
      <c r="B770" s="33"/>
      <c r="C770" s="34"/>
      <c r="D770" s="34"/>
      <c r="E770" s="34"/>
      <c r="F770" s="34"/>
      <c r="G770" s="34"/>
      <c r="H770" s="34"/>
      <c r="I770" s="34"/>
      <c r="J770" s="34"/>
      <c r="K770" s="35"/>
      <c r="L770" s="34"/>
      <c r="M770" s="34"/>
    </row>
    <row r="771" spans="2:13" x14ac:dyDescent="0.3">
      <c r="B771" s="33"/>
      <c r="C771" s="34"/>
      <c r="D771" s="34"/>
      <c r="E771" s="34"/>
      <c r="F771" s="34"/>
      <c r="G771" s="34"/>
      <c r="H771" s="34"/>
      <c r="I771" s="34"/>
      <c r="J771" s="34"/>
      <c r="K771" s="35"/>
      <c r="L771" s="34"/>
      <c r="M771" s="34"/>
    </row>
    <row r="772" spans="2:13" x14ac:dyDescent="0.3">
      <c r="B772" s="33"/>
      <c r="C772" s="34"/>
      <c r="D772" s="34"/>
      <c r="E772" s="34"/>
      <c r="F772" s="34"/>
      <c r="G772" s="34"/>
      <c r="H772" s="34"/>
      <c r="I772" s="34"/>
      <c r="J772" s="34"/>
      <c r="K772" s="35"/>
      <c r="L772" s="34"/>
      <c r="M772" s="34"/>
    </row>
    <row r="773" spans="2:13" x14ac:dyDescent="0.3">
      <c r="B773" s="33"/>
      <c r="C773" s="34"/>
      <c r="D773" s="34"/>
      <c r="E773" s="34"/>
      <c r="F773" s="34"/>
      <c r="G773" s="34"/>
      <c r="H773" s="34"/>
      <c r="I773" s="34"/>
      <c r="J773" s="34"/>
      <c r="K773" s="35"/>
      <c r="L773" s="34"/>
      <c r="M773" s="34"/>
    </row>
    <row r="774" spans="2:13" x14ac:dyDescent="0.3">
      <c r="B774" s="33"/>
      <c r="C774" s="34"/>
      <c r="D774" s="34"/>
      <c r="E774" s="34"/>
      <c r="F774" s="34"/>
      <c r="G774" s="34"/>
      <c r="H774" s="34"/>
      <c r="I774" s="34"/>
      <c r="J774" s="34"/>
      <c r="K774" s="35"/>
      <c r="L774" s="34"/>
      <c r="M774" s="34"/>
    </row>
    <row r="775" spans="2:13" x14ac:dyDescent="0.3">
      <c r="B775" s="33"/>
      <c r="C775" s="34"/>
      <c r="D775" s="34"/>
      <c r="E775" s="34"/>
      <c r="F775" s="34"/>
      <c r="G775" s="34"/>
      <c r="H775" s="34"/>
      <c r="I775" s="34"/>
      <c r="J775" s="34"/>
      <c r="K775" s="35"/>
      <c r="L775" s="34"/>
      <c r="M775" s="34"/>
    </row>
    <row r="776" spans="2:13" x14ac:dyDescent="0.3">
      <c r="K776" s="40"/>
    </row>
    <row r="777" spans="2:13" x14ac:dyDescent="0.3">
      <c r="K777" s="40"/>
    </row>
    <row r="778" spans="2:13" x14ac:dyDescent="0.3">
      <c r="K778" s="40"/>
    </row>
    <row r="779" spans="2:13" x14ac:dyDescent="0.3">
      <c r="K779" s="40"/>
    </row>
    <row r="780" spans="2:13" x14ac:dyDescent="0.3">
      <c r="K780" s="40"/>
    </row>
    <row r="781" spans="2:13" x14ac:dyDescent="0.3">
      <c r="K781" s="40"/>
    </row>
    <row r="782" spans="2:13" x14ac:dyDescent="0.3">
      <c r="K782" s="40"/>
    </row>
    <row r="783" spans="2:13" x14ac:dyDescent="0.3">
      <c r="K783" s="40"/>
    </row>
    <row r="784" spans="2:1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sheetData>
  <phoneticPr fontId="16" type="noConversion"/>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topLeftCell="A20" workbookViewId="0">
      <selection activeCell="B32" sqref="B32"/>
    </sheetView>
  </sheetViews>
  <sheetFormatPr defaultColWidth="9.08984375" defaultRowHeight="13" x14ac:dyDescent="0.3"/>
  <cols>
    <col min="1" max="1" width="41.81640625" style="17" customWidth="1"/>
    <col min="2" max="2" width="10.81640625" style="50" customWidth="1"/>
    <col min="3" max="3" width="7.81640625" style="51" customWidth="1"/>
    <col min="4" max="4" width="10.81640625" style="50" customWidth="1"/>
    <col min="5" max="5" width="7.81640625" style="50" customWidth="1"/>
    <col min="6" max="6" width="10.81640625" style="17" customWidth="1"/>
    <col min="7" max="7" width="10.0898437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12" x14ac:dyDescent="0.3">
      <c r="A1" s="61" t="s">
        <v>146</v>
      </c>
      <c r="B1" s="50" t="str">
        <f>model</f>
        <v>ME Grain &amp; Pulse</v>
      </c>
    </row>
    <row r="2" spans="1:12" x14ac:dyDescent="0.3">
      <c r="H2" s="17">
        <v>2</v>
      </c>
      <c r="I2" s="17" t="s">
        <v>692</v>
      </c>
    </row>
    <row r="3" spans="1:12" x14ac:dyDescent="0.3">
      <c r="A3" s="7" t="s">
        <v>686</v>
      </c>
      <c r="B3" s="55" t="s">
        <v>92</v>
      </c>
      <c r="C3" s="54">
        <f>balehay</f>
        <v>0</v>
      </c>
      <c r="D3" s="17" t="s">
        <v>93</v>
      </c>
      <c r="E3" s="17"/>
      <c r="F3" s="27"/>
      <c r="G3" s="27"/>
      <c r="H3" s="24">
        <f>2/0.89</f>
        <v>2.2471910112359552</v>
      </c>
      <c r="I3" s="17" t="s">
        <v>693</v>
      </c>
    </row>
    <row r="4" spans="1:12" x14ac:dyDescent="0.3">
      <c r="A4" s="7"/>
      <c r="B4" s="55" t="s">
        <v>232</v>
      </c>
      <c r="C4" s="210">
        <f>Data!I151</f>
        <v>5.0999999999999996</v>
      </c>
      <c r="D4" s="17" t="s">
        <v>731</v>
      </c>
      <c r="E4" s="54">
        <f>(Data!I151*Data!I152)/100</f>
        <v>51</v>
      </c>
      <c r="F4" s="17" t="s">
        <v>233</v>
      </c>
      <c r="H4" s="26">
        <f>H3*2000</f>
        <v>4494.3820224719102</v>
      </c>
      <c r="I4" s="17" t="s">
        <v>694</v>
      </c>
    </row>
    <row r="5" spans="1:12" x14ac:dyDescent="0.3">
      <c r="A5" s="7"/>
      <c r="B5" s="55" t="s">
        <v>284</v>
      </c>
      <c r="C5" s="97">
        <f>Data!E148</f>
        <v>41.392088676374698</v>
      </c>
      <c r="D5" s="17" t="s">
        <v>733</v>
      </c>
      <c r="E5" s="17"/>
      <c r="G5" s="50"/>
      <c r="H5" s="203">
        <f>H4/1000</f>
        <v>4.4943820224719104</v>
      </c>
      <c r="I5" s="17" t="s">
        <v>696</v>
      </c>
      <c r="K5" s="26">
        <f>H4/40</f>
        <v>112.35955056179776</v>
      </c>
      <c r="L5" s="17" t="s">
        <v>695</v>
      </c>
    </row>
    <row r="7" spans="1:12" ht="15.5" x14ac:dyDescent="0.35">
      <c r="A7" s="751" t="s">
        <v>1294</v>
      </c>
      <c r="B7" s="697" t="s">
        <v>76</v>
      </c>
      <c r="C7" s="697"/>
      <c r="D7" s="697" t="s">
        <v>77</v>
      </c>
      <c r="E7" s="698"/>
      <c r="F7" s="697" t="s">
        <v>690</v>
      </c>
      <c r="H7" s="41" t="s">
        <v>268</v>
      </c>
      <c r="I7" s="41" t="s">
        <v>267</v>
      </c>
      <c r="J7" s="41" t="s">
        <v>269</v>
      </c>
      <c r="K7" s="41" t="s">
        <v>553</v>
      </c>
    </row>
    <row r="8" spans="1:12" ht="15.5" x14ac:dyDescent="0.35">
      <c r="A8" s="699" t="s">
        <v>362</v>
      </c>
      <c r="B8" s="759">
        <f>C3</f>
        <v>0</v>
      </c>
      <c r="C8" s="701"/>
      <c r="D8" s="702" t="s">
        <v>363</v>
      </c>
      <c r="E8" s="699"/>
      <c r="F8" s="702" t="s">
        <v>363</v>
      </c>
      <c r="H8" s="17" t="s">
        <v>258</v>
      </c>
      <c r="I8" s="173">
        <f>Data!B148</f>
        <v>55.189451568499592</v>
      </c>
      <c r="J8" s="109" t="s">
        <v>205</v>
      </c>
      <c r="K8" s="109" t="s">
        <v>205</v>
      </c>
    </row>
    <row r="9" spans="1:12" ht="15.5" x14ac:dyDescent="0.35">
      <c r="A9" s="699" t="s">
        <v>689</v>
      </c>
      <c r="B9" s="759">
        <f>C4*C3</f>
        <v>0</v>
      </c>
      <c r="C9" s="701"/>
      <c r="D9" s="770">
        <f>C4</f>
        <v>5.0999999999999996</v>
      </c>
      <c r="E9" s="699"/>
      <c r="F9" s="702" t="s">
        <v>363</v>
      </c>
      <c r="H9" s="17" t="s">
        <v>552</v>
      </c>
      <c r="I9" s="99">
        <f>(2000*J9)/K9</f>
        <v>82.784177352749396</v>
      </c>
      <c r="J9" s="172">
        <f>Data!E148</f>
        <v>41.392088676374698</v>
      </c>
      <c r="K9" s="171">
        <f>Data!I152</f>
        <v>1000</v>
      </c>
    </row>
    <row r="10" spans="1:12" ht="15.65" customHeight="1" x14ac:dyDescent="0.35">
      <c r="A10" s="699" t="s">
        <v>1295</v>
      </c>
      <c r="B10" s="702" t="s">
        <v>363</v>
      </c>
      <c r="C10" s="716"/>
      <c r="D10" s="702" t="s">
        <v>363</v>
      </c>
      <c r="E10" s="752"/>
      <c r="F10" s="716">
        <f>C5</f>
        <v>41.392088676374698</v>
      </c>
      <c r="H10" s="17" t="s">
        <v>270</v>
      </c>
      <c r="I10" s="99">
        <f>(2000*J10)/K10</f>
        <v>172.46703615156122</v>
      </c>
      <c r="J10" s="172">
        <f>Data!H148</f>
        <v>3.4493407230312245</v>
      </c>
      <c r="K10" s="171">
        <f>Data!Q152</f>
        <v>40</v>
      </c>
    </row>
    <row r="11" spans="1:12" ht="15.5" x14ac:dyDescent="0.35">
      <c r="A11" s="699"/>
      <c r="B11" s="743"/>
      <c r="C11" s="773"/>
      <c r="D11" s="743"/>
      <c r="E11" s="743"/>
      <c r="F11" s="699"/>
    </row>
    <row r="12" spans="1:12" ht="15" x14ac:dyDescent="0.3">
      <c r="A12" s="709" t="s">
        <v>230</v>
      </c>
      <c r="B12" s="710">
        <f>balehay*C4*C5</f>
        <v>0</v>
      </c>
      <c r="C12" s="736"/>
      <c r="D12" s="711" t="e">
        <f>B12/balehay</f>
        <v>#DIV/0!</v>
      </c>
      <c r="E12" s="711"/>
      <c r="F12" s="711" t="e">
        <f>B12/($C$4*balehay)</f>
        <v>#DIV/0!</v>
      </c>
      <c r="H12" s="17" t="s">
        <v>375</v>
      </c>
    </row>
    <row r="13" spans="1:12" ht="15.5" x14ac:dyDescent="0.35">
      <c r="A13" s="699"/>
      <c r="B13" s="721"/>
      <c r="C13" s="775"/>
      <c r="D13" s="716"/>
      <c r="E13" s="716"/>
      <c r="F13" s="752"/>
    </row>
    <row r="14" spans="1:12" ht="15.5" x14ac:dyDescent="0.35">
      <c r="A14" s="709" t="s">
        <v>365</v>
      </c>
      <c r="B14" s="715"/>
      <c r="C14" s="733"/>
      <c r="D14" s="716"/>
      <c r="E14" s="716"/>
      <c r="F14" s="752"/>
      <c r="I14" s="55" t="s">
        <v>147</v>
      </c>
    </row>
    <row r="15" spans="1:12" ht="15.5" x14ac:dyDescent="0.35">
      <c r="A15" s="714" t="s">
        <v>13</v>
      </c>
      <c r="B15" s="715">
        <f>SUM(HayOprC!H7:H9)</f>
        <v>0</v>
      </c>
      <c r="C15" s="733"/>
      <c r="D15" s="716" t="e">
        <f t="shared" ref="D15:D25" si="0">B15/balehay</f>
        <v>#DIV/0!</v>
      </c>
      <c r="E15" s="715"/>
      <c r="F15" s="716" t="e">
        <f t="shared" ref="F15:F25" si="1">B15/($C$4*balehay)</f>
        <v>#DIV/0!</v>
      </c>
      <c r="H15" s="56" t="s">
        <v>271</v>
      </c>
      <c r="I15" s="56" t="s">
        <v>291</v>
      </c>
      <c r="J15" s="56" t="s">
        <v>272</v>
      </c>
      <c r="L15" s="85" t="s">
        <v>108</v>
      </c>
    </row>
    <row r="16" spans="1:12" ht="15.5" x14ac:dyDescent="0.35">
      <c r="A16" s="714" t="s">
        <v>1</v>
      </c>
      <c r="B16" s="715">
        <f>SUM(HayOprC!H10:H12)</f>
        <v>0</v>
      </c>
      <c r="C16" s="733"/>
      <c r="D16" s="716" t="e">
        <f t="shared" si="0"/>
        <v>#DIV/0!</v>
      </c>
      <c r="E16" s="716"/>
      <c r="F16" s="716" t="e">
        <f t="shared" si="1"/>
        <v>#DIV/0!</v>
      </c>
      <c r="H16" s="55" t="s">
        <v>273</v>
      </c>
      <c r="I16" s="327">
        <f>$I$18*L16</f>
        <v>1.5299999999999998</v>
      </c>
      <c r="J16" s="108">
        <f>($I$16*I9*L22)+($I$16*I10*L23)</f>
        <v>126.65979134970657</v>
      </c>
      <c r="L16" s="174">
        <f>HlgBud!L16</f>
        <v>0.6</v>
      </c>
    </row>
    <row r="17" spans="1:12" ht="15.5" x14ac:dyDescent="0.35">
      <c r="A17" s="714" t="s">
        <v>2</v>
      </c>
      <c r="B17" s="715">
        <f>HayOprC!H13</f>
        <v>0</v>
      </c>
      <c r="C17" s="733"/>
      <c r="D17" s="716" t="e">
        <f t="shared" si="0"/>
        <v>#DIV/0!</v>
      </c>
      <c r="E17" s="716"/>
      <c r="F17" s="716" t="e">
        <f t="shared" si="1"/>
        <v>#DIV/0!</v>
      </c>
      <c r="H17" s="55" t="s">
        <v>274</v>
      </c>
      <c r="I17" s="326">
        <f>$I$18*L17</f>
        <v>1.0199999999999998</v>
      </c>
      <c r="J17" s="115">
        <f>($I$17*I9*L22)+($I$17*I10*L23)</f>
        <v>84.439860899804373</v>
      </c>
      <c r="L17" s="174">
        <f>HlgBud!L17</f>
        <v>0.39999999999999997</v>
      </c>
    </row>
    <row r="18" spans="1:12" ht="15.5" x14ac:dyDescent="0.35">
      <c r="A18" s="714" t="s">
        <v>1476</v>
      </c>
      <c r="B18" s="699"/>
      <c r="C18" s="699"/>
      <c r="D18" s="699"/>
      <c r="E18" s="699"/>
      <c r="F18" s="699"/>
      <c r="I18" s="24">
        <f>Data!I153</f>
        <v>2.5499999999999998</v>
      </c>
      <c r="J18" s="99">
        <f>SUM(J16:J17)</f>
        <v>211.09965224951094</v>
      </c>
      <c r="K18" s="166">
        <f>J18/I18</f>
        <v>82.784177352749396</v>
      </c>
    </row>
    <row r="19" spans="1:12" ht="15.5" x14ac:dyDescent="0.35">
      <c r="A19" s="714" t="s">
        <v>1119</v>
      </c>
      <c r="B19" s="745">
        <f>SUM(HayOprC!H14:H17)</f>
        <v>0</v>
      </c>
      <c r="C19" s="776"/>
      <c r="D19" s="746" t="e">
        <f>B19/balehay</f>
        <v>#DIV/0!</v>
      </c>
      <c r="E19" s="746"/>
      <c r="F19" s="746" t="e">
        <f>B19/($C$4*balehay)</f>
        <v>#DIV/0!</v>
      </c>
      <c r="I19" s="24"/>
      <c r="J19" s="99"/>
      <c r="K19" s="166"/>
    </row>
    <row r="20" spans="1:12" ht="16" thickBot="1" x14ac:dyDescent="0.4">
      <c r="A20" s="714" t="s">
        <v>1120</v>
      </c>
      <c r="B20" s="745">
        <v>0</v>
      </c>
      <c r="C20" s="776"/>
      <c r="D20" s="745" t="e">
        <f>B20/balehay</f>
        <v>#DIV/0!</v>
      </c>
      <c r="E20" s="745"/>
      <c r="F20" s="745" t="e">
        <f>B20/($C$4*balehay)</f>
        <v>#DIV/0!</v>
      </c>
      <c r="I20" s="55" t="s">
        <v>275</v>
      </c>
    </row>
    <row r="21" spans="1:12" ht="15.5" x14ac:dyDescent="0.35">
      <c r="A21" s="714" t="s">
        <v>14</v>
      </c>
      <c r="B21" s="715">
        <f>SUM(HayOprC!H19:H61)</f>
        <v>0</v>
      </c>
      <c r="C21" s="733"/>
      <c r="D21" s="716" t="e">
        <f t="shared" si="0"/>
        <v>#DIV/0!</v>
      </c>
      <c r="E21" s="716"/>
      <c r="F21" s="716" t="e">
        <f t="shared" si="1"/>
        <v>#DIV/0!</v>
      </c>
      <c r="H21" s="56" t="s">
        <v>271</v>
      </c>
      <c r="I21" s="56" t="s">
        <v>276</v>
      </c>
      <c r="K21" s="487" t="s">
        <v>1025</v>
      </c>
      <c r="L21" s="488" t="s">
        <v>108</v>
      </c>
    </row>
    <row r="22" spans="1:12" ht="15.5" x14ac:dyDescent="0.35">
      <c r="A22" s="714" t="s">
        <v>169</v>
      </c>
      <c r="B22" s="715">
        <f>SUM(HayOprC!H66:H106)</f>
        <v>0</v>
      </c>
      <c r="C22" s="733"/>
      <c r="D22" s="716" t="e">
        <f t="shared" si="0"/>
        <v>#DIV/0!</v>
      </c>
      <c r="E22" s="716"/>
      <c r="F22" s="716" t="e">
        <f t="shared" si="1"/>
        <v>#DIV/0!</v>
      </c>
      <c r="H22" s="55" t="s">
        <v>273</v>
      </c>
      <c r="I22" s="108">
        <f>J16</f>
        <v>126.65979134970657</v>
      </c>
      <c r="K22" s="489" t="s">
        <v>1026</v>
      </c>
      <c r="L22" s="533">
        <v>1</v>
      </c>
    </row>
    <row r="23" spans="1:12" ht="16" thickBot="1" x14ac:dyDescent="0.4">
      <c r="A23" s="714" t="s">
        <v>78</v>
      </c>
      <c r="B23" s="715">
        <f>SUM(HayOprC!H107:H108)</f>
        <v>0</v>
      </c>
      <c r="C23" s="733"/>
      <c r="D23" s="716" t="e">
        <f t="shared" si="0"/>
        <v>#DIV/0!</v>
      </c>
      <c r="E23" s="716"/>
      <c r="F23" s="716" t="e">
        <f t="shared" si="1"/>
        <v>#DIV/0!</v>
      </c>
      <c r="H23" s="55" t="s">
        <v>274</v>
      </c>
      <c r="I23" s="115">
        <f>J17</f>
        <v>84.439860899804373</v>
      </c>
      <c r="K23" s="491" t="s">
        <v>1027</v>
      </c>
      <c r="L23" s="534">
        <v>0</v>
      </c>
    </row>
    <row r="24" spans="1:12" ht="15.5" x14ac:dyDescent="0.35">
      <c r="A24" s="714" t="s">
        <v>170</v>
      </c>
      <c r="B24" s="732">
        <f>HayOprC!H109</f>
        <v>0</v>
      </c>
      <c r="C24" s="733"/>
      <c r="D24" s="715" t="e">
        <f>B24/balehay</f>
        <v>#DIV/0!</v>
      </c>
      <c r="E24" s="715"/>
      <c r="F24" s="715" t="e">
        <f t="shared" si="1"/>
        <v>#DIV/0!</v>
      </c>
      <c r="I24" s="99">
        <f>SUM(I22:I23)</f>
        <v>211.09965224951094</v>
      </c>
      <c r="J24" s="166">
        <f>I24/I18</f>
        <v>82.784177352749396</v>
      </c>
    </row>
    <row r="25" spans="1:12" ht="15.5" x14ac:dyDescent="0.35">
      <c r="A25" s="714" t="s">
        <v>171</v>
      </c>
      <c r="B25" s="732">
        <f>SUM(HayOprC!H110:H111)</f>
        <v>0</v>
      </c>
      <c r="C25" s="733"/>
      <c r="D25" s="716" t="e">
        <f t="shared" si="0"/>
        <v>#DIV/0!</v>
      </c>
      <c r="E25" s="716"/>
      <c r="F25" s="716" t="e">
        <f t="shared" si="1"/>
        <v>#DIV/0!</v>
      </c>
    </row>
    <row r="26" spans="1:12" ht="15.5" x14ac:dyDescent="0.35">
      <c r="A26" s="714" t="s">
        <v>172</v>
      </c>
      <c r="B26" s="699"/>
      <c r="C26" s="699"/>
      <c r="D26" s="699"/>
      <c r="E26" s="699"/>
      <c r="F26" s="699"/>
    </row>
    <row r="27" spans="1:12" ht="15.5" x14ac:dyDescent="0.35">
      <c r="A27" s="734" t="s">
        <v>378</v>
      </c>
      <c r="B27" s="753">
        <f>HayOprC!H113</f>
        <v>0</v>
      </c>
      <c r="C27" s="699"/>
      <c r="D27" s="716" t="e">
        <f t="shared" ref="D27:D33" si="2">B27/balehay</f>
        <v>#DIV/0!</v>
      </c>
      <c r="E27" s="752"/>
      <c r="F27" s="716" t="e">
        <f t="shared" ref="F27:F33" si="3">B27/($C$4*balehay)</f>
        <v>#DIV/0!</v>
      </c>
    </row>
    <row r="28" spans="1:12" ht="15.5" x14ac:dyDescent="0.35">
      <c r="A28" s="734" t="s">
        <v>379</v>
      </c>
      <c r="B28" s="753">
        <f>HayOprC!H114</f>
        <v>0</v>
      </c>
      <c r="C28" s="699"/>
      <c r="D28" s="715" t="e">
        <f t="shared" si="2"/>
        <v>#DIV/0!</v>
      </c>
      <c r="E28" s="753"/>
      <c r="F28" s="715" t="e">
        <f t="shared" si="3"/>
        <v>#DIV/0!</v>
      </c>
      <c r="I28" s="170"/>
    </row>
    <row r="29" spans="1:12" ht="15.5" x14ac:dyDescent="0.35">
      <c r="A29" s="734" t="s">
        <v>380</v>
      </c>
      <c r="B29" s="732">
        <f>SUM(HayOprC!H116:H117)</f>
        <v>0</v>
      </c>
      <c r="C29" s="733"/>
      <c r="D29" s="716" t="e">
        <f t="shared" si="2"/>
        <v>#DIV/0!</v>
      </c>
      <c r="E29" s="752"/>
      <c r="F29" s="716" t="e">
        <f t="shared" si="3"/>
        <v>#DIV/0!</v>
      </c>
    </row>
    <row r="30" spans="1:12" ht="15.5" x14ac:dyDescent="0.35">
      <c r="A30" s="734" t="s">
        <v>381</v>
      </c>
      <c r="B30" s="732">
        <f>SUM(HayOprC!H118:H119)</f>
        <v>0</v>
      </c>
      <c r="C30" s="733"/>
      <c r="D30" s="715" t="e">
        <f t="shared" si="2"/>
        <v>#DIV/0!</v>
      </c>
      <c r="E30" s="753"/>
      <c r="F30" s="715" t="e">
        <f t="shared" si="3"/>
        <v>#DIV/0!</v>
      </c>
    </row>
    <row r="31" spans="1:12" ht="15.5" x14ac:dyDescent="0.35">
      <c r="A31" s="734" t="s">
        <v>382</v>
      </c>
      <c r="B31" s="732">
        <f>SUM(HayOprC!H120:H125)</f>
        <v>0</v>
      </c>
      <c r="C31" s="733"/>
      <c r="D31" s="716" t="e">
        <f t="shared" si="2"/>
        <v>#DIV/0!</v>
      </c>
      <c r="E31" s="752"/>
      <c r="F31" s="716" t="e">
        <f t="shared" si="3"/>
        <v>#DIV/0!</v>
      </c>
    </row>
    <row r="32" spans="1:12" ht="15.5" x14ac:dyDescent="0.35">
      <c r="A32" s="734" t="s">
        <v>383</v>
      </c>
      <c r="B32" s="732">
        <f>SUM(HayOprC!H126:H128)</f>
        <v>0</v>
      </c>
      <c r="C32" s="733"/>
      <c r="D32" s="715" t="e">
        <f t="shared" si="2"/>
        <v>#DIV/0!</v>
      </c>
      <c r="E32" s="753"/>
      <c r="F32" s="715" t="e">
        <f t="shared" si="3"/>
        <v>#DIV/0!</v>
      </c>
    </row>
    <row r="33" spans="1:12" ht="15.5" x14ac:dyDescent="0.35">
      <c r="A33" s="714" t="s">
        <v>69</v>
      </c>
      <c r="B33" s="732">
        <f>HayOprC!H132</f>
        <v>0</v>
      </c>
      <c r="C33" s="733"/>
      <c r="D33" s="716" t="e">
        <f t="shared" si="2"/>
        <v>#DIV/0!</v>
      </c>
      <c r="E33" s="733"/>
      <c r="F33" s="716" t="e">
        <f t="shared" si="3"/>
        <v>#DIV/0!</v>
      </c>
    </row>
    <row r="34" spans="1:12" ht="15" x14ac:dyDescent="0.3">
      <c r="A34" s="709" t="s">
        <v>366</v>
      </c>
      <c r="B34" s="735">
        <f>SUM(B15:B33)</f>
        <v>0</v>
      </c>
      <c r="C34" s="736"/>
      <c r="D34" s="736" t="e">
        <f>SUM(D15:D33)</f>
        <v>#DIV/0!</v>
      </c>
      <c r="E34" s="736"/>
      <c r="F34" s="736" t="e">
        <f>SUM(F15:F33)</f>
        <v>#DIV/0!</v>
      </c>
    </row>
    <row r="35" spans="1:12" ht="15.5" x14ac:dyDescent="0.35">
      <c r="A35" s="738"/>
      <c r="B35" s="732"/>
      <c r="C35" s="733"/>
      <c r="D35" s="733"/>
      <c r="E35" s="733"/>
      <c r="F35" s="757"/>
    </row>
    <row r="36" spans="1:12" ht="15.5" x14ac:dyDescent="0.35">
      <c r="A36" s="709" t="s">
        <v>367</v>
      </c>
      <c r="B36" s="732"/>
      <c r="C36" s="733"/>
      <c r="D36" s="733"/>
      <c r="E36" s="733"/>
      <c r="F36" s="757"/>
      <c r="I36" s="52"/>
    </row>
    <row r="37" spans="1:12" ht="15.5" x14ac:dyDescent="0.35">
      <c r="A37" s="714" t="s">
        <v>29</v>
      </c>
      <c r="B37" s="732"/>
      <c r="C37" s="733"/>
      <c r="D37" s="716"/>
      <c r="E37" s="733"/>
      <c r="F37" s="716"/>
      <c r="H37" s="764" t="s">
        <v>29</v>
      </c>
    </row>
    <row r="38" spans="1:12" ht="15.5" x14ac:dyDescent="0.35">
      <c r="A38" s="734" t="s">
        <v>1240</v>
      </c>
      <c r="B38" s="732">
        <f>SUM(HayOwnC!H8:H12)</f>
        <v>0</v>
      </c>
      <c r="C38" s="733"/>
      <c r="D38" s="716" t="e">
        <f t="shared" ref="D38:D50" si="4">B38/balehay</f>
        <v>#DIV/0!</v>
      </c>
      <c r="E38" s="733"/>
      <c r="F38" s="716" t="e">
        <f t="shared" ref="F38:F50" si="5">B38/($C$4*balehay)</f>
        <v>#DIV/0!</v>
      </c>
      <c r="H38" s="697" t="s">
        <v>76</v>
      </c>
      <c r="I38" s="697"/>
      <c r="J38" s="697" t="s">
        <v>77</v>
      </c>
      <c r="K38" s="698"/>
      <c r="L38" s="697" t="s">
        <v>690</v>
      </c>
    </row>
    <row r="39" spans="1:12" ht="15.5" x14ac:dyDescent="0.35">
      <c r="A39" s="734" t="s">
        <v>1241</v>
      </c>
      <c r="B39" s="732">
        <f>SUM(HayOwnC!H13:H15)</f>
        <v>0</v>
      </c>
      <c r="C39" s="733"/>
      <c r="D39" s="716" t="e">
        <f t="shared" si="4"/>
        <v>#DIV/0!</v>
      </c>
      <c r="E39" s="733"/>
      <c r="F39" s="716" t="e">
        <f t="shared" si="5"/>
        <v>#DIV/0!</v>
      </c>
      <c r="H39" s="763">
        <f>SUM(B38:B49)</f>
        <v>0</v>
      </c>
      <c r="J39" s="756" t="e">
        <f>SUM(D38:D49)</f>
        <v>#DIV/0!</v>
      </c>
      <c r="L39" s="756" t="e">
        <f>SUM(F38:F49)</f>
        <v>#DIV/0!</v>
      </c>
    </row>
    <row r="40" spans="1:12" ht="15.5" x14ac:dyDescent="0.35">
      <c r="A40" s="734" t="s">
        <v>1243</v>
      </c>
      <c r="B40" s="732">
        <f>SUM(HayOwnC!H16:H20)</f>
        <v>0</v>
      </c>
      <c r="C40" s="733"/>
      <c r="D40" s="716" t="e">
        <f t="shared" si="4"/>
        <v>#DIV/0!</v>
      </c>
      <c r="E40" s="733"/>
      <c r="F40" s="716" t="e">
        <f t="shared" si="5"/>
        <v>#DIV/0!</v>
      </c>
    </row>
    <row r="41" spans="1:12" ht="15.5" x14ac:dyDescent="0.35">
      <c r="A41" s="734" t="s">
        <v>1242</v>
      </c>
      <c r="B41" s="732">
        <f>SUM(HayOwnC!H21:H24)</f>
        <v>0</v>
      </c>
      <c r="C41" s="733"/>
      <c r="D41" s="716" t="e">
        <f t="shared" si="4"/>
        <v>#DIV/0!</v>
      </c>
      <c r="E41" s="733"/>
      <c r="F41" s="716" t="e">
        <f t="shared" si="5"/>
        <v>#DIV/0!</v>
      </c>
    </row>
    <row r="42" spans="1:12" ht="15.5" x14ac:dyDescent="0.35">
      <c r="A42" s="734" t="s">
        <v>1244</v>
      </c>
      <c r="B42" s="732">
        <f>SUM(HayOwnC!H25:H27)</f>
        <v>0</v>
      </c>
      <c r="C42" s="733"/>
      <c r="D42" s="716" t="e">
        <f t="shared" si="4"/>
        <v>#DIV/0!</v>
      </c>
      <c r="E42" s="733"/>
      <c r="F42" s="716" t="e">
        <f t="shared" si="5"/>
        <v>#DIV/0!</v>
      </c>
    </row>
    <row r="43" spans="1:12" ht="15.5" x14ac:dyDescent="0.35">
      <c r="A43" s="734" t="s">
        <v>1245</v>
      </c>
      <c r="B43" s="732">
        <f>0</f>
        <v>0</v>
      </c>
      <c r="C43" s="733"/>
      <c r="D43" s="715" t="e">
        <f t="shared" si="4"/>
        <v>#DIV/0!</v>
      </c>
      <c r="E43" s="732"/>
      <c r="F43" s="715" t="e">
        <f t="shared" si="5"/>
        <v>#DIV/0!</v>
      </c>
    </row>
    <row r="44" spans="1:12" ht="15.5" x14ac:dyDescent="0.35">
      <c r="A44" s="734" t="s">
        <v>1246</v>
      </c>
      <c r="B44" s="732">
        <f>SUM(HayOwnC!H28:H34)</f>
        <v>0</v>
      </c>
      <c r="C44" s="733"/>
      <c r="D44" s="716" t="e">
        <f t="shared" si="4"/>
        <v>#DIV/0!</v>
      </c>
      <c r="E44" s="733"/>
      <c r="F44" s="716" t="e">
        <f t="shared" si="5"/>
        <v>#DIV/0!</v>
      </c>
    </row>
    <row r="45" spans="1:12" ht="15.5" x14ac:dyDescent="0.35">
      <c r="A45" s="734" t="s">
        <v>1247</v>
      </c>
      <c r="B45" s="732">
        <f>SUM(HayOwnC!H35:H38)</f>
        <v>0</v>
      </c>
      <c r="C45" s="733"/>
      <c r="D45" s="716" t="e">
        <f t="shared" si="4"/>
        <v>#DIV/0!</v>
      </c>
      <c r="E45" s="733"/>
      <c r="F45" s="716" t="e">
        <f t="shared" si="5"/>
        <v>#DIV/0!</v>
      </c>
    </row>
    <row r="46" spans="1:12" ht="15.5" x14ac:dyDescent="0.35">
      <c r="A46" s="734" t="s">
        <v>1250</v>
      </c>
      <c r="B46" s="732">
        <f>0</f>
        <v>0</v>
      </c>
      <c r="C46" s="733"/>
      <c r="D46" s="715" t="e">
        <f t="shared" si="4"/>
        <v>#DIV/0!</v>
      </c>
      <c r="E46" s="732"/>
      <c r="F46" s="715" t="e">
        <f t="shared" si="5"/>
        <v>#DIV/0!</v>
      </c>
    </row>
    <row r="47" spans="1:12" ht="15.5" x14ac:dyDescent="0.35">
      <c r="A47" s="734" t="s">
        <v>1304</v>
      </c>
      <c r="B47" s="732">
        <f>0</f>
        <v>0</v>
      </c>
      <c r="C47" s="733"/>
      <c r="D47" s="715" t="e">
        <f t="shared" si="4"/>
        <v>#DIV/0!</v>
      </c>
      <c r="E47" s="732"/>
      <c r="F47" s="715" t="e">
        <f t="shared" si="5"/>
        <v>#DIV/0!</v>
      </c>
    </row>
    <row r="48" spans="1:12" ht="15.5" x14ac:dyDescent="0.35">
      <c r="A48" s="734" t="s">
        <v>1248</v>
      </c>
      <c r="B48" s="732">
        <f>SUM(HayOwnC!H39:H40)</f>
        <v>0</v>
      </c>
      <c r="C48" s="733"/>
      <c r="D48" s="716" t="e">
        <f t="shared" si="4"/>
        <v>#DIV/0!</v>
      </c>
      <c r="E48" s="733"/>
      <c r="F48" s="716" t="e">
        <f t="shared" si="5"/>
        <v>#DIV/0!</v>
      </c>
    </row>
    <row r="49" spans="1:6" ht="15.5" x14ac:dyDescent="0.35">
      <c r="A49" s="734" t="s">
        <v>1249</v>
      </c>
      <c r="B49" s="732">
        <f>SUM(HayOwnC!H41:H43)</f>
        <v>0</v>
      </c>
      <c r="C49" s="733"/>
      <c r="D49" s="716" t="e">
        <f t="shared" si="4"/>
        <v>#DIV/0!</v>
      </c>
      <c r="E49" s="733"/>
      <c r="F49" s="716" t="e">
        <f t="shared" si="5"/>
        <v>#DIV/0!</v>
      </c>
    </row>
    <row r="50" spans="1:6" ht="15.5" x14ac:dyDescent="0.35">
      <c r="A50" s="714" t="s">
        <v>79</v>
      </c>
      <c r="B50" s="732">
        <f>HayOwnC!L51</f>
        <v>0</v>
      </c>
      <c r="C50" s="733"/>
      <c r="D50" s="716" t="e">
        <f t="shared" si="4"/>
        <v>#DIV/0!</v>
      </c>
      <c r="E50" s="733"/>
      <c r="F50" s="716" t="e">
        <f t="shared" si="5"/>
        <v>#DIV/0!</v>
      </c>
    </row>
    <row r="51" spans="1:6" ht="15" x14ac:dyDescent="0.3">
      <c r="A51" s="709" t="s">
        <v>368</v>
      </c>
      <c r="B51" s="735">
        <f>SUM(B37:B50)</f>
        <v>0</v>
      </c>
      <c r="C51" s="736"/>
      <c r="D51" s="736" t="e">
        <f>SUM(D37:D50)</f>
        <v>#DIV/0!</v>
      </c>
      <c r="E51" s="736"/>
      <c r="F51" s="736" t="e">
        <f>SUM(F37:F50)</f>
        <v>#DIV/0!</v>
      </c>
    </row>
    <row r="52" spans="1:6" ht="15.5" x14ac:dyDescent="0.35">
      <c r="A52" s="699"/>
      <c r="B52" s="735"/>
      <c r="C52" s="736"/>
      <c r="D52" s="736"/>
      <c r="E52" s="736"/>
      <c r="F52" s="758"/>
    </row>
    <row r="53" spans="1:6" ht="15" x14ac:dyDescent="0.3">
      <c r="A53" s="709" t="s">
        <v>80</v>
      </c>
      <c r="B53" s="735">
        <f>B51+B34</f>
        <v>0</v>
      </c>
      <c r="C53" s="736"/>
      <c r="D53" s="736" t="e">
        <f>D51+D34</f>
        <v>#DIV/0!</v>
      </c>
      <c r="E53" s="736"/>
      <c r="F53" s="736" t="e">
        <f>F51+F34</f>
        <v>#DIV/0!</v>
      </c>
    </row>
    <row r="54" spans="1:6" ht="15.5" x14ac:dyDescent="0.35">
      <c r="A54" s="742"/>
      <c r="B54" s="735"/>
      <c r="C54" s="736"/>
      <c r="D54" s="736"/>
      <c r="E54" s="736"/>
      <c r="F54" s="736"/>
    </row>
    <row r="55" spans="1:6" ht="15" x14ac:dyDescent="0.3">
      <c r="A55" s="709" t="s">
        <v>355</v>
      </c>
      <c r="B55" s="710">
        <f>B12-B53</f>
        <v>0</v>
      </c>
      <c r="C55" s="736"/>
      <c r="D55" s="711" t="e">
        <f>D12-D53</f>
        <v>#DIV/0!</v>
      </c>
      <c r="E55" s="736"/>
      <c r="F55" s="711" t="e">
        <f>F12-F53</f>
        <v>#DIV/0!</v>
      </c>
    </row>
    <row r="56" spans="1:6" ht="15" x14ac:dyDescent="0.3">
      <c r="A56" s="709" t="s">
        <v>356</v>
      </c>
      <c r="B56" s="735">
        <f>B12-B34</f>
        <v>0</v>
      </c>
      <c r="C56" s="736"/>
      <c r="D56" s="736" t="e">
        <f>D12-D34</f>
        <v>#DIV/0!</v>
      </c>
      <c r="E56" s="736"/>
      <c r="F56" s="736" t="e">
        <f>F12-F34</f>
        <v>#DIV/0!</v>
      </c>
    </row>
    <row r="57" spans="1:6" ht="15.5" x14ac:dyDescent="0.35">
      <c r="A57" s="699"/>
      <c r="B57" s="743"/>
      <c r="C57" s="743"/>
      <c r="D57" s="743"/>
      <c r="E57" s="699"/>
      <c r="F57" s="699"/>
    </row>
    <row r="58" spans="1:6" ht="15.5" x14ac:dyDescent="0.35">
      <c r="A58" s="709" t="s">
        <v>234</v>
      </c>
      <c r="B58" s="743"/>
      <c r="C58" s="743"/>
      <c r="D58" s="743"/>
      <c r="E58" s="699"/>
      <c r="F58" s="699"/>
    </row>
    <row r="59" spans="1:6" ht="12.75" customHeight="1" x14ac:dyDescent="0.35">
      <c r="A59" s="744" t="s">
        <v>369</v>
      </c>
      <c r="B59" s="703" t="s">
        <v>76</v>
      </c>
      <c r="C59" s="743"/>
      <c r="D59" s="703" t="s">
        <v>393</v>
      </c>
      <c r="E59" s="703"/>
      <c r="F59" s="703" t="s">
        <v>691</v>
      </c>
    </row>
    <row r="60" spans="1:6" ht="15.5" x14ac:dyDescent="0.35">
      <c r="A60" s="714" t="s">
        <v>370</v>
      </c>
      <c r="B60" s="745">
        <f>B53</f>
        <v>0</v>
      </c>
      <c r="C60" s="743"/>
      <c r="D60" s="716" t="e">
        <f>$B$53/balehay</f>
        <v>#DIV/0!</v>
      </c>
      <c r="E60" s="752"/>
      <c r="F60" s="716" t="e">
        <f>$B$53/($C$4*balehay)</f>
        <v>#DIV/0!</v>
      </c>
    </row>
    <row r="61" spans="1:6" ht="15.5" x14ac:dyDescent="0.35">
      <c r="A61" s="714" t="s">
        <v>371</v>
      </c>
      <c r="B61" s="745">
        <f>B34</f>
        <v>0</v>
      </c>
      <c r="C61" s="743"/>
      <c r="D61" s="716" t="e">
        <f>$B$34/balehay</f>
        <v>#DIV/0!</v>
      </c>
      <c r="E61" s="752"/>
      <c r="F61" s="716" t="e">
        <f>$B$34/($C$4*balehay)</f>
        <v>#DIV/0!</v>
      </c>
    </row>
    <row r="62" spans="1:6" ht="15.5" x14ac:dyDescent="0.35">
      <c r="A62" s="714"/>
      <c r="B62" s="743"/>
      <c r="C62" s="743"/>
      <c r="D62" s="716"/>
      <c r="E62" s="752"/>
      <c r="F62" s="716"/>
    </row>
    <row r="63" spans="1:6" ht="15.5" x14ac:dyDescent="0.35">
      <c r="A63" s="744" t="s">
        <v>1099</v>
      </c>
      <c r="B63" s="703" t="s">
        <v>1100</v>
      </c>
      <c r="C63" s="743"/>
      <c r="D63" s="716"/>
      <c r="E63" s="752"/>
      <c r="F63" s="716"/>
    </row>
    <row r="64" spans="1:6" ht="15.5" x14ac:dyDescent="0.35">
      <c r="A64" s="714" t="s">
        <v>1101</v>
      </c>
      <c r="B64" s="746" t="e">
        <f>B55/SUM(HayOprC!E19:E62)</f>
        <v>#DIV/0!</v>
      </c>
      <c r="C64" s="743"/>
      <c r="D64" s="716"/>
      <c r="E64" s="752"/>
      <c r="F64" s="716"/>
    </row>
    <row r="65" spans="1:6" ht="15.5" x14ac:dyDescent="0.35">
      <c r="A65" s="714" t="s">
        <v>1102</v>
      </c>
      <c r="B65" s="746" t="e">
        <f>B56/SUM(HayOprC!E19:E62)</f>
        <v>#DIV/0!</v>
      </c>
      <c r="C65" s="743"/>
      <c r="D65" s="716"/>
      <c r="E65" s="752"/>
      <c r="F65" s="716"/>
    </row>
    <row r="66" spans="1:6" ht="15.5" x14ac:dyDescent="0.35">
      <c r="A66" s="747"/>
      <c r="B66" s="748"/>
      <c r="C66" s="748"/>
      <c r="D66" s="748"/>
      <c r="E66" s="748"/>
      <c r="F66" s="747"/>
    </row>
  </sheetData>
  <phoneticPr fontId="16" type="noConversion"/>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40"/>
  <sheetViews>
    <sheetView workbookViewId="0">
      <pane ySplit="6" topLeftCell="A16" activePane="bottomLeft" state="frozen"/>
      <selection pane="bottomLeft" activeCell="J5" sqref="J5"/>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6384" width="9.08984375" style="17"/>
  </cols>
  <sheetData>
    <row r="1" spans="1:12" x14ac:dyDescent="0.3">
      <c r="A1" s="61" t="s">
        <v>146</v>
      </c>
      <c r="B1" s="17" t="str">
        <f>model</f>
        <v>ME Grain &amp; Pulse</v>
      </c>
      <c r="F1" s="542" t="s">
        <v>543</v>
      </c>
      <c r="G1" s="543"/>
    </row>
    <row r="2" spans="1:12" x14ac:dyDescent="0.3">
      <c r="F2" s="304">
        <v>1</v>
      </c>
      <c r="G2" s="544"/>
    </row>
    <row r="3" spans="1:12" x14ac:dyDescent="0.3">
      <c r="A3" s="7" t="s">
        <v>538</v>
      </c>
      <c r="B3" s="8" t="s">
        <v>92</v>
      </c>
      <c r="C3" s="86">
        <f>clover</f>
        <v>0</v>
      </c>
      <c r="D3" s="4" t="s">
        <v>93</v>
      </c>
      <c r="F3" s="4" t="s">
        <v>1042</v>
      </c>
    </row>
    <row r="4" spans="1:12" x14ac:dyDescent="0.3">
      <c r="F4" s="545" t="s">
        <v>740</v>
      </c>
      <c r="G4" s="543"/>
    </row>
    <row r="5" spans="1:12" ht="13.5" x14ac:dyDescent="0.35">
      <c r="A5" s="5" t="s">
        <v>0</v>
      </c>
      <c r="F5" s="304">
        <v>3</v>
      </c>
      <c r="G5" s="544" t="s">
        <v>562</v>
      </c>
    </row>
    <row r="6" spans="1:12" s="27" customFormat="1" ht="26" x14ac:dyDescent="0.3">
      <c r="A6" s="41"/>
      <c r="B6" s="391" t="s">
        <v>919</v>
      </c>
      <c r="C6" s="42" t="s">
        <v>21</v>
      </c>
      <c r="D6" s="42" t="s">
        <v>22</v>
      </c>
      <c r="E6" s="227" t="s">
        <v>900</v>
      </c>
      <c r="F6" s="42" t="s">
        <v>23</v>
      </c>
      <c r="G6" s="42" t="s">
        <v>24</v>
      </c>
      <c r="H6" s="42" t="s">
        <v>65</v>
      </c>
    </row>
    <row r="7" spans="1:12" x14ac:dyDescent="0.3">
      <c r="A7" s="3" t="s">
        <v>13</v>
      </c>
      <c r="B7" s="3"/>
    </row>
    <row r="8" spans="1:12" x14ac:dyDescent="0.3">
      <c r="A8" s="546" t="s">
        <v>543</v>
      </c>
      <c r="B8" s="397">
        <v>1</v>
      </c>
      <c r="C8" s="246">
        <f>IF(F2=1,K8,0)</f>
        <v>12</v>
      </c>
      <c r="D8" s="238" t="s">
        <v>220</v>
      </c>
      <c r="E8" s="547">
        <f>C8*clover</f>
        <v>0</v>
      </c>
      <c r="F8" s="283">
        <v>1.3133333333333299</v>
      </c>
      <c r="G8" s="548">
        <f>C8*F8</f>
        <v>15.759999999999959</v>
      </c>
      <c r="H8" s="549">
        <f>(B8*G8*clover)/$F$5</f>
        <v>0</v>
      </c>
      <c r="K8" s="273">
        <v>12</v>
      </c>
      <c r="L8" s="34" t="s">
        <v>126</v>
      </c>
    </row>
    <row r="9" spans="1:12" x14ac:dyDescent="0.3">
      <c r="A9" s="3" t="s">
        <v>1</v>
      </c>
      <c r="B9" s="3"/>
      <c r="C9" s="60"/>
      <c r="D9" s="34"/>
      <c r="E9" s="34"/>
      <c r="F9" s="104"/>
      <c r="G9" s="114"/>
      <c r="H9" s="114"/>
    </row>
    <row r="10" spans="1:12" x14ac:dyDescent="0.3">
      <c r="A10" s="22" t="s">
        <v>490</v>
      </c>
      <c r="B10" s="397">
        <v>1</v>
      </c>
      <c r="C10" s="282">
        <f>0/2000</f>
        <v>0</v>
      </c>
      <c r="D10" s="34" t="s">
        <v>26</v>
      </c>
      <c r="E10" s="226">
        <f>C10*clover</f>
        <v>0</v>
      </c>
      <c r="F10" s="608">
        <v>575</v>
      </c>
      <c r="G10" s="110">
        <f>C10*F10</f>
        <v>0</v>
      </c>
      <c r="H10" s="110">
        <f>B10*G10*clover</f>
        <v>0</v>
      </c>
      <c r="I10" s="108"/>
    </row>
    <row r="11" spans="1:12" x14ac:dyDescent="0.3">
      <c r="A11" s="6" t="s">
        <v>266</v>
      </c>
      <c r="B11" s="397">
        <v>1</v>
      </c>
      <c r="C11" s="282">
        <f>0/2000</f>
        <v>0</v>
      </c>
      <c r="D11" s="34" t="s">
        <v>26</v>
      </c>
      <c r="E11" s="226">
        <f>C11*clover</f>
        <v>0</v>
      </c>
      <c r="F11" s="608">
        <v>600</v>
      </c>
      <c r="G11" s="114">
        <f>C11*F11</f>
        <v>0</v>
      </c>
      <c r="H11" s="110">
        <f>B11*G11*clover</f>
        <v>0</v>
      </c>
      <c r="I11" s="108">
        <f>SUM(H10:H11)</f>
        <v>0</v>
      </c>
      <c r="J11" s="52"/>
    </row>
    <row r="12" spans="1:12" x14ac:dyDescent="0.3">
      <c r="A12" s="6" t="s">
        <v>2</v>
      </c>
      <c r="B12" s="397">
        <v>1</v>
      </c>
      <c r="C12" s="369">
        <f>limeapp</f>
        <v>0.2</v>
      </c>
      <c r="D12" s="34" t="s">
        <v>26</v>
      </c>
      <c r="E12" s="226">
        <f>C12*clover</f>
        <v>0</v>
      </c>
      <c r="F12" s="175">
        <f>lime</f>
        <v>38.260869565217391</v>
      </c>
      <c r="G12" s="114">
        <f>C12*F12</f>
        <v>7.6521739130434785</v>
      </c>
      <c r="H12" s="110">
        <f>B12*G12*clover</f>
        <v>0</v>
      </c>
      <c r="I12" s="52"/>
    </row>
    <row r="13" spans="1:12" x14ac:dyDescent="0.3">
      <c r="A13" s="3" t="s">
        <v>1476</v>
      </c>
      <c r="B13" s="235"/>
      <c r="C13" s="235"/>
      <c r="D13" s="34"/>
      <c r="E13" s="226"/>
      <c r="F13" s="175"/>
      <c r="G13" s="114"/>
      <c r="H13" s="110"/>
      <c r="I13" s="52"/>
    </row>
    <row r="14" spans="1:12" x14ac:dyDescent="0.3">
      <c r="A14" s="6" t="s">
        <v>17</v>
      </c>
      <c r="B14" s="397">
        <v>0</v>
      </c>
      <c r="C14" s="273">
        <f>0</f>
        <v>0</v>
      </c>
      <c r="D14" s="34" t="s">
        <v>220</v>
      </c>
      <c r="E14" s="226">
        <f>C14*clover</f>
        <v>0</v>
      </c>
      <c r="F14" s="608">
        <v>0</v>
      </c>
      <c r="G14" s="110">
        <f>C14*F14</f>
        <v>0</v>
      </c>
      <c r="H14" s="110">
        <f>B14*G14*clover</f>
        <v>0</v>
      </c>
      <c r="I14" s="52"/>
    </row>
    <row r="15" spans="1:12" x14ac:dyDescent="0.3">
      <c r="A15" s="6" t="s">
        <v>16</v>
      </c>
      <c r="B15" s="397">
        <v>0</v>
      </c>
      <c r="C15" s="273">
        <f>0</f>
        <v>0</v>
      </c>
      <c r="D15" s="34" t="s">
        <v>220</v>
      </c>
      <c r="E15" s="226">
        <f>C15*clover</f>
        <v>0</v>
      </c>
      <c r="F15" s="608">
        <v>0</v>
      </c>
      <c r="G15" s="110">
        <f>C15*F15</f>
        <v>0</v>
      </c>
      <c r="H15" s="110">
        <f>B15*G15*clover</f>
        <v>0</v>
      </c>
      <c r="I15" s="108">
        <f>SUM(H13:H15)</f>
        <v>0</v>
      </c>
    </row>
    <row r="16" spans="1:12" x14ac:dyDescent="0.3">
      <c r="A16" s="3" t="s">
        <v>14</v>
      </c>
      <c r="B16" s="3"/>
      <c r="C16" s="46"/>
      <c r="D16" s="34"/>
      <c r="E16" s="34"/>
      <c r="F16" s="104"/>
      <c r="G16" s="114"/>
      <c r="H16" s="110"/>
    </row>
    <row r="17" spans="1:13" ht="13.5" thickBot="1" x14ac:dyDescent="0.35">
      <c r="A17" s="95" t="s">
        <v>323</v>
      </c>
      <c r="B17" s="95"/>
      <c r="C17" s="46"/>
      <c r="D17" s="34"/>
      <c r="E17" s="34"/>
      <c r="F17" s="167"/>
      <c r="G17" s="114"/>
      <c r="H17" s="110"/>
    </row>
    <row r="18" spans="1:13" x14ac:dyDescent="0.3">
      <c r="A18" s="546" t="s">
        <v>484</v>
      </c>
      <c r="B18" s="397">
        <v>1</v>
      </c>
      <c r="C18" s="245">
        <f>Data!H525</f>
        <v>0.25632748278140399</v>
      </c>
      <c r="D18" s="238" t="s">
        <v>128</v>
      </c>
      <c r="E18" s="547">
        <f t="shared" ref="E18:E46" si="0">C18*clover</f>
        <v>0</v>
      </c>
      <c r="F18" s="550">
        <f t="shared" ref="F18:F24" si="1">_wage_</f>
        <v>12.29</v>
      </c>
      <c r="G18" s="548">
        <f>C18*F18</f>
        <v>3.1502647633834551</v>
      </c>
      <c r="H18" s="549">
        <f>(B18*G18*clover)/$F$5</f>
        <v>0</v>
      </c>
      <c r="I18" s="110"/>
      <c r="J18" s="487" t="s">
        <v>1034</v>
      </c>
      <c r="K18" s="488" t="s">
        <v>108</v>
      </c>
      <c r="L18" s="24"/>
      <c r="M18" s="81"/>
    </row>
    <row r="19" spans="1:13" x14ac:dyDescent="0.3">
      <c r="A19" s="546" t="s">
        <v>485</v>
      </c>
      <c r="B19" s="397">
        <v>1</v>
      </c>
      <c r="C19" s="245">
        <f>Data!H526</f>
        <v>0.39334140580266497</v>
      </c>
      <c r="D19" s="238" t="s">
        <v>128</v>
      </c>
      <c r="E19" s="547">
        <f t="shared" si="0"/>
        <v>0</v>
      </c>
      <c r="F19" s="550">
        <f t="shared" si="1"/>
        <v>12.29</v>
      </c>
      <c r="G19" s="548">
        <f>C19*F19</f>
        <v>4.834165877314752</v>
      </c>
      <c r="H19" s="549">
        <f>(B19*G19*clover)/$F$5</f>
        <v>0</v>
      </c>
      <c r="I19" s="110"/>
      <c r="J19" s="489" t="s">
        <v>1062</v>
      </c>
      <c r="K19" s="490">
        <v>1</v>
      </c>
      <c r="L19" s="24"/>
      <c r="M19" s="81"/>
    </row>
    <row r="20" spans="1:13" ht="13.5" thickBot="1" x14ac:dyDescent="0.35">
      <c r="A20" s="22" t="s">
        <v>581</v>
      </c>
      <c r="B20" s="397">
        <v>1</v>
      </c>
      <c r="C20" s="273">
        <f>0</f>
        <v>0</v>
      </c>
      <c r="D20" s="34" t="s">
        <v>128</v>
      </c>
      <c r="E20" s="226">
        <f t="shared" si="0"/>
        <v>0</v>
      </c>
      <c r="F20" s="167">
        <f t="shared" si="1"/>
        <v>12.29</v>
      </c>
      <c r="G20" s="110">
        <f t="shared" ref="G20:G46" si="2">C20*F20</f>
        <v>0</v>
      </c>
      <c r="H20" s="110">
        <f>B20*G20*clover</f>
        <v>0</v>
      </c>
      <c r="J20" s="491" t="s">
        <v>1063</v>
      </c>
      <c r="K20" s="492">
        <v>0</v>
      </c>
    </row>
    <row r="21" spans="1:13" ht="13.5" thickBot="1" x14ac:dyDescent="0.35">
      <c r="A21" s="237" t="s">
        <v>316</v>
      </c>
      <c r="B21" s="397">
        <v>1</v>
      </c>
      <c r="C21" s="273">
        <v>0</v>
      </c>
      <c r="D21" s="238" t="s">
        <v>128</v>
      </c>
      <c r="E21" s="547">
        <f t="shared" si="0"/>
        <v>0</v>
      </c>
      <c r="F21" s="550">
        <f t="shared" si="1"/>
        <v>12.29</v>
      </c>
      <c r="G21" s="549">
        <f t="shared" si="2"/>
        <v>0</v>
      </c>
      <c r="H21" s="549">
        <f>(B21*G21*clover)/$F$5</f>
        <v>0</v>
      </c>
      <c r="I21" s="110"/>
      <c r="L21" s="24"/>
      <c r="M21" s="81"/>
    </row>
    <row r="22" spans="1:13" x14ac:dyDescent="0.3">
      <c r="A22" s="237" t="s">
        <v>411</v>
      </c>
      <c r="B22" s="397">
        <v>1</v>
      </c>
      <c r="C22" s="245">
        <f>Data!H528</f>
        <v>0.11</v>
      </c>
      <c r="D22" s="238" t="s">
        <v>128</v>
      </c>
      <c r="E22" s="547">
        <f t="shared" si="0"/>
        <v>0</v>
      </c>
      <c r="F22" s="550">
        <f t="shared" si="1"/>
        <v>12.29</v>
      </c>
      <c r="G22" s="548">
        <f t="shared" si="2"/>
        <v>1.3518999999999999</v>
      </c>
      <c r="H22" s="549">
        <f>(B22*G22*clover)/$F$5</f>
        <v>0</v>
      </c>
      <c r="I22" s="110"/>
      <c r="J22" s="487" t="s">
        <v>1025</v>
      </c>
      <c r="K22" s="488" t="s">
        <v>108</v>
      </c>
      <c r="L22" s="24"/>
      <c r="M22" s="81"/>
    </row>
    <row r="23" spans="1:13" ht="13.5" customHeight="1" x14ac:dyDescent="0.3">
      <c r="A23" s="237" t="s">
        <v>741</v>
      </c>
      <c r="B23" s="397">
        <v>1</v>
      </c>
      <c r="C23" s="245">
        <f>Data!H532</f>
        <v>0.26666666666666666</v>
      </c>
      <c r="D23" s="238" t="s">
        <v>128</v>
      </c>
      <c r="E23" s="547">
        <f t="shared" si="0"/>
        <v>0</v>
      </c>
      <c r="F23" s="550">
        <f t="shared" si="1"/>
        <v>12.29</v>
      </c>
      <c r="G23" s="548">
        <f t="shared" si="2"/>
        <v>3.277333333333333</v>
      </c>
      <c r="H23" s="549">
        <f>(B23*G23*clover)/$F$5</f>
        <v>0</v>
      </c>
      <c r="I23" s="110"/>
      <c r="J23" s="489" t="s">
        <v>1026</v>
      </c>
      <c r="K23" s="490">
        <v>0</v>
      </c>
      <c r="L23" s="24"/>
      <c r="M23" s="81"/>
    </row>
    <row r="24" spans="1:13" ht="13.5" customHeight="1" thickBot="1" x14ac:dyDescent="0.35">
      <c r="A24" s="237" t="s">
        <v>304</v>
      </c>
      <c r="B24" s="397">
        <v>1</v>
      </c>
      <c r="C24" s="245">
        <f>Data!H537</f>
        <v>0.11851851851851852</v>
      </c>
      <c r="D24" s="238" t="s">
        <v>128</v>
      </c>
      <c r="E24" s="547">
        <f t="shared" si="0"/>
        <v>0</v>
      </c>
      <c r="F24" s="550">
        <f t="shared" si="1"/>
        <v>12.29</v>
      </c>
      <c r="G24" s="548">
        <f t="shared" si="2"/>
        <v>1.4565925925925924</v>
      </c>
      <c r="H24" s="549">
        <f>(B24*G24*clover)/$F$5</f>
        <v>0</v>
      </c>
      <c r="I24" s="110"/>
      <c r="J24" s="491" t="s">
        <v>1027</v>
      </c>
      <c r="K24" s="492">
        <v>0</v>
      </c>
      <c r="L24" s="24"/>
      <c r="M24" s="81"/>
    </row>
    <row r="25" spans="1:13" x14ac:dyDescent="0.3">
      <c r="A25" s="22" t="s">
        <v>324</v>
      </c>
      <c r="B25" s="397">
        <v>1</v>
      </c>
      <c r="C25" s="156">
        <f>Data!H538</f>
        <v>0.21851851851851867</v>
      </c>
      <c r="D25" s="34" t="s">
        <v>128</v>
      </c>
      <c r="E25" s="226">
        <f t="shared" si="0"/>
        <v>0</v>
      </c>
      <c r="F25" s="167">
        <f t="shared" ref="F25:F51" si="3">_wage_</f>
        <v>12.29</v>
      </c>
      <c r="G25" s="114">
        <f t="shared" si="2"/>
        <v>2.6855925925925943</v>
      </c>
      <c r="H25" s="110">
        <f t="shared" ref="H25:H30" si="4">B25*G25*clover</f>
        <v>0</v>
      </c>
      <c r="L25" s="24"/>
      <c r="M25" s="81"/>
    </row>
    <row r="26" spans="1:13" x14ac:dyDescent="0.3">
      <c r="A26" s="22" t="s">
        <v>325</v>
      </c>
      <c r="B26" s="397">
        <v>1</v>
      </c>
      <c r="C26" s="156">
        <f>Data!H539</f>
        <v>1.3</v>
      </c>
      <c r="D26" s="34" t="s">
        <v>128</v>
      </c>
      <c r="E26" s="226">
        <f t="shared" si="0"/>
        <v>0</v>
      </c>
      <c r="F26" s="167">
        <f t="shared" si="3"/>
        <v>12.29</v>
      </c>
      <c r="G26" s="114">
        <f t="shared" si="2"/>
        <v>15.977</v>
      </c>
      <c r="H26" s="110">
        <f t="shared" si="4"/>
        <v>0</v>
      </c>
      <c r="L26" s="24"/>
      <c r="M26" s="81"/>
    </row>
    <row r="27" spans="1:13" x14ac:dyDescent="0.3">
      <c r="A27" s="9" t="s">
        <v>1022</v>
      </c>
      <c r="B27" s="397">
        <v>0</v>
      </c>
      <c r="C27" s="47">
        <f>Data!$H$540*Data!$F$158</f>
        <v>0</v>
      </c>
      <c r="D27" s="48" t="s">
        <v>115</v>
      </c>
      <c r="E27" s="48">
        <f>C27*clover</f>
        <v>0</v>
      </c>
      <c r="F27" s="118">
        <f>_wage_</f>
        <v>12.29</v>
      </c>
      <c r="G27" s="465">
        <f>C27*F27</f>
        <v>0</v>
      </c>
      <c r="H27" s="123">
        <f t="shared" si="4"/>
        <v>0</v>
      </c>
      <c r="J27" s="114"/>
      <c r="K27" s="55"/>
    </row>
    <row r="28" spans="1:13" x14ac:dyDescent="0.3">
      <c r="A28" s="22" t="s">
        <v>326</v>
      </c>
      <c r="B28" s="397">
        <v>1</v>
      </c>
      <c r="C28" s="156">
        <f>Data!H541</f>
        <v>0.60266666666666657</v>
      </c>
      <c r="D28" s="34" t="s">
        <v>128</v>
      </c>
      <c r="E28" s="226">
        <f t="shared" si="0"/>
        <v>0</v>
      </c>
      <c r="F28" s="167">
        <f t="shared" si="3"/>
        <v>12.29</v>
      </c>
      <c r="G28" s="114">
        <f t="shared" si="2"/>
        <v>7.4067733333333319</v>
      </c>
      <c r="H28" s="110">
        <f t="shared" si="4"/>
        <v>0</v>
      </c>
      <c r="L28" s="24"/>
      <c r="M28" s="81"/>
    </row>
    <row r="29" spans="1:13" x14ac:dyDescent="0.3">
      <c r="A29" s="9" t="s">
        <v>1022</v>
      </c>
      <c r="B29" s="397">
        <v>1</v>
      </c>
      <c r="C29" s="47">
        <f>Data!$H$542*Data!$F$158</f>
        <v>0</v>
      </c>
      <c r="D29" s="48" t="s">
        <v>115</v>
      </c>
      <c r="E29" s="83">
        <f>C29*clover</f>
        <v>0</v>
      </c>
      <c r="F29" s="118">
        <f>_wage_</f>
        <v>12.29</v>
      </c>
      <c r="G29" s="465">
        <f>C29*F29</f>
        <v>0</v>
      </c>
      <c r="H29" s="123">
        <f t="shared" si="4"/>
        <v>0</v>
      </c>
      <c r="J29" s="114"/>
      <c r="K29" s="55"/>
    </row>
    <row r="30" spans="1:13" x14ac:dyDescent="0.3">
      <c r="A30" s="22" t="s">
        <v>322</v>
      </c>
      <c r="B30" s="397">
        <v>1</v>
      </c>
      <c r="C30" s="349">
        <v>0</v>
      </c>
      <c r="D30" s="34" t="s">
        <v>128</v>
      </c>
      <c r="E30" s="226">
        <f t="shared" si="0"/>
        <v>0</v>
      </c>
      <c r="F30" s="167">
        <f t="shared" si="3"/>
        <v>12.29</v>
      </c>
      <c r="G30" s="110">
        <f t="shared" si="2"/>
        <v>0</v>
      </c>
      <c r="H30" s="110">
        <f t="shared" si="4"/>
        <v>0</v>
      </c>
      <c r="I30" s="108"/>
      <c r="L30" s="24"/>
      <c r="M30" s="81"/>
    </row>
    <row r="31" spans="1:13" x14ac:dyDescent="0.3">
      <c r="A31" s="237" t="s">
        <v>328</v>
      </c>
      <c r="B31" s="397">
        <v>1</v>
      </c>
      <c r="C31" s="245">
        <f>Data!H558</f>
        <v>0.21851851851851867</v>
      </c>
      <c r="D31" s="238" t="s">
        <v>128</v>
      </c>
      <c r="E31" s="547">
        <f t="shared" si="0"/>
        <v>0</v>
      </c>
      <c r="F31" s="550">
        <f t="shared" si="3"/>
        <v>12.29</v>
      </c>
      <c r="G31" s="548">
        <f t="shared" si="2"/>
        <v>2.6855925925925943</v>
      </c>
      <c r="H31" s="549">
        <f>IF($F$5=1,B31*G31*clover,B31*G31*clover*(($F$5-1)/$F$5))</f>
        <v>0</v>
      </c>
      <c r="I31" s="87"/>
      <c r="L31" s="24"/>
      <c r="M31" s="81"/>
    </row>
    <row r="32" spans="1:13" x14ac:dyDescent="0.3">
      <c r="A32" s="237" t="s">
        <v>329</v>
      </c>
      <c r="B32" s="397">
        <v>1</v>
      </c>
      <c r="C32" s="245">
        <f>Data!H559*$K$19</f>
        <v>1.3</v>
      </c>
      <c r="D32" s="238" t="s">
        <v>128</v>
      </c>
      <c r="E32" s="547">
        <f t="shared" si="0"/>
        <v>0</v>
      </c>
      <c r="F32" s="550">
        <f t="shared" si="3"/>
        <v>12.29</v>
      </c>
      <c r="G32" s="548">
        <f t="shared" si="2"/>
        <v>15.977</v>
      </c>
      <c r="H32" s="549">
        <f>IF($F$5=1,B32*G32*clover,B32*G32*clover*(($F$5-1)/$F$5))</f>
        <v>0</v>
      </c>
      <c r="I32" s="87"/>
    </row>
    <row r="33" spans="1:11" x14ac:dyDescent="0.3">
      <c r="A33" s="557" t="s">
        <v>1022</v>
      </c>
      <c r="B33" s="397">
        <v>0</v>
      </c>
      <c r="C33" s="558">
        <f>Data!$H$560*$K$19*Data!$F$158</f>
        <v>0</v>
      </c>
      <c r="D33" s="561" t="s">
        <v>115</v>
      </c>
      <c r="E33" s="561">
        <f>C33*clover</f>
        <v>0</v>
      </c>
      <c r="F33" s="559">
        <f>_wage_</f>
        <v>12.29</v>
      </c>
      <c r="G33" s="568">
        <f>C33*F33</f>
        <v>0</v>
      </c>
      <c r="H33" s="560">
        <f>IF($F$5=1,B33*G33*clover,B33*G33*clover*(($F$5-1)/$F$5))</f>
        <v>0</v>
      </c>
      <c r="J33" s="114"/>
      <c r="K33" s="55"/>
    </row>
    <row r="34" spans="1:11" x14ac:dyDescent="0.3">
      <c r="A34" s="237" t="s">
        <v>330</v>
      </c>
      <c r="B34" s="397">
        <v>1</v>
      </c>
      <c r="C34" s="245">
        <f>Data!H561*$K$19</f>
        <v>0.60266666666666657</v>
      </c>
      <c r="D34" s="238" t="s">
        <v>128</v>
      </c>
      <c r="E34" s="547">
        <f t="shared" si="0"/>
        <v>0</v>
      </c>
      <c r="F34" s="566">
        <f t="shared" si="3"/>
        <v>12.29</v>
      </c>
      <c r="G34" s="548">
        <f t="shared" si="2"/>
        <v>7.4067733333333319</v>
      </c>
      <c r="H34" s="567">
        <f>IF($F$5=1,B34*G34*clover,B34*G34*clover*(($F$5-1)/$F$5))</f>
        <v>0</v>
      </c>
      <c r="I34" s="87"/>
    </row>
    <row r="35" spans="1:11" x14ac:dyDescent="0.3">
      <c r="A35" s="557" t="s">
        <v>1022</v>
      </c>
      <c r="B35" s="397">
        <v>1</v>
      </c>
      <c r="C35" s="558">
        <f>Data!$H$562*$K$19*Data!$F$158</f>
        <v>0</v>
      </c>
      <c r="D35" s="561" t="s">
        <v>115</v>
      </c>
      <c r="E35" s="565">
        <f>C35*clover</f>
        <v>0</v>
      </c>
      <c r="F35" s="559">
        <f>_wage_</f>
        <v>12.29</v>
      </c>
      <c r="G35" s="568">
        <f>C35*F35</f>
        <v>0</v>
      </c>
      <c r="H35" s="560">
        <f>IF($F$5=1,B35*G35*clover,B35*G35*clover*(($F$5-1)/$F$5))</f>
        <v>0</v>
      </c>
      <c r="J35" s="114"/>
      <c r="K35" s="55"/>
    </row>
    <row r="36" spans="1:11" x14ac:dyDescent="0.3">
      <c r="A36" s="237" t="s">
        <v>1046</v>
      </c>
      <c r="B36" s="397">
        <v>1</v>
      </c>
      <c r="C36" s="245">
        <f>Data!H563*$K$20</f>
        <v>0</v>
      </c>
      <c r="D36" s="238" t="s">
        <v>128</v>
      </c>
      <c r="E36" s="547">
        <f t="shared" si="0"/>
        <v>0</v>
      </c>
      <c r="F36" s="566">
        <f t="shared" si="3"/>
        <v>12.29</v>
      </c>
      <c r="G36" s="548">
        <f t="shared" si="2"/>
        <v>0</v>
      </c>
      <c r="H36" s="567">
        <f>IF($F$5=1,B36*G36*clover*CvrOwnC!$B$22,B36*G36*clover*(($F$5-1)/$F$5)*CvrOwnC!$B$22)</f>
        <v>0</v>
      </c>
      <c r="I36" s="87"/>
    </row>
    <row r="37" spans="1:11" x14ac:dyDescent="0.3">
      <c r="A37" s="237" t="s">
        <v>1047</v>
      </c>
      <c r="B37" s="397">
        <v>1</v>
      </c>
      <c r="C37" s="245">
        <f>Data!H564*$K$20</f>
        <v>0</v>
      </c>
      <c r="D37" s="238" t="s">
        <v>128</v>
      </c>
      <c r="E37" s="547">
        <f t="shared" si="0"/>
        <v>0</v>
      </c>
      <c r="F37" s="566">
        <f t="shared" si="3"/>
        <v>12.29</v>
      </c>
      <c r="G37" s="548">
        <f t="shared" si="2"/>
        <v>0</v>
      </c>
      <c r="H37" s="567">
        <f>IF($F$5=1,B37*G37*clover*CvrOwnC!$B$23,B37*G37*clover*(($F$5-1)/$F$5)*CvrOwnC!$B$23)</f>
        <v>0</v>
      </c>
      <c r="I37" s="87"/>
    </row>
    <row r="38" spans="1:11" x14ac:dyDescent="0.3">
      <c r="A38" s="237" t="s">
        <v>1048</v>
      </c>
      <c r="B38" s="397">
        <v>1</v>
      </c>
      <c r="C38" s="245">
        <f>Data!H565*$K$20*$K$23</f>
        <v>0</v>
      </c>
      <c r="D38" s="238" t="s">
        <v>128</v>
      </c>
      <c r="E38" s="547">
        <f t="shared" si="0"/>
        <v>0</v>
      </c>
      <c r="F38" s="566">
        <f t="shared" si="3"/>
        <v>12.29</v>
      </c>
      <c r="G38" s="548">
        <f t="shared" si="2"/>
        <v>0</v>
      </c>
      <c r="H38" s="567">
        <f>IF($F$5=1,B38*G38*clover*CvrOwnC!$B$24,B38*G38*clover*(($F$5-1)/$F$5)*CvrOwnC!$B$24)</f>
        <v>0</v>
      </c>
      <c r="I38" s="87"/>
    </row>
    <row r="39" spans="1:11" x14ac:dyDescent="0.3">
      <c r="A39" s="557" t="s">
        <v>1022</v>
      </c>
      <c r="B39" s="397">
        <v>0</v>
      </c>
      <c r="C39" s="558">
        <f>Data!$H$566*$K$20*$K$23*Data!$F$158</f>
        <v>0</v>
      </c>
      <c r="D39" s="561" t="s">
        <v>115</v>
      </c>
      <c r="E39" s="565">
        <f>C39*clover</f>
        <v>0</v>
      </c>
      <c r="F39" s="559">
        <f>_wage_</f>
        <v>12.29</v>
      </c>
      <c r="G39" s="568">
        <f>C39*F39</f>
        <v>0</v>
      </c>
      <c r="H39" s="560">
        <f>IF($F$5=1,B39*G39*clover*CvrOwnC!$B$24,B39*G39*clover*(($F$5-1)/$F$5)*CvrOwnC!$B$24)</f>
        <v>0</v>
      </c>
      <c r="J39" s="114"/>
      <c r="K39" s="55"/>
    </row>
    <row r="40" spans="1:11" x14ac:dyDescent="0.3">
      <c r="A40" s="237" t="s">
        <v>1049</v>
      </c>
      <c r="B40" s="397">
        <v>1</v>
      </c>
      <c r="C40" s="245">
        <f>Data!H567*$K$20*$K$23</f>
        <v>0</v>
      </c>
      <c r="D40" s="238" t="s">
        <v>128</v>
      </c>
      <c r="E40" s="547">
        <f t="shared" si="0"/>
        <v>0</v>
      </c>
      <c r="F40" s="550">
        <f t="shared" si="3"/>
        <v>12.29</v>
      </c>
      <c r="G40" s="548">
        <f>C40*F40</f>
        <v>0</v>
      </c>
      <c r="H40" s="549">
        <f>IF($F$5=1,B40*G40*clover*CvrOwnC!$B$24,B40*G40*clover*(($F$5-1)/$F$5)*CvrOwnC!$B$24)</f>
        <v>0</v>
      </c>
      <c r="I40" s="87"/>
      <c r="J40" s="98"/>
    </row>
    <row r="41" spans="1:11" x14ac:dyDescent="0.3">
      <c r="A41" s="557" t="s">
        <v>1022</v>
      </c>
      <c r="B41" s="397">
        <v>1</v>
      </c>
      <c r="C41" s="562">
        <f>Data!$H$568*$K$20*$K$23*Data!$F$158</f>
        <v>0</v>
      </c>
      <c r="D41" s="561" t="s">
        <v>115</v>
      </c>
      <c r="E41" s="564">
        <f>C41*clover</f>
        <v>0</v>
      </c>
      <c r="F41" s="559">
        <f>_wage_</f>
        <v>12.29</v>
      </c>
      <c r="G41" s="568">
        <f>C41*F41</f>
        <v>0</v>
      </c>
      <c r="H41" s="560">
        <f>IF($F$5=1,B41*G41*clover*CvrOwnC!$B$24,B41*G41*clover*(($F$5-1)/$F$5)*CvrOwnC!$B$24)</f>
        <v>0</v>
      </c>
      <c r="J41" s="114"/>
      <c r="K41" s="55"/>
    </row>
    <row r="42" spans="1:11" x14ac:dyDescent="0.3">
      <c r="A42" s="237" t="s">
        <v>1050</v>
      </c>
      <c r="B42" s="397">
        <v>1</v>
      </c>
      <c r="C42" s="245">
        <f>Data!H569*$K$20*$K$24</f>
        <v>0</v>
      </c>
      <c r="D42" s="238" t="s">
        <v>128</v>
      </c>
      <c r="E42" s="547">
        <f t="shared" si="0"/>
        <v>0</v>
      </c>
      <c r="F42" s="550">
        <f t="shared" si="3"/>
        <v>12.29</v>
      </c>
      <c r="G42" s="548">
        <f t="shared" si="2"/>
        <v>0</v>
      </c>
      <c r="H42" s="549">
        <f>IF($F$5=1,B42*G42*clover*CvrOwnC!$B$25,B42*G42*clover*(($F$5-1)/$F$5)*CvrOwnC!$B$25)</f>
        <v>0</v>
      </c>
      <c r="I42" s="87"/>
    </row>
    <row r="43" spans="1:11" x14ac:dyDescent="0.3">
      <c r="A43" s="557" t="s">
        <v>1022</v>
      </c>
      <c r="B43" s="397">
        <v>0</v>
      </c>
      <c r="C43" s="558">
        <f>Data!$H$570*$K$20*$K$24*Data!$F$158</f>
        <v>0</v>
      </c>
      <c r="D43" s="561" t="s">
        <v>115</v>
      </c>
      <c r="E43" s="565">
        <f>C43*clover</f>
        <v>0</v>
      </c>
      <c r="F43" s="559">
        <f>_wage_</f>
        <v>12.29</v>
      </c>
      <c r="G43" s="568">
        <f>C43*F43</f>
        <v>0</v>
      </c>
      <c r="H43" s="560">
        <f>IF($F$5=1,B43*G43*clover*CvrOwnC!$B$25,B43*G43*clover*(($F$5-1)/$F$5)*CvrOwnC!$B$25)</f>
        <v>0</v>
      </c>
      <c r="J43" s="114"/>
      <c r="K43" s="55"/>
    </row>
    <row r="44" spans="1:11" x14ac:dyDescent="0.3">
      <c r="A44" s="237" t="s">
        <v>1051</v>
      </c>
      <c r="B44" s="397">
        <v>1</v>
      </c>
      <c r="C44" s="245">
        <f>Data!H571*$K$20*$K$24</f>
        <v>0</v>
      </c>
      <c r="D44" s="238" t="s">
        <v>128</v>
      </c>
      <c r="E44" s="547">
        <f t="shared" si="0"/>
        <v>0</v>
      </c>
      <c r="F44" s="550">
        <f t="shared" si="3"/>
        <v>12.29</v>
      </c>
      <c r="G44" s="548">
        <f>C44*F44</f>
        <v>0</v>
      </c>
      <c r="H44" s="549">
        <f>IF($F$5=1,B44*G44*clover*CvrOwnC!$B$25,B44*G44*clover*(($F$5-1)/$F$5)*CvrOwnC!$B$25)</f>
        <v>0</v>
      </c>
      <c r="I44" s="87"/>
      <c r="J44" s="24"/>
    </row>
    <row r="45" spans="1:11" x14ac:dyDescent="0.3">
      <c r="A45" s="557" t="s">
        <v>1022</v>
      </c>
      <c r="B45" s="397">
        <v>1</v>
      </c>
      <c r="C45" s="558">
        <f>Data!$H$572*$K$20*$K$24*Data!$F$158</f>
        <v>0</v>
      </c>
      <c r="D45" s="561" t="s">
        <v>115</v>
      </c>
      <c r="E45" s="565">
        <f>C45*clover</f>
        <v>0</v>
      </c>
      <c r="F45" s="559">
        <f>_wage_</f>
        <v>12.29</v>
      </c>
      <c r="G45" s="568">
        <f>C45*F45</f>
        <v>0</v>
      </c>
      <c r="H45" s="560">
        <f>IF($F$5=1,B45*G45*clover*CvrOwnC!$B$25,B45*G45*clover*(($F$5-1)/$F$5)*CvrOwnC!$B$25)</f>
        <v>0</v>
      </c>
      <c r="J45" s="114"/>
      <c r="K45" s="55"/>
    </row>
    <row r="46" spans="1:11" x14ac:dyDescent="0.3">
      <c r="A46" s="237" t="s">
        <v>1052</v>
      </c>
      <c r="B46" s="397">
        <v>1</v>
      </c>
      <c r="C46" s="245">
        <f>Data!$H$573*$K$20*$K$23</f>
        <v>0</v>
      </c>
      <c r="D46" s="238" t="s">
        <v>128</v>
      </c>
      <c r="E46" s="547">
        <f t="shared" si="0"/>
        <v>0</v>
      </c>
      <c r="F46" s="550">
        <f t="shared" si="3"/>
        <v>12.29</v>
      </c>
      <c r="G46" s="548">
        <f t="shared" si="2"/>
        <v>0</v>
      </c>
      <c r="H46" s="549">
        <f>IF($F$5=1,B46*G46*clover*CvrOwnC!$B$23,B46*G46*clover*(($F$5-1)/$F$5)*CvrOwnC!$B$23)</f>
        <v>0</v>
      </c>
      <c r="I46" s="87"/>
    </row>
    <row r="47" spans="1:11" x14ac:dyDescent="0.3">
      <c r="A47" s="569" t="s">
        <v>1028</v>
      </c>
      <c r="B47" s="397">
        <v>1</v>
      </c>
      <c r="C47" s="570">
        <f>Data!$H$574*Data!$F$158*$K$20*$K$23</f>
        <v>0</v>
      </c>
      <c r="D47" s="561" t="s">
        <v>115</v>
      </c>
      <c r="E47" s="565">
        <f>C47*clover</f>
        <v>0</v>
      </c>
      <c r="F47" s="571">
        <f>_wage_</f>
        <v>12.29</v>
      </c>
      <c r="G47" s="568">
        <f>C47*F47</f>
        <v>0</v>
      </c>
      <c r="H47" s="572">
        <f>IF($F$5=1,B47*G47*clover*CvrOwnC!$B$24,B47*G47*clover*(($F$5-1)/$F$5)*CvrOwnC!$B$24)</f>
        <v>0</v>
      </c>
      <c r="J47" s="114"/>
      <c r="K47" s="55"/>
    </row>
    <row r="48" spans="1:11" x14ac:dyDescent="0.3">
      <c r="A48" s="237" t="s">
        <v>1053</v>
      </c>
      <c r="B48" s="397">
        <v>1</v>
      </c>
      <c r="C48" s="245">
        <f>Data!$H$575*$K$20*$K$24</f>
        <v>0</v>
      </c>
      <c r="D48" s="238" t="s">
        <v>128</v>
      </c>
      <c r="E48" s="547">
        <f>C48*clover</f>
        <v>0</v>
      </c>
      <c r="F48" s="550">
        <f t="shared" si="3"/>
        <v>12.29</v>
      </c>
      <c r="G48" s="548">
        <f>C48*F48</f>
        <v>0</v>
      </c>
      <c r="H48" s="549">
        <f>IF($F$5=1,B48*G48*clover*CvrOwnC!$B$23,B48*G48*clover*(($F$5-1)/$F$5)*CvrOwnC!$B$23)</f>
        <v>0</v>
      </c>
      <c r="I48" s="87"/>
    </row>
    <row r="49" spans="1:13" x14ac:dyDescent="0.3">
      <c r="A49" s="569" t="s">
        <v>1029</v>
      </c>
      <c r="B49" s="397">
        <v>1</v>
      </c>
      <c r="C49" s="570">
        <f>Data!$H$576*Data!$F$158*$K$20*$K$24</f>
        <v>0</v>
      </c>
      <c r="D49" s="561" t="s">
        <v>115</v>
      </c>
      <c r="E49" s="565">
        <f>C49*clover</f>
        <v>0</v>
      </c>
      <c r="F49" s="571">
        <f>_wage_</f>
        <v>12.29</v>
      </c>
      <c r="G49" s="568">
        <f>C49*F49</f>
        <v>0</v>
      </c>
      <c r="H49" s="572">
        <f>IF($F$5=1,B49*G49*clover*CvrOwnC!$B$25,B49*G49*clover*(($F$5-1)/$F$5)*CvrOwnC!$B$25)</f>
        <v>0</v>
      </c>
      <c r="J49" s="114"/>
      <c r="K49" s="55"/>
    </row>
    <row r="50" spans="1:13" x14ac:dyDescent="0.3">
      <c r="A50" s="95" t="s">
        <v>331</v>
      </c>
      <c r="B50" s="95"/>
      <c r="C50" s="46"/>
      <c r="D50" s="34"/>
      <c r="E50" s="34"/>
      <c r="F50" s="167"/>
      <c r="G50" s="114"/>
      <c r="H50" s="110"/>
      <c r="I50" s="87"/>
    </row>
    <row r="51" spans="1:13" x14ac:dyDescent="0.3">
      <c r="A51" s="6" t="s">
        <v>321</v>
      </c>
      <c r="B51" s="397">
        <v>1</v>
      </c>
      <c r="C51" s="273">
        <v>0</v>
      </c>
      <c r="D51" s="34" t="s">
        <v>115</v>
      </c>
      <c r="E51" s="226">
        <f>C51*clover</f>
        <v>0</v>
      </c>
      <c r="F51" s="167">
        <f t="shared" si="3"/>
        <v>12.29</v>
      </c>
      <c r="G51" s="110">
        <f>C51*F51</f>
        <v>0</v>
      </c>
      <c r="H51" s="110">
        <f>B51*G51*clover</f>
        <v>0</v>
      </c>
      <c r="I51" s="130">
        <f>SUM(H17:H51)</f>
        <v>0</v>
      </c>
    </row>
    <row r="52" spans="1:13" x14ac:dyDescent="0.3">
      <c r="A52" s="3" t="s">
        <v>66</v>
      </c>
      <c r="B52" s="3"/>
      <c r="C52" s="46"/>
      <c r="D52" s="34"/>
      <c r="E52" s="34"/>
      <c r="F52" s="104"/>
      <c r="G52" s="114"/>
      <c r="H52" s="110"/>
    </row>
    <row r="53" spans="1:13" x14ac:dyDescent="0.3">
      <c r="A53" s="95" t="s">
        <v>323</v>
      </c>
      <c r="B53" s="95"/>
      <c r="C53" s="46"/>
      <c r="D53" s="34"/>
      <c r="E53" s="34"/>
      <c r="F53" s="167"/>
      <c r="G53" s="114"/>
      <c r="H53" s="110"/>
    </row>
    <row r="54" spans="1:13" x14ac:dyDescent="0.3">
      <c r="A54" s="546" t="s">
        <v>484</v>
      </c>
      <c r="B54" s="405">
        <f t="shared" ref="B54:B85" si="5">B18</f>
        <v>1</v>
      </c>
      <c r="C54" s="245">
        <f>Data!R525</f>
        <v>0.6028033322985753</v>
      </c>
      <c r="D54" s="238" t="s">
        <v>117</v>
      </c>
      <c r="E54" s="547">
        <f t="shared" ref="E54:E82" si="6">C54*clover</f>
        <v>0</v>
      </c>
      <c r="F54" s="550">
        <f t="shared" ref="F54:F60" si="7">diesel_fuel</f>
        <v>2.56</v>
      </c>
      <c r="G54" s="548">
        <f t="shared" ref="G54:G60" si="8">C54*F54</f>
        <v>1.5431765306843528</v>
      </c>
      <c r="H54" s="549">
        <f>(B54*G54*clover)/$F$5</f>
        <v>0</v>
      </c>
      <c r="I54" s="110"/>
      <c r="K54" s="55"/>
      <c r="L54" s="24"/>
      <c r="M54" s="81"/>
    </row>
    <row r="55" spans="1:13" x14ac:dyDescent="0.3">
      <c r="A55" s="546" t="s">
        <v>485</v>
      </c>
      <c r="B55" s="405">
        <f t="shared" si="5"/>
        <v>1</v>
      </c>
      <c r="C55" s="245">
        <f>Data!R526</f>
        <v>0.83039215686274503</v>
      </c>
      <c r="D55" s="238" t="s">
        <v>117</v>
      </c>
      <c r="E55" s="547">
        <f t="shared" si="6"/>
        <v>0</v>
      </c>
      <c r="F55" s="550">
        <f t="shared" si="7"/>
        <v>2.56</v>
      </c>
      <c r="G55" s="548">
        <f t="shared" si="8"/>
        <v>2.1258039215686275</v>
      </c>
      <c r="H55" s="549">
        <f>(B55*G55*clover)/$F$5</f>
        <v>0</v>
      </c>
      <c r="I55" s="110"/>
      <c r="K55" s="55"/>
      <c r="L55" s="24"/>
      <c r="M55" s="81"/>
    </row>
    <row r="56" spans="1:13" x14ac:dyDescent="0.3">
      <c r="A56" s="22" t="s">
        <v>581</v>
      </c>
      <c r="B56" s="405">
        <f t="shared" si="5"/>
        <v>1</v>
      </c>
      <c r="C56" s="273">
        <f>0</f>
        <v>0</v>
      </c>
      <c r="D56" s="34" t="s">
        <v>117</v>
      </c>
      <c r="E56" s="226">
        <f t="shared" si="6"/>
        <v>0</v>
      </c>
      <c r="F56" s="167">
        <f t="shared" si="7"/>
        <v>2.56</v>
      </c>
      <c r="G56" s="110">
        <f t="shared" si="8"/>
        <v>0</v>
      </c>
      <c r="H56" s="110">
        <f>B56*G56*clover</f>
        <v>0</v>
      </c>
      <c r="L56" s="62"/>
    </row>
    <row r="57" spans="1:13" x14ac:dyDescent="0.3">
      <c r="A57" s="237" t="s">
        <v>316</v>
      </c>
      <c r="B57" s="405">
        <f t="shared" si="5"/>
        <v>1</v>
      </c>
      <c r="C57" s="273">
        <v>0</v>
      </c>
      <c r="D57" s="238" t="s">
        <v>117</v>
      </c>
      <c r="E57" s="547">
        <f t="shared" si="6"/>
        <v>0</v>
      </c>
      <c r="F57" s="550">
        <f t="shared" si="7"/>
        <v>2.56</v>
      </c>
      <c r="G57" s="549">
        <f t="shared" si="8"/>
        <v>0</v>
      </c>
      <c r="H57" s="549">
        <f>(B57*G57*clover)/$F$5</f>
        <v>0</v>
      </c>
      <c r="I57" s="110"/>
      <c r="K57" s="55"/>
      <c r="L57" s="24"/>
      <c r="M57" s="81"/>
    </row>
    <row r="58" spans="1:13" x14ac:dyDescent="0.3">
      <c r="A58" s="237" t="s">
        <v>411</v>
      </c>
      <c r="B58" s="405">
        <f t="shared" si="5"/>
        <v>1</v>
      </c>
      <c r="C58" s="245">
        <f>Data!R528</f>
        <v>0.29913189036743482</v>
      </c>
      <c r="D58" s="238" t="s">
        <v>117</v>
      </c>
      <c r="E58" s="547">
        <f t="shared" si="6"/>
        <v>0</v>
      </c>
      <c r="F58" s="550">
        <f t="shared" si="7"/>
        <v>2.56</v>
      </c>
      <c r="G58" s="548">
        <f t="shared" si="8"/>
        <v>0.76577763934063314</v>
      </c>
      <c r="H58" s="549">
        <f>(B58*G58*clover)/$F$5</f>
        <v>0</v>
      </c>
      <c r="I58" s="110"/>
      <c r="K58" s="55"/>
      <c r="L58" s="24"/>
      <c r="M58" s="81"/>
    </row>
    <row r="59" spans="1:13" x14ac:dyDescent="0.3">
      <c r="A59" s="237" t="s">
        <v>741</v>
      </c>
      <c r="B59" s="405">
        <f t="shared" si="5"/>
        <v>1</v>
      </c>
      <c r="C59" s="245">
        <f>Data!R532</f>
        <v>0.5114623979838181</v>
      </c>
      <c r="D59" s="238" t="s">
        <v>117</v>
      </c>
      <c r="E59" s="547">
        <f t="shared" si="6"/>
        <v>0</v>
      </c>
      <c r="F59" s="550">
        <f t="shared" si="7"/>
        <v>2.56</v>
      </c>
      <c r="G59" s="548">
        <f t="shared" si="8"/>
        <v>1.3093437388385742</v>
      </c>
      <c r="H59" s="549">
        <f>(B59*G59*clover)/$F$5</f>
        <v>0</v>
      </c>
      <c r="I59" s="110"/>
      <c r="K59" s="55"/>
      <c r="L59" s="24"/>
      <c r="M59" s="81"/>
    </row>
    <row r="60" spans="1:13" x14ac:dyDescent="0.3">
      <c r="A60" s="237" t="s">
        <v>304</v>
      </c>
      <c r="B60" s="405">
        <f t="shared" si="5"/>
        <v>1</v>
      </c>
      <c r="C60" s="245">
        <f>Data!R537</f>
        <v>0.11981642612033799</v>
      </c>
      <c r="D60" s="238" t="s">
        <v>117</v>
      </c>
      <c r="E60" s="547">
        <f t="shared" si="6"/>
        <v>0</v>
      </c>
      <c r="F60" s="550">
        <f t="shared" si="7"/>
        <v>2.56</v>
      </c>
      <c r="G60" s="548">
        <f t="shared" si="8"/>
        <v>0.30673005086806526</v>
      </c>
      <c r="H60" s="549">
        <f>(B60*G60*clover)/$F$5</f>
        <v>0</v>
      </c>
      <c r="I60" s="110"/>
      <c r="K60" s="55"/>
      <c r="L60" s="24"/>
      <c r="M60" s="81"/>
    </row>
    <row r="61" spans="1:13" x14ac:dyDescent="0.3">
      <c r="A61" s="22" t="s">
        <v>324</v>
      </c>
      <c r="B61" s="405">
        <f t="shared" si="5"/>
        <v>1</v>
      </c>
      <c r="C61" s="156">
        <f>Data!R538</f>
        <v>0.40333333333333299</v>
      </c>
      <c r="D61" s="34" t="s">
        <v>117</v>
      </c>
      <c r="E61" s="226">
        <f t="shared" si="6"/>
        <v>0</v>
      </c>
      <c r="F61" s="167">
        <f t="shared" ref="F61:F87" si="9">diesel_fuel</f>
        <v>2.56</v>
      </c>
      <c r="G61" s="114">
        <f t="shared" ref="G61:G82" si="10">C61*F61</f>
        <v>1.0325333333333324</v>
      </c>
      <c r="H61" s="110">
        <f t="shared" ref="H61:H66" si="11">B61*G61*clover</f>
        <v>0</v>
      </c>
      <c r="K61" s="55"/>
      <c r="L61" s="55"/>
    </row>
    <row r="62" spans="1:13" x14ac:dyDescent="0.3">
      <c r="A62" s="22" t="s">
        <v>325</v>
      </c>
      <c r="B62" s="405">
        <f t="shared" si="5"/>
        <v>1</v>
      </c>
      <c r="C62" s="156">
        <f>Data!R539</f>
        <v>1.3961538461538501</v>
      </c>
      <c r="D62" s="34" t="s">
        <v>117</v>
      </c>
      <c r="E62" s="226">
        <f t="shared" si="6"/>
        <v>0</v>
      </c>
      <c r="F62" s="167">
        <f>diesel_fuel</f>
        <v>2.56</v>
      </c>
      <c r="G62" s="114">
        <f t="shared" si="10"/>
        <v>3.5741538461538562</v>
      </c>
      <c r="H62" s="110">
        <f t="shared" si="11"/>
        <v>0</v>
      </c>
      <c r="K62" s="55"/>
      <c r="L62" s="55"/>
    </row>
    <row r="63" spans="1:13" x14ac:dyDescent="0.3">
      <c r="A63" s="9" t="s">
        <v>1022</v>
      </c>
      <c r="B63" s="405">
        <f t="shared" si="5"/>
        <v>0</v>
      </c>
      <c r="C63" s="47">
        <f>Data!$R$540*Data!$F$158</f>
        <v>0</v>
      </c>
      <c r="D63" s="48" t="s">
        <v>117</v>
      </c>
      <c r="E63" s="83">
        <f>C63*clover</f>
        <v>0</v>
      </c>
      <c r="F63" s="118">
        <f>diesel_fuel</f>
        <v>2.56</v>
      </c>
      <c r="G63" s="465">
        <f>C63*F63</f>
        <v>0</v>
      </c>
      <c r="H63" s="123">
        <f t="shared" si="11"/>
        <v>0</v>
      </c>
      <c r="J63" s="114"/>
      <c r="K63" s="55"/>
    </row>
    <row r="64" spans="1:13" x14ac:dyDescent="0.3">
      <c r="A64" s="22" t="s">
        <v>326</v>
      </c>
      <c r="B64" s="405">
        <f t="shared" si="5"/>
        <v>1</v>
      </c>
      <c r="C64" s="156">
        <f>Data!R541</f>
        <v>0.38105079305840639</v>
      </c>
      <c r="D64" s="34" t="s">
        <v>117</v>
      </c>
      <c r="E64" s="226">
        <f t="shared" si="6"/>
        <v>0</v>
      </c>
      <c r="F64" s="167">
        <f t="shared" si="9"/>
        <v>2.56</v>
      </c>
      <c r="G64" s="114">
        <f t="shared" si="10"/>
        <v>0.97549003022952041</v>
      </c>
      <c r="H64" s="110">
        <f t="shared" si="11"/>
        <v>0</v>
      </c>
      <c r="K64" s="55"/>
      <c r="L64" s="55"/>
    </row>
    <row r="65" spans="1:12" x14ac:dyDescent="0.3">
      <c r="A65" s="9" t="s">
        <v>1022</v>
      </c>
      <c r="B65" s="405">
        <f t="shared" si="5"/>
        <v>1</v>
      </c>
      <c r="C65" s="47">
        <f>Data!$R$542*Data!$F$158</f>
        <v>0</v>
      </c>
      <c r="D65" s="48" t="s">
        <v>117</v>
      </c>
      <c r="E65" s="83">
        <f>C65*clover</f>
        <v>0</v>
      </c>
      <c r="F65" s="118">
        <f>diesel_fuel</f>
        <v>2.56</v>
      </c>
      <c r="G65" s="465">
        <f>C65*F65</f>
        <v>0</v>
      </c>
      <c r="H65" s="123">
        <f t="shared" si="11"/>
        <v>0</v>
      </c>
      <c r="J65" s="114"/>
      <c r="K65" s="55"/>
    </row>
    <row r="66" spans="1:12" x14ac:dyDescent="0.3">
      <c r="A66" s="22" t="s">
        <v>322</v>
      </c>
      <c r="B66" s="405">
        <f t="shared" si="5"/>
        <v>1</v>
      </c>
      <c r="C66" s="273">
        <v>0</v>
      </c>
      <c r="D66" s="34" t="s">
        <v>117</v>
      </c>
      <c r="E66" s="226">
        <f t="shared" si="6"/>
        <v>0</v>
      </c>
      <c r="F66" s="167">
        <f t="shared" si="9"/>
        <v>2.56</v>
      </c>
      <c r="G66" s="110">
        <f t="shared" si="10"/>
        <v>0</v>
      </c>
      <c r="H66" s="110">
        <f t="shared" si="11"/>
        <v>0</v>
      </c>
      <c r="I66" s="98"/>
      <c r="K66" s="55"/>
      <c r="L66" s="55"/>
    </row>
    <row r="67" spans="1:12" x14ac:dyDescent="0.3">
      <c r="A67" s="237" t="s">
        <v>328</v>
      </c>
      <c r="B67" s="405">
        <f t="shared" si="5"/>
        <v>1</v>
      </c>
      <c r="C67" s="245">
        <f>Data!R558</f>
        <v>0.44114583333333302</v>
      </c>
      <c r="D67" s="238" t="s">
        <v>117</v>
      </c>
      <c r="E67" s="547">
        <f t="shared" si="6"/>
        <v>0</v>
      </c>
      <c r="F67" s="550">
        <f t="shared" si="9"/>
        <v>2.56</v>
      </c>
      <c r="G67" s="548">
        <f t="shared" si="10"/>
        <v>1.1293333333333326</v>
      </c>
      <c r="H67" s="549">
        <f t="shared" ref="H67:H85" si="12">IF($F$5=1,B67*G67*clover,B67*G67*clover*(($F$5-1)/$F$5))</f>
        <v>0</v>
      </c>
      <c r="I67" s="98"/>
      <c r="K67" s="55"/>
      <c r="L67" s="55"/>
    </row>
    <row r="68" spans="1:12" x14ac:dyDescent="0.3">
      <c r="A68" s="237" t="s">
        <v>329</v>
      </c>
      <c r="B68" s="405">
        <f t="shared" si="5"/>
        <v>1</v>
      </c>
      <c r="C68" s="245">
        <f>Data!R559*$K$19</f>
        <v>1.3961538461538501</v>
      </c>
      <c r="D68" s="238" t="s">
        <v>117</v>
      </c>
      <c r="E68" s="547">
        <f t="shared" si="6"/>
        <v>0</v>
      </c>
      <c r="F68" s="550">
        <f>diesel_fuel</f>
        <v>2.56</v>
      </c>
      <c r="G68" s="548">
        <f t="shared" si="10"/>
        <v>3.5741538461538562</v>
      </c>
      <c r="H68" s="549">
        <f t="shared" si="12"/>
        <v>0</v>
      </c>
      <c r="K68" s="55"/>
      <c r="L68" s="55"/>
    </row>
    <row r="69" spans="1:12" x14ac:dyDescent="0.3">
      <c r="A69" s="557" t="s">
        <v>1022</v>
      </c>
      <c r="B69" s="405">
        <f t="shared" si="5"/>
        <v>0</v>
      </c>
      <c r="C69" s="558">
        <f>Data!$R$560*$K$19*Data!$F$158</f>
        <v>0</v>
      </c>
      <c r="D69" s="561" t="s">
        <v>117</v>
      </c>
      <c r="E69" s="565">
        <f>C69*clover</f>
        <v>0</v>
      </c>
      <c r="F69" s="559">
        <f>diesel_fuel</f>
        <v>2.56</v>
      </c>
      <c r="G69" s="568">
        <f>C69*F69</f>
        <v>0</v>
      </c>
      <c r="H69" s="560">
        <f t="shared" si="12"/>
        <v>0</v>
      </c>
      <c r="J69" s="114"/>
      <c r="K69" s="55"/>
    </row>
    <row r="70" spans="1:12" x14ac:dyDescent="0.3">
      <c r="A70" s="237" t="s">
        <v>330</v>
      </c>
      <c r="B70" s="405">
        <f t="shared" si="5"/>
        <v>1</v>
      </c>
      <c r="C70" s="245">
        <f>Data!R561*$K$19</f>
        <v>0.38105079305840639</v>
      </c>
      <c r="D70" s="238" t="s">
        <v>117</v>
      </c>
      <c r="E70" s="547">
        <f t="shared" si="6"/>
        <v>0</v>
      </c>
      <c r="F70" s="550">
        <f t="shared" si="9"/>
        <v>2.56</v>
      </c>
      <c r="G70" s="548">
        <f t="shared" si="10"/>
        <v>0.97549003022952041</v>
      </c>
      <c r="H70" s="549">
        <f t="shared" si="12"/>
        <v>0</v>
      </c>
      <c r="K70" s="55"/>
      <c r="L70" s="55"/>
    </row>
    <row r="71" spans="1:12" x14ac:dyDescent="0.3">
      <c r="A71" s="557" t="s">
        <v>1022</v>
      </c>
      <c r="B71" s="405">
        <f t="shared" si="5"/>
        <v>1</v>
      </c>
      <c r="C71" s="558">
        <f>Data!$R$562*$K$19*Data!$F$158</f>
        <v>0</v>
      </c>
      <c r="D71" s="561" t="s">
        <v>117</v>
      </c>
      <c r="E71" s="565">
        <f>C71*clover</f>
        <v>0</v>
      </c>
      <c r="F71" s="559">
        <f>diesel_fuel</f>
        <v>2.56</v>
      </c>
      <c r="G71" s="568">
        <f>C71*F71</f>
        <v>0</v>
      </c>
      <c r="H71" s="560">
        <f t="shared" si="12"/>
        <v>0</v>
      </c>
      <c r="J71" s="114"/>
      <c r="K71" s="55"/>
    </row>
    <row r="72" spans="1:12" x14ac:dyDescent="0.3">
      <c r="A72" s="237" t="s">
        <v>1046</v>
      </c>
      <c r="B72" s="405">
        <f t="shared" si="5"/>
        <v>1</v>
      </c>
      <c r="C72" s="245">
        <f>Data!R563*$K$20</f>
        <v>0</v>
      </c>
      <c r="D72" s="238" t="s">
        <v>117</v>
      </c>
      <c r="E72" s="547">
        <f t="shared" si="6"/>
        <v>0</v>
      </c>
      <c r="F72" s="550">
        <f t="shared" si="9"/>
        <v>2.56</v>
      </c>
      <c r="G72" s="548">
        <f t="shared" si="10"/>
        <v>0</v>
      </c>
      <c r="H72" s="549">
        <f t="shared" si="12"/>
        <v>0</v>
      </c>
      <c r="K72" s="55"/>
      <c r="L72" s="55"/>
    </row>
    <row r="73" spans="1:12" x14ac:dyDescent="0.3">
      <c r="A73" s="237" t="s">
        <v>1047</v>
      </c>
      <c r="B73" s="405">
        <f t="shared" si="5"/>
        <v>1</v>
      </c>
      <c r="C73" s="245">
        <f>Data!R564*$K$20</f>
        <v>0</v>
      </c>
      <c r="D73" s="238" t="s">
        <v>117</v>
      </c>
      <c r="E73" s="547">
        <f t="shared" si="6"/>
        <v>0</v>
      </c>
      <c r="F73" s="550">
        <f t="shared" si="9"/>
        <v>2.56</v>
      </c>
      <c r="G73" s="548">
        <f t="shared" si="10"/>
        <v>0</v>
      </c>
      <c r="H73" s="549">
        <f t="shared" si="12"/>
        <v>0</v>
      </c>
      <c r="K73" s="55"/>
      <c r="L73" s="55"/>
    </row>
    <row r="74" spans="1:12" x14ac:dyDescent="0.3">
      <c r="A74" s="237" t="s">
        <v>1048</v>
      </c>
      <c r="B74" s="405">
        <f t="shared" si="5"/>
        <v>1</v>
      </c>
      <c r="C74" s="245">
        <f>Data!R565*$K$20*$K$23</f>
        <v>0</v>
      </c>
      <c r="D74" s="238" t="s">
        <v>117</v>
      </c>
      <c r="E74" s="547">
        <f t="shared" si="6"/>
        <v>0</v>
      </c>
      <c r="F74" s="550">
        <f t="shared" si="9"/>
        <v>2.56</v>
      </c>
      <c r="G74" s="548">
        <f t="shared" si="10"/>
        <v>0</v>
      </c>
      <c r="H74" s="549">
        <f t="shared" si="12"/>
        <v>0</v>
      </c>
      <c r="K74" s="55"/>
      <c r="L74" s="55"/>
    </row>
    <row r="75" spans="1:12" x14ac:dyDescent="0.3">
      <c r="A75" s="557" t="s">
        <v>1022</v>
      </c>
      <c r="B75" s="405">
        <f t="shared" si="5"/>
        <v>0</v>
      </c>
      <c r="C75" s="558">
        <f>Data!$R$566*$K$20*$K$23*Data!$F$158</f>
        <v>0</v>
      </c>
      <c r="D75" s="561" t="s">
        <v>117</v>
      </c>
      <c r="E75" s="565">
        <f>C75*clover</f>
        <v>0</v>
      </c>
      <c r="F75" s="559">
        <f>diesel_fuel</f>
        <v>2.56</v>
      </c>
      <c r="G75" s="568">
        <f>C75*F75</f>
        <v>0</v>
      </c>
      <c r="H75" s="560">
        <f t="shared" si="12"/>
        <v>0</v>
      </c>
      <c r="J75" s="114"/>
      <c r="K75" s="55"/>
    </row>
    <row r="76" spans="1:12" x14ac:dyDescent="0.3">
      <c r="A76" s="551" t="s">
        <v>1049</v>
      </c>
      <c r="B76" s="405">
        <f t="shared" si="5"/>
        <v>1</v>
      </c>
      <c r="C76" s="552">
        <f>Data!$R$567*$K$20*$K$23</f>
        <v>0</v>
      </c>
      <c r="D76" s="553" t="s">
        <v>117</v>
      </c>
      <c r="E76" s="554">
        <f t="shared" si="6"/>
        <v>0</v>
      </c>
      <c r="F76" s="555">
        <f t="shared" si="9"/>
        <v>2.56</v>
      </c>
      <c r="G76" s="556">
        <f>C76*F76</f>
        <v>0</v>
      </c>
      <c r="H76" s="549">
        <f t="shared" si="12"/>
        <v>0</v>
      </c>
      <c r="J76" s="98"/>
      <c r="K76" s="55"/>
      <c r="L76" s="55"/>
    </row>
    <row r="77" spans="1:12" x14ac:dyDescent="0.3">
      <c r="A77" s="575" t="s">
        <v>1022</v>
      </c>
      <c r="B77" s="406">
        <f t="shared" si="5"/>
        <v>1</v>
      </c>
      <c r="C77" s="563">
        <f>Data!$R$568*$K$20*$K$23*Data!$F$158</f>
        <v>0</v>
      </c>
      <c r="D77" s="561" t="s">
        <v>117</v>
      </c>
      <c r="E77" s="564">
        <f>C77*clover</f>
        <v>0</v>
      </c>
      <c r="F77" s="571">
        <f>diesel_fuel</f>
        <v>2.56</v>
      </c>
      <c r="G77" s="576">
        <f>C77*F77</f>
        <v>0</v>
      </c>
      <c r="H77" s="560">
        <f t="shared" si="12"/>
        <v>0</v>
      </c>
      <c r="J77" s="114"/>
      <c r="K77" s="55"/>
    </row>
    <row r="78" spans="1:12" x14ac:dyDescent="0.3">
      <c r="A78" s="237" t="s">
        <v>1050</v>
      </c>
      <c r="B78" s="405">
        <f t="shared" si="5"/>
        <v>1</v>
      </c>
      <c r="C78" s="245">
        <f>Data!R569*$K$20*$K$24</f>
        <v>0</v>
      </c>
      <c r="D78" s="238" t="s">
        <v>117</v>
      </c>
      <c r="E78" s="547">
        <f t="shared" si="6"/>
        <v>0</v>
      </c>
      <c r="F78" s="550">
        <f t="shared" si="9"/>
        <v>2.56</v>
      </c>
      <c r="G78" s="548">
        <f t="shared" si="10"/>
        <v>0</v>
      </c>
      <c r="H78" s="549">
        <f t="shared" si="12"/>
        <v>0</v>
      </c>
      <c r="K78" s="55"/>
      <c r="L78" s="55"/>
    </row>
    <row r="79" spans="1:12" x14ac:dyDescent="0.3">
      <c r="A79" s="557" t="s">
        <v>1022</v>
      </c>
      <c r="B79" s="405">
        <f t="shared" si="5"/>
        <v>0</v>
      </c>
      <c r="C79" s="558">
        <f>Data!$R$570*$K$20*$K$24*Data!$F$158</f>
        <v>0</v>
      </c>
      <c r="D79" s="561" t="s">
        <v>117</v>
      </c>
      <c r="E79" s="565">
        <f>C79*clover</f>
        <v>0</v>
      </c>
      <c r="F79" s="559">
        <f>diesel_fuel</f>
        <v>2.56</v>
      </c>
      <c r="G79" s="568">
        <f>C79*F79</f>
        <v>0</v>
      </c>
      <c r="H79" s="560">
        <f t="shared" si="12"/>
        <v>0</v>
      </c>
      <c r="J79" s="114"/>
      <c r="K79" s="55"/>
    </row>
    <row r="80" spans="1:12" x14ac:dyDescent="0.3">
      <c r="A80" s="237" t="s">
        <v>1051</v>
      </c>
      <c r="B80" s="405">
        <f t="shared" si="5"/>
        <v>1</v>
      </c>
      <c r="C80" s="246">
        <f>Data!R571*$K$20*$K$24</f>
        <v>0</v>
      </c>
      <c r="D80" s="238" t="s">
        <v>117</v>
      </c>
      <c r="E80" s="547">
        <f t="shared" si="6"/>
        <v>0</v>
      </c>
      <c r="F80" s="550">
        <f t="shared" si="9"/>
        <v>2.56</v>
      </c>
      <c r="G80" s="548">
        <f>C80*F80</f>
        <v>0</v>
      </c>
      <c r="H80" s="549">
        <f t="shared" si="12"/>
        <v>0</v>
      </c>
      <c r="K80" s="55"/>
      <c r="L80" s="55"/>
    </row>
    <row r="81" spans="1:13" x14ac:dyDescent="0.3">
      <c r="A81" s="575" t="s">
        <v>1022</v>
      </c>
      <c r="B81" s="406">
        <f t="shared" si="5"/>
        <v>1</v>
      </c>
      <c r="C81" s="565">
        <f>Data!$R$572*$K$20*$K$24*Data!$F$158</f>
        <v>0</v>
      </c>
      <c r="D81" s="561" t="s">
        <v>117</v>
      </c>
      <c r="E81" s="565">
        <f>C81*clover</f>
        <v>0</v>
      </c>
      <c r="F81" s="571">
        <f>diesel_fuel</f>
        <v>2.56</v>
      </c>
      <c r="G81" s="576">
        <f>C81*F81</f>
        <v>0</v>
      </c>
      <c r="H81" s="560">
        <f t="shared" si="12"/>
        <v>0</v>
      </c>
      <c r="J81" s="114"/>
      <c r="K81" s="55"/>
    </row>
    <row r="82" spans="1:13" x14ac:dyDescent="0.3">
      <c r="A82" s="237" t="s">
        <v>1052</v>
      </c>
      <c r="B82" s="405">
        <f t="shared" si="5"/>
        <v>1</v>
      </c>
      <c r="C82" s="245">
        <f>Data!$R$573*$K$20*$K$23</f>
        <v>0</v>
      </c>
      <c r="D82" s="238" t="s">
        <v>117</v>
      </c>
      <c r="E82" s="547">
        <f t="shared" si="6"/>
        <v>0</v>
      </c>
      <c r="F82" s="550">
        <f t="shared" si="9"/>
        <v>2.56</v>
      </c>
      <c r="G82" s="548">
        <f t="shared" si="10"/>
        <v>0</v>
      </c>
      <c r="H82" s="549">
        <f t="shared" si="12"/>
        <v>0</v>
      </c>
      <c r="K82" s="55"/>
      <c r="L82" s="55"/>
    </row>
    <row r="83" spans="1:13" x14ac:dyDescent="0.3">
      <c r="A83" s="575" t="s">
        <v>1022</v>
      </c>
      <c r="B83" s="406">
        <f t="shared" si="5"/>
        <v>1</v>
      </c>
      <c r="C83" s="577">
        <f>Data!$R$574*$K$20*$K$23*Data!$F$158</f>
        <v>0</v>
      </c>
      <c r="D83" s="561" t="s">
        <v>117</v>
      </c>
      <c r="E83" s="564">
        <f>C83*clover</f>
        <v>0</v>
      </c>
      <c r="F83" s="571">
        <f>diesel_fuel</f>
        <v>2.56</v>
      </c>
      <c r="G83" s="576">
        <f>C83*F83</f>
        <v>0</v>
      </c>
      <c r="H83" s="560">
        <f t="shared" si="12"/>
        <v>0</v>
      </c>
      <c r="J83" s="114"/>
      <c r="K83" s="55"/>
    </row>
    <row r="84" spans="1:13" x14ac:dyDescent="0.3">
      <c r="A84" s="237" t="s">
        <v>1052</v>
      </c>
      <c r="B84" s="405">
        <f t="shared" si="5"/>
        <v>1</v>
      </c>
      <c r="C84" s="245">
        <f>Data!$R$575*$K$20*$K$24</f>
        <v>0</v>
      </c>
      <c r="D84" s="238" t="s">
        <v>117</v>
      </c>
      <c r="E84" s="547">
        <f>C84*clover</f>
        <v>0</v>
      </c>
      <c r="F84" s="550">
        <f t="shared" si="9"/>
        <v>2.56</v>
      </c>
      <c r="G84" s="548">
        <f>C84*F84</f>
        <v>0</v>
      </c>
      <c r="H84" s="549">
        <f t="shared" si="12"/>
        <v>0</v>
      </c>
      <c r="K84" s="55"/>
      <c r="L84" s="55"/>
    </row>
    <row r="85" spans="1:13" x14ac:dyDescent="0.3">
      <c r="A85" s="575" t="s">
        <v>1022</v>
      </c>
      <c r="B85" s="406">
        <f t="shared" si="5"/>
        <v>1</v>
      </c>
      <c r="C85" s="577">
        <f>Data!$R$576*$K$20*$K$24*Data!$F$158</f>
        <v>0</v>
      </c>
      <c r="D85" s="561" t="s">
        <v>117</v>
      </c>
      <c r="E85" s="564">
        <f>C85*clover</f>
        <v>0</v>
      </c>
      <c r="F85" s="571">
        <f>diesel_fuel</f>
        <v>2.56</v>
      </c>
      <c r="G85" s="576">
        <f>C85*F85</f>
        <v>0</v>
      </c>
      <c r="H85" s="560">
        <f t="shared" si="12"/>
        <v>0</v>
      </c>
      <c r="J85" s="114"/>
      <c r="K85" s="55"/>
    </row>
    <row r="86" spans="1:13" x14ac:dyDescent="0.3">
      <c r="A86" s="95" t="s">
        <v>331</v>
      </c>
      <c r="B86" s="46"/>
      <c r="C86" s="46"/>
      <c r="D86" s="34"/>
      <c r="E86" s="34"/>
      <c r="F86" s="90"/>
      <c r="G86" s="114"/>
      <c r="H86" s="110"/>
      <c r="K86" s="55"/>
      <c r="L86" s="55"/>
    </row>
    <row r="87" spans="1:13" x14ac:dyDescent="0.3">
      <c r="A87" s="6" t="s">
        <v>314</v>
      </c>
      <c r="B87" s="397">
        <v>1</v>
      </c>
      <c r="C87" s="273">
        <v>0</v>
      </c>
      <c r="D87" s="34" t="s">
        <v>116</v>
      </c>
      <c r="E87" s="226">
        <f>C87*clover</f>
        <v>0</v>
      </c>
      <c r="F87" s="167">
        <f t="shared" si="9"/>
        <v>2.56</v>
      </c>
      <c r="G87" s="110">
        <f>C87*F87</f>
        <v>0</v>
      </c>
      <c r="H87" s="110">
        <f>B87*G87*clover</f>
        <v>0</v>
      </c>
      <c r="I87" s="130">
        <f>SUM(H53:H87)</f>
        <v>0</v>
      </c>
      <c r="K87" s="55"/>
      <c r="L87" s="24"/>
      <c r="M87" s="81"/>
    </row>
    <row r="88" spans="1:13" x14ac:dyDescent="0.3">
      <c r="A88" s="3" t="s">
        <v>20</v>
      </c>
      <c r="B88" s="397">
        <v>1</v>
      </c>
      <c r="C88" s="46" t="s">
        <v>45</v>
      </c>
      <c r="D88" s="34" t="s">
        <v>45</v>
      </c>
      <c r="E88" s="34" t="s">
        <v>45</v>
      </c>
      <c r="F88" s="68" t="s">
        <v>45</v>
      </c>
      <c r="G88" s="114" t="e">
        <f>H88/clover</f>
        <v>#DIV/0!</v>
      </c>
      <c r="H88" s="110">
        <f>B88*lube*SUM(H53:H87)</f>
        <v>0</v>
      </c>
      <c r="I88" s="130"/>
      <c r="K88" s="55"/>
      <c r="L88" s="81"/>
      <c r="M88" s="81"/>
    </row>
    <row r="89" spans="1:13" x14ac:dyDescent="0.3">
      <c r="A89" s="3" t="s">
        <v>67</v>
      </c>
      <c r="B89" s="397">
        <v>1</v>
      </c>
      <c r="F89" s="68" t="s">
        <v>45</v>
      </c>
      <c r="G89" s="114" t="e">
        <f>H89/clover</f>
        <v>#DIV/0!</v>
      </c>
      <c r="H89" s="110">
        <f>IF(Data!D9=1, B89*CvrOwnC!J43*Data!D9, 0)</f>
        <v>0</v>
      </c>
      <c r="L89" s="24"/>
      <c r="M89" s="24"/>
    </row>
    <row r="90" spans="1:13" x14ac:dyDescent="0.3">
      <c r="A90" s="3"/>
      <c r="B90" s="397">
        <v>1</v>
      </c>
      <c r="C90" s="46" t="s">
        <v>45</v>
      </c>
      <c r="D90" s="34" t="s">
        <v>45</v>
      </c>
      <c r="E90" s="34" t="s">
        <v>45</v>
      </c>
      <c r="F90" s="68" t="s">
        <v>45</v>
      </c>
      <c r="G90" s="272">
        <f>0</f>
        <v>0</v>
      </c>
      <c r="H90" s="110">
        <f>B90*G90*clover</f>
        <v>0</v>
      </c>
      <c r="I90" s="108">
        <f>SUM(H89:H90)</f>
        <v>0</v>
      </c>
    </row>
    <row r="91" spans="1:13" x14ac:dyDescent="0.3">
      <c r="A91" s="3" t="s">
        <v>170</v>
      </c>
      <c r="B91" s="397">
        <v>1</v>
      </c>
      <c r="C91" s="46" t="s">
        <v>45</v>
      </c>
      <c r="D91" s="34" t="s">
        <v>45</v>
      </c>
      <c r="E91" s="34" t="s">
        <v>45</v>
      </c>
      <c r="F91" s="68" t="s">
        <v>45</v>
      </c>
      <c r="G91" s="114">
        <f>supplies</f>
        <v>0</v>
      </c>
      <c r="H91" s="110">
        <f>B91*G91*clover</f>
        <v>0</v>
      </c>
    </row>
    <row r="92" spans="1:13" x14ac:dyDescent="0.3">
      <c r="A92" s="3" t="s">
        <v>75</v>
      </c>
      <c r="B92" s="397">
        <v>1</v>
      </c>
      <c r="C92" s="46" t="s">
        <v>45</v>
      </c>
      <c r="D92" s="34" t="s">
        <v>45</v>
      </c>
      <c r="E92" s="34" t="s">
        <v>45</v>
      </c>
      <c r="F92" s="114">
        <f>cropins</f>
        <v>3</v>
      </c>
      <c r="G92" s="114">
        <f>F92</f>
        <v>3</v>
      </c>
      <c r="H92" s="110">
        <f>B92*G92*clover</f>
        <v>0</v>
      </c>
    </row>
    <row r="93" spans="1:13" x14ac:dyDescent="0.3">
      <c r="A93" s="3"/>
      <c r="B93" s="397">
        <v>1</v>
      </c>
      <c r="C93" s="46" t="s">
        <v>45</v>
      </c>
      <c r="D93" s="34" t="s">
        <v>45</v>
      </c>
      <c r="E93" s="34" t="s">
        <v>45</v>
      </c>
      <c r="F93" s="68" t="s">
        <v>45</v>
      </c>
      <c r="G93" s="272">
        <v>0</v>
      </c>
      <c r="H93" s="110">
        <f>B93*G93*clover</f>
        <v>0</v>
      </c>
      <c r="I93" s="108">
        <f>SUM(H92:H93)</f>
        <v>0</v>
      </c>
    </row>
    <row r="94" spans="1:13" x14ac:dyDescent="0.3">
      <c r="A94" s="69" t="s">
        <v>173</v>
      </c>
      <c r="B94" s="69"/>
      <c r="C94" s="46"/>
      <c r="D94" s="34"/>
      <c r="E94" s="34"/>
      <c r="F94" s="114"/>
      <c r="G94" s="114"/>
      <c r="H94" s="110"/>
    </row>
    <row r="95" spans="1:13" x14ac:dyDescent="0.3">
      <c r="A95" s="70" t="s">
        <v>175</v>
      </c>
      <c r="B95" s="397">
        <v>1</v>
      </c>
      <c r="C95" s="46" t="s">
        <v>45</v>
      </c>
      <c r="D95" s="34" t="s">
        <v>45</v>
      </c>
      <c r="E95" s="34" t="s">
        <v>45</v>
      </c>
      <c r="F95" s="68" t="s">
        <v>45</v>
      </c>
      <c r="G95" s="676">
        <f>Data!$F$69</f>
        <v>12</v>
      </c>
      <c r="H95" s="110">
        <f>B95*G95*clover</f>
        <v>0</v>
      </c>
    </row>
    <row r="96" spans="1:13" x14ac:dyDescent="0.3">
      <c r="A96" s="70" t="s">
        <v>176</v>
      </c>
      <c r="B96" s="397">
        <v>1</v>
      </c>
      <c r="C96" s="46" t="s">
        <v>45</v>
      </c>
      <c r="D96" s="34" t="s">
        <v>45</v>
      </c>
      <c r="E96" s="34" t="s">
        <v>45</v>
      </c>
      <c r="F96" s="68" t="s">
        <v>45</v>
      </c>
      <c r="G96" s="272">
        <v>0</v>
      </c>
      <c r="H96" s="110">
        <f>B96*G96*clover</f>
        <v>0</v>
      </c>
    </row>
    <row r="97" spans="1:11" x14ac:dyDescent="0.3">
      <c r="A97" s="70" t="s">
        <v>177</v>
      </c>
      <c r="B97" s="70"/>
      <c r="C97" s="46"/>
      <c r="D97" s="34"/>
      <c r="E97" s="34"/>
      <c r="F97" s="114"/>
      <c r="G97" s="114"/>
      <c r="H97" s="110"/>
    </row>
    <row r="98" spans="1:11" x14ac:dyDescent="0.3">
      <c r="A98" s="22" t="s">
        <v>174</v>
      </c>
      <c r="B98" s="397">
        <v>1</v>
      </c>
      <c r="C98" s="34" t="s">
        <v>45</v>
      </c>
      <c r="D98" s="34" t="s">
        <v>81</v>
      </c>
      <c r="E98" s="34" t="s">
        <v>45</v>
      </c>
      <c r="F98" s="110">
        <f>Data!D61</f>
        <v>50</v>
      </c>
      <c r="G98" s="114" t="e">
        <f>H98/clover</f>
        <v>#DIV/0!</v>
      </c>
      <c r="H98" s="110">
        <f>B98*F98*clover*Data!E57*Data!D9</f>
        <v>0</v>
      </c>
    </row>
    <row r="99" spans="1:11" x14ac:dyDescent="0.3">
      <c r="A99" s="22" t="s">
        <v>928</v>
      </c>
      <c r="B99" s="397">
        <v>0</v>
      </c>
      <c r="C99" s="34" t="s">
        <v>45</v>
      </c>
      <c r="D99" s="34" t="s">
        <v>929</v>
      </c>
      <c r="E99" s="228" t="s">
        <v>45</v>
      </c>
      <c r="F99" s="55" t="s">
        <v>45</v>
      </c>
      <c r="G99" s="272">
        <f>15/5</f>
        <v>3</v>
      </c>
      <c r="H99" s="109">
        <f>B99*G99*clover</f>
        <v>0</v>
      </c>
      <c r="I99" s="108">
        <f>SUM(H98:H99)</f>
        <v>0</v>
      </c>
    </row>
    <row r="100" spans="1:11" x14ac:dyDescent="0.3">
      <c r="A100" s="70" t="s">
        <v>178</v>
      </c>
      <c r="B100" s="397">
        <v>1</v>
      </c>
      <c r="C100" s="46" t="s">
        <v>45</v>
      </c>
      <c r="D100" s="34" t="s">
        <v>45</v>
      </c>
      <c r="E100" s="34" t="s">
        <v>45</v>
      </c>
      <c r="F100" s="68" t="s">
        <v>45</v>
      </c>
      <c r="G100" s="272">
        <v>0</v>
      </c>
      <c r="H100" s="110">
        <f>B100*G100*clover</f>
        <v>0</v>
      </c>
      <c r="I100" s="50"/>
    </row>
    <row r="101" spans="1:11" ht="13.5" thickBot="1" x14ac:dyDescent="0.35">
      <c r="A101" s="70" t="s">
        <v>179</v>
      </c>
      <c r="B101" s="110"/>
      <c r="C101" s="110"/>
      <c r="D101" s="110"/>
      <c r="E101" s="110"/>
      <c r="F101" s="110"/>
      <c r="G101" s="110"/>
      <c r="H101" s="110"/>
      <c r="I101" s="50"/>
    </row>
    <row r="102" spans="1:11" x14ac:dyDescent="0.3">
      <c r="A102" s="22" t="s">
        <v>952</v>
      </c>
      <c r="B102" s="110"/>
      <c r="C102" s="110"/>
      <c r="D102" s="110"/>
      <c r="E102" s="110"/>
      <c r="F102" s="110"/>
      <c r="G102" s="110"/>
      <c r="H102" s="110"/>
      <c r="I102" s="50"/>
      <c r="J102" s="487" t="s">
        <v>1038</v>
      </c>
      <c r="K102" s="488" t="s">
        <v>1041</v>
      </c>
    </row>
    <row r="103" spans="1:11" x14ac:dyDescent="0.3">
      <c r="A103" s="411" t="s">
        <v>953</v>
      </c>
      <c r="B103" s="405">
        <f>IF(K23&gt;0,1,0)</f>
        <v>0</v>
      </c>
      <c r="C103" s="46" t="s">
        <v>45</v>
      </c>
      <c r="D103" s="34" t="s">
        <v>956</v>
      </c>
      <c r="E103" s="34" t="s">
        <v>45</v>
      </c>
      <c r="F103" s="413">
        <v>2.8444444444444446</v>
      </c>
      <c r="G103" s="414">
        <f>B103*F103*Data!$I$151</f>
        <v>0</v>
      </c>
      <c r="H103" s="110">
        <f>B103*G103*(clover*$K$20)*K23*K103</f>
        <v>0</v>
      </c>
      <c r="I103" s="50"/>
      <c r="J103" s="489" t="s">
        <v>1039</v>
      </c>
      <c r="K103" s="490">
        <v>1</v>
      </c>
    </row>
    <row r="104" spans="1:11" ht="13.5" thickBot="1" x14ac:dyDescent="0.35">
      <c r="A104" s="411" t="s">
        <v>954</v>
      </c>
      <c r="B104" s="405">
        <f>IF(K23&gt;0,1,0)</f>
        <v>0</v>
      </c>
      <c r="C104" s="46" t="s">
        <v>45</v>
      </c>
      <c r="D104" s="34" t="s">
        <v>956</v>
      </c>
      <c r="E104" s="34" t="s">
        <v>45</v>
      </c>
      <c r="F104" s="413">
        <v>0.86</v>
      </c>
      <c r="G104" s="414">
        <f>B104*F104*Data!$I$151</f>
        <v>0</v>
      </c>
      <c r="H104" s="110">
        <f>B104*G104*(clover*$K$20)*K23*K104</f>
        <v>0</v>
      </c>
      <c r="I104" s="50"/>
      <c r="J104" s="491" t="s">
        <v>1040</v>
      </c>
      <c r="K104" s="492">
        <v>1</v>
      </c>
    </row>
    <row r="105" spans="1:11" x14ac:dyDescent="0.3">
      <c r="A105" s="411" t="s">
        <v>955</v>
      </c>
      <c r="B105" s="405">
        <f>IF(K24&gt;0,1,0)</f>
        <v>0</v>
      </c>
      <c r="C105" s="46" t="s">
        <v>45</v>
      </c>
      <c r="D105" s="34" t="s">
        <v>956</v>
      </c>
      <c r="E105" s="34" t="s">
        <v>45</v>
      </c>
      <c r="F105" s="413">
        <v>7.0000000000000007E-2</v>
      </c>
      <c r="G105" s="414">
        <f>B105*F105*Data!$Q$151</f>
        <v>0</v>
      </c>
      <c r="H105" s="110">
        <f>B105*G105*(clover*$K$20)*K24</f>
        <v>0</v>
      </c>
      <c r="I105" s="50"/>
    </row>
    <row r="106" spans="1:11" x14ac:dyDescent="0.3">
      <c r="A106" s="9" t="s">
        <v>1036</v>
      </c>
      <c r="B106" s="397">
        <v>0</v>
      </c>
      <c r="C106" s="47" t="s">
        <v>45</v>
      </c>
      <c r="D106" s="48" t="s">
        <v>45</v>
      </c>
      <c r="E106" s="48" t="s">
        <v>45</v>
      </c>
      <c r="F106" s="118" t="s">
        <v>45</v>
      </c>
      <c r="G106" s="465">
        <f>(SUM(G103:G104)*Data!$M$152)</f>
        <v>0</v>
      </c>
      <c r="H106" s="124">
        <f>B106*G106*clover</f>
        <v>0</v>
      </c>
      <c r="I106" s="50"/>
    </row>
    <row r="107" spans="1:11" x14ac:dyDescent="0.3">
      <c r="A107" s="9" t="s">
        <v>1037</v>
      </c>
      <c r="B107" s="397">
        <v>0</v>
      </c>
      <c r="C107" s="47" t="s">
        <v>45</v>
      </c>
      <c r="D107" s="48" t="s">
        <v>45</v>
      </c>
      <c r="E107" s="48" t="s">
        <v>45</v>
      </c>
      <c r="F107" s="118" t="s">
        <v>45</v>
      </c>
      <c r="G107" s="465">
        <f>(G105*Data!$U$152)</f>
        <v>0</v>
      </c>
      <c r="H107" s="124">
        <f>B107*G107*clover</f>
        <v>0</v>
      </c>
      <c r="I107" s="108">
        <f>SUM(H102:H107)</f>
        <v>0</v>
      </c>
    </row>
    <row r="108" spans="1:11" x14ac:dyDescent="0.3">
      <c r="A108" s="70" t="s">
        <v>180</v>
      </c>
      <c r="B108" s="397">
        <v>1</v>
      </c>
      <c r="C108" s="46" t="s">
        <v>45</v>
      </c>
      <c r="D108" s="34" t="s">
        <v>45</v>
      </c>
      <c r="E108" s="34" t="s">
        <v>45</v>
      </c>
      <c r="F108" s="68" t="s">
        <v>45</v>
      </c>
      <c r="G108" s="114">
        <f>othexp</f>
        <v>0</v>
      </c>
      <c r="H108" s="110">
        <f>B108*G108*clover</f>
        <v>0</v>
      </c>
    </row>
    <row r="109" spans="1:11" x14ac:dyDescent="0.3">
      <c r="A109" s="22" t="s">
        <v>181</v>
      </c>
      <c r="B109" s="397">
        <v>1</v>
      </c>
      <c r="C109" s="46" t="s">
        <v>45</v>
      </c>
      <c r="D109" s="46" t="s">
        <v>45</v>
      </c>
      <c r="E109" s="34" t="s">
        <v>45</v>
      </c>
      <c r="F109" s="68" t="s">
        <v>45</v>
      </c>
      <c r="G109" s="272">
        <v>0</v>
      </c>
      <c r="H109" s="110">
        <f>B109*G109*clover</f>
        <v>0</v>
      </c>
      <c r="I109" s="108">
        <f>SUM(H108:H109)</f>
        <v>0</v>
      </c>
    </row>
    <row r="110" spans="1:11" x14ac:dyDescent="0.3">
      <c r="A110" s="3" t="s">
        <v>226</v>
      </c>
      <c r="B110" s="397">
        <v>1</v>
      </c>
      <c r="C110" s="46" t="s">
        <v>45</v>
      </c>
      <c r="D110" s="46" t="s">
        <v>45</v>
      </c>
      <c r="E110" s="34" t="s">
        <v>45</v>
      </c>
      <c r="F110" s="68" t="s">
        <v>45</v>
      </c>
      <c r="G110" s="272">
        <v>0</v>
      </c>
      <c r="H110" s="110">
        <f>B110*G110*clover</f>
        <v>0</v>
      </c>
    </row>
    <row r="111" spans="1:11" x14ac:dyDescent="0.3">
      <c r="A111" s="3" t="s">
        <v>73</v>
      </c>
      <c r="B111" s="3"/>
      <c r="F111" s="114"/>
      <c r="G111" s="119" t="e">
        <f>SUM(G16:G110)</f>
        <v>#DIV/0!</v>
      </c>
      <c r="H111" s="125">
        <f>SUM(H16:H110)</f>
        <v>0</v>
      </c>
    </row>
    <row r="112" spans="1:11" x14ac:dyDescent="0.3">
      <c r="F112" s="114"/>
      <c r="G112" s="114"/>
      <c r="H112" s="109"/>
    </row>
    <row r="113" spans="1:8" ht="39" x14ac:dyDescent="0.3">
      <c r="A113" s="3" t="s">
        <v>69</v>
      </c>
      <c r="B113" s="3"/>
      <c r="C113" s="25" t="s">
        <v>70</v>
      </c>
      <c r="D113" s="25" t="s">
        <v>71</v>
      </c>
      <c r="E113" s="25"/>
      <c r="F113" s="114"/>
      <c r="G113" s="120" t="s">
        <v>1292</v>
      </c>
      <c r="H113" s="126" t="s">
        <v>72</v>
      </c>
    </row>
    <row r="114" spans="1:8" x14ac:dyDescent="0.3">
      <c r="A114" s="3"/>
      <c r="B114" s="3"/>
      <c r="C114" s="35">
        <f>_int_oper_</f>
        <v>4.7341710603787002E-2</v>
      </c>
      <c r="D114" s="34">
        <f>Data!$B$48</f>
        <v>7</v>
      </c>
      <c r="E114" s="34"/>
      <c r="F114" s="114"/>
      <c r="G114" s="104" t="e">
        <f>H114/clover</f>
        <v>#DIV/0!</v>
      </c>
      <c r="H114" s="109">
        <f>C114*(D114/12)*(H111)</f>
        <v>0</v>
      </c>
    </row>
    <row r="115" spans="1:8" x14ac:dyDescent="0.3">
      <c r="F115" s="114"/>
      <c r="G115" s="103"/>
      <c r="H115" s="127"/>
    </row>
    <row r="116" spans="1:8" ht="14" thickBot="1" x14ac:dyDescent="0.4">
      <c r="A116" s="1" t="s">
        <v>74</v>
      </c>
      <c r="B116" s="1"/>
      <c r="F116" s="114"/>
      <c r="G116" s="121" t="e">
        <f>G111+G114</f>
        <v>#DIV/0!</v>
      </c>
      <c r="H116" s="128">
        <f>H111+H114</f>
        <v>0</v>
      </c>
    </row>
    <row r="117" spans="1:8" ht="13.5" thickTop="1" x14ac:dyDescent="0.3">
      <c r="F117" s="34"/>
      <c r="G117" s="34"/>
      <c r="H117" s="49"/>
    </row>
    <row r="118" spans="1:8" x14ac:dyDescent="0.3">
      <c r="F118" s="34"/>
      <c r="G118" s="34"/>
      <c r="H118" s="49"/>
    </row>
    <row r="119" spans="1:8" x14ac:dyDescent="0.3">
      <c r="F119" s="34"/>
      <c r="G119" s="34"/>
      <c r="H119" s="49"/>
    </row>
    <row r="120" spans="1:8" x14ac:dyDescent="0.3">
      <c r="F120" s="34"/>
      <c r="G120" s="34"/>
      <c r="H120" s="49"/>
    </row>
    <row r="121" spans="1:8" x14ac:dyDescent="0.3">
      <c r="F121" s="34"/>
      <c r="G121" s="34"/>
      <c r="H121" s="49"/>
    </row>
    <row r="122" spans="1:8" x14ac:dyDescent="0.3">
      <c r="F122" s="34"/>
      <c r="G122" s="34"/>
      <c r="H122" s="49"/>
    </row>
    <row r="123" spans="1:8" x14ac:dyDescent="0.3">
      <c r="F123" s="34"/>
      <c r="G123" s="34"/>
      <c r="H123" s="49"/>
    </row>
    <row r="124" spans="1:8" x14ac:dyDescent="0.3">
      <c r="F124" s="34"/>
      <c r="G124" s="34"/>
      <c r="H124" s="49"/>
    </row>
    <row r="125" spans="1:8" x14ac:dyDescent="0.3">
      <c r="F125" s="34"/>
      <c r="G125" s="34"/>
      <c r="H125" s="49"/>
    </row>
    <row r="126" spans="1:8" x14ac:dyDescent="0.3">
      <c r="F126" s="34"/>
      <c r="G126" s="34"/>
      <c r="H126" s="34"/>
    </row>
    <row r="127" spans="1:8" x14ac:dyDescent="0.3">
      <c r="F127" s="34"/>
      <c r="G127" s="34"/>
      <c r="H127" s="34"/>
    </row>
    <row r="128" spans="1: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c r="G617" s="34"/>
      <c r="H617" s="34"/>
    </row>
    <row r="618" spans="6:8" x14ac:dyDescent="0.3">
      <c r="F618" s="34"/>
      <c r="G618" s="34"/>
      <c r="H618" s="34"/>
    </row>
    <row r="619" spans="6:8" x14ac:dyDescent="0.3">
      <c r="F619" s="34"/>
    </row>
    <row r="620" spans="6:8" x14ac:dyDescent="0.3">
      <c r="F620" s="34"/>
    </row>
    <row r="621" spans="6:8" x14ac:dyDescent="0.3">
      <c r="F621" s="34"/>
    </row>
    <row r="622" spans="6:8" x14ac:dyDescent="0.3">
      <c r="F622" s="34"/>
    </row>
    <row r="623" spans="6:8" x14ac:dyDescent="0.3">
      <c r="F623" s="34"/>
    </row>
    <row r="624" spans="6:8" x14ac:dyDescent="0.3">
      <c r="F624" s="34"/>
    </row>
    <row r="625" spans="6:6" x14ac:dyDescent="0.3">
      <c r="F625" s="34"/>
    </row>
    <row r="626" spans="6:6" x14ac:dyDescent="0.3">
      <c r="F626" s="34"/>
    </row>
    <row r="627" spans="6:6" x14ac:dyDescent="0.3">
      <c r="F627" s="34"/>
    </row>
    <row r="628" spans="6:6" x14ac:dyDescent="0.3">
      <c r="F628" s="34"/>
    </row>
    <row r="629" spans="6:6" x14ac:dyDescent="0.3">
      <c r="F629" s="34"/>
    </row>
    <row r="630" spans="6:6" x14ac:dyDescent="0.3">
      <c r="F630" s="34"/>
    </row>
    <row r="631" spans="6:6" x14ac:dyDescent="0.3">
      <c r="F631" s="34"/>
    </row>
    <row r="632" spans="6:6" x14ac:dyDescent="0.3">
      <c r="F632" s="34"/>
    </row>
    <row r="633" spans="6:6" x14ac:dyDescent="0.3">
      <c r="F633" s="34"/>
    </row>
    <row r="634" spans="6:6" x14ac:dyDescent="0.3">
      <c r="F634" s="34"/>
    </row>
    <row r="635" spans="6:6" x14ac:dyDescent="0.3">
      <c r="F635" s="34"/>
    </row>
    <row r="636" spans="6:6" x14ac:dyDescent="0.3">
      <c r="F636" s="34"/>
    </row>
    <row r="637" spans="6:6" x14ac:dyDescent="0.3">
      <c r="F637" s="34"/>
    </row>
    <row r="638" spans="6:6" x14ac:dyDescent="0.3">
      <c r="F638" s="34"/>
    </row>
    <row r="639" spans="6:6" x14ac:dyDescent="0.3">
      <c r="F639" s="34"/>
    </row>
    <row r="640" spans="6:6" x14ac:dyDescent="0.3">
      <c r="F640" s="34"/>
    </row>
  </sheetData>
  <phoneticPr fontId="16" type="noConversion"/>
  <pageMargins left="0.75" right="0.75" top="1" bottom="1" header="0.5" footer="0.5"/>
  <headerFooter alignWithMargins="0"/>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50"/>
  <sheetViews>
    <sheetView workbookViewId="0">
      <pane ySplit="6" topLeftCell="A23" activePane="bottomLeft" state="frozen"/>
      <selection pane="bottomLeft" activeCell="C31" sqref="C31"/>
    </sheetView>
  </sheetViews>
  <sheetFormatPr defaultColWidth="9.08984375" defaultRowHeight="13" x14ac:dyDescent="0.3"/>
  <cols>
    <col min="1" max="1" width="50.81640625" style="27" customWidth="1"/>
    <col min="2" max="2" width="8.453125" style="27" customWidth="1"/>
    <col min="3" max="3" width="9.6328125" style="17" customWidth="1"/>
    <col min="4" max="4" width="8.6328125" style="17" customWidth="1"/>
    <col min="5" max="5" width="9.453125" style="17" customWidth="1"/>
    <col min="6" max="7" width="7.6328125" style="17" customWidth="1"/>
    <col min="8" max="8" width="11.6328125" style="17" customWidth="1"/>
    <col min="9" max="9" width="11.90625" style="17" customWidth="1"/>
    <col min="10" max="10" width="12" style="17" customWidth="1"/>
    <col min="11" max="11" width="9" style="17" bestFit="1" customWidth="1"/>
    <col min="12" max="13" width="9.6328125" style="17" customWidth="1"/>
    <col min="14" max="14" width="2.6328125" style="17" customWidth="1"/>
    <col min="15" max="15" width="10.08984375" style="17" customWidth="1"/>
    <col min="16" max="23" width="9.08984375" style="17"/>
    <col min="24" max="24" width="9.36328125" style="17" customWidth="1"/>
    <col min="25" max="25" width="3" style="17" customWidth="1"/>
    <col min="26" max="16384" width="9.08984375" style="17"/>
  </cols>
  <sheetData>
    <row r="1" spans="1:22" x14ac:dyDescent="0.3">
      <c r="A1" s="61" t="s">
        <v>146</v>
      </c>
      <c r="B1" s="27" t="str">
        <f>model</f>
        <v>ME Grain &amp; Pulse</v>
      </c>
    </row>
    <row r="2" spans="1:22" x14ac:dyDescent="0.3">
      <c r="A2" s="3"/>
    </row>
    <row r="4" spans="1:22" x14ac:dyDescent="0.3">
      <c r="A4" s="16" t="s">
        <v>539</v>
      </c>
      <c r="B4" s="8" t="s">
        <v>92</v>
      </c>
      <c r="C4" s="65">
        <f>clover</f>
        <v>0</v>
      </c>
      <c r="D4" s="4" t="s">
        <v>93</v>
      </c>
    </row>
    <row r="5" spans="1:22" x14ac:dyDescent="0.3">
      <c r="B5" s="17"/>
    </row>
    <row r="6" spans="1:22"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row>
    <row r="7" spans="1:22" x14ac:dyDescent="0.3">
      <c r="A7" s="13"/>
      <c r="B7" s="29"/>
      <c r="C7" s="30"/>
      <c r="D7" s="31"/>
      <c r="E7" s="31"/>
      <c r="F7" s="18"/>
      <c r="G7" s="18"/>
      <c r="H7" s="32"/>
      <c r="I7" s="31"/>
      <c r="J7" s="31"/>
      <c r="K7" s="31"/>
      <c r="L7" s="31"/>
      <c r="M7" s="31"/>
    </row>
    <row r="8" spans="1:22" x14ac:dyDescent="0.3">
      <c r="A8" s="14" t="s">
        <v>3</v>
      </c>
    </row>
    <row r="9" spans="1:22" x14ac:dyDescent="0.3">
      <c r="A9" s="6" t="str">
        <f>Data!A292</f>
        <v>Large tractor (200 hp) - LARGE SIZE</v>
      </c>
      <c r="B9" s="247">
        <v>1</v>
      </c>
      <c r="C9" s="34" t="str">
        <f>Data!C292</f>
        <v>tractor</v>
      </c>
      <c r="D9" s="109">
        <f>Data!D292*Data!H9</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c r="S9" s="34"/>
      <c r="T9" s="34"/>
      <c r="U9" s="34"/>
      <c r="V9" s="34"/>
    </row>
    <row r="10" spans="1:22" x14ac:dyDescent="0.3">
      <c r="A10" s="6" t="str">
        <f>Data!A285</f>
        <v>Large tractor (160 hp) - MEDIUM SIZE</v>
      </c>
      <c r="B10" s="33">
        <f>Data!B285</f>
        <v>1</v>
      </c>
      <c r="C10" s="34" t="str">
        <f>Data!C285</f>
        <v>tractor</v>
      </c>
      <c r="D10" s="109">
        <f>Data!D285*Data!AP9</f>
        <v>0</v>
      </c>
      <c r="E10" s="109">
        <f>D10*B10</f>
        <v>0</v>
      </c>
      <c r="F10" s="109">
        <f>Data!I285*E10</f>
        <v>0</v>
      </c>
      <c r="G10" s="34">
        <f>Data!F285</f>
        <v>30</v>
      </c>
      <c r="H10" s="109">
        <f>(E10*(_int_inv_*(1+_int_inv_)^G10)/((1+_int_inv_)^G10-1))-(F10*_int_inv_/((1+_int_inv_)^G10-1))</f>
        <v>0</v>
      </c>
      <c r="I10" s="35">
        <f>Data!H285</f>
        <v>1.6666666666666666E-2</v>
      </c>
      <c r="J10" s="109">
        <f>E10*I10</f>
        <v>0</v>
      </c>
      <c r="K10" s="36">
        <f>_tax_ins_</f>
        <v>6.7999999999999996E-3</v>
      </c>
      <c r="L10" s="109">
        <f>E10*K10</f>
        <v>0</v>
      </c>
      <c r="M10" s="109">
        <f>H10+J10+L10</f>
        <v>0</v>
      </c>
      <c r="N10" s="34"/>
      <c r="O10" s="34"/>
      <c r="P10" s="34"/>
      <c r="Q10" s="34"/>
      <c r="R10" s="34"/>
      <c r="S10" s="34"/>
      <c r="T10" s="34"/>
      <c r="U10" s="34"/>
      <c r="V10" s="34"/>
    </row>
    <row r="11" spans="1:22" x14ac:dyDescent="0.3">
      <c r="A11" s="6" t="str">
        <f>Data!A283</f>
        <v>Medium tractor (105 hp) - MEDIUM SIZE</v>
      </c>
      <c r="B11" s="247">
        <v>0</v>
      </c>
      <c r="C11" s="34" t="str">
        <f>Data!C283</f>
        <v>tractor</v>
      </c>
      <c r="D11" s="109">
        <f>Data!D283*Data!AP9</f>
        <v>0</v>
      </c>
      <c r="E11" s="109">
        <f>D11*B11</f>
        <v>0</v>
      </c>
      <c r="F11" s="109">
        <f>Data!I283*E11</f>
        <v>0</v>
      </c>
      <c r="G11" s="34">
        <f>Data!F283</f>
        <v>40</v>
      </c>
      <c r="H11" s="109">
        <f>(E11*(_int_inv_*(1+_int_inv_)^G11)/((1+_int_inv_)^G11-1))-(F11*_int_inv_/((1+_int_inv_)^G11-1))</f>
        <v>0</v>
      </c>
      <c r="I11" s="35">
        <f>Data!H283</f>
        <v>1.35E-2</v>
      </c>
      <c r="J11" s="109">
        <f>E11*I11</f>
        <v>0</v>
      </c>
      <c r="K11" s="36">
        <f>_tax_ins_</f>
        <v>6.7999999999999996E-3</v>
      </c>
      <c r="L11" s="109">
        <f>E11*K11</f>
        <v>0</v>
      </c>
      <c r="M11" s="109">
        <f>H11+J11+L11</f>
        <v>0</v>
      </c>
      <c r="N11" s="34"/>
      <c r="O11" s="34"/>
      <c r="P11" s="34"/>
      <c r="Q11" s="34"/>
      <c r="R11" s="34"/>
      <c r="S11" s="34"/>
      <c r="T11" s="34"/>
      <c r="U11" s="34"/>
      <c r="V11" s="34"/>
    </row>
    <row r="12" spans="1:22" x14ac:dyDescent="0.3">
      <c r="B12" s="33"/>
      <c r="C12" s="34"/>
      <c r="D12" s="109"/>
      <c r="E12" s="109"/>
      <c r="F12" s="109"/>
      <c r="G12" s="34"/>
      <c r="H12" s="109"/>
      <c r="I12" s="35"/>
      <c r="J12" s="109"/>
      <c r="K12" s="35"/>
      <c r="L12" s="109"/>
      <c r="M12" s="109"/>
    </row>
    <row r="13" spans="1:22" x14ac:dyDescent="0.3">
      <c r="A13" s="14" t="s">
        <v>35</v>
      </c>
      <c r="D13" s="110"/>
      <c r="E13" s="110"/>
      <c r="F13" s="109"/>
      <c r="H13" s="109"/>
      <c r="J13" s="110"/>
      <c r="L13" s="110"/>
      <c r="M13" s="109"/>
    </row>
    <row r="14" spans="1:22" x14ac:dyDescent="0.3">
      <c r="A14" s="6" t="str">
        <f>Data!A297</f>
        <v>Bulk Body Truck(s) - SMALL SIZE</v>
      </c>
      <c r="B14" s="33">
        <f>Data!B297</f>
        <v>0</v>
      </c>
      <c r="C14" s="34" t="str">
        <f>Data!C297</f>
        <v>truck</v>
      </c>
      <c r="D14" s="109">
        <f>Data!D297*Data!J9</f>
        <v>0</v>
      </c>
      <c r="E14" s="109">
        <f>D14*B14</f>
        <v>0</v>
      </c>
      <c r="F14" s="109">
        <f>Data!I297*E14</f>
        <v>0</v>
      </c>
      <c r="G14" s="34">
        <f>Data!F297</f>
        <v>40</v>
      </c>
      <c r="H14" s="109">
        <f>(E14*(_int_inv_*(1+_int_inv_)^G14)/((1+_int_inv_)^G14-1))-(F14*_int_inv_/((1+_int_inv_)^G14-1))</f>
        <v>0</v>
      </c>
      <c r="I14" s="35">
        <f>Data!H297</f>
        <v>0.02</v>
      </c>
      <c r="J14" s="109">
        <f>E14*I14</f>
        <v>0</v>
      </c>
      <c r="K14" s="36">
        <f>_tax_ins_</f>
        <v>6.7999999999999996E-3</v>
      </c>
      <c r="L14" s="109">
        <f>E14*K14</f>
        <v>0</v>
      </c>
      <c r="M14" s="109">
        <f>H14+J14+L14</f>
        <v>0</v>
      </c>
      <c r="N14" s="34"/>
      <c r="O14" s="34"/>
      <c r="P14" s="34"/>
      <c r="Q14" s="34"/>
      <c r="R14" s="34"/>
    </row>
    <row r="15" spans="1:22" x14ac:dyDescent="0.3">
      <c r="A15" s="6"/>
      <c r="B15" s="33"/>
      <c r="C15" s="34"/>
      <c r="D15" s="109"/>
      <c r="E15" s="109"/>
      <c r="F15" s="109"/>
      <c r="G15" s="60"/>
      <c r="H15" s="109"/>
      <c r="I15" s="35"/>
      <c r="J15" s="109"/>
      <c r="K15" s="36"/>
      <c r="L15" s="109"/>
      <c r="M15" s="109"/>
    </row>
    <row r="16" spans="1:22" x14ac:dyDescent="0.3">
      <c r="A16" s="14" t="s">
        <v>4</v>
      </c>
      <c r="B16" s="33"/>
      <c r="C16" s="34"/>
      <c r="D16" s="109"/>
      <c r="E16" s="109"/>
      <c r="F16" s="109"/>
      <c r="G16" s="34"/>
      <c r="H16" s="109"/>
      <c r="I16" s="35"/>
      <c r="J16" s="109"/>
      <c r="K16" s="35"/>
      <c r="L16" s="109"/>
      <c r="M16" s="109"/>
    </row>
    <row r="17" spans="1:22" x14ac:dyDescent="0.3">
      <c r="A17" s="6" t="str">
        <f>Data!A334</f>
        <v xml:space="preserve">Fertilizer Spreader </v>
      </c>
      <c r="B17" s="247">
        <v>0</v>
      </c>
      <c r="C17" s="34" t="str">
        <f>Data!C334</f>
        <v>fert.spread</v>
      </c>
      <c r="D17" s="109">
        <f>Data!D334*Data!N9</f>
        <v>0</v>
      </c>
      <c r="E17" s="109">
        <f>D17*B17</f>
        <v>0</v>
      </c>
      <c r="F17" s="109">
        <f>Data!I334*E17</f>
        <v>0</v>
      </c>
      <c r="G17" s="60">
        <f>Data!F334</f>
        <v>10</v>
      </c>
      <c r="H17" s="109">
        <f>(E17*(_int_inv_*(1+_int_inv_)^G17)/((1+_int_inv_)^G17-1))-(F17*_int_inv_/((1+_int_inv_)^G17-1))</f>
        <v>0</v>
      </c>
      <c r="I17" s="35">
        <f>Data!H334</f>
        <v>4.4999999999999998E-2</v>
      </c>
      <c r="J17" s="109">
        <f>E17*I17</f>
        <v>0</v>
      </c>
      <c r="K17" s="36">
        <f>_tax_ins_</f>
        <v>6.7999999999999996E-3</v>
      </c>
      <c r="L17" s="109">
        <f>E17*K17</f>
        <v>0</v>
      </c>
      <c r="M17" s="109">
        <f>H17+J17+L17</f>
        <v>0</v>
      </c>
    </row>
    <row r="18" spans="1:22" x14ac:dyDescent="0.3">
      <c r="B18" s="33"/>
      <c r="C18" s="34"/>
      <c r="D18" s="109"/>
      <c r="E18" s="109"/>
      <c r="F18" s="109"/>
      <c r="G18" s="34"/>
      <c r="H18" s="109"/>
      <c r="I18" s="35"/>
      <c r="J18" s="109"/>
      <c r="K18" s="35"/>
      <c r="L18" s="109"/>
      <c r="M18" s="109"/>
    </row>
    <row r="19" spans="1:22" x14ac:dyDescent="0.3">
      <c r="A19" s="14" t="s">
        <v>9</v>
      </c>
      <c r="B19" s="33"/>
      <c r="C19" s="166"/>
      <c r="D19" s="109"/>
      <c r="E19" s="109"/>
      <c r="F19" s="109"/>
      <c r="G19" s="34"/>
      <c r="H19" s="109"/>
      <c r="I19" s="35"/>
      <c r="J19" s="109"/>
      <c r="K19" s="36"/>
      <c r="L19" s="109"/>
      <c r="M19" s="109"/>
    </row>
    <row r="20" spans="1:22" x14ac:dyDescent="0.3">
      <c r="A20" s="19" t="str">
        <f>Data!A370</f>
        <v>Mower-conditioner</v>
      </c>
      <c r="B20" s="33">
        <f>Data!B370</f>
        <v>0</v>
      </c>
      <c r="C20" s="34" t="str">
        <f>Data!C370</f>
        <v>mower-cond.</v>
      </c>
      <c r="D20" s="109">
        <f>Data!D370*Data!AB9</f>
        <v>0</v>
      </c>
      <c r="E20" s="109">
        <f t="shared" ref="E20:E25" si="0">D20*B20</f>
        <v>0</v>
      </c>
      <c r="F20" s="109">
        <f>Data!I370*E20</f>
        <v>0</v>
      </c>
      <c r="G20" s="60">
        <f>Data!F370</f>
        <v>8</v>
      </c>
      <c r="H20" s="109">
        <f t="shared" ref="H20:H25" si="1">(E20*(_int_inv_*(1+_int_inv_)^G20)/((1+_int_inv_)^G20-1))-(F20*_int_inv_/((1+_int_inv_)^G20-1))</f>
        <v>0</v>
      </c>
      <c r="I20" s="35">
        <f>Data!H370</f>
        <v>4.4999999999999998E-2</v>
      </c>
      <c r="J20" s="109">
        <f t="shared" ref="J20:J25" si="2">E20*I20</f>
        <v>0</v>
      </c>
      <c r="K20" s="36">
        <f t="shared" ref="K20:K25" si="3">_tax_ins_</f>
        <v>6.7999999999999996E-3</v>
      </c>
      <c r="L20" s="109">
        <f t="shared" ref="L20:L25" si="4">E20*K20</f>
        <v>0</v>
      </c>
      <c r="M20" s="109">
        <f t="shared" ref="M20:M25" si="5">H20+J20+L20</f>
        <v>0</v>
      </c>
    </row>
    <row r="21" spans="1:22" ht="13.25" customHeight="1" x14ac:dyDescent="0.3">
      <c r="A21" s="6" t="str">
        <f>Data!A372</f>
        <v xml:space="preserve">     Chopper head (Pull-behind)</v>
      </c>
      <c r="B21" s="247">
        <v>1</v>
      </c>
      <c r="C21" s="34" t="str">
        <f>Data!C372</f>
        <v>pick-up hd.</v>
      </c>
      <c r="D21" s="109">
        <f>Data!D371*IF(GrzOwnC!B19=1,Data!V9,Data!X9)</f>
        <v>0</v>
      </c>
      <c r="E21" s="109">
        <f t="shared" si="0"/>
        <v>0</v>
      </c>
      <c r="F21" s="109">
        <f>Data!I371*E21</f>
        <v>0</v>
      </c>
      <c r="G21" s="60">
        <f>Data!F371</f>
        <v>10</v>
      </c>
      <c r="H21" s="109">
        <f t="shared" si="1"/>
        <v>0</v>
      </c>
      <c r="I21" s="35">
        <f>Data!H371</f>
        <v>4.4999999999999998E-2</v>
      </c>
      <c r="J21" s="109">
        <f t="shared" si="2"/>
        <v>0</v>
      </c>
      <c r="K21" s="36">
        <f t="shared" si="3"/>
        <v>6.7999999999999996E-3</v>
      </c>
      <c r="L21" s="109">
        <f t="shared" si="4"/>
        <v>0</v>
      </c>
      <c r="M21" s="109">
        <f t="shared" si="5"/>
        <v>0</v>
      </c>
      <c r="N21" s="34"/>
      <c r="O21" s="34"/>
      <c r="P21" s="34"/>
      <c r="Q21" s="34"/>
      <c r="R21" s="34"/>
      <c r="S21" s="34"/>
      <c r="T21" s="34"/>
      <c r="U21" s="34"/>
      <c r="V21" s="34"/>
    </row>
    <row r="22" spans="1:22" x14ac:dyDescent="0.3">
      <c r="A22" s="19" t="str">
        <f>Data!A374</f>
        <v>Teader</v>
      </c>
      <c r="B22" s="247">
        <v>1</v>
      </c>
      <c r="C22" s="34" t="str">
        <f>Data!C374</f>
        <v>teader</v>
      </c>
      <c r="D22" s="109">
        <f>Data!D374*Data!AD9*Data!D9</f>
        <v>0</v>
      </c>
      <c r="E22" s="109">
        <f>D22*B22</f>
        <v>0</v>
      </c>
      <c r="F22" s="109">
        <f>Data!I374*E22</f>
        <v>0</v>
      </c>
      <c r="G22" s="60">
        <f>Data!F374</f>
        <v>8</v>
      </c>
      <c r="H22" s="109">
        <f>(E22*(_int_inv_*(1+_int_inv_)^G22)/((1+_int_inv_)^G22-1))-(F22*_int_inv_/((1+_int_inv_)^G22-1))</f>
        <v>0</v>
      </c>
      <c r="I22" s="162">
        <f>Data!H374</f>
        <v>4.4999999999999998E-2</v>
      </c>
      <c r="J22" s="109">
        <f>E22*I22</f>
        <v>0</v>
      </c>
      <c r="K22" s="36">
        <f t="shared" si="3"/>
        <v>6.7999999999999996E-3</v>
      </c>
      <c r="L22" s="109">
        <f>E22*K22</f>
        <v>0</v>
      </c>
      <c r="M22" s="109">
        <f>H22+J22+L22</f>
        <v>0</v>
      </c>
    </row>
    <row r="23" spans="1:22" x14ac:dyDescent="0.3">
      <c r="A23" s="19" t="str">
        <f>Data!A378</f>
        <v xml:space="preserve">Raker </v>
      </c>
      <c r="B23" s="247">
        <v>1</v>
      </c>
      <c r="C23" s="34" t="str">
        <f>Data!C378</f>
        <v>raker</v>
      </c>
      <c r="D23" s="109">
        <f>Data!D378*Data!AF9*Data!D9</f>
        <v>0</v>
      </c>
      <c r="E23" s="109">
        <f t="shared" si="0"/>
        <v>0</v>
      </c>
      <c r="F23" s="109">
        <f>Data!I378*E23</f>
        <v>0</v>
      </c>
      <c r="G23" s="60">
        <f>Data!F378</f>
        <v>50</v>
      </c>
      <c r="H23" s="109">
        <f t="shared" si="1"/>
        <v>0</v>
      </c>
      <c r="I23" s="162">
        <f>Data!H378</f>
        <v>4.4999999999999998E-2</v>
      </c>
      <c r="J23" s="109">
        <f t="shared" si="2"/>
        <v>0</v>
      </c>
      <c r="K23" s="36">
        <f t="shared" si="3"/>
        <v>6.7999999999999996E-3</v>
      </c>
      <c r="L23" s="109">
        <f t="shared" si="4"/>
        <v>0</v>
      </c>
      <c r="M23" s="109">
        <f t="shared" si="5"/>
        <v>0</v>
      </c>
    </row>
    <row r="24" spans="1:22" x14ac:dyDescent="0.3">
      <c r="A24" s="19" t="str">
        <f>Data!A379</f>
        <v>Baler (Round)</v>
      </c>
      <c r="B24" s="247">
        <v>1</v>
      </c>
      <c r="C24" s="34" t="str">
        <f>Data!C379</f>
        <v>round baler</v>
      </c>
      <c r="D24" s="109">
        <f>Data!D379*Data!AF9*Data!D9</f>
        <v>0</v>
      </c>
      <c r="E24" s="109">
        <f t="shared" si="0"/>
        <v>0</v>
      </c>
      <c r="F24" s="109">
        <f>Data!I379*E24</f>
        <v>0</v>
      </c>
      <c r="G24" s="165">
        <f>Data!F379</f>
        <v>40</v>
      </c>
      <c r="H24" s="109">
        <f t="shared" si="1"/>
        <v>0</v>
      </c>
      <c r="I24" s="162">
        <f>Data!H379</f>
        <v>4.4999999999999998E-2</v>
      </c>
      <c r="J24" s="109">
        <f t="shared" si="2"/>
        <v>0</v>
      </c>
      <c r="K24" s="36">
        <f t="shared" si="3"/>
        <v>6.7999999999999996E-3</v>
      </c>
      <c r="L24" s="109">
        <f t="shared" si="4"/>
        <v>0</v>
      </c>
      <c r="M24" s="109">
        <f t="shared" si="5"/>
        <v>0</v>
      </c>
    </row>
    <row r="25" spans="1:22" x14ac:dyDescent="0.3">
      <c r="A25" s="19" t="str">
        <f>Data!A380</f>
        <v>Baler (Square)</v>
      </c>
      <c r="B25" s="247">
        <v>0</v>
      </c>
      <c r="C25" s="34" t="str">
        <f>Data!C380</f>
        <v>square baler</v>
      </c>
      <c r="D25" s="109">
        <f>Data!D380*Data!AF9*Data!D9</f>
        <v>0</v>
      </c>
      <c r="E25" s="109">
        <f t="shared" si="0"/>
        <v>0</v>
      </c>
      <c r="F25" s="109">
        <f>Data!I380*E25</f>
        <v>0</v>
      </c>
      <c r="G25" s="165">
        <f>Data!F380</f>
        <v>20</v>
      </c>
      <c r="H25" s="109">
        <f t="shared" si="1"/>
        <v>0</v>
      </c>
      <c r="I25" s="162">
        <f>Data!H380</f>
        <v>4.4999999999999998E-2</v>
      </c>
      <c r="J25" s="109">
        <f t="shared" si="2"/>
        <v>0</v>
      </c>
      <c r="K25" s="36">
        <f t="shared" si="3"/>
        <v>6.7999999999999996E-3</v>
      </c>
      <c r="L25" s="109">
        <f t="shared" si="4"/>
        <v>0</v>
      </c>
      <c r="M25" s="109">
        <f t="shared" si="5"/>
        <v>0</v>
      </c>
    </row>
    <row r="26" spans="1:22" x14ac:dyDescent="0.3">
      <c r="A26" s="6"/>
      <c r="B26" s="33"/>
      <c r="C26" s="34"/>
      <c r="D26" s="109"/>
      <c r="E26" s="109"/>
      <c r="F26" s="109"/>
      <c r="G26" s="60"/>
      <c r="H26" s="109"/>
      <c r="I26" s="35"/>
      <c r="J26" s="109"/>
      <c r="K26" s="36"/>
      <c r="L26" s="109"/>
      <c r="M26" s="109"/>
    </row>
    <row r="27" spans="1:22" x14ac:dyDescent="0.3">
      <c r="A27" s="14" t="s">
        <v>357</v>
      </c>
      <c r="B27" s="33"/>
      <c r="C27" s="34"/>
      <c r="D27" s="109"/>
      <c r="E27" s="109"/>
      <c r="F27" s="109"/>
      <c r="G27" s="34"/>
      <c r="H27" s="109"/>
      <c r="I27" s="35"/>
      <c r="J27" s="109"/>
      <c r="K27" s="36"/>
      <c r="L27" s="109"/>
      <c r="M27" s="109"/>
    </row>
    <row r="28" spans="1:22" x14ac:dyDescent="0.3">
      <c r="A28" s="6" t="str">
        <f>Data!A395</f>
        <v>Fuel Tanks - SMALL SIZE</v>
      </c>
      <c r="B28" s="33">
        <f>Data!B395</f>
        <v>0</v>
      </c>
      <c r="C28" s="34" t="str">
        <f>Data!C395</f>
        <v>fuel tank</v>
      </c>
      <c r="D28" s="109">
        <f>Data!D395*Data!H9</f>
        <v>0</v>
      </c>
      <c r="E28" s="109">
        <f>D28*B28</f>
        <v>0</v>
      </c>
      <c r="F28" s="109">
        <f>Data!I395*E28</f>
        <v>0</v>
      </c>
      <c r="G28" s="60">
        <f>Data!F395</f>
        <v>50</v>
      </c>
      <c r="H28" s="109">
        <f>(E28*(_int_inv_*(1+_int_inv_)^G28)/((1+_int_inv_)^G28-1))-(F28*_int_inv_/((1+_int_inv_)^G28-1))</f>
        <v>0</v>
      </c>
      <c r="I28" s="35">
        <f>Data!H395</f>
        <v>0.02</v>
      </c>
      <c r="J28" s="104">
        <f>E28*I28</f>
        <v>0</v>
      </c>
      <c r="K28" s="36">
        <f>_tax_ins_</f>
        <v>6.7999999999999996E-3</v>
      </c>
      <c r="L28" s="104">
        <f>E28*K28</f>
        <v>0</v>
      </c>
      <c r="M28" s="109">
        <f>H28+J28+L28</f>
        <v>0</v>
      </c>
    </row>
    <row r="29" spans="1:22" x14ac:dyDescent="0.3">
      <c r="A29" s="6" t="str">
        <f>Data!A396</f>
        <v>Shop Tools - SMALL SIZE</v>
      </c>
      <c r="B29" s="33">
        <f>Data!B396</f>
        <v>0</v>
      </c>
      <c r="C29" s="34" t="str">
        <f>Data!C396</f>
        <v>shop tools</v>
      </c>
      <c r="D29" s="109">
        <f>Data!D396*Data!H9</f>
        <v>0</v>
      </c>
      <c r="E29" s="109">
        <f>D29*B29</f>
        <v>0</v>
      </c>
      <c r="F29" s="109">
        <f>Data!I396*E29</f>
        <v>0</v>
      </c>
      <c r="G29" s="60">
        <f>Data!F396</f>
        <v>50</v>
      </c>
      <c r="H29" s="109">
        <f>(E29*(_int_inv_*(1+_int_inv_)^G29)/((1+_int_inv_)^G29-1))-(F29*_int_inv_/((1+_int_inv_)^G29-1))</f>
        <v>0</v>
      </c>
      <c r="I29" s="35">
        <f>Data!H396</f>
        <v>0.02</v>
      </c>
      <c r="J29" s="109">
        <f>E29*I29</f>
        <v>0</v>
      </c>
      <c r="K29" s="36">
        <f>_tax_ins_</f>
        <v>6.7999999999999996E-3</v>
      </c>
      <c r="L29" s="109">
        <f>E29*K29</f>
        <v>0</v>
      </c>
      <c r="M29" s="109">
        <f>H29+J29+L29</f>
        <v>0</v>
      </c>
    </row>
    <row r="30" spans="1:22" x14ac:dyDescent="0.3">
      <c r="A30" s="6"/>
      <c r="B30" s="33"/>
      <c r="C30" s="34"/>
      <c r="D30" s="109"/>
      <c r="E30" s="109"/>
      <c r="F30" s="109"/>
      <c r="G30" s="34"/>
      <c r="H30" s="109"/>
      <c r="I30" s="35"/>
      <c r="J30" s="109"/>
      <c r="K30" s="36"/>
      <c r="L30" s="109"/>
      <c r="M30" s="109"/>
    </row>
    <row r="31" spans="1:22" x14ac:dyDescent="0.3">
      <c r="A31" s="14" t="s">
        <v>12</v>
      </c>
      <c r="B31" s="84">
        <f>Data!B65</f>
        <v>0</v>
      </c>
      <c r="C31" s="868" t="str">
        <f>Data!H51</f>
        <v>acre(s)</v>
      </c>
      <c r="D31" s="109">
        <f>Data!F61</f>
        <v>1000</v>
      </c>
      <c r="E31" s="109">
        <f>D31*B31</f>
        <v>0</v>
      </c>
      <c r="F31" s="864" t="s">
        <v>45</v>
      </c>
      <c r="G31" s="865" t="s">
        <v>45</v>
      </c>
      <c r="H31" s="109">
        <f>E31*_int_inv_</f>
        <v>0</v>
      </c>
      <c r="I31" s="35">
        <f>Data!H61</f>
        <v>0.01</v>
      </c>
      <c r="J31" s="109">
        <f>E31*I31</f>
        <v>0</v>
      </c>
      <c r="K31" s="36">
        <f>_tax_ins_</f>
        <v>6.7999999999999996E-3</v>
      </c>
      <c r="L31" s="109">
        <f>E31*K31</f>
        <v>0</v>
      </c>
      <c r="M31" s="109">
        <f>H31+J31+L31</f>
        <v>0</v>
      </c>
    </row>
    <row r="32" spans="1:22" x14ac:dyDescent="0.3">
      <c r="B32" s="33"/>
      <c r="C32" s="34"/>
      <c r="D32" s="109"/>
      <c r="E32" s="109"/>
      <c r="F32" s="109"/>
      <c r="G32" s="38"/>
      <c r="H32" s="109"/>
      <c r="I32" s="35"/>
      <c r="J32" s="109"/>
      <c r="K32" s="36"/>
      <c r="L32" s="109"/>
      <c r="M32" s="109"/>
    </row>
    <row r="33" spans="1:22" x14ac:dyDescent="0.3">
      <c r="A33" s="14" t="s">
        <v>1229</v>
      </c>
      <c r="B33" s="33"/>
      <c r="C33" s="34"/>
      <c r="D33" s="109"/>
      <c r="E33" s="109"/>
      <c r="F33" s="109"/>
      <c r="G33" s="34"/>
      <c r="H33" s="109"/>
      <c r="I33" s="35"/>
      <c r="J33" s="109"/>
      <c r="K33" s="36"/>
      <c r="L33" s="110"/>
      <c r="M33" s="109"/>
    </row>
    <row r="34" spans="1:22" x14ac:dyDescent="0.3">
      <c r="A34" s="6" t="str">
        <f>Data!A495</f>
        <v>Shop/Loading Shed - SMALL SIZE</v>
      </c>
      <c r="B34" s="33">
        <f>Data!B495</f>
        <v>0</v>
      </c>
      <c r="C34" s="34" t="str">
        <f>Data!C495</f>
        <v>building</v>
      </c>
      <c r="D34" s="109">
        <f>Data!D495*Data!H9</f>
        <v>0</v>
      </c>
      <c r="E34" s="109">
        <f>D34*B34</f>
        <v>0</v>
      </c>
      <c r="F34" s="109">
        <f>Data!I495*E34</f>
        <v>0</v>
      </c>
      <c r="G34" s="34">
        <f>Data!F495</f>
        <v>33</v>
      </c>
      <c r="H34" s="109">
        <f>(E34*(_int_inv_*(1+_int_inv_)^G34)/((1+_int_inv_)^G34-1))-(F34*_int_inv_/((1+_int_inv_)^G34-1))</f>
        <v>0</v>
      </c>
      <c r="I34" s="35">
        <f>Data!H495</f>
        <v>0.01</v>
      </c>
      <c r="J34" s="109">
        <f>E34*I34</f>
        <v>0</v>
      </c>
      <c r="K34" s="36">
        <f>_tax_ins_</f>
        <v>6.7999999999999996E-3</v>
      </c>
      <c r="L34" s="109">
        <f>E34*K34</f>
        <v>0</v>
      </c>
      <c r="M34" s="109">
        <f>H34+J34+L34</f>
        <v>0</v>
      </c>
      <c r="N34" s="34"/>
      <c r="O34" s="34"/>
      <c r="P34" s="34"/>
      <c r="Q34" s="34"/>
    </row>
    <row r="35" spans="1:22" x14ac:dyDescent="0.3">
      <c r="A35" s="6"/>
      <c r="B35" s="33"/>
      <c r="C35" s="34"/>
      <c r="D35" s="109"/>
      <c r="E35" s="109"/>
      <c r="F35" s="109"/>
      <c r="G35" s="34"/>
      <c r="H35" s="109"/>
      <c r="I35" s="35"/>
      <c r="J35" s="109"/>
      <c r="K35" s="36"/>
      <c r="L35" s="109"/>
      <c r="M35" s="109"/>
    </row>
    <row r="36" spans="1:22" ht="12.75" customHeight="1" x14ac:dyDescent="0.3">
      <c r="A36" s="14" t="s">
        <v>514</v>
      </c>
      <c r="B36" s="351" t="s">
        <v>516</v>
      </c>
      <c r="C36" s="351"/>
      <c r="D36" s="351"/>
      <c r="E36" s="351"/>
      <c r="F36" s="351"/>
      <c r="G36" s="351"/>
      <c r="H36" s="351"/>
      <c r="I36" s="351"/>
      <c r="J36" s="109"/>
      <c r="K36" s="36"/>
      <c r="L36" s="109"/>
      <c r="M36" s="109"/>
      <c r="N36" s="34"/>
      <c r="O36" s="34"/>
      <c r="P36" s="34"/>
      <c r="Q36" s="34"/>
      <c r="R36" s="34"/>
      <c r="S36" s="34"/>
      <c r="T36" s="34"/>
      <c r="U36" s="34"/>
      <c r="V36" s="34"/>
    </row>
    <row r="37" spans="1:22" ht="12.75" customHeight="1" x14ac:dyDescent="0.3">
      <c r="A37" s="14" t="s">
        <v>515</v>
      </c>
      <c r="B37" s="351" t="s">
        <v>517</v>
      </c>
      <c r="C37" s="351"/>
      <c r="D37" s="351"/>
      <c r="E37" s="351"/>
      <c r="F37" s="351"/>
      <c r="G37" s="351"/>
      <c r="H37" s="351"/>
      <c r="I37" s="351"/>
      <c r="J37" s="109"/>
      <c r="K37" s="36"/>
      <c r="L37" s="109"/>
      <c r="M37" s="109"/>
      <c r="N37" s="34"/>
      <c r="O37" s="34"/>
      <c r="P37" s="34"/>
      <c r="Q37" s="34"/>
      <c r="R37" s="34"/>
      <c r="S37" s="34"/>
      <c r="T37" s="34"/>
      <c r="U37" s="34"/>
      <c r="V37" s="34"/>
    </row>
    <row r="38" spans="1:22" x14ac:dyDescent="0.3">
      <c r="B38" s="33"/>
      <c r="C38" s="34"/>
      <c r="D38" s="109"/>
      <c r="E38" s="109"/>
      <c r="F38" s="109"/>
      <c r="G38" s="34"/>
      <c r="H38" s="109"/>
      <c r="I38" s="35"/>
      <c r="J38" s="109"/>
      <c r="K38" s="36"/>
      <c r="L38" s="110"/>
      <c r="M38" s="109"/>
    </row>
    <row r="39" spans="1:22" x14ac:dyDescent="0.3">
      <c r="A39" s="14" t="s">
        <v>19</v>
      </c>
      <c r="B39" s="865" t="s">
        <v>45</v>
      </c>
      <c r="C39" s="864" t="s">
        <v>45</v>
      </c>
      <c r="D39" s="864" t="s">
        <v>45</v>
      </c>
      <c r="E39" s="864" t="s">
        <v>45</v>
      </c>
      <c r="F39" s="864" t="s">
        <v>45</v>
      </c>
      <c r="G39" s="865" t="s">
        <v>45</v>
      </c>
      <c r="H39" s="864" t="s">
        <v>45</v>
      </c>
      <c r="I39" s="865" t="s">
        <v>45</v>
      </c>
      <c r="J39" s="864" t="s">
        <v>45</v>
      </c>
      <c r="K39" s="865" t="s">
        <v>45</v>
      </c>
      <c r="L39" s="864" t="s">
        <v>45</v>
      </c>
      <c r="M39" s="864" t="s">
        <v>45</v>
      </c>
    </row>
    <row r="40" spans="1:22" x14ac:dyDescent="0.3">
      <c r="A40" s="14"/>
      <c r="B40" s="33"/>
      <c r="C40" s="34"/>
      <c r="D40" s="109"/>
      <c r="E40" s="109"/>
      <c r="F40" s="109"/>
      <c r="G40" s="34"/>
      <c r="H40" s="109"/>
      <c r="I40" s="35"/>
      <c r="J40" s="109"/>
      <c r="K40" s="35"/>
      <c r="L40" s="110"/>
      <c r="M40" s="109"/>
    </row>
    <row r="41" spans="1:22" x14ac:dyDescent="0.3">
      <c r="A41" s="14" t="s">
        <v>64</v>
      </c>
      <c r="B41" s="865" t="s">
        <v>45</v>
      </c>
      <c r="C41" s="864" t="s">
        <v>45</v>
      </c>
      <c r="D41" s="866">
        <v>0</v>
      </c>
      <c r="E41" s="866">
        <f>D41</f>
        <v>0</v>
      </c>
      <c r="F41" s="866">
        <v>0</v>
      </c>
      <c r="G41" s="247">
        <v>1</v>
      </c>
      <c r="H41" s="109">
        <f>(E41*(_int_inv_*(1+_int_inv_)^G41)/((1+_int_inv_)^G41-1))-(F41*_int_inv_/((1+_int_inv_)^G41-1))</f>
        <v>0</v>
      </c>
      <c r="I41" s="251">
        <v>0.01</v>
      </c>
      <c r="J41" s="109">
        <f>E41*I41</f>
        <v>0</v>
      </c>
      <c r="K41" s="36">
        <f>_tax_ins_</f>
        <v>6.7999999999999996E-3</v>
      </c>
      <c r="L41" s="109">
        <f>E41*K41</f>
        <v>0</v>
      </c>
      <c r="M41" s="109">
        <f>H41+J41+L41</f>
        <v>0</v>
      </c>
    </row>
    <row r="42" spans="1:22" x14ac:dyDescent="0.3">
      <c r="B42" s="33"/>
      <c r="C42" s="34"/>
      <c r="D42" s="109"/>
      <c r="E42" s="109"/>
      <c r="F42" s="109"/>
      <c r="G42" s="34"/>
      <c r="H42" s="109"/>
      <c r="I42" s="35"/>
      <c r="J42" s="110"/>
      <c r="K42" s="35"/>
      <c r="L42" s="110"/>
      <c r="M42" s="109"/>
    </row>
    <row r="43" spans="1:22" ht="13.5" x14ac:dyDescent="0.35">
      <c r="A43" s="1" t="s">
        <v>68</v>
      </c>
      <c r="B43" s="33"/>
      <c r="C43" s="34"/>
      <c r="D43" s="109"/>
      <c r="E43" s="109">
        <f>SUM(E7:E41)</f>
        <v>0</v>
      </c>
      <c r="F43" s="109">
        <f>SUM(F7:F41)</f>
        <v>0</v>
      </c>
      <c r="G43" s="34"/>
      <c r="H43" s="109">
        <f>SUM(H7:H41)</f>
        <v>0</v>
      </c>
      <c r="I43" s="35"/>
      <c r="J43" s="109">
        <f>SUM(J7:J41)</f>
        <v>0</v>
      </c>
      <c r="K43" s="35"/>
      <c r="L43" s="109">
        <f>SUM(L7:L41)</f>
        <v>0</v>
      </c>
      <c r="M43" s="109">
        <f>SUM(M7:M41)</f>
        <v>0</v>
      </c>
    </row>
    <row r="44" spans="1:22" x14ac:dyDescent="0.3">
      <c r="B44" s="33"/>
      <c r="C44" s="34"/>
      <c r="D44" s="32"/>
      <c r="E44" s="32"/>
      <c r="F44" s="32"/>
      <c r="G44" s="34"/>
      <c r="H44" s="32"/>
      <c r="I44" s="35"/>
      <c r="J44" s="110"/>
      <c r="K44" s="35"/>
      <c r="L44" s="34"/>
      <c r="M44" s="32"/>
    </row>
    <row r="45" spans="1:22" x14ac:dyDescent="0.3">
      <c r="B45" s="33"/>
      <c r="C45" s="34"/>
      <c r="D45" s="32"/>
      <c r="E45" s="32"/>
      <c r="F45" s="32"/>
      <c r="G45" s="34"/>
      <c r="H45" s="32"/>
      <c r="I45" s="35"/>
      <c r="J45" s="34"/>
      <c r="K45" s="35"/>
      <c r="L45" s="34"/>
      <c r="M45" s="32"/>
    </row>
    <row r="46" spans="1:22" x14ac:dyDescent="0.3">
      <c r="B46" s="33"/>
      <c r="C46" s="34"/>
      <c r="D46" s="8" t="s">
        <v>136</v>
      </c>
      <c r="E46" s="32"/>
      <c r="F46" s="32"/>
      <c r="G46" s="34"/>
      <c r="H46" s="32"/>
      <c r="I46" s="35"/>
      <c r="J46" s="34"/>
      <c r="K46" s="35"/>
      <c r="L46" s="34"/>
      <c r="M46" s="32"/>
    </row>
    <row r="47" spans="1:22" x14ac:dyDescent="0.3">
      <c r="B47" s="33"/>
      <c r="C47" s="34"/>
      <c r="D47" s="55" t="s">
        <v>598</v>
      </c>
      <c r="E47" s="112">
        <f>SUM(E7:E30)</f>
        <v>0</v>
      </c>
      <c r="F47" s="32"/>
      <c r="G47" s="34"/>
      <c r="H47" s="32"/>
      <c r="I47" s="35"/>
      <c r="J47" s="34"/>
      <c r="K47" s="35"/>
      <c r="L47" s="34"/>
      <c r="M47" s="32"/>
    </row>
    <row r="48" spans="1:22" x14ac:dyDescent="0.3">
      <c r="B48" s="33"/>
      <c r="C48" s="34"/>
      <c r="D48" s="55" t="s">
        <v>599</v>
      </c>
      <c r="E48" s="112">
        <f>SUM(E31:E32)</f>
        <v>0</v>
      </c>
      <c r="F48" s="32"/>
      <c r="G48" s="34"/>
      <c r="H48" s="32"/>
      <c r="I48" s="35"/>
      <c r="J48" s="34"/>
      <c r="K48" s="35"/>
      <c r="L48" s="34"/>
      <c r="M48" s="32"/>
    </row>
    <row r="49" spans="2:13" x14ac:dyDescent="0.3">
      <c r="B49" s="33"/>
      <c r="C49" s="34"/>
      <c r="D49" s="62" t="s">
        <v>600</v>
      </c>
      <c r="E49" s="113">
        <f>SUM(E34:E38)</f>
        <v>0</v>
      </c>
      <c r="F49" s="32"/>
      <c r="G49" s="34"/>
      <c r="H49" s="32"/>
      <c r="I49" s="34"/>
      <c r="J49" s="34"/>
      <c r="K49" s="35"/>
      <c r="L49" s="34"/>
      <c r="M49" s="32"/>
    </row>
    <row r="50" spans="2:13" x14ac:dyDescent="0.3">
      <c r="B50" s="33"/>
      <c r="C50" s="34"/>
      <c r="D50" s="61" t="s">
        <v>601</v>
      </c>
      <c r="E50" s="112">
        <f>SUM(E47:E49)</f>
        <v>0</v>
      </c>
      <c r="F50" s="32"/>
      <c r="G50" s="34"/>
      <c r="H50" s="32"/>
      <c r="I50" s="34"/>
      <c r="J50" s="34"/>
      <c r="K50" s="35"/>
      <c r="L50" s="34"/>
      <c r="M50" s="32"/>
    </row>
    <row r="51" spans="2:13" x14ac:dyDescent="0.3">
      <c r="B51" s="33"/>
      <c r="C51" s="34"/>
      <c r="D51" s="32"/>
      <c r="E51" s="32"/>
      <c r="F51" s="32"/>
      <c r="G51" s="34"/>
      <c r="H51" s="32"/>
      <c r="I51" s="34"/>
      <c r="J51" s="34"/>
      <c r="K51" s="35"/>
      <c r="L51" s="34"/>
      <c r="M51" s="32"/>
    </row>
    <row r="52" spans="2:13" x14ac:dyDescent="0.3">
      <c r="B52" s="33"/>
      <c r="C52" s="34"/>
      <c r="D52" s="32"/>
      <c r="E52" s="32"/>
      <c r="F52" s="32"/>
      <c r="G52" s="34"/>
      <c r="H52" s="32"/>
      <c r="I52" s="34"/>
      <c r="J52" s="34"/>
      <c r="K52" s="35"/>
      <c r="L52" s="34"/>
      <c r="M52" s="32"/>
    </row>
    <row r="53" spans="2:13" x14ac:dyDescent="0.3">
      <c r="B53" s="33"/>
      <c r="C53" s="34"/>
      <c r="D53" s="32"/>
      <c r="E53" s="32"/>
      <c r="F53" s="32"/>
      <c r="G53" s="34"/>
      <c r="H53" s="32"/>
      <c r="I53" s="34"/>
      <c r="J53" s="34"/>
      <c r="K53" s="35"/>
      <c r="L53" s="34"/>
      <c r="M53" s="32"/>
    </row>
    <row r="54" spans="2:13" x14ac:dyDescent="0.3">
      <c r="B54" s="33"/>
      <c r="C54" s="34"/>
      <c r="D54" s="32"/>
      <c r="E54" s="32"/>
      <c r="F54" s="32"/>
      <c r="G54" s="34"/>
      <c r="H54" s="32"/>
      <c r="I54" s="34"/>
      <c r="J54" s="34"/>
      <c r="K54" s="35"/>
      <c r="L54" s="34"/>
      <c r="M54" s="32"/>
    </row>
    <row r="55" spans="2:13" x14ac:dyDescent="0.3">
      <c r="B55" s="33"/>
      <c r="C55" s="34"/>
      <c r="D55" s="32"/>
      <c r="E55" s="32"/>
      <c r="F55" s="32"/>
      <c r="G55" s="34"/>
      <c r="H55" s="32"/>
      <c r="I55" s="34"/>
      <c r="J55" s="34"/>
      <c r="K55" s="35"/>
      <c r="L55" s="34"/>
      <c r="M55" s="32"/>
    </row>
    <row r="56" spans="2:13" x14ac:dyDescent="0.3">
      <c r="B56" s="33"/>
      <c r="C56" s="34"/>
      <c r="D56" s="32"/>
      <c r="E56" s="32"/>
      <c r="F56" s="32"/>
      <c r="G56" s="34"/>
      <c r="H56" s="32"/>
      <c r="I56" s="34"/>
      <c r="J56" s="34"/>
      <c r="K56" s="35"/>
      <c r="L56" s="34"/>
      <c r="M56" s="32"/>
    </row>
    <row r="57" spans="2:13" x14ac:dyDescent="0.3">
      <c r="B57" s="33"/>
      <c r="C57" s="34"/>
      <c r="D57" s="32"/>
      <c r="E57" s="32"/>
      <c r="F57" s="32"/>
      <c r="G57" s="34"/>
      <c r="H57" s="32"/>
      <c r="I57" s="34"/>
      <c r="J57" s="34"/>
      <c r="K57" s="35"/>
      <c r="L57" s="34"/>
      <c r="M57" s="32"/>
    </row>
    <row r="58" spans="2:13" x14ac:dyDescent="0.3">
      <c r="B58" s="33"/>
      <c r="C58" s="34"/>
      <c r="D58" s="32"/>
      <c r="E58" s="32"/>
      <c r="F58" s="32"/>
      <c r="G58" s="34"/>
      <c r="H58" s="32"/>
      <c r="I58" s="34"/>
      <c r="J58" s="34"/>
      <c r="K58" s="35"/>
      <c r="L58" s="34"/>
      <c r="M58" s="32"/>
    </row>
    <row r="59" spans="2:13" x14ac:dyDescent="0.3">
      <c r="B59" s="33"/>
      <c r="C59" s="34"/>
      <c r="D59" s="32"/>
      <c r="E59" s="32"/>
      <c r="F59" s="32"/>
      <c r="G59" s="34"/>
      <c r="H59" s="32"/>
      <c r="I59" s="34"/>
      <c r="J59" s="34"/>
      <c r="K59" s="35"/>
      <c r="L59" s="34"/>
      <c r="M59" s="32"/>
    </row>
    <row r="60" spans="2:13" x14ac:dyDescent="0.3">
      <c r="B60" s="33"/>
      <c r="C60" s="34"/>
      <c r="D60" s="32"/>
      <c r="E60" s="32"/>
      <c r="F60" s="32"/>
      <c r="G60" s="34"/>
      <c r="H60" s="32"/>
      <c r="I60" s="34"/>
      <c r="J60" s="34"/>
      <c r="K60" s="35"/>
      <c r="L60" s="34"/>
      <c r="M60" s="32"/>
    </row>
    <row r="61" spans="2:13" x14ac:dyDescent="0.3">
      <c r="B61" s="33"/>
      <c r="C61" s="34"/>
      <c r="D61" s="32"/>
      <c r="E61" s="32"/>
      <c r="F61" s="32"/>
      <c r="G61" s="34"/>
      <c r="H61" s="32"/>
      <c r="I61" s="34"/>
      <c r="J61" s="34"/>
      <c r="K61" s="35"/>
      <c r="L61" s="34"/>
      <c r="M61" s="32"/>
    </row>
    <row r="62" spans="2:13" x14ac:dyDescent="0.3">
      <c r="B62" s="33"/>
      <c r="C62" s="34"/>
      <c r="D62" s="32"/>
      <c r="E62" s="32"/>
      <c r="F62" s="32"/>
      <c r="G62" s="34"/>
      <c r="H62" s="32"/>
      <c r="I62" s="34"/>
      <c r="J62" s="34"/>
      <c r="K62" s="35"/>
      <c r="L62" s="34"/>
      <c r="M62" s="32"/>
    </row>
    <row r="63" spans="2:13" x14ac:dyDescent="0.3">
      <c r="B63" s="33"/>
      <c r="C63" s="34"/>
      <c r="D63" s="32"/>
      <c r="E63" s="32"/>
      <c r="F63" s="32"/>
      <c r="G63" s="34"/>
      <c r="H63" s="32"/>
      <c r="I63" s="34"/>
      <c r="J63" s="34"/>
      <c r="K63" s="35"/>
      <c r="L63" s="34"/>
      <c r="M63" s="32"/>
    </row>
    <row r="64" spans="2: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9"/>
      <c r="E76" s="39"/>
      <c r="F76" s="39"/>
      <c r="G76" s="34"/>
      <c r="H76" s="32"/>
      <c r="I76" s="34"/>
      <c r="J76" s="34"/>
      <c r="K76" s="35"/>
      <c r="L76" s="34"/>
      <c r="M76" s="32"/>
    </row>
    <row r="77" spans="2:13" x14ac:dyDescent="0.3">
      <c r="B77" s="33"/>
      <c r="C77" s="34"/>
      <c r="D77" s="39"/>
      <c r="E77" s="39"/>
      <c r="F77" s="39"/>
      <c r="G77" s="34"/>
      <c r="H77" s="32"/>
      <c r="I77" s="34"/>
      <c r="J77" s="34"/>
      <c r="K77" s="35"/>
      <c r="L77" s="34"/>
      <c r="M77" s="32"/>
    </row>
    <row r="78" spans="2:13" x14ac:dyDescent="0.3">
      <c r="B78" s="33"/>
      <c r="C78" s="34"/>
      <c r="D78" s="39"/>
      <c r="E78" s="39"/>
      <c r="F78" s="39"/>
      <c r="G78" s="34"/>
      <c r="H78" s="32"/>
      <c r="I78" s="34"/>
      <c r="J78" s="34"/>
      <c r="K78" s="35"/>
      <c r="L78" s="34"/>
      <c r="M78" s="32"/>
    </row>
    <row r="79" spans="2:13" x14ac:dyDescent="0.3">
      <c r="B79" s="33"/>
      <c r="C79" s="34"/>
      <c r="D79" s="39"/>
      <c r="E79" s="39"/>
      <c r="F79" s="39"/>
      <c r="G79" s="34"/>
      <c r="H79" s="32"/>
      <c r="I79" s="34"/>
      <c r="J79" s="34"/>
      <c r="K79" s="35"/>
      <c r="L79" s="34"/>
      <c r="M79" s="32"/>
    </row>
    <row r="80" spans="2:13" x14ac:dyDescent="0.3">
      <c r="B80" s="33"/>
      <c r="C80" s="34"/>
      <c r="D80" s="39"/>
      <c r="E80" s="39"/>
      <c r="F80" s="39"/>
      <c r="G80" s="34"/>
      <c r="H80" s="32"/>
      <c r="I80" s="34"/>
      <c r="J80" s="34"/>
      <c r="K80" s="35"/>
      <c r="L80" s="34"/>
      <c r="M80" s="32"/>
    </row>
    <row r="81" spans="2:13" x14ac:dyDescent="0.3">
      <c r="B81" s="33"/>
      <c r="C81" s="34"/>
      <c r="D81" s="39"/>
      <c r="E81" s="39"/>
      <c r="F81" s="39"/>
      <c r="G81" s="34"/>
      <c r="H81" s="32"/>
      <c r="I81" s="34"/>
      <c r="J81" s="34"/>
      <c r="K81" s="35"/>
      <c r="L81" s="34"/>
      <c r="M81" s="32"/>
    </row>
    <row r="82" spans="2:13" x14ac:dyDescent="0.3">
      <c r="B82" s="33"/>
      <c r="C82" s="34"/>
      <c r="D82" s="39"/>
      <c r="E82" s="39"/>
      <c r="F82" s="39"/>
      <c r="G82" s="34"/>
      <c r="H82" s="32"/>
      <c r="I82" s="34"/>
      <c r="J82" s="34"/>
      <c r="K82" s="35"/>
      <c r="L82" s="34"/>
      <c r="M82" s="32"/>
    </row>
    <row r="83" spans="2:13" x14ac:dyDescent="0.3">
      <c r="B83" s="33"/>
      <c r="C83" s="34"/>
      <c r="D83" s="39"/>
      <c r="E83" s="39"/>
      <c r="F83" s="39"/>
      <c r="G83" s="34"/>
      <c r="H83" s="32"/>
      <c r="I83" s="34"/>
      <c r="J83" s="34"/>
      <c r="K83" s="35"/>
      <c r="L83" s="34"/>
      <c r="M83" s="32"/>
    </row>
    <row r="84" spans="2:13" x14ac:dyDescent="0.3">
      <c r="B84" s="33"/>
      <c r="C84" s="34"/>
      <c r="D84" s="39"/>
      <c r="E84" s="39"/>
      <c r="F84" s="39"/>
      <c r="G84" s="34"/>
      <c r="H84" s="32"/>
      <c r="I84" s="34"/>
      <c r="J84" s="34"/>
      <c r="K84" s="35"/>
      <c r="L84" s="34"/>
      <c r="M84" s="32"/>
    </row>
    <row r="85" spans="2:13" x14ac:dyDescent="0.3">
      <c r="B85" s="33"/>
      <c r="C85" s="34"/>
      <c r="D85" s="39"/>
      <c r="E85" s="39"/>
      <c r="F85" s="39"/>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4"/>
      <c r="I181" s="34"/>
      <c r="J181" s="34"/>
      <c r="K181" s="35"/>
      <c r="L181" s="34"/>
      <c r="M181" s="32"/>
    </row>
    <row r="182" spans="2:13" x14ac:dyDescent="0.3">
      <c r="B182" s="33"/>
      <c r="C182" s="34"/>
      <c r="D182" s="39"/>
      <c r="E182" s="39"/>
      <c r="F182" s="39"/>
      <c r="G182" s="34"/>
      <c r="H182" s="34"/>
      <c r="I182" s="34"/>
      <c r="J182" s="34"/>
      <c r="K182" s="35"/>
      <c r="L182" s="34"/>
      <c r="M182" s="32"/>
    </row>
    <row r="183" spans="2:13" x14ac:dyDescent="0.3">
      <c r="B183" s="33"/>
      <c r="C183" s="34"/>
      <c r="D183" s="39"/>
      <c r="E183" s="39"/>
      <c r="F183" s="39"/>
      <c r="G183" s="34"/>
      <c r="H183" s="34"/>
      <c r="I183" s="34"/>
      <c r="J183" s="34"/>
      <c r="K183" s="35"/>
      <c r="L183" s="34"/>
      <c r="M183" s="32"/>
    </row>
    <row r="184" spans="2:13" x14ac:dyDescent="0.3">
      <c r="B184" s="33"/>
      <c r="C184" s="34"/>
      <c r="D184" s="39"/>
      <c r="E184" s="39"/>
      <c r="F184" s="39"/>
      <c r="G184" s="34"/>
      <c r="H184" s="34"/>
      <c r="I184" s="34"/>
      <c r="J184" s="34"/>
      <c r="K184" s="35"/>
      <c r="L184" s="34"/>
      <c r="M184" s="32"/>
    </row>
    <row r="185" spans="2:13" x14ac:dyDescent="0.3">
      <c r="B185" s="33"/>
      <c r="C185" s="34"/>
      <c r="D185" s="39"/>
      <c r="E185" s="39"/>
      <c r="F185" s="39"/>
      <c r="G185" s="34"/>
      <c r="H185" s="34"/>
      <c r="I185" s="34"/>
      <c r="J185" s="34"/>
      <c r="K185" s="35"/>
      <c r="L185" s="34"/>
      <c r="M185" s="32"/>
    </row>
    <row r="186" spans="2:13" x14ac:dyDescent="0.3">
      <c r="B186" s="33"/>
      <c r="C186" s="34"/>
      <c r="D186" s="39"/>
      <c r="E186" s="39"/>
      <c r="F186" s="39"/>
      <c r="G186" s="34"/>
      <c r="H186" s="34"/>
      <c r="I186" s="34"/>
      <c r="J186" s="34"/>
      <c r="K186" s="35"/>
      <c r="L186" s="34"/>
      <c r="M186" s="32"/>
    </row>
    <row r="187" spans="2:13" x14ac:dyDescent="0.3">
      <c r="B187" s="33"/>
      <c r="C187" s="34"/>
      <c r="D187" s="39"/>
      <c r="E187" s="39"/>
      <c r="F187" s="39"/>
      <c r="G187" s="34"/>
      <c r="H187" s="34"/>
      <c r="I187" s="34"/>
      <c r="J187" s="34"/>
      <c r="K187" s="35"/>
      <c r="L187" s="34"/>
      <c r="M187" s="32"/>
    </row>
    <row r="188" spans="2:13" x14ac:dyDescent="0.3">
      <c r="B188" s="33"/>
      <c r="C188" s="34"/>
      <c r="D188" s="39"/>
      <c r="E188" s="39"/>
      <c r="F188" s="39"/>
      <c r="G188" s="34"/>
      <c r="H188" s="34"/>
      <c r="I188" s="34"/>
      <c r="J188" s="34"/>
      <c r="K188" s="35"/>
      <c r="L188" s="34"/>
      <c r="M188" s="32"/>
    </row>
    <row r="189" spans="2:13" x14ac:dyDescent="0.3">
      <c r="B189" s="33"/>
      <c r="C189" s="34"/>
      <c r="D189" s="39"/>
      <c r="E189" s="39"/>
      <c r="F189" s="39"/>
      <c r="G189" s="34"/>
      <c r="H189" s="34"/>
      <c r="I189" s="34"/>
      <c r="J189" s="34"/>
      <c r="K189" s="35"/>
      <c r="L189" s="34"/>
      <c r="M189" s="32"/>
    </row>
    <row r="190" spans="2:13" x14ac:dyDescent="0.3">
      <c r="B190" s="33"/>
      <c r="C190" s="34"/>
      <c r="D190" s="39"/>
      <c r="E190" s="39"/>
      <c r="F190" s="39"/>
      <c r="G190" s="34"/>
      <c r="H190" s="34"/>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4"/>
      <c r="E194" s="34"/>
      <c r="F194" s="34"/>
      <c r="G194" s="34"/>
      <c r="H194" s="34"/>
      <c r="I194" s="34"/>
      <c r="J194" s="34"/>
      <c r="K194" s="35"/>
      <c r="L194" s="34"/>
      <c r="M194" s="32"/>
    </row>
    <row r="195" spans="2:13" x14ac:dyDescent="0.3">
      <c r="B195" s="33"/>
      <c r="C195" s="34"/>
      <c r="D195" s="34"/>
      <c r="E195" s="34"/>
      <c r="F195" s="34"/>
      <c r="G195" s="34"/>
      <c r="H195" s="34"/>
      <c r="I195" s="34"/>
      <c r="J195" s="34"/>
      <c r="K195" s="35"/>
      <c r="L195" s="34"/>
      <c r="M195" s="32"/>
    </row>
    <row r="196" spans="2:13" x14ac:dyDescent="0.3">
      <c r="B196" s="33"/>
      <c r="C196" s="34"/>
      <c r="D196" s="34"/>
      <c r="E196" s="34"/>
      <c r="F196" s="34"/>
      <c r="G196" s="34"/>
      <c r="H196" s="34"/>
      <c r="I196" s="34"/>
      <c r="J196" s="34"/>
      <c r="K196" s="35"/>
      <c r="L196" s="34"/>
      <c r="M196" s="32"/>
    </row>
    <row r="197" spans="2:13" x14ac:dyDescent="0.3">
      <c r="B197" s="33"/>
      <c r="C197" s="34"/>
      <c r="D197" s="34"/>
      <c r="E197" s="34"/>
      <c r="F197" s="34"/>
      <c r="G197" s="34"/>
      <c r="H197" s="34"/>
      <c r="I197" s="34"/>
      <c r="J197" s="34"/>
      <c r="K197" s="35"/>
      <c r="L197" s="34"/>
      <c r="M197" s="32"/>
    </row>
    <row r="198" spans="2:13" x14ac:dyDescent="0.3">
      <c r="B198" s="33"/>
      <c r="C198" s="34"/>
      <c r="D198" s="34"/>
      <c r="E198" s="34"/>
      <c r="F198" s="34"/>
      <c r="G198" s="34"/>
      <c r="H198" s="34"/>
      <c r="I198" s="34"/>
      <c r="J198" s="34"/>
      <c r="K198" s="35"/>
      <c r="L198" s="34"/>
      <c r="M198" s="32"/>
    </row>
    <row r="199" spans="2:13" x14ac:dyDescent="0.3">
      <c r="B199" s="33"/>
      <c r="C199" s="34"/>
      <c r="D199" s="34"/>
      <c r="E199" s="34"/>
      <c r="F199" s="34"/>
      <c r="G199" s="34"/>
      <c r="H199" s="34"/>
      <c r="I199" s="34"/>
      <c r="J199" s="34"/>
      <c r="K199" s="35"/>
      <c r="L199" s="34"/>
      <c r="M199" s="32"/>
    </row>
    <row r="200" spans="2:13" x14ac:dyDescent="0.3">
      <c r="B200" s="33"/>
      <c r="C200" s="34"/>
      <c r="D200" s="34"/>
      <c r="E200" s="34"/>
      <c r="F200" s="34"/>
      <c r="G200" s="34"/>
      <c r="H200" s="34"/>
      <c r="I200" s="34"/>
      <c r="J200" s="34"/>
      <c r="K200" s="35"/>
      <c r="L200" s="34"/>
      <c r="M200" s="32"/>
    </row>
    <row r="201" spans="2:13" x14ac:dyDescent="0.3">
      <c r="B201" s="33"/>
      <c r="C201" s="34"/>
      <c r="D201" s="34"/>
      <c r="E201" s="34"/>
      <c r="F201" s="34"/>
      <c r="G201" s="34"/>
      <c r="H201" s="34"/>
      <c r="I201" s="34"/>
      <c r="J201" s="34"/>
      <c r="K201" s="35"/>
      <c r="L201" s="34"/>
      <c r="M201" s="32"/>
    </row>
    <row r="202" spans="2:13" x14ac:dyDescent="0.3">
      <c r="B202" s="33"/>
      <c r="C202" s="34"/>
      <c r="D202" s="34"/>
      <c r="E202" s="34"/>
      <c r="F202" s="34"/>
      <c r="G202" s="34"/>
      <c r="H202" s="34"/>
      <c r="I202" s="34"/>
      <c r="J202" s="34"/>
      <c r="K202" s="35"/>
      <c r="L202" s="34"/>
      <c r="M202" s="32"/>
    </row>
    <row r="203" spans="2:13" x14ac:dyDescent="0.3">
      <c r="B203" s="33"/>
      <c r="C203" s="34"/>
      <c r="D203" s="34"/>
      <c r="E203" s="34"/>
      <c r="F203" s="34"/>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4"/>
    </row>
    <row r="504" spans="2:13" x14ac:dyDescent="0.3">
      <c r="B504" s="33"/>
      <c r="C504" s="34"/>
      <c r="D504" s="34"/>
      <c r="E504" s="34"/>
      <c r="F504" s="34"/>
      <c r="G504" s="34"/>
      <c r="H504" s="34"/>
      <c r="I504" s="34"/>
      <c r="J504" s="34"/>
      <c r="K504" s="35"/>
      <c r="L504" s="34"/>
      <c r="M504" s="34"/>
    </row>
    <row r="505" spans="2:13" x14ac:dyDescent="0.3">
      <c r="B505" s="33"/>
      <c r="C505" s="34"/>
      <c r="D505" s="34"/>
      <c r="E505" s="34"/>
      <c r="F505" s="34"/>
      <c r="G505" s="34"/>
      <c r="H505" s="34"/>
      <c r="I505" s="34"/>
      <c r="J505" s="34"/>
      <c r="K505" s="35"/>
      <c r="L505" s="34"/>
      <c r="M505" s="34"/>
    </row>
    <row r="506" spans="2:13" x14ac:dyDescent="0.3">
      <c r="B506" s="33"/>
      <c r="C506" s="34"/>
      <c r="D506" s="34"/>
      <c r="E506" s="34"/>
      <c r="F506" s="34"/>
      <c r="G506" s="34"/>
      <c r="H506" s="34"/>
      <c r="I506" s="34"/>
      <c r="J506" s="34"/>
      <c r="K506" s="35"/>
      <c r="L506" s="34"/>
      <c r="M506" s="34"/>
    </row>
    <row r="507" spans="2:13" x14ac:dyDescent="0.3">
      <c r="B507" s="33"/>
      <c r="C507" s="34"/>
      <c r="D507" s="34"/>
      <c r="E507" s="34"/>
      <c r="F507" s="34"/>
      <c r="G507" s="34"/>
      <c r="H507" s="34"/>
      <c r="I507" s="34"/>
      <c r="J507" s="34"/>
      <c r="K507" s="35"/>
      <c r="L507" s="34"/>
      <c r="M507" s="34"/>
    </row>
    <row r="508" spans="2:13" x14ac:dyDescent="0.3">
      <c r="B508" s="33"/>
      <c r="C508" s="34"/>
      <c r="D508" s="34"/>
      <c r="E508" s="34"/>
      <c r="F508" s="34"/>
      <c r="G508" s="34"/>
      <c r="H508" s="34"/>
      <c r="I508" s="34"/>
      <c r="J508" s="34"/>
      <c r="K508" s="35"/>
      <c r="L508" s="34"/>
      <c r="M508" s="34"/>
    </row>
    <row r="509" spans="2:13" x14ac:dyDescent="0.3">
      <c r="B509" s="33"/>
      <c r="C509" s="34"/>
      <c r="D509" s="34"/>
      <c r="E509" s="34"/>
      <c r="F509" s="34"/>
      <c r="G509" s="34"/>
      <c r="H509" s="34"/>
      <c r="I509" s="34"/>
      <c r="J509" s="34"/>
      <c r="K509" s="35"/>
      <c r="L509" s="34"/>
      <c r="M509" s="34"/>
    </row>
    <row r="510" spans="2:13" x14ac:dyDescent="0.3">
      <c r="B510" s="33"/>
      <c r="C510" s="34"/>
      <c r="D510" s="34"/>
      <c r="E510" s="34"/>
      <c r="F510" s="34"/>
      <c r="G510" s="34"/>
      <c r="H510" s="34"/>
      <c r="I510" s="34"/>
      <c r="J510" s="34"/>
      <c r="K510" s="35"/>
      <c r="L510" s="34"/>
      <c r="M510" s="34"/>
    </row>
    <row r="511" spans="2:13" x14ac:dyDescent="0.3">
      <c r="B511" s="33"/>
      <c r="C511" s="34"/>
      <c r="D511" s="34"/>
      <c r="E511" s="34"/>
      <c r="F511" s="34"/>
      <c r="G511" s="34"/>
      <c r="H511" s="34"/>
      <c r="I511" s="34"/>
      <c r="J511" s="34"/>
      <c r="K511" s="35"/>
      <c r="L511" s="34"/>
      <c r="M511" s="34"/>
    </row>
    <row r="512" spans="2:13" x14ac:dyDescent="0.3">
      <c r="B512" s="33"/>
      <c r="C512" s="34"/>
      <c r="D512" s="34"/>
      <c r="E512" s="34"/>
      <c r="F512" s="34"/>
      <c r="G512" s="34"/>
      <c r="H512" s="34"/>
      <c r="I512" s="34"/>
      <c r="J512" s="34"/>
      <c r="K512" s="35"/>
      <c r="L512" s="34"/>
      <c r="M512" s="34"/>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K768" s="40"/>
    </row>
    <row r="769" spans="11:11" x14ac:dyDescent="0.3">
      <c r="K769" s="40"/>
    </row>
    <row r="770" spans="11:11" x14ac:dyDescent="0.3">
      <c r="K770" s="40"/>
    </row>
    <row r="771" spans="11:11" x14ac:dyDescent="0.3">
      <c r="K771" s="40"/>
    </row>
    <row r="772" spans="11:11" x14ac:dyDescent="0.3">
      <c r="K772" s="40"/>
    </row>
    <row r="773" spans="11:11" x14ac:dyDescent="0.3">
      <c r="K773" s="40"/>
    </row>
    <row r="774" spans="11:11" x14ac:dyDescent="0.3">
      <c r="K774" s="40"/>
    </row>
    <row r="775" spans="11:11" x14ac:dyDescent="0.3">
      <c r="K775" s="40"/>
    </row>
    <row r="776" spans="11:11" x14ac:dyDescent="0.3">
      <c r="K776" s="40"/>
    </row>
    <row r="777" spans="11:11" x14ac:dyDescent="0.3">
      <c r="K777" s="40"/>
    </row>
    <row r="778" spans="11:11" x14ac:dyDescent="0.3">
      <c r="K778" s="40"/>
    </row>
    <row r="779" spans="11:11" x14ac:dyDescent="0.3">
      <c r="K779" s="40"/>
    </row>
    <row r="780" spans="11:11" x14ac:dyDescent="0.3">
      <c r="K780" s="40"/>
    </row>
    <row r="781" spans="11:11" x14ac:dyDescent="0.3">
      <c r="K781" s="40"/>
    </row>
    <row r="782" spans="11:11" x14ac:dyDescent="0.3">
      <c r="K782" s="40"/>
    </row>
    <row r="783" spans="11:11" x14ac:dyDescent="0.3">
      <c r="K783" s="40"/>
    </row>
    <row r="784" spans="11:11"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sheetData>
  <phoneticPr fontId="16" type="noConversion"/>
  <pageMargins left="0.75" right="0.75" top="1" bottom="1" header="0.5" footer="0.5"/>
  <headerFooter alignWithMargins="0"/>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A18" sqref="A18"/>
    </sheetView>
  </sheetViews>
  <sheetFormatPr defaultColWidth="9.08984375" defaultRowHeight="13" x14ac:dyDescent="0.3"/>
  <cols>
    <col min="1" max="1" width="41.81640625" style="17" customWidth="1"/>
    <col min="2" max="2" width="10.81640625" style="50" customWidth="1"/>
    <col min="3" max="3" width="7.81640625" style="51" customWidth="1"/>
    <col min="4" max="4" width="10.81640625" style="50" customWidth="1"/>
    <col min="5" max="5" width="7.81640625" style="50" customWidth="1"/>
    <col min="6" max="6" width="10.81640625" style="17" customWidth="1"/>
    <col min="7" max="7" width="10.0898437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7" x14ac:dyDescent="0.3">
      <c r="A1" s="61" t="s">
        <v>146</v>
      </c>
      <c r="B1" s="50" t="str">
        <f>model</f>
        <v>ME Grain &amp; Pulse</v>
      </c>
    </row>
    <row r="3" spans="1:7" x14ac:dyDescent="0.3">
      <c r="A3" s="7" t="s">
        <v>540</v>
      </c>
      <c r="B3" s="55" t="s">
        <v>92</v>
      </c>
      <c r="C3" s="54">
        <f>clover</f>
        <v>0</v>
      </c>
      <c r="D3" s="17" t="s">
        <v>93</v>
      </c>
      <c r="E3" s="17"/>
      <c r="F3" s="27"/>
      <c r="G3" s="27"/>
    </row>
    <row r="4" spans="1:7" x14ac:dyDescent="0.3">
      <c r="A4" s="7"/>
      <c r="B4" s="55" t="s">
        <v>232</v>
      </c>
      <c r="C4" s="157">
        <f>Data!B160</f>
        <v>3.08</v>
      </c>
      <c r="D4" s="17" t="s">
        <v>235</v>
      </c>
      <c r="E4" s="54">
        <f>(Data!B160*2000)/100</f>
        <v>61.6</v>
      </c>
      <c r="F4" s="17" t="s">
        <v>233</v>
      </c>
    </row>
    <row r="5" spans="1:7" x14ac:dyDescent="0.3">
      <c r="A5" s="7"/>
      <c r="B5" s="55" t="s">
        <v>284</v>
      </c>
      <c r="C5" s="218">
        <f>Data!B155</f>
        <v>75</v>
      </c>
      <c r="D5" s="17" t="s">
        <v>286</v>
      </c>
      <c r="E5" s="17"/>
      <c r="G5" s="50"/>
    </row>
    <row r="7" spans="1:7" ht="15.5" x14ac:dyDescent="0.35">
      <c r="A7" s="751" t="s">
        <v>540</v>
      </c>
      <c r="B7" s="697" t="s">
        <v>76</v>
      </c>
      <c r="C7" s="697"/>
      <c r="D7" s="697" t="s">
        <v>77</v>
      </c>
      <c r="E7" s="698"/>
      <c r="F7" s="697" t="s">
        <v>385</v>
      </c>
    </row>
    <row r="8" spans="1:7" ht="15.5" x14ac:dyDescent="0.35">
      <c r="A8" s="699" t="s">
        <v>362</v>
      </c>
      <c r="B8" s="759">
        <f>C3</f>
        <v>0</v>
      </c>
      <c r="C8" s="701"/>
      <c r="D8" s="702" t="s">
        <v>363</v>
      </c>
      <c r="E8" s="699"/>
      <c r="F8" s="702" t="s">
        <v>363</v>
      </c>
    </row>
    <row r="9" spans="1:7" ht="15.5" x14ac:dyDescent="0.35">
      <c r="A9" s="699" t="s">
        <v>1296</v>
      </c>
      <c r="B9" s="759">
        <f>C4*C3</f>
        <v>0</v>
      </c>
      <c r="C9" s="701"/>
      <c r="D9" s="768">
        <f>C4</f>
        <v>3.08</v>
      </c>
      <c r="E9" s="699"/>
      <c r="F9" s="702" t="s">
        <v>363</v>
      </c>
    </row>
    <row r="10" spans="1:7" ht="15.65" customHeight="1" x14ac:dyDescent="0.35">
      <c r="A10" s="699" t="s">
        <v>542</v>
      </c>
      <c r="B10" s="702" t="s">
        <v>363</v>
      </c>
      <c r="C10" s="716"/>
      <c r="D10" s="702" t="s">
        <v>363</v>
      </c>
      <c r="E10" s="752"/>
      <c r="F10" s="715">
        <f>C5</f>
        <v>75</v>
      </c>
    </row>
    <row r="11" spans="1:7" ht="15.5" x14ac:dyDescent="0.35">
      <c r="A11" s="699"/>
      <c r="B11" s="743"/>
      <c r="C11" s="773"/>
      <c r="D11" s="743"/>
      <c r="E11" s="743"/>
      <c r="F11" s="699"/>
    </row>
    <row r="12" spans="1:7" ht="15" x14ac:dyDescent="0.3">
      <c r="A12" s="709" t="s">
        <v>230</v>
      </c>
      <c r="B12" s="710">
        <f>C4*C5*clover</f>
        <v>0</v>
      </c>
      <c r="C12" s="736"/>
      <c r="D12" s="711" t="e">
        <f>B12/clover</f>
        <v>#DIV/0!</v>
      </c>
      <c r="E12" s="711"/>
      <c r="F12" s="711" t="e">
        <f>B12/($C$4*clover)</f>
        <v>#DIV/0!</v>
      </c>
    </row>
    <row r="13" spans="1:7" ht="15.5" x14ac:dyDescent="0.35">
      <c r="A13" s="699"/>
      <c r="B13" s="721"/>
      <c r="C13" s="775"/>
      <c r="D13" s="716"/>
      <c r="E13" s="716"/>
      <c r="F13" s="752"/>
    </row>
    <row r="14" spans="1:7" ht="15.5" x14ac:dyDescent="0.35">
      <c r="A14" s="709" t="s">
        <v>365</v>
      </c>
      <c r="B14" s="715"/>
      <c r="C14" s="733"/>
      <c r="D14" s="716"/>
      <c r="E14" s="716"/>
      <c r="F14" s="752"/>
    </row>
    <row r="15" spans="1:7" ht="15.5" x14ac:dyDescent="0.35">
      <c r="A15" s="714" t="s">
        <v>13</v>
      </c>
      <c r="B15" s="715">
        <f>CvrOprC!H8</f>
        <v>0</v>
      </c>
      <c r="C15" s="733"/>
      <c r="D15" s="716" t="e">
        <f t="shared" ref="D15:D25" si="0">B15/clover</f>
        <v>#DIV/0!</v>
      </c>
      <c r="E15" s="715"/>
      <c r="F15" s="716" t="e">
        <f t="shared" ref="F15:F25" si="1">B15/($C$4*clover)</f>
        <v>#DIV/0!</v>
      </c>
    </row>
    <row r="16" spans="1:7" ht="15.5" x14ac:dyDescent="0.35">
      <c r="A16" s="714" t="s">
        <v>1</v>
      </c>
      <c r="B16" s="715">
        <f>SUM(CvrOprC!H10:H11)</f>
        <v>0</v>
      </c>
      <c r="C16" s="733"/>
      <c r="D16" s="715" t="e">
        <f t="shared" si="0"/>
        <v>#DIV/0!</v>
      </c>
      <c r="E16" s="715"/>
      <c r="F16" s="715" t="e">
        <f t="shared" si="1"/>
        <v>#DIV/0!</v>
      </c>
    </row>
    <row r="17" spans="1:6" ht="15.5" x14ac:dyDescent="0.35">
      <c r="A17" s="714" t="s">
        <v>2</v>
      </c>
      <c r="B17" s="715">
        <f>CvrOprC!H12</f>
        <v>0</v>
      </c>
      <c r="C17" s="733"/>
      <c r="D17" s="716" t="e">
        <f t="shared" si="0"/>
        <v>#DIV/0!</v>
      </c>
      <c r="E17" s="716"/>
      <c r="F17" s="716" t="e">
        <f t="shared" si="1"/>
        <v>#DIV/0!</v>
      </c>
    </row>
    <row r="18" spans="1:6" ht="15.5" x14ac:dyDescent="0.35">
      <c r="A18" s="714" t="s">
        <v>1476</v>
      </c>
      <c r="B18" s="699"/>
      <c r="C18" s="699"/>
      <c r="D18" s="699"/>
      <c r="E18" s="699"/>
      <c r="F18" s="699"/>
    </row>
    <row r="19" spans="1:6" ht="15.5" x14ac:dyDescent="0.35">
      <c r="A19" s="714" t="s">
        <v>1119</v>
      </c>
      <c r="B19" s="745">
        <f>SUM(CvrOprC!H13:H14)</f>
        <v>0</v>
      </c>
      <c r="C19" s="776"/>
      <c r="D19" s="745" t="e">
        <f>B19/clover</f>
        <v>#DIV/0!</v>
      </c>
      <c r="E19" s="745"/>
      <c r="F19" s="745" t="e">
        <f>B19/($C$4*clover)</f>
        <v>#DIV/0!</v>
      </c>
    </row>
    <row r="20" spans="1:6" ht="15.5" x14ac:dyDescent="0.35">
      <c r="A20" s="714" t="s">
        <v>1120</v>
      </c>
      <c r="B20" s="745">
        <f>CvrOprC!H15</f>
        <v>0</v>
      </c>
      <c r="C20" s="776"/>
      <c r="D20" s="745" t="e">
        <f>B20/clover</f>
        <v>#DIV/0!</v>
      </c>
      <c r="E20" s="745"/>
      <c r="F20" s="745" t="e">
        <f>B20/($C$4*clover)</f>
        <v>#DIV/0!</v>
      </c>
    </row>
    <row r="21" spans="1:6" ht="15.5" x14ac:dyDescent="0.35">
      <c r="A21" s="714" t="s">
        <v>14</v>
      </c>
      <c r="B21" s="715">
        <f>SUM(CvrOprC!H17:H51)</f>
        <v>0</v>
      </c>
      <c r="C21" s="733"/>
      <c r="D21" s="716" t="e">
        <f t="shared" si="0"/>
        <v>#DIV/0!</v>
      </c>
      <c r="E21" s="716"/>
      <c r="F21" s="716" t="e">
        <f t="shared" si="1"/>
        <v>#DIV/0!</v>
      </c>
    </row>
    <row r="22" spans="1:6" ht="15.5" x14ac:dyDescent="0.35">
      <c r="A22" s="714" t="s">
        <v>169</v>
      </c>
      <c r="B22" s="715">
        <f>SUM(CvrOprC!H53:H88)</f>
        <v>0</v>
      </c>
      <c r="C22" s="733"/>
      <c r="D22" s="716" t="e">
        <f t="shared" si="0"/>
        <v>#DIV/0!</v>
      </c>
      <c r="E22" s="716"/>
      <c r="F22" s="716" t="e">
        <f t="shared" si="1"/>
        <v>#DIV/0!</v>
      </c>
    </row>
    <row r="23" spans="1:6" ht="15.5" x14ac:dyDescent="0.35">
      <c r="A23" s="714" t="s">
        <v>78</v>
      </c>
      <c r="B23" s="715">
        <f>SUM(CvrOprC!H89:H90)</f>
        <v>0</v>
      </c>
      <c r="C23" s="733"/>
      <c r="D23" s="716" t="e">
        <f t="shared" si="0"/>
        <v>#DIV/0!</v>
      </c>
      <c r="E23" s="716"/>
      <c r="F23" s="716" t="e">
        <f t="shared" si="1"/>
        <v>#DIV/0!</v>
      </c>
    </row>
    <row r="24" spans="1:6" ht="15.5" x14ac:dyDescent="0.35">
      <c r="A24" s="714" t="s">
        <v>170</v>
      </c>
      <c r="B24" s="732">
        <f>CvrOprC!H91</f>
        <v>0</v>
      </c>
      <c r="C24" s="733"/>
      <c r="D24" s="715" t="e">
        <f t="shared" si="0"/>
        <v>#DIV/0!</v>
      </c>
      <c r="E24" s="715"/>
      <c r="F24" s="715" t="e">
        <f t="shared" si="1"/>
        <v>#DIV/0!</v>
      </c>
    </row>
    <row r="25" spans="1:6" ht="15.5" x14ac:dyDescent="0.35">
      <c r="A25" s="714" t="s">
        <v>171</v>
      </c>
      <c r="B25" s="732">
        <f>SUM(CvrOprC!H92:H93)</f>
        <v>0</v>
      </c>
      <c r="C25" s="733"/>
      <c r="D25" s="716" t="e">
        <f t="shared" si="0"/>
        <v>#DIV/0!</v>
      </c>
      <c r="E25" s="716"/>
      <c r="F25" s="716" t="e">
        <f t="shared" si="1"/>
        <v>#DIV/0!</v>
      </c>
    </row>
    <row r="26" spans="1:6" ht="15.5" x14ac:dyDescent="0.35">
      <c r="A26" s="714" t="s">
        <v>172</v>
      </c>
      <c r="B26" s="699"/>
      <c r="C26" s="699"/>
      <c r="D26" s="699"/>
      <c r="E26" s="699"/>
      <c r="F26" s="699"/>
    </row>
    <row r="27" spans="1:6" ht="15.5" x14ac:dyDescent="0.35">
      <c r="A27" s="734" t="s">
        <v>378</v>
      </c>
      <c r="B27" s="753">
        <f>CvrOprC!H95</f>
        <v>0</v>
      </c>
      <c r="C27" s="699"/>
      <c r="D27" s="716" t="e">
        <f t="shared" ref="D27:D33" si="2">B27/clover</f>
        <v>#DIV/0!</v>
      </c>
      <c r="E27" s="752"/>
      <c r="F27" s="716" t="e">
        <f t="shared" ref="F27:F33" si="3">B27/($C$4*clover)</f>
        <v>#DIV/0!</v>
      </c>
    </row>
    <row r="28" spans="1:6" ht="15.5" x14ac:dyDescent="0.35">
      <c r="A28" s="734" t="s">
        <v>379</v>
      </c>
      <c r="B28" s="753">
        <f>CvrOprC!H96</f>
        <v>0</v>
      </c>
      <c r="C28" s="699"/>
      <c r="D28" s="715" t="e">
        <f t="shared" si="2"/>
        <v>#DIV/0!</v>
      </c>
      <c r="E28" s="753"/>
      <c r="F28" s="715" t="e">
        <f t="shared" si="3"/>
        <v>#DIV/0!</v>
      </c>
    </row>
    <row r="29" spans="1:6" ht="15.5" x14ac:dyDescent="0.35">
      <c r="A29" s="734" t="s">
        <v>380</v>
      </c>
      <c r="B29" s="732">
        <f>SUM(CvrOprC!H98:H99)</f>
        <v>0</v>
      </c>
      <c r="C29" s="733"/>
      <c r="D29" s="716" t="e">
        <f t="shared" si="2"/>
        <v>#DIV/0!</v>
      </c>
      <c r="E29" s="752"/>
      <c r="F29" s="716" t="e">
        <f t="shared" si="3"/>
        <v>#DIV/0!</v>
      </c>
    </row>
    <row r="30" spans="1:6" ht="15.5" x14ac:dyDescent="0.35">
      <c r="A30" s="734" t="s">
        <v>381</v>
      </c>
      <c r="B30" s="732">
        <f>CvrOprC!H100</f>
        <v>0</v>
      </c>
      <c r="C30" s="733"/>
      <c r="D30" s="715" t="e">
        <f t="shared" si="2"/>
        <v>#DIV/0!</v>
      </c>
      <c r="E30" s="753"/>
      <c r="F30" s="715" t="e">
        <f t="shared" si="3"/>
        <v>#DIV/0!</v>
      </c>
    </row>
    <row r="31" spans="1:6" ht="15.5" x14ac:dyDescent="0.35">
      <c r="A31" s="734" t="s">
        <v>382</v>
      </c>
      <c r="B31" s="732">
        <f>CvrOprC!H101</f>
        <v>0</v>
      </c>
      <c r="C31" s="733"/>
      <c r="D31" s="715" t="e">
        <f t="shared" si="2"/>
        <v>#DIV/0!</v>
      </c>
      <c r="E31" s="753"/>
      <c r="F31" s="715" t="e">
        <f t="shared" si="3"/>
        <v>#DIV/0!</v>
      </c>
    </row>
    <row r="32" spans="1:6" ht="15.5" x14ac:dyDescent="0.35">
      <c r="A32" s="734" t="s">
        <v>383</v>
      </c>
      <c r="B32" s="732">
        <f>SUM(CvrOprC!H108:H110)</f>
        <v>0</v>
      </c>
      <c r="C32" s="733"/>
      <c r="D32" s="715" t="e">
        <f t="shared" si="2"/>
        <v>#DIV/0!</v>
      </c>
      <c r="E32" s="753"/>
      <c r="F32" s="715" t="e">
        <f t="shared" si="3"/>
        <v>#DIV/0!</v>
      </c>
    </row>
    <row r="33" spans="1:12" ht="15.5" x14ac:dyDescent="0.35">
      <c r="A33" s="714" t="s">
        <v>69</v>
      </c>
      <c r="B33" s="732">
        <f>CvrOprC!H114</f>
        <v>0</v>
      </c>
      <c r="C33" s="733"/>
      <c r="D33" s="716" t="e">
        <f t="shared" si="2"/>
        <v>#DIV/0!</v>
      </c>
      <c r="E33" s="733"/>
      <c r="F33" s="716" t="e">
        <f t="shared" si="3"/>
        <v>#DIV/0!</v>
      </c>
    </row>
    <row r="34" spans="1:12" ht="15" x14ac:dyDescent="0.3">
      <c r="A34" s="709" t="s">
        <v>366</v>
      </c>
      <c r="B34" s="735">
        <f>SUM(B15:B33)</f>
        <v>0</v>
      </c>
      <c r="C34" s="736"/>
      <c r="D34" s="736" t="e">
        <f>SUM(D15:D33)</f>
        <v>#DIV/0!</v>
      </c>
      <c r="E34" s="736"/>
      <c r="F34" s="736" t="e">
        <f>SUM(F15:F33)</f>
        <v>#DIV/0!</v>
      </c>
    </row>
    <row r="35" spans="1:12" ht="15.5" x14ac:dyDescent="0.35">
      <c r="A35" s="738"/>
      <c r="B35" s="732"/>
      <c r="C35" s="733"/>
      <c r="D35" s="733"/>
      <c r="E35" s="733"/>
      <c r="F35" s="757"/>
    </row>
    <row r="36" spans="1:12" ht="15.5" x14ac:dyDescent="0.35">
      <c r="A36" s="709" t="s">
        <v>367</v>
      </c>
      <c r="B36" s="732"/>
      <c r="C36" s="733"/>
      <c r="D36" s="733"/>
      <c r="E36" s="733"/>
      <c r="F36" s="757"/>
      <c r="I36" s="52"/>
    </row>
    <row r="37" spans="1:12" ht="15.5" x14ac:dyDescent="0.35">
      <c r="A37" s="714" t="s">
        <v>29</v>
      </c>
      <c r="B37" s="732"/>
      <c r="C37" s="733"/>
      <c r="D37" s="716"/>
      <c r="E37" s="733"/>
      <c r="F37" s="716"/>
      <c r="H37" s="764" t="s">
        <v>29</v>
      </c>
    </row>
    <row r="38" spans="1:12" ht="15.5" x14ac:dyDescent="0.35">
      <c r="A38" s="734" t="s">
        <v>1240</v>
      </c>
      <c r="B38" s="732">
        <f>SUM(CvrOwnC!H8:H12)</f>
        <v>0</v>
      </c>
      <c r="C38" s="733"/>
      <c r="D38" s="716" t="e">
        <f t="shared" ref="D38:D50" si="4">B38/clover</f>
        <v>#DIV/0!</v>
      </c>
      <c r="E38" s="733"/>
      <c r="F38" s="716" t="e">
        <f t="shared" ref="F38:F50" si="5">B38/($C$4*clover)</f>
        <v>#DIV/0!</v>
      </c>
      <c r="H38" s="697" t="s">
        <v>76</v>
      </c>
      <c r="I38" s="697"/>
      <c r="J38" s="697" t="s">
        <v>77</v>
      </c>
      <c r="K38" s="698"/>
      <c r="L38" s="697" t="s">
        <v>385</v>
      </c>
    </row>
    <row r="39" spans="1:12" ht="15.5" x14ac:dyDescent="0.35">
      <c r="A39" s="734" t="s">
        <v>1241</v>
      </c>
      <c r="B39" s="732">
        <f>SUM(CvrOwnC!H13:H15)</f>
        <v>0</v>
      </c>
      <c r="C39" s="733"/>
      <c r="D39" s="716" t="e">
        <f t="shared" si="4"/>
        <v>#DIV/0!</v>
      </c>
      <c r="E39" s="733"/>
      <c r="F39" s="716" t="e">
        <f t="shared" si="5"/>
        <v>#DIV/0!</v>
      </c>
      <c r="H39" s="763">
        <f>SUM(B38:B49)</f>
        <v>0</v>
      </c>
      <c r="J39" s="756" t="e">
        <f>SUM(D38:D49)</f>
        <v>#DIV/0!</v>
      </c>
      <c r="L39" s="756" t="e">
        <f>SUM(F38:F49)</f>
        <v>#DIV/0!</v>
      </c>
    </row>
    <row r="40" spans="1:12" ht="15.5" x14ac:dyDescent="0.35">
      <c r="A40" s="734" t="s">
        <v>1243</v>
      </c>
      <c r="B40" s="732">
        <f>0</f>
        <v>0</v>
      </c>
      <c r="C40" s="733"/>
      <c r="D40" s="715" t="e">
        <f t="shared" si="4"/>
        <v>#DIV/0!</v>
      </c>
      <c r="E40" s="732"/>
      <c r="F40" s="715" t="e">
        <f t="shared" si="5"/>
        <v>#DIV/0!</v>
      </c>
    </row>
    <row r="41" spans="1:12" ht="15.5" x14ac:dyDescent="0.35">
      <c r="A41" s="734" t="s">
        <v>1242</v>
      </c>
      <c r="B41" s="732">
        <f>SUM(CvrOwnC!H16:H18)</f>
        <v>0</v>
      </c>
      <c r="C41" s="733"/>
      <c r="D41" s="715" t="e">
        <f t="shared" si="4"/>
        <v>#DIV/0!</v>
      </c>
      <c r="E41" s="732"/>
      <c r="F41" s="715" t="e">
        <f t="shared" si="5"/>
        <v>#DIV/0!</v>
      </c>
    </row>
    <row r="42" spans="1:12" ht="15.5" x14ac:dyDescent="0.35">
      <c r="A42" s="734" t="s">
        <v>1244</v>
      </c>
      <c r="B42" s="732">
        <f>0</f>
        <v>0</v>
      </c>
      <c r="C42" s="733"/>
      <c r="D42" s="715" t="e">
        <f t="shared" si="4"/>
        <v>#DIV/0!</v>
      </c>
      <c r="E42" s="732"/>
      <c r="F42" s="715" t="e">
        <f t="shared" si="5"/>
        <v>#DIV/0!</v>
      </c>
    </row>
    <row r="43" spans="1:12" ht="15.5" x14ac:dyDescent="0.35">
      <c r="A43" s="734" t="s">
        <v>1245</v>
      </c>
      <c r="B43" s="732">
        <f>0</f>
        <v>0</v>
      </c>
      <c r="C43" s="733"/>
      <c r="D43" s="715" t="e">
        <f t="shared" si="4"/>
        <v>#DIV/0!</v>
      </c>
      <c r="E43" s="732"/>
      <c r="F43" s="715" t="e">
        <f t="shared" si="5"/>
        <v>#DIV/0!</v>
      </c>
    </row>
    <row r="44" spans="1:12" ht="15.5" x14ac:dyDescent="0.35">
      <c r="A44" s="734" t="s">
        <v>1246</v>
      </c>
      <c r="B44" s="732">
        <f>SUM(CvrOwnC!H19:H26)</f>
        <v>0</v>
      </c>
      <c r="C44" s="733"/>
      <c r="D44" s="716" t="e">
        <f t="shared" si="4"/>
        <v>#DIV/0!</v>
      </c>
      <c r="E44" s="733"/>
      <c r="F44" s="716" t="e">
        <f t="shared" si="5"/>
        <v>#DIV/0!</v>
      </c>
    </row>
    <row r="45" spans="1:12" ht="15.5" x14ac:dyDescent="0.35">
      <c r="A45" s="734" t="s">
        <v>1247</v>
      </c>
      <c r="B45" s="732">
        <f>SUM(CvrOwnC!H27:H30)</f>
        <v>0</v>
      </c>
      <c r="C45" s="733"/>
      <c r="D45" s="716" t="e">
        <f t="shared" si="4"/>
        <v>#DIV/0!</v>
      </c>
      <c r="E45" s="733"/>
      <c r="F45" s="716" t="e">
        <f t="shared" si="5"/>
        <v>#DIV/0!</v>
      </c>
    </row>
    <row r="46" spans="1:12" ht="15.5" x14ac:dyDescent="0.35">
      <c r="A46" s="734" t="s">
        <v>1250</v>
      </c>
      <c r="B46" s="732">
        <f>0</f>
        <v>0</v>
      </c>
      <c r="C46" s="733"/>
      <c r="D46" s="715" t="e">
        <f t="shared" si="4"/>
        <v>#DIV/0!</v>
      </c>
      <c r="E46" s="732"/>
      <c r="F46" s="715" t="e">
        <f t="shared" si="5"/>
        <v>#DIV/0!</v>
      </c>
    </row>
    <row r="47" spans="1:12" ht="15.5" x14ac:dyDescent="0.35">
      <c r="A47" s="734" t="s">
        <v>1304</v>
      </c>
      <c r="B47" s="732">
        <f>0</f>
        <v>0</v>
      </c>
      <c r="C47" s="733"/>
      <c r="D47" s="715" t="e">
        <f t="shared" si="4"/>
        <v>#DIV/0!</v>
      </c>
      <c r="E47" s="732"/>
      <c r="F47" s="715" t="e">
        <f t="shared" si="5"/>
        <v>#DIV/0!</v>
      </c>
    </row>
    <row r="48" spans="1:12" ht="15.5" x14ac:dyDescent="0.35">
      <c r="A48" s="734" t="s">
        <v>1248</v>
      </c>
      <c r="B48" s="732">
        <f>SUM(CvrOwnC!H31:H32)</f>
        <v>0</v>
      </c>
      <c r="C48" s="733"/>
      <c r="D48" s="716" t="e">
        <f t="shared" si="4"/>
        <v>#DIV/0!</v>
      </c>
      <c r="E48" s="733"/>
      <c r="F48" s="716" t="e">
        <f t="shared" si="5"/>
        <v>#DIV/0!</v>
      </c>
    </row>
    <row r="49" spans="1:6" ht="15.5" x14ac:dyDescent="0.35">
      <c r="A49" s="734" t="s">
        <v>1249</v>
      </c>
      <c r="B49" s="732">
        <f>SUM(CvrOwnC!H33:H35)</f>
        <v>0</v>
      </c>
      <c r="C49" s="733"/>
      <c r="D49" s="716" t="e">
        <f t="shared" si="4"/>
        <v>#DIV/0!</v>
      </c>
      <c r="E49" s="733"/>
      <c r="F49" s="716" t="e">
        <f t="shared" si="5"/>
        <v>#DIV/0!</v>
      </c>
    </row>
    <row r="50" spans="1:6" ht="15.5" x14ac:dyDescent="0.35">
      <c r="A50" s="714" t="s">
        <v>79</v>
      </c>
      <c r="B50" s="732">
        <f>CvrOwnC!L43</f>
        <v>0</v>
      </c>
      <c r="C50" s="733"/>
      <c r="D50" s="716" t="e">
        <f t="shared" si="4"/>
        <v>#DIV/0!</v>
      </c>
      <c r="E50" s="733"/>
      <c r="F50" s="716" t="e">
        <f t="shared" si="5"/>
        <v>#DIV/0!</v>
      </c>
    </row>
    <row r="51" spans="1:6" ht="15" x14ac:dyDescent="0.3">
      <c r="A51" s="709" t="s">
        <v>368</v>
      </c>
      <c r="B51" s="735">
        <f>SUM(B37:B50)</f>
        <v>0</v>
      </c>
      <c r="C51" s="736"/>
      <c r="D51" s="736" t="e">
        <f>SUM(D37:D50)</f>
        <v>#DIV/0!</v>
      </c>
      <c r="E51" s="736"/>
      <c r="F51" s="736" t="e">
        <f>SUM(F37:F50)</f>
        <v>#DIV/0!</v>
      </c>
    </row>
    <row r="52" spans="1:6" ht="15.5" x14ac:dyDescent="0.35">
      <c r="A52" s="699"/>
      <c r="B52" s="735"/>
      <c r="C52" s="736"/>
      <c r="D52" s="736"/>
      <c r="E52" s="736"/>
      <c r="F52" s="758"/>
    </row>
    <row r="53" spans="1:6" ht="15" x14ac:dyDescent="0.3">
      <c r="A53" s="709" t="s">
        <v>80</v>
      </c>
      <c r="B53" s="735">
        <f>B51+B34</f>
        <v>0</v>
      </c>
      <c r="C53" s="736"/>
      <c r="D53" s="736" t="e">
        <f>D51+D34</f>
        <v>#DIV/0!</v>
      </c>
      <c r="E53" s="736"/>
      <c r="F53" s="736" t="e">
        <f>F51+F34</f>
        <v>#DIV/0!</v>
      </c>
    </row>
    <row r="54" spans="1:6" ht="15.5" x14ac:dyDescent="0.35">
      <c r="A54" s="742"/>
      <c r="B54" s="735"/>
      <c r="C54" s="736"/>
      <c r="D54" s="736"/>
      <c r="E54" s="736"/>
      <c r="F54" s="736"/>
    </row>
    <row r="55" spans="1:6" ht="15" x14ac:dyDescent="0.3">
      <c r="A55" s="709" t="s">
        <v>355</v>
      </c>
      <c r="B55" s="710">
        <f>B12-B53</f>
        <v>0</v>
      </c>
      <c r="C55" s="736"/>
      <c r="D55" s="711" t="e">
        <f>D12-D53</f>
        <v>#DIV/0!</v>
      </c>
      <c r="E55" s="736"/>
      <c r="F55" s="711" t="e">
        <f>F12-F53</f>
        <v>#DIV/0!</v>
      </c>
    </row>
    <row r="56" spans="1:6" ht="15" x14ac:dyDescent="0.3">
      <c r="A56" s="709" t="s">
        <v>356</v>
      </c>
      <c r="B56" s="735">
        <f>B12-B34</f>
        <v>0</v>
      </c>
      <c r="C56" s="736"/>
      <c r="D56" s="736" t="e">
        <f>D12-D34</f>
        <v>#DIV/0!</v>
      </c>
      <c r="E56" s="736"/>
      <c r="F56" s="736" t="e">
        <f>F12-F34</f>
        <v>#DIV/0!</v>
      </c>
    </row>
    <row r="57" spans="1:6" ht="15.5" x14ac:dyDescent="0.35">
      <c r="A57" s="699"/>
      <c r="B57" s="743"/>
      <c r="C57" s="743"/>
      <c r="D57" s="743"/>
      <c r="E57" s="699"/>
      <c r="F57" s="699"/>
    </row>
    <row r="58" spans="1:6" ht="15.5" x14ac:dyDescent="0.35">
      <c r="A58" s="709" t="s">
        <v>234</v>
      </c>
      <c r="B58" s="743"/>
      <c r="C58" s="743"/>
      <c r="D58" s="743"/>
      <c r="E58" s="699"/>
      <c r="F58" s="699"/>
    </row>
    <row r="59" spans="1:6" ht="12.75" customHeight="1" x14ac:dyDescent="0.35">
      <c r="A59" s="744" t="s">
        <v>369</v>
      </c>
      <c r="B59" s="703" t="s">
        <v>76</v>
      </c>
      <c r="C59" s="743"/>
      <c r="D59" s="703" t="s">
        <v>393</v>
      </c>
      <c r="E59" s="703"/>
      <c r="F59" s="703" t="s">
        <v>396</v>
      </c>
    </row>
    <row r="60" spans="1:6" ht="15.5" x14ac:dyDescent="0.35">
      <c r="A60" s="714" t="s">
        <v>370</v>
      </c>
      <c r="B60" s="745">
        <f>B53</f>
        <v>0</v>
      </c>
      <c r="C60" s="743"/>
      <c r="D60" s="716" t="e">
        <f>$B$53/clover</f>
        <v>#DIV/0!</v>
      </c>
      <c r="E60" s="752"/>
      <c r="F60" s="716" t="e">
        <f>$B$53/($C$4*clover)</f>
        <v>#DIV/0!</v>
      </c>
    </row>
    <row r="61" spans="1:6" ht="15.5" x14ac:dyDescent="0.35">
      <c r="A61" s="714" t="s">
        <v>371</v>
      </c>
      <c r="B61" s="745">
        <f>B34</f>
        <v>0</v>
      </c>
      <c r="C61" s="743"/>
      <c r="D61" s="716" t="e">
        <f>$B$34/clover</f>
        <v>#DIV/0!</v>
      </c>
      <c r="E61" s="752"/>
      <c r="F61" s="716" t="e">
        <f>$B$34/($C$4*clover)</f>
        <v>#DIV/0!</v>
      </c>
    </row>
    <row r="62" spans="1:6" ht="15.5" x14ac:dyDescent="0.35">
      <c r="A62" s="714"/>
      <c r="B62" s="743"/>
      <c r="C62" s="743"/>
      <c r="D62" s="716"/>
      <c r="E62" s="752"/>
      <c r="F62" s="716"/>
    </row>
    <row r="63" spans="1:6" ht="15.5" x14ac:dyDescent="0.35">
      <c r="A63" s="744" t="s">
        <v>1099</v>
      </c>
      <c r="B63" s="703" t="s">
        <v>1100</v>
      </c>
      <c r="C63" s="743"/>
      <c r="D63" s="716"/>
      <c r="E63" s="752"/>
      <c r="F63" s="716"/>
    </row>
    <row r="64" spans="1:6" ht="15.5" x14ac:dyDescent="0.35">
      <c r="A64" s="714" t="s">
        <v>1101</v>
      </c>
      <c r="B64" s="746" t="e">
        <f>B55/SUM(CvrOprC!E17:E52)</f>
        <v>#DIV/0!</v>
      </c>
      <c r="C64" s="743"/>
      <c r="D64" s="716"/>
      <c r="E64" s="752"/>
      <c r="F64" s="716"/>
    </row>
    <row r="65" spans="1:6" ht="15.5" x14ac:dyDescent="0.35">
      <c r="A65" s="714" t="s">
        <v>1102</v>
      </c>
      <c r="B65" s="746" t="e">
        <f>B56/SUM(CvrOprC!E17:E52)</f>
        <v>#DIV/0!</v>
      </c>
      <c r="C65" s="743"/>
      <c r="D65" s="716"/>
      <c r="E65" s="752"/>
      <c r="F65" s="716"/>
    </row>
    <row r="66" spans="1:6" ht="15.5" x14ac:dyDescent="0.35">
      <c r="A66" s="747"/>
      <c r="B66" s="748"/>
      <c r="C66" s="748"/>
      <c r="D66" s="748"/>
      <c r="E66" s="748"/>
      <c r="F66" s="747"/>
    </row>
  </sheetData>
  <phoneticPr fontId="16" type="noConversion"/>
  <pageMargins left="0.75" right="0.75" top="1" bottom="1" header="0.5" footer="0.5"/>
  <headerFooter alignWithMargins="0"/>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38"/>
  <sheetViews>
    <sheetView workbookViewId="0">
      <pane ySplit="6" topLeftCell="A16" activePane="bottomLeft" state="frozen"/>
      <selection pane="bottomLeft" activeCell="M23" sqref="M23"/>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54296875" style="17" customWidth="1"/>
    <col min="9" max="9" width="9.6328125" style="17" customWidth="1"/>
    <col min="10" max="10" width="12.6328125" style="17" customWidth="1"/>
    <col min="11" max="16384" width="9.08984375" style="17"/>
  </cols>
  <sheetData>
    <row r="1" spans="1:13" x14ac:dyDescent="0.3">
      <c r="A1" s="61" t="s">
        <v>146</v>
      </c>
      <c r="B1" s="17" t="str">
        <f>model</f>
        <v>ME Grain &amp; Pulse</v>
      </c>
      <c r="F1" s="341" t="s">
        <v>1045</v>
      </c>
      <c r="G1" s="339"/>
    </row>
    <row r="2" spans="1:13" x14ac:dyDescent="0.3">
      <c r="F2" s="304">
        <v>1</v>
      </c>
      <c r="G2" s="340"/>
    </row>
    <row r="3" spans="1:13" x14ac:dyDescent="0.3">
      <c r="A3" s="7" t="s">
        <v>489</v>
      </c>
      <c r="B3" s="8" t="s">
        <v>92</v>
      </c>
      <c r="C3" s="86">
        <f>graze</f>
        <v>0</v>
      </c>
      <c r="D3" s="4" t="s">
        <v>93</v>
      </c>
      <c r="F3" s="4" t="s">
        <v>907</v>
      </c>
    </row>
    <row r="4" spans="1:13" x14ac:dyDescent="0.3">
      <c r="F4" s="338" t="s">
        <v>742</v>
      </c>
      <c r="G4" s="339"/>
    </row>
    <row r="5" spans="1:13" ht="13.5" x14ac:dyDescent="0.35">
      <c r="A5" s="5" t="s">
        <v>0</v>
      </c>
      <c r="F5" s="304">
        <v>5</v>
      </c>
      <c r="G5" s="340" t="s">
        <v>562</v>
      </c>
    </row>
    <row r="6" spans="1:13" s="27" customFormat="1" ht="25.5" customHeight="1" x14ac:dyDescent="0.3">
      <c r="A6" s="41"/>
      <c r="B6" s="391" t="s">
        <v>919</v>
      </c>
      <c r="C6" s="42" t="s">
        <v>21</v>
      </c>
      <c r="D6" s="42" t="s">
        <v>22</v>
      </c>
      <c r="E6" s="227" t="s">
        <v>900</v>
      </c>
      <c r="F6" s="42" t="s">
        <v>23</v>
      </c>
      <c r="G6" s="42" t="s">
        <v>24</v>
      </c>
      <c r="H6" s="42" t="s">
        <v>65</v>
      </c>
    </row>
    <row r="7" spans="1:13" x14ac:dyDescent="0.3">
      <c r="A7" s="3" t="s">
        <v>13</v>
      </c>
      <c r="B7" s="3"/>
    </row>
    <row r="8" spans="1:13" x14ac:dyDescent="0.3">
      <c r="A8" s="342" t="s">
        <v>709</v>
      </c>
      <c r="B8" s="397">
        <v>1</v>
      </c>
      <c r="C8" s="363">
        <v>8</v>
      </c>
      <c r="D8" s="288" t="s">
        <v>220</v>
      </c>
      <c r="E8" s="344">
        <f>C8*graze</f>
        <v>0</v>
      </c>
      <c r="F8" s="283">
        <v>1.6</v>
      </c>
      <c r="G8" s="345">
        <f>C8*F8</f>
        <v>12.8</v>
      </c>
      <c r="H8" s="346">
        <f>(B8*G8*graze)/$F$5</f>
        <v>0</v>
      </c>
      <c r="J8" s="204"/>
      <c r="K8" s="98"/>
    </row>
    <row r="9" spans="1:13" x14ac:dyDescent="0.3">
      <c r="A9" s="342" t="s">
        <v>710</v>
      </c>
      <c r="B9" s="397">
        <v>1</v>
      </c>
      <c r="C9" s="278">
        <f>C8/3</f>
        <v>2.6666666666666665</v>
      </c>
      <c r="D9" s="288" t="s">
        <v>220</v>
      </c>
      <c r="E9" s="344">
        <f>C9*graze</f>
        <v>0</v>
      </c>
      <c r="F9" s="283">
        <v>3.6</v>
      </c>
      <c r="G9" s="345">
        <f>C9*F9</f>
        <v>9.6</v>
      </c>
      <c r="H9" s="346">
        <f>(B9*G9*graze)/$F$5</f>
        <v>0</v>
      </c>
      <c r="I9" s="108">
        <f>SUM(H8:H9)</f>
        <v>0</v>
      </c>
      <c r="J9" s="204"/>
      <c r="K9" s="98"/>
    </row>
    <row r="10" spans="1:13" x14ac:dyDescent="0.3">
      <c r="A10" s="3" t="s">
        <v>1</v>
      </c>
      <c r="B10" s="3"/>
      <c r="C10" s="60"/>
      <c r="D10" s="34"/>
      <c r="E10" s="34"/>
      <c r="F10" s="104"/>
      <c r="G10" s="104"/>
      <c r="H10" s="114"/>
      <c r="I10" s="114"/>
      <c r="J10" s="114"/>
    </row>
    <row r="11" spans="1:13" x14ac:dyDescent="0.3">
      <c r="A11" s="22" t="s">
        <v>490</v>
      </c>
      <c r="B11" s="397">
        <v>1</v>
      </c>
      <c r="C11" s="273">
        <f>0</f>
        <v>0</v>
      </c>
      <c r="D11" s="34" t="s">
        <v>26</v>
      </c>
      <c r="E11" s="226">
        <f>C11*graze</f>
        <v>0</v>
      </c>
      <c r="F11" s="608">
        <v>575</v>
      </c>
      <c r="G11" s="110">
        <f>C11*F11</f>
        <v>0</v>
      </c>
      <c r="H11" s="110">
        <f>B11*G11*graze</f>
        <v>0</v>
      </c>
      <c r="I11" s="114"/>
      <c r="J11" s="114"/>
    </row>
    <row r="12" spans="1:13" x14ac:dyDescent="0.3">
      <c r="A12" s="6" t="s">
        <v>266</v>
      </c>
      <c r="B12" s="397">
        <v>1</v>
      </c>
      <c r="C12" s="273">
        <f>0</f>
        <v>0</v>
      </c>
      <c r="D12" s="34" t="s">
        <v>26</v>
      </c>
      <c r="E12" s="226">
        <f>C12*graze</f>
        <v>0</v>
      </c>
      <c r="F12" s="608">
        <v>600</v>
      </c>
      <c r="G12" s="110">
        <f>C12*F12</f>
        <v>0</v>
      </c>
      <c r="H12" s="110">
        <f>B12*G12*graze</f>
        <v>0</v>
      </c>
      <c r="I12" s="110">
        <f>SUM(H11:H12)</f>
        <v>0</v>
      </c>
      <c r="J12" s="114"/>
    </row>
    <row r="13" spans="1:13" x14ac:dyDescent="0.3">
      <c r="A13" s="6" t="s">
        <v>2</v>
      </c>
      <c r="B13" s="397">
        <v>1</v>
      </c>
      <c r="C13" s="273">
        <f>0</f>
        <v>0</v>
      </c>
      <c r="D13" s="34" t="s">
        <v>26</v>
      </c>
      <c r="E13" s="226">
        <f>C13*graze</f>
        <v>0</v>
      </c>
      <c r="F13" s="109">
        <f>lime</f>
        <v>38.260869565217391</v>
      </c>
      <c r="G13" s="110">
        <f>C13*F13</f>
        <v>0</v>
      </c>
      <c r="H13" s="110">
        <f>B13*G13*graze</f>
        <v>0</v>
      </c>
      <c r="I13" s="110"/>
      <c r="J13" s="110"/>
    </row>
    <row r="14" spans="1:13" x14ac:dyDescent="0.3">
      <c r="A14" s="3" t="s">
        <v>1476</v>
      </c>
      <c r="B14" s="3"/>
      <c r="C14" s="46"/>
      <c r="D14" s="34"/>
      <c r="E14" s="34"/>
      <c r="F14" s="104"/>
      <c r="G14" s="114"/>
      <c r="H14" s="110"/>
      <c r="I14" s="110"/>
      <c r="J14" s="114"/>
      <c r="K14" s="55"/>
      <c r="L14" s="24"/>
      <c r="M14" s="81"/>
    </row>
    <row r="15" spans="1:13" x14ac:dyDescent="0.3">
      <c r="A15" s="342" t="s">
        <v>219</v>
      </c>
      <c r="B15" s="397">
        <v>1</v>
      </c>
      <c r="C15" s="278">
        <v>2</v>
      </c>
      <c r="D15" s="288" t="s">
        <v>220</v>
      </c>
      <c r="E15" s="344">
        <f>C15*graze</f>
        <v>0</v>
      </c>
      <c r="F15" s="283">
        <f>7.504+(7.504*Data!$L$275)</f>
        <v>13.808774419387412</v>
      </c>
      <c r="G15" s="345">
        <f>C15*F15</f>
        <v>27.617548838774823</v>
      </c>
      <c r="H15" s="346">
        <f>(B15*G15*graze)/$F$5</f>
        <v>0</v>
      </c>
      <c r="I15" s="110"/>
      <c r="J15" s="114"/>
      <c r="K15" s="98"/>
    </row>
    <row r="16" spans="1:13" x14ac:dyDescent="0.3">
      <c r="A16" s="342" t="s">
        <v>221</v>
      </c>
      <c r="B16" s="397">
        <v>1</v>
      </c>
      <c r="C16" s="278">
        <v>0.37830000000000003</v>
      </c>
      <c r="D16" s="288" t="s">
        <v>117</v>
      </c>
      <c r="E16" s="344">
        <f>C16*graze</f>
        <v>0</v>
      </c>
      <c r="F16" s="283">
        <f>24.802+(24.802*Data!$L$275)</f>
        <v>45.64035489734097</v>
      </c>
      <c r="G16" s="345">
        <f>C16*F16</f>
        <v>17.265746257664091</v>
      </c>
      <c r="H16" s="346">
        <f>(B16*G16*graze)/$F$5</f>
        <v>0</v>
      </c>
      <c r="I16" s="110"/>
      <c r="J16" s="114"/>
      <c r="K16" s="98"/>
    </row>
    <row r="17" spans="1:13" x14ac:dyDescent="0.3">
      <c r="A17" s="22" t="s">
        <v>908</v>
      </c>
      <c r="B17" s="399">
        <v>1</v>
      </c>
      <c r="C17" s="278">
        <f>1/8</f>
        <v>0.125</v>
      </c>
      <c r="D17" s="163" t="s">
        <v>119</v>
      </c>
      <c r="E17" s="34">
        <f>C17*graze</f>
        <v>0</v>
      </c>
      <c r="F17" s="283">
        <f>(430/30)</f>
        <v>14.333333333333334</v>
      </c>
      <c r="G17" s="114">
        <f>C17*F17</f>
        <v>1.7916666666666667</v>
      </c>
      <c r="H17" s="110">
        <f>B17*G17*graze</f>
        <v>0</v>
      </c>
      <c r="I17" s="110">
        <f>SUM(H15:H17)</f>
        <v>0</v>
      </c>
      <c r="J17" s="114"/>
    </row>
    <row r="18" spans="1:13" x14ac:dyDescent="0.3">
      <c r="A18" s="3" t="s">
        <v>14</v>
      </c>
      <c r="B18" s="3"/>
      <c r="C18" s="46"/>
      <c r="D18" s="34"/>
      <c r="E18" s="34"/>
      <c r="F18" s="104"/>
      <c r="G18" s="104"/>
      <c r="H18" s="110"/>
      <c r="I18" s="110"/>
      <c r="J18" s="110"/>
    </row>
    <row r="19" spans="1:13" ht="13.5" thickBot="1" x14ac:dyDescent="0.35">
      <c r="A19" s="95" t="s">
        <v>323</v>
      </c>
      <c r="B19" s="95"/>
      <c r="C19" s="46"/>
      <c r="D19" s="34"/>
      <c r="E19" s="34"/>
      <c r="F19" s="104"/>
      <c r="G19" s="104"/>
      <c r="H19" s="110"/>
      <c r="I19" s="110"/>
      <c r="J19" s="110"/>
    </row>
    <row r="20" spans="1:13" x14ac:dyDescent="0.3">
      <c r="A20" s="342" t="s">
        <v>484</v>
      </c>
      <c r="B20" s="397">
        <v>1</v>
      </c>
      <c r="C20" s="347">
        <f>Data!H525</f>
        <v>0.25632748278140399</v>
      </c>
      <c r="D20" s="288" t="s">
        <v>128</v>
      </c>
      <c r="E20" s="344">
        <f t="shared" ref="E20:E46" si="0">C20*graze</f>
        <v>0</v>
      </c>
      <c r="F20" s="348">
        <f t="shared" ref="F20:F31" si="1">_wage_</f>
        <v>12.29</v>
      </c>
      <c r="G20" s="345">
        <f t="shared" ref="G20:G46" si="2">C20*F20</f>
        <v>3.1502647633834551</v>
      </c>
      <c r="H20" s="346">
        <f>(B20*G20*graze)/$F$5</f>
        <v>0</v>
      </c>
      <c r="I20" s="110"/>
      <c r="J20" s="487" t="s">
        <v>1034</v>
      </c>
      <c r="K20" s="488" t="s">
        <v>108</v>
      </c>
      <c r="L20" s="24"/>
      <c r="M20" s="81"/>
    </row>
    <row r="21" spans="1:13" x14ac:dyDescent="0.3">
      <c r="A21" s="342" t="s">
        <v>485</v>
      </c>
      <c r="B21" s="397">
        <v>1</v>
      </c>
      <c r="C21" s="347">
        <f>Data!H526</f>
        <v>0.39334140580266497</v>
      </c>
      <c r="D21" s="288" t="s">
        <v>128</v>
      </c>
      <c r="E21" s="344">
        <f t="shared" si="0"/>
        <v>0</v>
      </c>
      <c r="F21" s="348">
        <f t="shared" si="1"/>
        <v>12.29</v>
      </c>
      <c r="G21" s="345">
        <f t="shared" si="2"/>
        <v>4.834165877314752</v>
      </c>
      <c r="H21" s="346">
        <f>(B21*G21*graze)/$F$5</f>
        <v>0</v>
      </c>
      <c r="I21" s="110"/>
      <c r="J21" s="489" t="s">
        <v>1064</v>
      </c>
      <c r="K21" s="490">
        <v>1</v>
      </c>
      <c r="L21" s="24"/>
      <c r="M21" s="81"/>
    </row>
    <row r="22" spans="1:13" ht="13.5" thickBot="1" x14ac:dyDescent="0.35">
      <c r="A22" s="22" t="str">
        <f>'[5]Key assumptions'!A158</f>
        <v xml:space="preserve">      Spread Fertilizer</v>
      </c>
      <c r="B22" s="397">
        <v>1</v>
      </c>
      <c r="C22" s="156">
        <f>Data!H527</f>
        <v>9.2929292929292931E-2</v>
      </c>
      <c r="D22" s="34" t="s">
        <v>128</v>
      </c>
      <c r="E22" s="226">
        <f t="shared" si="0"/>
        <v>0</v>
      </c>
      <c r="F22" s="167">
        <f t="shared" si="1"/>
        <v>12.29</v>
      </c>
      <c r="G22" s="114">
        <f t="shared" si="2"/>
        <v>1.1421010101010101</v>
      </c>
      <c r="H22" s="110">
        <f>B22*G22*graze</f>
        <v>0</v>
      </c>
      <c r="I22" s="110"/>
      <c r="J22" s="491" t="s">
        <v>1074</v>
      </c>
      <c r="K22" s="492">
        <v>0</v>
      </c>
    </row>
    <row r="23" spans="1:13" ht="13.5" thickBot="1" x14ac:dyDescent="0.35">
      <c r="A23" s="289" t="s">
        <v>316</v>
      </c>
      <c r="B23" s="397">
        <v>1</v>
      </c>
      <c r="C23" s="273">
        <v>0</v>
      </c>
      <c r="D23" s="288" t="s">
        <v>128</v>
      </c>
      <c r="E23" s="344">
        <f t="shared" si="0"/>
        <v>0</v>
      </c>
      <c r="F23" s="348">
        <f t="shared" si="1"/>
        <v>12.29</v>
      </c>
      <c r="G23" s="346">
        <f t="shared" si="2"/>
        <v>0</v>
      </c>
      <c r="H23" s="346">
        <f>(B23*G23*graze)/$F$5</f>
        <v>0</v>
      </c>
      <c r="I23" s="110"/>
      <c r="L23" s="24"/>
      <c r="M23" s="81"/>
    </row>
    <row r="24" spans="1:13" x14ac:dyDescent="0.3">
      <c r="A24" s="289" t="s">
        <v>411</v>
      </c>
      <c r="B24" s="397">
        <v>1</v>
      </c>
      <c r="C24" s="347">
        <f>Data!H528</f>
        <v>0.11</v>
      </c>
      <c r="D24" s="288" t="s">
        <v>128</v>
      </c>
      <c r="E24" s="344">
        <f t="shared" si="0"/>
        <v>0</v>
      </c>
      <c r="F24" s="348">
        <f t="shared" si="1"/>
        <v>12.29</v>
      </c>
      <c r="G24" s="345">
        <f t="shared" si="2"/>
        <v>1.3518999999999999</v>
      </c>
      <c r="H24" s="346">
        <f>(B24*G24*graze)/$F$5</f>
        <v>0</v>
      </c>
      <c r="I24" s="110"/>
      <c r="J24" s="487" t="s">
        <v>1065</v>
      </c>
      <c r="K24" s="488" t="s">
        <v>108</v>
      </c>
      <c r="L24" s="24"/>
      <c r="M24" s="81"/>
    </row>
    <row r="25" spans="1:13" ht="13.5" customHeight="1" x14ac:dyDescent="0.3">
      <c r="A25" s="289" t="s">
        <v>743</v>
      </c>
      <c r="B25" s="397">
        <v>1</v>
      </c>
      <c r="C25" s="347">
        <f>Data!H533</f>
        <v>0.26666666666666666</v>
      </c>
      <c r="D25" s="288" t="s">
        <v>128</v>
      </c>
      <c r="E25" s="344">
        <f t="shared" si="0"/>
        <v>0</v>
      </c>
      <c r="F25" s="348">
        <f t="shared" si="1"/>
        <v>12.29</v>
      </c>
      <c r="G25" s="345">
        <f t="shared" si="2"/>
        <v>3.277333333333333</v>
      </c>
      <c r="H25" s="346">
        <f>(B25*G25*graze)/$F$5</f>
        <v>0</v>
      </c>
      <c r="I25" s="110"/>
      <c r="J25" s="489" t="s">
        <v>258</v>
      </c>
      <c r="K25" s="490">
        <v>0</v>
      </c>
      <c r="L25" s="24"/>
      <c r="M25" s="81"/>
    </row>
    <row r="26" spans="1:13" ht="13.5" customHeight="1" x14ac:dyDescent="0.3">
      <c r="A26" s="289" t="s">
        <v>304</v>
      </c>
      <c r="B26" s="574">
        <v>1</v>
      </c>
      <c r="C26" s="347">
        <f>Data!H537</f>
        <v>0.11851851851851852</v>
      </c>
      <c r="D26" s="288" t="s">
        <v>128</v>
      </c>
      <c r="E26" s="344">
        <f t="shared" si="0"/>
        <v>0</v>
      </c>
      <c r="F26" s="348">
        <f t="shared" si="1"/>
        <v>12.29</v>
      </c>
      <c r="G26" s="345">
        <f t="shared" si="2"/>
        <v>1.4565925925925924</v>
      </c>
      <c r="H26" s="346">
        <f>(B26*G26*graze)/$F$5</f>
        <v>0</v>
      </c>
      <c r="I26" s="110"/>
      <c r="J26" s="489" t="s">
        <v>1066</v>
      </c>
      <c r="K26" s="490">
        <v>0</v>
      </c>
      <c r="L26" s="24"/>
      <c r="M26" s="81"/>
    </row>
    <row r="27" spans="1:13" s="374" customFormat="1" ht="13.5" customHeight="1" thickBot="1" x14ac:dyDescent="0.35">
      <c r="A27" s="503" t="s">
        <v>304</v>
      </c>
      <c r="B27" s="397">
        <v>1</v>
      </c>
      <c r="C27" s="519">
        <f>Data!H537/2</f>
        <v>5.9259259259259262E-2</v>
      </c>
      <c r="D27" s="505" t="s">
        <v>128</v>
      </c>
      <c r="E27" s="506">
        <f>C27*graze</f>
        <v>0</v>
      </c>
      <c r="F27" s="507">
        <f t="shared" si="1"/>
        <v>12.29</v>
      </c>
      <c r="G27" s="573">
        <f>C27*F27</f>
        <v>0.72829629629629622</v>
      </c>
      <c r="H27" s="110">
        <f>B27*G27*graze</f>
        <v>0</v>
      </c>
      <c r="I27" s="211"/>
      <c r="J27" s="491" t="s">
        <v>1067</v>
      </c>
      <c r="K27" s="492">
        <v>0</v>
      </c>
      <c r="L27" s="174"/>
      <c r="M27" s="373"/>
    </row>
    <row r="28" spans="1:13" x14ac:dyDescent="0.3">
      <c r="A28" s="22" t="str">
        <f>'[5]Key assumptions'!A159</f>
        <v xml:space="preserve">      Set Up Fences</v>
      </c>
      <c r="B28" s="508">
        <v>1</v>
      </c>
      <c r="C28" s="165">
        <f>Data!H534</f>
        <v>1</v>
      </c>
      <c r="D28" s="34" t="s">
        <v>128</v>
      </c>
      <c r="E28" s="226">
        <f t="shared" si="0"/>
        <v>0</v>
      </c>
      <c r="F28" s="167">
        <f t="shared" si="1"/>
        <v>12.29</v>
      </c>
      <c r="G28" s="114">
        <f t="shared" si="2"/>
        <v>12.29</v>
      </c>
      <c r="H28" s="110">
        <f>B28*G28*graze</f>
        <v>0</v>
      </c>
      <c r="I28" s="110"/>
      <c r="J28" s="110"/>
    </row>
    <row r="29" spans="1:13" x14ac:dyDescent="0.3">
      <c r="A29" s="22" t="str">
        <f>'[5]Key assumptions'!A160</f>
        <v xml:space="preserve">      Move Cows &amp; Fences</v>
      </c>
      <c r="B29" s="397">
        <v>1</v>
      </c>
      <c r="C29" s="165">
        <f>Data!H535</f>
        <v>0</v>
      </c>
      <c r="D29" s="34" t="s">
        <v>128</v>
      </c>
      <c r="E29" s="226">
        <f t="shared" si="0"/>
        <v>0</v>
      </c>
      <c r="F29" s="167">
        <f t="shared" si="1"/>
        <v>12.29</v>
      </c>
      <c r="G29" s="110">
        <f t="shared" si="2"/>
        <v>0</v>
      </c>
      <c r="H29" s="110">
        <f>B29*G29*graze</f>
        <v>0</v>
      </c>
      <c r="I29" s="110"/>
      <c r="J29" s="110"/>
    </row>
    <row r="30" spans="1:13" x14ac:dyDescent="0.3">
      <c r="A30" s="22" t="s">
        <v>322</v>
      </c>
      <c r="B30" s="397">
        <v>1</v>
      </c>
      <c r="C30" s="273">
        <v>0</v>
      </c>
      <c r="D30" s="34" t="s">
        <v>128</v>
      </c>
      <c r="E30" s="226">
        <f t="shared" si="0"/>
        <v>0</v>
      </c>
      <c r="F30" s="167">
        <f t="shared" si="1"/>
        <v>12.29</v>
      </c>
      <c r="G30" s="110">
        <f t="shared" si="2"/>
        <v>0</v>
      </c>
      <c r="H30" s="110">
        <f>B30*G30*graze</f>
        <v>0</v>
      </c>
      <c r="I30" s="110"/>
      <c r="J30" s="110"/>
    </row>
    <row r="31" spans="1:13" x14ac:dyDescent="0.3">
      <c r="A31" s="22" t="s">
        <v>744</v>
      </c>
      <c r="B31" s="397">
        <v>1</v>
      </c>
      <c r="C31" s="156">
        <f>Data!H536</f>
        <v>0.16666666666666669</v>
      </c>
      <c r="D31" s="34" t="s">
        <v>128</v>
      </c>
      <c r="E31" s="226">
        <f t="shared" si="0"/>
        <v>0</v>
      </c>
      <c r="F31" s="167">
        <f t="shared" si="1"/>
        <v>12.29</v>
      </c>
      <c r="G31" s="114">
        <f t="shared" si="2"/>
        <v>2.0483333333333333</v>
      </c>
      <c r="H31" s="110">
        <f>B31*G31*graze</f>
        <v>0</v>
      </c>
      <c r="I31" s="110"/>
      <c r="J31" s="110"/>
    </row>
    <row r="32" spans="1:13" x14ac:dyDescent="0.3">
      <c r="A32" s="289" t="s">
        <v>325</v>
      </c>
      <c r="B32" s="397">
        <v>1</v>
      </c>
      <c r="C32" s="347">
        <f>Data!$H$539*$K$22*$K$25</f>
        <v>0</v>
      </c>
      <c r="D32" s="288" t="s">
        <v>128</v>
      </c>
      <c r="E32" s="344">
        <f t="shared" si="0"/>
        <v>0</v>
      </c>
      <c r="F32" s="348">
        <f t="shared" ref="F32:F48" si="3">_wage_</f>
        <v>12.29</v>
      </c>
      <c r="G32" s="345">
        <f t="shared" si="2"/>
        <v>0</v>
      </c>
      <c r="H32" s="346">
        <f>IF($F$5=1,B32*G32*graze*GrzOwnC!$B$19,B32*G32*graze*GrzOwnC!$B$19*(($F$5-1)/$F$5))</f>
        <v>0</v>
      </c>
      <c r="I32" s="87"/>
      <c r="J32" s="110"/>
    </row>
    <row r="33" spans="1:11" x14ac:dyDescent="0.3">
      <c r="A33" s="578" t="s">
        <v>1022</v>
      </c>
      <c r="B33" s="397">
        <v>0</v>
      </c>
      <c r="C33" s="579">
        <f>Data!$H$540*$K$22*$K$25*Data!$F$165</f>
        <v>0</v>
      </c>
      <c r="D33" s="580" t="s">
        <v>115</v>
      </c>
      <c r="E33" s="580">
        <f>C33*graze</f>
        <v>0</v>
      </c>
      <c r="F33" s="581">
        <f>_wage_</f>
        <v>12.29</v>
      </c>
      <c r="G33" s="582">
        <f>C33*F33</f>
        <v>0</v>
      </c>
      <c r="H33" s="583">
        <f>IF($F$5=1,B33*G33*graze*GrzOwnC!$B$19,B33*G33*graze*GrzOwnC!$B$19*(($F$5-1)/$F$5))</f>
        <v>0</v>
      </c>
      <c r="J33" s="114"/>
      <c r="K33" s="55"/>
    </row>
    <row r="34" spans="1:11" x14ac:dyDescent="0.3">
      <c r="A34" s="289" t="s">
        <v>326</v>
      </c>
      <c r="B34" s="397">
        <v>1</v>
      </c>
      <c r="C34" s="347">
        <f>Data!$H$541*$K$22*$K$25</f>
        <v>0</v>
      </c>
      <c r="D34" s="288" t="s">
        <v>128</v>
      </c>
      <c r="E34" s="344">
        <f t="shared" si="0"/>
        <v>0</v>
      </c>
      <c r="F34" s="348">
        <f t="shared" si="3"/>
        <v>12.29</v>
      </c>
      <c r="G34" s="345">
        <f t="shared" si="2"/>
        <v>0</v>
      </c>
      <c r="H34" s="346">
        <f>IF($F$5=1,B34*G34*graze*GrzOwnC!$B$12,B34*G34*graze*GrzOwnC!$B$12*(($F$5-1)/$F$5))</f>
        <v>0</v>
      </c>
      <c r="I34" s="87"/>
      <c r="J34" s="110"/>
    </row>
    <row r="35" spans="1:11" x14ac:dyDescent="0.3">
      <c r="A35" s="578" t="s">
        <v>1022</v>
      </c>
      <c r="B35" s="397">
        <v>1</v>
      </c>
      <c r="C35" s="579">
        <f>Data!$H$542*$K$22*$K$25*Data!$F$165</f>
        <v>0</v>
      </c>
      <c r="D35" s="580" t="s">
        <v>115</v>
      </c>
      <c r="E35" s="585">
        <f>C35*graze</f>
        <v>0</v>
      </c>
      <c r="F35" s="581">
        <f>_wage_</f>
        <v>12.29</v>
      </c>
      <c r="G35" s="582">
        <f>C35*F35</f>
        <v>0</v>
      </c>
      <c r="H35" s="583">
        <f>IF($F$5=1,B35*G35*graze*GrzOwnC!$B$12,B35*G35*graze*GrzOwnC!$B$12*(($F$5-1)/$F$5))</f>
        <v>0</v>
      </c>
      <c r="J35" s="114"/>
      <c r="K35" s="55"/>
    </row>
    <row r="36" spans="1:11" x14ac:dyDescent="0.3">
      <c r="A36" s="289" t="s">
        <v>1068</v>
      </c>
      <c r="B36" s="397">
        <v>1</v>
      </c>
      <c r="C36" s="347">
        <f>Data!$H$543*$K$22*($K$26+$K$27)</f>
        <v>0</v>
      </c>
      <c r="D36" s="288" t="s">
        <v>128</v>
      </c>
      <c r="E36" s="344">
        <f t="shared" si="0"/>
        <v>0</v>
      </c>
      <c r="F36" s="348">
        <f t="shared" si="3"/>
        <v>12.29</v>
      </c>
      <c r="G36" s="345">
        <f t="shared" si="2"/>
        <v>0</v>
      </c>
      <c r="H36" s="346">
        <f>IF($F$5=1,B36*G36*graze*GrzOwnC!$B$20,B36*G36*graze*GrzOwnC!$B$20*(($F$5-1)/$F$5))</f>
        <v>0</v>
      </c>
      <c r="I36" s="87"/>
      <c r="J36" s="110"/>
    </row>
    <row r="37" spans="1:11" x14ac:dyDescent="0.3">
      <c r="A37" s="289" t="s">
        <v>1069</v>
      </c>
      <c r="B37" s="397">
        <v>1</v>
      </c>
      <c r="C37" s="347">
        <f>Data!$H$544*$K$22*($K$26+$K$27)</f>
        <v>0</v>
      </c>
      <c r="D37" s="288" t="s">
        <v>128</v>
      </c>
      <c r="E37" s="344">
        <f t="shared" si="0"/>
        <v>0</v>
      </c>
      <c r="F37" s="348">
        <f t="shared" si="3"/>
        <v>12.29</v>
      </c>
      <c r="G37" s="345">
        <f t="shared" si="2"/>
        <v>0</v>
      </c>
      <c r="H37" s="346">
        <f>IF($F$5=1,B37*G37*graze*GrzOwnC!$B$21,B37*G37*graze*GrzOwnC!$B$21*(($F$5-1)/$F$5))</f>
        <v>0</v>
      </c>
      <c r="I37" s="87"/>
      <c r="J37" s="110"/>
    </row>
    <row r="38" spans="1:11" x14ac:dyDescent="0.3">
      <c r="A38" s="289" t="s">
        <v>1070</v>
      </c>
      <c r="B38" s="397">
        <v>1</v>
      </c>
      <c r="C38" s="347">
        <f>Data!$H$545*$K$22*$K$26</f>
        <v>0</v>
      </c>
      <c r="D38" s="288" t="s">
        <v>128</v>
      </c>
      <c r="E38" s="344">
        <f t="shared" si="0"/>
        <v>0</v>
      </c>
      <c r="F38" s="348">
        <f t="shared" si="3"/>
        <v>12.29</v>
      </c>
      <c r="G38" s="345">
        <f t="shared" si="2"/>
        <v>0</v>
      </c>
      <c r="H38" s="346">
        <f>IF($F$5=1,B38*G38*graze*GrzOwnC!$B$22,B38*G38*graze*GrzOwnC!$B$22*(($F$5-1)/$F$5))</f>
        <v>0</v>
      </c>
      <c r="I38" s="87"/>
      <c r="J38" s="110"/>
    </row>
    <row r="39" spans="1:11" x14ac:dyDescent="0.3">
      <c r="A39" s="578" t="s">
        <v>1022</v>
      </c>
      <c r="B39" s="397">
        <v>0</v>
      </c>
      <c r="C39" s="579">
        <f>Data!$H$546*$K$22*$K$26*Data!$F$165</f>
        <v>0</v>
      </c>
      <c r="D39" s="580" t="s">
        <v>115</v>
      </c>
      <c r="E39" s="585">
        <f>C39*graze</f>
        <v>0</v>
      </c>
      <c r="F39" s="581">
        <f>_wage_</f>
        <v>12.29</v>
      </c>
      <c r="G39" s="582">
        <f>C39*F39</f>
        <v>0</v>
      </c>
      <c r="H39" s="583">
        <f>IF($F$5=1,B39*G39*graze*GrzOwnC!$B$22,B39*G39*graze*GrzOwnC!$B$22*(($F$5-1)/$F$5))</f>
        <v>0</v>
      </c>
      <c r="J39" s="114"/>
      <c r="K39" s="55"/>
    </row>
    <row r="40" spans="1:11" x14ac:dyDescent="0.3">
      <c r="A40" s="289" t="s">
        <v>1049</v>
      </c>
      <c r="B40" s="397">
        <v>1</v>
      </c>
      <c r="C40" s="347">
        <f>Data!$H$547*$K$22*$K$26</f>
        <v>0</v>
      </c>
      <c r="D40" s="288" t="s">
        <v>128</v>
      </c>
      <c r="E40" s="344">
        <f t="shared" si="0"/>
        <v>0</v>
      </c>
      <c r="F40" s="348">
        <f t="shared" si="3"/>
        <v>12.29</v>
      </c>
      <c r="G40" s="345">
        <f>C40*F40</f>
        <v>0</v>
      </c>
      <c r="H40" s="346">
        <f>IF($F$5=1,B40*G40*graze*GrzOwnC!$B$22,B40*G40*graze*GrzOwnC!$B$22*(($F$5-1)/$F$5))</f>
        <v>0</v>
      </c>
      <c r="I40" s="87"/>
      <c r="J40" s="110"/>
    </row>
    <row r="41" spans="1:11" x14ac:dyDescent="0.3">
      <c r="A41" s="578" t="s">
        <v>1022</v>
      </c>
      <c r="B41" s="397">
        <v>1</v>
      </c>
      <c r="C41" s="584">
        <f>Data!$H$548*$K$22*$K$26*Data!$F$165</f>
        <v>0</v>
      </c>
      <c r="D41" s="580" t="s">
        <v>115</v>
      </c>
      <c r="E41" s="585">
        <f>C41*graze</f>
        <v>0</v>
      </c>
      <c r="F41" s="581">
        <f>_wage_</f>
        <v>12.29</v>
      </c>
      <c r="G41" s="582">
        <f>C41*F41</f>
        <v>0</v>
      </c>
      <c r="H41" s="583">
        <f>IF($F$5=1,B41*G41*graze*GrzOwnC!$B$22,B41*G41*graze*GrzOwnC!$B$22*(($F$5-1)/$F$5))</f>
        <v>0</v>
      </c>
      <c r="J41" s="114"/>
      <c r="K41" s="55"/>
    </row>
    <row r="42" spans="1:11" x14ac:dyDescent="0.3">
      <c r="A42" s="289" t="s">
        <v>1071</v>
      </c>
      <c r="B42" s="397">
        <v>1</v>
      </c>
      <c r="C42" s="347">
        <f>Data!$H$549*$K$22*$K$27</f>
        <v>0</v>
      </c>
      <c r="D42" s="288" t="s">
        <v>128</v>
      </c>
      <c r="E42" s="344">
        <f t="shared" si="0"/>
        <v>0</v>
      </c>
      <c r="F42" s="348">
        <f t="shared" si="3"/>
        <v>12.29</v>
      </c>
      <c r="G42" s="345">
        <f t="shared" si="2"/>
        <v>0</v>
      </c>
      <c r="H42" s="346">
        <f>IF($F$5=1,B42*G42*graze*GrzOwnC!$B$23,B42*G42*graze*GrzOwnC!$B$23*(($F$5-1)/$F$5))</f>
        <v>0</v>
      </c>
      <c r="I42" s="87"/>
      <c r="J42" s="110"/>
    </row>
    <row r="43" spans="1:11" x14ac:dyDescent="0.3">
      <c r="A43" s="578" t="s">
        <v>1022</v>
      </c>
      <c r="B43" s="397">
        <v>0</v>
      </c>
      <c r="C43" s="579">
        <f>Data!$H$550*$K$22*$K$27*Data!$F$165</f>
        <v>0</v>
      </c>
      <c r="D43" s="580" t="s">
        <v>115</v>
      </c>
      <c r="E43" s="585">
        <f>C43*graze</f>
        <v>0</v>
      </c>
      <c r="F43" s="581">
        <f>_wage_</f>
        <v>12.29</v>
      </c>
      <c r="G43" s="582">
        <f>C43*F43</f>
        <v>0</v>
      </c>
      <c r="H43" s="583">
        <f>IF($F$5=1,B43*G43*graze*GrzOwnC!$B$23,B43*G43*graze*GrzOwnC!$B$23*(($F$5-1)/$F$5))</f>
        <v>0</v>
      </c>
      <c r="J43" s="114"/>
      <c r="K43" s="55"/>
    </row>
    <row r="44" spans="1:11" x14ac:dyDescent="0.3">
      <c r="A44" s="289" t="s">
        <v>1051</v>
      </c>
      <c r="B44" s="397">
        <v>1</v>
      </c>
      <c r="C44" s="347">
        <f>Data!$H$551*$K$22*$K$27</f>
        <v>0</v>
      </c>
      <c r="D44" s="288" t="s">
        <v>128</v>
      </c>
      <c r="E44" s="344">
        <f t="shared" si="0"/>
        <v>0</v>
      </c>
      <c r="F44" s="348">
        <f t="shared" si="3"/>
        <v>12.29</v>
      </c>
      <c r="G44" s="345">
        <f>C44*F44</f>
        <v>0</v>
      </c>
      <c r="H44" s="346">
        <f>IF($F$5=1,B44*G44*graze*GrzOwnC!$B$23,B44*G44*graze*GrzOwnC!$B$23*(($F$5-1)/$F$5))</f>
        <v>0</v>
      </c>
      <c r="I44" s="87"/>
      <c r="J44" s="110"/>
    </row>
    <row r="45" spans="1:11" x14ac:dyDescent="0.3">
      <c r="A45" s="578" t="s">
        <v>1022</v>
      </c>
      <c r="B45" s="397">
        <v>1</v>
      </c>
      <c r="C45" s="579">
        <f>Data!$H$552*$K$22*$K$27*Data!$F$165</f>
        <v>0</v>
      </c>
      <c r="D45" s="580" t="s">
        <v>115</v>
      </c>
      <c r="E45" s="585">
        <f>C45*graze</f>
        <v>0</v>
      </c>
      <c r="F45" s="581">
        <f>_wage_</f>
        <v>12.29</v>
      </c>
      <c r="G45" s="582">
        <f>C45*F45</f>
        <v>0</v>
      </c>
      <c r="H45" s="583">
        <f>IF($F$5=1,B45*G45*graze*GrzOwnC!$B$23,B45*G45*graze*GrzOwnC!$B$23*(($F$5-1)/$F$5))</f>
        <v>0</v>
      </c>
      <c r="J45" s="114"/>
      <c r="K45" s="55"/>
    </row>
    <row r="46" spans="1:11" x14ac:dyDescent="0.3">
      <c r="A46" s="289" t="s">
        <v>1072</v>
      </c>
      <c r="B46" s="397">
        <v>1</v>
      </c>
      <c r="C46" s="347">
        <f>Data!$H$553*$K$22*$K$26</f>
        <v>0</v>
      </c>
      <c r="D46" s="288" t="s">
        <v>128</v>
      </c>
      <c r="E46" s="344">
        <f t="shared" si="0"/>
        <v>0</v>
      </c>
      <c r="F46" s="348">
        <f t="shared" si="3"/>
        <v>12.29</v>
      </c>
      <c r="G46" s="345">
        <f t="shared" si="2"/>
        <v>0</v>
      </c>
      <c r="H46" s="346">
        <f>IF($F$5=1,B46*G46*graze*GrzOwnC!$B$22,B46*G46*graze*GrzOwnC!$B$22*(($F$5-1)/$F$5))</f>
        <v>0</v>
      </c>
      <c r="I46" s="87"/>
      <c r="J46" s="110"/>
    </row>
    <row r="47" spans="1:11" x14ac:dyDescent="0.3">
      <c r="A47" s="578" t="s">
        <v>1022</v>
      </c>
      <c r="B47" s="397">
        <v>1</v>
      </c>
      <c r="C47" s="579">
        <f>Data!$H$554*$K$22*$K$26*Data!$F$165</f>
        <v>0</v>
      </c>
      <c r="D47" s="580" t="s">
        <v>115</v>
      </c>
      <c r="E47" s="585">
        <f>C47*graze</f>
        <v>0</v>
      </c>
      <c r="F47" s="581">
        <f>_wage_</f>
        <v>12.29</v>
      </c>
      <c r="G47" s="582">
        <f>C47*F47</f>
        <v>0</v>
      </c>
      <c r="H47" s="583">
        <f>IF($F$5=1,B47*G47*graze*GrzOwnC!$B$22,B47*G47*graze*GrzOwnC!$B$22*(($F$5-1)/$F$5))</f>
        <v>0</v>
      </c>
      <c r="J47" s="114"/>
      <c r="K47" s="55"/>
    </row>
    <row r="48" spans="1:11" x14ac:dyDescent="0.3">
      <c r="A48" s="289" t="s">
        <v>1073</v>
      </c>
      <c r="B48" s="397">
        <v>1</v>
      </c>
      <c r="C48" s="347">
        <f>Data!$H$555*$K$22*$K$27</f>
        <v>0</v>
      </c>
      <c r="D48" s="288" t="s">
        <v>128</v>
      </c>
      <c r="E48" s="344">
        <f>C48*graze</f>
        <v>0</v>
      </c>
      <c r="F48" s="348">
        <f t="shared" si="3"/>
        <v>12.29</v>
      </c>
      <c r="G48" s="345">
        <f>C48*F48</f>
        <v>0</v>
      </c>
      <c r="H48" s="346">
        <f>IF($F$5=1,B48*G48*graze*GrzOwnC!$B$23,B48*G48*graze*GrzOwnC!$B$23*(($F$5-1)/$F$5))</f>
        <v>0</v>
      </c>
      <c r="I48" s="87"/>
      <c r="J48" s="110"/>
    </row>
    <row r="49" spans="1:13" x14ac:dyDescent="0.3">
      <c r="A49" s="578" t="s">
        <v>1022</v>
      </c>
      <c r="B49" s="397">
        <v>1</v>
      </c>
      <c r="C49" s="579">
        <f>Data!$H$556*$K$22*$K$27*Data!$F$165</f>
        <v>0</v>
      </c>
      <c r="D49" s="580" t="s">
        <v>115</v>
      </c>
      <c r="E49" s="585">
        <f>C49*graze</f>
        <v>0</v>
      </c>
      <c r="F49" s="581">
        <f>_wage_</f>
        <v>12.29</v>
      </c>
      <c r="G49" s="582">
        <f>C49*F49</f>
        <v>0</v>
      </c>
      <c r="H49" s="583">
        <f>IF($F$5=1,B49*G49*graze*GrzOwnC!$B$23,B49*G49*graze*GrzOwnC!$B$23*(($F$5-1)/$F$5))</f>
        <v>0</v>
      </c>
      <c r="J49" s="114"/>
      <c r="K49" s="55"/>
    </row>
    <row r="50" spans="1:13" x14ac:dyDescent="0.3">
      <c r="A50" s="95" t="s">
        <v>331</v>
      </c>
      <c r="B50" s="95"/>
      <c r="C50" s="46"/>
      <c r="D50" s="34"/>
      <c r="E50" s="34"/>
      <c r="F50" s="167"/>
      <c r="G50" s="104"/>
      <c r="H50" s="110"/>
      <c r="I50" s="127"/>
      <c r="J50" s="110"/>
    </row>
    <row r="51" spans="1:13" x14ac:dyDescent="0.3">
      <c r="A51" s="6" t="s">
        <v>321</v>
      </c>
      <c r="B51" s="397">
        <v>1</v>
      </c>
      <c r="C51" s="273">
        <v>0</v>
      </c>
      <c r="D51" s="34" t="s">
        <v>115</v>
      </c>
      <c r="E51" s="226">
        <f>C51*graze</f>
        <v>0</v>
      </c>
      <c r="F51" s="167">
        <f>_wage_</f>
        <v>12.29</v>
      </c>
      <c r="G51" s="110">
        <f>C51*F51</f>
        <v>0</v>
      </c>
      <c r="H51" s="110">
        <f>B51*G51*graze</f>
        <v>0</v>
      </c>
      <c r="I51" s="127">
        <f>SUM(H19:H51)</f>
        <v>0</v>
      </c>
      <c r="J51" s="110"/>
    </row>
    <row r="52" spans="1:13" x14ac:dyDescent="0.3">
      <c r="A52" s="3" t="s">
        <v>66</v>
      </c>
      <c r="B52" s="3"/>
      <c r="C52" s="136"/>
      <c r="D52" s="34"/>
      <c r="E52" s="34"/>
      <c r="F52" s="167"/>
      <c r="G52" s="114"/>
      <c r="H52" s="110"/>
      <c r="I52" s="110"/>
      <c r="J52" s="110"/>
    </row>
    <row r="53" spans="1:13" x14ac:dyDescent="0.3">
      <c r="A53" s="95" t="s">
        <v>323</v>
      </c>
      <c r="B53" s="95"/>
      <c r="C53" s="46"/>
      <c r="D53" s="34"/>
      <c r="E53" s="34"/>
      <c r="F53" s="167"/>
      <c r="G53" s="114"/>
      <c r="H53" s="110"/>
      <c r="I53" s="110"/>
      <c r="J53" s="110"/>
    </row>
    <row r="54" spans="1:13" x14ac:dyDescent="0.3">
      <c r="A54" s="342" t="s">
        <v>484</v>
      </c>
      <c r="B54" s="405">
        <f t="shared" ref="B54:B69" si="4">B20</f>
        <v>1</v>
      </c>
      <c r="C54" s="347">
        <f>Data!R525</f>
        <v>0.6028033322985753</v>
      </c>
      <c r="D54" s="288" t="s">
        <v>117</v>
      </c>
      <c r="E54" s="344">
        <f t="shared" ref="E54:E80" si="5">C54*graze</f>
        <v>0</v>
      </c>
      <c r="F54" s="348">
        <f>diesel_fuel</f>
        <v>2.56</v>
      </c>
      <c r="G54" s="345">
        <f t="shared" ref="G54:G65" si="6">C54*F54</f>
        <v>1.5431765306843528</v>
      </c>
      <c r="H54" s="346">
        <f>(B54*G54*graze)/$F$5</f>
        <v>0</v>
      </c>
      <c r="I54" s="110"/>
      <c r="J54" s="110"/>
      <c r="K54" s="55"/>
      <c r="L54" s="24"/>
      <c r="M54" s="81"/>
    </row>
    <row r="55" spans="1:13" x14ac:dyDescent="0.3">
      <c r="A55" s="342" t="s">
        <v>485</v>
      </c>
      <c r="B55" s="405">
        <f t="shared" si="4"/>
        <v>1</v>
      </c>
      <c r="C55" s="347">
        <f>Data!R526</f>
        <v>0.83039215686274503</v>
      </c>
      <c r="D55" s="288" t="s">
        <v>117</v>
      </c>
      <c r="E55" s="344">
        <f t="shared" si="5"/>
        <v>0</v>
      </c>
      <c r="F55" s="348">
        <f>diesel_fuel</f>
        <v>2.56</v>
      </c>
      <c r="G55" s="345">
        <f t="shared" si="6"/>
        <v>2.1258039215686275</v>
      </c>
      <c r="H55" s="346">
        <f>(B55*G55*graze)/$F$5</f>
        <v>0</v>
      </c>
      <c r="I55" s="110"/>
      <c r="J55" s="110"/>
      <c r="K55" s="55"/>
      <c r="L55" s="24"/>
      <c r="M55" s="81"/>
    </row>
    <row r="56" spans="1:13" x14ac:dyDescent="0.3">
      <c r="A56" s="22" t="str">
        <f>'[5]Key assumptions'!A158</f>
        <v xml:space="preserve">      Spread Fertilizer</v>
      </c>
      <c r="B56" s="405">
        <f t="shared" si="4"/>
        <v>1</v>
      </c>
      <c r="C56" s="156">
        <f>Data!R527</f>
        <v>0.13183670241332501</v>
      </c>
      <c r="D56" s="34" t="s">
        <v>117</v>
      </c>
      <c r="E56" s="226">
        <f t="shared" si="5"/>
        <v>0</v>
      </c>
      <c r="F56" s="167">
        <f t="shared" ref="F56:F85" si="7">diesel_fuel</f>
        <v>2.56</v>
      </c>
      <c r="G56" s="114">
        <f t="shared" si="6"/>
        <v>0.33750195817811202</v>
      </c>
      <c r="H56" s="110">
        <f>B56*G56*graze</f>
        <v>0</v>
      </c>
      <c r="I56" s="110"/>
      <c r="J56" s="110"/>
      <c r="K56" s="55"/>
      <c r="L56" s="55"/>
    </row>
    <row r="57" spans="1:13" x14ac:dyDescent="0.3">
      <c r="A57" s="289" t="s">
        <v>316</v>
      </c>
      <c r="B57" s="405">
        <f t="shared" si="4"/>
        <v>1</v>
      </c>
      <c r="C57" s="273">
        <v>0</v>
      </c>
      <c r="D57" s="288" t="s">
        <v>117</v>
      </c>
      <c r="E57" s="344">
        <f t="shared" si="5"/>
        <v>0</v>
      </c>
      <c r="F57" s="348">
        <f>diesel_fuel</f>
        <v>2.56</v>
      </c>
      <c r="G57" s="346">
        <f t="shared" si="6"/>
        <v>0</v>
      </c>
      <c r="H57" s="346">
        <f>(B57*G57*graze)/$F$5</f>
        <v>0</v>
      </c>
      <c r="I57" s="110"/>
      <c r="J57" s="110"/>
      <c r="K57" s="55"/>
      <c r="L57" s="24"/>
      <c r="M57" s="81"/>
    </row>
    <row r="58" spans="1:13" x14ac:dyDescent="0.3">
      <c r="A58" s="289" t="s">
        <v>411</v>
      </c>
      <c r="B58" s="405">
        <f t="shared" si="4"/>
        <v>1</v>
      </c>
      <c r="C58" s="347">
        <f>Data!R528</f>
        <v>0.29913189036743482</v>
      </c>
      <c r="D58" s="288" t="s">
        <v>117</v>
      </c>
      <c r="E58" s="344">
        <f t="shared" si="5"/>
        <v>0</v>
      </c>
      <c r="F58" s="348">
        <f>diesel_fuel</f>
        <v>2.56</v>
      </c>
      <c r="G58" s="345">
        <f t="shared" si="6"/>
        <v>0.76577763934063314</v>
      </c>
      <c r="H58" s="346">
        <f>(B58*G58*graze)/$F$5</f>
        <v>0</v>
      </c>
      <c r="I58" s="110"/>
      <c r="J58" s="110"/>
      <c r="K58" s="55"/>
      <c r="L58" s="24"/>
      <c r="M58" s="81"/>
    </row>
    <row r="59" spans="1:13" x14ac:dyDescent="0.3">
      <c r="A59" s="289" t="s">
        <v>743</v>
      </c>
      <c r="B59" s="405">
        <f t="shared" si="4"/>
        <v>1</v>
      </c>
      <c r="C59" s="347">
        <f>Data!R533</f>
        <v>0.5114623979838181</v>
      </c>
      <c r="D59" s="288" t="s">
        <v>117</v>
      </c>
      <c r="E59" s="344">
        <f t="shared" si="5"/>
        <v>0</v>
      </c>
      <c r="F59" s="348">
        <f>diesel_fuel</f>
        <v>2.56</v>
      </c>
      <c r="G59" s="345">
        <f t="shared" si="6"/>
        <v>1.3093437388385742</v>
      </c>
      <c r="H59" s="346">
        <f>(B59*G59*graze)/$F$5</f>
        <v>0</v>
      </c>
      <c r="I59" s="110"/>
      <c r="J59" s="110"/>
      <c r="K59" s="55"/>
      <c r="L59" s="24"/>
      <c r="M59" s="81"/>
    </row>
    <row r="60" spans="1:13" x14ac:dyDescent="0.3">
      <c r="A60" s="289" t="s">
        <v>304</v>
      </c>
      <c r="B60" s="405">
        <f t="shared" si="4"/>
        <v>1</v>
      </c>
      <c r="C60" s="347">
        <f>Data!R537</f>
        <v>0.11981642612033799</v>
      </c>
      <c r="D60" s="288" t="s">
        <v>117</v>
      </c>
      <c r="E60" s="344">
        <f t="shared" si="5"/>
        <v>0</v>
      </c>
      <c r="F60" s="348">
        <f>diesel_fuel</f>
        <v>2.56</v>
      </c>
      <c r="G60" s="345">
        <f t="shared" si="6"/>
        <v>0.30673005086806526</v>
      </c>
      <c r="H60" s="346">
        <f>(B60*G60*graze)/$F$5</f>
        <v>0</v>
      </c>
      <c r="I60" s="110"/>
      <c r="J60" s="110"/>
      <c r="K60" s="55"/>
      <c r="L60" s="24"/>
      <c r="M60" s="81"/>
    </row>
    <row r="61" spans="1:13" s="374" customFormat="1" x14ac:dyDescent="0.3">
      <c r="A61" s="368" t="s">
        <v>304</v>
      </c>
      <c r="B61" s="405">
        <f t="shared" si="4"/>
        <v>1</v>
      </c>
      <c r="C61" s="369">
        <f>Data!R537</f>
        <v>0.11981642612033799</v>
      </c>
      <c r="D61" s="370" t="s">
        <v>117</v>
      </c>
      <c r="E61" s="366">
        <f>C61*graze</f>
        <v>0</v>
      </c>
      <c r="F61" s="371">
        <f>diesel_fuel</f>
        <v>2.56</v>
      </c>
      <c r="G61" s="367">
        <f>C61*F61</f>
        <v>0.30673005086806526</v>
      </c>
      <c r="H61" s="110">
        <f>B61*G61*graze</f>
        <v>0</v>
      </c>
      <c r="I61" s="211"/>
      <c r="J61" s="211"/>
      <c r="K61" s="372"/>
      <c r="L61" s="174"/>
      <c r="M61" s="373"/>
    </row>
    <row r="62" spans="1:13" x14ac:dyDescent="0.3">
      <c r="A62" s="22" t="str">
        <f>'[5]Key assumptions'!A159</f>
        <v xml:space="preserve">      Set Up Fences</v>
      </c>
      <c r="B62" s="405">
        <f t="shared" si="4"/>
        <v>1</v>
      </c>
      <c r="C62" s="156">
        <f>Data!R534</f>
        <v>0.05</v>
      </c>
      <c r="D62" s="34" t="s">
        <v>117</v>
      </c>
      <c r="E62" s="226">
        <f t="shared" si="5"/>
        <v>0</v>
      </c>
      <c r="F62" s="167">
        <f t="shared" si="7"/>
        <v>2.56</v>
      </c>
      <c r="G62" s="114">
        <f t="shared" si="6"/>
        <v>0.128</v>
      </c>
      <c r="H62" s="110">
        <f>B62*G62*graze</f>
        <v>0</v>
      </c>
      <c r="I62" s="110"/>
      <c r="J62" s="110"/>
      <c r="K62" s="55"/>
      <c r="L62" s="55"/>
    </row>
    <row r="63" spans="1:13" x14ac:dyDescent="0.3">
      <c r="A63" s="22" t="str">
        <f>'[5]Key assumptions'!A160</f>
        <v xml:space="preserve">      Move Cows &amp; Fences</v>
      </c>
      <c r="B63" s="405">
        <f t="shared" si="4"/>
        <v>1</v>
      </c>
      <c r="C63" s="165">
        <f>Data!R535</f>
        <v>0</v>
      </c>
      <c r="D63" s="34" t="s">
        <v>117</v>
      </c>
      <c r="E63" s="226">
        <f t="shared" si="5"/>
        <v>0</v>
      </c>
      <c r="F63" s="167">
        <f t="shared" si="7"/>
        <v>2.56</v>
      </c>
      <c r="G63" s="110">
        <f t="shared" si="6"/>
        <v>0</v>
      </c>
      <c r="H63" s="110">
        <f>B63*G63*graze</f>
        <v>0</v>
      </c>
      <c r="I63" s="110"/>
      <c r="J63" s="110"/>
      <c r="K63" s="55"/>
      <c r="L63" s="55"/>
    </row>
    <row r="64" spans="1:13" x14ac:dyDescent="0.3">
      <c r="A64" s="22" t="s">
        <v>322</v>
      </c>
      <c r="B64" s="405">
        <f t="shared" si="4"/>
        <v>1</v>
      </c>
      <c r="C64" s="273">
        <v>0</v>
      </c>
      <c r="D64" s="34" t="s">
        <v>117</v>
      </c>
      <c r="E64" s="226">
        <f t="shared" si="5"/>
        <v>0</v>
      </c>
      <c r="F64" s="167">
        <f t="shared" si="7"/>
        <v>2.56</v>
      </c>
      <c r="G64" s="110">
        <f t="shared" si="6"/>
        <v>0</v>
      </c>
      <c r="H64" s="110">
        <f>B64*G64*graze</f>
        <v>0</v>
      </c>
      <c r="I64" s="110"/>
      <c r="J64" s="110"/>
      <c r="K64" s="55"/>
      <c r="L64" s="55"/>
    </row>
    <row r="65" spans="1:12" x14ac:dyDescent="0.3">
      <c r="A65" s="22" t="str">
        <f>'[5]Key assumptions'!A162</f>
        <v xml:space="preserve">      Mow at End of Grazing Season</v>
      </c>
      <c r="B65" s="405">
        <f t="shared" si="4"/>
        <v>1</v>
      </c>
      <c r="C65" s="156">
        <f>Data!R536</f>
        <v>0.40333333333333299</v>
      </c>
      <c r="D65" s="34" t="s">
        <v>117</v>
      </c>
      <c r="E65" s="226">
        <f t="shared" si="5"/>
        <v>0</v>
      </c>
      <c r="F65" s="167">
        <f t="shared" si="7"/>
        <v>2.56</v>
      </c>
      <c r="G65" s="114">
        <f t="shared" si="6"/>
        <v>1.0325333333333324</v>
      </c>
      <c r="H65" s="110">
        <f>B65*G65*graze</f>
        <v>0</v>
      </c>
      <c r="I65" s="110"/>
      <c r="J65" s="110"/>
      <c r="K65" s="55"/>
      <c r="L65" s="55"/>
    </row>
    <row r="66" spans="1:12" x14ac:dyDescent="0.3">
      <c r="A66" s="289" t="s">
        <v>325</v>
      </c>
      <c r="B66" s="405">
        <f t="shared" si="4"/>
        <v>1</v>
      </c>
      <c r="C66" s="347">
        <f>Data!$R$539*$K$22*$K$25</f>
        <v>0</v>
      </c>
      <c r="D66" s="288" t="s">
        <v>117</v>
      </c>
      <c r="E66" s="344">
        <f t="shared" si="5"/>
        <v>0</v>
      </c>
      <c r="F66" s="348">
        <f>diesel_fuel</f>
        <v>2.56</v>
      </c>
      <c r="G66" s="345">
        <f t="shared" ref="G66:G80" si="8">C66*F66</f>
        <v>0</v>
      </c>
      <c r="H66" s="346">
        <f>IF($F$5=1,B66*G66*graze*GrzOwnC!$B$19,B66*G66*graze*GrzOwnC!$B$19*(($F$5-1)/$F$5))</f>
        <v>0</v>
      </c>
      <c r="I66" s="110"/>
      <c r="J66" s="110"/>
      <c r="K66" s="55"/>
      <c r="L66" s="55"/>
    </row>
    <row r="67" spans="1:12" x14ac:dyDescent="0.3">
      <c r="A67" s="578" t="s">
        <v>1022</v>
      </c>
      <c r="B67" s="405">
        <f t="shared" si="4"/>
        <v>0</v>
      </c>
      <c r="C67" s="579">
        <f>Data!$R$540*$K$22*$K$25*Data!$F$165</f>
        <v>0</v>
      </c>
      <c r="D67" s="580" t="s">
        <v>117</v>
      </c>
      <c r="E67" s="585">
        <f>C67*graze</f>
        <v>0</v>
      </c>
      <c r="F67" s="581">
        <f>diesel_fuel</f>
        <v>2.56</v>
      </c>
      <c r="G67" s="582">
        <f>C67*F67</f>
        <v>0</v>
      </c>
      <c r="H67" s="583">
        <f>IF($F$5=1,B67*G67*graze*GrzOwnC!$B$19,B67*G67*graze*GrzOwnC!$B$19*(($F$5-1)/$F$5))</f>
        <v>0</v>
      </c>
      <c r="J67" s="114"/>
      <c r="K67" s="55"/>
    </row>
    <row r="68" spans="1:12" x14ac:dyDescent="0.3">
      <c r="A68" s="289" t="s">
        <v>326</v>
      </c>
      <c r="B68" s="405">
        <f>B34</f>
        <v>1</v>
      </c>
      <c r="C68" s="347">
        <f>Data!$R$541*$K$22*$K$25</f>
        <v>0</v>
      </c>
      <c r="D68" s="288" t="s">
        <v>117</v>
      </c>
      <c r="E68" s="344">
        <f t="shared" si="5"/>
        <v>0</v>
      </c>
      <c r="F68" s="348">
        <f t="shared" si="7"/>
        <v>2.56</v>
      </c>
      <c r="G68" s="345">
        <f t="shared" si="8"/>
        <v>0</v>
      </c>
      <c r="H68" s="346">
        <f>IF($F$5=1,B68*G68*graze*GrzOwnC!$B$12,B68*G68*graze*GrzOwnC!$B$12*(($F$5-1)/$F$5))</f>
        <v>0</v>
      </c>
      <c r="I68" s="110"/>
      <c r="J68" s="110"/>
      <c r="K68" s="55"/>
      <c r="L68" s="55"/>
    </row>
    <row r="69" spans="1:12" x14ac:dyDescent="0.3">
      <c r="A69" s="578" t="s">
        <v>1022</v>
      </c>
      <c r="B69" s="405">
        <f t="shared" si="4"/>
        <v>1</v>
      </c>
      <c r="C69" s="579">
        <f>Data!$R$542*$K$22*$K$25*Data!$F$165</f>
        <v>0</v>
      </c>
      <c r="D69" s="580" t="s">
        <v>117</v>
      </c>
      <c r="E69" s="585">
        <f>C69*graze</f>
        <v>0</v>
      </c>
      <c r="F69" s="581">
        <f>diesel_fuel</f>
        <v>2.56</v>
      </c>
      <c r="G69" s="582">
        <f>C69*F69</f>
        <v>0</v>
      </c>
      <c r="H69" s="583">
        <f>IF($F$5=1,B69*G69*graze*GrzOwnC!$B$12,B69*G69*graze*GrzOwnC!$B$12*(($F$5-1)/$F$5))</f>
        <v>0</v>
      </c>
      <c r="J69" s="114"/>
      <c r="K69" s="55"/>
    </row>
    <row r="70" spans="1:12" x14ac:dyDescent="0.3">
      <c r="A70" s="289" t="s">
        <v>1068</v>
      </c>
      <c r="B70" s="405">
        <f>B36</f>
        <v>1</v>
      </c>
      <c r="C70" s="347">
        <f>Data!$R$543*$K$22*($K$26+$K$27)</f>
        <v>0</v>
      </c>
      <c r="D70" s="288" t="s">
        <v>117</v>
      </c>
      <c r="E70" s="344">
        <f t="shared" si="5"/>
        <v>0</v>
      </c>
      <c r="F70" s="348">
        <f t="shared" si="7"/>
        <v>2.56</v>
      </c>
      <c r="G70" s="345">
        <f t="shared" si="8"/>
        <v>0</v>
      </c>
      <c r="H70" s="346">
        <f>IF($F$5=1,B70*G70*graze*GrzOwnC!$B$20,B70*G70*graze*GrzOwnC!$B$20*(($F$5-1)/$F$5))</f>
        <v>0</v>
      </c>
      <c r="I70" s="110"/>
      <c r="J70" s="110"/>
      <c r="K70" s="55"/>
      <c r="L70" s="55"/>
    </row>
    <row r="71" spans="1:12" x14ac:dyDescent="0.3">
      <c r="A71" s="289" t="s">
        <v>1069</v>
      </c>
      <c r="B71" s="405">
        <f>B37</f>
        <v>1</v>
      </c>
      <c r="C71" s="347">
        <f>Data!$R$544*$K$22*($K$26+$K$27)</f>
        <v>0</v>
      </c>
      <c r="D71" s="288" t="s">
        <v>117</v>
      </c>
      <c r="E71" s="344">
        <f t="shared" si="5"/>
        <v>0</v>
      </c>
      <c r="F71" s="348">
        <f t="shared" si="7"/>
        <v>2.56</v>
      </c>
      <c r="G71" s="345">
        <f t="shared" si="8"/>
        <v>0</v>
      </c>
      <c r="H71" s="346">
        <f>IF($F$5=1,B71*G71*graze*GrzOwnC!$B$21,B71*G71*graze*GrzOwnC!$B$21*(($F$5-1)/$F$5))</f>
        <v>0</v>
      </c>
      <c r="I71" s="110"/>
      <c r="J71" s="110"/>
      <c r="K71" s="55"/>
      <c r="L71" s="55"/>
    </row>
    <row r="72" spans="1:12" x14ac:dyDescent="0.3">
      <c r="A72" s="289" t="s">
        <v>1070</v>
      </c>
      <c r="B72" s="405">
        <f>B38</f>
        <v>1</v>
      </c>
      <c r="C72" s="347">
        <f>Data!$R$545*$K$22*$K$26</f>
        <v>0</v>
      </c>
      <c r="D72" s="288" t="s">
        <v>117</v>
      </c>
      <c r="E72" s="344">
        <f t="shared" si="5"/>
        <v>0</v>
      </c>
      <c r="F72" s="348">
        <f t="shared" si="7"/>
        <v>2.56</v>
      </c>
      <c r="G72" s="345">
        <f t="shared" si="8"/>
        <v>0</v>
      </c>
      <c r="H72" s="346">
        <f>IF($F$5=1,B72*G72*graze*GrzOwnC!$B$22,B72*G72*graze*GrzOwnC!$B$22*(($F$5-1)/$F$5))</f>
        <v>0</v>
      </c>
      <c r="I72" s="110"/>
      <c r="J72" s="110"/>
      <c r="K72" s="55"/>
      <c r="L72" s="55"/>
    </row>
    <row r="73" spans="1:12" x14ac:dyDescent="0.3">
      <c r="A73" s="578" t="s">
        <v>1022</v>
      </c>
      <c r="B73" s="405">
        <f t="shared" ref="B73:B83" si="9">B39</f>
        <v>0</v>
      </c>
      <c r="C73" s="579">
        <f>Data!$R$546*$K$22*$K$26*Data!$F$165</f>
        <v>0</v>
      </c>
      <c r="D73" s="580" t="s">
        <v>117</v>
      </c>
      <c r="E73" s="585">
        <f>C73*graze</f>
        <v>0</v>
      </c>
      <c r="F73" s="581">
        <f>diesel_fuel</f>
        <v>2.56</v>
      </c>
      <c r="G73" s="582">
        <f>C73*F73</f>
        <v>0</v>
      </c>
      <c r="H73" s="583">
        <f>IF($F$5=1,B73*G73*graze*GrzOwnC!$B$22,B73*G73*graze*GrzOwnC!$B$22*(($F$5-1)/$F$5))</f>
        <v>0</v>
      </c>
      <c r="J73" s="114"/>
      <c r="K73" s="55"/>
    </row>
    <row r="74" spans="1:12" x14ac:dyDescent="0.3">
      <c r="A74" s="289" t="s">
        <v>1049</v>
      </c>
      <c r="B74" s="405">
        <f>B40</f>
        <v>1</v>
      </c>
      <c r="C74" s="347">
        <f>Data!$R$547*$K$22*$K$26</f>
        <v>0</v>
      </c>
      <c r="D74" s="288" t="s">
        <v>117</v>
      </c>
      <c r="E74" s="344">
        <f t="shared" si="5"/>
        <v>0</v>
      </c>
      <c r="F74" s="348">
        <f t="shared" si="7"/>
        <v>2.56</v>
      </c>
      <c r="G74" s="345">
        <f>C74*F74</f>
        <v>0</v>
      </c>
      <c r="H74" s="346">
        <f>IF($F$5=1,B74*G74*graze*GrzOwnC!$B$22,B74*G74*graze*GrzOwnC!$B$22*(($F$5-1)/$F$5))</f>
        <v>0</v>
      </c>
      <c r="J74" s="110"/>
      <c r="K74" s="55"/>
      <c r="L74" s="55"/>
    </row>
    <row r="75" spans="1:12" x14ac:dyDescent="0.3">
      <c r="A75" s="578" t="s">
        <v>1022</v>
      </c>
      <c r="B75" s="405">
        <f t="shared" si="9"/>
        <v>1</v>
      </c>
      <c r="C75" s="584">
        <f>Data!$R$548*$K$22*$K$26*Data!$F$165</f>
        <v>0</v>
      </c>
      <c r="D75" s="580" t="s">
        <v>117</v>
      </c>
      <c r="E75" s="585">
        <f>C75*graze</f>
        <v>0</v>
      </c>
      <c r="F75" s="581">
        <f>diesel_fuel</f>
        <v>2.56</v>
      </c>
      <c r="G75" s="582">
        <f>C75*F75</f>
        <v>0</v>
      </c>
      <c r="H75" s="583">
        <f>IF($F$5=1,B75*G75*graze*GrzOwnC!$B$22,B75*G75*graze*GrzOwnC!$B$22*(($F$5-1)/$F$5))</f>
        <v>0</v>
      </c>
      <c r="J75" s="114"/>
      <c r="K75" s="55"/>
    </row>
    <row r="76" spans="1:12" x14ac:dyDescent="0.3">
      <c r="A76" s="289" t="s">
        <v>1071</v>
      </c>
      <c r="B76" s="405">
        <f>B42</f>
        <v>1</v>
      </c>
      <c r="C76" s="347">
        <f>Data!$R$549*$K$22*$K$27</f>
        <v>0</v>
      </c>
      <c r="D76" s="288" t="s">
        <v>117</v>
      </c>
      <c r="E76" s="344">
        <f t="shared" si="5"/>
        <v>0</v>
      </c>
      <c r="F76" s="348">
        <f t="shared" si="7"/>
        <v>2.56</v>
      </c>
      <c r="G76" s="345">
        <f t="shared" si="8"/>
        <v>0</v>
      </c>
      <c r="H76" s="346">
        <f>IF($F$5=1,B76*G76*graze*GrzOwnC!$B$23,B76*G76*graze*GrzOwnC!$B$23*(($F$5-1)/F$5))</f>
        <v>0</v>
      </c>
      <c r="I76" s="110"/>
      <c r="J76" s="110"/>
      <c r="K76" s="55"/>
      <c r="L76" s="55"/>
    </row>
    <row r="77" spans="1:12" x14ac:dyDescent="0.3">
      <c r="A77" s="578" t="s">
        <v>1022</v>
      </c>
      <c r="B77" s="405">
        <f t="shared" si="9"/>
        <v>0</v>
      </c>
      <c r="C77" s="579">
        <f>Data!$R$550*$K$22*$K$27*Data!$F$165</f>
        <v>0</v>
      </c>
      <c r="D77" s="580" t="s">
        <v>117</v>
      </c>
      <c r="E77" s="585">
        <f>C77*graze</f>
        <v>0</v>
      </c>
      <c r="F77" s="581">
        <f>diesel_fuel</f>
        <v>2.56</v>
      </c>
      <c r="G77" s="582">
        <f>C77*F77</f>
        <v>0</v>
      </c>
      <c r="H77" s="583">
        <f>IF($F$5=1,B77*G77*graze*GrzOwnC!$B$23,B77*G77*graze*GrzOwnC!$B$23*(($F$5-1)/$F$5))</f>
        <v>0</v>
      </c>
      <c r="J77" s="114"/>
      <c r="K77" s="55"/>
    </row>
    <row r="78" spans="1:12" x14ac:dyDescent="0.3">
      <c r="A78" s="289" t="s">
        <v>1051</v>
      </c>
      <c r="B78" s="405">
        <f>B44</f>
        <v>1</v>
      </c>
      <c r="C78" s="343">
        <f>Data!$R$551*$K$22*$K$27</f>
        <v>0</v>
      </c>
      <c r="D78" s="288" t="s">
        <v>117</v>
      </c>
      <c r="E78" s="344">
        <f t="shared" si="5"/>
        <v>0</v>
      </c>
      <c r="F78" s="348">
        <f t="shared" si="7"/>
        <v>2.56</v>
      </c>
      <c r="G78" s="345">
        <f>C78*F78</f>
        <v>0</v>
      </c>
      <c r="H78" s="346">
        <f>IF($F$5=1,B78*G78*graze*GrzOwnC!$B$23,B78*G78*graze*GrzOwnC!$B$23*(($F$5-1)/$F$5))</f>
        <v>0</v>
      </c>
      <c r="J78" s="110"/>
      <c r="K78" s="55"/>
      <c r="L78" s="55"/>
    </row>
    <row r="79" spans="1:12" x14ac:dyDescent="0.3">
      <c r="A79" s="578" t="s">
        <v>1022</v>
      </c>
      <c r="B79" s="405">
        <f t="shared" si="9"/>
        <v>1</v>
      </c>
      <c r="C79" s="586">
        <f>Data!$R$552*$K$22*$K$27*Data!$F$165</f>
        <v>0</v>
      </c>
      <c r="D79" s="580" t="s">
        <v>117</v>
      </c>
      <c r="E79" s="585">
        <f>C79*graze</f>
        <v>0</v>
      </c>
      <c r="F79" s="581">
        <f>diesel_fuel</f>
        <v>2.56</v>
      </c>
      <c r="G79" s="582">
        <f>C79*F79</f>
        <v>0</v>
      </c>
      <c r="H79" s="583">
        <f>IF($F$5=1,B79*G79*graze*GrzOwnC!$B$23,B79*G79*graze*GrzOwnC!$B$23*(($F$5-1)/$F$5))</f>
        <v>0</v>
      </c>
      <c r="J79" s="114"/>
      <c r="K79" s="55"/>
    </row>
    <row r="80" spans="1:12" x14ac:dyDescent="0.3">
      <c r="A80" s="289" t="s">
        <v>1072</v>
      </c>
      <c r="B80" s="405">
        <f>B46</f>
        <v>1</v>
      </c>
      <c r="C80" s="347">
        <f>Data!$R$553*$K$22*$K$26</f>
        <v>0</v>
      </c>
      <c r="D80" s="288" t="s">
        <v>117</v>
      </c>
      <c r="E80" s="344">
        <f t="shared" si="5"/>
        <v>0</v>
      </c>
      <c r="F80" s="348">
        <f t="shared" si="7"/>
        <v>2.56</v>
      </c>
      <c r="G80" s="345">
        <f t="shared" si="8"/>
        <v>0</v>
      </c>
      <c r="H80" s="346">
        <f>IF($F$5=1,B80*G80*graze*GrzOwnC!$B$22,B80*G80*graze*GrzOwnC!$B$22*(($F$5-1)/$F$5))</f>
        <v>0</v>
      </c>
      <c r="I80" s="110"/>
      <c r="J80" s="110"/>
      <c r="K80" s="55"/>
      <c r="L80" s="55"/>
    </row>
    <row r="81" spans="1:13" x14ac:dyDescent="0.3">
      <c r="A81" s="578" t="s">
        <v>1022</v>
      </c>
      <c r="B81" s="405">
        <f t="shared" si="9"/>
        <v>1</v>
      </c>
      <c r="C81" s="584">
        <f>Data!$R$554*$K$22*$K$26*Data!$F$165</f>
        <v>0</v>
      </c>
      <c r="D81" s="580" t="s">
        <v>117</v>
      </c>
      <c r="E81" s="585">
        <f>C81*graze</f>
        <v>0</v>
      </c>
      <c r="F81" s="581">
        <f>diesel_fuel</f>
        <v>2.56</v>
      </c>
      <c r="G81" s="582">
        <f>C81*F81</f>
        <v>0</v>
      </c>
      <c r="H81" s="583">
        <f>IF($F$5=1,B81*G81*graze*GrzOwnC!$B$22,B81*G81*graze*GrzOwnC!$B$22*(($F$5-1)/$F$5))</f>
        <v>0</v>
      </c>
      <c r="J81" s="114"/>
      <c r="K81" s="55"/>
    </row>
    <row r="82" spans="1:13" x14ac:dyDescent="0.3">
      <c r="A82" s="289" t="s">
        <v>1073</v>
      </c>
      <c r="B82" s="405">
        <f>B48</f>
        <v>1</v>
      </c>
      <c r="C82" s="347">
        <f>Data!$R$555*$K$22*$K$27</f>
        <v>0</v>
      </c>
      <c r="D82" s="288" t="s">
        <v>117</v>
      </c>
      <c r="E82" s="344">
        <f>C82*graze</f>
        <v>0</v>
      </c>
      <c r="F82" s="348">
        <f t="shared" si="7"/>
        <v>2.56</v>
      </c>
      <c r="G82" s="345">
        <f>C82*F82</f>
        <v>0</v>
      </c>
      <c r="H82" s="346">
        <f>IF($F$5=1,B82*G82*graze*GrzOwnC!$B$23,B82*G82*graze*GrzOwnC!$B$23*(($F$5-1)/$F$5))</f>
        <v>0</v>
      </c>
      <c r="I82" s="110"/>
      <c r="J82" s="110"/>
      <c r="K82" s="55"/>
      <c r="L82" s="55"/>
    </row>
    <row r="83" spans="1:13" x14ac:dyDescent="0.3">
      <c r="A83" s="578" t="s">
        <v>1022</v>
      </c>
      <c r="B83" s="405">
        <f t="shared" si="9"/>
        <v>1</v>
      </c>
      <c r="C83" s="584">
        <f>Data!$R$556*$K$22*$K$27*Data!$F$165</f>
        <v>0</v>
      </c>
      <c r="D83" s="580" t="s">
        <v>117</v>
      </c>
      <c r="E83" s="585">
        <f>C83*graze</f>
        <v>0</v>
      </c>
      <c r="F83" s="581">
        <f>diesel_fuel</f>
        <v>2.56</v>
      </c>
      <c r="G83" s="582">
        <f>C83*F83</f>
        <v>0</v>
      </c>
      <c r="H83" s="583">
        <f>IF($F$5=1,B83*G83*graze*GrzOwnC!$B$23,B83*G83*graze*GrzOwnC!$B$23*(($F$5-1)/$F$5))</f>
        <v>0</v>
      </c>
      <c r="J83" s="114"/>
      <c r="K83" s="55"/>
    </row>
    <row r="84" spans="1:13" x14ac:dyDescent="0.3">
      <c r="A84" s="95" t="s">
        <v>331</v>
      </c>
      <c r="B84" s="60"/>
      <c r="C84" s="60"/>
      <c r="D84" s="34"/>
      <c r="E84" s="34"/>
      <c r="F84" s="167"/>
      <c r="G84" s="114"/>
      <c r="H84" s="110"/>
      <c r="I84" s="110"/>
      <c r="J84" s="110"/>
      <c r="K84" s="55"/>
      <c r="L84" s="55"/>
    </row>
    <row r="85" spans="1:13" x14ac:dyDescent="0.3">
      <c r="A85" s="6" t="s">
        <v>314</v>
      </c>
      <c r="B85" s="397">
        <v>1</v>
      </c>
      <c r="C85" s="273">
        <v>0</v>
      </c>
      <c r="D85" s="34" t="s">
        <v>116</v>
      </c>
      <c r="E85" s="226">
        <f>C85*graze</f>
        <v>0</v>
      </c>
      <c r="F85" s="167">
        <f t="shared" si="7"/>
        <v>2.56</v>
      </c>
      <c r="G85" s="110">
        <f>C85*F85</f>
        <v>0</v>
      </c>
      <c r="H85" s="110">
        <f>B85*G85*graze</f>
        <v>0</v>
      </c>
      <c r="I85" s="127">
        <f>SUM(H53:H85)</f>
        <v>0</v>
      </c>
      <c r="J85" s="110"/>
      <c r="K85" s="55"/>
      <c r="L85" s="24"/>
      <c r="M85" s="81"/>
    </row>
    <row r="86" spans="1:13" x14ac:dyDescent="0.3">
      <c r="A86" s="3" t="s">
        <v>20</v>
      </c>
      <c r="B86" s="397">
        <v>1</v>
      </c>
      <c r="C86" s="46" t="s">
        <v>45</v>
      </c>
      <c r="D86" s="46" t="s">
        <v>45</v>
      </c>
      <c r="E86" s="46" t="s">
        <v>45</v>
      </c>
      <c r="F86" s="68" t="s">
        <v>45</v>
      </c>
      <c r="G86" s="114" t="e">
        <f>H86/graze</f>
        <v>#DIV/0!</v>
      </c>
      <c r="H86" s="110">
        <f>B86*lube*SUM(H53:H85)</f>
        <v>0</v>
      </c>
      <c r="J86" s="110"/>
      <c r="K86" s="55"/>
      <c r="L86" s="81"/>
      <c r="M86" s="81"/>
    </row>
    <row r="87" spans="1:13" x14ac:dyDescent="0.3">
      <c r="A87" s="3" t="s">
        <v>491</v>
      </c>
      <c r="B87" s="397">
        <v>1</v>
      </c>
      <c r="C87" s="46" t="s">
        <v>45</v>
      </c>
      <c r="D87" s="46" t="s">
        <v>45</v>
      </c>
      <c r="E87" s="46" t="s">
        <v>45</v>
      </c>
      <c r="F87" s="68" t="s">
        <v>45</v>
      </c>
      <c r="G87" s="114" t="e">
        <f>H87/graze</f>
        <v>#DIV/0!</v>
      </c>
      <c r="H87" s="110">
        <f>IF(Data!D10=1, B87*GrzOwnC!J45*Data!D10, 0)</f>
        <v>0</v>
      </c>
      <c r="I87" s="110"/>
      <c r="J87" s="110"/>
      <c r="L87" s="24"/>
      <c r="M87" s="24"/>
    </row>
    <row r="88" spans="1:13" x14ac:dyDescent="0.3">
      <c r="A88" s="3"/>
      <c r="B88" s="397">
        <v>1</v>
      </c>
      <c r="C88" s="46" t="s">
        <v>45</v>
      </c>
      <c r="D88" s="46" t="s">
        <v>45</v>
      </c>
      <c r="E88" s="46" t="s">
        <v>45</v>
      </c>
      <c r="F88" s="68" t="s">
        <v>45</v>
      </c>
      <c r="G88" s="272">
        <f>0</f>
        <v>0</v>
      </c>
      <c r="H88" s="109">
        <f>B88*G88*graze</f>
        <v>0</v>
      </c>
      <c r="I88" s="110">
        <f>SUM(H87:H88)</f>
        <v>0</v>
      </c>
      <c r="J88" s="110"/>
    </row>
    <row r="89" spans="1:13" x14ac:dyDescent="0.3">
      <c r="A89" s="3" t="s">
        <v>170</v>
      </c>
      <c r="B89" s="397">
        <v>1</v>
      </c>
      <c r="C89" s="46" t="s">
        <v>45</v>
      </c>
      <c r="D89" s="46" t="s">
        <v>45</v>
      </c>
      <c r="E89" s="46" t="s">
        <v>45</v>
      </c>
      <c r="F89" s="68" t="s">
        <v>45</v>
      </c>
      <c r="G89" s="114">
        <f>supplies</f>
        <v>0</v>
      </c>
      <c r="H89" s="109">
        <f>B89*G89*graze</f>
        <v>0</v>
      </c>
      <c r="I89" s="110"/>
      <c r="J89" s="110"/>
    </row>
    <row r="90" spans="1:13" x14ac:dyDescent="0.3">
      <c r="A90" s="3" t="s">
        <v>75</v>
      </c>
      <c r="B90" s="397">
        <v>1</v>
      </c>
      <c r="C90" s="46" t="s">
        <v>45</v>
      </c>
      <c r="D90" s="46" t="s">
        <v>45</v>
      </c>
      <c r="E90" s="46" t="s">
        <v>45</v>
      </c>
      <c r="F90" s="68" t="s">
        <v>45</v>
      </c>
      <c r="G90" s="250">
        <v>0</v>
      </c>
      <c r="H90" s="109">
        <f>B90*G90*graze</f>
        <v>0</v>
      </c>
      <c r="I90" s="110"/>
      <c r="J90" s="110"/>
    </row>
    <row r="91" spans="1:13" x14ac:dyDescent="0.3">
      <c r="A91" s="3"/>
      <c r="B91" s="397">
        <v>1</v>
      </c>
      <c r="C91" s="46" t="s">
        <v>45</v>
      </c>
      <c r="D91" s="46" t="s">
        <v>45</v>
      </c>
      <c r="E91" s="46" t="s">
        <v>45</v>
      </c>
      <c r="F91" s="68" t="s">
        <v>45</v>
      </c>
      <c r="G91" s="272">
        <f>0</f>
        <v>0</v>
      </c>
      <c r="H91" s="109">
        <f>B91*G91*graze</f>
        <v>0</v>
      </c>
      <c r="I91" s="110">
        <f>SUM(H90:H91)</f>
        <v>0</v>
      </c>
      <c r="J91" s="110"/>
    </row>
    <row r="92" spans="1:13" x14ac:dyDescent="0.3">
      <c r="A92" s="69" t="s">
        <v>173</v>
      </c>
      <c r="B92" s="69"/>
      <c r="C92" s="46"/>
      <c r="D92" s="34"/>
      <c r="E92" s="34"/>
      <c r="F92" s="34"/>
      <c r="G92" s="114"/>
      <c r="H92" s="110"/>
      <c r="I92" s="110"/>
      <c r="J92" s="110"/>
    </row>
    <row r="93" spans="1:13" x14ac:dyDescent="0.3">
      <c r="A93" s="70" t="s">
        <v>175</v>
      </c>
      <c r="B93" s="397">
        <v>1</v>
      </c>
      <c r="C93" s="46" t="s">
        <v>45</v>
      </c>
      <c r="D93" s="34" t="s">
        <v>45</v>
      </c>
      <c r="E93" s="46" t="s">
        <v>45</v>
      </c>
      <c r="F93" s="68" t="s">
        <v>45</v>
      </c>
      <c r="G93" s="676">
        <f>Data!$F$69</f>
        <v>12</v>
      </c>
      <c r="H93" s="109">
        <f>B93*G93*graze</f>
        <v>0</v>
      </c>
      <c r="I93" s="110"/>
      <c r="J93" s="110"/>
    </row>
    <row r="94" spans="1:13" x14ac:dyDescent="0.3">
      <c r="A94" s="70" t="s">
        <v>176</v>
      </c>
      <c r="B94" s="397">
        <v>1</v>
      </c>
      <c r="C94" s="46" t="s">
        <v>45</v>
      </c>
      <c r="D94" s="34" t="s">
        <v>45</v>
      </c>
      <c r="E94" s="46" t="s">
        <v>45</v>
      </c>
      <c r="F94" s="68" t="s">
        <v>45</v>
      </c>
      <c r="G94" s="272">
        <v>0</v>
      </c>
      <c r="H94" s="109">
        <f>B94*G94*graze</f>
        <v>0</v>
      </c>
      <c r="I94" s="110"/>
      <c r="J94" s="110"/>
    </row>
    <row r="95" spans="1:13" x14ac:dyDescent="0.3">
      <c r="A95" s="70" t="s">
        <v>177</v>
      </c>
      <c r="B95" s="70"/>
      <c r="C95" s="110"/>
      <c r="D95" s="110"/>
      <c r="E95" s="110"/>
      <c r="F95" s="110"/>
      <c r="G95" s="114"/>
      <c r="H95" s="110"/>
      <c r="I95" s="110"/>
      <c r="J95" s="110"/>
    </row>
    <row r="96" spans="1:13" x14ac:dyDescent="0.3">
      <c r="A96" s="22" t="s">
        <v>174</v>
      </c>
      <c r="B96" s="397">
        <v>1</v>
      </c>
      <c r="C96" s="34" t="s">
        <v>45</v>
      </c>
      <c r="D96" s="34" t="s">
        <v>81</v>
      </c>
      <c r="E96" s="46" t="s">
        <v>45</v>
      </c>
      <c r="F96" s="68" t="s">
        <v>45</v>
      </c>
      <c r="G96" s="110">
        <f>Data!D61</f>
        <v>50</v>
      </c>
      <c r="H96" s="110">
        <f>B96*G96*graze*Data!E57*Data!D10</f>
        <v>0</v>
      </c>
      <c r="I96" s="110"/>
      <c r="J96" s="110"/>
    </row>
    <row r="97" spans="1:11" x14ac:dyDescent="0.3">
      <c r="A97" s="22" t="s">
        <v>928</v>
      </c>
      <c r="B97" s="397">
        <v>0</v>
      </c>
      <c r="C97" s="34" t="s">
        <v>45</v>
      </c>
      <c r="D97" s="34" t="s">
        <v>929</v>
      </c>
      <c r="E97" s="228" t="s">
        <v>45</v>
      </c>
      <c r="F97" s="55" t="s">
        <v>45</v>
      </c>
      <c r="G97" s="272">
        <f>15/5</f>
        <v>3</v>
      </c>
      <c r="H97" s="109">
        <f>B97*G97*graze</f>
        <v>0</v>
      </c>
      <c r="I97" s="110">
        <f>SUM(H96:H97)</f>
        <v>0</v>
      </c>
      <c r="J97" s="114"/>
    </row>
    <row r="98" spans="1:11" x14ac:dyDescent="0.3">
      <c r="A98" s="70" t="s">
        <v>178</v>
      </c>
      <c r="B98" s="397">
        <v>1</v>
      </c>
      <c r="C98" s="34" t="s">
        <v>45</v>
      </c>
      <c r="D98" s="34" t="s">
        <v>45</v>
      </c>
      <c r="E98" s="46" t="s">
        <v>45</v>
      </c>
      <c r="F98" s="68" t="s">
        <v>45</v>
      </c>
      <c r="G98" s="272">
        <v>0</v>
      </c>
      <c r="H98" s="110">
        <f>B98*G98*graze</f>
        <v>0</v>
      </c>
      <c r="I98" s="109"/>
      <c r="J98" s="110"/>
    </row>
    <row r="99" spans="1:11" ht="13.5" thickBot="1" x14ac:dyDescent="0.35">
      <c r="A99" s="70" t="s">
        <v>179</v>
      </c>
      <c r="B99" s="110"/>
      <c r="C99" s="110"/>
      <c r="D99" s="110"/>
      <c r="E99" s="110"/>
      <c r="F99" s="110"/>
      <c r="G99" s="110"/>
      <c r="H99" s="110"/>
      <c r="I99" s="109"/>
      <c r="J99" s="110"/>
    </row>
    <row r="100" spans="1:11" x14ac:dyDescent="0.3">
      <c r="A100" s="22" t="s">
        <v>952</v>
      </c>
      <c r="B100" s="110"/>
      <c r="C100" s="110"/>
      <c r="D100" s="110"/>
      <c r="E100" s="110"/>
      <c r="F100" s="110"/>
      <c r="G100" s="110"/>
      <c r="H100" s="110"/>
      <c r="I100" s="50"/>
      <c r="J100" s="487" t="s">
        <v>1038</v>
      </c>
      <c r="K100" s="488" t="s">
        <v>1041</v>
      </c>
    </row>
    <row r="101" spans="1:11" x14ac:dyDescent="0.3">
      <c r="A101" s="411" t="s">
        <v>953</v>
      </c>
      <c r="B101" s="405">
        <f>IF(K26&gt;0,1,0)</f>
        <v>0</v>
      </c>
      <c r="C101" s="46" t="s">
        <v>45</v>
      </c>
      <c r="D101" s="34" t="s">
        <v>956</v>
      </c>
      <c r="E101" s="34" t="s">
        <v>45</v>
      </c>
      <c r="F101" s="413">
        <v>2.8444444444444446</v>
      </c>
      <c r="G101" s="414">
        <f>B101*F101*Data!$I$151</f>
        <v>0</v>
      </c>
      <c r="H101" s="110">
        <f>B101*G101*(graze*$K$22)*K26*K101</f>
        <v>0</v>
      </c>
      <c r="I101" s="50"/>
      <c r="J101" s="489" t="s">
        <v>1039</v>
      </c>
      <c r="K101" s="490">
        <v>0</v>
      </c>
    </row>
    <row r="102" spans="1:11" ht="13.5" thickBot="1" x14ac:dyDescent="0.35">
      <c r="A102" s="411" t="s">
        <v>954</v>
      </c>
      <c r="B102" s="405">
        <f>IF(K26&gt;0,1,0)</f>
        <v>0</v>
      </c>
      <c r="C102" s="46" t="s">
        <v>45</v>
      </c>
      <c r="D102" s="34" t="s">
        <v>956</v>
      </c>
      <c r="E102" s="34" t="s">
        <v>45</v>
      </c>
      <c r="F102" s="413">
        <v>0.86</v>
      </c>
      <c r="G102" s="414">
        <f>B102*F102*Data!$I$151</f>
        <v>0</v>
      </c>
      <c r="H102" s="110">
        <f>B102*G102*(graze*$K$22)*K26*K102</f>
        <v>0</v>
      </c>
      <c r="I102" s="50"/>
      <c r="J102" s="491" t="s">
        <v>1040</v>
      </c>
      <c r="K102" s="492">
        <v>0</v>
      </c>
    </row>
    <row r="103" spans="1:11" x14ac:dyDescent="0.3">
      <c r="A103" s="411" t="s">
        <v>955</v>
      </c>
      <c r="B103" s="405">
        <f>IF(K27&gt;0,1,0)</f>
        <v>0</v>
      </c>
      <c r="C103" s="46" t="s">
        <v>45</v>
      </c>
      <c r="D103" s="34" t="s">
        <v>956</v>
      </c>
      <c r="E103" s="34" t="s">
        <v>45</v>
      </c>
      <c r="F103" s="413">
        <v>7.0000000000000007E-2</v>
      </c>
      <c r="G103" s="414">
        <f>B103*F103*Data!$Q$151</f>
        <v>0</v>
      </c>
      <c r="H103" s="110">
        <f>B103*G103*(graze*$K$22)*K27</f>
        <v>0</v>
      </c>
      <c r="I103" s="50"/>
    </row>
    <row r="104" spans="1:11" x14ac:dyDescent="0.3">
      <c r="A104" s="9" t="s">
        <v>1036</v>
      </c>
      <c r="B104" s="397">
        <v>0</v>
      </c>
      <c r="C104" s="47" t="s">
        <v>45</v>
      </c>
      <c r="D104" s="48" t="s">
        <v>45</v>
      </c>
      <c r="E104" s="48" t="s">
        <v>45</v>
      </c>
      <c r="F104" s="118" t="s">
        <v>45</v>
      </c>
      <c r="G104" s="465">
        <f>(G101*Data!$M$152)</f>
        <v>0</v>
      </c>
      <c r="H104" s="124">
        <f>B104*G104*graze</f>
        <v>0</v>
      </c>
      <c r="I104" s="50"/>
    </row>
    <row r="105" spans="1:11" x14ac:dyDescent="0.3">
      <c r="A105" s="9" t="s">
        <v>1037</v>
      </c>
      <c r="B105" s="397">
        <v>0</v>
      </c>
      <c r="C105" s="47" t="s">
        <v>45</v>
      </c>
      <c r="D105" s="48" t="s">
        <v>45</v>
      </c>
      <c r="E105" s="48" t="s">
        <v>45</v>
      </c>
      <c r="F105" s="118" t="s">
        <v>45</v>
      </c>
      <c r="G105" s="465">
        <f>(G102*Data!$U$152)</f>
        <v>0</v>
      </c>
      <c r="H105" s="124">
        <f>B105*G105*graze</f>
        <v>0</v>
      </c>
      <c r="I105" s="110">
        <f>SUM(H100:H105)</f>
        <v>0</v>
      </c>
    </row>
    <row r="106" spans="1:11" x14ac:dyDescent="0.3">
      <c r="A106" s="70" t="s">
        <v>180</v>
      </c>
      <c r="B106" s="397">
        <v>1</v>
      </c>
      <c r="C106" s="34" t="s">
        <v>45</v>
      </c>
      <c r="D106" s="34" t="s">
        <v>45</v>
      </c>
      <c r="E106" s="46" t="s">
        <v>45</v>
      </c>
      <c r="F106" s="68" t="s">
        <v>45</v>
      </c>
      <c r="G106" s="114">
        <f>othexp</f>
        <v>0</v>
      </c>
      <c r="H106" s="110">
        <f>B106*G106*graze</f>
        <v>0</v>
      </c>
      <c r="I106" s="110"/>
      <c r="J106" s="110"/>
    </row>
    <row r="107" spans="1:11" x14ac:dyDescent="0.3">
      <c r="A107" s="22" t="s">
        <v>181</v>
      </c>
      <c r="B107" s="397">
        <v>1</v>
      </c>
      <c r="C107" s="34" t="s">
        <v>45</v>
      </c>
      <c r="D107" s="34" t="s">
        <v>45</v>
      </c>
      <c r="E107" s="46" t="s">
        <v>45</v>
      </c>
      <c r="F107" s="68" t="s">
        <v>45</v>
      </c>
      <c r="G107" s="272">
        <v>0</v>
      </c>
      <c r="H107" s="110">
        <f>B107*G107*graze</f>
        <v>0</v>
      </c>
      <c r="I107" s="110">
        <f>SUM(H106:H107)</f>
        <v>0</v>
      </c>
      <c r="J107" s="110"/>
    </row>
    <row r="108" spans="1:11" x14ac:dyDescent="0.3">
      <c r="A108" s="3" t="s">
        <v>226</v>
      </c>
      <c r="B108" s="397">
        <v>1</v>
      </c>
      <c r="C108" s="34" t="s">
        <v>45</v>
      </c>
      <c r="D108" s="34" t="s">
        <v>45</v>
      </c>
      <c r="E108" s="46" t="s">
        <v>45</v>
      </c>
      <c r="F108" s="68" t="s">
        <v>45</v>
      </c>
      <c r="G108" s="272">
        <v>0</v>
      </c>
      <c r="H108" s="110">
        <f>B108*G108*graze</f>
        <v>0</v>
      </c>
      <c r="I108" s="110"/>
      <c r="J108" s="110"/>
    </row>
    <row r="109" spans="1:11" x14ac:dyDescent="0.3">
      <c r="A109" s="3" t="s">
        <v>73</v>
      </c>
      <c r="B109" s="3"/>
      <c r="F109" s="114"/>
      <c r="G109" s="119" t="e">
        <f>SUM(G18:G108)</f>
        <v>#DIV/0!</v>
      </c>
      <c r="H109" s="125">
        <f>SUM(H18:H108)</f>
        <v>0</v>
      </c>
      <c r="I109" s="110"/>
      <c r="J109" s="110"/>
    </row>
    <row r="110" spans="1:11" x14ac:dyDescent="0.3">
      <c r="F110" s="114"/>
      <c r="G110" s="114"/>
      <c r="H110" s="109"/>
      <c r="I110" s="110"/>
      <c r="J110" s="110"/>
    </row>
    <row r="111" spans="1:11" ht="39" x14ac:dyDescent="0.3">
      <c r="A111" s="3" t="s">
        <v>69</v>
      </c>
      <c r="B111" s="3"/>
      <c r="C111" s="25" t="s">
        <v>70</v>
      </c>
      <c r="D111" s="25" t="s">
        <v>71</v>
      </c>
      <c r="E111" s="25"/>
      <c r="F111" s="114"/>
      <c r="G111" s="120" t="s">
        <v>1292</v>
      </c>
      <c r="H111" s="126" t="s">
        <v>72</v>
      </c>
      <c r="I111" s="110"/>
      <c r="J111" s="110"/>
    </row>
    <row r="112" spans="1:11" x14ac:dyDescent="0.3">
      <c r="A112" s="3"/>
      <c r="B112" s="3"/>
      <c r="C112" s="35">
        <f>_int_oper_</f>
        <v>4.7341710603787002E-2</v>
      </c>
      <c r="D112" s="34">
        <f>Data!$B$48</f>
        <v>7</v>
      </c>
      <c r="E112" s="34"/>
      <c r="F112" s="114"/>
      <c r="G112" s="104" t="e">
        <f>H112/graze</f>
        <v>#DIV/0!</v>
      </c>
      <c r="H112" s="109">
        <f>C112*(D112/12)*(H109)</f>
        <v>0</v>
      </c>
      <c r="I112" s="110"/>
      <c r="J112" s="110"/>
    </row>
    <row r="113" spans="1:10" x14ac:dyDescent="0.3">
      <c r="F113" s="114"/>
      <c r="G113" s="103"/>
      <c r="H113" s="127"/>
      <c r="I113" s="110"/>
      <c r="J113" s="110"/>
    </row>
    <row r="114" spans="1:10" ht="14" thickBot="1" x14ac:dyDescent="0.4">
      <c r="A114" s="1" t="s">
        <v>74</v>
      </c>
      <c r="B114" s="1"/>
      <c r="F114" s="114"/>
      <c r="G114" s="121" t="e">
        <f>G109+G112</f>
        <v>#DIV/0!</v>
      </c>
      <c r="H114" s="128">
        <f>H109+H112</f>
        <v>0</v>
      </c>
      <c r="I114" s="110"/>
      <c r="J114" s="110"/>
    </row>
    <row r="115" spans="1:10" ht="13.5" thickTop="1" x14ac:dyDescent="0.3">
      <c r="F115" s="34"/>
      <c r="G115" s="34"/>
      <c r="H115" s="49"/>
    </row>
    <row r="116" spans="1:10" x14ac:dyDescent="0.3">
      <c r="F116" s="34"/>
      <c r="G116" s="34"/>
      <c r="H116" s="49"/>
    </row>
    <row r="117" spans="1:10" x14ac:dyDescent="0.3">
      <c r="F117" s="34"/>
      <c r="G117" s="34"/>
      <c r="H117" s="49"/>
    </row>
    <row r="118" spans="1:10" x14ac:dyDescent="0.3">
      <c r="F118" s="34"/>
      <c r="G118" s="34"/>
      <c r="H118" s="49"/>
    </row>
    <row r="119" spans="1:10" x14ac:dyDescent="0.3">
      <c r="F119" s="34"/>
      <c r="G119" s="34"/>
      <c r="H119" s="49"/>
    </row>
    <row r="120" spans="1:10" x14ac:dyDescent="0.3">
      <c r="F120" s="34"/>
      <c r="G120" s="34"/>
      <c r="H120" s="49"/>
    </row>
    <row r="121" spans="1:10" x14ac:dyDescent="0.3">
      <c r="F121" s="34"/>
      <c r="G121" s="34"/>
      <c r="H121" s="49"/>
    </row>
    <row r="122" spans="1:10" x14ac:dyDescent="0.3">
      <c r="F122" s="34"/>
      <c r="G122" s="34"/>
      <c r="H122" s="49"/>
    </row>
    <row r="123" spans="1:10" x14ac:dyDescent="0.3">
      <c r="F123" s="34"/>
      <c r="G123" s="34"/>
      <c r="H123" s="49"/>
    </row>
    <row r="124" spans="1:10" x14ac:dyDescent="0.3">
      <c r="F124" s="34"/>
      <c r="G124" s="34"/>
      <c r="H124" s="34"/>
    </row>
    <row r="125" spans="1:10" x14ac:dyDescent="0.3">
      <c r="F125" s="34"/>
      <c r="G125" s="34"/>
      <c r="H125" s="34"/>
    </row>
    <row r="126" spans="1:10" x14ac:dyDescent="0.3">
      <c r="F126" s="34"/>
      <c r="G126" s="34"/>
      <c r="H126" s="34"/>
    </row>
    <row r="127" spans="1:10" x14ac:dyDescent="0.3">
      <c r="F127" s="34"/>
      <c r="G127" s="34"/>
      <c r="H127" s="34"/>
    </row>
    <row r="128" spans="1:10"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c r="G597" s="34"/>
      <c r="H597" s="34"/>
    </row>
    <row r="598" spans="6:8" x14ac:dyDescent="0.3">
      <c r="F598" s="34"/>
      <c r="G598" s="34"/>
      <c r="H598" s="34"/>
    </row>
    <row r="599" spans="6:8" x14ac:dyDescent="0.3">
      <c r="F599" s="34"/>
      <c r="G599" s="34"/>
      <c r="H599" s="34"/>
    </row>
    <row r="600" spans="6:8" x14ac:dyDescent="0.3">
      <c r="F600" s="34"/>
      <c r="G600" s="34"/>
      <c r="H600" s="34"/>
    </row>
    <row r="601" spans="6:8" x14ac:dyDescent="0.3">
      <c r="F601" s="34"/>
      <c r="G601" s="34"/>
      <c r="H601" s="34"/>
    </row>
    <row r="602" spans="6:8" x14ac:dyDescent="0.3">
      <c r="F602" s="34"/>
      <c r="G602" s="34"/>
      <c r="H602" s="34"/>
    </row>
    <row r="603" spans="6:8" x14ac:dyDescent="0.3">
      <c r="F603" s="34"/>
      <c r="G603" s="34"/>
      <c r="H603" s="34"/>
    </row>
    <row r="604" spans="6:8" x14ac:dyDescent="0.3">
      <c r="F604" s="34"/>
      <c r="G604" s="34"/>
      <c r="H604" s="34"/>
    </row>
    <row r="605" spans="6:8" x14ac:dyDescent="0.3">
      <c r="F605" s="34"/>
      <c r="G605" s="34"/>
      <c r="H605" s="34"/>
    </row>
    <row r="606" spans="6:8" x14ac:dyDescent="0.3">
      <c r="F606" s="34"/>
      <c r="G606" s="34"/>
      <c r="H606" s="34"/>
    </row>
    <row r="607" spans="6:8" x14ac:dyDescent="0.3">
      <c r="F607" s="34"/>
      <c r="G607" s="34"/>
      <c r="H607" s="34"/>
    </row>
    <row r="608" spans="6:8" x14ac:dyDescent="0.3">
      <c r="F608" s="34"/>
      <c r="G608" s="34"/>
      <c r="H608" s="34"/>
    </row>
    <row r="609" spans="6:8" x14ac:dyDescent="0.3">
      <c r="F609" s="34"/>
      <c r="G609" s="34"/>
      <c r="H609" s="34"/>
    </row>
    <row r="610" spans="6:8" x14ac:dyDescent="0.3">
      <c r="F610" s="34"/>
      <c r="G610" s="34"/>
      <c r="H610" s="34"/>
    </row>
    <row r="611" spans="6:8" x14ac:dyDescent="0.3">
      <c r="F611" s="34"/>
      <c r="G611" s="34"/>
      <c r="H611" s="34"/>
    </row>
    <row r="612" spans="6:8" x14ac:dyDescent="0.3">
      <c r="F612" s="34"/>
      <c r="G612" s="34"/>
      <c r="H612" s="34"/>
    </row>
    <row r="613" spans="6:8" x14ac:dyDescent="0.3">
      <c r="F613" s="34"/>
      <c r="G613" s="34"/>
      <c r="H613" s="34"/>
    </row>
    <row r="614" spans="6:8" x14ac:dyDescent="0.3">
      <c r="F614" s="34"/>
      <c r="G614" s="34"/>
      <c r="H614" s="34"/>
    </row>
    <row r="615" spans="6:8" x14ac:dyDescent="0.3">
      <c r="F615" s="34"/>
      <c r="G615" s="34"/>
      <c r="H615" s="34"/>
    </row>
    <row r="616" spans="6:8" x14ac:dyDescent="0.3">
      <c r="F616" s="34"/>
      <c r="G616" s="34"/>
      <c r="H616" s="34"/>
    </row>
    <row r="617" spans="6:8" x14ac:dyDescent="0.3">
      <c r="F617" s="34"/>
    </row>
    <row r="618" spans="6:8" x14ac:dyDescent="0.3">
      <c r="F618" s="34"/>
    </row>
    <row r="619" spans="6:8" x14ac:dyDescent="0.3">
      <c r="F619" s="34"/>
    </row>
    <row r="620" spans="6:8" x14ac:dyDescent="0.3">
      <c r="F620" s="34"/>
    </row>
    <row r="621" spans="6:8" x14ac:dyDescent="0.3">
      <c r="F621" s="34"/>
    </row>
    <row r="622" spans="6:8" x14ac:dyDescent="0.3">
      <c r="F622" s="34"/>
    </row>
    <row r="623" spans="6:8" x14ac:dyDescent="0.3">
      <c r="F623" s="34"/>
    </row>
    <row r="624" spans="6:8" x14ac:dyDescent="0.3">
      <c r="F624" s="34"/>
    </row>
    <row r="625" spans="6:6" x14ac:dyDescent="0.3">
      <c r="F625" s="34"/>
    </row>
    <row r="626" spans="6:6" x14ac:dyDescent="0.3">
      <c r="F626" s="34"/>
    </row>
    <row r="627" spans="6:6" x14ac:dyDescent="0.3">
      <c r="F627" s="34"/>
    </row>
    <row r="628" spans="6:6" x14ac:dyDescent="0.3">
      <c r="F628" s="34"/>
    </row>
    <row r="629" spans="6:6" x14ac:dyDescent="0.3">
      <c r="F629" s="34"/>
    </row>
    <row r="630" spans="6:6" x14ac:dyDescent="0.3">
      <c r="F630" s="34"/>
    </row>
    <row r="631" spans="6:6" x14ac:dyDescent="0.3">
      <c r="F631" s="34"/>
    </row>
    <row r="632" spans="6:6" x14ac:dyDescent="0.3">
      <c r="F632" s="34"/>
    </row>
    <row r="633" spans="6:6" x14ac:dyDescent="0.3">
      <c r="F633" s="34"/>
    </row>
    <row r="634" spans="6:6" x14ac:dyDescent="0.3">
      <c r="F634" s="34"/>
    </row>
    <row r="635" spans="6:6" x14ac:dyDescent="0.3">
      <c r="F635" s="34"/>
    </row>
    <row r="636" spans="6:6" x14ac:dyDescent="0.3">
      <c r="F636" s="34"/>
    </row>
    <row r="637" spans="6:6" x14ac:dyDescent="0.3">
      <c r="F637" s="34"/>
    </row>
    <row r="638" spans="6:6" x14ac:dyDescent="0.3">
      <c r="F638" s="34"/>
    </row>
  </sheetData>
  <phoneticPr fontId="16" type="noConversion"/>
  <pageMargins left="0.7" right="0.7" top="0.75" bottom="0.75" header="0.3" footer="0.3"/>
  <pageSetup orientation="portrait" horizontalDpi="4294967294"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activeCell="A23" sqref="A23"/>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1804</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2207</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1805</v>
      </c>
      <c r="B5" s="981">
        <f>FARM!D16</f>
        <v>0</v>
      </c>
      <c r="C5" s="982">
        <f>FARM!F16</f>
        <v>5.875</v>
      </c>
      <c r="D5" s="983" t="s">
        <v>1736</v>
      </c>
      <c r="E5" s="982">
        <f>B5*C5</f>
        <v>0</v>
      </c>
      <c r="F5" s="984"/>
      <c r="G5" s="985"/>
      <c r="I5" s="982"/>
    </row>
    <row r="6" spans="1:9" ht="13" customHeight="1" x14ac:dyDescent="0.3">
      <c r="A6" s="980" t="s">
        <v>2260</v>
      </c>
      <c r="B6" s="1365">
        <f>Straw!O10*SUM(Straw!Q10:R10)</f>
        <v>0</v>
      </c>
      <c r="C6" s="982">
        <f>Straw!D10</f>
        <v>40</v>
      </c>
      <c r="D6" s="983" t="s">
        <v>1736</v>
      </c>
      <c r="E6" s="982">
        <f>IF(Straw!C10="Both round &amp; square",(B6*C6*Straw!I10),(B6*C6))</f>
        <v>0</v>
      </c>
      <c r="F6" s="984"/>
      <c r="G6" s="989"/>
      <c r="I6" s="982"/>
    </row>
    <row r="7" spans="1:9" ht="13" customHeight="1" x14ac:dyDescent="0.3">
      <c r="A7" s="986" t="s">
        <v>1737</v>
      </c>
      <c r="B7" s="1069">
        <f>Straw!P10*SUM(Straw!R10:S10)</f>
        <v>0</v>
      </c>
      <c r="C7" s="1017">
        <f>Straw!F10</f>
        <v>5.0833333333333304</v>
      </c>
      <c r="D7" s="988" t="s">
        <v>1736</v>
      </c>
      <c r="E7" s="1017">
        <f>IF(Straw!C10="Both round &amp; square",(B7*C7*Straw!J10),(B7*C7))</f>
        <v>0</v>
      </c>
      <c r="F7" s="984"/>
      <c r="G7" s="989"/>
    </row>
    <row r="8" spans="1:9" ht="13" customHeight="1" x14ac:dyDescent="0.3">
      <c r="A8" s="990" t="s">
        <v>1738</v>
      </c>
      <c r="B8" s="991"/>
      <c r="C8" s="992"/>
      <c r="D8" s="993"/>
      <c r="E8" s="993">
        <f>SUM(E5:E7)</f>
        <v>0</v>
      </c>
      <c r="F8" s="984"/>
      <c r="G8" s="994"/>
    </row>
    <row r="9" spans="1:9" ht="13" customHeight="1" thickBot="1" x14ac:dyDescent="0.35">
      <c r="A9" s="995"/>
      <c r="B9" s="992"/>
      <c r="C9" s="992"/>
      <c r="D9" s="992"/>
      <c r="E9" s="992"/>
      <c r="F9" s="984"/>
      <c r="G9" s="989"/>
    </row>
    <row r="10" spans="1:9" ht="29" customHeight="1" thickBot="1" x14ac:dyDescent="0.35">
      <c r="A10" s="996" t="s">
        <v>1739</v>
      </c>
      <c r="B10" s="997" t="s">
        <v>1740</v>
      </c>
      <c r="C10" s="997" t="s">
        <v>1636</v>
      </c>
      <c r="D10" s="998"/>
      <c r="E10" s="998" t="s">
        <v>1741</v>
      </c>
      <c r="F10" s="984"/>
      <c r="G10" s="999" t="s">
        <v>1735</v>
      </c>
    </row>
    <row r="11" spans="1:9" ht="15" customHeight="1" x14ac:dyDescent="0.3">
      <c r="A11" s="1000" t="s">
        <v>1742</v>
      </c>
      <c r="B11" s="1001"/>
      <c r="C11" s="1001"/>
      <c r="D11" s="1001"/>
      <c r="E11" s="1001"/>
      <c r="F11" s="984"/>
      <c r="G11" s="989"/>
    </row>
    <row r="12" spans="1:9" ht="13" customHeight="1" x14ac:dyDescent="0.3">
      <c r="A12" s="1002" t="s">
        <v>1743</v>
      </c>
      <c r="B12" s="1070">
        <f>INPUT!$D$17</f>
        <v>100</v>
      </c>
      <c r="C12" s="982">
        <f>INPUT!$D$18</f>
        <v>0.54166666666666696</v>
      </c>
      <c r="D12" s="983" t="s">
        <v>1736</v>
      </c>
      <c r="E12" s="982">
        <f>B12*C12</f>
        <v>54.1666666666667</v>
      </c>
      <c r="F12" s="984"/>
      <c r="G12" s="985"/>
    </row>
    <row r="13" spans="1:9" ht="13" customHeight="1" x14ac:dyDescent="0.3">
      <c r="A13" s="1002" t="s">
        <v>1744</v>
      </c>
      <c r="B13" s="1004"/>
      <c r="C13" s="992"/>
      <c r="D13" s="983"/>
      <c r="E13" s="982"/>
      <c r="F13" s="984"/>
      <c r="G13" s="989"/>
    </row>
    <row r="14" spans="1:9" ht="13" customHeight="1" x14ac:dyDescent="0.3">
      <c r="A14" s="1005" t="s">
        <v>1745</v>
      </c>
      <c r="B14" s="1070">
        <f>INPUT!$D$32</f>
        <v>1</v>
      </c>
      <c r="C14" s="1004">
        <f>INPUT!$D$33</f>
        <v>35</v>
      </c>
      <c r="D14" s="983" t="s">
        <v>1736</v>
      </c>
      <c r="E14" s="982">
        <f>B14*C14</f>
        <v>35</v>
      </c>
      <c r="F14" s="984"/>
      <c r="G14" s="985"/>
    </row>
    <row r="15" spans="1:9" ht="13" customHeight="1" x14ac:dyDescent="0.3">
      <c r="A15" s="1005" t="s">
        <v>1806</v>
      </c>
      <c r="B15" s="1070">
        <f>INPUT!$D$38</f>
        <v>0</v>
      </c>
      <c r="C15" s="982">
        <f>INPUT!$D$39</f>
        <v>0.6</v>
      </c>
      <c r="D15" s="1372" t="s">
        <v>1736</v>
      </c>
      <c r="E15" s="1373">
        <f>B15*C15</f>
        <v>0</v>
      </c>
      <c r="F15" s="984"/>
      <c r="G15" s="985"/>
    </row>
    <row r="16" spans="1:9" ht="13" customHeight="1" x14ac:dyDescent="0.3">
      <c r="A16" s="1002" t="s">
        <v>1747</v>
      </c>
      <c r="B16" s="1003">
        <f>INPUT!$D$41*(INPUT!$D$43/INPUT!$D$44)</f>
        <v>0</v>
      </c>
      <c r="C16" s="1004">
        <f>OSI!$K$61</f>
        <v>75</v>
      </c>
      <c r="D16" s="1374" t="s">
        <v>1736</v>
      </c>
      <c r="E16" s="1017">
        <f>B16*C16</f>
        <v>0</v>
      </c>
      <c r="F16" s="984"/>
      <c r="G16" s="1007"/>
    </row>
    <row r="17" spans="1:7" ht="13" customHeight="1" x14ac:dyDescent="0.3">
      <c r="A17" s="1008" t="s">
        <v>1748</v>
      </c>
      <c r="B17" s="1381"/>
      <c r="C17" s="1382"/>
      <c r="D17" s="982"/>
      <c r="E17" s="982">
        <f>SUM(E12:E16)</f>
        <v>89.1666666666667</v>
      </c>
      <c r="F17" s="984"/>
      <c r="G17" s="985"/>
    </row>
    <row r="18" spans="1:7" ht="13" customHeight="1" x14ac:dyDescent="0.3">
      <c r="A18" s="1009" t="s">
        <v>1749</v>
      </c>
      <c r="B18" s="1004"/>
      <c r="C18" s="992"/>
      <c r="E18" s="982"/>
      <c r="F18" s="984"/>
      <c r="G18" s="989"/>
    </row>
    <row r="19" spans="1:7" ht="13" customHeight="1" x14ac:dyDescent="0.3">
      <c r="A19" s="1002" t="s">
        <v>1750</v>
      </c>
      <c r="B19" s="1004"/>
      <c r="C19" s="992"/>
      <c r="E19" s="982" t="e">
        <f>Ob!D34</f>
        <v>#DIV/0!</v>
      </c>
      <c r="F19" s="984"/>
      <c r="G19" s="985"/>
    </row>
    <row r="20" spans="1:7" ht="13" customHeight="1" x14ac:dyDescent="0.3">
      <c r="A20" s="1002" t="s">
        <v>1751</v>
      </c>
      <c r="B20" s="1004"/>
      <c r="C20" s="992"/>
      <c r="E20" s="982" t="e">
        <f>Ob!D35</f>
        <v>#DIV/0!</v>
      </c>
      <c r="F20" s="984"/>
      <c r="G20" s="985"/>
    </row>
    <row r="21" spans="1:7" ht="13" customHeight="1" x14ac:dyDescent="0.3">
      <c r="A21" s="1010" t="s">
        <v>1752</v>
      </c>
      <c r="B21" s="1004"/>
      <c r="C21" s="992"/>
      <c r="E21" s="982" t="e">
        <f>Ob!D36</f>
        <v>#DIV/0!</v>
      </c>
      <c r="F21" s="984"/>
      <c r="G21" s="994"/>
    </row>
    <row r="22" spans="1:7" ht="13" customHeight="1" x14ac:dyDescent="0.3">
      <c r="A22" s="1002" t="s">
        <v>170</v>
      </c>
      <c r="B22" s="1004"/>
      <c r="C22" s="992"/>
      <c r="D22" s="982"/>
      <c r="E22" s="982" t="e">
        <f>Ob!D37</f>
        <v>#DIV/0!</v>
      </c>
      <c r="F22" s="984"/>
      <c r="G22" s="1011"/>
    </row>
    <row r="23" spans="1:7" ht="13" customHeight="1" x14ac:dyDescent="0.3">
      <c r="A23" s="1002" t="s">
        <v>1756</v>
      </c>
      <c r="B23" s="1004"/>
      <c r="C23" s="992"/>
      <c r="D23" s="982"/>
      <c r="E23" s="1373" t="e">
        <f>Ob!D38</f>
        <v>#DIV/0!</v>
      </c>
      <c r="F23" s="984"/>
      <c r="G23" s="1011"/>
    </row>
    <row r="24" spans="1:7" ht="13" customHeight="1" x14ac:dyDescent="0.3">
      <c r="A24" s="1002" t="s">
        <v>1753</v>
      </c>
      <c r="B24" s="1004"/>
      <c r="C24" s="992"/>
      <c r="E24" s="1017" t="e">
        <f>Ob!D47</f>
        <v>#DIV/0!</v>
      </c>
      <c r="F24" s="984"/>
      <c r="G24" s="1007"/>
    </row>
    <row r="25" spans="1:7" ht="13" customHeight="1" x14ac:dyDescent="0.3">
      <c r="A25" s="1008" t="s">
        <v>1748</v>
      </c>
      <c r="B25" s="1381"/>
      <c r="C25" s="1382"/>
      <c r="E25" s="982" t="e">
        <f>SUM(E19:E24)</f>
        <v>#DIV/0!</v>
      </c>
      <c r="F25" s="984"/>
      <c r="G25" s="989"/>
    </row>
    <row r="26" spans="1:7" ht="13" customHeight="1" x14ac:dyDescent="0.3">
      <c r="A26" s="1009" t="s">
        <v>1754</v>
      </c>
      <c r="B26" s="1004"/>
      <c r="C26" s="992"/>
      <c r="E26" s="982"/>
      <c r="F26" s="984"/>
      <c r="G26" s="1011"/>
    </row>
    <row r="27" spans="1:7" ht="13" customHeight="1" x14ac:dyDescent="0.3">
      <c r="A27" s="1002" t="s">
        <v>1757</v>
      </c>
      <c r="B27" s="1004"/>
      <c r="C27" s="992"/>
      <c r="E27" s="982" t="e">
        <f>Ob!D40</f>
        <v>#DIV/0!</v>
      </c>
      <c r="F27" s="984"/>
      <c r="G27" s="985"/>
    </row>
    <row r="28" spans="1:7" ht="13" customHeight="1" x14ac:dyDescent="0.3">
      <c r="A28" s="1002" t="s">
        <v>1792</v>
      </c>
      <c r="B28" s="1004"/>
      <c r="C28" s="992"/>
      <c r="D28" s="982"/>
      <c r="E28" s="982" t="e">
        <f>Ob!D41</f>
        <v>#DIV/0!</v>
      </c>
      <c r="F28" s="984"/>
      <c r="G28" s="985"/>
    </row>
    <row r="29" spans="1:7" ht="13" customHeight="1" x14ac:dyDescent="0.3">
      <c r="A29" s="1002" t="s">
        <v>1795</v>
      </c>
      <c r="B29" s="1004"/>
      <c r="C29" s="992"/>
      <c r="D29" s="982"/>
      <c r="E29" s="982" t="e">
        <f>Ob!D42</f>
        <v>#DIV/0!</v>
      </c>
      <c r="F29" s="984"/>
      <c r="G29" s="985"/>
    </row>
    <row r="30" spans="1:7" ht="13" customHeight="1" x14ac:dyDescent="0.3">
      <c r="A30" s="1002" t="s">
        <v>2261</v>
      </c>
      <c r="B30" s="1004"/>
      <c r="C30" s="992"/>
      <c r="D30" s="982"/>
      <c r="E30" s="982" t="e">
        <f>Ob!D43</f>
        <v>#DIV/0!</v>
      </c>
      <c r="F30" s="984"/>
      <c r="G30" s="985"/>
    </row>
    <row r="31" spans="1:7" ht="13" customHeight="1" x14ac:dyDescent="0.3">
      <c r="A31" s="1002" t="s">
        <v>1755</v>
      </c>
      <c r="B31" s="1004"/>
      <c r="C31" s="992"/>
      <c r="E31" s="982" t="e">
        <f>Ob!D44</f>
        <v>#DIV/0!</v>
      </c>
      <c r="F31" s="984"/>
      <c r="G31" s="985"/>
    </row>
    <row r="32" spans="1:7" ht="13" customHeight="1" x14ac:dyDescent="0.3">
      <c r="A32" s="1002" t="s">
        <v>1758</v>
      </c>
      <c r="B32" s="1004"/>
      <c r="C32" s="992"/>
      <c r="E32" s="982" t="e">
        <f>Ob!D45</f>
        <v>#DIV/0!</v>
      </c>
      <c r="F32" s="984"/>
      <c r="G32" s="985"/>
    </row>
    <row r="33" spans="1:7" ht="12.65" customHeight="1" x14ac:dyDescent="0.3">
      <c r="A33" s="1002" t="s">
        <v>2262</v>
      </c>
      <c r="B33" s="1004"/>
      <c r="C33" s="992"/>
      <c r="D33" s="982"/>
      <c r="E33" s="982" t="e">
        <f>Ob!D46</f>
        <v>#DIV/0!</v>
      </c>
      <c r="F33" s="984"/>
      <c r="G33" s="985"/>
    </row>
    <row r="34" spans="1:7" ht="13" customHeight="1" x14ac:dyDescent="0.3">
      <c r="A34" s="1002" t="s">
        <v>2075</v>
      </c>
      <c r="B34" s="1004"/>
      <c r="C34" s="992"/>
      <c r="D34" s="982"/>
      <c r="E34" s="982" t="e">
        <f>Ob!D47</f>
        <v>#DIV/0!</v>
      </c>
      <c r="F34" s="984"/>
      <c r="G34" s="985"/>
    </row>
    <row r="35" spans="1:7" ht="13" customHeight="1" x14ac:dyDescent="0.3">
      <c r="A35" s="1002" t="s">
        <v>1793</v>
      </c>
      <c r="B35" s="1004"/>
      <c r="C35" s="992"/>
      <c r="D35" s="982"/>
      <c r="E35" s="982" t="e">
        <f>Ob!D48</f>
        <v>#DIV/0!</v>
      </c>
      <c r="F35" s="984"/>
      <c r="G35" s="985"/>
    </row>
    <row r="36" spans="1:7" ht="13" customHeight="1" x14ac:dyDescent="0.3">
      <c r="A36" s="1002" t="s">
        <v>2263</v>
      </c>
      <c r="B36" s="1004"/>
      <c r="C36" s="992"/>
      <c r="D36" s="982"/>
      <c r="E36" s="982" t="e">
        <f>Ob!D49</f>
        <v>#DIV/0!</v>
      </c>
      <c r="F36" s="984"/>
      <c r="G36" s="985"/>
    </row>
    <row r="37" spans="1:7" ht="13" customHeight="1" x14ac:dyDescent="0.3">
      <c r="A37" s="1002" t="s">
        <v>1794</v>
      </c>
      <c r="B37" s="1004"/>
      <c r="C37" s="992"/>
      <c r="D37" s="982"/>
      <c r="E37" s="1373" t="e">
        <f>SUM(Ob!D50:D52)</f>
        <v>#DIV/0!</v>
      </c>
      <c r="F37" s="984"/>
      <c r="G37" s="985"/>
    </row>
    <row r="38" spans="1:7" ht="13" customHeight="1" x14ac:dyDescent="0.3">
      <c r="A38" s="1002" t="s">
        <v>1759</v>
      </c>
      <c r="B38" s="1004"/>
      <c r="C38" s="992"/>
      <c r="E38" s="1017" t="e">
        <f>Ob!D54</f>
        <v>#DIV/0!</v>
      </c>
      <c r="F38" s="984"/>
      <c r="G38" s="1007"/>
    </row>
    <row r="39" spans="1:7" ht="13" customHeight="1" x14ac:dyDescent="0.3">
      <c r="A39" s="1008" t="s">
        <v>1748</v>
      </c>
      <c r="B39" s="1381"/>
      <c r="C39" s="1382"/>
      <c r="E39" s="982" t="e">
        <f>SUM(E27:E38)</f>
        <v>#DIV/0!</v>
      </c>
      <c r="F39" s="984"/>
      <c r="G39" s="985"/>
    </row>
    <row r="40" spans="1:7" ht="13" customHeight="1" thickBot="1" x14ac:dyDescent="0.35">
      <c r="A40" s="1012" t="s">
        <v>1760</v>
      </c>
      <c r="B40" s="1013"/>
      <c r="C40" s="1014"/>
      <c r="D40" s="1014"/>
      <c r="E40" s="1015" t="e">
        <f>E17+E25+E39</f>
        <v>#DIV/0!</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92"/>
      <c r="E42" s="982" t="e">
        <f>SUM(Ob!D59:D71)</f>
        <v>#DIV/0!</v>
      </c>
      <c r="F42" s="984"/>
      <c r="G42" s="989"/>
    </row>
    <row r="43" spans="1:7" ht="13" customHeight="1" x14ac:dyDescent="0.3">
      <c r="A43" s="1002" t="s">
        <v>79</v>
      </c>
      <c r="B43" s="1004"/>
      <c r="C43" s="992"/>
      <c r="D43" s="992"/>
      <c r="E43" s="1017" t="e">
        <f>Ob!D72</f>
        <v>#DIV/0!</v>
      </c>
      <c r="F43" s="984"/>
      <c r="G43" s="1007"/>
    </row>
    <row r="44" spans="1:7" ht="13" customHeight="1" x14ac:dyDescent="0.3">
      <c r="A44" s="990" t="s">
        <v>1762</v>
      </c>
      <c r="B44" s="991"/>
      <c r="C44" s="992"/>
      <c r="D44" s="992"/>
      <c r="E44" s="993" t="e">
        <f>SUM(E42:E43)</f>
        <v>#DIV/0!</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0"/>
      <c r="E46" s="1021" t="e">
        <f>E40+E44</f>
        <v>#DIV/0!</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0</v>
      </c>
      <c r="D49" s="1227" t="e">
        <f>CONCATENATE(" -   $",ROUND(E46,2)," =")</f>
        <v>#DIV/0!</v>
      </c>
      <c r="E49" s="993" t="e">
        <f>E8-E40-E44</f>
        <v>#DIV/0!</v>
      </c>
      <c r="F49" s="984"/>
      <c r="G49" s="985"/>
    </row>
    <row r="50" spans="1:7" ht="13" customHeight="1" thickBot="1" x14ac:dyDescent="0.35">
      <c r="A50" s="1016" t="s">
        <v>1765</v>
      </c>
      <c r="B50" s="1013"/>
      <c r="C50" s="1319">
        <f>E8</f>
        <v>0</v>
      </c>
      <c r="D50" s="1228" t="e">
        <f>CONCATENATE("   -   $",ROUND(E40,2)," =")</f>
        <v>#DIV/0!</v>
      </c>
      <c r="E50" s="1015" t="e">
        <f>E8-E40</f>
        <v>#DIV/0!</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t="e">
        <f>E46</f>
        <v>#DIV/0!</v>
      </c>
      <c r="E53" s="982" t="e">
        <f>D53/$B$5</f>
        <v>#DIV/0!</v>
      </c>
      <c r="F53" s="984"/>
      <c r="G53" s="985"/>
    </row>
    <row r="54" spans="1:7" ht="13" customHeight="1" x14ac:dyDescent="0.3">
      <c r="A54" s="1002" t="s">
        <v>371</v>
      </c>
      <c r="B54" s="1027"/>
      <c r="C54" s="992"/>
      <c r="D54" s="982" t="e">
        <f>E40</f>
        <v>#DIV/0!</v>
      </c>
      <c r="E54" s="982" t="e">
        <f>D54/$B$5</f>
        <v>#DIV/0!</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1808</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1809</v>
      </c>
      <c r="F72" s="1050"/>
      <c r="G72" s="1051" t="s">
        <v>1735</v>
      </c>
    </row>
    <row r="73" spans="1:7" ht="12.75" customHeight="1" x14ac:dyDescent="0.3">
      <c r="A73" s="1053" t="s">
        <v>1784</v>
      </c>
      <c r="B73" s="982" t="e">
        <f>Ob!D127</f>
        <v>#DIV/0!</v>
      </c>
      <c r="C73" s="982" t="e">
        <f>Ob!D141</f>
        <v>#DIV/0!</v>
      </c>
      <c r="D73" s="982">
        <f>SUM(Of!J56:J58)/200</f>
        <v>0</v>
      </c>
      <c r="E73" s="982" t="e">
        <f t="shared" ref="E73:E81" si="0">SUM(B73:D73)</f>
        <v>#DIV/0!</v>
      </c>
      <c r="F73" s="1054"/>
      <c r="G73" s="985"/>
    </row>
    <row r="74" spans="1:7" ht="12.75" customHeight="1" x14ac:dyDescent="0.3">
      <c r="A74" s="1053" t="s">
        <v>1429</v>
      </c>
      <c r="B74" s="982" t="e">
        <f>Ob!D128</f>
        <v>#DIV/0!</v>
      </c>
      <c r="C74" s="982" t="e">
        <f>Ob!D142</f>
        <v>#DIV/0!</v>
      </c>
      <c r="D74" s="982">
        <f>(SUM(Of!J38:J40)/300)</f>
        <v>0</v>
      </c>
      <c r="E74" s="982" t="e">
        <f>SUM(B74:D74)</f>
        <v>#DIV/0!</v>
      </c>
      <c r="F74" s="1054"/>
      <c r="G74" s="985"/>
    </row>
    <row r="75" spans="1:7" ht="12.75" customHeight="1" x14ac:dyDescent="0.3">
      <c r="A75" s="1053" t="s">
        <v>1785</v>
      </c>
      <c r="B75" s="982" t="e">
        <f>Ob!D129</f>
        <v>#DIV/0!</v>
      </c>
      <c r="C75" s="982" t="e">
        <f>Ob!D143</f>
        <v>#DIV/0!</v>
      </c>
      <c r="D75" s="982">
        <f>SUM(Of!J41:J43)/300</f>
        <v>0</v>
      </c>
      <c r="E75" s="982" t="e">
        <f t="shared" si="0"/>
        <v>#DIV/0!</v>
      </c>
      <c r="F75" s="1054"/>
      <c r="G75" s="985"/>
    </row>
    <row r="76" spans="1:7" ht="12.75" customHeight="1" x14ac:dyDescent="0.3">
      <c r="A76" s="1053" t="s">
        <v>1786</v>
      </c>
      <c r="B76" s="982" t="e">
        <f>Ob!D130</f>
        <v>#DIV/0!</v>
      </c>
      <c r="C76" s="982" t="e">
        <f>Ob!D144</f>
        <v>#DIV/0!</v>
      </c>
      <c r="D76" s="982">
        <f>SUM(Of!J44:J46)/300</f>
        <v>0</v>
      </c>
      <c r="E76" s="982" t="e">
        <f t="shared" si="0"/>
        <v>#DIV/0!</v>
      </c>
      <c r="F76" s="1054"/>
      <c r="G76" s="985"/>
    </row>
    <row r="77" spans="1:7" ht="12.75" customHeight="1" x14ac:dyDescent="0.3">
      <c r="A77" s="1053" t="s">
        <v>1787</v>
      </c>
      <c r="B77" s="982" t="e">
        <f>Ob!D131</f>
        <v>#DIV/0!</v>
      </c>
      <c r="C77" s="982" t="e">
        <f>Ob!D145</f>
        <v>#DIV/0!</v>
      </c>
      <c r="D77" s="982">
        <f>SUM(Of!J59:J61)/300</f>
        <v>0</v>
      </c>
      <c r="E77" s="982" t="e">
        <f t="shared" si="0"/>
        <v>#DIV/0!</v>
      </c>
      <c r="F77" s="1054"/>
      <c r="G77" s="985"/>
    </row>
    <row r="78" spans="1:7" ht="12.75" customHeight="1" x14ac:dyDescent="0.3">
      <c r="A78" s="1053" t="s">
        <v>2167</v>
      </c>
      <c r="B78" s="982" t="e">
        <f>Ob!D132</f>
        <v>#DIV/0!</v>
      </c>
      <c r="C78" s="982" t="e">
        <f>Ob!D146</f>
        <v>#DIV/0!</v>
      </c>
      <c r="D78" s="982">
        <f>(SUM(Of!J47:J49)/200)*2</f>
        <v>0</v>
      </c>
      <c r="E78" s="982" t="e">
        <f t="shared" si="0"/>
        <v>#DIV/0!</v>
      </c>
      <c r="F78" s="1054"/>
      <c r="G78" s="985"/>
    </row>
    <row r="79" spans="1:7" ht="12.75" customHeight="1" x14ac:dyDescent="0.3">
      <c r="A79" s="1053" t="s">
        <v>1810</v>
      </c>
      <c r="B79" s="982" t="e">
        <f>Ob!D133</f>
        <v>#DIV/0!</v>
      </c>
      <c r="C79" s="982" t="e">
        <f>Ob!D147</f>
        <v>#DIV/0!</v>
      </c>
      <c r="D79" s="982">
        <f>(SUM(Of!J69:J71)+SUM(Of!J72:J74))/300</f>
        <v>0</v>
      </c>
      <c r="E79" s="982" t="e">
        <f t="shared" si="0"/>
        <v>#DIV/0!</v>
      </c>
      <c r="F79" s="1054"/>
      <c r="G79" s="985"/>
    </row>
    <row r="80" spans="1:7" ht="12.75" customHeight="1" x14ac:dyDescent="0.3">
      <c r="A80" s="1055" t="s">
        <v>1819</v>
      </c>
      <c r="B80" s="1017" t="e">
        <f>Ob!D134</f>
        <v>#DIV/0!</v>
      </c>
      <c r="C80" s="1017" t="e">
        <f>Ob!D148</f>
        <v>#DIV/0!</v>
      </c>
      <c r="D80" s="1017">
        <f>SUM(Of!J26:J28)/300</f>
        <v>0</v>
      </c>
      <c r="E80" s="1017" t="e">
        <f t="shared" si="0"/>
        <v>#DIV/0!</v>
      </c>
      <c r="F80" s="1054"/>
      <c r="G80" s="1056"/>
    </row>
    <row r="81" spans="1:7" ht="12.75" customHeight="1" x14ac:dyDescent="0.3">
      <c r="A81" s="1057" t="s">
        <v>1811</v>
      </c>
      <c r="B81" s="1017" t="e">
        <f>SUM(B73:B80)</f>
        <v>#DIV/0!</v>
      </c>
      <c r="C81" s="1017" t="e">
        <f>SUM(C73:C80)</f>
        <v>#DIV/0!</v>
      </c>
      <c r="D81" s="1017">
        <f>SUM(D73:D80)</f>
        <v>0</v>
      </c>
      <c r="E81" s="1058" t="e">
        <f t="shared" si="0"/>
        <v>#DIV/0!</v>
      </c>
      <c r="F81" s="1059"/>
      <c r="G81" s="1060"/>
    </row>
    <row r="82" spans="1:7" ht="18" customHeight="1" x14ac:dyDescent="0.3">
      <c r="A82" s="1061" t="s">
        <v>1790</v>
      </c>
      <c r="B82" s="1062"/>
      <c r="C82" s="1062"/>
      <c r="D82" s="1062"/>
      <c r="E82" s="995"/>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iGI7neu9+Iss0guh9S9rAbM7WdL52dIEO0MmADvXwnb0iM07iJO4Az0N6g06cb/kN7KVdjwLv3jT66sPG/gTZA==" saltValue="bBIBcXykDPYtv5DJXeHhnQ==" spinCount="100000" sheet="1" objects="1" scenarios="1"/>
  <mergeCells count="15">
    <mergeCell ref="A69:G69"/>
    <mergeCell ref="A71:E71"/>
    <mergeCell ref="A83:G83"/>
    <mergeCell ref="A61:G61"/>
    <mergeCell ref="A62:G62"/>
    <mergeCell ref="A64:G64"/>
    <mergeCell ref="A65:G65"/>
    <mergeCell ref="A66:G66"/>
    <mergeCell ref="A68:G68"/>
    <mergeCell ref="B39:C39"/>
    <mergeCell ref="A1:G1"/>
    <mergeCell ref="A2:G2"/>
    <mergeCell ref="A3:G3"/>
    <mergeCell ref="B17:C17"/>
    <mergeCell ref="B25:C25"/>
  </mergeCells>
  <pageMargins left="0.7" right="0.7" top="0.75" bottom="0.75" header="0.3" footer="0.3"/>
  <pageSetup scale="84" orientation="portrait" r:id="rId1"/>
  <rowBreaks count="1" manualBreakCount="1">
    <brk id="57" max="16383"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52"/>
  <sheetViews>
    <sheetView workbookViewId="0">
      <pane ySplit="6" topLeftCell="A21" activePane="bottomLeft" state="frozen"/>
      <selection pane="bottomLeft" activeCell="C33" sqref="C33"/>
    </sheetView>
  </sheetViews>
  <sheetFormatPr defaultColWidth="9.08984375" defaultRowHeight="13" x14ac:dyDescent="0.3"/>
  <cols>
    <col min="1" max="1" width="50.81640625" style="27" customWidth="1"/>
    <col min="2" max="2" width="8.453125" style="27" customWidth="1"/>
    <col min="3" max="4" width="11" style="17" customWidth="1"/>
    <col min="5" max="6" width="8.453125" style="17" customWidth="1"/>
    <col min="7" max="7" width="7.08984375" style="17" customWidth="1"/>
    <col min="8" max="8" width="8.90625" style="17" customWidth="1"/>
    <col min="9" max="10" width="11.90625" style="17" customWidth="1"/>
    <col min="11" max="11" width="8.90625" style="17" customWidth="1"/>
    <col min="12" max="12" width="9.36328125" style="17" customWidth="1"/>
    <col min="13" max="13" width="9.6328125" style="17" customWidth="1"/>
    <col min="14" max="14" width="2.6328125" style="17" customWidth="1"/>
    <col min="15" max="15" width="10.08984375" style="17" customWidth="1"/>
    <col min="16" max="23" width="9.08984375" style="17"/>
    <col min="24" max="24" width="9.36328125" style="17" customWidth="1"/>
    <col min="25" max="25" width="3" style="17" customWidth="1"/>
    <col min="26" max="16384" width="9.08984375" style="17"/>
  </cols>
  <sheetData>
    <row r="1" spans="1:13" x14ac:dyDescent="0.3">
      <c r="A1" s="61" t="s">
        <v>146</v>
      </c>
      <c r="B1" s="27" t="str">
        <f>model</f>
        <v>ME Grain &amp; Pulse</v>
      </c>
    </row>
    <row r="2" spans="1:13" x14ac:dyDescent="0.3">
      <c r="A2" s="3"/>
      <c r="E2" s="89" t="s">
        <v>779</v>
      </c>
      <c r="H2" s="89" t="s">
        <v>780</v>
      </c>
    </row>
    <row r="3" spans="1:13" x14ac:dyDescent="0.3">
      <c r="E3" s="149">
        <f>SQRT(43560*graze)*4</f>
        <v>0</v>
      </c>
      <c r="F3" s="109" t="s">
        <v>778</v>
      </c>
      <c r="H3" s="54">
        <f>SQRT(43560*(graze/4))*16</f>
        <v>0</v>
      </c>
      <c r="I3" s="146" t="s">
        <v>778</v>
      </c>
    </row>
    <row r="4" spans="1:13" x14ac:dyDescent="0.3">
      <c r="A4" s="16" t="s">
        <v>492</v>
      </c>
      <c r="B4" s="8" t="s">
        <v>92</v>
      </c>
      <c r="C4" s="65">
        <f>graze</f>
        <v>0</v>
      </c>
      <c r="D4" s="4" t="s">
        <v>93</v>
      </c>
      <c r="E4" s="149">
        <f>SQRT(43560*graze)</f>
        <v>0</v>
      </c>
      <c r="F4" s="146" t="s">
        <v>785</v>
      </c>
      <c r="H4" s="54">
        <f>SQRT(43560*(graze/4))</f>
        <v>0</v>
      </c>
      <c r="I4" s="146" t="s">
        <v>785</v>
      </c>
    </row>
    <row r="5" spans="1:13" x14ac:dyDescent="0.3">
      <c r="B5" s="17"/>
    </row>
    <row r="6" spans="1:13" s="27" customFormat="1" ht="40.5" customHeight="1" x14ac:dyDescent="0.3">
      <c r="A6" s="12" t="s">
        <v>63</v>
      </c>
      <c r="B6" s="15" t="s">
        <v>36</v>
      </c>
      <c r="C6" s="15" t="s">
        <v>22</v>
      </c>
      <c r="D6" s="15" t="s">
        <v>94</v>
      </c>
      <c r="E6" s="15" t="s">
        <v>95</v>
      </c>
      <c r="F6" s="15" t="s">
        <v>28</v>
      </c>
      <c r="G6" s="15" t="s">
        <v>38</v>
      </c>
      <c r="H6" s="15" t="s">
        <v>493</v>
      </c>
      <c r="I6" s="15" t="s">
        <v>30</v>
      </c>
      <c r="J6" s="15" t="s">
        <v>31</v>
      </c>
      <c r="K6" s="15" t="s">
        <v>32</v>
      </c>
      <c r="L6" s="15" t="s">
        <v>33</v>
      </c>
      <c r="M6" s="15" t="s">
        <v>34</v>
      </c>
    </row>
    <row r="7" spans="1:13" x14ac:dyDescent="0.3">
      <c r="A7" s="13"/>
      <c r="B7" s="29"/>
      <c r="C7" s="30"/>
      <c r="D7" s="31"/>
      <c r="E7" s="31"/>
      <c r="F7" s="18"/>
      <c r="G7" s="18"/>
      <c r="H7" s="32"/>
      <c r="I7" s="31"/>
      <c r="J7" s="31"/>
      <c r="K7" s="31"/>
      <c r="L7" s="31"/>
      <c r="M7" s="31"/>
    </row>
    <row r="8" spans="1:13" x14ac:dyDescent="0.3">
      <c r="A8" s="14" t="s">
        <v>3</v>
      </c>
    </row>
    <row r="9" spans="1:13" x14ac:dyDescent="0.3">
      <c r="A9" s="6" t="str">
        <f>Data!A285</f>
        <v>Large tractor (160 hp) - MEDIUM SIZE</v>
      </c>
      <c r="B9" s="163">
        <f>Data!B285</f>
        <v>1</v>
      </c>
      <c r="C9" s="34" t="str">
        <f>Data!C285</f>
        <v>tractor</v>
      </c>
      <c r="D9" s="109">
        <f>Data!D292*Data!H10</f>
        <v>0</v>
      </c>
      <c r="E9" s="109">
        <f>D9*B9</f>
        <v>0</v>
      </c>
      <c r="F9" s="109">
        <f>Data!I292*E9</f>
        <v>0</v>
      </c>
      <c r="G9" s="60">
        <f>Data!F292</f>
        <v>20</v>
      </c>
      <c r="H9" s="109">
        <f>(E9*(_int_inv_*(1+_int_inv_)^G9)/((1+_int_inv_)^G9-1))-(F9*_int_inv_/((1+_int_inv_)^G9-1))</f>
        <v>0</v>
      </c>
      <c r="I9" s="162">
        <f>Data!H292</f>
        <v>1.6659574468085105E-2</v>
      </c>
      <c r="J9" s="109">
        <f>E9*I9</f>
        <v>0</v>
      </c>
      <c r="K9" s="36">
        <f>_tax_ins_</f>
        <v>6.7999999999999996E-3</v>
      </c>
      <c r="L9" s="109">
        <f>E9*K9</f>
        <v>0</v>
      </c>
      <c r="M9" s="109">
        <f>H9+J9+L9</f>
        <v>0</v>
      </c>
    </row>
    <row r="10" spans="1:13" x14ac:dyDescent="0.3">
      <c r="B10" s="33"/>
      <c r="C10" s="34"/>
      <c r="D10" s="109"/>
      <c r="E10" s="109"/>
      <c r="F10" s="109"/>
      <c r="G10" s="34"/>
      <c r="H10" s="109"/>
      <c r="I10" s="35"/>
      <c r="J10" s="109"/>
      <c r="K10" s="35"/>
      <c r="L10" s="109"/>
      <c r="M10" s="109"/>
    </row>
    <row r="11" spans="1:13" x14ac:dyDescent="0.3">
      <c r="A11" s="14" t="s">
        <v>386</v>
      </c>
      <c r="D11" s="110"/>
      <c r="E11" s="110"/>
      <c r="F11" s="109"/>
      <c r="H11" s="109"/>
      <c r="J11" s="110"/>
      <c r="L11" s="110"/>
      <c r="M11" s="109"/>
    </row>
    <row r="12" spans="1:13" x14ac:dyDescent="0.3">
      <c r="A12" s="6" t="str">
        <f>Data!A297</f>
        <v>Bulk Body Truck(s) - SMALL SIZE</v>
      </c>
      <c r="B12" s="247">
        <v>0</v>
      </c>
      <c r="C12" s="34" t="str">
        <f>Data!C297</f>
        <v>truck</v>
      </c>
      <c r="D12" s="109">
        <f>Data!D297*Data!J7</f>
        <v>0</v>
      </c>
      <c r="E12" s="109">
        <f>D12*B12</f>
        <v>0</v>
      </c>
      <c r="F12" s="109">
        <f>Data!I297*E12</f>
        <v>0</v>
      </c>
      <c r="G12" s="60">
        <f>Data!F297</f>
        <v>40</v>
      </c>
      <c r="H12" s="109">
        <f>(E12*(_int_inv_*(1+_int_inv_)^G12)/((1+_int_inv_)^G12-1))-(F12*_int_inv_/((1+_int_inv_)^G12-1))</f>
        <v>0</v>
      </c>
      <c r="I12" s="162">
        <f>Data!H297</f>
        <v>0.02</v>
      </c>
      <c r="J12" s="109">
        <f>E12*I12</f>
        <v>0</v>
      </c>
      <c r="K12" s="36">
        <f>_tax_ins_</f>
        <v>6.7999999999999996E-3</v>
      </c>
      <c r="L12" s="109">
        <f>E12*K12</f>
        <v>0</v>
      </c>
      <c r="M12" s="109">
        <f>H12+J12+L12</f>
        <v>0</v>
      </c>
    </row>
    <row r="13" spans="1:13" x14ac:dyDescent="0.3">
      <c r="A13" s="6"/>
      <c r="B13" s="33"/>
      <c r="C13" s="34"/>
      <c r="D13" s="109"/>
      <c r="E13" s="109"/>
      <c r="F13" s="109"/>
      <c r="G13" s="60"/>
      <c r="H13" s="109"/>
      <c r="I13" s="35"/>
      <c r="J13" s="109"/>
      <c r="K13" s="36"/>
      <c r="L13" s="109"/>
      <c r="M13" s="109"/>
    </row>
    <row r="14" spans="1:13" x14ac:dyDescent="0.3">
      <c r="A14" s="14" t="s">
        <v>4</v>
      </c>
      <c r="B14" s="33"/>
      <c r="C14" s="34"/>
      <c r="D14" s="109"/>
      <c r="E14" s="109"/>
      <c r="F14" s="109"/>
      <c r="G14" s="34"/>
      <c r="H14" s="109"/>
      <c r="I14" s="35"/>
      <c r="J14" s="109"/>
      <c r="K14" s="35"/>
      <c r="L14" s="109"/>
      <c r="M14" s="109"/>
    </row>
    <row r="15" spans="1:13" x14ac:dyDescent="0.3">
      <c r="A15" s="6" t="str">
        <f>Data!A334</f>
        <v xml:space="preserve">Fertilizer Spreader </v>
      </c>
      <c r="B15" s="247">
        <v>0</v>
      </c>
      <c r="C15" s="34" t="str">
        <f>Data!C334</f>
        <v>fert.spread</v>
      </c>
      <c r="D15" s="109">
        <f>Data!D334*Data!N10</f>
        <v>0</v>
      </c>
      <c r="E15" s="109">
        <f>D15*B15</f>
        <v>0</v>
      </c>
      <c r="F15" s="109">
        <f>Data!I334*E15</f>
        <v>0</v>
      </c>
      <c r="G15" s="60">
        <f>Data!F334</f>
        <v>10</v>
      </c>
      <c r="H15" s="109">
        <f>(E15*(_int_inv_*(1+_int_inv_)^G15)/((1+_int_inv_)^G15-1))-(F15*_int_inv_/((1+_int_inv_)^G15-1))</f>
        <v>0</v>
      </c>
      <c r="I15" s="162">
        <f>Data!H334</f>
        <v>4.4999999999999998E-2</v>
      </c>
      <c r="J15" s="109">
        <f>E15*I15</f>
        <v>0</v>
      </c>
      <c r="K15" s="36">
        <f>_tax_ins_</f>
        <v>6.7999999999999996E-3</v>
      </c>
      <c r="L15" s="109">
        <f>E15*K15</f>
        <v>0</v>
      </c>
      <c r="M15" s="109">
        <f>H15+J15+L15</f>
        <v>0</v>
      </c>
    </row>
    <row r="16" spans="1:13" x14ac:dyDescent="0.3">
      <c r="B16" s="33"/>
      <c r="C16" s="34"/>
      <c r="D16" s="109"/>
      <c r="E16" s="109"/>
      <c r="F16" s="109"/>
      <c r="G16" s="34"/>
      <c r="H16" s="109"/>
      <c r="I16" s="35"/>
      <c r="J16" s="109"/>
      <c r="K16" s="35"/>
      <c r="L16" s="109"/>
      <c r="M16" s="109"/>
    </row>
    <row r="17" spans="1:22" x14ac:dyDescent="0.3">
      <c r="A17" s="14" t="s">
        <v>9</v>
      </c>
      <c r="B17" s="33"/>
      <c r="C17" s="34"/>
      <c r="D17" s="109"/>
      <c r="E17" s="109"/>
      <c r="F17" s="109"/>
      <c r="G17" s="34"/>
      <c r="H17" s="109"/>
      <c r="I17" s="35"/>
      <c r="J17" s="109"/>
      <c r="K17" s="36"/>
      <c r="L17" s="109"/>
      <c r="M17" s="109"/>
    </row>
    <row r="18" spans="1:22" x14ac:dyDescent="0.3">
      <c r="A18" s="19" t="str">
        <f>Data!A369</f>
        <v>Mower</v>
      </c>
      <c r="B18" s="163">
        <f>Data!B369</f>
        <v>0</v>
      </c>
      <c r="C18" s="34" t="str">
        <f>Data!C369</f>
        <v>mower</v>
      </c>
      <c r="D18" s="109">
        <f>Data!D369*Data!D10</f>
        <v>0</v>
      </c>
      <c r="E18" s="109">
        <f t="shared" ref="E18:E23" si="0">D18*B18</f>
        <v>0</v>
      </c>
      <c r="F18" s="109">
        <f>Data!I369*E18</f>
        <v>0</v>
      </c>
      <c r="G18" s="60">
        <f>Data!F369</f>
        <v>10</v>
      </c>
      <c r="H18" s="109">
        <f t="shared" ref="H18:H23" si="1">(E18*(_int_inv_*(1+_int_inv_)^G18)/((1+_int_inv_)^G18-1))-(F18*_int_inv_/((1+_int_inv_)^G18-1))</f>
        <v>0</v>
      </c>
      <c r="I18" s="162">
        <f>Data!H369</f>
        <v>4.4999999999999998E-2</v>
      </c>
      <c r="J18" s="109">
        <f t="shared" ref="J18:J23" si="2">E18*I18</f>
        <v>0</v>
      </c>
      <c r="K18" s="36">
        <f t="shared" ref="K18:K23" si="3">_tax_ins_</f>
        <v>6.7999999999999996E-3</v>
      </c>
      <c r="L18" s="109">
        <f t="shared" ref="L18:L23" si="4">E18*K18</f>
        <v>0</v>
      </c>
      <c r="M18" s="109">
        <f t="shared" ref="M18:M23" si="5">H18+J18+L18</f>
        <v>0</v>
      </c>
    </row>
    <row r="19" spans="1:22" ht="13.25" customHeight="1" x14ac:dyDescent="0.3">
      <c r="A19" s="6" t="str">
        <f>Data!A372</f>
        <v xml:space="preserve">     Chopper head (Pull-behind)</v>
      </c>
      <c r="B19" s="247">
        <v>0</v>
      </c>
      <c r="C19" s="34" t="str">
        <f>Data!C372</f>
        <v>pick-up hd.</v>
      </c>
      <c r="D19" s="109">
        <f>Data!D371*Data!V10</f>
        <v>0</v>
      </c>
      <c r="E19" s="109">
        <f t="shared" si="0"/>
        <v>0</v>
      </c>
      <c r="F19" s="109">
        <f>Data!I371*E19</f>
        <v>0</v>
      </c>
      <c r="G19" s="60">
        <f>Data!F369</f>
        <v>10</v>
      </c>
      <c r="H19" s="109">
        <f>(E19*(_int_inv_*(1+_int_inv_)^G19)/((1+_int_inv_)^G19-1))-(F19*_int_inv_/((1+_int_inv_)^G19-1))</f>
        <v>0</v>
      </c>
      <c r="I19" s="35">
        <f>Data!H369</f>
        <v>4.4999999999999998E-2</v>
      </c>
      <c r="J19" s="109">
        <f t="shared" si="2"/>
        <v>0</v>
      </c>
      <c r="K19" s="36">
        <f t="shared" si="3"/>
        <v>6.7999999999999996E-3</v>
      </c>
      <c r="L19" s="109">
        <f t="shared" si="4"/>
        <v>0</v>
      </c>
      <c r="M19" s="109">
        <f t="shared" si="5"/>
        <v>0</v>
      </c>
      <c r="N19" s="34"/>
      <c r="O19" s="34"/>
      <c r="P19" s="34"/>
      <c r="Q19" s="34"/>
      <c r="R19" s="34"/>
      <c r="S19" s="34"/>
      <c r="T19" s="34"/>
      <c r="U19" s="34"/>
      <c r="V19" s="34"/>
    </row>
    <row r="20" spans="1:22" x14ac:dyDescent="0.3">
      <c r="A20" s="19" t="str">
        <f>Data!A374</f>
        <v>Teader</v>
      </c>
      <c r="B20" s="247">
        <v>0</v>
      </c>
      <c r="C20" s="34" t="str">
        <f>Data!C374</f>
        <v>teader</v>
      </c>
      <c r="D20" s="109">
        <f>Data!D374*Data!AD10</f>
        <v>0</v>
      </c>
      <c r="E20" s="109">
        <f>D20*B20</f>
        <v>0</v>
      </c>
      <c r="F20" s="109">
        <f>Data!I374*E20</f>
        <v>0</v>
      </c>
      <c r="G20" s="60">
        <f>Data!F371</f>
        <v>10</v>
      </c>
      <c r="H20" s="109">
        <f>(E20*(_int_inv_*(1+_int_inv_)^G20)/((1+_int_inv_)^G20-1))-(F20*_int_inv_/((1+_int_inv_)^G20-1))</f>
        <v>0</v>
      </c>
      <c r="I20" s="162">
        <f>Data!H371</f>
        <v>4.4999999999999998E-2</v>
      </c>
      <c r="J20" s="109">
        <f>E20*I20</f>
        <v>0</v>
      </c>
      <c r="K20" s="36">
        <f t="shared" si="3"/>
        <v>6.7999999999999996E-3</v>
      </c>
      <c r="L20" s="109">
        <f>E20*K20</f>
        <v>0</v>
      </c>
      <c r="M20" s="109">
        <f>H20+J20+L20</f>
        <v>0</v>
      </c>
    </row>
    <row r="21" spans="1:22" x14ac:dyDescent="0.3">
      <c r="A21" s="19" t="str">
        <f>Data!A378</f>
        <v xml:space="preserve">Raker </v>
      </c>
      <c r="B21" s="247">
        <v>0</v>
      </c>
      <c r="C21" s="34" t="str">
        <f>Data!C378</f>
        <v>raker</v>
      </c>
      <c r="D21" s="109">
        <f>Data!D378*Data!AF10</f>
        <v>0</v>
      </c>
      <c r="E21" s="109">
        <f t="shared" si="0"/>
        <v>0</v>
      </c>
      <c r="F21" s="109">
        <f>Data!I378*E21</f>
        <v>0</v>
      </c>
      <c r="G21" s="60">
        <f>Data!F378</f>
        <v>50</v>
      </c>
      <c r="H21" s="109">
        <f t="shared" si="1"/>
        <v>0</v>
      </c>
      <c r="I21" s="162">
        <f>Data!H378</f>
        <v>4.4999999999999998E-2</v>
      </c>
      <c r="J21" s="109">
        <f t="shared" si="2"/>
        <v>0</v>
      </c>
      <c r="K21" s="36">
        <f t="shared" si="3"/>
        <v>6.7999999999999996E-3</v>
      </c>
      <c r="L21" s="109">
        <f t="shared" si="4"/>
        <v>0</v>
      </c>
      <c r="M21" s="109">
        <f t="shared" si="5"/>
        <v>0</v>
      </c>
    </row>
    <row r="22" spans="1:22" x14ac:dyDescent="0.3">
      <c r="A22" s="19" t="str">
        <f>Data!A379</f>
        <v>Baler (Round)</v>
      </c>
      <c r="B22" s="247">
        <v>0</v>
      </c>
      <c r="C22" s="34" t="str">
        <f>Data!C379</f>
        <v>round baler</v>
      </c>
      <c r="D22" s="109">
        <f>Data!D379*Data!AF10</f>
        <v>0</v>
      </c>
      <c r="E22" s="109">
        <f t="shared" si="0"/>
        <v>0</v>
      </c>
      <c r="F22" s="109">
        <f>Data!I379*E22</f>
        <v>0</v>
      </c>
      <c r="G22" s="60">
        <f>Data!F379</f>
        <v>40</v>
      </c>
      <c r="H22" s="109">
        <f t="shared" si="1"/>
        <v>0</v>
      </c>
      <c r="I22" s="162">
        <f>Data!H379</f>
        <v>4.4999999999999998E-2</v>
      </c>
      <c r="J22" s="109">
        <f t="shared" si="2"/>
        <v>0</v>
      </c>
      <c r="K22" s="36">
        <f t="shared" si="3"/>
        <v>6.7999999999999996E-3</v>
      </c>
      <c r="L22" s="109">
        <f t="shared" si="4"/>
        <v>0</v>
      </c>
      <c r="M22" s="109">
        <f t="shared" si="5"/>
        <v>0</v>
      </c>
    </row>
    <row r="23" spans="1:22" x14ac:dyDescent="0.3">
      <c r="A23" s="19" t="str">
        <f>Data!A380</f>
        <v>Baler (Square)</v>
      </c>
      <c r="B23" s="247">
        <v>0</v>
      </c>
      <c r="C23" s="34" t="str">
        <f>Data!C380</f>
        <v>square baler</v>
      </c>
      <c r="D23" s="109">
        <f>Data!D380*Data!AF10</f>
        <v>0</v>
      </c>
      <c r="E23" s="109">
        <f t="shared" si="0"/>
        <v>0</v>
      </c>
      <c r="F23" s="109">
        <f>Data!I380*E23</f>
        <v>0</v>
      </c>
      <c r="G23" s="60">
        <f>Data!F380</f>
        <v>20</v>
      </c>
      <c r="H23" s="109">
        <f t="shared" si="1"/>
        <v>0</v>
      </c>
      <c r="I23" s="162">
        <f>Data!H380</f>
        <v>4.4999999999999998E-2</v>
      </c>
      <c r="J23" s="109">
        <f t="shared" si="2"/>
        <v>0</v>
      </c>
      <c r="K23" s="36">
        <f t="shared" si="3"/>
        <v>6.7999999999999996E-3</v>
      </c>
      <c r="L23" s="109">
        <f t="shared" si="4"/>
        <v>0</v>
      </c>
      <c r="M23" s="109">
        <f t="shared" si="5"/>
        <v>0</v>
      </c>
    </row>
    <row r="24" spans="1:22" x14ac:dyDescent="0.3">
      <c r="A24" s="6"/>
      <c r="B24" s="33"/>
      <c r="C24" s="34"/>
      <c r="D24" s="109"/>
      <c r="E24" s="109"/>
      <c r="F24" s="109"/>
      <c r="G24" s="34"/>
      <c r="H24" s="109"/>
      <c r="I24" s="35"/>
      <c r="J24" s="109"/>
      <c r="K24" s="36"/>
      <c r="L24" s="109"/>
      <c r="M24" s="109"/>
    </row>
    <row r="25" spans="1:22" x14ac:dyDescent="0.3">
      <c r="A25" s="14" t="s">
        <v>357</v>
      </c>
      <c r="B25" s="33"/>
      <c r="C25" s="34"/>
      <c r="D25" s="109"/>
      <c r="E25" s="109"/>
      <c r="F25" s="109"/>
      <c r="G25" s="34"/>
      <c r="H25" s="109"/>
      <c r="I25" s="35"/>
      <c r="J25" s="109"/>
      <c r="K25" s="36"/>
      <c r="L25" s="109"/>
      <c r="M25" s="109"/>
    </row>
    <row r="26" spans="1:22" x14ac:dyDescent="0.3">
      <c r="A26" s="6" t="str">
        <f>Data!A395</f>
        <v>Fuel Tanks - SMALL SIZE</v>
      </c>
      <c r="B26" s="33">
        <f>Data!B395</f>
        <v>0</v>
      </c>
      <c r="C26" s="34" t="str">
        <f>Data!C395</f>
        <v>fuel tank</v>
      </c>
      <c r="D26" s="109">
        <f>Data!D395*Data!H10</f>
        <v>0</v>
      </c>
      <c r="E26" s="109">
        <f>D26*B26</f>
        <v>0</v>
      </c>
      <c r="F26" s="109">
        <f>Data!I395*E26</f>
        <v>0</v>
      </c>
      <c r="G26" s="60">
        <f>Data!F395</f>
        <v>50</v>
      </c>
      <c r="H26" s="109">
        <f>(E26*(_int_inv_*(1+_int_inv_)^G26)/((1+_int_inv_)^G26-1))-(F26*_int_inv_/((1+_int_inv_)^G26-1))</f>
        <v>0</v>
      </c>
      <c r="I26" s="162">
        <f>Data!H395</f>
        <v>0.02</v>
      </c>
      <c r="J26" s="109">
        <f>E26*I26</f>
        <v>0</v>
      </c>
      <c r="K26" s="36">
        <f>_tax_ins_</f>
        <v>6.7999999999999996E-3</v>
      </c>
      <c r="L26" s="109">
        <f>E26*K26</f>
        <v>0</v>
      </c>
      <c r="M26" s="109">
        <f>H26+J26+L26</f>
        <v>0</v>
      </c>
    </row>
    <row r="27" spans="1:22" x14ac:dyDescent="0.3">
      <c r="A27" s="6" t="str">
        <f>Data!A396</f>
        <v>Shop Tools - SMALL SIZE</v>
      </c>
      <c r="B27" s="33">
        <f>Data!B396</f>
        <v>0</v>
      </c>
      <c r="C27" s="34" t="str">
        <f>Data!C396</f>
        <v>shop tools</v>
      </c>
      <c r="D27" s="109">
        <f>Data!D396*Data!H10</f>
        <v>0</v>
      </c>
      <c r="E27" s="109">
        <f>D27*B27</f>
        <v>0</v>
      </c>
      <c r="F27" s="109">
        <f>Data!I396*E27</f>
        <v>0</v>
      </c>
      <c r="G27" s="60">
        <f>Data!F396</f>
        <v>50</v>
      </c>
      <c r="H27" s="109">
        <f>(E27*(_int_inv_*(1+_int_inv_)^G27)/((1+_int_inv_)^G27-1))-(F27*_int_inv_/((1+_int_inv_)^G27-1))</f>
        <v>0</v>
      </c>
      <c r="I27" s="162">
        <f>Data!H396</f>
        <v>0.02</v>
      </c>
      <c r="J27" s="109">
        <f>E27*I27</f>
        <v>0</v>
      </c>
      <c r="K27" s="36">
        <f>_tax_ins_</f>
        <v>6.7999999999999996E-3</v>
      </c>
      <c r="L27" s="109">
        <f>E27*K27</f>
        <v>0</v>
      </c>
      <c r="M27" s="109">
        <f>H27+J27+L27</f>
        <v>0</v>
      </c>
    </row>
    <row r="28" spans="1:22" x14ac:dyDescent="0.3">
      <c r="A28" s="6"/>
      <c r="B28" s="33"/>
      <c r="C28" s="34"/>
      <c r="D28" s="109"/>
      <c r="E28" s="109"/>
      <c r="F28" s="109"/>
      <c r="G28" s="60"/>
      <c r="H28" s="109"/>
      <c r="I28" s="162"/>
      <c r="J28" s="109"/>
      <c r="K28" s="36"/>
      <c r="L28" s="109"/>
      <c r="M28" s="109"/>
    </row>
    <row r="29" spans="1:22" x14ac:dyDescent="0.3">
      <c r="A29" s="14" t="s">
        <v>775</v>
      </c>
      <c r="B29" s="17"/>
      <c r="C29" s="350">
        <v>0</v>
      </c>
      <c r="D29" s="351" t="s">
        <v>788</v>
      </c>
      <c r="E29" s="352"/>
      <c r="F29" s="353"/>
      <c r="G29" s="352"/>
      <c r="H29" s="354"/>
      <c r="I29" s="355"/>
      <c r="J29" s="220"/>
      <c r="K29" s="109"/>
      <c r="L29" s="221"/>
      <c r="M29" s="109"/>
      <c r="N29" s="109"/>
    </row>
    <row r="30" spans="1:22" x14ac:dyDescent="0.3">
      <c r="A30" s="6" t="str">
        <f>Data!A404</f>
        <v>Permanent perimeter</v>
      </c>
      <c r="B30" s="33">
        <v>1</v>
      </c>
      <c r="C30" s="34" t="str">
        <f>Data!C404</f>
        <v>perm.fence</v>
      </c>
      <c r="D30" s="109">
        <f>Data!D404</f>
        <v>0</v>
      </c>
      <c r="E30" s="109">
        <f>D30*B30</f>
        <v>0</v>
      </c>
      <c r="F30" s="109">
        <f>Data!I404*E30</f>
        <v>0</v>
      </c>
      <c r="G30" s="60">
        <f>Data!F404</f>
        <v>30</v>
      </c>
      <c r="H30" s="109">
        <f>(E30*(_int_inv_*(1+_int_inv_)^G30)/((1+_int_inv_)^G30-1))-(F30*_int_inv_/((1+_int_inv_)^G30-1))</f>
        <v>0</v>
      </c>
      <c r="I30" s="162">
        <f>Data!H404</f>
        <v>4.4999999999999998E-2</v>
      </c>
      <c r="J30" s="109">
        <f>E30*I30</f>
        <v>0</v>
      </c>
      <c r="K30" s="36">
        <f>_tax_ins_</f>
        <v>6.7999999999999996E-3</v>
      </c>
      <c r="L30" s="109">
        <f>E30*K30</f>
        <v>0</v>
      </c>
      <c r="M30" s="109">
        <f>H30+J30+L30</f>
        <v>0</v>
      </c>
    </row>
    <row r="31" spans="1:22" x14ac:dyDescent="0.3">
      <c r="A31" s="6" t="str">
        <f>Data!A405</f>
        <v>Poly-wire</v>
      </c>
      <c r="B31" s="33">
        <v>1</v>
      </c>
      <c r="C31" s="34" t="str">
        <f>Data!C405</f>
        <v>polywire</v>
      </c>
      <c r="D31" s="109">
        <f>Data!D405*C29</f>
        <v>0</v>
      </c>
      <c r="E31" s="109">
        <f>D31*B31</f>
        <v>0</v>
      </c>
      <c r="F31" s="109">
        <f>Data!I405*E31</f>
        <v>0</v>
      </c>
      <c r="G31" s="60">
        <f>Data!F405</f>
        <v>10</v>
      </c>
      <c r="H31" s="109">
        <f>(E31*(_int_inv_*(1+_int_inv_)^G31)/((1+_int_inv_)^G31-1))-(F31*_int_inv_/((1+_int_inv_)^G31-1))</f>
        <v>0</v>
      </c>
      <c r="I31" s="162">
        <f>Data!H405</f>
        <v>4.4999999999999998E-2</v>
      </c>
      <c r="J31" s="109">
        <f>E31*I31</f>
        <v>0</v>
      </c>
      <c r="K31" s="36">
        <f>_tax_ins_</f>
        <v>6.7999999999999996E-3</v>
      </c>
      <c r="L31" s="109">
        <f>E31*K31</f>
        <v>0</v>
      </c>
      <c r="M31" s="109">
        <f>H31+J31+L31</f>
        <v>0</v>
      </c>
    </row>
    <row r="32" spans="1:22" x14ac:dyDescent="0.3">
      <c r="A32" s="6"/>
      <c r="B32" s="33"/>
      <c r="C32" s="34"/>
      <c r="D32" s="109"/>
      <c r="E32" s="109"/>
      <c r="F32" s="222"/>
      <c r="G32" s="109"/>
      <c r="H32" s="60"/>
      <c r="I32" s="109"/>
      <c r="J32" s="222"/>
      <c r="K32" s="109"/>
      <c r="L32" s="221"/>
      <c r="M32" s="109"/>
      <c r="N32" s="109"/>
    </row>
    <row r="33" spans="1:22" x14ac:dyDescent="0.3">
      <c r="A33" s="14" t="s">
        <v>12</v>
      </c>
      <c r="B33" s="84">
        <f>Data!B74</f>
        <v>0</v>
      </c>
      <c r="C33" s="868" t="str">
        <f>Data!H51</f>
        <v>acre(s)</v>
      </c>
      <c r="D33" s="109">
        <f>'[5]Key assumptions'!G70</f>
        <v>550</v>
      </c>
      <c r="E33" s="109">
        <f>D33*B33</f>
        <v>0</v>
      </c>
      <c r="F33" s="864" t="s">
        <v>45</v>
      </c>
      <c r="G33" s="865" t="s">
        <v>45</v>
      </c>
      <c r="H33" s="109">
        <f>E33*_int_inv_</f>
        <v>0</v>
      </c>
      <c r="I33" s="162">
        <f>Data!H61</f>
        <v>0.01</v>
      </c>
      <c r="J33" s="109">
        <f>E33*I33</f>
        <v>0</v>
      </c>
      <c r="K33" s="36">
        <f>_tax_ins_</f>
        <v>6.7999999999999996E-3</v>
      </c>
      <c r="L33" s="109">
        <f>E33*K33</f>
        <v>0</v>
      </c>
      <c r="M33" s="109">
        <f>H33+J33+L33</f>
        <v>0</v>
      </c>
    </row>
    <row r="34" spans="1:22" x14ac:dyDescent="0.3">
      <c r="B34" s="33"/>
      <c r="C34" s="34"/>
      <c r="D34" s="109"/>
      <c r="E34" s="109"/>
      <c r="F34" s="109"/>
      <c r="G34" s="38"/>
      <c r="H34" s="109"/>
      <c r="I34" s="35"/>
      <c r="J34" s="109"/>
      <c r="K34" s="36"/>
      <c r="L34" s="109"/>
      <c r="M34" s="109"/>
    </row>
    <row r="35" spans="1:22" x14ac:dyDescent="0.3">
      <c r="A35" s="14" t="s">
        <v>1229</v>
      </c>
      <c r="B35" s="33"/>
      <c r="C35" s="34"/>
      <c r="D35" s="109"/>
      <c r="E35" s="109"/>
      <c r="F35" s="109"/>
      <c r="G35" s="34"/>
      <c r="H35" s="109"/>
      <c r="I35" s="35"/>
      <c r="J35" s="109"/>
      <c r="K35" s="36"/>
      <c r="L35" s="110"/>
      <c r="M35" s="109"/>
    </row>
    <row r="36" spans="1:22" x14ac:dyDescent="0.3">
      <c r="A36" s="6" t="str">
        <f>Data!A495</f>
        <v>Shop/Loading Shed - SMALL SIZE</v>
      </c>
      <c r="B36" s="33">
        <f>Data!B495</f>
        <v>0</v>
      </c>
      <c r="C36" s="34" t="str">
        <f>Data!C495</f>
        <v>building</v>
      </c>
      <c r="D36" s="109">
        <f>Data!D495*Data!H10</f>
        <v>0</v>
      </c>
      <c r="E36" s="109">
        <f>D36*B36</f>
        <v>0</v>
      </c>
      <c r="F36" s="109">
        <f>Data!I495*E36</f>
        <v>0</v>
      </c>
      <c r="G36" s="34">
        <f>Data!F495</f>
        <v>33</v>
      </c>
      <c r="H36" s="112">
        <f>(E36*(_int_inv_*(1+_int_inv_)^G36)/((1+_int_inv_)^G36-1))-(F36*_int_inv_/((1+_int_inv_)^G36-1))</f>
        <v>0</v>
      </c>
      <c r="I36" s="35">
        <f>Data!H495</f>
        <v>0.01</v>
      </c>
      <c r="J36" s="109">
        <f>E36*I36</f>
        <v>0</v>
      </c>
      <c r="K36" s="36">
        <f>_tax_ins_</f>
        <v>6.7999999999999996E-3</v>
      </c>
      <c r="L36" s="109">
        <f>E36*K36</f>
        <v>0</v>
      </c>
      <c r="M36" s="109">
        <f>H36+J36+L36</f>
        <v>0</v>
      </c>
      <c r="N36" s="34"/>
      <c r="O36" s="34"/>
      <c r="P36" s="34"/>
      <c r="Q36" s="34"/>
    </row>
    <row r="37" spans="1:22" x14ac:dyDescent="0.3">
      <c r="A37" s="6"/>
      <c r="B37" s="33"/>
      <c r="C37" s="34"/>
      <c r="D37" s="109"/>
      <c r="E37" s="109"/>
      <c r="F37" s="109"/>
      <c r="G37" s="34"/>
      <c r="H37" s="109"/>
      <c r="I37" s="35"/>
      <c r="J37" s="109"/>
      <c r="K37" s="36"/>
      <c r="L37" s="109"/>
      <c r="M37" s="109"/>
    </row>
    <row r="38" spans="1:22" ht="12.75" customHeight="1" x14ac:dyDescent="0.3">
      <c r="A38" s="14" t="s">
        <v>514</v>
      </c>
      <c r="B38" s="351" t="s">
        <v>516</v>
      </c>
      <c r="C38" s="351"/>
      <c r="D38" s="351"/>
      <c r="E38" s="351"/>
      <c r="F38" s="351"/>
      <c r="G38" s="351"/>
      <c r="H38" s="351"/>
      <c r="I38" s="351"/>
      <c r="J38" s="109"/>
      <c r="K38" s="36"/>
      <c r="L38" s="109"/>
      <c r="M38" s="109"/>
      <c r="N38" s="34"/>
      <c r="O38" s="34"/>
      <c r="P38" s="34"/>
      <c r="Q38" s="34"/>
      <c r="R38" s="34"/>
      <c r="S38" s="34"/>
      <c r="T38" s="34"/>
      <c r="U38" s="34"/>
      <c r="V38" s="34"/>
    </row>
    <row r="39" spans="1:22" ht="12.75" customHeight="1" x14ac:dyDescent="0.3">
      <c r="A39" s="14" t="s">
        <v>515</v>
      </c>
      <c r="B39" s="351" t="s">
        <v>517</v>
      </c>
      <c r="C39" s="351"/>
      <c r="D39" s="351"/>
      <c r="E39" s="351"/>
      <c r="F39" s="351"/>
      <c r="G39" s="351"/>
      <c r="H39" s="351"/>
      <c r="I39" s="351"/>
      <c r="J39" s="109"/>
      <c r="K39" s="36"/>
      <c r="L39" s="109"/>
      <c r="M39" s="109"/>
      <c r="N39" s="34"/>
      <c r="O39" s="34"/>
      <c r="P39" s="34"/>
      <c r="Q39" s="34"/>
      <c r="R39" s="34"/>
      <c r="S39" s="34"/>
      <c r="T39" s="34"/>
      <c r="U39" s="34"/>
      <c r="V39" s="34"/>
    </row>
    <row r="40" spans="1:22" x14ac:dyDescent="0.3">
      <c r="B40" s="33"/>
      <c r="C40" s="34"/>
      <c r="D40" s="109"/>
      <c r="E40" s="109"/>
      <c r="F40" s="109"/>
      <c r="G40" s="34"/>
      <c r="H40" s="109"/>
      <c r="I40" s="35"/>
      <c r="J40" s="109"/>
      <c r="K40" s="36"/>
      <c r="L40" s="110"/>
      <c r="M40" s="109"/>
    </row>
    <row r="41" spans="1:22" x14ac:dyDescent="0.3">
      <c r="A41" s="14" t="s">
        <v>19</v>
      </c>
      <c r="B41" s="865" t="s">
        <v>45</v>
      </c>
      <c r="C41" s="864" t="s">
        <v>45</v>
      </c>
      <c r="D41" s="864" t="s">
        <v>45</v>
      </c>
      <c r="E41" s="864" t="s">
        <v>45</v>
      </c>
      <c r="F41" s="864" t="s">
        <v>45</v>
      </c>
      <c r="G41" s="865" t="s">
        <v>45</v>
      </c>
      <c r="H41" s="864" t="s">
        <v>45</v>
      </c>
      <c r="I41" s="865" t="s">
        <v>45</v>
      </c>
      <c r="J41" s="864" t="s">
        <v>45</v>
      </c>
      <c r="K41" s="865" t="s">
        <v>45</v>
      </c>
      <c r="L41" s="864" t="s">
        <v>45</v>
      </c>
      <c r="M41" s="864" t="s">
        <v>45</v>
      </c>
    </row>
    <row r="42" spans="1:22" x14ac:dyDescent="0.3">
      <c r="A42" s="14"/>
      <c r="B42" s="33"/>
      <c r="C42" s="34"/>
      <c r="D42" s="109"/>
      <c r="E42" s="109"/>
      <c r="F42" s="109"/>
      <c r="G42" s="34"/>
      <c r="H42" s="109"/>
      <c r="I42" s="35"/>
      <c r="J42" s="109"/>
      <c r="K42" s="35"/>
      <c r="L42" s="110"/>
      <c r="M42" s="109"/>
    </row>
    <row r="43" spans="1:22" x14ac:dyDescent="0.3">
      <c r="A43" s="14" t="s">
        <v>64</v>
      </c>
      <c r="B43" s="865" t="s">
        <v>45</v>
      </c>
      <c r="C43" s="864" t="s">
        <v>45</v>
      </c>
      <c r="D43" s="866">
        <v>0</v>
      </c>
      <c r="E43" s="866">
        <f>D43</f>
        <v>0</v>
      </c>
      <c r="F43" s="866">
        <v>0</v>
      </c>
      <c r="G43" s="247">
        <v>1</v>
      </c>
      <c r="H43" s="109">
        <f>(E43*(_int_inv_*(1+_int_inv_)^G43)/((1+_int_inv_)^G43-1))-(F43*_int_inv_/((1+_int_inv_)^G43-1))</f>
        <v>0</v>
      </c>
      <c r="I43" s="251">
        <v>0.01</v>
      </c>
      <c r="J43" s="109">
        <f>E43*I43</f>
        <v>0</v>
      </c>
      <c r="K43" s="36">
        <f>_tax_ins_</f>
        <v>6.7999999999999996E-3</v>
      </c>
      <c r="L43" s="109">
        <f>E43*K43</f>
        <v>0</v>
      </c>
      <c r="M43" s="109">
        <f>H43+J43+L43</f>
        <v>0</v>
      </c>
    </row>
    <row r="44" spans="1:22" x14ac:dyDescent="0.3">
      <c r="B44" s="33"/>
      <c r="C44" s="34"/>
      <c r="D44" s="109"/>
      <c r="E44" s="109"/>
      <c r="F44" s="109"/>
      <c r="G44" s="34"/>
      <c r="H44" s="109"/>
      <c r="I44" s="35"/>
      <c r="J44" s="110"/>
      <c r="K44" s="35"/>
      <c r="L44" s="110"/>
      <c r="M44" s="109"/>
    </row>
    <row r="45" spans="1:22" ht="13.5" x14ac:dyDescent="0.35">
      <c r="A45" s="1" t="s">
        <v>68</v>
      </c>
      <c r="B45" s="33"/>
      <c r="C45" s="34"/>
      <c r="D45" s="109"/>
      <c r="E45" s="109">
        <f>SUM(E7:E43)</f>
        <v>0</v>
      </c>
      <c r="F45" s="109">
        <f>SUM(F7:F43)</f>
        <v>0</v>
      </c>
      <c r="G45" s="34"/>
      <c r="H45" s="109">
        <f>SUM(H7:H43)</f>
        <v>0</v>
      </c>
      <c r="I45" s="35"/>
      <c r="J45" s="109">
        <f>SUM(J7:J43)</f>
        <v>0</v>
      </c>
      <c r="K45" s="35"/>
      <c r="L45" s="109">
        <f>SUM(L7:L43)</f>
        <v>0</v>
      </c>
      <c r="M45" s="109">
        <f>SUM(M7:M43)</f>
        <v>0</v>
      </c>
    </row>
    <row r="46" spans="1:22" x14ac:dyDescent="0.3">
      <c r="B46" s="33"/>
      <c r="C46" s="34"/>
      <c r="D46" s="109"/>
      <c r="E46" s="109"/>
      <c r="F46" s="109"/>
      <c r="G46" s="34"/>
      <c r="H46" s="32"/>
      <c r="I46" s="35"/>
      <c r="J46" s="34"/>
      <c r="K46" s="35"/>
      <c r="L46" s="34"/>
      <c r="M46" s="32"/>
    </row>
    <row r="47" spans="1:22" x14ac:dyDescent="0.3">
      <c r="B47" s="33"/>
      <c r="C47" s="34"/>
      <c r="D47" s="109"/>
      <c r="E47" s="109"/>
      <c r="F47" s="109"/>
      <c r="G47" s="34"/>
      <c r="H47" s="32"/>
      <c r="I47" s="35"/>
      <c r="J47" s="34"/>
      <c r="K47" s="35"/>
      <c r="L47" s="34"/>
      <c r="M47" s="32"/>
    </row>
    <row r="48" spans="1:22" x14ac:dyDescent="0.3">
      <c r="B48" s="33"/>
      <c r="C48" s="34"/>
      <c r="D48" s="134" t="s">
        <v>136</v>
      </c>
      <c r="E48" s="109"/>
      <c r="F48" s="109"/>
      <c r="G48" s="34"/>
      <c r="H48" s="32"/>
      <c r="I48" s="35"/>
      <c r="J48" s="34"/>
      <c r="K48" s="35"/>
      <c r="L48" s="34"/>
      <c r="M48" s="32"/>
    </row>
    <row r="49" spans="2:13" x14ac:dyDescent="0.3">
      <c r="B49" s="33"/>
      <c r="C49" s="34"/>
      <c r="D49" s="110" t="s">
        <v>500</v>
      </c>
      <c r="E49" s="109">
        <f>SUM(E7:E31)</f>
        <v>0</v>
      </c>
      <c r="F49" s="109"/>
      <c r="G49" s="34"/>
      <c r="H49" s="32"/>
      <c r="I49" s="35"/>
      <c r="J49" s="34"/>
      <c r="K49" s="35"/>
      <c r="L49" s="34"/>
      <c r="M49" s="32"/>
    </row>
    <row r="50" spans="2:13" x14ac:dyDescent="0.3">
      <c r="B50" s="33"/>
      <c r="C50" s="34"/>
      <c r="D50" s="110" t="s">
        <v>501</v>
      </c>
      <c r="E50" s="109">
        <f>SUM(E33:E34)</f>
        <v>0</v>
      </c>
      <c r="F50" s="109"/>
      <c r="G50" s="34"/>
      <c r="H50" s="32"/>
      <c r="I50" s="35"/>
      <c r="J50" s="34"/>
      <c r="K50" s="35"/>
      <c r="L50" s="34"/>
      <c r="M50" s="32"/>
    </row>
    <row r="51" spans="2:13" x14ac:dyDescent="0.3">
      <c r="B51" s="33"/>
      <c r="C51" s="34"/>
      <c r="D51" s="127" t="s">
        <v>502</v>
      </c>
      <c r="E51" s="111">
        <f>SUM(E36:E40)</f>
        <v>0</v>
      </c>
      <c r="F51" s="109"/>
      <c r="G51" s="34"/>
      <c r="H51" s="32"/>
      <c r="I51" s="34"/>
      <c r="J51" s="34"/>
      <c r="K51" s="35"/>
      <c r="L51" s="34"/>
      <c r="M51" s="32"/>
    </row>
    <row r="52" spans="2:13" x14ac:dyDescent="0.3">
      <c r="B52" s="33"/>
      <c r="C52" s="34"/>
      <c r="D52" s="61" t="s">
        <v>503</v>
      </c>
      <c r="E52" s="109">
        <f>SUM(E49:E51)</f>
        <v>0</v>
      </c>
      <c r="F52" s="32"/>
      <c r="G52" s="34"/>
      <c r="H52" s="32"/>
      <c r="I52" s="34"/>
      <c r="J52" s="34"/>
      <c r="K52" s="35"/>
      <c r="L52" s="34"/>
      <c r="M52" s="32"/>
    </row>
    <row r="53" spans="2:13" x14ac:dyDescent="0.3">
      <c r="B53" s="33"/>
      <c r="C53" s="34"/>
      <c r="D53" s="32"/>
      <c r="E53" s="32"/>
      <c r="F53" s="32"/>
      <c r="G53" s="34"/>
      <c r="H53" s="32"/>
      <c r="I53" s="34"/>
      <c r="J53" s="34"/>
      <c r="K53" s="35"/>
      <c r="L53" s="34"/>
      <c r="M53" s="32"/>
    </row>
    <row r="54" spans="2:13" x14ac:dyDescent="0.3">
      <c r="B54" s="33"/>
      <c r="C54" s="34"/>
      <c r="D54" s="32"/>
      <c r="E54" s="32"/>
      <c r="F54" s="32"/>
      <c r="G54" s="34"/>
      <c r="H54" s="32"/>
      <c r="I54" s="34"/>
      <c r="J54" s="34"/>
      <c r="K54" s="35"/>
      <c r="L54" s="34"/>
      <c r="M54" s="32"/>
    </row>
    <row r="55" spans="2:13" x14ac:dyDescent="0.3">
      <c r="B55" s="33"/>
      <c r="C55" s="34"/>
      <c r="D55" s="32"/>
      <c r="E55" s="32"/>
      <c r="F55" s="32"/>
      <c r="G55" s="34"/>
      <c r="H55" s="32"/>
      <c r="I55" s="34"/>
      <c r="J55" s="34"/>
      <c r="K55" s="35"/>
      <c r="L55" s="34"/>
      <c r="M55" s="32"/>
    </row>
    <row r="56" spans="2:13" x14ac:dyDescent="0.3">
      <c r="B56" s="33"/>
      <c r="C56" s="34"/>
      <c r="D56" s="32"/>
      <c r="E56" s="32"/>
      <c r="F56" s="32"/>
      <c r="G56" s="34"/>
      <c r="H56" s="32"/>
      <c r="I56" s="34"/>
      <c r="J56" s="34"/>
      <c r="K56" s="35"/>
      <c r="L56" s="34"/>
      <c r="M56" s="32"/>
    </row>
    <row r="57" spans="2:13" x14ac:dyDescent="0.3">
      <c r="B57" s="33"/>
      <c r="C57" s="34"/>
      <c r="D57" s="32"/>
      <c r="E57" s="32"/>
      <c r="F57" s="32"/>
      <c r="G57" s="34"/>
      <c r="H57" s="32"/>
      <c r="I57" s="34"/>
      <c r="J57" s="34"/>
      <c r="K57" s="35"/>
      <c r="L57" s="34"/>
      <c r="M57" s="32"/>
    </row>
    <row r="58" spans="2:13" x14ac:dyDescent="0.3">
      <c r="B58" s="33"/>
      <c r="C58" s="34"/>
      <c r="D58" s="32"/>
      <c r="E58" s="32"/>
      <c r="F58" s="32"/>
      <c r="G58" s="34"/>
      <c r="H58" s="32"/>
      <c r="I58" s="34"/>
      <c r="J58" s="34"/>
      <c r="K58" s="35"/>
      <c r="L58" s="34"/>
      <c r="M58" s="32"/>
    </row>
    <row r="59" spans="2:13" x14ac:dyDescent="0.3">
      <c r="B59" s="33"/>
      <c r="C59" s="34"/>
      <c r="D59" s="32"/>
      <c r="E59" s="32"/>
      <c r="F59" s="32"/>
      <c r="G59" s="34"/>
      <c r="H59" s="32"/>
      <c r="I59" s="34"/>
      <c r="J59" s="34"/>
      <c r="K59" s="35"/>
      <c r="L59" s="34"/>
      <c r="M59" s="32"/>
    </row>
    <row r="60" spans="2:13" x14ac:dyDescent="0.3">
      <c r="B60" s="33"/>
      <c r="C60" s="34"/>
      <c r="D60" s="32"/>
      <c r="E60" s="32"/>
      <c r="F60" s="32"/>
      <c r="G60" s="34"/>
      <c r="H60" s="32"/>
      <c r="I60" s="34"/>
      <c r="J60" s="34"/>
      <c r="K60" s="35"/>
      <c r="L60" s="34"/>
      <c r="M60" s="32"/>
    </row>
    <row r="61" spans="2:13" x14ac:dyDescent="0.3">
      <c r="B61" s="33"/>
      <c r="C61" s="34"/>
      <c r="D61" s="32"/>
      <c r="E61" s="32"/>
      <c r="F61" s="32"/>
      <c r="G61" s="34"/>
      <c r="H61" s="32"/>
      <c r="I61" s="34"/>
      <c r="J61" s="34"/>
      <c r="K61" s="35"/>
      <c r="L61" s="34"/>
      <c r="M61" s="32"/>
    </row>
    <row r="62" spans="2:13" x14ac:dyDescent="0.3">
      <c r="B62" s="33"/>
      <c r="C62" s="34"/>
      <c r="D62" s="32"/>
      <c r="E62" s="32"/>
      <c r="F62" s="32"/>
      <c r="G62" s="34"/>
      <c r="H62" s="32"/>
      <c r="I62" s="34"/>
      <c r="J62" s="34"/>
      <c r="K62" s="35"/>
      <c r="L62" s="34"/>
      <c r="M62" s="32"/>
    </row>
    <row r="63" spans="2:13" x14ac:dyDescent="0.3">
      <c r="B63" s="33"/>
      <c r="C63" s="34"/>
      <c r="D63" s="32"/>
      <c r="E63" s="32"/>
      <c r="F63" s="32"/>
      <c r="G63" s="34"/>
      <c r="H63" s="32"/>
      <c r="I63" s="34"/>
      <c r="J63" s="34"/>
      <c r="K63" s="35"/>
      <c r="L63" s="34"/>
      <c r="M63" s="32"/>
    </row>
    <row r="64" spans="2: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2"/>
      <c r="E76" s="32"/>
      <c r="F76" s="32"/>
      <c r="G76" s="34"/>
      <c r="H76" s="32"/>
      <c r="I76" s="34"/>
      <c r="J76" s="34"/>
      <c r="K76" s="35"/>
      <c r="L76" s="34"/>
      <c r="M76" s="32"/>
    </row>
    <row r="77" spans="2:13" x14ac:dyDescent="0.3">
      <c r="B77" s="33"/>
      <c r="C77" s="34"/>
      <c r="D77" s="32"/>
      <c r="E77" s="32"/>
      <c r="F77" s="32"/>
      <c r="G77" s="34"/>
      <c r="H77" s="32"/>
      <c r="I77" s="34"/>
      <c r="J77" s="34"/>
      <c r="K77" s="35"/>
      <c r="L77" s="34"/>
      <c r="M77" s="32"/>
    </row>
    <row r="78" spans="2:13" x14ac:dyDescent="0.3">
      <c r="B78" s="33"/>
      <c r="C78" s="34"/>
      <c r="D78" s="39"/>
      <c r="E78" s="39"/>
      <c r="F78" s="39"/>
      <c r="G78" s="34"/>
      <c r="H78" s="32"/>
      <c r="I78" s="34"/>
      <c r="J78" s="34"/>
      <c r="K78" s="35"/>
      <c r="L78" s="34"/>
      <c r="M78" s="32"/>
    </row>
    <row r="79" spans="2:13" x14ac:dyDescent="0.3">
      <c r="B79" s="33"/>
      <c r="C79" s="34"/>
      <c r="D79" s="39"/>
      <c r="E79" s="39"/>
      <c r="F79" s="39"/>
      <c r="G79" s="34"/>
      <c r="H79" s="32"/>
      <c r="I79" s="34"/>
      <c r="J79" s="34"/>
      <c r="K79" s="35"/>
      <c r="L79" s="34"/>
      <c r="M79" s="32"/>
    </row>
    <row r="80" spans="2:13" x14ac:dyDescent="0.3">
      <c r="B80" s="33"/>
      <c r="C80" s="34"/>
      <c r="D80" s="39"/>
      <c r="E80" s="39"/>
      <c r="F80" s="39"/>
      <c r="G80" s="34"/>
      <c r="H80" s="32"/>
      <c r="I80" s="34"/>
      <c r="J80" s="34"/>
      <c r="K80" s="35"/>
      <c r="L80" s="34"/>
      <c r="M80" s="32"/>
    </row>
    <row r="81" spans="2:13" x14ac:dyDescent="0.3">
      <c r="B81" s="33"/>
      <c r="C81" s="34"/>
      <c r="D81" s="39"/>
      <c r="E81" s="39"/>
      <c r="F81" s="39"/>
      <c r="G81" s="34"/>
      <c r="H81" s="32"/>
      <c r="I81" s="34"/>
      <c r="J81" s="34"/>
      <c r="K81" s="35"/>
      <c r="L81" s="34"/>
      <c r="M81" s="32"/>
    </row>
    <row r="82" spans="2:13" x14ac:dyDescent="0.3">
      <c r="B82" s="33"/>
      <c r="C82" s="34"/>
      <c r="D82" s="39"/>
      <c r="E82" s="39"/>
      <c r="F82" s="39"/>
      <c r="G82" s="34"/>
      <c r="H82" s="32"/>
      <c r="I82" s="34"/>
      <c r="J82" s="34"/>
      <c r="K82" s="35"/>
      <c r="L82" s="34"/>
      <c r="M82" s="32"/>
    </row>
    <row r="83" spans="2:13" x14ac:dyDescent="0.3">
      <c r="B83" s="33"/>
      <c r="C83" s="34"/>
      <c r="D83" s="39"/>
      <c r="E83" s="39"/>
      <c r="F83" s="39"/>
      <c r="G83" s="34"/>
      <c r="H83" s="32"/>
      <c r="I83" s="34"/>
      <c r="J83" s="34"/>
      <c r="K83" s="35"/>
      <c r="L83" s="34"/>
      <c r="M83" s="32"/>
    </row>
    <row r="84" spans="2:13" x14ac:dyDescent="0.3">
      <c r="B84" s="33"/>
      <c r="C84" s="34"/>
      <c r="D84" s="39"/>
      <c r="E84" s="39"/>
      <c r="F84" s="39"/>
      <c r="G84" s="34"/>
      <c r="H84" s="32"/>
      <c r="I84" s="34"/>
      <c r="J84" s="34"/>
      <c r="K84" s="35"/>
      <c r="L84" s="34"/>
      <c r="M84" s="32"/>
    </row>
    <row r="85" spans="2:13" x14ac:dyDescent="0.3">
      <c r="B85" s="33"/>
      <c r="C85" s="34"/>
      <c r="D85" s="39"/>
      <c r="E85" s="39"/>
      <c r="F85" s="39"/>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2"/>
      <c r="I181" s="34"/>
      <c r="J181" s="34"/>
      <c r="K181" s="35"/>
      <c r="L181" s="34"/>
      <c r="M181" s="32"/>
    </row>
    <row r="182" spans="2:13" x14ac:dyDescent="0.3">
      <c r="B182" s="33"/>
      <c r="C182" s="34"/>
      <c r="D182" s="39"/>
      <c r="E182" s="39"/>
      <c r="F182" s="39"/>
      <c r="G182" s="34"/>
      <c r="H182" s="32"/>
      <c r="I182" s="34"/>
      <c r="J182" s="34"/>
      <c r="K182" s="35"/>
      <c r="L182" s="34"/>
      <c r="M182" s="32"/>
    </row>
    <row r="183" spans="2:13" x14ac:dyDescent="0.3">
      <c r="B183" s="33"/>
      <c r="C183" s="34"/>
      <c r="D183" s="39"/>
      <c r="E183" s="39"/>
      <c r="F183" s="39"/>
      <c r="G183" s="34"/>
      <c r="H183" s="34"/>
      <c r="I183" s="34"/>
      <c r="J183" s="34"/>
      <c r="K183" s="35"/>
      <c r="L183" s="34"/>
      <c r="M183" s="32"/>
    </row>
    <row r="184" spans="2:13" x14ac:dyDescent="0.3">
      <c r="B184" s="33"/>
      <c r="C184" s="34"/>
      <c r="D184" s="39"/>
      <c r="E184" s="39"/>
      <c r="F184" s="39"/>
      <c r="G184" s="34"/>
      <c r="H184" s="34"/>
      <c r="I184" s="34"/>
      <c r="J184" s="34"/>
      <c r="K184" s="35"/>
      <c r="L184" s="34"/>
      <c r="M184" s="32"/>
    </row>
    <row r="185" spans="2:13" x14ac:dyDescent="0.3">
      <c r="B185" s="33"/>
      <c r="C185" s="34"/>
      <c r="D185" s="39"/>
      <c r="E185" s="39"/>
      <c r="F185" s="39"/>
      <c r="G185" s="34"/>
      <c r="H185" s="34"/>
      <c r="I185" s="34"/>
      <c r="J185" s="34"/>
      <c r="K185" s="35"/>
      <c r="L185" s="34"/>
      <c r="M185" s="32"/>
    </row>
    <row r="186" spans="2:13" x14ac:dyDescent="0.3">
      <c r="B186" s="33"/>
      <c r="C186" s="34"/>
      <c r="D186" s="39"/>
      <c r="E186" s="39"/>
      <c r="F186" s="39"/>
      <c r="G186" s="34"/>
      <c r="H186" s="34"/>
      <c r="I186" s="34"/>
      <c r="J186" s="34"/>
      <c r="K186" s="35"/>
      <c r="L186" s="34"/>
      <c r="M186" s="32"/>
    </row>
    <row r="187" spans="2:13" x14ac:dyDescent="0.3">
      <c r="B187" s="33"/>
      <c r="C187" s="34"/>
      <c r="D187" s="39"/>
      <c r="E187" s="39"/>
      <c r="F187" s="39"/>
      <c r="G187" s="34"/>
      <c r="H187" s="34"/>
      <c r="I187" s="34"/>
      <c r="J187" s="34"/>
      <c r="K187" s="35"/>
      <c r="L187" s="34"/>
      <c r="M187" s="32"/>
    </row>
    <row r="188" spans="2:13" x14ac:dyDescent="0.3">
      <c r="B188" s="33"/>
      <c r="C188" s="34"/>
      <c r="D188" s="39"/>
      <c r="E188" s="39"/>
      <c r="F188" s="39"/>
      <c r="G188" s="34"/>
      <c r="H188" s="34"/>
      <c r="I188" s="34"/>
      <c r="J188" s="34"/>
      <c r="K188" s="35"/>
      <c r="L188" s="34"/>
      <c r="M188" s="32"/>
    </row>
    <row r="189" spans="2:13" x14ac:dyDescent="0.3">
      <c r="B189" s="33"/>
      <c r="C189" s="34"/>
      <c r="D189" s="39"/>
      <c r="E189" s="39"/>
      <c r="F189" s="39"/>
      <c r="G189" s="34"/>
      <c r="H189" s="34"/>
      <c r="I189" s="34"/>
      <c r="J189" s="34"/>
      <c r="K189" s="35"/>
      <c r="L189" s="34"/>
      <c r="M189" s="32"/>
    </row>
    <row r="190" spans="2:13" x14ac:dyDescent="0.3">
      <c r="B190" s="33"/>
      <c r="C190" s="34"/>
      <c r="D190" s="39"/>
      <c r="E190" s="39"/>
      <c r="F190" s="39"/>
      <c r="G190" s="34"/>
      <c r="H190" s="34"/>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9"/>
      <c r="E194" s="39"/>
      <c r="F194" s="39"/>
      <c r="G194" s="34"/>
      <c r="H194" s="34"/>
      <c r="I194" s="34"/>
      <c r="J194" s="34"/>
      <c r="K194" s="35"/>
      <c r="L194" s="34"/>
      <c r="M194" s="32"/>
    </row>
    <row r="195" spans="2:13" x14ac:dyDescent="0.3">
      <c r="B195" s="33"/>
      <c r="C195" s="34"/>
      <c r="D195" s="39"/>
      <c r="E195" s="39"/>
      <c r="F195" s="39"/>
      <c r="G195" s="34"/>
      <c r="H195" s="34"/>
      <c r="I195" s="34"/>
      <c r="J195" s="34"/>
      <c r="K195" s="35"/>
      <c r="L195" s="34"/>
      <c r="M195" s="32"/>
    </row>
    <row r="196" spans="2:13" x14ac:dyDescent="0.3">
      <c r="B196" s="33"/>
      <c r="C196" s="34"/>
      <c r="D196" s="34"/>
      <c r="E196" s="34"/>
      <c r="F196" s="34"/>
      <c r="G196" s="34"/>
      <c r="H196" s="34"/>
      <c r="I196" s="34"/>
      <c r="J196" s="34"/>
      <c r="K196" s="35"/>
      <c r="L196" s="34"/>
      <c r="M196" s="32"/>
    </row>
    <row r="197" spans="2:13" x14ac:dyDescent="0.3">
      <c r="B197" s="33"/>
      <c r="C197" s="34"/>
      <c r="D197" s="34"/>
      <c r="E197" s="34"/>
      <c r="F197" s="34"/>
      <c r="G197" s="34"/>
      <c r="H197" s="34"/>
      <c r="I197" s="34"/>
      <c r="J197" s="34"/>
      <c r="K197" s="35"/>
      <c r="L197" s="34"/>
      <c r="M197" s="32"/>
    </row>
    <row r="198" spans="2:13" x14ac:dyDescent="0.3">
      <c r="B198" s="33"/>
      <c r="C198" s="34"/>
      <c r="D198" s="34"/>
      <c r="E198" s="34"/>
      <c r="F198" s="34"/>
      <c r="G198" s="34"/>
      <c r="H198" s="34"/>
      <c r="I198" s="34"/>
      <c r="J198" s="34"/>
      <c r="K198" s="35"/>
      <c r="L198" s="34"/>
      <c r="M198" s="32"/>
    </row>
    <row r="199" spans="2:13" x14ac:dyDescent="0.3">
      <c r="B199" s="33"/>
      <c r="C199" s="34"/>
      <c r="D199" s="34"/>
      <c r="E199" s="34"/>
      <c r="F199" s="34"/>
      <c r="G199" s="34"/>
      <c r="H199" s="34"/>
      <c r="I199" s="34"/>
      <c r="J199" s="34"/>
      <c r="K199" s="35"/>
      <c r="L199" s="34"/>
      <c r="M199" s="32"/>
    </row>
    <row r="200" spans="2:13" x14ac:dyDescent="0.3">
      <c r="B200" s="33"/>
      <c r="C200" s="34"/>
      <c r="D200" s="34"/>
      <c r="E200" s="34"/>
      <c r="F200" s="34"/>
      <c r="G200" s="34"/>
      <c r="H200" s="34"/>
      <c r="I200" s="34"/>
      <c r="J200" s="34"/>
      <c r="K200" s="35"/>
      <c r="L200" s="34"/>
      <c r="M200" s="32"/>
    </row>
    <row r="201" spans="2:13" x14ac:dyDescent="0.3">
      <c r="B201" s="33"/>
      <c r="C201" s="34"/>
      <c r="D201" s="34"/>
      <c r="E201" s="34"/>
      <c r="F201" s="34"/>
      <c r="G201" s="34"/>
      <c r="H201" s="34"/>
      <c r="I201" s="34"/>
      <c r="J201" s="34"/>
      <c r="K201" s="35"/>
      <c r="L201" s="34"/>
      <c r="M201" s="32"/>
    </row>
    <row r="202" spans="2:13" x14ac:dyDescent="0.3">
      <c r="B202" s="33"/>
      <c r="C202" s="34"/>
      <c r="D202" s="34"/>
      <c r="E202" s="34"/>
      <c r="F202" s="34"/>
      <c r="G202" s="34"/>
      <c r="H202" s="34"/>
      <c r="I202" s="34"/>
      <c r="J202" s="34"/>
      <c r="K202" s="35"/>
      <c r="L202" s="34"/>
      <c r="M202" s="32"/>
    </row>
    <row r="203" spans="2:13" x14ac:dyDescent="0.3">
      <c r="B203" s="33"/>
      <c r="C203" s="34"/>
      <c r="D203" s="34"/>
      <c r="E203" s="34"/>
      <c r="F203" s="34"/>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2"/>
    </row>
    <row r="504" spans="2:13" x14ac:dyDescent="0.3">
      <c r="B504" s="33"/>
      <c r="C504" s="34"/>
      <c r="D504" s="34"/>
      <c r="E504" s="34"/>
      <c r="F504" s="34"/>
      <c r="G504" s="34"/>
      <c r="H504" s="34"/>
      <c r="I504" s="34"/>
      <c r="J504" s="34"/>
      <c r="K504" s="35"/>
      <c r="L504" s="34"/>
      <c r="M504" s="32"/>
    </row>
    <row r="505" spans="2:13" x14ac:dyDescent="0.3">
      <c r="B505" s="33"/>
      <c r="C505" s="34"/>
      <c r="D505" s="34"/>
      <c r="E505" s="34"/>
      <c r="F505" s="34"/>
      <c r="G505" s="34"/>
      <c r="H505" s="34"/>
      <c r="I505" s="34"/>
      <c r="J505" s="34"/>
      <c r="K505" s="35"/>
      <c r="L505" s="34"/>
      <c r="M505" s="34"/>
    </row>
    <row r="506" spans="2:13" x14ac:dyDescent="0.3">
      <c r="B506" s="33"/>
      <c r="C506" s="34"/>
      <c r="D506" s="34"/>
      <c r="E506" s="34"/>
      <c r="F506" s="34"/>
      <c r="G506" s="34"/>
      <c r="H506" s="34"/>
      <c r="I506" s="34"/>
      <c r="J506" s="34"/>
      <c r="K506" s="35"/>
      <c r="L506" s="34"/>
      <c r="M506" s="34"/>
    </row>
    <row r="507" spans="2:13" x14ac:dyDescent="0.3">
      <c r="B507" s="33"/>
      <c r="C507" s="34"/>
      <c r="D507" s="34"/>
      <c r="E507" s="34"/>
      <c r="F507" s="34"/>
      <c r="G507" s="34"/>
      <c r="H507" s="34"/>
      <c r="I507" s="34"/>
      <c r="J507" s="34"/>
      <c r="K507" s="35"/>
      <c r="L507" s="34"/>
      <c r="M507" s="34"/>
    </row>
    <row r="508" spans="2:13" x14ac:dyDescent="0.3">
      <c r="B508" s="33"/>
      <c r="C508" s="34"/>
      <c r="D508" s="34"/>
      <c r="E508" s="34"/>
      <c r="F508" s="34"/>
      <c r="G508" s="34"/>
      <c r="H508" s="34"/>
      <c r="I508" s="34"/>
      <c r="J508" s="34"/>
      <c r="K508" s="35"/>
      <c r="L508" s="34"/>
      <c r="M508" s="34"/>
    </row>
    <row r="509" spans="2:13" x14ac:dyDescent="0.3">
      <c r="B509" s="33"/>
      <c r="C509" s="34"/>
      <c r="D509" s="34"/>
      <c r="E509" s="34"/>
      <c r="F509" s="34"/>
      <c r="G509" s="34"/>
      <c r="H509" s="34"/>
      <c r="I509" s="34"/>
      <c r="J509" s="34"/>
      <c r="K509" s="35"/>
      <c r="L509" s="34"/>
      <c r="M509" s="34"/>
    </row>
    <row r="510" spans="2:13" x14ac:dyDescent="0.3">
      <c r="B510" s="33"/>
      <c r="C510" s="34"/>
      <c r="D510" s="34"/>
      <c r="E510" s="34"/>
      <c r="F510" s="34"/>
      <c r="G510" s="34"/>
      <c r="H510" s="34"/>
      <c r="I510" s="34"/>
      <c r="J510" s="34"/>
      <c r="K510" s="35"/>
      <c r="L510" s="34"/>
      <c r="M510" s="34"/>
    </row>
    <row r="511" spans="2:13" x14ac:dyDescent="0.3">
      <c r="B511" s="33"/>
      <c r="C511" s="34"/>
      <c r="D511" s="34"/>
      <c r="E511" s="34"/>
      <c r="F511" s="34"/>
      <c r="G511" s="34"/>
      <c r="H511" s="34"/>
      <c r="I511" s="34"/>
      <c r="J511" s="34"/>
      <c r="K511" s="35"/>
      <c r="L511" s="34"/>
      <c r="M511" s="34"/>
    </row>
    <row r="512" spans="2:13" x14ac:dyDescent="0.3">
      <c r="B512" s="33"/>
      <c r="C512" s="34"/>
      <c r="D512" s="34"/>
      <c r="E512" s="34"/>
      <c r="F512" s="34"/>
      <c r="G512" s="34"/>
      <c r="H512" s="34"/>
      <c r="I512" s="34"/>
      <c r="J512" s="34"/>
      <c r="K512" s="35"/>
      <c r="L512" s="34"/>
      <c r="M512" s="34"/>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B768" s="33"/>
      <c r="C768" s="34"/>
      <c r="D768" s="34"/>
      <c r="E768" s="34"/>
      <c r="F768" s="34"/>
      <c r="G768" s="34"/>
      <c r="H768" s="34"/>
      <c r="I768" s="34"/>
      <c r="J768" s="34"/>
      <c r="K768" s="35"/>
      <c r="L768" s="34"/>
      <c r="M768" s="34"/>
    </row>
    <row r="769" spans="2:13" x14ac:dyDescent="0.3">
      <c r="B769" s="33"/>
      <c r="C769" s="34"/>
      <c r="D769" s="34"/>
      <c r="E769" s="34"/>
      <c r="F769" s="34"/>
      <c r="G769" s="34"/>
      <c r="H769" s="34"/>
      <c r="I769" s="34"/>
      <c r="J769" s="34"/>
      <c r="K769" s="35"/>
      <c r="L769" s="34"/>
      <c r="M769" s="34"/>
    </row>
    <row r="770" spans="2:13" x14ac:dyDescent="0.3">
      <c r="K770" s="40"/>
    </row>
    <row r="771" spans="2:13" x14ac:dyDescent="0.3">
      <c r="K771" s="40"/>
    </row>
    <row r="772" spans="2:13" x14ac:dyDescent="0.3">
      <c r="K772" s="40"/>
    </row>
    <row r="773" spans="2:13" x14ac:dyDescent="0.3">
      <c r="K773" s="40"/>
    </row>
    <row r="774" spans="2:13" x14ac:dyDescent="0.3">
      <c r="K774" s="40"/>
    </row>
    <row r="775" spans="2:13" x14ac:dyDescent="0.3">
      <c r="K775" s="40"/>
    </row>
    <row r="776" spans="2:13" x14ac:dyDescent="0.3">
      <c r="K776" s="40"/>
    </row>
    <row r="777" spans="2:13" x14ac:dyDescent="0.3">
      <c r="K777" s="40"/>
    </row>
    <row r="778" spans="2:13" x14ac:dyDescent="0.3">
      <c r="K778" s="40"/>
    </row>
    <row r="779" spans="2:13" x14ac:dyDescent="0.3">
      <c r="K779" s="40"/>
    </row>
    <row r="780" spans="2:13" x14ac:dyDescent="0.3">
      <c r="K780" s="40"/>
    </row>
    <row r="781" spans="2:13" x14ac:dyDescent="0.3">
      <c r="K781" s="40"/>
    </row>
    <row r="782" spans="2:13" x14ac:dyDescent="0.3">
      <c r="K782" s="40"/>
    </row>
    <row r="783" spans="2:13" x14ac:dyDescent="0.3">
      <c r="K783" s="40"/>
    </row>
    <row r="784" spans="2:1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sheetData>
  <phoneticPr fontId="16" type="noConversion"/>
  <pageMargins left="0.7" right="0.7" top="0.75" bottom="0.75" header="0.3" footer="0.3"/>
  <pageSetup orientation="portrait" horizontalDpi="4294967294" verticalDpi="0"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B20" sqref="B20"/>
    </sheetView>
  </sheetViews>
  <sheetFormatPr defaultColWidth="9.08984375" defaultRowHeight="13" x14ac:dyDescent="0.3"/>
  <cols>
    <col min="1" max="1" width="41" style="17" customWidth="1"/>
    <col min="2" max="2" width="10.81640625" style="50" customWidth="1"/>
    <col min="3" max="3" width="7.81640625" style="51" customWidth="1"/>
    <col min="4" max="4" width="10.81640625" style="50" customWidth="1"/>
    <col min="5" max="5" width="7.81640625" style="50" customWidth="1"/>
    <col min="6" max="6" width="10.81640625" style="17" customWidth="1"/>
    <col min="7" max="7" width="10.08984375" style="17" customWidth="1"/>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7" x14ac:dyDescent="0.3">
      <c r="A1" s="61" t="s">
        <v>146</v>
      </c>
      <c r="B1" s="50" t="str">
        <f>model</f>
        <v>ME Grain &amp; Pulse</v>
      </c>
    </row>
    <row r="3" spans="1:7" x14ac:dyDescent="0.3">
      <c r="A3" s="7" t="s">
        <v>1298</v>
      </c>
      <c r="B3" s="55" t="s">
        <v>92</v>
      </c>
      <c r="C3" s="54">
        <f>graze</f>
        <v>0</v>
      </c>
      <c r="D3" s="17" t="s">
        <v>93</v>
      </c>
      <c r="E3" s="17"/>
      <c r="F3" s="27"/>
      <c r="G3" s="27"/>
    </row>
    <row r="4" spans="1:7" x14ac:dyDescent="0.3">
      <c r="A4" s="7"/>
      <c r="B4" s="55" t="s">
        <v>232</v>
      </c>
      <c r="C4" s="210">
        <f>Data!B167</f>
        <v>1.8559999999999999</v>
      </c>
      <c r="D4" s="17" t="s">
        <v>504</v>
      </c>
      <c r="E4" s="54">
        <f>(C4*2000)/100</f>
        <v>37.119999999999997</v>
      </c>
      <c r="F4" s="17" t="s">
        <v>233</v>
      </c>
      <c r="G4" s="27"/>
    </row>
    <row r="5" spans="1:7" x14ac:dyDescent="0.3">
      <c r="A5" s="7"/>
      <c r="B5" s="147" t="s">
        <v>282</v>
      </c>
      <c r="C5" s="97">
        <f>Data!B162</f>
        <v>55.189451568499592</v>
      </c>
      <c r="D5" s="17" t="s">
        <v>286</v>
      </c>
      <c r="E5" s="17"/>
      <c r="G5" s="50"/>
    </row>
    <row r="7" spans="1:7" ht="15.5" x14ac:dyDescent="0.35">
      <c r="A7" s="751" t="s">
        <v>1297</v>
      </c>
      <c r="B7" s="697" t="s">
        <v>76</v>
      </c>
      <c r="C7" s="697"/>
      <c r="D7" s="697" t="s">
        <v>77</v>
      </c>
      <c r="E7" s="698"/>
      <c r="F7" s="697" t="s">
        <v>385</v>
      </c>
    </row>
    <row r="8" spans="1:7" ht="15.5" x14ac:dyDescent="0.35">
      <c r="A8" s="699" t="s">
        <v>362</v>
      </c>
      <c r="B8" s="759">
        <f>C3</f>
        <v>0</v>
      </c>
      <c r="C8" s="701"/>
      <c r="D8" s="702" t="s">
        <v>363</v>
      </c>
      <c r="E8" s="699"/>
      <c r="F8" s="702" t="s">
        <v>363</v>
      </c>
    </row>
    <row r="9" spans="1:7" ht="15.5" x14ac:dyDescent="0.35">
      <c r="A9" s="699" t="s">
        <v>1299</v>
      </c>
      <c r="B9" s="759">
        <f>C3*'[5]Crop production'!C10</f>
        <v>0</v>
      </c>
      <c r="C9" s="701"/>
      <c r="D9" s="768">
        <f>C4</f>
        <v>1.8559999999999999</v>
      </c>
      <c r="E9" s="699"/>
      <c r="F9" s="702" t="s">
        <v>363</v>
      </c>
    </row>
    <row r="10" spans="1:7" ht="15.65" customHeight="1" x14ac:dyDescent="0.35">
      <c r="A10" s="699" t="s">
        <v>1300</v>
      </c>
      <c r="B10" s="702" t="s">
        <v>363</v>
      </c>
      <c r="C10" s="716"/>
      <c r="D10" s="702" t="s">
        <v>363</v>
      </c>
      <c r="E10" s="752"/>
      <c r="F10" s="716">
        <f>C5</f>
        <v>55.189451568499592</v>
      </c>
    </row>
    <row r="11" spans="1:7" ht="15.5" x14ac:dyDescent="0.35">
      <c r="A11" s="699"/>
      <c r="B11" s="743"/>
      <c r="C11" s="773"/>
      <c r="D11" s="743"/>
      <c r="E11" s="743"/>
      <c r="F11" s="699"/>
    </row>
    <row r="12" spans="1:7" ht="15" x14ac:dyDescent="0.3">
      <c r="A12" s="709" t="s">
        <v>230</v>
      </c>
      <c r="B12" s="777">
        <f>C4*C5*graze</f>
        <v>0</v>
      </c>
      <c r="C12" s="737"/>
      <c r="D12" s="712" t="e">
        <f>B12/graze</f>
        <v>#DIV/0!</v>
      </c>
      <c r="E12" s="712"/>
      <c r="F12" s="712" t="e">
        <f>B12/(graze*$C$4)</f>
        <v>#DIV/0!</v>
      </c>
    </row>
    <row r="13" spans="1:7" ht="15.5" x14ac:dyDescent="0.35">
      <c r="A13" s="699"/>
      <c r="B13" s="777"/>
      <c r="C13" s="737"/>
      <c r="D13" s="717"/>
      <c r="E13" s="717"/>
      <c r="F13" s="718"/>
    </row>
    <row r="14" spans="1:7" ht="15.5" x14ac:dyDescent="0.35">
      <c r="A14" s="709" t="s">
        <v>365</v>
      </c>
      <c r="B14" s="719"/>
      <c r="C14" s="739"/>
      <c r="D14" s="717"/>
      <c r="E14" s="717"/>
      <c r="F14" s="718"/>
    </row>
    <row r="15" spans="1:7" ht="15.5" x14ac:dyDescent="0.35">
      <c r="A15" s="714" t="s">
        <v>13</v>
      </c>
      <c r="B15" s="719">
        <f>SUM(GrzOprC!H7:H9)</f>
        <v>0</v>
      </c>
      <c r="C15" s="739"/>
      <c r="D15" s="717" t="e">
        <f>B15/graze</f>
        <v>#DIV/0!</v>
      </c>
      <c r="E15" s="719"/>
      <c r="F15" s="717" t="e">
        <f>B15/(graze*$C$4)</f>
        <v>#DIV/0!</v>
      </c>
    </row>
    <row r="16" spans="1:7" ht="15.5" x14ac:dyDescent="0.35">
      <c r="A16" s="714" t="s">
        <v>1</v>
      </c>
      <c r="B16" s="719">
        <f>SUM(GrzOprC!H11:H12)</f>
        <v>0</v>
      </c>
      <c r="C16" s="739"/>
      <c r="D16" s="719" t="e">
        <f>B16/graze</f>
        <v>#DIV/0!</v>
      </c>
      <c r="E16" s="717"/>
      <c r="F16" s="719" t="e">
        <f t="shared" ref="F16:F33" si="0">B16/(graze*$C$4)</f>
        <v>#DIV/0!</v>
      </c>
    </row>
    <row r="17" spans="1:6" ht="15.5" x14ac:dyDescent="0.35">
      <c r="A17" s="714" t="s">
        <v>2</v>
      </c>
      <c r="B17" s="719">
        <f>GrzOprC!H13</f>
        <v>0</v>
      </c>
      <c r="C17" s="739"/>
      <c r="D17" s="719" t="e">
        <f>B17/graze</f>
        <v>#DIV/0!</v>
      </c>
      <c r="E17" s="719"/>
      <c r="F17" s="719" t="e">
        <f t="shared" si="0"/>
        <v>#DIV/0!</v>
      </c>
    </row>
    <row r="18" spans="1:6" ht="15.5" x14ac:dyDescent="0.35">
      <c r="A18" s="714" t="s">
        <v>1476</v>
      </c>
      <c r="B18" s="699"/>
      <c r="C18" s="699"/>
      <c r="D18" s="699"/>
      <c r="E18" s="699"/>
      <c r="F18" s="699"/>
    </row>
    <row r="19" spans="1:6" ht="15.5" x14ac:dyDescent="0.35">
      <c r="A19" s="714" t="s">
        <v>1119</v>
      </c>
      <c r="B19" s="755">
        <f>SUM(GrzOprC!H14:H17)</f>
        <v>0</v>
      </c>
      <c r="C19" s="778"/>
      <c r="D19" s="754" t="e">
        <f>B19/graze</f>
        <v>#DIV/0!</v>
      </c>
      <c r="E19" s="755"/>
      <c r="F19" s="754" t="e">
        <f>B19/(graze*$C$4)</f>
        <v>#DIV/0!</v>
      </c>
    </row>
    <row r="20" spans="1:6" ht="15.5" x14ac:dyDescent="0.35">
      <c r="A20" s="714" t="s">
        <v>1120</v>
      </c>
      <c r="B20" s="755">
        <v>0</v>
      </c>
      <c r="C20" s="778"/>
      <c r="D20" s="755" t="e">
        <f>B20/graze</f>
        <v>#DIV/0!</v>
      </c>
      <c r="E20" s="755"/>
      <c r="F20" s="755" t="e">
        <f>B20/(graze*$C$4)</f>
        <v>#DIV/0!</v>
      </c>
    </row>
    <row r="21" spans="1:6" ht="15.5" x14ac:dyDescent="0.35">
      <c r="A21" s="714" t="s">
        <v>14</v>
      </c>
      <c r="B21" s="719">
        <f>SUM(GrzOprC!H19:H51)</f>
        <v>0</v>
      </c>
      <c r="C21" s="739"/>
      <c r="D21" s="717" t="e">
        <f t="shared" ref="D21:D33" si="1">B21/graze</f>
        <v>#DIV/0!</v>
      </c>
      <c r="E21" s="717"/>
      <c r="F21" s="717" t="e">
        <f t="shared" si="0"/>
        <v>#DIV/0!</v>
      </c>
    </row>
    <row r="22" spans="1:6" ht="15.5" x14ac:dyDescent="0.35">
      <c r="A22" s="714" t="s">
        <v>169</v>
      </c>
      <c r="B22" s="719">
        <f>SUM(GrzOprC!H53:H86)</f>
        <v>0</v>
      </c>
      <c r="C22" s="739"/>
      <c r="D22" s="717" t="e">
        <f t="shared" si="1"/>
        <v>#DIV/0!</v>
      </c>
      <c r="E22" s="717"/>
      <c r="F22" s="717" t="e">
        <f t="shared" si="0"/>
        <v>#DIV/0!</v>
      </c>
    </row>
    <row r="23" spans="1:6" ht="15.5" x14ac:dyDescent="0.35">
      <c r="A23" s="714" t="s">
        <v>78</v>
      </c>
      <c r="B23" s="719">
        <f>SUM(GrzOprC!H87:H88)</f>
        <v>0</v>
      </c>
      <c r="C23" s="739"/>
      <c r="D23" s="717" t="e">
        <f t="shared" si="1"/>
        <v>#DIV/0!</v>
      </c>
      <c r="E23" s="719"/>
      <c r="F23" s="717" t="e">
        <f t="shared" si="0"/>
        <v>#DIV/0!</v>
      </c>
    </row>
    <row r="24" spans="1:6" ht="15.5" x14ac:dyDescent="0.35">
      <c r="A24" s="714" t="s">
        <v>170</v>
      </c>
      <c r="B24" s="761">
        <f>GrzOprC!H89</f>
        <v>0</v>
      </c>
      <c r="C24" s="739"/>
      <c r="D24" s="719" t="e">
        <f t="shared" si="1"/>
        <v>#DIV/0!</v>
      </c>
      <c r="E24" s="719"/>
      <c r="F24" s="719" t="e">
        <f t="shared" si="0"/>
        <v>#DIV/0!</v>
      </c>
    </row>
    <row r="25" spans="1:6" ht="15.5" x14ac:dyDescent="0.35">
      <c r="A25" s="714" t="s">
        <v>171</v>
      </c>
      <c r="B25" s="761">
        <f>SUM(GrzOprC!H90:H91)</f>
        <v>0</v>
      </c>
      <c r="C25" s="739"/>
      <c r="D25" s="719" t="e">
        <f t="shared" si="1"/>
        <v>#DIV/0!</v>
      </c>
      <c r="E25" s="717"/>
      <c r="F25" s="719" t="e">
        <f t="shared" si="0"/>
        <v>#DIV/0!</v>
      </c>
    </row>
    <row r="26" spans="1:6" ht="15.5" x14ac:dyDescent="0.35">
      <c r="A26" s="714" t="s">
        <v>172</v>
      </c>
      <c r="B26" s="761"/>
      <c r="C26" s="739"/>
      <c r="D26" s="779"/>
      <c r="E26" s="717"/>
      <c r="F26" s="719"/>
    </row>
    <row r="27" spans="1:6" ht="15.5" x14ac:dyDescent="0.35">
      <c r="A27" s="734" t="s">
        <v>439</v>
      </c>
      <c r="B27" s="761">
        <f>GrzOprC!H93</f>
        <v>0</v>
      </c>
      <c r="C27" s="739"/>
      <c r="D27" s="717" t="e">
        <f t="shared" si="1"/>
        <v>#DIV/0!</v>
      </c>
      <c r="E27" s="717"/>
      <c r="F27" s="717" t="e">
        <f t="shared" si="0"/>
        <v>#DIV/0!</v>
      </c>
    </row>
    <row r="28" spans="1:6" ht="15.5" x14ac:dyDescent="0.35">
      <c r="A28" s="734" t="s">
        <v>440</v>
      </c>
      <c r="B28" s="761">
        <f>GrzOprC!H94</f>
        <v>0</v>
      </c>
      <c r="C28" s="739"/>
      <c r="D28" s="719" t="e">
        <f t="shared" si="1"/>
        <v>#DIV/0!</v>
      </c>
      <c r="E28" s="717"/>
      <c r="F28" s="719" t="e">
        <f t="shared" si="0"/>
        <v>#DIV/0!</v>
      </c>
    </row>
    <row r="29" spans="1:6" ht="15.5" x14ac:dyDescent="0.35">
      <c r="A29" s="716" t="s">
        <v>380</v>
      </c>
      <c r="B29" s="732">
        <f>SUM(GrzOprC!H96:H97)</f>
        <v>0</v>
      </c>
      <c r="C29" s="733"/>
      <c r="D29" s="717" t="e">
        <f t="shared" si="1"/>
        <v>#DIV/0!</v>
      </c>
      <c r="E29" s="752"/>
      <c r="F29" s="717" t="e">
        <f t="shared" si="0"/>
        <v>#DIV/0!</v>
      </c>
    </row>
    <row r="30" spans="1:6" ht="15.5" x14ac:dyDescent="0.35">
      <c r="A30" s="734" t="s">
        <v>442</v>
      </c>
      <c r="B30" s="732">
        <f>GrzOprC!H98</f>
        <v>0</v>
      </c>
      <c r="C30" s="733"/>
      <c r="D30" s="719" t="e">
        <f t="shared" si="1"/>
        <v>#DIV/0!</v>
      </c>
      <c r="E30" s="752"/>
      <c r="F30" s="719" t="e">
        <f t="shared" si="0"/>
        <v>#DIV/0!</v>
      </c>
    </row>
    <row r="31" spans="1:6" ht="15.5" x14ac:dyDescent="0.35">
      <c r="A31" s="716" t="s">
        <v>382</v>
      </c>
      <c r="B31" s="732">
        <f>SUM(GrzOprC!H99:H105)</f>
        <v>0</v>
      </c>
      <c r="C31" s="733"/>
      <c r="D31" s="719" t="e">
        <f t="shared" si="1"/>
        <v>#DIV/0!</v>
      </c>
      <c r="E31" s="752"/>
      <c r="F31" s="719" t="e">
        <f t="shared" si="0"/>
        <v>#DIV/0!</v>
      </c>
    </row>
    <row r="32" spans="1:6" ht="15.5" x14ac:dyDescent="0.35">
      <c r="A32" s="716" t="s">
        <v>383</v>
      </c>
      <c r="B32" s="732">
        <f>SUM(GrzOprC!H106:H108)</f>
        <v>0</v>
      </c>
      <c r="C32" s="733"/>
      <c r="D32" s="719" t="e">
        <f t="shared" si="1"/>
        <v>#DIV/0!</v>
      </c>
      <c r="E32" s="753"/>
      <c r="F32" s="719" t="e">
        <f t="shared" si="0"/>
        <v>#DIV/0!</v>
      </c>
    </row>
    <row r="33" spans="1:12" ht="15.5" x14ac:dyDescent="0.35">
      <c r="A33" s="714" t="s">
        <v>69</v>
      </c>
      <c r="B33" s="761">
        <f>GrzOprC!H112</f>
        <v>0</v>
      </c>
      <c r="C33" s="739"/>
      <c r="D33" s="717" t="e">
        <f t="shared" si="1"/>
        <v>#DIV/0!</v>
      </c>
      <c r="E33" s="739"/>
      <c r="F33" s="717" t="e">
        <f t="shared" si="0"/>
        <v>#DIV/0!</v>
      </c>
    </row>
    <row r="34" spans="1:12" ht="15" x14ac:dyDescent="0.3">
      <c r="A34" s="709" t="s">
        <v>366</v>
      </c>
      <c r="B34" s="780">
        <f>SUM(B15:B33)</f>
        <v>0</v>
      </c>
      <c r="C34" s="737"/>
      <c r="D34" s="737" t="e">
        <f>SUM(D15:D33)</f>
        <v>#DIV/0!</v>
      </c>
      <c r="E34" s="737"/>
      <c r="F34" s="737" t="e">
        <f>SUM(F15:F33)</f>
        <v>#DIV/0!</v>
      </c>
    </row>
    <row r="35" spans="1:12" ht="15.5" x14ac:dyDescent="0.35">
      <c r="A35" s="738"/>
      <c r="B35" s="738"/>
      <c r="C35" s="738"/>
      <c r="D35" s="738"/>
      <c r="E35" s="738"/>
      <c r="F35" s="738"/>
    </row>
    <row r="36" spans="1:12" ht="15.5" x14ac:dyDescent="0.35">
      <c r="A36" s="709" t="s">
        <v>367</v>
      </c>
      <c r="B36" s="761"/>
      <c r="C36" s="739"/>
      <c r="D36" s="739"/>
      <c r="E36" s="739"/>
      <c r="F36" s="740"/>
      <c r="I36" s="52"/>
    </row>
    <row r="37" spans="1:12" ht="15.5" x14ac:dyDescent="0.35">
      <c r="A37" s="714" t="s">
        <v>29</v>
      </c>
      <c r="B37" s="761"/>
      <c r="C37" s="739"/>
      <c r="D37" s="717"/>
      <c r="E37" s="739"/>
      <c r="F37" s="717"/>
      <c r="H37" s="764" t="s">
        <v>29</v>
      </c>
    </row>
    <row r="38" spans="1:12" ht="15.5" x14ac:dyDescent="0.35">
      <c r="A38" s="734" t="s">
        <v>1240</v>
      </c>
      <c r="B38" s="761">
        <f>SUM(GrzOwnC!H8:H10)</f>
        <v>0</v>
      </c>
      <c r="C38" s="739"/>
      <c r="D38" s="717" t="e">
        <f t="shared" ref="D38:D50" si="2">B38/graze</f>
        <v>#DIV/0!</v>
      </c>
      <c r="E38" s="739"/>
      <c r="F38" s="717" t="e">
        <f t="shared" ref="F38:F50" si="3">B38/(graze*$C$4)</f>
        <v>#DIV/0!</v>
      </c>
      <c r="H38" s="697" t="s">
        <v>76</v>
      </c>
      <c r="I38" s="697"/>
      <c r="J38" s="697" t="s">
        <v>77</v>
      </c>
      <c r="K38" s="698"/>
      <c r="L38" s="697" t="s">
        <v>385</v>
      </c>
    </row>
    <row r="39" spans="1:12" ht="15.5" x14ac:dyDescent="0.35">
      <c r="A39" s="734" t="s">
        <v>1241</v>
      </c>
      <c r="B39" s="761">
        <f>SUM(GrzOwnC!H11:H13)</f>
        <v>0</v>
      </c>
      <c r="C39" s="739"/>
      <c r="D39" s="719" t="e">
        <f t="shared" si="2"/>
        <v>#DIV/0!</v>
      </c>
      <c r="E39" s="761"/>
      <c r="F39" s="719" t="e">
        <f t="shared" si="3"/>
        <v>#DIV/0!</v>
      </c>
      <c r="H39" s="763">
        <f>SUM(B38:B49)</f>
        <v>0</v>
      </c>
      <c r="J39" s="756" t="e">
        <f>SUM(D38:D49)</f>
        <v>#DIV/0!</v>
      </c>
      <c r="L39" s="756" t="e">
        <f>SUM(F38:F49)</f>
        <v>#DIV/0!</v>
      </c>
    </row>
    <row r="40" spans="1:12" ht="15.5" x14ac:dyDescent="0.35">
      <c r="A40" s="734" t="s">
        <v>1243</v>
      </c>
      <c r="B40" s="761">
        <f>0</f>
        <v>0</v>
      </c>
      <c r="C40" s="739"/>
      <c r="D40" s="719" t="e">
        <f t="shared" si="2"/>
        <v>#DIV/0!</v>
      </c>
      <c r="E40" s="761"/>
      <c r="F40" s="719" t="e">
        <f t="shared" si="3"/>
        <v>#DIV/0!</v>
      </c>
    </row>
    <row r="41" spans="1:12" ht="15.5" x14ac:dyDescent="0.35">
      <c r="A41" s="734" t="s">
        <v>1242</v>
      </c>
      <c r="B41" s="761">
        <f>SUM(GrzOwnC!H14:H16)</f>
        <v>0</v>
      </c>
      <c r="C41" s="739"/>
      <c r="D41" s="719" t="e">
        <f t="shared" si="2"/>
        <v>#DIV/0!</v>
      </c>
      <c r="E41" s="761"/>
      <c r="F41" s="719" t="e">
        <f t="shared" si="3"/>
        <v>#DIV/0!</v>
      </c>
    </row>
    <row r="42" spans="1:12" ht="15.5" x14ac:dyDescent="0.35">
      <c r="A42" s="734" t="s">
        <v>1244</v>
      </c>
      <c r="B42" s="761">
        <f>0</f>
        <v>0</v>
      </c>
      <c r="C42" s="739"/>
      <c r="D42" s="719" t="e">
        <f t="shared" si="2"/>
        <v>#DIV/0!</v>
      </c>
      <c r="E42" s="761"/>
      <c r="F42" s="719" t="e">
        <f t="shared" si="3"/>
        <v>#DIV/0!</v>
      </c>
    </row>
    <row r="43" spans="1:12" ht="15.5" x14ac:dyDescent="0.35">
      <c r="A43" s="734" t="s">
        <v>1245</v>
      </c>
      <c r="B43" s="761">
        <f>0</f>
        <v>0</v>
      </c>
      <c r="C43" s="739"/>
      <c r="D43" s="719" t="e">
        <f t="shared" si="2"/>
        <v>#DIV/0!</v>
      </c>
      <c r="E43" s="761"/>
      <c r="F43" s="719" t="e">
        <f t="shared" si="3"/>
        <v>#DIV/0!</v>
      </c>
    </row>
    <row r="44" spans="1:12" ht="15.5" x14ac:dyDescent="0.35">
      <c r="A44" s="734" t="s">
        <v>1246</v>
      </c>
      <c r="B44" s="761">
        <f>SUM(GrzOwnC!H17:H24)</f>
        <v>0</v>
      </c>
      <c r="C44" s="739"/>
      <c r="D44" s="717" t="e">
        <f t="shared" si="2"/>
        <v>#DIV/0!</v>
      </c>
      <c r="E44" s="739"/>
      <c r="F44" s="717" t="e">
        <f t="shared" si="3"/>
        <v>#DIV/0!</v>
      </c>
    </row>
    <row r="45" spans="1:12" ht="15.5" x14ac:dyDescent="0.35">
      <c r="A45" s="734" t="s">
        <v>1247</v>
      </c>
      <c r="B45" s="761">
        <f>SUM(GrzOwnC!H25:H28)</f>
        <v>0</v>
      </c>
      <c r="C45" s="739"/>
      <c r="D45" s="717" t="e">
        <f t="shared" si="2"/>
        <v>#DIV/0!</v>
      </c>
      <c r="E45" s="739"/>
      <c r="F45" s="717" t="e">
        <f t="shared" si="3"/>
        <v>#DIV/0!</v>
      </c>
    </row>
    <row r="46" spans="1:12" ht="15.5" x14ac:dyDescent="0.35">
      <c r="A46" s="734" t="s">
        <v>1250</v>
      </c>
      <c r="B46" s="761">
        <f>0</f>
        <v>0</v>
      </c>
      <c r="C46" s="739"/>
      <c r="D46" s="719" t="e">
        <f t="shared" si="2"/>
        <v>#DIV/0!</v>
      </c>
      <c r="E46" s="761"/>
      <c r="F46" s="719" t="e">
        <f t="shared" si="3"/>
        <v>#DIV/0!</v>
      </c>
    </row>
    <row r="47" spans="1:12" ht="15.5" x14ac:dyDescent="0.35">
      <c r="A47" s="734" t="s">
        <v>1304</v>
      </c>
      <c r="B47" s="761">
        <f>SUM(GrzOwnC!H29:H32)</f>
        <v>0</v>
      </c>
      <c r="C47" s="739"/>
      <c r="D47" s="717" t="e">
        <f t="shared" si="2"/>
        <v>#DIV/0!</v>
      </c>
      <c r="E47" s="739"/>
      <c r="F47" s="717" t="e">
        <f t="shared" si="3"/>
        <v>#DIV/0!</v>
      </c>
    </row>
    <row r="48" spans="1:12" ht="15.5" x14ac:dyDescent="0.35">
      <c r="A48" s="734" t="s">
        <v>1248</v>
      </c>
      <c r="B48" s="761">
        <f>SUM(GrzOwnC!H33:H34)</f>
        <v>0</v>
      </c>
      <c r="C48" s="739"/>
      <c r="D48" s="717" t="e">
        <f t="shared" si="2"/>
        <v>#DIV/0!</v>
      </c>
      <c r="E48" s="739"/>
      <c r="F48" s="717" t="e">
        <f t="shared" si="3"/>
        <v>#DIV/0!</v>
      </c>
    </row>
    <row r="49" spans="1:6" ht="15.5" x14ac:dyDescent="0.35">
      <c r="A49" s="734" t="s">
        <v>1249</v>
      </c>
      <c r="B49" s="761">
        <f>SUM(GrzOwnC!H35:H37)</f>
        <v>0</v>
      </c>
      <c r="C49" s="739"/>
      <c r="D49" s="717" t="e">
        <f t="shared" si="2"/>
        <v>#DIV/0!</v>
      </c>
      <c r="E49" s="739"/>
      <c r="F49" s="717" t="e">
        <f t="shared" si="3"/>
        <v>#DIV/0!</v>
      </c>
    </row>
    <row r="50" spans="1:6" ht="15.5" x14ac:dyDescent="0.35">
      <c r="A50" s="714" t="s">
        <v>79</v>
      </c>
      <c r="B50" s="761">
        <f>GrzOwnC!L45</f>
        <v>0</v>
      </c>
      <c r="C50" s="739"/>
      <c r="D50" s="717" t="e">
        <f t="shared" si="2"/>
        <v>#DIV/0!</v>
      </c>
      <c r="E50" s="739"/>
      <c r="F50" s="717" t="e">
        <f t="shared" si="3"/>
        <v>#DIV/0!</v>
      </c>
    </row>
    <row r="51" spans="1:6" ht="15" x14ac:dyDescent="0.3">
      <c r="A51" s="709" t="s">
        <v>368</v>
      </c>
      <c r="B51" s="780">
        <f>SUM(B37:B50)</f>
        <v>0</v>
      </c>
      <c r="C51" s="737"/>
      <c r="D51" s="737" t="e">
        <f>SUM(D37:D50)</f>
        <v>#DIV/0!</v>
      </c>
      <c r="E51" s="737"/>
      <c r="F51" s="737" t="e">
        <f>SUM(F37:F50)</f>
        <v>#DIV/0!</v>
      </c>
    </row>
    <row r="52" spans="1:6" ht="15.5" x14ac:dyDescent="0.35">
      <c r="A52" s="699"/>
      <c r="B52" s="780"/>
      <c r="C52" s="737"/>
      <c r="D52" s="737"/>
      <c r="E52" s="737"/>
      <c r="F52" s="741"/>
    </row>
    <row r="53" spans="1:6" ht="15" x14ac:dyDescent="0.3">
      <c r="A53" s="709" t="s">
        <v>80</v>
      </c>
      <c r="B53" s="780">
        <f>B51+B34</f>
        <v>0</v>
      </c>
      <c r="C53" s="737"/>
      <c r="D53" s="737" t="e">
        <f>D51+D34</f>
        <v>#DIV/0!</v>
      </c>
      <c r="E53" s="737"/>
      <c r="F53" s="737" t="e">
        <f>F51+F34</f>
        <v>#DIV/0!</v>
      </c>
    </row>
    <row r="54" spans="1:6" ht="15.5" x14ac:dyDescent="0.35">
      <c r="A54" s="742"/>
      <c r="B54" s="780"/>
      <c r="C54" s="737"/>
      <c r="D54" s="737"/>
      <c r="E54" s="737"/>
      <c r="F54" s="737"/>
    </row>
    <row r="55" spans="1:6" ht="15" x14ac:dyDescent="0.3">
      <c r="A55" s="709" t="s">
        <v>355</v>
      </c>
      <c r="B55" s="777">
        <f>B12-B53</f>
        <v>0</v>
      </c>
      <c r="C55" s="737"/>
      <c r="D55" s="712" t="e">
        <f>D12-D53</f>
        <v>#DIV/0!</v>
      </c>
      <c r="E55" s="737"/>
      <c r="F55" s="712" t="e">
        <f>F12-F53</f>
        <v>#DIV/0!</v>
      </c>
    </row>
    <row r="56" spans="1:6" ht="15" x14ac:dyDescent="0.3">
      <c r="A56" s="709" t="s">
        <v>356</v>
      </c>
      <c r="B56" s="780">
        <f>B12-B34</f>
        <v>0</v>
      </c>
      <c r="C56" s="737"/>
      <c r="D56" s="737" t="e">
        <f>D12-D34</f>
        <v>#DIV/0!</v>
      </c>
      <c r="E56" s="737"/>
      <c r="F56" s="737" t="e">
        <f>F12-F34</f>
        <v>#DIV/0!</v>
      </c>
    </row>
    <row r="57" spans="1:6" ht="15.5" x14ac:dyDescent="0.35">
      <c r="A57" s="699"/>
      <c r="B57" s="717"/>
      <c r="C57" s="717"/>
      <c r="D57" s="717"/>
      <c r="E57" s="718"/>
      <c r="F57" s="718"/>
    </row>
    <row r="58" spans="1:6" ht="15.5" x14ac:dyDescent="0.35">
      <c r="A58" s="709" t="s">
        <v>234</v>
      </c>
      <c r="B58" s="717"/>
      <c r="C58" s="717"/>
      <c r="D58" s="717"/>
      <c r="E58" s="718"/>
      <c r="F58" s="718"/>
    </row>
    <row r="59" spans="1:6" ht="12.75" customHeight="1" x14ac:dyDescent="0.35">
      <c r="A59" s="744" t="s">
        <v>369</v>
      </c>
      <c r="B59" s="703" t="s">
        <v>76</v>
      </c>
      <c r="C59" s="717"/>
      <c r="D59" s="718" t="s">
        <v>393</v>
      </c>
      <c r="E59" s="718"/>
      <c r="F59" s="718" t="s">
        <v>396</v>
      </c>
    </row>
    <row r="60" spans="1:6" ht="15.5" x14ac:dyDescent="0.35">
      <c r="A60" s="714" t="s">
        <v>370</v>
      </c>
      <c r="B60" s="745">
        <f>B53</f>
        <v>0</v>
      </c>
      <c r="C60" s="717"/>
      <c r="D60" s="717" t="e">
        <f>$B$53/graze</f>
        <v>#DIV/0!</v>
      </c>
      <c r="E60" s="718"/>
      <c r="F60" s="717" t="e">
        <f>$B$53/(graze*$C$4)</f>
        <v>#DIV/0!</v>
      </c>
    </row>
    <row r="61" spans="1:6" ht="15.5" x14ac:dyDescent="0.35">
      <c r="A61" s="714" t="s">
        <v>371</v>
      </c>
      <c r="B61" s="745">
        <f>B34</f>
        <v>0</v>
      </c>
      <c r="C61" s="717"/>
      <c r="D61" s="717" t="e">
        <f>$B$34/graze</f>
        <v>#DIV/0!</v>
      </c>
      <c r="E61" s="718"/>
      <c r="F61" s="717" t="e">
        <f>$B$34/(graze*$C$4)</f>
        <v>#DIV/0!</v>
      </c>
    </row>
    <row r="62" spans="1:6" ht="15.5" x14ac:dyDescent="0.35">
      <c r="A62" s="714"/>
      <c r="B62" s="717"/>
      <c r="C62" s="717"/>
      <c r="D62" s="717"/>
      <c r="E62" s="718"/>
      <c r="F62" s="717"/>
    </row>
    <row r="63" spans="1:6" ht="15.5" x14ac:dyDescent="0.35">
      <c r="A63" s="744" t="s">
        <v>1099</v>
      </c>
      <c r="B63" s="703" t="s">
        <v>1100</v>
      </c>
      <c r="C63" s="717"/>
      <c r="D63" s="717"/>
      <c r="E63" s="718"/>
      <c r="F63" s="717"/>
    </row>
    <row r="64" spans="1:6" ht="15.5" x14ac:dyDescent="0.35">
      <c r="A64" s="714" t="s">
        <v>1101</v>
      </c>
      <c r="B64" s="746" t="e">
        <f>B55/SUM(GrzOprC!E19:E52)</f>
        <v>#DIV/0!</v>
      </c>
      <c r="C64" s="717"/>
      <c r="D64" s="717"/>
      <c r="E64" s="718"/>
      <c r="F64" s="717"/>
    </row>
    <row r="65" spans="1:6" ht="15.5" x14ac:dyDescent="0.35">
      <c r="A65" s="714" t="s">
        <v>1102</v>
      </c>
      <c r="B65" s="746" t="e">
        <f>B56/SUM(GrzOprC!E19:E52)</f>
        <v>#DIV/0!</v>
      </c>
      <c r="C65" s="717"/>
      <c r="D65" s="717"/>
      <c r="E65" s="718"/>
      <c r="F65" s="717"/>
    </row>
    <row r="66" spans="1:6" ht="15.5" x14ac:dyDescent="0.35">
      <c r="A66" s="747"/>
      <c r="B66" s="748"/>
      <c r="C66" s="748"/>
      <c r="D66" s="748"/>
      <c r="E66" s="748"/>
      <c r="F66" s="747"/>
    </row>
  </sheetData>
  <phoneticPr fontId="16" type="noConversion"/>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96"/>
  <sheetViews>
    <sheetView workbookViewId="0">
      <pane ySplit="6" topLeftCell="A10" activePane="bottomLeft" state="frozen"/>
      <selection pane="bottomLeft" activeCell="H3" sqref="H3"/>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1" width="9.90625" style="17" customWidth="1"/>
    <col min="12" max="12" width="9.08984375" style="17"/>
    <col min="13" max="13" width="7.36328125" style="17" customWidth="1"/>
    <col min="14" max="14" width="6.453125" style="17" customWidth="1"/>
    <col min="15" max="16384" width="9.08984375" style="17"/>
  </cols>
  <sheetData>
    <row r="1" spans="1:15" x14ac:dyDescent="0.3">
      <c r="A1" s="61" t="s">
        <v>146</v>
      </c>
      <c r="B1" s="17" t="str">
        <f>model</f>
        <v>ME Grain &amp; Pulse</v>
      </c>
    </row>
    <row r="3" spans="1:15" x14ac:dyDescent="0.3">
      <c r="A3" s="7" t="s">
        <v>447</v>
      </c>
      <c r="B3" s="8" t="s">
        <v>92</v>
      </c>
      <c r="C3" s="65">
        <f>gcorn</f>
        <v>0</v>
      </c>
      <c r="D3" s="4" t="s">
        <v>93</v>
      </c>
    </row>
    <row r="5" spans="1:15" ht="13.5" x14ac:dyDescent="0.35">
      <c r="A5" s="5" t="s">
        <v>0</v>
      </c>
      <c r="B5" s="5"/>
    </row>
    <row r="6" spans="1:15" s="27" customFormat="1" ht="26" x14ac:dyDescent="0.3">
      <c r="A6" s="41"/>
      <c r="B6" s="391" t="s">
        <v>919</v>
      </c>
      <c r="C6" s="42" t="s">
        <v>21</v>
      </c>
      <c r="D6" s="42" t="s">
        <v>22</v>
      </c>
      <c r="E6" s="227" t="s">
        <v>900</v>
      </c>
      <c r="F6" s="42" t="s">
        <v>23</v>
      </c>
      <c r="G6" s="42" t="s">
        <v>24</v>
      </c>
      <c r="H6" s="42" t="s">
        <v>65</v>
      </c>
    </row>
    <row r="7" spans="1:15" x14ac:dyDescent="0.3">
      <c r="A7" s="3" t="s">
        <v>13</v>
      </c>
      <c r="B7" s="3"/>
      <c r="K7" s="56" t="s">
        <v>629</v>
      </c>
      <c r="L7" s="56" t="s">
        <v>577</v>
      </c>
      <c r="M7" s="56" t="s">
        <v>395</v>
      </c>
      <c r="N7" s="56" t="s">
        <v>630</v>
      </c>
    </row>
    <row r="8" spans="1:15" ht="13.5" thickBot="1" x14ac:dyDescent="0.35">
      <c r="A8" s="6" t="s">
        <v>793</v>
      </c>
      <c r="B8" s="397">
        <v>1</v>
      </c>
      <c r="C8" s="273">
        <f>27500</f>
        <v>27500</v>
      </c>
      <c r="D8" s="34" t="s">
        <v>217</v>
      </c>
      <c r="E8" s="226">
        <f>C8*gcorn</f>
        <v>0</v>
      </c>
      <c r="F8" s="307">
        <f>100.507416081187/80000</f>
        <v>1.2563427010148375E-3</v>
      </c>
      <c r="G8" s="114">
        <f>C8*F8</f>
        <v>34.549424277908031</v>
      </c>
      <c r="H8" s="110">
        <f>B8*G8*gcorn</f>
        <v>0</v>
      </c>
      <c r="I8" s="110"/>
      <c r="J8" s="114"/>
      <c r="K8" s="68">
        <f>80000/2379</f>
        <v>33.627574611181167</v>
      </c>
      <c r="L8" s="114">
        <v>3.0654761904761902</v>
      </c>
      <c r="M8" s="114">
        <f>L8*Data!$K$57</f>
        <v>171.66666666666666</v>
      </c>
      <c r="N8" s="192">
        <f>L8*K8*(78/80)</f>
        <v>100.50741608118656</v>
      </c>
      <c r="O8" s="17" t="s">
        <v>631</v>
      </c>
    </row>
    <row r="9" spans="1:15" x14ac:dyDescent="0.3">
      <c r="A9" s="3" t="s">
        <v>1</v>
      </c>
      <c r="B9" s="3"/>
      <c r="C9" s="60"/>
      <c r="D9" s="34"/>
      <c r="E9" s="34"/>
      <c r="F9" s="104"/>
      <c r="G9" s="114"/>
      <c r="H9" s="110"/>
      <c r="I9" s="110"/>
      <c r="J9" s="114"/>
      <c r="K9" s="55"/>
      <c r="L9" s="114">
        <v>2.1071428571428572</v>
      </c>
      <c r="M9" s="114">
        <f>L9*Data!$K$57</f>
        <v>118</v>
      </c>
      <c r="N9" s="108">
        <f>L9*K8*(78/80)</f>
        <v>69.086651053864159</v>
      </c>
      <c r="O9" s="17" t="s">
        <v>632</v>
      </c>
    </row>
    <row r="10" spans="1:15" x14ac:dyDescent="0.3">
      <c r="A10" s="6" t="s">
        <v>218</v>
      </c>
      <c r="B10" s="397">
        <v>1</v>
      </c>
      <c r="C10" s="278">
        <f>270/2000</f>
        <v>0.13500000000000001</v>
      </c>
      <c r="D10" s="34" t="s">
        <v>26</v>
      </c>
      <c r="E10" s="226">
        <f>C10*gcorn</f>
        <v>0</v>
      </c>
      <c r="F10" s="608">
        <v>575</v>
      </c>
      <c r="G10" s="114">
        <f>C10*F10</f>
        <v>77.625</v>
      </c>
      <c r="H10" s="110">
        <f>B10*G10*gcorn</f>
        <v>0</v>
      </c>
      <c r="I10" s="110"/>
      <c r="J10" s="114"/>
      <c r="L10" s="114"/>
      <c r="M10" s="114"/>
      <c r="N10" s="108"/>
    </row>
    <row r="11" spans="1:15" x14ac:dyDescent="0.3">
      <c r="A11" s="6" t="s">
        <v>250</v>
      </c>
      <c r="B11" s="397">
        <v>1</v>
      </c>
      <c r="C11" s="278">
        <f>220/2000+130/2000</f>
        <v>0.17499999999999999</v>
      </c>
      <c r="D11" s="34" t="s">
        <v>26</v>
      </c>
      <c r="E11" s="226">
        <f>C11*gcorn</f>
        <v>0</v>
      </c>
      <c r="F11" s="608">
        <v>600</v>
      </c>
      <c r="G11" s="114">
        <f>C11*F11</f>
        <v>105</v>
      </c>
      <c r="H11" s="110">
        <f>B11*G11*gcorn</f>
        <v>0</v>
      </c>
      <c r="I11" s="110">
        <f>SUM(H10:H11)</f>
        <v>0</v>
      </c>
      <c r="J11" s="114"/>
      <c r="L11" s="114">
        <f>78/K8</f>
        <v>2.3195250000000001</v>
      </c>
      <c r="M11" s="114">
        <f>L11*Data!$K$57</f>
        <v>129.89340000000001</v>
      </c>
      <c r="N11" s="108">
        <f>L11*K8</f>
        <v>78</v>
      </c>
      <c r="O11" s="17" t="s">
        <v>633</v>
      </c>
    </row>
    <row r="12" spans="1:15" x14ac:dyDescent="0.3">
      <c r="A12" s="6" t="s">
        <v>2</v>
      </c>
      <c r="B12" s="397">
        <v>1</v>
      </c>
      <c r="C12" s="369">
        <f>limeapp</f>
        <v>0.2</v>
      </c>
      <c r="D12" s="34" t="s">
        <v>26</v>
      </c>
      <c r="E12" s="226">
        <f>C12*gcorn</f>
        <v>0</v>
      </c>
      <c r="F12" s="109">
        <f>lime</f>
        <v>38.260869565217391</v>
      </c>
      <c r="G12" s="114">
        <f>C12*F12</f>
        <v>7.6521739130434785</v>
      </c>
      <c r="H12" s="110">
        <f>B12*G12*gcorn</f>
        <v>0</v>
      </c>
      <c r="I12" s="110"/>
      <c r="J12" s="114"/>
    </row>
    <row r="13" spans="1:15" x14ac:dyDescent="0.3">
      <c r="A13" s="3" t="s">
        <v>1476</v>
      </c>
      <c r="B13" s="3"/>
      <c r="C13" s="46"/>
      <c r="D13" s="34"/>
      <c r="E13" s="34"/>
      <c r="F13" s="104"/>
      <c r="G13" s="114"/>
      <c r="H13" s="110"/>
      <c r="I13" s="110"/>
      <c r="J13" s="114"/>
    </row>
    <row r="14" spans="1:15" x14ac:dyDescent="0.3">
      <c r="A14" s="6" t="s">
        <v>219</v>
      </c>
      <c r="B14" s="397">
        <v>1</v>
      </c>
      <c r="C14" s="278">
        <v>2</v>
      </c>
      <c r="D14" s="34" t="s">
        <v>220</v>
      </c>
      <c r="E14" s="226">
        <f>C14*gcorn</f>
        <v>0</v>
      </c>
      <c r="F14" s="283">
        <f>7.504+(7.504*Data!$L$275)</f>
        <v>13.808774419387412</v>
      </c>
      <c r="G14" s="114">
        <f>C14*F14</f>
        <v>27.617548838774823</v>
      </c>
      <c r="H14" s="110">
        <f>B14*G14*gcorn</f>
        <v>0</v>
      </c>
      <c r="I14" s="110"/>
      <c r="J14" s="114"/>
      <c r="L14" s="55" t="s">
        <v>448</v>
      </c>
      <c r="N14" s="55" t="s">
        <v>449</v>
      </c>
    </row>
    <row r="15" spans="1:15" x14ac:dyDescent="0.3">
      <c r="A15" s="6" t="s">
        <v>221</v>
      </c>
      <c r="B15" s="397">
        <v>1</v>
      </c>
      <c r="C15" s="278">
        <v>0.37830000000000003</v>
      </c>
      <c r="D15" s="34" t="s">
        <v>117</v>
      </c>
      <c r="E15" s="226">
        <f>C15*gcorn</f>
        <v>0</v>
      </c>
      <c r="F15" s="283">
        <f>24.802+(24.802*Data!$L$275)</f>
        <v>45.64035489734097</v>
      </c>
      <c r="G15" s="114">
        <f>C15*F15</f>
        <v>17.265746257664091</v>
      </c>
      <c r="H15" s="110">
        <f>B15*G15*gcorn</f>
        <v>0</v>
      </c>
      <c r="I15" s="110">
        <f>SUM(H14:H15)</f>
        <v>0</v>
      </c>
      <c r="J15" s="114"/>
      <c r="L15" s="56" t="s">
        <v>450</v>
      </c>
      <c r="M15" s="56" t="s">
        <v>108</v>
      </c>
      <c r="N15" s="56" t="s">
        <v>451</v>
      </c>
      <c r="O15" s="41" t="s">
        <v>452</v>
      </c>
    </row>
    <row r="16" spans="1:15" x14ac:dyDescent="0.3">
      <c r="A16" s="3" t="s">
        <v>14</v>
      </c>
      <c r="B16" s="3"/>
      <c r="C16" s="46"/>
      <c r="D16" s="34"/>
      <c r="E16" s="34"/>
      <c r="F16" s="104"/>
      <c r="G16" s="114"/>
      <c r="H16" s="110"/>
      <c r="I16" s="110"/>
      <c r="J16" s="114"/>
      <c r="K16" s="55" t="s">
        <v>453</v>
      </c>
      <c r="L16" s="17">
        <f>220/2000</f>
        <v>0.11</v>
      </c>
      <c r="M16" s="24">
        <f>L16/L18</f>
        <v>0.62857142857142867</v>
      </c>
      <c r="N16" s="116">
        <v>230</v>
      </c>
      <c r="O16" s="105">
        <f>L16*N16</f>
        <v>25.3</v>
      </c>
    </row>
    <row r="17" spans="1:15" x14ac:dyDescent="0.3">
      <c r="A17" s="22" t="s">
        <v>332</v>
      </c>
      <c r="B17" s="22"/>
      <c r="C17" s="46"/>
      <c r="D17" s="34"/>
      <c r="E17" s="34"/>
      <c r="F17" s="104"/>
      <c r="G17" s="114"/>
      <c r="H17" s="110"/>
      <c r="I17" s="110"/>
      <c r="J17" s="114"/>
      <c r="K17" s="55" t="s">
        <v>454</v>
      </c>
      <c r="L17" s="41">
        <f>130/2000</f>
        <v>6.5000000000000002E-2</v>
      </c>
      <c r="M17" s="57">
        <f>L17/L18</f>
        <v>0.37142857142857144</v>
      </c>
      <c r="N17" s="151">
        <v>160</v>
      </c>
      <c r="O17" s="152">
        <f>L17*N17</f>
        <v>10.4</v>
      </c>
    </row>
    <row r="18" spans="1:15" x14ac:dyDescent="0.3">
      <c r="A18" s="6" t="s">
        <v>484</v>
      </c>
      <c r="B18" s="397">
        <v>1</v>
      </c>
      <c r="C18" s="156">
        <f>Data!H580</f>
        <v>0.11764705882352941</v>
      </c>
      <c r="D18" s="34" t="s">
        <v>128</v>
      </c>
      <c r="E18" s="226">
        <f t="shared" ref="E18:E28" si="0">C18*gcorn</f>
        <v>0</v>
      </c>
      <c r="F18" s="167">
        <f t="shared" ref="F18:F31" si="1">_wage_</f>
        <v>12.29</v>
      </c>
      <c r="G18" s="114">
        <f t="shared" ref="G18:G28" si="2">C18*F18</f>
        <v>1.4458823529411764</v>
      </c>
      <c r="H18" s="110">
        <f t="shared" ref="H18:H28" si="3">B18*G18*gcorn</f>
        <v>0</v>
      </c>
      <c r="I18" s="110"/>
      <c r="J18" s="114"/>
      <c r="L18" s="17">
        <f>SUM(L16:L17)</f>
        <v>0.17499999999999999</v>
      </c>
      <c r="M18" s="24">
        <f>SUM(M16:M17)</f>
        <v>1</v>
      </c>
      <c r="O18" s="105">
        <f>SUM(O16:O17)</f>
        <v>35.700000000000003</v>
      </c>
    </row>
    <row r="19" spans="1:15" x14ac:dyDescent="0.3">
      <c r="A19" s="6" t="s">
        <v>485</v>
      </c>
      <c r="B19" s="397">
        <v>1</v>
      </c>
      <c r="C19" s="156">
        <f>Data!H581</f>
        <v>8.1833060556464804E-2</v>
      </c>
      <c r="D19" s="34" t="s">
        <v>128</v>
      </c>
      <c r="E19" s="226">
        <f t="shared" si="0"/>
        <v>0</v>
      </c>
      <c r="F19" s="167">
        <f t="shared" si="1"/>
        <v>12.29</v>
      </c>
      <c r="G19" s="114">
        <f t="shared" si="2"/>
        <v>1.0057283142389524</v>
      </c>
      <c r="H19" s="110">
        <f t="shared" si="3"/>
        <v>0</v>
      </c>
      <c r="I19" s="110"/>
      <c r="J19" s="114"/>
      <c r="M19" s="24"/>
    </row>
    <row r="20" spans="1:15" x14ac:dyDescent="0.3">
      <c r="A20" s="22" t="s">
        <v>315</v>
      </c>
      <c r="B20" s="397">
        <v>1</v>
      </c>
      <c r="C20" s="156">
        <f>Data!H582</f>
        <v>0.48</v>
      </c>
      <c r="D20" s="34" t="s">
        <v>128</v>
      </c>
      <c r="E20" s="226">
        <f t="shared" si="0"/>
        <v>0</v>
      </c>
      <c r="F20" s="167">
        <f t="shared" si="1"/>
        <v>12.29</v>
      </c>
      <c r="G20" s="114">
        <f t="shared" si="2"/>
        <v>5.8991999999999996</v>
      </c>
      <c r="H20" s="110">
        <f t="shared" si="3"/>
        <v>0</v>
      </c>
      <c r="I20" s="110"/>
      <c r="J20" s="114"/>
      <c r="L20" s="105"/>
      <c r="M20" s="55" t="s">
        <v>455</v>
      </c>
      <c r="N20" s="108">
        <f>SUMPRODUCT(M16:M17,N16:N17)</f>
        <v>204</v>
      </c>
    </row>
    <row r="21" spans="1:15" x14ac:dyDescent="0.3">
      <c r="A21" s="22" t="s">
        <v>581</v>
      </c>
      <c r="B21" s="397">
        <v>1</v>
      </c>
      <c r="C21" s="156">
        <f>Data!H583</f>
        <v>9.2929292929292931E-2</v>
      </c>
      <c r="D21" s="34" t="s">
        <v>128</v>
      </c>
      <c r="E21" s="226">
        <f t="shared" si="0"/>
        <v>0</v>
      </c>
      <c r="F21" s="167">
        <f t="shared" si="1"/>
        <v>12.29</v>
      </c>
      <c r="G21" s="114">
        <f t="shared" si="2"/>
        <v>1.1421010101010101</v>
      </c>
      <c r="H21" s="110">
        <f t="shared" si="3"/>
        <v>0</v>
      </c>
      <c r="I21" s="110"/>
      <c r="J21" s="114"/>
      <c r="K21" s="98"/>
      <c r="L21" s="24"/>
      <c r="M21" s="81"/>
    </row>
    <row r="22" spans="1:15" ht="13.5" customHeight="1" x14ac:dyDescent="0.3">
      <c r="A22" s="22" t="s">
        <v>333</v>
      </c>
      <c r="B22" s="397">
        <v>1</v>
      </c>
      <c r="C22" s="156">
        <f>Data!H589</f>
        <v>7.7041602465331274E-2</v>
      </c>
      <c r="D22" s="34" t="s">
        <v>128</v>
      </c>
      <c r="E22" s="226">
        <f t="shared" si="0"/>
        <v>0</v>
      </c>
      <c r="F22" s="167">
        <f t="shared" si="1"/>
        <v>12.29</v>
      </c>
      <c r="G22" s="114">
        <f t="shared" si="2"/>
        <v>0.94684129429892128</v>
      </c>
      <c r="H22" s="110">
        <f t="shared" si="3"/>
        <v>0</v>
      </c>
      <c r="I22" s="110"/>
      <c r="J22" s="114"/>
      <c r="K22" s="98"/>
      <c r="L22" s="24"/>
      <c r="M22" s="81"/>
    </row>
    <row r="23" spans="1:15" ht="13.5" customHeight="1" x14ac:dyDescent="0.3">
      <c r="A23" s="22" t="s">
        <v>318</v>
      </c>
      <c r="B23" s="397">
        <v>1</v>
      </c>
      <c r="C23" s="156">
        <f>Data!H593</f>
        <v>0.27777777777777735</v>
      </c>
      <c r="D23" s="34" t="s">
        <v>128</v>
      </c>
      <c r="E23" s="226">
        <f t="shared" si="0"/>
        <v>0</v>
      </c>
      <c r="F23" s="167">
        <f t="shared" si="1"/>
        <v>12.29</v>
      </c>
      <c r="G23" s="114">
        <f t="shared" si="2"/>
        <v>3.4138888888888834</v>
      </c>
      <c r="H23" s="110">
        <f t="shared" si="3"/>
        <v>0</v>
      </c>
      <c r="I23" s="110"/>
      <c r="J23" s="114"/>
    </row>
    <row r="24" spans="1:15" ht="13.5" customHeight="1" x14ac:dyDescent="0.3">
      <c r="A24" s="22" t="s">
        <v>304</v>
      </c>
      <c r="B24" s="397">
        <v>1</v>
      </c>
      <c r="C24" s="156">
        <f>Data!H598</f>
        <v>0.11851851851851852</v>
      </c>
      <c r="D24" s="34" t="s">
        <v>128</v>
      </c>
      <c r="E24" s="226">
        <f t="shared" si="0"/>
        <v>0</v>
      </c>
      <c r="F24" s="167">
        <f t="shared" si="1"/>
        <v>12.29</v>
      </c>
      <c r="G24" s="114">
        <f t="shared" si="2"/>
        <v>1.4565925925925924</v>
      </c>
      <c r="H24" s="110">
        <f t="shared" si="3"/>
        <v>0</v>
      </c>
      <c r="I24" s="110"/>
      <c r="J24" s="114"/>
    </row>
    <row r="25" spans="1:15" ht="13.5" customHeight="1" x14ac:dyDescent="0.3">
      <c r="A25" s="22" t="s">
        <v>319</v>
      </c>
      <c r="B25" s="397">
        <v>1</v>
      </c>
      <c r="C25" s="156">
        <f>Data!H605</f>
        <v>0.16666666666666666</v>
      </c>
      <c r="D25" s="34" t="s">
        <v>128</v>
      </c>
      <c r="E25" s="226">
        <f t="shared" si="0"/>
        <v>0</v>
      </c>
      <c r="F25" s="167">
        <f t="shared" si="1"/>
        <v>12.29</v>
      </c>
      <c r="G25" s="114">
        <f t="shared" si="2"/>
        <v>2.0483333333333329</v>
      </c>
      <c r="H25" s="110">
        <f t="shared" si="3"/>
        <v>0</v>
      </c>
      <c r="I25" s="110"/>
      <c r="J25" s="114"/>
    </row>
    <row r="26" spans="1:15" ht="13.5" customHeight="1" x14ac:dyDescent="0.3">
      <c r="A26" s="22" t="s">
        <v>335</v>
      </c>
      <c r="B26" s="397">
        <v>1</v>
      </c>
      <c r="C26" s="156">
        <f>Data!H612</f>
        <v>1.4814814814814801</v>
      </c>
      <c r="D26" s="34" t="s">
        <v>128</v>
      </c>
      <c r="E26" s="226">
        <f t="shared" si="0"/>
        <v>0</v>
      </c>
      <c r="F26" s="167">
        <f t="shared" si="1"/>
        <v>12.29</v>
      </c>
      <c r="G26" s="114">
        <f t="shared" si="2"/>
        <v>18.207407407407388</v>
      </c>
      <c r="H26" s="110">
        <f t="shared" si="3"/>
        <v>0</v>
      </c>
      <c r="I26" s="110"/>
      <c r="J26" s="114"/>
    </row>
    <row r="27" spans="1:15" x14ac:dyDescent="0.3">
      <c r="A27" s="9" t="s">
        <v>1022</v>
      </c>
      <c r="B27" s="397">
        <v>0</v>
      </c>
      <c r="C27" s="47">
        <f>Data!$H$613*Data!$F$172</f>
        <v>0</v>
      </c>
      <c r="D27" s="48" t="s">
        <v>115</v>
      </c>
      <c r="E27" s="83">
        <f>C27*gcorn</f>
        <v>0</v>
      </c>
      <c r="F27" s="118">
        <f>_wage_</f>
        <v>12.29</v>
      </c>
      <c r="G27" s="465">
        <f>C27*F27</f>
        <v>0</v>
      </c>
      <c r="H27" s="123">
        <f>B27*G27*gcorn</f>
        <v>0</v>
      </c>
      <c r="J27" s="114"/>
      <c r="K27" s="55"/>
    </row>
    <row r="28" spans="1:15" ht="13.5" customHeight="1" x14ac:dyDescent="0.3">
      <c r="A28" s="22" t="s">
        <v>456</v>
      </c>
      <c r="B28" s="397">
        <v>1</v>
      </c>
      <c r="C28" s="156">
        <f>Data!H622</f>
        <v>0.2</v>
      </c>
      <c r="D28" s="34" t="s">
        <v>128</v>
      </c>
      <c r="E28" s="226">
        <f t="shared" si="0"/>
        <v>0</v>
      </c>
      <c r="F28" s="167">
        <f t="shared" si="1"/>
        <v>12.29</v>
      </c>
      <c r="G28" s="114">
        <f t="shared" si="2"/>
        <v>2.4580000000000002</v>
      </c>
      <c r="H28" s="110">
        <f t="shared" si="3"/>
        <v>0</v>
      </c>
      <c r="I28" s="110"/>
      <c r="J28" s="114"/>
    </row>
    <row r="29" spans="1:15" x14ac:dyDescent="0.3">
      <c r="A29" s="9" t="s">
        <v>1022</v>
      </c>
      <c r="B29" s="397">
        <v>1</v>
      </c>
      <c r="C29" s="47">
        <f>Data!$H$623*Data!$F$172</f>
        <v>0</v>
      </c>
      <c r="D29" s="48" t="s">
        <v>115</v>
      </c>
      <c r="E29" s="83">
        <f>C29*gcorn</f>
        <v>0</v>
      </c>
      <c r="F29" s="118">
        <f>_wage_</f>
        <v>12.29</v>
      </c>
      <c r="G29" s="465">
        <f>C29*F29</f>
        <v>0</v>
      </c>
      <c r="H29" s="123">
        <f>B29*G29*gcorn</f>
        <v>0</v>
      </c>
      <c r="J29" s="114"/>
      <c r="K29" s="55"/>
    </row>
    <row r="30" spans="1:15" ht="13.5" customHeight="1" x14ac:dyDescent="0.3">
      <c r="A30" s="22" t="s">
        <v>337</v>
      </c>
      <c r="B30" s="22"/>
      <c r="C30" s="46"/>
      <c r="D30" s="34"/>
      <c r="E30" s="34"/>
      <c r="F30" s="167"/>
      <c r="G30" s="114"/>
      <c r="H30" s="110"/>
      <c r="I30" s="110"/>
      <c r="J30" s="114"/>
    </row>
    <row r="31" spans="1:15" x14ac:dyDescent="0.3">
      <c r="A31" s="6" t="s">
        <v>321</v>
      </c>
      <c r="B31" s="397">
        <v>1</v>
      </c>
      <c r="C31" s="273">
        <v>0</v>
      </c>
      <c r="D31" s="34" t="s">
        <v>128</v>
      </c>
      <c r="E31" s="226">
        <f>C31*gcorn</f>
        <v>0</v>
      </c>
      <c r="F31" s="167">
        <f t="shared" si="1"/>
        <v>12.29</v>
      </c>
      <c r="G31" s="114">
        <f>C31*F31</f>
        <v>0</v>
      </c>
      <c r="H31" s="110">
        <f>B31*G31*gcorn</f>
        <v>0</v>
      </c>
      <c r="I31" s="127">
        <f>SUM(H18:H31)</f>
        <v>0</v>
      </c>
      <c r="J31" s="114"/>
    </row>
    <row r="32" spans="1:15" x14ac:dyDescent="0.3">
      <c r="A32" s="3" t="s">
        <v>66</v>
      </c>
      <c r="B32" s="3"/>
      <c r="C32" s="136"/>
      <c r="D32" s="34"/>
      <c r="E32" s="34"/>
      <c r="F32" s="167"/>
      <c r="G32" s="114"/>
      <c r="H32" s="110"/>
      <c r="I32" s="137"/>
      <c r="J32" s="114"/>
    </row>
    <row r="33" spans="1:13" x14ac:dyDescent="0.3">
      <c r="A33" s="22" t="s">
        <v>332</v>
      </c>
      <c r="B33" s="22"/>
      <c r="C33" s="46"/>
      <c r="D33" s="34"/>
      <c r="E33" s="34"/>
      <c r="F33" s="167"/>
      <c r="G33" s="114"/>
      <c r="H33" s="110"/>
      <c r="I33" s="139"/>
      <c r="J33" s="114"/>
      <c r="K33" s="98"/>
      <c r="L33" s="24"/>
      <c r="M33" s="81"/>
    </row>
    <row r="34" spans="1:13" x14ac:dyDescent="0.3">
      <c r="A34" s="6" t="s">
        <v>484</v>
      </c>
      <c r="B34" s="405">
        <f t="shared" ref="B34:B45" si="4">B18</f>
        <v>1</v>
      </c>
      <c r="C34" s="156">
        <f>Data!R580</f>
        <v>0.64</v>
      </c>
      <c r="D34" s="34" t="s">
        <v>117</v>
      </c>
      <c r="E34" s="226">
        <f t="shared" ref="E34:E44" si="5">C34*gcorn</f>
        <v>0</v>
      </c>
      <c r="F34" s="167">
        <f>diesel_fuel</f>
        <v>2.56</v>
      </c>
      <c r="G34" s="114">
        <f>C34*F34</f>
        <v>1.6384000000000001</v>
      </c>
      <c r="H34" s="110">
        <f t="shared" ref="H34:H47" si="6">B34*G34*gcorn</f>
        <v>0</v>
      </c>
      <c r="I34" s="110"/>
      <c r="J34" s="114"/>
      <c r="K34" s="55"/>
      <c r="L34" s="24"/>
      <c r="M34" s="81"/>
    </row>
    <row r="35" spans="1:13" x14ac:dyDescent="0.3">
      <c r="A35" s="6" t="s">
        <v>485</v>
      </c>
      <c r="B35" s="405">
        <f t="shared" si="4"/>
        <v>1</v>
      </c>
      <c r="C35" s="156">
        <f>Data!R581</f>
        <v>0.74</v>
      </c>
      <c r="D35" s="34" t="s">
        <v>117</v>
      </c>
      <c r="E35" s="226">
        <f t="shared" si="5"/>
        <v>0</v>
      </c>
      <c r="F35" s="167">
        <f t="shared" ref="F35:F47" si="7">diesel_fuel</f>
        <v>2.56</v>
      </c>
      <c r="G35" s="114">
        <f>C35*F35</f>
        <v>1.8944000000000001</v>
      </c>
      <c r="H35" s="110">
        <f t="shared" si="6"/>
        <v>0</v>
      </c>
      <c r="I35" s="110"/>
      <c r="J35" s="114"/>
      <c r="K35" s="55"/>
      <c r="L35" s="24"/>
      <c r="M35" s="81"/>
    </row>
    <row r="36" spans="1:13" x14ac:dyDescent="0.3">
      <c r="A36" s="22" t="s">
        <v>315</v>
      </c>
      <c r="B36" s="405">
        <f t="shared" si="4"/>
        <v>1</v>
      </c>
      <c r="C36" s="156">
        <f>Data!R582</f>
        <v>0.2</v>
      </c>
      <c r="D36" s="34" t="s">
        <v>117</v>
      </c>
      <c r="E36" s="226">
        <f t="shared" si="5"/>
        <v>0</v>
      </c>
      <c r="F36" s="167">
        <f t="shared" si="7"/>
        <v>2.56</v>
      </c>
      <c r="G36" s="114">
        <f t="shared" ref="G36:G46" si="8">C36*F36</f>
        <v>0.51200000000000001</v>
      </c>
      <c r="H36" s="110">
        <f t="shared" si="6"/>
        <v>0</v>
      </c>
      <c r="I36" s="110"/>
      <c r="J36" s="114"/>
      <c r="K36" s="55"/>
      <c r="L36" s="24"/>
      <c r="M36" s="81"/>
    </row>
    <row r="37" spans="1:13" x14ac:dyDescent="0.3">
      <c r="A37" s="22" t="s">
        <v>581</v>
      </c>
      <c r="B37" s="405">
        <f t="shared" si="4"/>
        <v>1</v>
      </c>
      <c r="C37" s="156">
        <f>Data!R583</f>
        <v>0.13183670241332501</v>
      </c>
      <c r="D37" s="34" t="s">
        <v>117</v>
      </c>
      <c r="E37" s="226">
        <f t="shared" si="5"/>
        <v>0</v>
      </c>
      <c r="F37" s="167">
        <f t="shared" si="7"/>
        <v>2.56</v>
      </c>
      <c r="G37" s="114">
        <f t="shared" si="8"/>
        <v>0.33750195817811202</v>
      </c>
      <c r="H37" s="110">
        <f t="shared" si="6"/>
        <v>0</v>
      </c>
      <c r="I37" s="110"/>
      <c r="J37" s="114"/>
      <c r="K37" s="55"/>
      <c r="L37" s="24"/>
      <c r="M37" s="81"/>
    </row>
    <row r="38" spans="1:13" x14ac:dyDescent="0.3">
      <c r="A38" s="22" t="s">
        <v>333</v>
      </c>
      <c r="B38" s="405">
        <f t="shared" si="4"/>
        <v>1</v>
      </c>
      <c r="C38" s="156">
        <f>Data!R589</f>
        <v>0.34</v>
      </c>
      <c r="D38" s="34" t="s">
        <v>117</v>
      </c>
      <c r="E38" s="226">
        <f t="shared" si="5"/>
        <v>0</v>
      </c>
      <c r="F38" s="167">
        <f t="shared" si="7"/>
        <v>2.56</v>
      </c>
      <c r="G38" s="114">
        <f t="shared" si="8"/>
        <v>0.87040000000000006</v>
      </c>
      <c r="H38" s="110">
        <f t="shared" si="6"/>
        <v>0</v>
      </c>
      <c r="I38" s="110"/>
      <c r="J38" s="114"/>
      <c r="K38" s="55"/>
      <c r="L38" s="24"/>
      <c r="M38" s="81"/>
    </row>
    <row r="39" spans="1:13" x14ac:dyDescent="0.3">
      <c r="A39" s="22" t="s">
        <v>318</v>
      </c>
      <c r="B39" s="405">
        <f t="shared" si="4"/>
        <v>1</v>
      </c>
      <c r="C39" s="156">
        <f>Data!R593</f>
        <v>0.34178571428571403</v>
      </c>
      <c r="D39" s="34" t="s">
        <v>117</v>
      </c>
      <c r="E39" s="226">
        <f t="shared" si="5"/>
        <v>0</v>
      </c>
      <c r="F39" s="167">
        <f t="shared" si="7"/>
        <v>2.56</v>
      </c>
      <c r="G39" s="114">
        <f t="shared" si="8"/>
        <v>0.87497142857142796</v>
      </c>
      <c r="H39" s="110">
        <f t="shared" si="6"/>
        <v>0</v>
      </c>
      <c r="I39" s="110"/>
      <c r="J39" s="114"/>
      <c r="K39" s="55"/>
      <c r="L39" s="24"/>
      <c r="M39" s="81"/>
    </row>
    <row r="40" spans="1:13" x14ac:dyDescent="0.3">
      <c r="A40" s="22" t="s">
        <v>304</v>
      </c>
      <c r="B40" s="405">
        <f t="shared" si="4"/>
        <v>1</v>
      </c>
      <c r="C40" s="156">
        <f>Data!R598</f>
        <v>0.11981642612033799</v>
      </c>
      <c r="D40" s="34" t="s">
        <v>117</v>
      </c>
      <c r="E40" s="226">
        <f t="shared" si="5"/>
        <v>0</v>
      </c>
      <c r="F40" s="167">
        <f t="shared" si="7"/>
        <v>2.56</v>
      </c>
      <c r="G40" s="114">
        <f t="shared" si="8"/>
        <v>0.30673005086806526</v>
      </c>
      <c r="H40" s="110">
        <f t="shared" si="6"/>
        <v>0</v>
      </c>
      <c r="I40" s="110"/>
      <c r="J40" s="114"/>
      <c r="K40" s="55"/>
      <c r="L40" s="24"/>
      <c r="M40" s="81"/>
    </row>
    <row r="41" spans="1:13" x14ac:dyDescent="0.3">
      <c r="A41" s="22" t="s">
        <v>319</v>
      </c>
      <c r="B41" s="405">
        <f t="shared" si="4"/>
        <v>1</v>
      </c>
      <c r="C41" s="156">
        <f>Data!R605</f>
        <v>0.13183670241332496</v>
      </c>
      <c r="D41" s="34" t="s">
        <v>117</v>
      </c>
      <c r="E41" s="226">
        <f t="shared" si="5"/>
        <v>0</v>
      </c>
      <c r="F41" s="167">
        <f t="shared" si="7"/>
        <v>2.56</v>
      </c>
      <c r="G41" s="114">
        <f t="shared" si="8"/>
        <v>0.3375019581781119</v>
      </c>
      <c r="H41" s="110">
        <f t="shared" si="6"/>
        <v>0</v>
      </c>
      <c r="I41" s="110"/>
      <c r="J41" s="114"/>
      <c r="K41" s="55"/>
      <c r="L41" s="24"/>
      <c r="M41" s="81"/>
    </row>
    <row r="42" spans="1:13" x14ac:dyDescent="0.3">
      <c r="A42" s="22" t="s">
        <v>335</v>
      </c>
      <c r="B42" s="405">
        <f t="shared" si="4"/>
        <v>1</v>
      </c>
      <c r="C42" s="156">
        <f>Data!R612</f>
        <v>2.4055952380952399</v>
      </c>
      <c r="D42" s="34" t="s">
        <v>117</v>
      </c>
      <c r="E42" s="226">
        <f t="shared" si="5"/>
        <v>0</v>
      </c>
      <c r="F42" s="167">
        <f>diesel_fuel</f>
        <v>2.56</v>
      </c>
      <c r="G42" s="114">
        <f t="shared" si="8"/>
        <v>6.1583238095238144</v>
      </c>
      <c r="H42" s="110">
        <f t="shared" si="6"/>
        <v>0</v>
      </c>
      <c r="I42" s="110"/>
      <c r="J42" s="114"/>
      <c r="K42" s="55"/>
      <c r="L42" s="24"/>
      <c r="M42" s="81"/>
    </row>
    <row r="43" spans="1:13" x14ac:dyDescent="0.3">
      <c r="A43" s="9" t="s">
        <v>1022</v>
      </c>
      <c r="B43" s="405">
        <f t="shared" si="4"/>
        <v>0</v>
      </c>
      <c r="C43" s="47">
        <f>Data!$R$613*Data!$F$172</f>
        <v>0</v>
      </c>
      <c r="D43" s="48" t="s">
        <v>117</v>
      </c>
      <c r="E43" s="83">
        <f>C43*gcorn</f>
        <v>0</v>
      </c>
      <c r="F43" s="118">
        <f>diesel_fuel</f>
        <v>2.56</v>
      </c>
      <c r="G43" s="465">
        <f>C43*F43</f>
        <v>0</v>
      </c>
      <c r="H43" s="123">
        <f>B43*G43*gcorn</f>
        <v>0</v>
      </c>
      <c r="J43" s="114"/>
      <c r="K43" s="55"/>
    </row>
    <row r="44" spans="1:13" x14ac:dyDescent="0.3">
      <c r="A44" s="22" t="s">
        <v>456</v>
      </c>
      <c r="B44" s="405">
        <f>B28</f>
        <v>1</v>
      </c>
      <c r="C44" s="156">
        <f>Data!R622</f>
        <v>0.27217913789886172</v>
      </c>
      <c r="D44" s="34" t="s">
        <v>117</v>
      </c>
      <c r="E44" s="226">
        <f t="shared" si="5"/>
        <v>0</v>
      </c>
      <c r="F44" s="167">
        <f t="shared" si="7"/>
        <v>2.56</v>
      </c>
      <c r="G44" s="114">
        <f t="shared" si="8"/>
        <v>0.69677859302108602</v>
      </c>
      <c r="H44" s="110">
        <f t="shared" si="6"/>
        <v>0</v>
      </c>
      <c r="I44" s="110"/>
      <c r="J44" s="114"/>
      <c r="K44" s="55"/>
      <c r="L44" s="24"/>
      <c r="M44" s="81"/>
    </row>
    <row r="45" spans="1:13" x14ac:dyDescent="0.3">
      <c r="A45" s="9" t="s">
        <v>1022</v>
      </c>
      <c r="B45" s="405">
        <f t="shared" si="4"/>
        <v>1</v>
      </c>
      <c r="C45" s="47">
        <f>Data!$R$623*Data!$F$172</f>
        <v>0</v>
      </c>
      <c r="D45" s="48" t="s">
        <v>117</v>
      </c>
      <c r="E45" s="83">
        <f>C45*gcorn</f>
        <v>0</v>
      </c>
      <c r="F45" s="118">
        <f>diesel_fuel</f>
        <v>2.56</v>
      </c>
      <c r="G45" s="465">
        <f>C45*F45</f>
        <v>0</v>
      </c>
      <c r="H45" s="123">
        <f>B45*G45*gcorn</f>
        <v>0</v>
      </c>
      <c r="J45" s="114"/>
      <c r="K45" s="55"/>
    </row>
    <row r="46" spans="1:13" x14ac:dyDescent="0.3">
      <c r="A46" s="22" t="s">
        <v>337</v>
      </c>
      <c r="B46" s="46"/>
      <c r="C46" s="46"/>
      <c r="D46" s="34"/>
      <c r="E46" s="34"/>
      <c r="F46" s="167">
        <f t="shared" si="7"/>
        <v>2.56</v>
      </c>
      <c r="G46" s="110">
        <f t="shared" si="8"/>
        <v>0</v>
      </c>
      <c r="H46" s="110">
        <f t="shared" si="6"/>
        <v>0</v>
      </c>
      <c r="I46" s="110"/>
      <c r="J46" s="114"/>
      <c r="K46" s="55"/>
      <c r="L46" s="24"/>
      <c r="M46" s="81"/>
    </row>
    <row r="47" spans="1:13" x14ac:dyDescent="0.3">
      <c r="A47" s="6" t="s">
        <v>314</v>
      </c>
      <c r="B47" s="397">
        <v>1</v>
      </c>
      <c r="C47" s="273">
        <v>0</v>
      </c>
      <c r="D47" s="34" t="s">
        <v>117</v>
      </c>
      <c r="E47" s="226">
        <f>C47*gcorn</f>
        <v>0</v>
      </c>
      <c r="F47" s="167">
        <f t="shared" si="7"/>
        <v>2.56</v>
      </c>
      <c r="G47" s="114">
        <f>C47*F47</f>
        <v>0</v>
      </c>
      <c r="H47" s="110">
        <f t="shared" si="6"/>
        <v>0</v>
      </c>
      <c r="I47" s="110"/>
      <c r="J47" s="114"/>
      <c r="K47" s="55"/>
      <c r="L47" s="24"/>
      <c r="M47" s="81"/>
    </row>
    <row r="48" spans="1:13" x14ac:dyDescent="0.3">
      <c r="A48" s="3" t="s">
        <v>20</v>
      </c>
      <c r="B48" s="397">
        <v>1</v>
      </c>
      <c r="C48" s="46" t="s">
        <v>45</v>
      </c>
      <c r="D48" s="34" t="s">
        <v>45</v>
      </c>
      <c r="E48" s="34" t="s">
        <v>45</v>
      </c>
      <c r="F48" s="55" t="s">
        <v>45</v>
      </c>
      <c r="G48" s="114" t="e">
        <f>H48/gcorn</f>
        <v>#DIV/0!</v>
      </c>
      <c r="H48" s="110">
        <f>B48*lube*SUM(H33:H47)</f>
        <v>0</v>
      </c>
      <c r="I48" s="127">
        <f>SUM(H33:H48)</f>
        <v>0</v>
      </c>
      <c r="J48" s="104"/>
      <c r="K48" s="55"/>
      <c r="L48" s="24"/>
      <c r="M48" s="81"/>
    </row>
    <row r="49" spans="1:21" x14ac:dyDescent="0.3">
      <c r="A49" s="3" t="s">
        <v>67</v>
      </c>
      <c r="B49" s="397">
        <v>1</v>
      </c>
      <c r="C49" s="46" t="s">
        <v>45</v>
      </c>
      <c r="D49" s="34" t="s">
        <v>45</v>
      </c>
      <c r="E49" s="34" t="s">
        <v>45</v>
      </c>
      <c r="F49" s="55" t="s">
        <v>45</v>
      </c>
      <c r="G49" s="114" t="e">
        <f>H49/gcorn</f>
        <v>#DIV/0!</v>
      </c>
      <c r="H49" s="110">
        <f>B49*CnGOwnC!J51*Data!D11</f>
        <v>0</v>
      </c>
      <c r="I49" s="110"/>
      <c r="J49" s="114"/>
      <c r="K49" s="55"/>
      <c r="L49" s="24"/>
      <c r="M49" s="81"/>
    </row>
    <row r="50" spans="1:21" x14ac:dyDescent="0.3">
      <c r="A50" s="3"/>
      <c r="B50" s="397">
        <v>1</v>
      </c>
      <c r="C50" s="46" t="s">
        <v>45</v>
      </c>
      <c r="D50" s="34" t="s">
        <v>45</v>
      </c>
      <c r="E50" s="34" t="s">
        <v>45</v>
      </c>
      <c r="F50" s="55" t="s">
        <v>45</v>
      </c>
      <c r="G50" s="272">
        <f>0</f>
        <v>0</v>
      </c>
      <c r="H50" s="109">
        <f>B50*G50*gcorn</f>
        <v>0</v>
      </c>
      <c r="I50" s="110">
        <f>SUM(H49:H50)</f>
        <v>0</v>
      </c>
      <c r="J50" s="114"/>
      <c r="K50" s="55"/>
      <c r="L50" s="24"/>
      <c r="M50" s="81"/>
    </row>
    <row r="51" spans="1:21" x14ac:dyDescent="0.3">
      <c r="A51" s="3" t="s">
        <v>170</v>
      </c>
      <c r="B51" s="397">
        <v>1</v>
      </c>
      <c r="C51" s="46" t="s">
        <v>45</v>
      </c>
      <c r="D51" s="34" t="s">
        <v>45</v>
      </c>
      <c r="E51" s="34" t="s">
        <v>45</v>
      </c>
      <c r="F51" s="55" t="s">
        <v>45</v>
      </c>
      <c r="G51" s="114">
        <f>supplies</f>
        <v>0</v>
      </c>
      <c r="H51" s="109">
        <f>B51*G51*gcorn</f>
        <v>0</v>
      </c>
      <c r="I51" s="110"/>
      <c r="J51" s="114"/>
      <c r="K51" s="55"/>
      <c r="L51" s="24"/>
      <c r="M51" s="81"/>
    </row>
    <row r="52" spans="1:21" x14ac:dyDescent="0.3">
      <c r="A52" s="3" t="s">
        <v>75</v>
      </c>
      <c r="B52" s="397">
        <v>1</v>
      </c>
      <c r="C52" s="46" t="s">
        <v>45</v>
      </c>
      <c r="D52" s="34" t="s">
        <v>45</v>
      </c>
      <c r="E52" s="34" t="s">
        <v>45</v>
      </c>
      <c r="F52" s="114">
        <f>cropins</f>
        <v>3</v>
      </c>
      <c r="G52" s="114">
        <f>F52</f>
        <v>3</v>
      </c>
      <c r="H52" s="109">
        <f>B52*G52*gcorn</f>
        <v>0</v>
      </c>
      <c r="I52" s="110"/>
      <c r="J52" s="114"/>
      <c r="K52" s="55"/>
      <c r="L52" s="24"/>
      <c r="M52" s="81"/>
    </row>
    <row r="53" spans="1:21" x14ac:dyDescent="0.3">
      <c r="A53" s="3"/>
      <c r="B53" s="397">
        <v>1</v>
      </c>
      <c r="C53" s="46" t="s">
        <v>45</v>
      </c>
      <c r="D53" s="34" t="s">
        <v>45</v>
      </c>
      <c r="E53" s="34" t="s">
        <v>45</v>
      </c>
      <c r="F53" s="55" t="s">
        <v>45</v>
      </c>
      <c r="G53" s="272">
        <v>0</v>
      </c>
      <c r="H53" s="109">
        <f>B53*G53*gcorn</f>
        <v>0</v>
      </c>
      <c r="I53" s="110">
        <f>SUM(H52:H53)</f>
        <v>0</v>
      </c>
      <c r="J53" s="114"/>
      <c r="K53" s="55"/>
      <c r="L53" s="24"/>
      <c r="M53" s="81"/>
    </row>
    <row r="54" spans="1:21" x14ac:dyDescent="0.3">
      <c r="A54" s="69" t="s">
        <v>173</v>
      </c>
      <c r="B54" s="69"/>
      <c r="F54" s="114"/>
      <c r="G54" s="114"/>
      <c r="H54" s="110"/>
      <c r="I54" s="110"/>
      <c r="J54" s="114"/>
      <c r="K54" s="55"/>
      <c r="L54" s="24"/>
      <c r="M54" s="81"/>
    </row>
    <row r="55" spans="1:21" x14ac:dyDescent="0.3">
      <c r="A55" s="70" t="s">
        <v>175</v>
      </c>
      <c r="B55" s="397">
        <v>1</v>
      </c>
      <c r="C55" s="46" t="s">
        <v>45</v>
      </c>
      <c r="D55" s="34" t="s">
        <v>45</v>
      </c>
      <c r="E55" s="34" t="s">
        <v>45</v>
      </c>
      <c r="F55" s="55" t="s">
        <v>45</v>
      </c>
      <c r="G55" s="676">
        <f>Data!$F$69</f>
        <v>12</v>
      </c>
      <c r="H55" s="110">
        <f>B55*G55*gcorn</f>
        <v>0</v>
      </c>
      <c r="I55" s="110"/>
      <c r="J55" s="114"/>
    </row>
    <row r="56" spans="1:21" x14ac:dyDescent="0.3">
      <c r="A56" s="70" t="s">
        <v>176</v>
      </c>
      <c r="B56" s="397">
        <v>1</v>
      </c>
      <c r="C56" s="46" t="s">
        <v>45</v>
      </c>
      <c r="D56" s="34" t="s">
        <v>45</v>
      </c>
      <c r="E56" s="34" t="s">
        <v>45</v>
      </c>
      <c r="F56" s="55" t="s">
        <v>45</v>
      </c>
      <c r="G56" s="272">
        <v>0</v>
      </c>
      <c r="H56" s="110">
        <f>B56*G56*gcorn</f>
        <v>0</v>
      </c>
      <c r="I56" s="110"/>
      <c r="L56" s="4" t="s">
        <v>1077</v>
      </c>
    </row>
    <row r="57" spans="1:21" x14ac:dyDescent="0.3">
      <c r="A57" s="70" t="s">
        <v>177</v>
      </c>
      <c r="B57" s="70"/>
      <c r="C57" s="46"/>
      <c r="D57" s="34"/>
      <c r="E57" s="34"/>
      <c r="F57" s="114"/>
      <c r="G57" s="114"/>
      <c r="H57" s="110"/>
      <c r="I57" s="110"/>
      <c r="J57" s="407">
        <v>30000</v>
      </c>
      <c r="K57" s="17" t="s">
        <v>220</v>
      </c>
      <c r="L57" s="17">
        <f>J57/2000</f>
        <v>15</v>
      </c>
      <c r="M57" s="17" t="s">
        <v>26</v>
      </c>
      <c r="N57" s="242">
        <v>500</v>
      </c>
      <c r="O57" s="17" t="s">
        <v>931</v>
      </c>
      <c r="P57" s="93" t="s">
        <v>944</v>
      </c>
      <c r="Q57" s="93"/>
      <c r="S57" s="588">
        <f>N57*Data!$K$57</f>
        <v>28000</v>
      </c>
      <c r="T57" s="17" t="s">
        <v>220</v>
      </c>
      <c r="U57" s="589">
        <f>S57/J57</f>
        <v>0.93333333333333335</v>
      </c>
    </row>
    <row r="58" spans="1:21" x14ac:dyDescent="0.3">
      <c r="A58" s="22" t="s">
        <v>174</v>
      </c>
      <c r="B58" s="397">
        <v>1</v>
      </c>
      <c r="C58" s="34" t="s">
        <v>45</v>
      </c>
      <c r="D58" s="34" t="s">
        <v>81</v>
      </c>
      <c r="E58" s="34" t="s">
        <v>45</v>
      </c>
      <c r="F58" s="110">
        <f>Data!D61</f>
        <v>50</v>
      </c>
      <c r="G58" s="114" t="e">
        <f>H58/C3</f>
        <v>#DIV/0!</v>
      </c>
      <c r="H58" s="110">
        <f>B58*F58*gcorn*Data!E57*Data!D11</f>
        <v>0</v>
      </c>
      <c r="I58" s="140"/>
      <c r="J58" s="407">
        <v>60000</v>
      </c>
      <c r="K58" s="17" t="s">
        <v>220</v>
      </c>
      <c r="L58" s="17">
        <f>J58/2000</f>
        <v>30</v>
      </c>
      <c r="M58" s="17" t="s">
        <v>26</v>
      </c>
      <c r="N58" s="242">
        <v>1000</v>
      </c>
      <c r="O58" s="17" t="s">
        <v>931</v>
      </c>
      <c r="P58" s="93" t="s">
        <v>945</v>
      </c>
      <c r="Q58" s="93"/>
      <c r="S58" s="588">
        <f>N58*Data!$K$57</f>
        <v>56000</v>
      </c>
      <c r="T58" s="17" t="s">
        <v>220</v>
      </c>
      <c r="U58" s="589">
        <f>S58/J58</f>
        <v>0.93333333333333335</v>
      </c>
    </row>
    <row r="59" spans="1:21" x14ac:dyDescent="0.3">
      <c r="A59" s="22" t="s">
        <v>224</v>
      </c>
      <c r="B59" s="397">
        <v>1</v>
      </c>
      <c r="C59" s="34" t="s">
        <v>45</v>
      </c>
      <c r="D59" s="34" t="s">
        <v>225</v>
      </c>
      <c r="E59" s="34" t="s">
        <v>45</v>
      </c>
      <c r="F59" s="55" t="s">
        <v>45</v>
      </c>
      <c r="G59" s="272">
        <v>0</v>
      </c>
      <c r="H59" s="110">
        <f>B59*G59*gcorn*Data!E58*Data!D12</f>
        <v>0</v>
      </c>
      <c r="I59" s="110">
        <f>SUM(H58:H59)</f>
        <v>0</v>
      </c>
    </row>
    <row r="60" spans="1:21" x14ac:dyDescent="0.3">
      <c r="A60" s="70" t="s">
        <v>178</v>
      </c>
      <c r="B60" s="397">
        <v>1</v>
      </c>
      <c r="C60" s="46" t="s">
        <v>45</v>
      </c>
      <c r="D60" s="34" t="s">
        <v>45</v>
      </c>
      <c r="E60" s="34" t="s">
        <v>45</v>
      </c>
      <c r="F60" s="55" t="s">
        <v>45</v>
      </c>
      <c r="G60" s="114">
        <f>Bv!G113*(CnGBud!E4/Bb!E6)</f>
        <v>0</v>
      </c>
      <c r="H60" s="110">
        <f>B60*G60*gcorn</f>
        <v>0</v>
      </c>
      <c r="I60" s="109"/>
      <c r="Q60" s="216" t="s">
        <v>933</v>
      </c>
    </row>
    <row r="61" spans="1:21" x14ac:dyDescent="0.3">
      <c r="A61" s="22" t="s">
        <v>938</v>
      </c>
      <c r="H61" s="98"/>
      <c r="J61" s="67" t="s">
        <v>932</v>
      </c>
      <c r="K61" s="216" t="s">
        <v>946</v>
      </c>
      <c r="L61" s="89" t="s">
        <v>765</v>
      </c>
      <c r="M61" s="89"/>
      <c r="N61" s="89" t="s">
        <v>765</v>
      </c>
      <c r="O61" s="89"/>
      <c r="P61" s="216" t="s">
        <v>763</v>
      </c>
      <c r="Q61" s="216" t="s">
        <v>764</v>
      </c>
      <c r="R61" s="216" t="s">
        <v>119</v>
      </c>
    </row>
    <row r="62" spans="1:21" x14ac:dyDescent="0.3">
      <c r="A62" s="22" t="s">
        <v>939</v>
      </c>
      <c r="B62" s="397">
        <v>1</v>
      </c>
      <c r="C62" s="34" t="s">
        <v>45</v>
      </c>
      <c r="D62" s="34" t="s">
        <v>45</v>
      </c>
      <c r="E62" s="46" t="s">
        <v>45</v>
      </c>
      <c r="F62" s="68" t="s">
        <v>45</v>
      </c>
      <c r="G62" s="114">
        <f>L62*L68</f>
        <v>0</v>
      </c>
      <c r="H62" s="110">
        <f>B62*G62*gcorn</f>
        <v>0</v>
      </c>
      <c r="J62" s="55" t="s">
        <v>762</v>
      </c>
      <c r="K62" s="247">
        <v>1</v>
      </c>
      <c r="L62" s="168">
        <f>K62*(R62*diesel_fuel)*(Data!$H$172/$L$57)</f>
        <v>17.840355555555554</v>
      </c>
      <c r="M62" s="22" t="s">
        <v>254</v>
      </c>
      <c r="N62" s="168">
        <f>(R62*diesel_fuel)</f>
        <v>95.573333333333338</v>
      </c>
      <c r="O62" s="22" t="s">
        <v>935</v>
      </c>
      <c r="P62" s="247">
        <v>200</v>
      </c>
      <c r="Q62" s="247">
        <v>5</v>
      </c>
      <c r="R62" s="46">
        <f>(P62/Q62)*U57</f>
        <v>37.333333333333336</v>
      </c>
    </row>
    <row r="63" spans="1:21" x14ac:dyDescent="0.3">
      <c r="A63" s="9" t="s">
        <v>1022</v>
      </c>
      <c r="B63" s="405">
        <f>B62</f>
        <v>1</v>
      </c>
      <c r="C63" s="47" t="s">
        <v>45</v>
      </c>
      <c r="D63" s="47" t="s">
        <v>45</v>
      </c>
      <c r="E63" s="47" t="s">
        <v>45</v>
      </c>
      <c r="F63" s="590" t="s">
        <v>45</v>
      </c>
      <c r="G63" s="465">
        <f>G62*Data!$F$172</f>
        <v>0</v>
      </c>
      <c r="H63" s="123">
        <f>B63*G63*gcorn</f>
        <v>0</v>
      </c>
      <c r="Q63" s="216" t="s">
        <v>933</v>
      </c>
    </row>
    <row r="64" spans="1:21" x14ac:dyDescent="0.3">
      <c r="A64" s="22" t="s">
        <v>942</v>
      </c>
      <c r="B64" s="34"/>
      <c r="C64" s="34"/>
      <c r="D64" s="34"/>
      <c r="E64" s="46"/>
      <c r="F64" s="68"/>
      <c r="G64" s="114"/>
      <c r="H64" s="110"/>
      <c r="J64" s="67" t="s">
        <v>934</v>
      </c>
      <c r="K64" s="216" t="s">
        <v>946</v>
      </c>
      <c r="L64" s="89" t="s">
        <v>765</v>
      </c>
      <c r="M64" s="89"/>
      <c r="N64" s="89" t="s">
        <v>765</v>
      </c>
      <c r="O64" s="89"/>
      <c r="P64" s="216" t="s">
        <v>763</v>
      </c>
      <c r="Q64" s="216" t="s">
        <v>764</v>
      </c>
      <c r="R64" s="216" t="s">
        <v>119</v>
      </c>
    </row>
    <row r="65" spans="1:18" x14ac:dyDescent="0.3">
      <c r="A65" s="22" t="s">
        <v>939</v>
      </c>
      <c r="B65" s="397">
        <v>1</v>
      </c>
      <c r="C65" s="34" t="s">
        <v>45</v>
      </c>
      <c r="D65" s="34" t="s">
        <v>45</v>
      </c>
      <c r="E65" s="46" t="s">
        <v>45</v>
      </c>
      <c r="F65" s="68" t="s">
        <v>45</v>
      </c>
      <c r="G65" s="114">
        <f>L65*M68</f>
        <v>2.3893333333333335</v>
      </c>
      <c r="H65" s="110">
        <f>B65*G65*gcorn</f>
        <v>0</v>
      </c>
      <c r="J65" s="55" t="s">
        <v>762</v>
      </c>
      <c r="K65" s="247">
        <v>1</v>
      </c>
      <c r="L65" s="168">
        <f>K65*(R65*diesel_fuel)*(Data!$H$263/$L$58)</f>
        <v>2.3893333333333335</v>
      </c>
      <c r="M65" s="22" t="s">
        <v>254</v>
      </c>
      <c r="N65" s="168">
        <f>(R65*diesel_fuel)</f>
        <v>95.573333333333338</v>
      </c>
      <c r="O65" s="22" t="s">
        <v>935</v>
      </c>
      <c r="P65" s="247">
        <v>200</v>
      </c>
      <c r="Q65" s="247">
        <v>5</v>
      </c>
      <c r="R65" s="46">
        <f>(P65/Q65)*$U$58</f>
        <v>37.333333333333336</v>
      </c>
    </row>
    <row r="66" spans="1:18" x14ac:dyDescent="0.3">
      <c r="A66" s="9" t="s">
        <v>1022</v>
      </c>
      <c r="B66" s="405">
        <f>B65</f>
        <v>1</v>
      </c>
      <c r="C66" s="47" t="s">
        <v>45</v>
      </c>
      <c r="D66" s="47" t="s">
        <v>45</v>
      </c>
      <c r="E66" s="47" t="s">
        <v>45</v>
      </c>
      <c r="F66" s="590" t="s">
        <v>45</v>
      </c>
      <c r="G66" s="465">
        <f>G65*Data!$F$172</f>
        <v>0</v>
      </c>
      <c r="H66" s="123">
        <f>B66*G66*gcorn</f>
        <v>0</v>
      </c>
      <c r="I66" s="110">
        <f>SUM(H60:H66)</f>
        <v>0</v>
      </c>
      <c r="J66" s="89"/>
      <c r="K66" s="89"/>
      <c r="L66" s="89"/>
      <c r="M66" s="216"/>
      <c r="N66" s="216"/>
      <c r="O66" s="216"/>
    </row>
    <row r="67" spans="1:18" x14ac:dyDescent="0.3">
      <c r="A67" s="70" t="s">
        <v>179</v>
      </c>
      <c r="K67" s="67" t="s">
        <v>947</v>
      </c>
      <c r="L67" s="67" t="s">
        <v>932</v>
      </c>
      <c r="M67" s="67" t="s">
        <v>934</v>
      </c>
      <c r="N67" s="67" t="s">
        <v>76</v>
      </c>
    </row>
    <row r="68" spans="1:18" x14ac:dyDescent="0.3">
      <c r="A68" s="22" t="s">
        <v>957</v>
      </c>
      <c r="B68" s="397">
        <v>1</v>
      </c>
      <c r="C68" s="46" t="s">
        <v>45</v>
      </c>
      <c r="D68" s="34" t="s">
        <v>45</v>
      </c>
      <c r="E68" s="34" t="s">
        <v>45</v>
      </c>
      <c r="F68" s="55" t="s">
        <v>45</v>
      </c>
      <c r="G68" s="250">
        <f>21.32-G55</f>
        <v>9.32</v>
      </c>
      <c r="H68" s="110">
        <f>B68*G68*gcorn</f>
        <v>0</v>
      </c>
      <c r="I68" s="110"/>
      <c r="K68" s="34" t="s">
        <v>762</v>
      </c>
      <c r="L68" s="408">
        <v>0</v>
      </c>
      <c r="M68" s="408">
        <v>1</v>
      </c>
      <c r="N68" s="77">
        <f>SUM(L68:M68)</f>
        <v>1</v>
      </c>
    </row>
    <row r="69" spans="1:18" x14ac:dyDescent="0.3">
      <c r="A69" s="9" t="s">
        <v>247</v>
      </c>
      <c r="B69" s="397">
        <v>1</v>
      </c>
      <c r="C69" s="47" t="s">
        <v>45</v>
      </c>
      <c r="D69" s="48" t="s">
        <v>45</v>
      </c>
      <c r="E69" s="48" t="s">
        <v>45</v>
      </c>
      <c r="F69" s="118" t="s">
        <v>45</v>
      </c>
      <c r="G69" s="465">
        <f>(G68*Data!$F$172)</f>
        <v>0</v>
      </c>
      <c r="H69" s="124">
        <f>B69*G69*gcorn</f>
        <v>0</v>
      </c>
      <c r="I69" s="110">
        <f>SUM(H68:H69)</f>
        <v>0</v>
      </c>
      <c r="J69" s="114"/>
    </row>
    <row r="70" spans="1:18" x14ac:dyDescent="0.3">
      <c r="A70" s="70" t="s">
        <v>180</v>
      </c>
      <c r="B70" s="397">
        <v>1</v>
      </c>
      <c r="C70" s="46" t="s">
        <v>45</v>
      </c>
      <c r="D70" s="34" t="s">
        <v>45</v>
      </c>
      <c r="E70" s="34" t="s">
        <v>45</v>
      </c>
      <c r="F70" s="55" t="s">
        <v>45</v>
      </c>
      <c r="G70" s="114">
        <f>othexp</f>
        <v>0</v>
      </c>
      <c r="H70" s="110">
        <f>B70*G70*gcorn</f>
        <v>0</v>
      </c>
      <c r="I70" s="110"/>
      <c r="J70" s="114"/>
      <c r="K70" s="98"/>
    </row>
    <row r="71" spans="1:18" x14ac:dyDescent="0.3">
      <c r="A71" s="22" t="s">
        <v>181</v>
      </c>
      <c r="B71" s="397">
        <v>1</v>
      </c>
      <c r="C71" s="46" t="s">
        <v>45</v>
      </c>
      <c r="D71" s="75" t="s">
        <v>45</v>
      </c>
      <c r="E71" s="34" t="s">
        <v>45</v>
      </c>
      <c r="F71" s="176" t="s">
        <v>45</v>
      </c>
      <c r="G71" s="272">
        <v>0</v>
      </c>
      <c r="H71" s="110">
        <f>B71*G71*gcorn</f>
        <v>0</v>
      </c>
      <c r="I71" s="110">
        <f>SUM(H70:H71)</f>
        <v>0</v>
      </c>
      <c r="J71" s="114"/>
    </row>
    <row r="72" spans="1:18" x14ac:dyDescent="0.3">
      <c r="A72" s="3" t="s">
        <v>226</v>
      </c>
      <c r="B72" s="397">
        <v>1</v>
      </c>
      <c r="C72" s="46" t="s">
        <v>45</v>
      </c>
      <c r="D72" s="75" t="s">
        <v>45</v>
      </c>
      <c r="E72" s="34" t="s">
        <v>45</v>
      </c>
      <c r="F72" s="176" t="s">
        <v>45</v>
      </c>
      <c r="G72" s="272">
        <v>0</v>
      </c>
      <c r="H72" s="110">
        <f>B72*G72*gcorn</f>
        <v>0</v>
      </c>
      <c r="I72" s="110"/>
      <c r="J72" s="114"/>
    </row>
    <row r="73" spans="1:18" x14ac:dyDescent="0.3">
      <c r="A73" s="3" t="s">
        <v>73</v>
      </c>
      <c r="B73" s="3"/>
      <c r="F73" s="114"/>
      <c r="G73" s="119" t="e">
        <f>SUM(G7:G72)</f>
        <v>#DIV/0!</v>
      </c>
      <c r="H73" s="125">
        <f>SUM(H7:H72)</f>
        <v>0</v>
      </c>
      <c r="I73" s="110"/>
      <c r="J73" s="114"/>
    </row>
    <row r="74" spans="1:18" x14ac:dyDescent="0.3">
      <c r="F74" s="114"/>
      <c r="G74" s="114"/>
      <c r="H74" s="109"/>
      <c r="I74" s="110"/>
    </row>
    <row r="75" spans="1:18" ht="39" x14ac:dyDescent="0.3">
      <c r="A75" s="3" t="s">
        <v>69</v>
      </c>
      <c r="B75" s="3"/>
      <c r="C75" s="25" t="s">
        <v>70</v>
      </c>
      <c r="D75" s="25" t="s">
        <v>71</v>
      </c>
      <c r="E75" s="25"/>
      <c r="F75" s="114"/>
      <c r="G75" s="120" t="s">
        <v>1292</v>
      </c>
      <c r="H75" s="126" t="s">
        <v>72</v>
      </c>
      <c r="I75" s="110"/>
    </row>
    <row r="76" spans="1:18" x14ac:dyDescent="0.3">
      <c r="A76" s="3"/>
      <c r="B76" s="3"/>
      <c r="C76" s="35">
        <f>_int_oper_</f>
        <v>4.7341710603787002E-2</v>
      </c>
      <c r="D76" s="34">
        <f>Data!$B$48</f>
        <v>7</v>
      </c>
      <c r="E76" s="34"/>
      <c r="F76" s="114"/>
      <c r="G76" s="104" t="e">
        <f>H76/gcorn</f>
        <v>#DIV/0!</v>
      </c>
      <c r="H76" s="109">
        <f>C76*(D76/12)*(H73)</f>
        <v>0</v>
      </c>
      <c r="I76" s="110"/>
    </row>
    <row r="77" spans="1:18" x14ac:dyDescent="0.3">
      <c r="F77" s="114"/>
      <c r="G77" s="103"/>
      <c r="H77" s="127"/>
      <c r="I77" s="110"/>
    </row>
    <row r="78" spans="1:18" ht="14" thickBot="1" x14ac:dyDescent="0.4">
      <c r="A78" s="1" t="s">
        <v>74</v>
      </c>
      <c r="B78" s="1"/>
      <c r="F78" s="114"/>
      <c r="G78" s="121" t="e">
        <f>G73+G76</f>
        <v>#DIV/0!</v>
      </c>
      <c r="H78" s="128">
        <f>H73+H76</f>
        <v>0</v>
      </c>
      <c r="I78" s="108"/>
    </row>
    <row r="79" spans="1:18" ht="13.5" thickTop="1" x14ac:dyDescent="0.3">
      <c r="F79" s="114"/>
      <c r="G79" s="114"/>
      <c r="H79" s="109"/>
    </row>
    <row r="80" spans="1:18" x14ac:dyDescent="0.3">
      <c r="F80" s="34"/>
      <c r="G80" s="34"/>
      <c r="H80" s="107"/>
    </row>
    <row r="81" spans="6:8" x14ac:dyDescent="0.3">
      <c r="F81" s="34"/>
      <c r="G81" s="34"/>
      <c r="H81" s="49"/>
    </row>
    <row r="83" spans="6:8" x14ac:dyDescent="0.3">
      <c r="F83" s="34"/>
      <c r="G83" s="34"/>
      <c r="H83" s="49"/>
    </row>
    <row r="84" spans="6:8" x14ac:dyDescent="0.3">
      <c r="F84" s="34"/>
      <c r="G84" s="34"/>
      <c r="H84" s="34"/>
    </row>
    <row r="85" spans="6:8" x14ac:dyDescent="0.3">
      <c r="F85" s="34"/>
      <c r="G85" s="34"/>
      <c r="H85" s="34"/>
    </row>
    <row r="86" spans="6:8" x14ac:dyDescent="0.3">
      <c r="F86" s="34"/>
      <c r="G86" s="34"/>
      <c r="H86" s="34"/>
    </row>
    <row r="87" spans="6:8" x14ac:dyDescent="0.3">
      <c r="F87" s="34"/>
      <c r="G87" s="34"/>
      <c r="H87" s="34"/>
    </row>
    <row r="88" spans="6:8" x14ac:dyDescent="0.3">
      <c r="F88" s="34"/>
      <c r="G88" s="34"/>
      <c r="H88" s="34"/>
    </row>
    <row r="89" spans="6:8" x14ac:dyDescent="0.3">
      <c r="F89" s="34"/>
      <c r="G89" s="34"/>
      <c r="H89" s="34"/>
    </row>
    <row r="90" spans="6:8" x14ac:dyDescent="0.3">
      <c r="F90" s="34"/>
      <c r="G90" s="34"/>
      <c r="H90" s="34"/>
    </row>
    <row r="91" spans="6:8" x14ac:dyDescent="0.3">
      <c r="F91" s="34"/>
      <c r="G91" s="34"/>
      <c r="H91" s="34"/>
    </row>
    <row r="92" spans="6:8" x14ac:dyDescent="0.3">
      <c r="F92" s="34"/>
      <c r="G92" s="34"/>
      <c r="H92" s="34"/>
    </row>
    <row r="93" spans="6:8" x14ac:dyDescent="0.3">
      <c r="F93" s="34"/>
      <c r="G93" s="34"/>
      <c r="H93" s="34"/>
    </row>
    <row r="94" spans="6:8" x14ac:dyDescent="0.3">
      <c r="F94" s="34"/>
      <c r="G94" s="34"/>
      <c r="H94" s="34"/>
    </row>
    <row r="95" spans="6:8" x14ac:dyDescent="0.3">
      <c r="F95" s="34"/>
      <c r="G95" s="34"/>
      <c r="H95" s="34"/>
    </row>
    <row r="96" spans="6:8" x14ac:dyDescent="0.3">
      <c r="F96" s="34"/>
      <c r="G96" s="34"/>
      <c r="H96" s="34"/>
    </row>
    <row r="97" spans="6:8" x14ac:dyDescent="0.3">
      <c r="F97" s="34"/>
      <c r="G97" s="34"/>
      <c r="H97" s="34"/>
    </row>
    <row r="98" spans="6:8" x14ac:dyDescent="0.3">
      <c r="F98" s="34"/>
      <c r="G98" s="34"/>
      <c r="H98" s="34"/>
    </row>
    <row r="99" spans="6:8" x14ac:dyDescent="0.3">
      <c r="F99" s="34"/>
      <c r="G99" s="34"/>
      <c r="H99" s="34"/>
    </row>
    <row r="100" spans="6:8" x14ac:dyDescent="0.3">
      <c r="F100" s="34"/>
      <c r="G100" s="34"/>
      <c r="H100" s="34"/>
    </row>
    <row r="101" spans="6:8" x14ac:dyDescent="0.3">
      <c r="F101" s="34"/>
      <c r="G101" s="34"/>
      <c r="H101" s="34"/>
    </row>
    <row r="102" spans="6:8" x14ac:dyDescent="0.3">
      <c r="F102" s="34"/>
      <c r="G102" s="34"/>
      <c r="H102" s="34"/>
    </row>
    <row r="103" spans="6:8" x14ac:dyDescent="0.3">
      <c r="F103" s="34"/>
      <c r="G103" s="34"/>
      <c r="H103" s="34"/>
    </row>
    <row r="104" spans="6:8" x14ac:dyDescent="0.3">
      <c r="F104" s="34"/>
      <c r="G104" s="34"/>
      <c r="H104" s="34"/>
    </row>
    <row r="105" spans="6:8" x14ac:dyDescent="0.3">
      <c r="F105" s="34"/>
      <c r="G105" s="34"/>
      <c r="H105" s="34"/>
    </row>
    <row r="106" spans="6:8" x14ac:dyDescent="0.3">
      <c r="F106" s="34"/>
      <c r="G106" s="34"/>
      <c r="H106" s="34"/>
    </row>
    <row r="107" spans="6:8" x14ac:dyDescent="0.3">
      <c r="F107" s="34"/>
      <c r="G107" s="34"/>
      <c r="H107" s="34"/>
    </row>
    <row r="108" spans="6:8" x14ac:dyDescent="0.3">
      <c r="F108" s="34"/>
      <c r="G108" s="34"/>
      <c r="H108" s="34"/>
    </row>
    <row r="109" spans="6:8" x14ac:dyDescent="0.3">
      <c r="F109" s="34"/>
      <c r="G109" s="34"/>
      <c r="H109" s="34"/>
    </row>
    <row r="110" spans="6:8" x14ac:dyDescent="0.3">
      <c r="F110" s="34"/>
      <c r="G110" s="34"/>
      <c r="H110" s="34"/>
    </row>
    <row r="111" spans="6:8" x14ac:dyDescent="0.3">
      <c r="F111" s="34"/>
      <c r="G111" s="34"/>
      <c r="H111" s="34"/>
    </row>
    <row r="112" spans="6:8" x14ac:dyDescent="0.3">
      <c r="F112" s="34"/>
      <c r="G112" s="34"/>
      <c r="H112" s="34"/>
    </row>
    <row r="113" spans="6:8" x14ac:dyDescent="0.3">
      <c r="F113" s="34"/>
      <c r="G113" s="34"/>
      <c r="H113" s="34"/>
    </row>
    <row r="114" spans="6:8" x14ac:dyDescent="0.3">
      <c r="F114" s="34"/>
      <c r="G114" s="34"/>
      <c r="H114" s="34"/>
    </row>
    <row r="115" spans="6:8" x14ac:dyDescent="0.3">
      <c r="F115" s="34"/>
      <c r="G115" s="34"/>
      <c r="H115" s="34"/>
    </row>
    <row r="116" spans="6:8" x14ac:dyDescent="0.3">
      <c r="F116" s="34"/>
      <c r="G116" s="34"/>
      <c r="H116" s="34"/>
    </row>
    <row r="117" spans="6:8" x14ac:dyDescent="0.3">
      <c r="F117" s="34"/>
      <c r="G117" s="34"/>
      <c r="H117" s="34"/>
    </row>
    <row r="118" spans="6:8" x14ac:dyDescent="0.3">
      <c r="F118" s="34"/>
      <c r="G118" s="34"/>
      <c r="H118" s="34"/>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row>
    <row r="576" spans="6:8" x14ac:dyDescent="0.3">
      <c r="F576" s="34"/>
    </row>
    <row r="577" spans="6:6" x14ac:dyDescent="0.3">
      <c r="F577" s="34"/>
    </row>
    <row r="578" spans="6:6" x14ac:dyDescent="0.3">
      <c r="F578" s="34"/>
    </row>
    <row r="579" spans="6:6" x14ac:dyDescent="0.3">
      <c r="F579" s="34"/>
    </row>
    <row r="580" spans="6:6" x14ac:dyDescent="0.3">
      <c r="F580" s="34"/>
    </row>
    <row r="581" spans="6:6" x14ac:dyDescent="0.3">
      <c r="F581" s="34"/>
    </row>
    <row r="582" spans="6:6" x14ac:dyDescent="0.3">
      <c r="F582" s="34"/>
    </row>
    <row r="583" spans="6:6" x14ac:dyDescent="0.3">
      <c r="F583" s="34"/>
    </row>
    <row r="584" spans="6:6" x14ac:dyDescent="0.3">
      <c r="F584" s="34"/>
    </row>
    <row r="585" spans="6:6" x14ac:dyDescent="0.3">
      <c r="F585" s="34"/>
    </row>
    <row r="586" spans="6:6" x14ac:dyDescent="0.3">
      <c r="F586" s="34"/>
    </row>
    <row r="587" spans="6:6" x14ac:dyDescent="0.3">
      <c r="F587" s="34"/>
    </row>
    <row r="588" spans="6:6" x14ac:dyDescent="0.3">
      <c r="F588" s="34"/>
    </row>
    <row r="589" spans="6:6" x14ac:dyDescent="0.3">
      <c r="F589" s="34"/>
    </row>
    <row r="590" spans="6:6" x14ac:dyDescent="0.3">
      <c r="F590" s="34"/>
    </row>
    <row r="591" spans="6:6" x14ac:dyDescent="0.3">
      <c r="F591" s="34"/>
    </row>
    <row r="592" spans="6:6" x14ac:dyDescent="0.3">
      <c r="F592" s="34"/>
    </row>
    <row r="593" spans="6:6" x14ac:dyDescent="0.3">
      <c r="F593" s="34"/>
    </row>
    <row r="594" spans="6:6" x14ac:dyDescent="0.3">
      <c r="F594" s="34"/>
    </row>
    <row r="595" spans="6:6" x14ac:dyDescent="0.3">
      <c r="F595" s="34"/>
    </row>
    <row r="596" spans="6:6" x14ac:dyDescent="0.3">
      <c r="F596" s="34"/>
    </row>
  </sheetData>
  <phoneticPr fontId="0" type="noConversion"/>
  <pageMargins left="0.75" right="0.75" top="1" bottom="1" header="0.5" footer="0.5"/>
  <headerFooter alignWithMargins="0"/>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8"/>
  <sheetViews>
    <sheetView workbookViewId="0">
      <pane ySplit="6" topLeftCell="A27" activePane="bottomLeft" state="frozen"/>
      <selection pane="bottomLeft" activeCell="C39" sqref="C39"/>
    </sheetView>
  </sheetViews>
  <sheetFormatPr defaultColWidth="9.08984375" defaultRowHeight="13" x14ac:dyDescent="0.3"/>
  <cols>
    <col min="1" max="1" width="50.81640625" style="27" customWidth="1"/>
    <col min="2" max="2" width="8.6328125" style="27" customWidth="1"/>
    <col min="3" max="3" width="9.6328125" style="17" customWidth="1"/>
    <col min="4" max="5" width="8.6328125" style="17" customWidth="1"/>
    <col min="6" max="7" width="7.6328125" style="17" customWidth="1"/>
    <col min="8" max="8" width="11.6328125" style="17" customWidth="1"/>
    <col min="9" max="10" width="11.90625" style="17" customWidth="1"/>
    <col min="11" max="11" width="9" style="17" bestFit="1" customWidth="1"/>
    <col min="12" max="13" width="9.6328125" style="17" customWidth="1"/>
    <col min="14" max="14" width="4.54296875" style="17" customWidth="1"/>
    <col min="15" max="15" width="10.08984375" style="17" customWidth="1"/>
    <col min="16" max="23" width="8" style="17" customWidth="1"/>
    <col min="24" max="24" width="9.36328125" style="17" customWidth="1"/>
    <col min="25" max="25" width="3" style="17" customWidth="1"/>
    <col min="26" max="29" width="8" style="17" customWidth="1"/>
    <col min="30" max="16384" width="9.08984375" style="17"/>
  </cols>
  <sheetData>
    <row r="1" spans="1:23" x14ac:dyDescent="0.3">
      <c r="A1" s="61" t="s">
        <v>146</v>
      </c>
      <c r="B1" s="27" t="str">
        <f>model</f>
        <v>ME Grain &amp; Pulse</v>
      </c>
      <c r="F1" s="67"/>
      <c r="G1" s="55"/>
      <c r="H1" s="62"/>
      <c r="I1" s="55"/>
    </row>
    <row r="2" spans="1:23" x14ac:dyDescent="0.3">
      <c r="A2" s="3"/>
      <c r="G2" s="55"/>
      <c r="H2" s="26"/>
      <c r="I2" s="24"/>
    </row>
    <row r="3" spans="1:23" x14ac:dyDescent="0.3">
      <c r="E3" s="63"/>
      <c r="F3" s="63"/>
      <c r="G3" s="62"/>
      <c r="H3" s="131"/>
      <c r="I3" s="131"/>
    </row>
    <row r="4" spans="1:23" x14ac:dyDescent="0.3">
      <c r="A4" s="16" t="s">
        <v>444</v>
      </c>
      <c r="B4" s="8" t="s">
        <v>92</v>
      </c>
      <c r="C4" s="65">
        <f>gcorn</f>
        <v>0</v>
      </c>
      <c r="D4" s="4" t="s">
        <v>93</v>
      </c>
      <c r="E4" s="18"/>
      <c r="G4" s="55"/>
      <c r="H4" s="18"/>
      <c r="I4" s="24"/>
    </row>
    <row r="5" spans="1:23" x14ac:dyDescent="0.3">
      <c r="B5" s="17"/>
    </row>
    <row r="6" spans="1:23"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row>
    <row r="7" spans="1:23" x14ac:dyDescent="0.3">
      <c r="A7" s="13"/>
      <c r="B7" s="29"/>
      <c r="C7" s="30"/>
      <c r="D7" s="31"/>
      <c r="E7" s="31"/>
      <c r="F7" s="18"/>
      <c r="G7" s="18"/>
      <c r="H7" s="32"/>
      <c r="I7" s="31"/>
      <c r="J7" s="31"/>
      <c r="K7" s="31"/>
      <c r="L7" s="31"/>
      <c r="M7" s="31"/>
    </row>
    <row r="8" spans="1:23" x14ac:dyDescent="0.3">
      <c r="A8" s="14" t="s">
        <v>3</v>
      </c>
    </row>
    <row r="9" spans="1:23" x14ac:dyDescent="0.3">
      <c r="A9" s="6" t="str">
        <f>Data!A285</f>
        <v>Large tractor (160 hp) - MEDIUM SIZE</v>
      </c>
      <c r="B9" s="33">
        <f>Data!B285</f>
        <v>1</v>
      </c>
      <c r="C9" s="34" t="str">
        <f>Data!C285</f>
        <v>tractor</v>
      </c>
      <c r="D9" s="112">
        <f>Data!D292*Data!H11</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c r="S9" s="34"/>
      <c r="T9" s="34"/>
      <c r="U9" s="34"/>
      <c r="V9" s="34"/>
      <c r="W9" s="34"/>
    </row>
    <row r="10" spans="1:23" x14ac:dyDescent="0.3">
      <c r="B10" s="33"/>
      <c r="C10" s="34"/>
      <c r="D10" s="109"/>
      <c r="E10" s="109"/>
      <c r="F10" s="109"/>
      <c r="G10" s="34"/>
      <c r="H10" s="109"/>
      <c r="I10" s="35"/>
      <c r="J10" s="109"/>
      <c r="K10" s="35"/>
      <c r="L10" s="109"/>
      <c r="M10" s="109"/>
    </row>
    <row r="11" spans="1:23" x14ac:dyDescent="0.3">
      <c r="A11" s="14" t="s">
        <v>386</v>
      </c>
      <c r="D11" s="110"/>
      <c r="E11" s="110"/>
      <c r="F11" s="109"/>
      <c r="H11" s="109"/>
      <c r="J11" s="110"/>
      <c r="L11" s="110"/>
      <c r="M11" s="109"/>
    </row>
    <row r="12" spans="1:23" x14ac:dyDescent="0.3">
      <c r="A12" s="6" t="str">
        <f>Data!A297</f>
        <v>Bulk Body Truck(s) - SMALL SIZE</v>
      </c>
      <c r="B12" s="247">
        <v>3</v>
      </c>
      <c r="C12" s="34" t="str">
        <f>Data!C297</f>
        <v>truck</v>
      </c>
      <c r="D12" s="109">
        <f>Data!D297*Data!J11</f>
        <v>0</v>
      </c>
      <c r="E12" s="109">
        <f>D12*B12</f>
        <v>0</v>
      </c>
      <c r="F12" s="109">
        <f>Data!I297*E12</f>
        <v>0</v>
      </c>
      <c r="G12" s="34">
        <f>Data!F297</f>
        <v>40</v>
      </c>
      <c r="H12" s="109">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c r="S12" s="34"/>
      <c r="T12" s="34"/>
      <c r="U12" s="34"/>
      <c r="V12" s="34"/>
      <c r="W12" s="34"/>
    </row>
    <row r="13" spans="1:23" x14ac:dyDescent="0.3">
      <c r="B13" s="33"/>
      <c r="C13" s="34"/>
      <c r="D13" s="109"/>
      <c r="E13" s="109"/>
      <c r="F13" s="109"/>
      <c r="G13" s="34"/>
      <c r="H13" s="109"/>
      <c r="I13" s="35"/>
      <c r="J13" s="109"/>
      <c r="K13" s="35"/>
      <c r="L13" s="109"/>
      <c r="M13" s="109"/>
    </row>
    <row r="14" spans="1:23" x14ac:dyDescent="0.3">
      <c r="A14" s="14" t="s">
        <v>6</v>
      </c>
      <c r="B14" s="33"/>
      <c r="C14" s="34"/>
      <c r="D14" s="109"/>
      <c r="E14" s="109"/>
      <c r="F14" s="109"/>
      <c r="G14" s="34"/>
      <c r="H14" s="109"/>
      <c r="I14" s="35"/>
      <c r="J14" s="109"/>
      <c r="K14" s="35"/>
      <c r="L14" s="109"/>
      <c r="M14" s="109"/>
    </row>
    <row r="15" spans="1:23" x14ac:dyDescent="0.3">
      <c r="A15" s="6" t="str">
        <f>Data!A313</f>
        <v>Chisel Plow (15 ft) - SMALL SIZE</v>
      </c>
      <c r="B15" s="33">
        <f>Data!B313</f>
        <v>0</v>
      </c>
      <c r="C15" s="34" t="str">
        <f>Data!C313</f>
        <v>chisel plow</v>
      </c>
      <c r="D15" s="109">
        <f>Data!D313*Data!P11</f>
        <v>0</v>
      </c>
      <c r="E15" s="109">
        <f>D15*B15</f>
        <v>0</v>
      </c>
      <c r="F15" s="109">
        <f>Data!I313*E15</f>
        <v>0</v>
      </c>
      <c r="G15" s="34">
        <f>Data!F313</f>
        <v>40</v>
      </c>
      <c r="H15" s="112">
        <f>(E15*(_int_inv_*(1+_int_inv_)^G15)/((1+_int_inv_)^G15-1))-(F15*_int_inv_/((1+_int_inv_)^G15-1))</f>
        <v>0</v>
      </c>
      <c r="I15" s="35">
        <f>Data!H313</f>
        <v>2.433684210526316E-2</v>
      </c>
      <c r="J15" s="109">
        <f>E15*I15</f>
        <v>0</v>
      </c>
      <c r="K15" s="36">
        <f>_tax_ins_</f>
        <v>6.7999999999999996E-3</v>
      </c>
      <c r="L15" s="109">
        <f>E15*K15</f>
        <v>0</v>
      </c>
      <c r="M15" s="109">
        <f>H15+J15+L15</f>
        <v>0</v>
      </c>
      <c r="N15" s="34"/>
      <c r="O15" s="34"/>
      <c r="P15" s="34"/>
      <c r="Q15" s="34"/>
      <c r="R15" s="34"/>
      <c r="S15" s="34"/>
      <c r="T15" s="34"/>
      <c r="U15" s="34"/>
      <c r="V15" s="34"/>
      <c r="W15" s="34"/>
    </row>
    <row r="16" spans="1:23" x14ac:dyDescent="0.3">
      <c r="A16" s="6" t="str">
        <f>Data!A316</f>
        <v>Disk Harrow (12 ft) - SMALL SIZE</v>
      </c>
      <c r="B16" s="33">
        <f>Data!B316</f>
        <v>0</v>
      </c>
      <c r="C16" s="34" t="str">
        <f>Data!C316</f>
        <v>disk harrow</v>
      </c>
      <c r="D16" s="109">
        <f>Data!D316*Data!P11</f>
        <v>0</v>
      </c>
      <c r="E16" s="109">
        <f>D16*B16</f>
        <v>0</v>
      </c>
      <c r="F16" s="109">
        <f>Data!I316*E16</f>
        <v>0</v>
      </c>
      <c r="G16" s="34">
        <f>Data!F316</f>
        <v>50</v>
      </c>
      <c r="H16" s="112">
        <f>(E16*(_int_inv_*(1+_int_inv_)^G16)/((1+_int_inv_)^G16-1))-(F16*_int_inv_/((1+_int_inv_)^G16-1))</f>
        <v>0</v>
      </c>
      <c r="I16" s="35">
        <f>Data!H316</f>
        <v>2.2825263157894737E-2</v>
      </c>
      <c r="J16" s="109">
        <f>E16*I16</f>
        <v>0</v>
      </c>
      <c r="K16" s="36">
        <f>_tax_ins_</f>
        <v>6.7999999999999996E-3</v>
      </c>
      <c r="L16" s="109">
        <f>E16*K16</f>
        <v>0</v>
      </c>
      <c r="M16" s="109">
        <f>H16+J16+L16</f>
        <v>0</v>
      </c>
      <c r="N16" s="34"/>
      <c r="O16" s="34"/>
      <c r="P16" s="34"/>
      <c r="Q16" s="34"/>
      <c r="R16" s="34"/>
      <c r="S16" s="34"/>
      <c r="T16" s="34"/>
      <c r="U16" s="34"/>
      <c r="V16" s="34"/>
      <c r="W16" s="34"/>
    </row>
    <row r="17" spans="1:23" ht="13.25" customHeight="1" x14ac:dyDescent="0.3">
      <c r="A17" s="6" t="str">
        <f>Data!A319</f>
        <v>Soil Conditioner/Field Cultivator (18 ft) - SMALL SIZE</v>
      </c>
      <c r="B17" s="33">
        <f>Data!B319</f>
        <v>0</v>
      </c>
      <c r="C17" s="34" t="str">
        <f>Data!C319</f>
        <v>condit.</v>
      </c>
      <c r="D17" s="109">
        <f>Data!D319*Data!P11</f>
        <v>0</v>
      </c>
      <c r="E17" s="109">
        <f>D17*B17</f>
        <v>0</v>
      </c>
      <c r="F17" s="109">
        <f>Data!I319*E17</f>
        <v>0</v>
      </c>
      <c r="G17" s="34">
        <f>Data!F319</f>
        <v>40</v>
      </c>
      <c r="H17" s="112">
        <f>(E17*(_int_inv_*(1+_int_inv_)^G17)/((1+_int_inv_)^G17-1))-(F17*_int_inv_/((1+_int_inv_)^G17-1))</f>
        <v>0</v>
      </c>
      <c r="I17" s="35">
        <f>Data!H319</f>
        <v>3.245E-2</v>
      </c>
      <c r="J17" s="109">
        <f>E17*I17</f>
        <v>0</v>
      </c>
      <c r="K17" s="36">
        <f>_tax_ins_</f>
        <v>6.7999999999999996E-3</v>
      </c>
      <c r="L17" s="109">
        <f>E17*K17</f>
        <v>0</v>
      </c>
      <c r="M17" s="109">
        <f>H17+J17+L17</f>
        <v>0</v>
      </c>
      <c r="N17" s="34"/>
      <c r="O17" s="34"/>
      <c r="P17" s="34"/>
      <c r="Q17" s="34"/>
      <c r="R17" s="34"/>
      <c r="S17" s="34"/>
      <c r="T17" s="34"/>
      <c r="U17" s="34"/>
      <c r="V17" s="34"/>
      <c r="W17" s="34"/>
    </row>
    <row r="18" spans="1:23" x14ac:dyDescent="0.3">
      <c r="B18" s="33"/>
      <c r="C18" s="34"/>
      <c r="D18" s="109"/>
      <c r="E18" s="109"/>
      <c r="F18" s="109"/>
      <c r="G18" s="34"/>
      <c r="H18" s="109"/>
      <c r="I18" s="35"/>
      <c r="J18" s="109"/>
      <c r="K18" s="36"/>
      <c r="L18" s="109"/>
      <c r="M18" s="109"/>
    </row>
    <row r="19" spans="1:23" x14ac:dyDescent="0.3">
      <c r="A19" s="14" t="s">
        <v>4</v>
      </c>
      <c r="B19" s="33"/>
      <c r="C19" s="34"/>
      <c r="D19" s="109"/>
      <c r="E19" s="109"/>
      <c r="F19" s="109"/>
      <c r="G19" s="34"/>
      <c r="H19" s="109"/>
      <c r="I19" s="35"/>
      <c r="J19" s="109"/>
      <c r="K19" s="35"/>
      <c r="L19" s="109"/>
      <c r="M19" s="109"/>
    </row>
    <row r="20" spans="1:23" x14ac:dyDescent="0.3">
      <c r="A20" s="6" t="str">
        <f>Data!A334</f>
        <v xml:space="preserve">Fertilizer Spreader </v>
      </c>
      <c r="B20" s="247">
        <v>1</v>
      </c>
      <c r="C20" s="34" t="str">
        <f>Data!C334</f>
        <v>fert.spread</v>
      </c>
      <c r="D20" s="112">
        <f>Data!D334*Data!N11</f>
        <v>0</v>
      </c>
      <c r="E20" s="109">
        <f>D20*B20</f>
        <v>0</v>
      </c>
      <c r="F20" s="109">
        <f>Data!I334*E20</f>
        <v>0</v>
      </c>
      <c r="G20" s="60">
        <f>Data!F334</f>
        <v>10</v>
      </c>
      <c r="H20" s="109">
        <f>(E20*(_int_inv_*(1+_int_inv_)^G20)/((1+_int_inv_)^G20-1))-(F20*_int_inv_/((1+_int_inv_)^G20-1))</f>
        <v>0</v>
      </c>
      <c r="I20" s="35">
        <f>Data!H334</f>
        <v>4.4999999999999998E-2</v>
      </c>
      <c r="J20" s="109">
        <f>E20*I20</f>
        <v>0</v>
      </c>
      <c r="K20" s="36">
        <f>_tax_ins_</f>
        <v>6.7999999999999996E-3</v>
      </c>
      <c r="L20" s="109">
        <f>E20*K20</f>
        <v>0</v>
      </c>
      <c r="M20" s="109">
        <f>H20+J20+L20</f>
        <v>0</v>
      </c>
    </row>
    <row r="21" spans="1:23" x14ac:dyDescent="0.3">
      <c r="A21" s="6" t="str">
        <f>Data!A346</f>
        <v xml:space="preserve">Corn Planter </v>
      </c>
      <c r="B21" s="33">
        <f>Data!B346</f>
        <v>0</v>
      </c>
      <c r="C21" s="34" t="str">
        <f>Data!C346</f>
        <v>planter</v>
      </c>
      <c r="D21" s="112">
        <f>Data!D346*Data!AT11</f>
        <v>0</v>
      </c>
      <c r="E21" s="109">
        <f>D21*B21</f>
        <v>0</v>
      </c>
      <c r="F21" s="109">
        <f>Data!I346*E21</f>
        <v>0</v>
      </c>
      <c r="G21" s="60">
        <f>Data!F346</f>
        <v>10</v>
      </c>
      <c r="H21" s="109">
        <f>(E21*(_int_inv_*(1+_int_inv_)^G21)/((1+_int_inv_)^G21-1))-(F21*_int_inv_/((1+_int_inv_)^G21-1))</f>
        <v>0</v>
      </c>
      <c r="I21" s="35">
        <f>Data!H346</f>
        <v>4.4999999999999998E-2</v>
      </c>
      <c r="J21" s="109">
        <f>E21*I21</f>
        <v>0</v>
      </c>
      <c r="K21" s="36">
        <f>_tax_ins_</f>
        <v>6.7999999999999996E-3</v>
      </c>
      <c r="L21" s="109">
        <f>E21*K21</f>
        <v>0</v>
      </c>
      <c r="M21" s="109">
        <f>H21+J21+L21</f>
        <v>0</v>
      </c>
    </row>
    <row r="22" spans="1:23" x14ac:dyDescent="0.3">
      <c r="B22" s="33"/>
      <c r="C22" s="34"/>
      <c r="D22" s="109"/>
      <c r="E22" s="109"/>
      <c r="F22" s="109"/>
      <c r="G22" s="34"/>
      <c r="H22" s="109"/>
      <c r="I22" s="35"/>
      <c r="J22" s="109"/>
      <c r="K22" s="35"/>
      <c r="L22" s="109"/>
      <c r="M22" s="109"/>
    </row>
    <row r="23" spans="1:23" x14ac:dyDescent="0.3">
      <c r="A23" s="14" t="s">
        <v>7</v>
      </c>
      <c r="B23" s="33"/>
      <c r="C23" s="34"/>
      <c r="D23" s="109"/>
      <c r="E23" s="109"/>
      <c r="F23" s="109"/>
      <c r="G23" s="34"/>
      <c r="H23" s="109"/>
      <c r="I23" s="35"/>
      <c r="J23" s="109"/>
      <c r="K23" s="36"/>
      <c r="L23" s="109"/>
      <c r="M23" s="109"/>
    </row>
    <row r="24" spans="1:23" ht="13.25" customHeight="1" x14ac:dyDescent="0.3">
      <c r="A24" s="6" t="str">
        <f>Data!A353</f>
        <v>Sprayer (Tractor Mounted Boom, 50 ft) - SMALL SIZE</v>
      </c>
      <c r="B24" s="247">
        <v>1</v>
      </c>
      <c r="C24" s="34" t="str">
        <f>Data!C353</f>
        <v>sprayer</v>
      </c>
      <c r="D24" s="109">
        <f>Data!D353*Data!P11</f>
        <v>0</v>
      </c>
      <c r="E24" s="109">
        <f>D24*B24</f>
        <v>0</v>
      </c>
      <c r="F24" s="109">
        <f>Data!I353*E24</f>
        <v>0</v>
      </c>
      <c r="G24" s="60">
        <f>Data!F353</f>
        <v>50</v>
      </c>
      <c r="H24" s="109">
        <f>(E24*(_int_inv_*(1+_int_inv_)^G24)/((1+_int_inv_)^G24-1))-(F24*_int_inv_/((1+_int_inv_)^G24-1))</f>
        <v>0</v>
      </c>
      <c r="I24" s="35">
        <f>Data!H353</f>
        <v>4.4999999999999998E-2</v>
      </c>
      <c r="J24" s="109">
        <f>E24*I24</f>
        <v>0</v>
      </c>
      <c r="K24" s="36">
        <f>_tax_ins_</f>
        <v>6.7999999999999996E-3</v>
      </c>
      <c r="L24" s="109">
        <f>E24*K24</f>
        <v>0</v>
      </c>
      <c r="M24" s="109">
        <f>H24+J24+L24</f>
        <v>0</v>
      </c>
    </row>
    <row r="25" spans="1:23" x14ac:dyDescent="0.3">
      <c r="B25" s="33"/>
      <c r="C25" s="34"/>
      <c r="D25" s="109"/>
      <c r="E25" s="109"/>
      <c r="F25" s="109"/>
      <c r="G25" s="34"/>
      <c r="H25" s="109"/>
      <c r="I25" s="35"/>
      <c r="J25" s="109"/>
      <c r="K25" s="36"/>
      <c r="L25" s="109"/>
      <c r="M25" s="109"/>
    </row>
    <row r="26" spans="1:23" x14ac:dyDescent="0.3">
      <c r="A26" s="14" t="s">
        <v>9</v>
      </c>
      <c r="B26" s="33"/>
      <c r="C26" s="34"/>
      <c r="D26" s="109"/>
      <c r="E26" s="109"/>
      <c r="F26" s="109"/>
      <c r="G26" s="34"/>
      <c r="H26" s="109"/>
      <c r="I26" s="35"/>
      <c r="J26" s="109"/>
      <c r="K26" s="36"/>
      <c r="L26" s="109"/>
      <c r="M26" s="109"/>
    </row>
    <row r="27" spans="1:23" x14ac:dyDescent="0.3">
      <c r="A27" s="6" t="str">
        <f>Data!A381</f>
        <v>Combine (IHC) - SMALL SIZE</v>
      </c>
      <c r="B27" s="33">
        <f>Data!B381</f>
        <v>0</v>
      </c>
      <c r="C27" s="34" t="str">
        <f>Data!C381</f>
        <v>combine</v>
      </c>
      <c r="D27" s="109">
        <f>Data!D381*Data!AH11</f>
        <v>0</v>
      </c>
      <c r="E27" s="109">
        <f>D27*B27</f>
        <v>0</v>
      </c>
      <c r="F27" s="109">
        <f>Data!I381*E27</f>
        <v>0</v>
      </c>
      <c r="G27" s="60">
        <f>Data!F381</f>
        <v>50</v>
      </c>
      <c r="H27" s="109">
        <f>(E27*(_int_inv_*(1+_int_inv_)^G27)/((1+_int_inv_)^G27-1))-(F27*_int_inv_/((1+_int_inv_)^G27-1))</f>
        <v>0</v>
      </c>
      <c r="I27" s="35">
        <f>Data!H381</f>
        <v>2.8219081272084806E-2</v>
      </c>
      <c r="J27" s="109">
        <f>E27*I27</f>
        <v>0</v>
      </c>
      <c r="K27" s="36">
        <f>_tax_ins_</f>
        <v>6.7999999999999996E-3</v>
      </c>
      <c r="L27" s="109">
        <f>E27*K27</f>
        <v>0</v>
      </c>
      <c r="M27" s="109">
        <f>H27+J27+L27</f>
        <v>0</v>
      </c>
    </row>
    <row r="28" spans="1:23" x14ac:dyDescent="0.3">
      <c r="A28" s="6" t="str">
        <f>Data!A384</f>
        <v xml:space="preserve">     Combine corn head</v>
      </c>
      <c r="B28" s="33">
        <f>Data!B384</f>
        <v>0</v>
      </c>
      <c r="C28" s="34" t="str">
        <f>Data!C384</f>
        <v>corn hd.</v>
      </c>
      <c r="D28" s="109">
        <f>Data!D384*Data!D11</f>
        <v>0</v>
      </c>
      <c r="E28" s="109">
        <f>D28*B28</f>
        <v>0</v>
      </c>
      <c r="F28" s="109">
        <f>Data!I384*E28</f>
        <v>0</v>
      </c>
      <c r="G28" s="60">
        <f>Data!F384</f>
        <v>10</v>
      </c>
      <c r="H28" s="109">
        <f>(E28*(_int_inv_*(1+_int_inv_)^G28)/((1+_int_inv_)^G28-1))-(F28*_int_inv_/((1+_int_inv_)^G28-1))</f>
        <v>0</v>
      </c>
      <c r="I28" s="35">
        <f>Data!H384</f>
        <v>4.4999999999999998E-2</v>
      </c>
      <c r="J28" s="109">
        <f>E28*I28</f>
        <v>0</v>
      </c>
      <c r="K28" s="36">
        <f>_tax_ins_</f>
        <v>6.7999999999999996E-3</v>
      </c>
      <c r="L28" s="109">
        <f>E28*K28</f>
        <v>0</v>
      </c>
      <c r="M28" s="109">
        <f>H28+J28+L28</f>
        <v>0</v>
      </c>
    </row>
    <row r="29" spans="1:23" x14ac:dyDescent="0.3">
      <c r="A29" s="6"/>
      <c r="B29" s="33"/>
      <c r="C29" s="34"/>
      <c r="D29" s="109"/>
      <c r="E29" s="109"/>
      <c r="F29" s="109"/>
      <c r="G29" s="60"/>
      <c r="H29" s="109"/>
      <c r="I29" s="35"/>
      <c r="J29" s="109"/>
      <c r="K29" s="36"/>
      <c r="L29" s="109"/>
      <c r="M29" s="109"/>
    </row>
    <row r="30" spans="1:23" x14ac:dyDescent="0.3">
      <c r="A30" s="14" t="s">
        <v>357</v>
      </c>
      <c r="B30" s="33"/>
      <c r="C30" s="34"/>
      <c r="D30" s="109"/>
      <c r="E30" s="109"/>
      <c r="F30" s="109"/>
      <c r="G30" s="34"/>
      <c r="H30" s="109"/>
      <c r="I30" s="35"/>
      <c r="J30" s="109"/>
      <c r="K30" s="36"/>
      <c r="L30" s="109"/>
      <c r="M30" s="109"/>
    </row>
    <row r="31" spans="1:23" x14ac:dyDescent="0.3">
      <c r="A31" s="6" t="str">
        <f>Data!A395</f>
        <v>Fuel Tanks - SMALL SIZE</v>
      </c>
      <c r="B31" s="33">
        <f>Data!B395</f>
        <v>0</v>
      </c>
      <c r="C31" s="34" t="str">
        <f>Data!C395</f>
        <v>fuel tank</v>
      </c>
      <c r="D31" s="109">
        <f>Data!D395*Data!H11</f>
        <v>0</v>
      </c>
      <c r="E31" s="109">
        <f>D31*B31</f>
        <v>0</v>
      </c>
      <c r="F31" s="109">
        <f>Data!I395*E31</f>
        <v>0</v>
      </c>
      <c r="G31" s="60">
        <f>Data!F395</f>
        <v>50</v>
      </c>
      <c r="H31" s="109">
        <f>(E31*(_int_inv_*(1+_int_inv_)^G31)/((1+_int_inv_)^G31-1))-(F31*_int_inv_/((1+_int_inv_)^G31-1))</f>
        <v>0</v>
      </c>
      <c r="I31" s="35">
        <f>Data!H395</f>
        <v>0.02</v>
      </c>
      <c r="J31" s="109">
        <f>E31*I31</f>
        <v>0</v>
      </c>
      <c r="K31" s="36">
        <f>_tax_ins_</f>
        <v>6.7999999999999996E-3</v>
      </c>
      <c r="L31" s="104">
        <f>E31*K31</f>
        <v>0</v>
      </c>
      <c r="M31" s="109">
        <f>H31+J31+L31</f>
        <v>0</v>
      </c>
    </row>
    <row r="32" spans="1:23" x14ac:dyDescent="0.3">
      <c r="A32" s="6" t="str">
        <f>Data!A396</f>
        <v>Shop Tools - SMALL SIZE</v>
      </c>
      <c r="B32" s="33">
        <f>Data!B396</f>
        <v>0</v>
      </c>
      <c r="C32" s="34" t="str">
        <f>Data!C396</f>
        <v>shop tools</v>
      </c>
      <c r="D32" s="109">
        <f>Data!D396*Data!H11</f>
        <v>0</v>
      </c>
      <c r="E32" s="109">
        <f>D32*B32</f>
        <v>0</v>
      </c>
      <c r="F32" s="109">
        <f>Data!I396*E32</f>
        <v>0</v>
      </c>
      <c r="G32" s="60">
        <f>Data!F396</f>
        <v>50</v>
      </c>
      <c r="H32" s="109">
        <f>(E32*(_int_inv_*(1+_int_inv_)^G32)/((1+_int_inv_)^G32-1))-(F32*_int_inv_/((1+_int_inv_)^G32-1))</f>
        <v>0</v>
      </c>
      <c r="I32" s="35">
        <f>Data!H396</f>
        <v>0.02</v>
      </c>
      <c r="J32" s="109">
        <f>E32*I32</f>
        <v>0</v>
      </c>
      <c r="K32" s="36">
        <f>_tax_ins_</f>
        <v>6.7999999999999996E-3</v>
      </c>
      <c r="L32" s="109">
        <f>E32*K32</f>
        <v>0</v>
      </c>
      <c r="M32" s="109">
        <f>H32+J32+L32</f>
        <v>0</v>
      </c>
    </row>
    <row r="33" spans="1:33" x14ac:dyDescent="0.3">
      <c r="A33" s="6"/>
      <c r="B33" s="33"/>
      <c r="C33" s="34"/>
      <c r="D33" s="109"/>
      <c r="E33" s="109"/>
      <c r="F33" s="109"/>
      <c r="G33" s="60"/>
      <c r="H33" s="109"/>
      <c r="I33" s="35"/>
      <c r="J33" s="109"/>
      <c r="K33" s="36"/>
      <c r="L33" s="109"/>
      <c r="M33" s="109"/>
    </row>
    <row r="34" spans="1:33" customFormat="1" x14ac:dyDescent="0.3">
      <c r="A34" s="7" t="s">
        <v>445</v>
      </c>
      <c r="B34" s="7"/>
      <c r="C34" s="350">
        <v>1</v>
      </c>
      <c r="D34" s="351" t="s">
        <v>422</v>
      </c>
      <c r="E34" s="352"/>
      <c r="F34" s="610"/>
      <c r="G34" s="357"/>
      <c r="H34" s="356"/>
      <c r="I34" s="358"/>
      <c r="J34" s="132"/>
      <c r="L34" s="132"/>
      <c r="M34" s="132"/>
      <c r="O34" s="17"/>
      <c r="P34" s="17"/>
      <c r="Q34" s="17"/>
      <c r="R34" s="17"/>
      <c r="S34" s="17"/>
      <c r="T34" s="17"/>
      <c r="U34" s="17"/>
      <c r="V34" s="17"/>
      <c r="W34" s="17"/>
      <c r="X34" s="17"/>
      <c r="Y34" s="17"/>
      <c r="Z34" s="17"/>
      <c r="AA34" s="17"/>
      <c r="AB34" s="17"/>
      <c r="AC34" s="17"/>
    </row>
    <row r="35" spans="1:33" x14ac:dyDescent="0.3">
      <c r="A35" s="6" t="str">
        <f>Data!A423</f>
        <v>Grain Auger(s) - SMALL SIZE</v>
      </c>
      <c r="B35" s="163">
        <f>Data!B423</f>
        <v>0</v>
      </c>
      <c r="C35" s="34" t="str">
        <f>Data!C423</f>
        <v>auger</v>
      </c>
      <c r="D35" s="109">
        <f>Data!D423*Data!D11</f>
        <v>0</v>
      </c>
      <c r="E35" s="109">
        <f>D35*B35</f>
        <v>0</v>
      </c>
      <c r="F35" s="109">
        <f>Data!I423*E35</f>
        <v>0</v>
      </c>
      <c r="G35" s="34">
        <f>Data!F423</f>
        <v>50</v>
      </c>
      <c r="H35" s="109">
        <f>(E35*(_int_inv_*(1+_int_inv_)^G35)/((1+_int_inv_)^G35-1))-(F35*_int_inv_/((1+_int_inv_)^G35-1))</f>
        <v>0</v>
      </c>
      <c r="I35" s="35">
        <f>Data!H423</f>
        <v>0.02</v>
      </c>
      <c r="J35" s="109">
        <f>E35*I35</f>
        <v>0</v>
      </c>
      <c r="K35" s="36">
        <f>_tax_ins_</f>
        <v>6.7999999999999996E-3</v>
      </c>
      <c r="L35" s="109">
        <f>E35*K35</f>
        <v>0</v>
      </c>
      <c r="M35" s="109">
        <f>H35+J35+L35</f>
        <v>0</v>
      </c>
      <c r="N35" s="34"/>
      <c r="O35" s="34"/>
      <c r="P35" s="34"/>
      <c r="Q35" s="34"/>
      <c r="R35" s="34"/>
      <c r="S35" s="34"/>
      <c r="T35" s="34"/>
      <c r="U35" s="34"/>
      <c r="V35" s="34"/>
      <c r="W35" s="34"/>
    </row>
    <row r="36" spans="1:33" x14ac:dyDescent="0.3">
      <c r="A36" s="6" t="str">
        <f>Data!A427</f>
        <v>Grain Dryer (Grain Corn)</v>
      </c>
      <c r="B36" s="163">
        <f>Data!B427</f>
        <v>0</v>
      </c>
      <c r="C36" s="34" t="str">
        <f>Data!C427</f>
        <v>dryer</v>
      </c>
      <c r="D36" s="109">
        <f>Data!D427*Data!D11*C34</f>
        <v>0</v>
      </c>
      <c r="E36" s="109">
        <f>D36*B36</f>
        <v>0</v>
      </c>
      <c r="F36" s="109">
        <f>Data!I427*E36</f>
        <v>0</v>
      </c>
      <c r="G36" s="34">
        <f>Data!F427</f>
        <v>10</v>
      </c>
      <c r="H36" s="109">
        <f>(E36*(_int_inv_*(1+_int_inv_)^G36)/((1+_int_inv_)^G36-1))-(F36*_int_inv_/((1+_int_inv_)^G36-1))</f>
        <v>0</v>
      </c>
      <c r="I36" s="35">
        <f>Data!H427</f>
        <v>0.02</v>
      </c>
      <c r="J36" s="109">
        <f>E36*I36</f>
        <v>0</v>
      </c>
      <c r="K36" s="36">
        <f>_tax_ins_</f>
        <v>6.7999999999999996E-3</v>
      </c>
      <c r="L36" s="109">
        <f>E36*K36</f>
        <v>0</v>
      </c>
      <c r="M36" s="109">
        <f>H36+J36+L36</f>
        <v>0</v>
      </c>
      <c r="N36" s="34"/>
      <c r="O36" s="34"/>
      <c r="P36" s="34"/>
      <c r="Q36" s="34"/>
      <c r="R36" s="34"/>
      <c r="S36" s="34"/>
      <c r="T36" s="34"/>
      <c r="U36" s="34"/>
      <c r="V36" s="34"/>
      <c r="W36" s="34"/>
    </row>
    <row r="37" spans="1:33" customFormat="1" x14ac:dyDescent="0.3">
      <c r="A37" s="6" t="str">
        <f>Data!A428</f>
        <v>Grain Bags (Grain Corn) - SMALL SIZE</v>
      </c>
      <c r="B37" s="163">
        <f>Data!B428</f>
        <v>0</v>
      </c>
      <c r="C37" s="34" t="str">
        <f>Data!C428</f>
        <v>grain bag</v>
      </c>
      <c r="D37" s="109">
        <f>Data!D428*Data!D11*C34</f>
        <v>0</v>
      </c>
      <c r="E37" s="109">
        <f>D37*B37</f>
        <v>0</v>
      </c>
      <c r="F37" s="109">
        <f>Data!I428*E37</f>
        <v>0</v>
      </c>
      <c r="G37" s="34">
        <f>Data!F428</f>
        <v>5</v>
      </c>
      <c r="H37" s="109">
        <f>(E37*(_int_inv_*(1+_int_inv_)^G37)/((1+_int_inv_)^G37-1))-(F37*_int_inv_/((1+_int_inv_)^G37-1))</f>
        <v>0</v>
      </c>
      <c r="I37" s="35">
        <f>Data!H428</f>
        <v>0</v>
      </c>
      <c r="J37" s="109">
        <f>E37*I37</f>
        <v>0</v>
      </c>
      <c r="K37" s="36">
        <f>_tax_ins_</f>
        <v>6.7999999999999996E-3</v>
      </c>
      <c r="L37" s="109">
        <f>E37*K37</f>
        <v>0</v>
      </c>
      <c r="M37" s="109">
        <f>H37+J37+L37</f>
        <v>0</v>
      </c>
      <c r="N37" s="17"/>
      <c r="O37" s="17"/>
      <c r="P37" s="17"/>
      <c r="Q37" s="17"/>
      <c r="R37" s="17"/>
      <c r="S37" s="17"/>
      <c r="T37" s="17"/>
      <c r="U37" s="17"/>
      <c r="V37" s="17"/>
      <c r="W37" s="17"/>
      <c r="X37" s="17"/>
      <c r="Y37" s="17"/>
      <c r="Z37" s="17"/>
      <c r="AA37" s="17"/>
      <c r="AB37" s="17"/>
      <c r="AC37" s="17"/>
      <c r="AD37" s="17"/>
      <c r="AE37" s="17"/>
      <c r="AF37" s="17"/>
      <c r="AG37" s="17"/>
    </row>
    <row r="38" spans="1:33" x14ac:dyDescent="0.3">
      <c r="A38" s="6"/>
      <c r="B38" s="33"/>
      <c r="C38" s="34"/>
      <c r="D38" s="109"/>
      <c r="E38" s="109"/>
      <c r="F38" s="109"/>
      <c r="G38" s="34"/>
      <c r="H38" s="109"/>
      <c r="I38" s="35"/>
      <c r="J38" s="109"/>
      <c r="K38" s="36"/>
      <c r="L38" s="109"/>
      <c r="M38" s="109"/>
    </row>
    <row r="39" spans="1:33" x14ac:dyDescent="0.3">
      <c r="A39" s="14" t="s">
        <v>12</v>
      </c>
      <c r="B39" s="84">
        <f>Data!B77</f>
        <v>0</v>
      </c>
      <c r="C39" s="868" t="str">
        <f>Data!H51</f>
        <v>acre(s)</v>
      </c>
      <c r="D39" s="109">
        <f>Data!F61</f>
        <v>1000</v>
      </c>
      <c r="E39" s="109">
        <f>D39*B39</f>
        <v>0</v>
      </c>
      <c r="F39" s="864" t="s">
        <v>45</v>
      </c>
      <c r="G39" s="865" t="s">
        <v>45</v>
      </c>
      <c r="H39" s="109">
        <f>E39*_int_inv_</f>
        <v>0</v>
      </c>
      <c r="I39" s="35">
        <f>Data!H61</f>
        <v>0.01</v>
      </c>
      <c r="J39" s="109">
        <f>E39*I39</f>
        <v>0</v>
      </c>
      <c r="K39" s="36">
        <f>_tax_ins_</f>
        <v>6.7999999999999996E-3</v>
      </c>
      <c r="L39" s="109">
        <f>E39*K39</f>
        <v>0</v>
      </c>
      <c r="M39" s="109">
        <f>H39+J39+L39</f>
        <v>0</v>
      </c>
    </row>
    <row r="40" spans="1:33" x14ac:dyDescent="0.3">
      <c r="B40" s="33"/>
      <c r="C40" s="34"/>
      <c r="D40" s="109"/>
      <c r="E40" s="109"/>
      <c r="F40" s="109"/>
      <c r="G40" s="38"/>
      <c r="H40" s="109"/>
      <c r="I40" s="35"/>
      <c r="J40" s="109"/>
      <c r="K40" s="36"/>
      <c r="L40" s="109"/>
      <c r="M40" s="109"/>
    </row>
    <row r="41" spans="1:33" x14ac:dyDescent="0.3">
      <c r="A41" s="14" t="s">
        <v>1229</v>
      </c>
      <c r="B41" s="33"/>
      <c r="C41" s="34"/>
      <c r="D41" s="109"/>
      <c r="E41" s="109"/>
      <c r="F41" s="109"/>
      <c r="G41" s="34"/>
      <c r="H41" s="109"/>
      <c r="I41" s="35"/>
      <c r="J41" s="109"/>
      <c r="K41" s="36"/>
      <c r="L41" s="110"/>
      <c r="M41" s="109"/>
      <c r="O41"/>
      <c r="P41"/>
      <c r="Q41"/>
      <c r="R41"/>
      <c r="S41"/>
      <c r="T41"/>
      <c r="U41"/>
      <c r="V41"/>
      <c r="W41"/>
      <c r="X41"/>
      <c r="Y41"/>
      <c r="Z41"/>
      <c r="AA41"/>
      <c r="AB41"/>
      <c r="AC41"/>
    </row>
    <row r="42" spans="1:33" x14ac:dyDescent="0.3">
      <c r="A42" s="6" t="str">
        <f>Data!A495</f>
        <v>Shop/Loading Shed - SMALL SIZE</v>
      </c>
      <c r="B42" s="33">
        <f>Data!B495</f>
        <v>0</v>
      </c>
      <c r="C42" s="34" t="str">
        <f>Data!C495</f>
        <v>building</v>
      </c>
      <c r="D42" s="109">
        <f>Data!D495*Data!H11</f>
        <v>0</v>
      </c>
      <c r="E42" s="109">
        <f>D42*B42</f>
        <v>0</v>
      </c>
      <c r="F42" s="109">
        <f>Data!I495*E42</f>
        <v>0</v>
      </c>
      <c r="G42" s="34">
        <f>Data!F495</f>
        <v>33</v>
      </c>
      <c r="H42" s="109">
        <f>(E42*(_int_inv_*(1+_int_inv_)^G42)/((1+_int_inv_)^G42-1))-(F42*_int_inv_/((1+_int_inv_)^G42-1))</f>
        <v>0</v>
      </c>
      <c r="I42" s="35">
        <f>Data!H495</f>
        <v>0.01</v>
      </c>
      <c r="J42" s="109">
        <f>E42*I42</f>
        <v>0</v>
      </c>
      <c r="K42" s="36">
        <f>_tax_ins_</f>
        <v>6.7999999999999996E-3</v>
      </c>
      <c r="L42" s="109">
        <f>E42*K42</f>
        <v>0</v>
      </c>
      <c r="M42" s="109">
        <f>H42+J42+L42</f>
        <v>0</v>
      </c>
    </row>
    <row r="43" spans="1:33" customFormat="1" x14ac:dyDescent="0.3">
      <c r="D43" s="109"/>
      <c r="E43" s="109"/>
      <c r="F43" s="133"/>
      <c r="H43" s="133"/>
      <c r="J43" s="132"/>
      <c r="L43" s="132"/>
      <c r="M43" s="132"/>
      <c r="O43" s="17"/>
      <c r="P43" s="17"/>
      <c r="Q43" s="17"/>
      <c r="R43" s="17"/>
      <c r="S43" s="17"/>
      <c r="T43" s="17"/>
      <c r="U43" s="17"/>
      <c r="V43" s="17"/>
      <c r="W43" s="17"/>
      <c r="X43" s="17"/>
      <c r="Y43" s="17"/>
      <c r="Z43" s="17"/>
      <c r="AA43" s="17"/>
      <c r="AB43" s="17"/>
      <c r="AC43" s="17"/>
    </row>
    <row r="44" spans="1:33" ht="12.75" customHeight="1" x14ac:dyDescent="0.3">
      <c r="A44" s="14" t="s">
        <v>514</v>
      </c>
      <c r="B44" s="351" t="s">
        <v>516</v>
      </c>
      <c r="C44" s="351"/>
      <c r="D44" s="351"/>
      <c r="E44" s="351"/>
      <c r="F44" s="351"/>
      <c r="G44" s="351"/>
      <c r="H44" s="351"/>
      <c r="I44" s="351"/>
      <c r="J44" s="109"/>
      <c r="K44" s="36"/>
      <c r="L44" s="109"/>
      <c r="M44" s="109"/>
      <c r="N44" s="34"/>
      <c r="O44" s="34"/>
      <c r="P44" s="34"/>
      <c r="Q44" s="34"/>
      <c r="R44" s="34"/>
      <c r="S44" s="34"/>
      <c r="T44" s="34"/>
      <c r="U44" s="34"/>
      <c r="V44" s="34"/>
    </row>
    <row r="45" spans="1:33" ht="12.75" customHeight="1" x14ac:dyDescent="0.3">
      <c r="A45" s="14" t="s">
        <v>515</v>
      </c>
      <c r="B45" s="351" t="s">
        <v>517</v>
      </c>
      <c r="C45" s="351"/>
      <c r="D45" s="351"/>
      <c r="E45" s="351"/>
      <c r="F45" s="351"/>
      <c r="G45" s="351"/>
      <c r="H45" s="351"/>
      <c r="I45" s="351"/>
      <c r="J45" s="109"/>
      <c r="K45" s="36"/>
      <c r="L45" s="109"/>
      <c r="M45" s="109"/>
      <c r="N45" s="34"/>
      <c r="O45" s="34"/>
      <c r="P45" s="34"/>
      <c r="Q45" s="34"/>
      <c r="R45" s="34"/>
      <c r="S45" s="34"/>
      <c r="T45" s="34"/>
      <c r="U45" s="34"/>
      <c r="V45" s="34"/>
    </row>
    <row r="46" spans="1:33" x14ac:dyDescent="0.3">
      <c r="B46" s="33"/>
      <c r="C46" s="34"/>
      <c r="D46" s="109"/>
      <c r="E46" s="109"/>
      <c r="F46" s="109"/>
      <c r="G46" s="34"/>
      <c r="H46" s="109"/>
      <c r="I46" s="35"/>
      <c r="J46" s="109"/>
      <c r="K46" s="36"/>
      <c r="L46" s="110"/>
      <c r="M46" s="109"/>
    </row>
    <row r="47" spans="1:33" x14ac:dyDescent="0.3">
      <c r="A47" s="14" t="s">
        <v>19</v>
      </c>
      <c r="B47" s="865" t="s">
        <v>45</v>
      </c>
      <c r="C47" s="864" t="s">
        <v>45</v>
      </c>
      <c r="D47" s="864" t="s">
        <v>45</v>
      </c>
      <c r="E47" s="864" t="s">
        <v>45</v>
      </c>
      <c r="F47" s="864" t="s">
        <v>45</v>
      </c>
      <c r="G47" s="865" t="s">
        <v>45</v>
      </c>
      <c r="H47" s="864" t="s">
        <v>45</v>
      </c>
      <c r="I47" s="865" t="s">
        <v>45</v>
      </c>
      <c r="J47" s="864" t="s">
        <v>45</v>
      </c>
      <c r="K47" s="865" t="s">
        <v>45</v>
      </c>
      <c r="L47" s="864" t="s">
        <v>45</v>
      </c>
      <c r="M47" s="864" t="s">
        <v>45</v>
      </c>
    </row>
    <row r="48" spans="1:33" x14ac:dyDescent="0.3">
      <c r="A48" s="14"/>
      <c r="B48" s="33"/>
      <c r="C48" s="34"/>
      <c r="D48" s="109"/>
      <c r="E48" s="109"/>
      <c r="F48" s="109"/>
      <c r="G48" s="34"/>
      <c r="H48" s="109"/>
      <c r="I48" s="35"/>
      <c r="J48" s="109"/>
      <c r="K48" s="35"/>
      <c r="L48" s="110"/>
      <c r="M48" s="109"/>
    </row>
    <row r="49" spans="1:13" x14ac:dyDescent="0.3">
      <c r="A49" s="14" t="s">
        <v>64</v>
      </c>
      <c r="B49" s="865" t="s">
        <v>45</v>
      </c>
      <c r="C49" s="864" t="s">
        <v>45</v>
      </c>
      <c r="D49" s="866">
        <v>0</v>
      </c>
      <c r="E49" s="866">
        <f>D49</f>
        <v>0</v>
      </c>
      <c r="F49" s="866">
        <v>0</v>
      </c>
      <c r="G49" s="247">
        <v>1</v>
      </c>
      <c r="H49" s="109">
        <f>(E49*(_int_inv_*(1+_int_inv_)^G49)/((1+_int_inv_)^G49-1))-(F49*_int_inv_/((1+_int_inv_)^G49-1))</f>
        <v>0</v>
      </c>
      <c r="I49" s="251">
        <v>0.01</v>
      </c>
      <c r="J49" s="109">
        <f>E49*I49</f>
        <v>0</v>
      </c>
      <c r="K49" s="36">
        <f>_tax_ins_</f>
        <v>6.7999999999999996E-3</v>
      </c>
      <c r="L49" s="109">
        <f>E49*K49</f>
        <v>0</v>
      </c>
      <c r="M49" s="109">
        <f>H49+J49+L49</f>
        <v>0</v>
      </c>
    </row>
    <row r="50" spans="1:13" x14ac:dyDescent="0.3">
      <c r="B50" s="33"/>
      <c r="C50" s="34"/>
      <c r="D50" s="109"/>
      <c r="E50" s="109"/>
      <c r="F50" s="109"/>
      <c r="G50" s="34"/>
      <c r="H50" s="109"/>
      <c r="I50" s="35"/>
      <c r="J50" s="110"/>
      <c r="K50" s="35"/>
      <c r="L50" s="110"/>
      <c r="M50" s="109"/>
    </row>
    <row r="51" spans="1:13" ht="13.5" x14ac:dyDescent="0.35">
      <c r="A51" s="1" t="s">
        <v>68</v>
      </c>
      <c r="B51" s="33"/>
      <c r="C51" s="34"/>
      <c r="D51" s="109"/>
      <c r="E51" s="109">
        <f>SUM(E7:E49)</f>
        <v>0</v>
      </c>
      <c r="F51" s="109">
        <f>SUM(F7:F49)</f>
        <v>0</v>
      </c>
      <c r="G51" s="34"/>
      <c r="H51" s="109">
        <f>SUM(H7:H49)</f>
        <v>0</v>
      </c>
      <c r="I51" s="35"/>
      <c r="J51" s="109">
        <f>SUM(J7:J49)</f>
        <v>0</v>
      </c>
      <c r="K51" s="35"/>
      <c r="L51" s="109">
        <f>SUM(L7:L49)</f>
        <v>0</v>
      </c>
      <c r="M51" s="109">
        <f>SUM(M7:M49)</f>
        <v>0</v>
      </c>
    </row>
    <row r="52" spans="1:13" x14ac:dyDescent="0.3">
      <c r="B52" s="33"/>
      <c r="C52" s="34"/>
      <c r="D52" s="109"/>
      <c r="E52" s="109"/>
      <c r="F52" s="109"/>
      <c r="G52" s="34"/>
      <c r="H52" s="109"/>
      <c r="I52" s="35"/>
      <c r="J52" s="34"/>
      <c r="K52" s="35"/>
      <c r="L52" s="110"/>
      <c r="M52" s="109"/>
    </row>
    <row r="53" spans="1:13" x14ac:dyDescent="0.3">
      <c r="B53" s="33"/>
      <c r="C53" s="34"/>
      <c r="D53" s="109"/>
      <c r="E53" s="109"/>
      <c r="F53" s="109"/>
      <c r="G53" s="34"/>
      <c r="H53" s="32"/>
      <c r="I53" s="35"/>
      <c r="J53" s="34"/>
      <c r="K53" s="35"/>
      <c r="L53" s="34"/>
      <c r="M53" s="32"/>
    </row>
    <row r="54" spans="1:13" x14ac:dyDescent="0.3">
      <c r="B54" s="33"/>
      <c r="C54" s="34"/>
      <c r="D54" s="134" t="s">
        <v>136</v>
      </c>
      <c r="E54" s="109"/>
      <c r="F54" s="109"/>
      <c r="G54" s="34"/>
      <c r="H54" s="32"/>
      <c r="I54" s="35"/>
      <c r="J54" s="34"/>
      <c r="K54" s="35"/>
      <c r="L54" s="34"/>
      <c r="M54" s="32"/>
    </row>
    <row r="55" spans="1:13" x14ac:dyDescent="0.3">
      <c r="B55" s="33"/>
      <c r="C55" s="34"/>
      <c r="D55" s="110" t="s">
        <v>602</v>
      </c>
      <c r="E55" s="109">
        <f>SUM(E7:E38)</f>
        <v>0</v>
      </c>
      <c r="F55" s="109"/>
      <c r="G55" s="34"/>
      <c r="H55" s="32"/>
      <c r="I55" s="35"/>
      <c r="J55" s="34"/>
      <c r="K55" s="35"/>
      <c r="L55" s="34"/>
      <c r="M55" s="32"/>
    </row>
    <row r="56" spans="1:13" x14ac:dyDescent="0.3">
      <c r="B56" s="33"/>
      <c r="C56" s="34"/>
      <c r="D56" s="110" t="s">
        <v>603</v>
      </c>
      <c r="E56" s="109">
        <f>SUM(E39:E40)</f>
        <v>0</v>
      </c>
      <c r="F56" s="109"/>
      <c r="G56" s="34"/>
      <c r="H56" s="32"/>
      <c r="I56" s="35"/>
      <c r="J56" s="34"/>
      <c r="K56" s="35"/>
      <c r="L56" s="34"/>
      <c r="M56" s="32"/>
    </row>
    <row r="57" spans="1:13" x14ac:dyDescent="0.3">
      <c r="B57" s="33"/>
      <c r="C57" s="34"/>
      <c r="D57" s="127" t="s">
        <v>604</v>
      </c>
      <c r="E57" s="111">
        <f>SUM(E42:E46)</f>
        <v>0</v>
      </c>
      <c r="F57" s="109"/>
      <c r="G57" s="34"/>
      <c r="H57" s="32"/>
      <c r="I57" s="34"/>
      <c r="J57" s="34"/>
      <c r="K57" s="35"/>
      <c r="L57" s="34"/>
      <c r="M57" s="32"/>
    </row>
    <row r="58" spans="1:13" x14ac:dyDescent="0.3">
      <c r="B58" s="33"/>
      <c r="C58" s="34"/>
      <c r="D58" s="135" t="s">
        <v>605</v>
      </c>
      <c r="E58" s="109">
        <f>SUM(E55:E57)</f>
        <v>0</v>
      </c>
      <c r="F58" s="109"/>
      <c r="G58" s="34"/>
      <c r="H58" s="32"/>
      <c r="I58" s="34"/>
      <c r="J58" s="34"/>
      <c r="K58" s="35"/>
      <c r="L58" s="34"/>
      <c r="M58" s="32"/>
    </row>
    <row r="59" spans="1:13" x14ac:dyDescent="0.3">
      <c r="B59" s="33"/>
      <c r="C59" s="34"/>
      <c r="D59" s="109"/>
      <c r="E59" s="109"/>
      <c r="F59" s="109"/>
      <c r="G59" s="34"/>
      <c r="H59" s="32"/>
      <c r="I59" s="34"/>
      <c r="J59" s="34"/>
      <c r="K59" s="35"/>
      <c r="L59" s="34"/>
      <c r="M59" s="32"/>
    </row>
    <row r="60" spans="1:13" x14ac:dyDescent="0.3">
      <c r="B60" s="33"/>
      <c r="C60" s="34"/>
      <c r="D60" s="32"/>
      <c r="E60" s="32"/>
      <c r="F60" s="32"/>
      <c r="G60" s="34"/>
      <c r="H60" s="32"/>
      <c r="I60" s="34"/>
      <c r="J60" s="34"/>
      <c r="K60" s="35"/>
      <c r="L60" s="34"/>
      <c r="M60" s="32"/>
    </row>
    <row r="61" spans="1:13" x14ac:dyDescent="0.3">
      <c r="B61" s="33"/>
      <c r="C61" s="34"/>
      <c r="D61" s="32"/>
      <c r="E61" s="32"/>
      <c r="F61" s="32"/>
      <c r="G61" s="34"/>
      <c r="H61" s="32"/>
      <c r="I61" s="34"/>
      <c r="J61" s="34"/>
      <c r="K61" s="35"/>
      <c r="L61" s="34"/>
      <c r="M61" s="32"/>
    </row>
    <row r="62" spans="1:13" x14ac:dyDescent="0.3">
      <c r="B62" s="33"/>
      <c r="C62" s="34"/>
      <c r="D62" s="32"/>
      <c r="E62" s="32"/>
      <c r="F62" s="32"/>
      <c r="G62" s="34"/>
      <c r="H62" s="32"/>
      <c r="I62" s="34"/>
      <c r="J62" s="34"/>
      <c r="K62" s="35"/>
      <c r="L62" s="34"/>
      <c r="M62" s="32"/>
    </row>
    <row r="63" spans="1:13" x14ac:dyDescent="0.3">
      <c r="B63" s="33"/>
      <c r="C63" s="34"/>
      <c r="D63" s="32"/>
      <c r="E63" s="32"/>
      <c r="F63" s="32"/>
      <c r="G63" s="34"/>
      <c r="H63" s="32"/>
      <c r="I63" s="34"/>
      <c r="J63" s="34"/>
      <c r="K63" s="35"/>
      <c r="L63" s="34"/>
      <c r="M63" s="32"/>
    </row>
    <row r="64" spans="1:13" x14ac:dyDescent="0.3">
      <c r="B64" s="33"/>
      <c r="C64" s="34"/>
      <c r="D64" s="32"/>
      <c r="E64" s="32"/>
      <c r="F64" s="32"/>
      <c r="G64" s="34"/>
      <c r="H64" s="32"/>
      <c r="I64" s="34"/>
      <c r="J64" s="34"/>
      <c r="K64" s="35"/>
      <c r="L64" s="34"/>
      <c r="M64" s="32"/>
    </row>
    <row r="65" spans="2:13" x14ac:dyDescent="0.3">
      <c r="B65" s="33"/>
      <c r="C65" s="34"/>
      <c r="D65" s="32"/>
      <c r="E65" s="32"/>
      <c r="F65" s="32"/>
      <c r="G65" s="34"/>
      <c r="H65" s="32"/>
      <c r="I65" s="34"/>
      <c r="J65" s="34"/>
      <c r="K65" s="35"/>
      <c r="L65" s="34"/>
      <c r="M65" s="32"/>
    </row>
    <row r="66" spans="2:13" x14ac:dyDescent="0.3">
      <c r="B66" s="33"/>
      <c r="C66" s="34"/>
      <c r="D66" s="32"/>
      <c r="E66" s="32"/>
      <c r="F66" s="32"/>
      <c r="G66" s="34"/>
      <c r="H66" s="32"/>
      <c r="I66" s="34"/>
      <c r="J66" s="34"/>
      <c r="K66" s="35"/>
      <c r="L66" s="34"/>
      <c r="M66" s="32"/>
    </row>
    <row r="67" spans="2:13" x14ac:dyDescent="0.3">
      <c r="B67" s="33"/>
      <c r="C67" s="34"/>
      <c r="D67" s="32"/>
      <c r="E67" s="32"/>
      <c r="F67" s="32"/>
      <c r="G67" s="34"/>
      <c r="H67" s="32"/>
      <c r="I67" s="34"/>
      <c r="J67" s="34"/>
      <c r="K67" s="35"/>
      <c r="L67" s="34"/>
      <c r="M67" s="32"/>
    </row>
    <row r="68" spans="2:13" x14ac:dyDescent="0.3">
      <c r="B68" s="33"/>
      <c r="C68" s="34"/>
      <c r="D68" s="32"/>
      <c r="E68" s="32"/>
      <c r="F68" s="32"/>
      <c r="G68" s="34"/>
      <c r="H68" s="32"/>
      <c r="I68" s="34"/>
      <c r="J68" s="34"/>
      <c r="K68" s="35"/>
      <c r="L68" s="34"/>
      <c r="M68" s="32"/>
    </row>
    <row r="69" spans="2:13" x14ac:dyDescent="0.3">
      <c r="B69" s="33"/>
      <c r="C69" s="34"/>
      <c r="D69" s="32"/>
      <c r="E69" s="32"/>
      <c r="F69" s="32"/>
      <c r="G69" s="34"/>
      <c r="H69" s="32"/>
      <c r="I69" s="34"/>
      <c r="J69" s="34"/>
      <c r="K69" s="35"/>
      <c r="L69" s="34"/>
      <c r="M69" s="32"/>
    </row>
    <row r="70" spans="2:13" x14ac:dyDescent="0.3">
      <c r="B70" s="33"/>
      <c r="C70" s="34"/>
      <c r="D70" s="32"/>
      <c r="E70" s="32"/>
      <c r="F70" s="32"/>
      <c r="G70" s="34"/>
      <c r="H70" s="32"/>
      <c r="I70" s="34"/>
      <c r="J70" s="34"/>
      <c r="K70" s="35"/>
      <c r="L70" s="34"/>
      <c r="M70" s="32"/>
    </row>
    <row r="71" spans="2:13" x14ac:dyDescent="0.3">
      <c r="B71" s="33"/>
      <c r="C71" s="34"/>
      <c r="D71" s="32"/>
      <c r="E71" s="32"/>
      <c r="F71" s="32"/>
      <c r="G71" s="34"/>
      <c r="H71" s="32"/>
      <c r="I71" s="34"/>
      <c r="J71" s="34"/>
      <c r="K71" s="35"/>
      <c r="L71" s="34"/>
      <c r="M71" s="32"/>
    </row>
    <row r="72" spans="2:13" x14ac:dyDescent="0.3">
      <c r="B72" s="33"/>
      <c r="C72" s="34"/>
      <c r="D72" s="32"/>
      <c r="E72" s="32"/>
      <c r="F72" s="32"/>
      <c r="G72" s="34"/>
      <c r="H72" s="32"/>
      <c r="I72" s="34"/>
      <c r="J72" s="34"/>
      <c r="K72" s="35"/>
      <c r="L72" s="34"/>
      <c r="M72" s="32"/>
    </row>
    <row r="73" spans="2:13" x14ac:dyDescent="0.3">
      <c r="B73" s="33"/>
      <c r="C73" s="34"/>
      <c r="D73" s="32"/>
      <c r="E73" s="32"/>
      <c r="F73" s="32"/>
      <c r="G73" s="34"/>
      <c r="H73" s="32"/>
      <c r="I73" s="34"/>
      <c r="J73" s="34"/>
      <c r="K73" s="35"/>
      <c r="L73" s="34"/>
      <c r="M73" s="32"/>
    </row>
    <row r="74" spans="2:13" x14ac:dyDescent="0.3">
      <c r="B74" s="33"/>
      <c r="C74" s="34"/>
      <c r="D74" s="32"/>
      <c r="E74" s="32"/>
      <c r="F74" s="32"/>
      <c r="G74" s="34"/>
      <c r="H74" s="32"/>
      <c r="I74" s="34"/>
      <c r="J74" s="34"/>
      <c r="K74" s="35"/>
      <c r="L74" s="34"/>
      <c r="M74" s="32"/>
    </row>
    <row r="75" spans="2:13" x14ac:dyDescent="0.3">
      <c r="B75" s="33"/>
      <c r="C75" s="34"/>
      <c r="D75" s="32"/>
      <c r="E75" s="32"/>
      <c r="F75" s="32"/>
      <c r="G75" s="34"/>
      <c r="H75" s="32"/>
      <c r="I75" s="34"/>
      <c r="J75" s="34"/>
      <c r="K75" s="35"/>
      <c r="L75" s="34"/>
      <c r="M75" s="32"/>
    </row>
    <row r="76" spans="2:13" x14ac:dyDescent="0.3">
      <c r="B76" s="33"/>
      <c r="C76" s="34"/>
      <c r="D76" s="32"/>
      <c r="E76" s="32"/>
      <c r="F76" s="32"/>
      <c r="G76" s="34"/>
      <c r="H76" s="32"/>
      <c r="I76" s="34"/>
      <c r="J76" s="34"/>
      <c r="K76" s="35"/>
      <c r="L76" s="34"/>
      <c r="M76" s="32"/>
    </row>
    <row r="77" spans="2:13" x14ac:dyDescent="0.3">
      <c r="B77" s="33"/>
      <c r="C77" s="34"/>
      <c r="D77" s="32"/>
      <c r="E77" s="32"/>
      <c r="F77" s="32"/>
      <c r="G77" s="34"/>
      <c r="H77" s="32"/>
      <c r="I77" s="34"/>
      <c r="J77" s="34"/>
      <c r="K77" s="35"/>
      <c r="L77" s="34"/>
      <c r="M77" s="32"/>
    </row>
    <row r="78" spans="2:13" x14ac:dyDescent="0.3">
      <c r="B78" s="33"/>
      <c r="C78" s="34"/>
      <c r="D78" s="32"/>
      <c r="E78" s="32"/>
      <c r="F78" s="32"/>
      <c r="G78" s="34"/>
      <c r="H78" s="32"/>
      <c r="I78" s="34"/>
      <c r="J78" s="34"/>
      <c r="K78" s="35"/>
      <c r="L78" s="34"/>
      <c r="M78" s="32"/>
    </row>
    <row r="79" spans="2:13" x14ac:dyDescent="0.3">
      <c r="B79" s="33"/>
      <c r="C79" s="34"/>
      <c r="D79" s="32"/>
      <c r="E79" s="32"/>
      <c r="F79" s="32"/>
      <c r="G79" s="34"/>
      <c r="H79" s="32"/>
      <c r="I79" s="34"/>
      <c r="J79" s="34"/>
      <c r="K79" s="35"/>
      <c r="L79" s="34"/>
      <c r="M79" s="32"/>
    </row>
    <row r="80" spans="2:13" x14ac:dyDescent="0.3">
      <c r="B80" s="33"/>
      <c r="C80" s="34"/>
      <c r="D80" s="32"/>
      <c r="E80" s="32"/>
      <c r="F80" s="32"/>
      <c r="G80" s="34"/>
      <c r="H80" s="32"/>
      <c r="I80" s="34"/>
      <c r="J80" s="34"/>
      <c r="K80" s="35"/>
      <c r="L80" s="34"/>
      <c r="M80" s="32"/>
    </row>
    <row r="81" spans="2:13" x14ac:dyDescent="0.3">
      <c r="B81" s="33"/>
      <c r="C81" s="34"/>
      <c r="D81" s="32"/>
      <c r="E81" s="32"/>
      <c r="F81" s="32"/>
      <c r="G81" s="34"/>
      <c r="H81" s="32"/>
      <c r="I81" s="34"/>
      <c r="J81" s="34"/>
      <c r="K81" s="35"/>
      <c r="L81" s="34"/>
      <c r="M81" s="32"/>
    </row>
    <row r="82" spans="2:13" x14ac:dyDescent="0.3">
      <c r="B82" s="33"/>
      <c r="C82" s="34"/>
      <c r="D82" s="32"/>
      <c r="E82" s="32"/>
      <c r="F82" s="32"/>
      <c r="G82" s="34"/>
      <c r="H82" s="32"/>
      <c r="I82" s="34"/>
      <c r="J82" s="34"/>
      <c r="K82" s="35"/>
      <c r="L82" s="34"/>
      <c r="M82" s="32"/>
    </row>
    <row r="83" spans="2:13" x14ac:dyDescent="0.3">
      <c r="B83" s="33"/>
      <c r="C83" s="34"/>
      <c r="D83" s="32"/>
      <c r="E83" s="32"/>
      <c r="F83" s="32"/>
      <c r="G83" s="34"/>
      <c r="H83" s="32"/>
      <c r="I83" s="34"/>
      <c r="J83" s="34"/>
      <c r="K83" s="35"/>
      <c r="L83" s="34"/>
      <c r="M83" s="32"/>
    </row>
    <row r="84" spans="2:13" x14ac:dyDescent="0.3">
      <c r="B84" s="33"/>
      <c r="C84" s="34"/>
      <c r="D84" s="39"/>
      <c r="E84" s="39"/>
      <c r="F84" s="39"/>
      <c r="G84" s="34"/>
      <c r="H84" s="32"/>
      <c r="I84" s="34"/>
      <c r="J84" s="34"/>
      <c r="K84" s="35"/>
      <c r="L84" s="34"/>
      <c r="M84" s="32"/>
    </row>
    <row r="85" spans="2:13" x14ac:dyDescent="0.3">
      <c r="B85" s="33"/>
      <c r="C85" s="34"/>
      <c r="D85" s="39"/>
      <c r="E85" s="39"/>
      <c r="F85" s="39"/>
      <c r="G85" s="34"/>
      <c r="H85" s="32"/>
      <c r="I85" s="34"/>
      <c r="J85" s="34"/>
      <c r="K85" s="35"/>
      <c r="L85" s="34"/>
      <c r="M85" s="32"/>
    </row>
    <row r="86" spans="2:13" x14ac:dyDescent="0.3">
      <c r="B86" s="33"/>
      <c r="C86" s="34"/>
      <c r="D86" s="39"/>
      <c r="E86" s="39"/>
      <c r="F86" s="39"/>
      <c r="G86" s="34"/>
      <c r="H86" s="32"/>
      <c r="I86" s="34"/>
      <c r="J86" s="34"/>
      <c r="K86" s="35"/>
      <c r="L86" s="34"/>
      <c r="M86" s="32"/>
    </row>
    <row r="87" spans="2:13" x14ac:dyDescent="0.3">
      <c r="B87" s="33"/>
      <c r="C87" s="34"/>
      <c r="D87" s="39"/>
      <c r="E87" s="39"/>
      <c r="F87" s="39"/>
      <c r="G87" s="34"/>
      <c r="H87" s="32"/>
      <c r="I87" s="34"/>
      <c r="J87" s="34"/>
      <c r="K87" s="35"/>
      <c r="L87" s="34"/>
      <c r="M87" s="32"/>
    </row>
    <row r="88" spans="2:13" x14ac:dyDescent="0.3">
      <c r="B88" s="33"/>
      <c r="C88" s="34"/>
      <c r="D88" s="39"/>
      <c r="E88" s="39"/>
      <c r="F88" s="39"/>
      <c r="G88" s="34"/>
      <c r="H88" s="32"/>
      <c r="I88" s="34"/>
      <c r="J88" s="34"/>
      <c r="K88" s="35"/>
      <c r="L88" s="34"/>
      <c r="M88" s="32"/>
    </row>
    <row r="89" spans="2:13" x14ac:dyDescent="0.3">
      <c r="B89" s="33"/>
      <c r="C89" s="34"/>
      <c r="D89" s="39"/>
      <c r="E89" s="39"/>
      <c r="F89" s="39"/>
      <c r="G89" s="34"/>
      <c r="H89" s="32"/>
      <c r="I89" s="34"/>
      <c r="J89" s="34"/>
      <c r="K89" s="35"/>
      <c r="L89" s="34"/>
      <c r="M89" s="32"/>
    </row>
    <row r="90" spans="2:13" x14ac:dyDescent="0.3">
      <c r="B90" s="33"/>
      <c r="C90" s="34"/>
      <c r="D90" s="39"/>
      <c r="E90" s="39"/>
      <c r="F90" s="39"/>
      <c r="G90" s="34"/>
      <c r="H90" s="32"/>
      <c r="I90" s="34"/>
      <c r="J90" s="34"/>
      <c r="K90" s="35"/>
      <c r="L90" s="34"/>
      <c r="M90" s="32"/>
    </row>
    <row r="91" spans="2:13" x14ac:dyDescent="0.3">
      <c r="B91" s="33"/>
      <c r="C91" s="34"/>
      <c r="D91" s="39"/>
      <c r="E91" s="39"/>
      <c r="F91" s="39"/>
      <c r="G91" s="34"/>
      <c r="H91" s="32"/>
      <c r="I91" s="34"/>
      <c r="J91" s="34"/>
      <c r="K91" s="35"/>
      <c r="L91" s="34"/>
      <c r="M91" s="32"/>
    </row>
    <row r="92" spans="2:13" x14ac:dyDescent="0.3">
      <c r="B92" s="33"/>
      <c r="C92" s="34"/>
      <c r="D92" s="39"/>
      <c r="E92" s="39"/>
      <c r="F92" s="39"/>
      <c r="G92" s="34"/>
      <c r="H92" s="32"/>
      <c r="I92" s="34"/>
      <c r="J92" s="34"/>
      <c r="K92" s="35"/>
      <c r="L92" s="34"/>
      <c r="M92" s="32"/>
    </row>
    <row r="93" spans="2:13" x14ac:dyDescent="0.3">
      <c r="B93" s="33"/>
      <c r="C93" s="34"/>
      <c r="D93" s="39"/>
      <c r="E93" s="39"/>
      <c r="F93" s="39"/>
      <c r="G93" s="34"/>
      <c r="H93" s="32"/>
      <c r="I93" s="34"/>
      <c r="J93" s="34"/>
      <c r="K93" s="35"/>
      <c r="L93" s="34"/>
      <c r="M93" s="32"/>
    </row>
    <row r="94" spans="2:13" x14ac:dyDescent="0.3">
      <c r="B94" s="33"/>
      <c r="C94" s="34"/>
      <c r="D94" s="39"/>
      <c r="E94" s="39"/>
      <c r="F94" s="39"/>
      <c r="G94" s="34"/>
      <c r="H94" s="32"/>
      <c r="I94" s="34"/>
      <c r="J94" s="34"/>
      <c r="K94" s="35"/>
      <c r="L94" s="34"/>
      <c r="M94" s="32"/>
    </row>
    <row r="95" spans="2:13" x14ac:dyDescent="0.3">
      <c r="B95" s="33"/>
      <c r="C95" s="34"/>
      <c r="D95" s="39"/>
      <c r="E95" s="39"/>
      <c r="F95" s="39"/>
      <c r="G95" s="34"/>
      <c r="H95" s="32"/>
      <c r="I95" s="34"/>
      <c r="J95" s="34"/>
      <c r="K95" s="35"/>
      <c r="L95" s="34"/>
      <c r="M95" s="32"/>
    </row>
    <row r="96" spans="2:13" x14ac:dyDescent="0.3">
      <c r="B96" s="33"/>
      <c r="C96" s="34"/>
      <c r="D96" s="39"/>
      <c r="E96" s="39"/>
      <c r="F96" s="39"/>
      <c r="G96" s="34"/>
      <c r="H96" s="32"/>
      <c r="I96" s="34"/>
      <c r="J96" s="34"/>
      <c r="K96" s="35"/>
      <c r="L96" s="34"/>
      <c r="M96" s="32"/>
    </row>
    <row r="97" spans="2:13" x14ac:dyDescent="0.3">
      <c r="B97" s="33"/>
      <c r="C97" s="34"/>
      <c r="D97" s="39"/>
      <c r="E97" s="39"/>
      <c r="F97" s="39"/>
      <c r="G97" s="34"/>
      <c r="H97" s="32"/>
      <c r="I97" s="34"/>
      <c r="J97" s="34"/>
      <c r="K97" s="35"/>
      <c r="L97" s="34"/>
      <c r="M97" s="32"/>
    </row>
    <row r="98" spans="2:13" x14ac:dyDescent="0.3">
      <c r="B98" s="33"/>
      <c r="C98" s="34"/>
      <c r="D98" s="39"/>
      <c r="E98" s="39"/>
      <c r="F98" s="39"/>
      <c r="G98" s="34"/>
      <c r="H98" s="32"/>
      <c r="I98" s="34"/>
      <c r="J98" s="34"/>
      <c r="K98" s="35"/>
      <c r="L98" s="34"/>
      <c r="M98" s="32"/>
    </row>
    <row r="99" spans="2:13" x14ac:dyDescent="0.3">
      <c r="B99" s="33"/>
      <c r="C99" s="34"/>
      <c r="D99" s="39"/>
      <c r="E99" s="39"/>
      <c r="F99" s="39"/>
      <c r="G99" s="34"/>
      <c r="H99" s="32"/>
      <c r="I99" s="34"/>
      <c r="J99" s="34"/>
      <c r="K99" s="35"/>
      <c r="L99" s="34"/>
      <c r="M99" s="32"/>
    </row>
    <row r="100" spans="2:13" x14ac:dyDescent="0.3">
      <c r="B100" s="33"/>
      <c r="C100" s="34"/>
      <c r="D100" s="39"/>
      <c r="E100" s="39"/>
      <c r="F100" s="39"/>
      <c r="G100" s="34"/>
      <c r="H100" s="32"/>
      <c r="I100" s="34"/>
      <c r="J100" s="34"/>
      <c r="K100" s="35"/>
      <c r="L100" s="34"/>
      <c r="M100" s="32"/>
    </row>
    <row r="101" spans="2:13" x14ac:dyDescent="0.3">
      <c r="B101" s="33"/>
      <c r="C101" s="34"/>
      <c r="D101" s="39"/>
      <c r="E101" s="39"/>
      <c r="F101" s="39"/>
      <c r="G101" s="34"/>
      <c r="H101" s="32"/>
      <c r="I101" s="34"/>
      <c r="J101" s="34"/>
      <c r="K101" s="35"/>
      <c r="L101" s="34"/>
      <c r="M101" s="32"/>
    </row>
    <row r="102" spans="2:13" x14ac:dyDescent="0.3">
      <c r="B102" s="33"/>
      <c r="C102" s="34"/>
      <c r="D102" s="39"/>
      <c r="E102" s="39"/>
      <c r="F102" s="39"/>
      <c r="G102" s="34"/>
      <c r="H102" s="32"/>
      <c r="I102" s="34"/>
      <c r="J102" s="34"/>
      <c r="K102" s="35"/>
      <c r="L102" s="34"/>
      <c r="M102" s="32"/>
    </row>
    <row r="103" spans="2:13" x14ac:dyDescent="0.3">
      <c r="B103" s="33"/>
      <c r="C103" s="34"/>
      <c r="D103" s="39"/>
      <c r="E103" s="39"/>
      <c r="F103" s="39"/>
      <c r="G103" s="34"/>
      <c r="H103" s="32"/>
      <c r="I103" s="34"/>
      <c r="J103" s="34"/>
      <c r="K103" s="35"/>
      <c r="L103" s="34"/>
      <c r="M103" s="32"/>
    </row>
    <row r="104" spans="2:13" x14ac:dyDescent="0.3">
      <c r="B104" s="33"/>
      <c r="C104" s="34"/>
      <c r="D104" s="39"/>
      <c r="E104" s="39"/>
      <c r="F104" s="39"/>
      <c r="G104" s="34"/>
      <c r="H104" s="32"/>
      <c r="I104" s="34"/>
      <c r="J104" s="34"/>
      <c r="K104" s="35"/>
      <c r="L104" s="34"/>
      <c r="M104" s="32"/>
    </row>
    <row r="105" spans="2:13" x14ac:dyDescent="0.3">
      <c r="B105" s="33"/>
      <c r="C105" s="34"/>
      <c r="D105" s="39"/>
      <c r="E105" s="39"/>
      <c r="F105" s="39"/>
      <c r="G105" s="34"/>
      <c r="H105" s="32"/>
      <c r="I105" s="34"/>
      <c r="J105" s="34"/>
      <c r="K105" s="35"/>
      <c r="L105" s="34"/>
      <c r="M105" s="32"/>
    </row>
    <row r="106" spans="2:13" x14ac:dyDescent="0.3">
      <c r="B106" s="33"/>
      <c r="C106" s="34"/>
      <c r="D106" s="39"/>
      <c r="E106" s="39"/>
      <c r="F106" s="39"/>
      <c r="G106" s="34"/>
      <c r="H106" s="32"/>
      <c r="I106" s="34"/>
      <c r="J106" s="34"/>
      <c r="K106" s="35"/>
      <c r="L106" s="34"/>
      <c r="M106" s="32"/>
    </row>
    <row r="107" spans="2:13" x14ac:dyDescent="0.3">
      <c r="B107" s="33"/>
      <c r="C107" s="34"/>
      <c r="D107" s="39"/>
      <c r="E107" s="39"/>
      <c r="F107" s="39"/>
      <c r="G107" s="34"/>
      <c r="H107" s="32"/>
      <c r="I107" s="34"/>
      <c r="J107" s="34"/>
      <c r="K107" s="35"/>
      <c r="L107" s="34"/>
      <c r="M107" s="32"/>
    </row>
    <row r="108" spans="2:13" x14ac:dyDescent="0.3">
      <c r="B108" s="33"/>
      <c r="C108" s="34"/>
      <c r="D108" s="39"/>
      <c r="E108" s="39"/>
      <c r="F108" s="39"/>
      <c r="G108" s="34"/>
      <c r="H108" s="32"/>
      <c r="I108" s="34"/>
      <c r="J108" s="34"/>
      <c r="K108" s="35"/>
      <c r="L108" s="34"/>
      <c r="M108" s="32"/>
    </row>
    <row r="109" spans="2:13" x14ac:dyDescent="0.3">
      <c r="B109" s="33"/>
      <c r="C109" s="34"/>
      <c r="D109" s="39"/>
      <c r="E109" s="39"/>
      <c r="F109" s="39"/>
      <c r="G109" s="34"/>
      <c r="H109" s="32"/>
      <c r="I109" s="34"/>
      <c r="J109" s="34"/>
      <c r="K109" s="35"/>
      <c r="L109" s="34"/>
      <c r="M109" s="32"/>
    </row>
    <row r="110" spans="2:13" x14ac:dyDescent="0.3">
      <c r="B110" s="33"/>
      <c r="C110" s="34"/>
      <c r="D110" s="39"/>
      <c r="E110" s="39"/>
      <c r="F110" s="39"/>
      <c r="G110" s="34"/>
      <c r="H110" s="32"/>
      <c r="I110" s="34"/>
      <c r="J110" s="34"/>
      <c r="K110" s="35"/>
      <c r="L110" s="34"/>
      <c r="M110" s="32"/>
    </row>
    <row r="111" spans="2:13" x14ac:dyDescent="0.3">
      <c r="B111" s="33"/>
      <c r="C111" s="34"/>
      <c r="D111" s="39"/>
      <c r="E111" s="39"/>
      <c r="F111" s="39"/>
      <c r="G111" s="34"/>
      <c r="H111" s="32"/>
      <c r="I111" s="34"/>
      <c r="J111" s="34"/>
      <c r="K111" s="35"/>
      <c r="L111" s="34"/>
      <c r="M111" s="32"/>
    </row>
    <row r="112" spans="2:13" x14ac:dyDescent="0.3">
      <c r="B112" s="33"/>
      <c r="C112" s="34"/>
      <c r="D112" s="39"/>
      <c r="E112" s="39"/>
      <c r="F112" s="39"/>
      <c r="G112" s="34"/>
      <c r="H112" s="32"/>
      <c r="I112" s="34"/>
      <c r="J112" s="34"/>
      <c r="K112" s="35"/>
      <c r="L112" s="34"/>
      <c r="M112" s="32"/>
    </row>
    <row r="113" spans="2:13" x14ac:dyDescent="0.3">
      <c r="B113" s="33"/>
      <c r="C113" s="34"/>
      <c r="D113" s="39"/>
      <c r="E113" s="39"/>
      <c r="F113" s="39"/>
      <c r="G113" s="34"/>
      <c r="H113" s="32"/>
      <c r="I113" s="34"/>
      <c r="J113" s="34"/>
      <c r="K113" s="35"/>
      <c r="L113" s="34"/>
      <c r="M113" s="32"/>
    </row>
    <row r="114" spans="2:13" x14ac:dyDescent="0.3">
      <c r="B114" s="33"/>
      <c r="C114" s="34"/>
      <c r="D114" s="39"/>
      <c r="E114" s="39"/>
      <c r="F114" s="39"/>
      <c r="G114" s="34"/>
      <c r="H114" s="32"/>
      <c r="I114" s="34"/>
      <c r="J114" s="34"/>
      <c r="K114" s="35"/>
      <c r="L114" s="34"/>
      <c r="M114" s="32"/>
    </row>
    <row r="115" spans="2:13" x14ac:dyDescent="0.3">
      <c r="B115" s="33"/>
      <c r="C115" s="34"/>
      <c r="D115" s="39"/>
      <c r="E115" s="39"/>
      <c r="F115" s="39"/>
      <c r="G115" s="34"/>
      <c r="H115" s="32"/>
      <c r="I115" s="34"/>
      <c r="J115" s="34"/>
      <c r="K115" s="35"/>
      <c r="L115" s="34"/>
      <c r="M115" s="32"/>
    </row>
    <row r="116" spans="2:13" x14ac:dyDescent="0.3">
      <c r="B116" s="33"/>
      <c r="C116" s="34"/>
      <c r="D116" s="39"/>
      <c r="E116" s="39"/>
      <c r="F116" s="39"/>
      <c r="G116" s="34"/>
      <c r="H116" s="32"/>
      <c r="I116" s="34"/>
      <c r="J116" s="34"/>
      <c r="K116" s="35"/>
      <c r="L116" s="34"/>
      <c r="M116" s="32"/>
    </row>
    <row r="117" spans="2:13" x14ac:dyDescent="0.3">
      <c r="B117" s="33"/>
      <c r="C117" s="34"/>
      <c r="D117" s="39"/>
      <c r="E117" s="39"/>
      <c r="F117" s="39"/>
      <c r="G117" s="34"/>
      <c r="H117" s="32"/>
      <c r="I117" s="34"/>
      <c r="J117" s="34"/>
      <c r="K117" s="35"/>
      <c r="L117" s="34"/>
      <c r="M117" s="32"/>
    </row>
    <row r="118" spans="2:13" x14ac:dyDescent="0.3">
      <c r="B118" s="33"/>
      <c r="C118" s="34"/>
      <c r="D118" s="39"/>
      <c r="E118" s="39"/>
      <c r="F118" s="39"/>
      <c r="G118" s="34"/>
      <c r="H118" s="32"/>
      <c r="I118" s="34"/>
      <c r="J118" s="34"/>
      <c r="K118" s="35"/>
      <c r="L118" s="34"/>
      <c r="M118" s="32"/>
    </row>
    <row r="119" spans="2:13" x14ac:dyDescent="0.3">
      <c r="B119" s="33"/>
      <c r="C119" s="34"/>
      <c r="D119" s="39"/>
      <c r="E119" s="39"/>
      <c r="F119" s="39"/>
      <c r="G119" s="34"/>
      <c r="H119" s="32"/>
      <c r="I119" s="34"/>
      <c r="J119" s="34"/>
      <c r="K119" s="35"/>
      <c r="L119" s="34"/>
      <c r="M119" s="32"/>
    </row>
    <row r="120" spans="2:13" x14ac:dyDescent="0.3">
      <c r="B120" s="33"/>
      <c r="C120" s="34"/>
      <c r="D120" s="39"/>
      <c r="E120" s="39"/>
      <c r="F120" s="39"/>
      <c r="G120" s="34"/>
      <c r="H120" s="32"/>
      <c r="I120" s="34"/>
      <c r="J120" s="34"/>
      <c r="K120" s="35"/>
      <c r="L120" s="34"/>
      <c r="M120" s="32"/>
    </row>
    <row r="121" spans="2:13" x14ac:dyDescent="0.3">
      <c r="B121" s="33"/>
      <c r="C121" s="34"/>
      <c r="D121" s="39"/>
      <c r="E121" s="39"/>
      <c r="F121" s="39"/>
      <c r="G121" s="34"/>
      <c r="H121" s="32"/>
      <c r="I121" s="34"/>
      <c r="J121" s="34"/>
      <c r="K121" s="35"/>
      <c r="L121" s="34"/>
      <c r="M121" s="32"/>
    </row>
    <row r="122" spans="2:13" x14ac:dyDescent="0.3">
      <c r="B122" s="33"/>
      <c r="C122" s="34"/>
      <c r="D122" s="39"/>
      <c r="E122" s="39"/>
      <c r="F122" s="39"/>
      <c r="G122" s="34"/>
      <c r="H122" s="32"/>
      <c r="I122" s="34"/>
      <c r="J122" s="34"/>
      <c r="K122" s="35"/>
      <c r="L122" s="34"/>
      <c r="M122" s="32"/>
    </row>
    <row r="123" spans="2:13" x14ac:dyDescent="0.3">
      <c r="B123" s="33"/>
      <c r="C123" s="34"/>
      <c r="D123" s="39"/>
      <c r="E123" s="39"/>
      <c r="F123" s="39"/>
      <c r="G123" s="34"/>
      <c r="H123" s="32"/>
      <c r="I123" s="34"/>
      <c r="J123" s="34"/>
      <c r="K123" s="35"/>
      <c r="L123" s="34"/>
      <c r="M123" s="32"/>
    </row>
    <row r="124" spans="2:13" x14ac:dyDescent="0.3">
      <c r="B124" s="33"/>
      <c r="C124" s="34"/>
      <c r="D124" s="39"/>
      <c r="E124" s="39"/>
      <c r="F124" s="39"/>
      <c r="G124" s="34"/>
      <c r="H124" s="32"/>
      <c r="I124" s="34"/>
      <c r="J124" s="34"/>
      <c r="K124" s="35"/>
      <c r="L124" s="34"/>
      <c r="M124" s="32"/>
    </row>
    <row r="125" spans="2:13" x14ac:dyDescent="0.3">
      <c r="B125" s="33"/>
      <c r="C125" s="34"/>
      <c r="D125" s="39"/>
      <c r="E125" s="39"/>
      <c r="F125" s="39"/>
      <c r="G125" s="34"/>
      <c r="H125" s="32"/>
      <c r="I125" s="34"/>
      <c r="J125" s="34"/>
      <c r="K125" s="35"/>
      <c r="L125" s="34"/>
      <c r="M125" s="32"/>
    </row>
    <row r="126" spans="2:13" x14ac:dyDescent="0.3">
      <c r="B126" s="33"/>
      <c r="C126" s="34"/>
      <c r="D126" s="39"/>
      <c r="E126" s="39"/>
      <c r="F126" s="39"/>
      <c r="G126" s="34"/>
      <c r="H126" s="32"/>
      <c r="I126" s="34"/>
      <c r="J126" s="34"/>
      <c r="K126" s="35"/>
      <c r="L126" s="34"/>
      <c r="M126" s="32"/>
    </row>
    <row r="127" spans="2:13" x14ac:dyDescent="0.3">
      <c r="B127" s="33"/>
      <c r="C127" s="34"/>
      <c r="D127" s="39"/>
      <c r="E127" s="39"/>
      <c r="F127" s="39"/>
      <c r="G127" s="34"/>
      <c r="H127" s="32"/>
      <c r="I127" s="34"/>
      <c r="J127" s="34"/>
      <c r="K127" s="35"/>
      <c r="L127" s="34"/>
      <c r="M127" s="32"/>
    </row>
    <row r="128" spans="2:13" x14ac:dyDescent="0.3">
      <c r="B128" s="33"/>
      <c r="C128" s="34"/>
      <c r="D128" s="39"/>
      <c r="E128" s="39"/>
      <c r="F128" s="39"/>
      <c r="G128" s="34"/>
      <c r="H128" s="32"/>
      <c r="I128" s="34"/>
      <c r="J128" s="34"/>
      <c r="K128" s="35"/>
      <c r="L128" s="34"/>
      <c r="M128" s="32"/>
    </row>
    <row r="129" spans="2:13" x14ac:dyDescent="0.3">
      <c r="B129" s="33"/>
      <c r="C129" s="34"/>
      <c r="D129" s="39"/>
      <c r="E129" s="39"/>
      <c r="F129" s="39"/>
      <c r="G129" s="34"/>
      <c r="H129" s="32"/>
      <c r="I129" s="34"/>
      <c r="J129" s="34"/>
      <c r="K129" s="35"/>
      <c r="L129" s="34"/>
      <c r="M129" s="32"/>
    </row>
    <row r="130" spans="2:13" x14ac:dyDescent="0.3">
      <c r="B130" s="33"/>
      <c r="C130" s="34"/>
      <c r="D130" s="39"/>
      <c r="E130" s="39"/>
      <c r="F130" s="39"/>
      <c r="G130" s="34"/>
      <c r="H130" s="32"/>
      <c r="I130" s="34"/>
      <c r="J130" s="34"/>
      <c r="K130" s="35"/>
      <c r="L130" s="34"/>
      <c r="M130" s="32"/>
    </row>
    <row r="131" spans="2:13" x14ac:dyDescent="0.3">
      <c r="B131" s="33"/>
      <c r="C131" s="34"/>
      <c r="D131" s="39"/>
      <c r="E131" s="39"/>
      <c r="F131" s="39"/>
      <c r="G131" s="34"/>
      <c r="H131" s="32"/>
      <c r="I131" s="34"/>
      <c r="J131" s="34"/>
      <c r="K131" s="35"/>
      <c r="L131" s="34"/>
      <c r="M131" s="32"/>
    </row>
    <row r="132" spans="2:13" x14ac:dyDescent="0.3">
      <c r="B132" s="33"/>
      <c r="C132" s="34"/>
      <c r="D132" s="39"/>
      <c r="E132" s="39"/>
      <c r="F132" s="39"/>
      <c r="G132" s="34"/>
      <c r="H132" s="32"/>
      <c r="I132" s="34"/>
      <c r="J132" s="34"/>
      <c r="K132" s="35"/>
      <c r="L132" s="34"/>
      <c r="M132" s="32"/>
    </row>
    <row r="133" spans="2:13" x14ac:dyDescent="0.3">
      <c r="B133" s="33"/>
      <c r="C133" s="34"/>
      <c r="D133" s="39"/>
      <c r="E133" s="39"/>
      <c r="F133" s="39"/>
      <c r="G133" s="34"/>
      <c r="H133" s="32"/>
      <c r="I133" s="34"/>
      <c r="J133" s="34"/>
      <c r="K133" s="35"/>
      <c r="L133" s="34"/>
      <c r="M133" s="32"/>
    </row>
    <row r="134" spans="2:13" x14ac:dyDescent="0.3">
      <c r="B134" s="33"/>
      <c r="C134" s="34"/>
      <c r="D134" s="39"/>
      <c r="E134" s="39"/>
      <c r="F134" s="39"/>
      <c r="G134" s="34"/>
      <c r="H134" s="32"/>
      <c r="I134" s="34"/>
      <c r="J134" s="34"/>
      <c r="K134" s="35"/>
      <c r="L134" s="34"/>
      <c r="M134" s="32"/>
    </row>
    <row r="135" spans="2:13" x14ac:dyDescent="0.3">
      <c r="B135" s="33"/>
      <c r="C135" s="34"/>
      <c r="D135" s="39"/>
      <c r="E135" s="39"/>
      <c r="F135" s="39"/>
      <c r="G135" s="34"/>
      <c r="H135" s="32"/>
      <c r="I135" s="34"/>
      <c r="J135" s="34"/>
      <c r="K135" s="35"/>
      <c r="L135" s="34"/>
      <c r="M135" s="32"/>
    </row>
    <row r="136" spans="2:13" x14ac:dyDescent="0.3">
      <c r="B136" s="33"/>
      <c r="C136" s="34"/>
      <c r="D136" s="39"/>
      <c r="E136" s="39"/>
      <c r="F136" s="39"/>
      <c r="G136" s="34"/>
      <c r="H136" s="32"/>
      <c r="I136" s="34"/>
      <c r="J136" s="34"/>
      <c r="K136" s="35"/>
      <c r="L136" s="34"/>
      <c r="M136" s="32"/>
    </row>
    <row r="137" spans="2:13" x14ac:dyDescent="0.3">
      <c r="B137" s="33"/>
      <c r="C137" s="34"/>
      <c r="D137" s="39"/>
      <c r="E137" s="39"/>
      <c r="F137" s="39"/>
      <c r="G137" s="34"/>
      <c r="H137" s="32"/>
      <c r="I137" s="34"/>
      <c r="J137" s="34"/>
      <c r="K137" s="35"/>
      <c r="L137" s="34"/>
      <c r="M137" s="32"/>
    </row>
    <row r="138" spans="2:13" x14ac:dyDescent="0.3">
      <c r="B138" s="33"/>
      <c r="C138" s="34"/>
      <c r="D138" s="39"/>
      <c r="E138" s="39"/>
      <c r="F138" s="39"/>
      <c r="G138" s="34"/>
      <c r="H138" s="32"/>
      <c r="I138" s="34"/>
      <c r="J138" s="34"/>
      <c r="K138" s="35"/>
      <c r="L138" s="34"/>
      <c r="M138" s="32"/>
    </row>
    <row r="139" spans="2:13" x14ac:dyDescent="0.3">
      <c r="B139" s="33"/>
      <c r="C139" s="34"/>
      <c r="D139" s="39"/>
      <c r="E139" s="39"/>
      <c r="F139" s="39"/>
      <c r="G139" s="34"/>
      <c r="H139" s="32"/>
      <c r="I139" s="34"/>
      <c r="J139" s="34"/>
      <c r="K139" s="35"/>
      <c r="L139" s="34"/>
      <c r="M139" s="32"/>
    </row>
    <row r="140" spans="2:13" x14ac:dyDescent="0.3">
      <c r="B140" s="33"/>
      <c r="C140" s="34"/>
      <c r="D140" s="39"/>
      <c r="E140" s="39"/>
      <c r="F140" s="39"/>
      <c r="G140" s="34"/>
      <c r="H140" s="32"/>
      <c r="I140" s="34"/>
      <c r="J140" s="34"/>
      <c r="K140" s="35"/>
      <c r="L140" s="34"/>
      <c r="M140" s="32"/>
    </row>
    <row r="141" spans="2:13" x14ac:dyDescent="0.3">
      <c r="B141" s="33"/>
      <c r="C141" s="34"/>
      <c r="D141" s="39"/>
      <c r="E141" s="39"/>
      <c r="F141" s="39"/>
      <c r="G141" s="34"/>
      <c r="H141" s="32"/>
      <c r="I141" s="34"/>
      <c r="J141" s="34"/>
      <c r="K141" s="35"/>
      <c r="L141" s="34"/>
      <c r="M141" s="32"/>
    </row>
    <row r="142" spans="2:13" x14ac:dyDescent="0.3">
      <c r="B142" s="33"/>
      <c r="C142" s="34"/>
      <c r="D142" s="39"/>
      <c r="E142" s="39"/>
      <c r="F142" s="39"/>
      <c r="G142" s="34"/>
      <c r="H142" s="32"/>
      <c r="I142" s="34"/>
      <c r="J142" s="34"/>
      <c r="K142" s="35"/>
      <c r="L142" s="34"/>
      <c r="M142" s="32"/>
    </row>
    <row r="143" spans="2:13" x14ac:dyDescent="0.3">
      <c r="B143" s="33"/>
      <c r="C143" s="34"/>
      <c r="D143" s="39"/>
      <c r="E143" s="39"/>
      <c r="F143" s="39"/>
      <c r="G143" s="34"/>
      <c r="H143" s="32"/>
      <c r="I143" s="34"/>
      <c r="J143" s="34"/>
      <c r="K143" s="35"/>
      <c r="L143" s="34"/>
      <c r="M143" s="32"/>
    </row>
    <row r="144" spans="2:13" x14ac:dyDescent="0.3">
      <c r="B144" s="33"/>
      <c r="C144" s="34"/>
      <c r="D144" s="39"/>
      <c r="E144" s="39"/>
      <c r="F144" s="39"/>
      <c r="G144" s="34"/>
      <c r="H144" s="32"/>
      <c r="I144" s="34"/>
      <c r="J144" s="34"/>
      <c r="K144" s="35"/>
      <c r="L144" s="34"/>
      <c r="M144" s="32"/>
    </row>
    <row r="145" spans="2:13" x14ac:dyDescent="0.3">
      <c r="B145" s="33"/>
      <c r="C145" s="34"/>
      <c r="D145" s="39"/>
      <c r="E145" s="39"/>
      <c r="F145" s="39"/>
      <c r="G145" s="34"/>
      <c r="H145" s="32"/>
      <c r="I145" s="34"/>
      <c r="J145" s="34"/>
      <c r="K145" s="35"/>
      <c r="L145" s="34"/>
      <c r="M145" s="32"/>
    </row>
    <row r="146" spans="2:13" x14ac:dyDescent="0.3">
      <c r="B146" s="33"/>
      <c r="C146" s="34"/>
      <c r="D146" s="39"/>
      <c r="E146" s="39"/>
      <c r="F146" s="39"/>
      <c r="G146" s="34"/>
      <c r="H146" s="32"/>
      <c r="I146" s="34"/>
      <c r="J146" s="34"/>
      <c r="K146" s="35"/>
      <c r="L146" s="34"/>
      <c r="M146" s="32"/>
    </row>
    <row r="147" spans="2:13" x14ac:dyDescent="0.3">
      <c r="B147" s="33"/>
      <c r="C147" s="34"/>
      <c r="D147" s="39"/>
      <c r="E147" s="39"/>
      <c r="F147" s="39"/>
      <c r="G147" s="34"/>
      <c r="H147" s="32"/>
      <c r="I147" s="34"/>
      <c r="J147" s="34"/>
      <c r="K147" s="35"/>
      <c r="L147" s="34"/>
      <c r="M147" s="32"/>
    </row>
    <row r="148" spans="2:13" x14ac:dyDescent="0.3">
      <c r="B148" s="33"/>
      <c r="C148" s="34"/>
      <c r="D148" s="39"/>
      <c r="E148" s="39"/>
      <c r="F148" s="39"/>
      <c r="G148" s="34"/>
      <c r="H148" s="32"/>
      <c r="I148" s="34"/>
      <c r="J148" s="34"/>
      <c r="K148" s="35"/>
      <c r="L148" s="34"/>
      <c r="M148" s="32"/>
    </row>
    <row r="149" spans="2:13" x14ac:dyDescent="0.3">
      <c r="B149" s="33"/>
      <c r="C149" s="34"/>
      <c r="D149" s="39"/>
      <c r="E149" s="39"/>
      <c r="F149" s="39"/>
      <c r="G149" s="34"/>
      <c r="H149" s="32"/>
      <c r="I149" s="34"/>
      <c r="J149" s="34"/>
      <c r="K149" s="35"/>
      <c r="L149" s="34"/>
      <c r="M149" s="32"/>
    </row>
    <row r="150" spans="2:13" x14ac:dyDescent="0.3">
      <c r="B150" s="33"/>
      <c r="C150" s="34"/>
      <c r="D150" s="39"/>
      <c r="E150" s="39"/>
      <c r="F150" s="39"/>
      <c r="G150" s="34"/>
      <c r="H150" s="32"/>
      <c r="I150" s="34"/>
      <c r="J150" s="34"/>
      <c r="K150" s="35"/>
      <c r="L150" s="34"/>
      <c r="M150" s="32"/>
    </row>
    <row r="151" spans="2:13" x14ac:dyDescent="0.3">
      <c r="B151" s="33"/>
      <c r="C151" s="34"/>
      <c r="D151" s="39"/>
      <c r="E151" s="39"/>
      <c r="F151" s="39"/>
      <c r="G151" s="34"/>
      <c r="H151" s="32"/>
      <c r="I151" s="34"/>
      <c r="J151" s="34"/>
      <c r="K151" s="35"/>
      <c r="L151" s="34"/>
      <c r="M151" s="32"/>
    </row>
    <row r="152" spans="2:13" x14ac:dyDescent="0.3">
      <c r="B152" s="33"/>
      <c r="C152" s="34"/>
      <c r="D152" s="39"/>
      <c r="E152" s="39"/>
      <c r="F152" s="39"/>
      <c r="G152" s="34"/>
      <c r="H152" s="32"/>
      <c r="I152" s="34"/>
      <c r="J152" s="34"/>
      <c r="K152" s="35"/>
      <c r="L152" s="34"/>
      <c r="M152" s="32"/>
    </row>
    <row r="153" spans="2:13" x14ac:dyDescent="0.3">
      <c r="B153" s="33"/>
      <c r="C153" s="34"/>
      <c r="D153" s="39"/>
      <c r="E153" s="39"/>
      <c r="F153" s="39"/>
      <c r="G153" s="34"/>
      <c r="H153" s="32"/>
      <c r="I153" s="34"/>
      <c r="J153" s="34"/>
      <c r="K153" s="35"/>
      <c r="L153" s="34"/>
      <c r="M153" s="32"/>
    </row>
    <row r="154" spans="2:13" x14ac:dyDescent="0.3">
      <c r="B154" s="33"/>
      <c r="C154" s="34"/>
      <c r="D154" s="39"/>
      <c r="E154" s="39"/>
      <c r="F154" s="39"/>
      <c r="G154" s="34"/>
      <c r="H154" s="32"/>
      <c r="I154" s="34"/>
      <c r="J154" s="34"/>
      <c r="K154" s="35"/>
      <c r="L154" s="34"/>
      <c r="M154" s="32"/>
    </row>
    <row r="155" spans="2:13" x14ac:dyDescent="0.3">
      <c r="B155" s="33"/>
      <c r="C155" s="34"/>
      <c r="D155" s="39"/>
      <c r="E155" s="39"/>
      <c r="F155" s="39"/>
      <c r="G155" s="34"/>
      <c r="H155" s="32"/>
      <c r="I155" s="34"/>
      <c r="J155" s="34"/>
      <c r="K155" s="35"/>
      <c r="L155" s="34"/>
      <c r="M155" s="32"/>
    </row>
    <row r="156" spans="2:13" x14ac:dyDescent="0.3">
      <c r="B156" s="33"/>
      <c r="C156" s="34"/>
      <c r="D156" s="39"/>
      <c r="E156" s="39"/>
      <c r="F156" s="39"/>
      <c r="G156" s="34"/>
      <c r="H156" s="32"/>
      <c r="I156" s="34"/>
      <c r="J156" s="34"/>
      <c r="K156" s="35"/>
      <c r="L156" s="34"/>
      <c r="M156" s="32"/>
    </row>
    <row r="157" spans="2:13" x14ac:dyDescent="0.3">
      <c r="B157" s="33"/>
      <c r="C157" s="34"/>
      <c r="D157" s="39"/>
      <c r="E157" s="39"/>
      <c r="F157" s="39"/>
      <c r="G157" s="34"/>
      <c r="H157" s="32"/>
      <c r="I157" s="34"/>
      <c r="J157" s="34"/>
      <c r="K157" s="35"/>
      <c r="L157" s="34"/>
      <c r="M157" s="32"/>
    </row>
    <row r="158" spans="2:13" x14ac:dyDescent="0.3">
      <c r="B158" s="33"/>
      <c r="C158" s="34"/>
      <c r="D158" s="39"/>
      <c r="E158" s="39"/>
      <c r="F158" s="39"/>
      <c r="G158" s="34"/>
      <c r="H158" s="32"/>
      <c r="I158" s="34"/>
      <c r="J158" s="34"/>
      <c r="K158" s="35"/>
      <c r="L158" s="34"/>
      <c r="M158" s="32"/>
    </row>
    <row r="159" spans="2:13" x14ac:dyDescent="0.3">
      <c r="B159" s="33"/>
      <c r="C159" s="34"/>
      <c r="D159" s="39"/>
      <c r="E159" s="39"/>
      <c r="F159" s="39"/>
      <c r="G159" s="34"/>
      <c r="H159" s="32"/>
      <c r="I159" s="34"/>
      <c r="J159" s="34"/>
      <c r="K159" s="35"/>
      <c r="L159" s="34"/>
      <c r="M159" s="32"/>
    </row>
    <row r="160" spans="2:13" x14ac:dyDescent="0.3">
      <c r="B160" s="33"/>
      <c r="C160" s="34"/>
      <c r="D160" s="39"/>
      <c r="E160" s="39"/>
      <c r="F160" s="39"/>
      <c r="G160" s="34"/>
      <c r="H160" s="32"/>
      <c r="I160" s="34"/>
      <c r="J160" s="34"/>
      <c r="K160" s="35"/>
      <c r="L160" s="34"/>
      <c r="M160" s="32"/>
    </row>
    <row r="161" spans="2:13" x14ac:dyDescent="0.3">
      <c r="B161" s="33"/>
      <c r="C161" s="34"/>
      <c r="D161" s="39"/>
      <c r="E161" s="39"/>
      <c r="F161" s="39"/>
      <c r="G161" s="34"/>
      <c r="H161" s="32"/>
      <c r="I161" s="34"/>
      <c r="J161" s="34"/>
      <c r="K161" s="35"/>
      <c r="L161" s="34"/>
      <c r="M161" s="32"/>
    </row>
    <row r="162" spans="2:13" x14ac:dyDescent="0.3">
      <c r="B162" s="33"/>
      <c r="C162" s="34"/>
      <c r="D162" s="39"/>
      <c r="E162" s="39"/>
      <c r="F162" s="39"/>
      <c r="G162" s="34"/>
      <c r="H162" s="32"/>
      <c r="I162" s="34"/>
      <c r="J162" s="34"/>
      <c r="K162" s="35"/>
      <c r="L162" s="34"/>
      <c r="M162" s="32"/>
    </row>
    <row r="163" spans="2:13" x14ac:dyDescent="0.3">
      <c r="B163" s="33"/>
      <c r="C163" s="34"/>
      <c r="D163" s="39"/>
      <c r="E163" s="39"/>
      <c r="F163" s="39"/>
      <c r="G163" s="34"/>
      <c r="H163" s="32"/>
      <c r="I163" s="34"/>
      <c r="J163" s="34"/>
      <c r="K163" s="35"/>
      <c r="L163" s="34"/>
      <c r="M163" s="32"/>
    </row>
    <row r="164" spans="2:13" x14ac:dyDescent="0.3">
      <c r="B164" s="33"/>
      <c r="C164" s="34"/>
      <c r="D164" s="39"/>
      <c r="E164" s="39"/>
      <c r="F164" s="39"/>
      <c r="G164" s="34"/>
      <c r="H164" s="32"/>
      <c r="I164" s="34"/>
      <c r="J164" s="34"/>
      <c r="K164" s="35"/>
      <c r="L164" s="34"/>
      <c r="M164" s="32"/>
    </row>
    <row r="165" spans="2:13" x14ac:dyDescent="0.3">
      <c r="B165" s="33"/>
      <c r="C165" s="34"/>
      <c r="D165" s="39"/>
      <c r="E165" s="39"/>
      <c r="F165" s="39"/>
      <c r="G165" s="34"/>
      <c r="H165" s="32"/>
      <c r="I165" s="34"/>
      <c r="J165" s="34"/>
      <c r="K165" s="35"/>
      <c r="L165" s="34"/>
      <c r="M165" s="32"/>
    </row>
    <row r="166" spans="2:13" x14ac:dyDescent="0.3">
      <c r="B166" s="33"/>
      <c r="C166" s="34"/>
      <c r="D166" s="39"/>
      <c r="E166" s="39"/>
      <c r="F166" s="39"/>
      <c r="G166" s="34"/>
      <c r="H166" s="32"/>
      <c r="I166" s="34"/>
      <c r="J166" s="34"/>
      <c r="K166" s="35"/>
      <c r="L166" s="34"/>
      <c r="M166" s="32"/>
    </row>
    <row r="167" spans="2:13" x14ac:dyDescent="0.3">
      <c r="B167" s="33"/>
      <c r="C167" s="34"/>
      <c r="D167" s="39"/>
      <c r="E167" s="39"/>
      <c r="F167" s="39"/>
      <c r="G167" s="34"/>
      <c r="H167" s="32"/>
      <c r="I167" s="34"/>
      <c r="J167" s="34"/>
      <c r="K167" s="35"/>
      <c r="L167" s="34"/>
      <c r="M167" s="32"/>
    </row>
    <row r="168" spans="2:13" x14ac:dyDescent="0.3">
      <c r="B168" s="33"/>
      <c r="C168" s="34"/>
      <c r="D168" s="39"/>
      <c r="E168" s="39"/>
      <c r="F168" s="39"/>
      <c r="G168" s="34"/>
      <c r="H168" s="32"/>
      <c r="I168" s="34"/>
      <c r="J168" s="34"/>
      <c r="K168" s="35"/>
      <c r="L168" s="34"/>
      <c r="M168" s="32"/>
    </row>
    <row r="169" spans="2:13" x14ac:dyDescent="0.3">
      <c r="B169" s="33"/>
      <c r="C169" s="34"/>
      <c r="D169" s="39"/>
      <c r="E169" s="39"/>
      <c r="F169" s="39"/>
      <c r="G169" s="34"/>
      <c r="H169" s="32"/>
      <c r="I169" s="34"/>
      <c r="J169" s="34"/>
      <c r="K169" s="35"/>
      <c r="L169" s="34"/>
      <c r="M169" s="32"/>
    </row>
    <row r="170" spans="2:13" x14ac:dyDescent="0.3">
      <c r="B170" s="33"/>
      <c r="C170" s="34"/>
      <c r="D170" s="39"/>
      <c r="E170" s="39"/>
      <c r="F170" s="39"/>
      <c r="G170" s="34"/>
      <c r="H170" s="32"/>
      <c r="I170" s="34"/>
      <c r="J170" s="34"/>
      <c r="K170" s="35"/>
      <c r="L170" s="34"/>
      <c r="M170" s="32"/>
    </row>
    <row r="171" spans="2:13" x14ac:dyDescent="0.3">
      <c r="B171" s="33"/>
      <c r="C171" s="34"/>
      <c r="D171" s="39"/>
      <c r="E171" s="39"/>
      <c r="F171" s="39"/>
      <c r="G171" s="34"/>
      <c r="H171" s="32"/>
      <c r="I171" s="34"/>
      <c r="J171" s="34"/>
      <c r="K171" s="35"/>
      <c r="L171" s="34"/>
      <c r="M171" s="32"/>
    </row>
    <row r="172" spans="2:13" x14ac:dyDescent="0.3">
      <c r="B172" s="33"/>
      <c r="C172" s="34"/>
      <c r="D172" s="39"/>
      <c r="E172" s="39"/>
      <c r="F172" s="39"/>
      <c r="G172" s="34"/>
      <c r="H172" s="32"/>
      <c r="I172" s="34"/>
      <c r="J172" s="34"/>
      <c r="K172" s="35"/>
      <c r="L172" s="34"/>
      <c r="M172" s="32"/>
    </row>
    <row r="173" spans="2:13" x14ac:dyDescent="0.3">
      <c r="B173" s="33"/>
      <c r="C173" s="34"/>
      <c r="D173" s="39"/>
      <c r="E173" s="39"/>
      <c r="F173" s="39"/>
      <c r="G173" s="34"/>
      <c r="H173" s="32"/>
      <c r="I173" s="34"/>
      <c r="J173" s="34"/>
      <c r="K173" s="35"/>
      <c r="L173" s="34"/>
      <c r="M173" s="32"/>
    </row>
    <row r="174" spans="2:13" x14ac:dyDescent="0.3">
      <c r="B174" s="33"/>
      <c r="C174" s="34"/>
      <c r="D174" s="39"/>
      <c r="E174" s="39"/>
      <c r="F174" s="39"/>
      <c r="G174" s="34"/>
      <c r="H174" s="32"/>
      <c r="I174" s="34"/>
      <c r="J174" s="34"/>
      <c r="K174" s="35"/>
      <c r="L174" s="34"/>
      <c r="M174" s="32"/>
    </row>
    <row r="175" spans="2:13" x14ac:dyDescent="0.3">
      <c r="B175" s="33"/>
      <c r="C175" s="34"/>
      <c r="D175" s="39"/>
      <c r="E175" s="39"/>
      <c r="F175" s="39"/>
      <c r="G175" s="34"/>
      <c r="H175" s="32"/>
      <c r="I175" s="34"/>
      <c r="J175" s="34"/>
      <c r="K175" s="35"/>
      <c r="L175" s="34"/>
      <c r="M175" s="32"/>
    </row>
    <row r="176" spans="2:13" x14ac:dyDescent="0.3">
      <c r="B176" s="33"/>
      <c r="C176" s="34"/>
      <c r="D176" s="39"/>
      <c r="E176" s="39"/>
      <c r="F176" s="39"/>
      <c r="G176" s="34"/>
      <c r="H176" s="32"/>
      <c r="I176" s="34"/>
      <c r="J176" s="34"/>
      <c r="K176" s="35"/>
      <c r="L176" s="34"/>
      <c r="M176" s="32"/>
    </row>
    <row r="177" spans="2:13" x14ac:dyDescent="0.3">
      <c r="B177" s="33"/>
      <c r="C177" s="34"/>
      <c r="D177" s="39"/>
      <c r="E177" s="39"/>
      <c r="F177" s="39"/>
      <c r="G177" s="34"/>
      <c r="H177" s="32"/>
      <c r="I177" s="34"/>
      <c r="J177" s="34"/>
      <c r="K177" s="35"/>
      <c r="L177" s="34"/>
      <c r="M177" s="32"/>
    </row>
    <row r="178" spans="2:13" x14ac:dyDescent="0.3">
      <c r="B178" s="33"/>
      <c r="C178" s="34"/>
      <c r="D178" s="39"/>
      <c r="E178" s="39"/>
      <c r="F178" s="39"/>
      <c r="G178" s="34"/>
      <c r="H178" s="32"/>
      <c r="I178" s="34"/>
      <c r="J178" s="34"/>
      <c r="K178" s="35"/>
      <c r="L178" s="34"/>
      <c r="M178" s="32"/>
    </row>
    <row r="179" spans="2:13" x14ac:dyDescent="0.3">
      <c r="B179" s="33"/>
      <c r="C179" s="34"/>
      <c r="D179" s="39"/>
      <c r="E179" s="39"/>
      <c r="F179" s="39"/>
      <c r="G179" s="34"/>
      <c r="H179" s="32"/>
      <c r="I179" s="34"/>
      <c r="J179" s="34"/>
      <c r="K179" s="35"/>
      <c r="L179" s="34"/>
      <c r="M179" s="32"/>
    </row>
    <row r="180" spans="2:13" x14ac:dyDescent="0.3">
      <c r="B180" s="33"/>
      <c r="C180" s="34"/>
      <c r="D180" s="39"/>
      <c r="E180" s="39"/>
      <c r="F180" s="39"/>
      <c r="G180" s="34"/>
      <c r="H180" s="32"/>
      <c r="I180" s="34"/>
      <c r="J180" s="34"/>
      <c r="K180" s="35"/>
      <c r="L180" s="34"/>
      <c r="M180" s="32"/>
    </row>
    <row r="181" spans="2:13" x14ac:dyDescent="0.3">
      <c r="B181" s="33"/>
      <c r="C181" s="34"/>
      <c r="D181" s="39"/>
      <c r="E181" s="39"/>
      <c r="F181" s="39"/>
      <c r="G181" s="34"/>
      <c r="H181" s="32"/>
      <c r="I181" s="34"/>
      <c r="J181" s="34"/>
      <c r="K181" s="35"/>
      <c r="L181" s="34"/>
      <c r="M181" s="32"/>
    </row>
    <row r="182" spans="2:13" x14ac:dyDescent="0.3">
      <c r="B182" s="33"/>
      <c r="C182" s="34"/>
      <c r="D182" s="39"/>
      <c r="E182" s="39"/>
      <c r="F182" s="39"/>
      <c r="G182" s="34"/>
      <c r="H182" s="32"/>
      <c r="I182" s="34"/>
      <c r="J182" s="34"/>
      <c r="K182" s="35"/>
      <c r="L182" s="34"/>
      <c r="M182" s="32"/>
    </row>
    <row r="183" spans="2:13" x14ac:dyDescent="0.3">
      <c r="B183" s="33"/>
      <c r="C183" s="34"/>
      <c r="D183" s="39"/>
      <c r="E183" s="39"/>
      <c r="F183" s="39"/>
      <c r="G183" s="34"/>
      <c r="H183" s="32"/>
      <c r="I183" s="34"/>
      <c r="J183" s="34"/>
      <c r="K183" s="35"/>
      <c r="L183" s="34"/>
      <c r="M183" s="32"/>
    </row>
    <row r="184" spans="2:13" x14ac:dyDescent="0.3">
      <c r="B184" s="33"/>
      <c r="C184" s="34"/>
      <c r="D184" s="39"/>
      <c r="E184" s="39"/>
      <c r="F184" s="39"/>
      <c r="G184" s="34"/>
      <c r="H184" s="32"/>
      <c r="I184" s="34"/>
      <c r="J184" s="34"/>
      <c r="K184" s="35"/>
      <c r="L184" s="34"/>
      <c r="M184" s="32"/>
    </row>
    <row r="185" spans="2:13" x14ac:dyDescent="0.3">
      <c r="B185" s="33"/>
      <c r="C185" s="34"/>
      <c r="D185" s="39"/>
      <c r="E185" s="39"/>
      <c r="F185" s="39"/>
      <c r="G185" s="34"/>
      <c r="H185" s="32"/>
      <c r="I185" s="34"/>
      <c r="J185" s="34"/>
      <c r="K185" s="35"/>
      <c r="L185" s="34"/>
      <c r="M185" s="32"/>
    </row>
    <row r="186" spans="2:13" x14ac:dyDescent="0.3">
      <c r="B186" s="33"/>
      <c r="C186" s="34"/>
      <c r="D186" s="39"/>
      <c r="E186" s="39"/>
      <c r="F186" s="39"/>
      <c r="G186" s="34"/>
      <c r="H186" s="32"/>
      <c r="I186" s="34"/>
      <c r="J186" s="34"/>
      <c r="K186" s="35"/>
      <c r="L186" s="34"/>
      <c r="M186" s="32"/>
    </row>
    <row r="187" spans="2:13" x14ac:dyDescent="0.3">
      <c r="B187" s="33"/>
      <c r="C187" s="34"/>
      <c r="D187" s="39"/>
      <c r="E187" s="39"/>
      <c r="F187" s="39"/>
      <c r="G187" s="34"/>
      <c r="H187" s="32"/>
      <c r="I187" s="34"/>
      <c r="J187" s="34"/>
      <c r="K187" s="35"/>
      <c r="L187" s="34"/>
      <c r="M187" s="32"/>
    </row>
    <row r="188" spans="2:13" x14ac:dyDescent="0.3">
      <c r="B188" s="33"/>
      <c r="C188" s="34"/>
      <c r="D188" s="39"/>
      <c r="E188" s="39"/>
      <c r="F188" s="39"/>
      <c r="G188" s="34"/>
      <c r="H188" s="32"/>
      <c r="I188" s="34"/>
      <c r="J188" s="34"/>
      <c r="K188" s="35"/>
      <c r="L188" s="34"/>
      <c r="M188" s="32"/>
    </row>
    <row r="189" spans="2:13" x14ac:dyDescent="0.3">
      <c r="B189" s="33"/>
      <c r="C189" s="34"/>
      <c r="D189" s="39"/>
      <c r="E189" s="39"/>
      <c r="F189" s="39"/>
      <c r="G189" s="34"/>
      <c r="H189" s="34"/>
      <c r="I189" s="34"/>
      <c r="J189" s="34"/>
      <c r="K189" s="35"/>
      <c r="L189" s="34"/>
      <c r="M189" s="32"/>
    </row>
    <row r="190" spans="2:13" x14ac:dyDescent="0.3">
      <c r="B190" s="33"/>
      <c r="C190" s="34"/>
      <c r="D190" s="39"/>
      <c r="E190" s="39"/>
      <c r="F190" s="39"/>
      <c r="G190" s="34"/>
      <c r="H190" s="34"/>
      <c r="I190" s="34"/>
      <c r="J190" s="34"/>
      <c r="K190" s="35"/>
      <c r="L190" s="34"/>
      <c r="M190" s="32"/>
    </row>
    <row r="191" spans="2:13" x14ac:dyDescent="0.3">
      <c r="B191" s="33"/>
      <c r="C191" s="34"/>
      <c r="D191" s="39"/>
      <c r="E191" s="39"/>
      <c r="F191" s="39"/>
      <c r="G191" s="34"/>
      <c r="H191" s="34"/>
      <c r="I191" s="34"/>
      <c r="J191" s="34"/>
      <c r="K191" s="35"/>
      <c r="L191" s="34"/>
      <c r="M191" s="32"/>
    </row>
    <row r="192" spans="2:13" x14ac:dyDescent="0.3">
      <c r="B192" s="33"/>
      <c r="C192" s="34"/>
      <c r="D192" s="39"/>
      <c r="E192" s="39"/>
      <c r="F192" s="39"/>
      <c r="G192" s="34"/>
      <c r="H192" s="34"/>
      <c r="I192" s="34"/>
      <c r="J192" s="34"/>
      <c r="K192" s="35"/>
      <c r="L192" s="34"/>
      <c r="M192" s="32"/>
    </row>
    <row r="193" spans="2:13" x14ac:dyDescent="0.3">
      <c r="B193" s="33"/>
      <c r="C193" s="34"/>
      <c r="D193" s="39"/>
      <c r="E193" s="39"/>
      <c r="F193" s="39"/>
      <c r="G193" s="34"/>
      <c r="H193" s="34"/>
      <c r="I193" s="34"/>
      <c r="J193" s="34"/>
      <c r="K193" s="35"/>
      <c r="L193" s="34"/>
      <c r="M193" s="32"/>
    </row>
    <row r="194" spans="2:13" x14ac:dyDescent="0.3">
      <c r="B194" s="33"/>
      <c r="C194" s="34"/>
      <c r="D194" s="39"/>
      <c r="E194" s="39"/>
      <c r="F194" s="39"/>
      <c r="G194" s="34"/>
      <c r="H194" s="34"/>
      <c r="I194" s="34"/>
      <c r="J194" s="34"/>
      <c r="K194" s="35"/>
      <c r="L194" s="34"/>
      <c r="M194" s="32"/>
    </row>
    <row r="195" spans="2:13" x14ac:dyDescent="0.3">
      <c r="B195" s="33"/>
      <c r="C195" s="34"/>
      <c r="D195" s="39"/>
      <c r="E195" s="39"/>
      <c r="F195" s="39"/>
      <c r="G195" s="34"/>
      <c r="H195" s="34"/>
      <c r="I195" s="34"/>
      <c r="J195" s="34"/>
      <c r="K195" s="35"/>
      <c r="L195" s="34"/>
      <c r="M195" s="32"/>
    </row>
    <row r="196" spans="2:13" x14ac:dyDescent="0.3">
      <c r="B196" s="33"/>
      <c r="C196" s="34"/>
      <c r="D196" s="39"/>
      <c r="E196" s="39"/>
      <c r="F196" s="39"/>
      <c r="G196" s="34"/>
      <c r="H196" s="34"/>
      <c r="I196" s="34"/>
      <c r="J196" s="34"/>
      <c r="K196" s="35"/>
      <c r="L196" s="34"/>
      <c r="M196" s="32"/>
    </row>
    <row r="197" spans="2:13" x14ac:dyDescent="0.3">
      <c r="B197" s="33"/>
      <c r="C197" s="34"/>
      <c r="D197" s="39"/>
      <c r="E197" s="39"/>
      <c r="F197" s="39"/>
      <c r="G197" s="34"/>
      <c r="H197" s="34"/>
      <c r="I197" s="34"/>
      <c r="J197" s="34"/>
      <c r="K197" s="35"/>
      <c r="L197" s="34"/>
      <c r="M197" s="32"/>
    </row>
    <row r="198" spans="2:13" x14ac:dyDescent="0.3">
      <c r="B198" s="33"/>
      <c r="C198" s="34"/>
      <c r="D198" s="39"/>
      <c r="E198" s="39"/>
      <c r="F198" s="39"/>
      <c r="G198" s="34"/>
      <c r="H198" s="34"/>
      <c r="I198" s="34"/>
      <c r="J198" s="34"/>
      <c r="K198" s="35"/>
      <c r="L198" s="34"/>
      <c r="M198" s="32"/>
    </row>
    <row r="199" spans="2:13" x14ac:dyDescent="0.3">
      <c r="B199" s="33"/>
      <c r="C199" s="34"/>
      <c r="D199" s="39"/>
      <c r="E199" s="39"/>
      <c r="F199" s="39"/>
      <c r="G199" s="34"/>
      <c r="H199" s="34"/>
      <c r="I199" s="34"/>
      <c r="J199" s="34"/>
      <c r="K199" s="35"/>
      <c r="L199" s="34"/>
      <c r="M199" s="32"/>
    </row>
    <row r="200" spans="2:13" x14ac:dyDescent="0.3">
      <c r="B200" s="33"/>
      <c r="C200" s="34"/>
      <c r="D200" s="39"/>
      <c r="E200" s="39"/>
      <c r="F200" s="39"/>
      <c r="G200" s="34"/>
      <c r="H200" s="34"/>
      <c r="I200" s="34"/>
      <c r="J200" s="34"/>
      <c r="K200" s="35"/>
      <c r="L200" s="34"/>
      <c r="M200" s="32"/>
    </row>
    <row r="201" spans="2:13" x14ac:dyDescent="0.3">
      <c r="B201" s="33"/>
      <c r="C201" s="34"/>
      <c r="D201" s="39"/>
      <c r="E201" s="39"/>
      <c r="F201" s="39"/>
      <c r="G201" s="34"/>
      <c r="H201" s="34"/>
      <c r="I201" s="34"/>
      <c r="J201" s="34"/>
      <c r="K201" s="35"/>
      <c r="L201" s="34"/>
      <c r="M201" s="32"/>
    </row>
    <row r="202" spans="2:13" x14ac:dyDescent="0.3">
      <c r="B202" s="33"/>
      <c r="C202" s="34"/>
      <c r="D202" s="34"/>
      <c r="E202" s="34"/>
      <c r="F202" s="34"/>
      <c r="G202" s="34"/>
      <c r="H202" s="34"/>
      <c r="I202" s="34"/>
      <c r="J202" s="34"/>
      <c r="K202" s="35"/>
      <c r="L202" s="34"/>
      <c r="M202" s="32"/>
    </row>
    <row r="203" spans="2:13" x14ac:dyDescent="0.3">
      <c r="B203" s="33"/>
      <c r="C203" s="34"/>
      <c r="D203" s="34"/>
      <c r="E203" s="34"/>
      <c r="F203" s="34"/>
      <c r="G203" s="34"/>
      <c r="H203" s="34"/>
      <c r="I203" s="34"/>
      <c r="J203" s="34"/>
      <c r="K203" s="35"/>
      <c r="L203" s="34"/>
      <c r="M203" s="32"/>
    </row>
    <row r="204" spans="2:13" x14ac:dyDescent="0.3">
      <c r="B204" s="33"/>
      <c r="C204" s="34"/>
      <c r="D204" s="34"/>
      <c r="E204" s="34"/>
      <c r="F204" s="34"/>
      <c r="G204" s="34"/>
      <c r="H204" s="34"/>
      <c r="I204" s="34"/>
      <c r="J204" s="34"/>
      <c r="K204" s="35"/>
      <c r="L204" s="34"/>
      <c r="M204" s="32"/>
    </row>
    <row r="205" spans="2:13" x14ac:dyDescent="0.3">
      <c r="B205" s="33"/>
      <c r="C205" s="34"/>
      <c r="D205" s="34"/>
      <c r="E205" s="34"/>
      <c r="F205" s="34"/>
      <c r="G205" s="34"/>
      <c r="H205" s="34"/>
      <c r="I205" s="34"/>
      <c r="J205" s="34"/>
      <c r="K205" s="35"/>
      <c r="L205" s="34"/>
      <c r="M205" s="32"/>
    </row>
    <row r="206" spans="2:13" x14ac:dyDescent="0.3">
      <c r="B206" s="33"/>
      <c r="C206" s="34"/>
      <c r="D206" s="34"/>
      <c r="E206" s="34"/>
      <c r="F206" s="34"/>
      <c r="G206" s="34"/>
      <c r="H206" s="34"/>
      <c r="I206" s="34"/>
      <c r="J206" s="34"/>
      <c r="K206" s="35"/>
      <c r="L206" s="34"/>
      <c r="M206" s="32"/>
    </row>
    <row r="207" spans="2:13" x14ac:dyDescent="0.3">
      <c r="B207" s="33"/>
      <c r="C207" s="34"/>
      <c r="D207" s="34"/>
      <c r="E207" s="34"/>
      <c r="F207" s="34"/>
      <c r="G207" s="34"/>
      <c r="H207" s="34"/>
      <c r="I207" s="34"/>
      <c r="J207" s="34"/>
      <c r="K207" s="35"/>
      <c r="L207" s="34"/>
      <c r="M207" s="32"/>
    </row>
    <row r="208" spans="2:13" x14ac:dyDescent="0.3">
      <c r="B208" s="33"/>
      <c r="C208" s="34"/>
      <c r="D208" s="34"/>
      <c r="E208" s="34"/>
      <c r="F208" s="34"/>
      <c r="G208" s="34"/>
      <c r="H208" s="34"/>
      <c r="I208" s="34"/>
      <c r="J208" s="34"/>
      <c r="K208" s="35"/>
      <c r="L208" s="34"/>
      <c r="M208" s="32"/>
    </row>
    <row r="209" spans="2:13" x14ac:dyDescent="0.3">
      <c r="B209" s="33"/>
      <c r="C209" s="34"/>
      <c r="D209" s="34"/>
      <c r="E209" s="34"/>
      <c r="F209" s="34"/>
      <c r="G209" s="34"/>
      <c r="H209" s="34"/>
      <c r="I209" s="34"/>
      <c r="J209" s="34"/>
      <c r="K209" s="35"/>
      <c r="L209" s="34"/>
      <c r="M209" s="32"/>
    </row>
    <row r="210" spans="2:13" x14ac:dyDescent="0.3">
      <c r="B210" s="33"/>
      <c r="C210" s="34"/>
      <c r="D210" s="34"/>
      <c r="E210" s="34"/>
      <c r="F210" s="34"/>
      <c r="G210" s="34"/>
      <c r="H210" s="34"/>
      <c r="I210" s="34"/>
      <c r="J210" s="34"/>
      <c r="K210" s="35"/>
      <c r="L210" s="34"/>
      <c r="M210" s="32"/>
    </row>
    <row r="211" spans="2:13" x14ac:dyDescent="0.3">
      <c r="B211" s="33"/>
      <c r="C211" s="34"/>
      <c r="D211" s="34"/>
      <c r="E211" s="34"/>
      <c r="F211" s="34"/>
      <c r="G211" s="34"/>
      <c r="H211" s="34"/>
      <c r="I211" s="34"/>
      <c r="J211" s="34"/>
      <c r="K211" s="35"/>
      <c r="L211" s="34"/>
      <c r="M211" s="32"/>
    </row>
    <row r="212" spans="2:13" x14ac:dyDescent="0.3">
      <c r="B212" s="33"/>
      <c r="C212" s="34"/>
      <c r="D212" s="34"/>
      <c r="E212" s="34"/>
      <c r="F212" s="34"/>
      <c r="G212" s="34"/>
      <c r="H212" s="34"/>
      <c r="I212" s="34"/>
      <c r="J212" s="34"/>
      <c r="K212" s="35"/>
      <c r="L212" s="34"/>
      <c r="M212" s="32"/>
    </row>
    <row r="213" spans="2:13" x14ac:dyDescent="0.3">
      <c r="B213" s="33"/>
      <c r="C213" s="34"/>
      <c r="D213" s="34"/>
      <c r="E213" s="34"/>
      <c r="F213" s="34"/>
      <c r="G213" s="34"/>
      <c r="H213" s="34"/>
      <c r="I213" s="34"/>
      <c r="J213" s="34"/>
      <c r="K213" s="35"/>
      <c r="L213" s="34"/>
      <c r="M213" s="32"/>
    </row>
    <row r="214" spans="2:13" x14ac:dyDescent="0.3">
      <c r="B214" s="33"/>
      <c r="C214" s="34"/>
      <c r="D214" s="34"/>
      <c r="E214" s="34"/>
      <c r="F214" s="34"/>
      <c r="G214" s="34"/>
      <c r="H214" s="34"/>
      <c r="I214" s="34"/>
      <c r="J214" s="34"/>
      <c r="K214" s="35"/>
      <c r="L214" s="34"/>
      <c r="M214" s="32"/>
    </row>
    <row r="215" spans="2:13" x14ac:dyDescent="0.3">
      <c r="B215" s="33"/>
      <c r="C215" s="34"/>
      <c r="D215" s="34"/>
      <c r="E215" s="34"/>
      <c r="F215" s="34"/>
      <c r="G215" s="34"/>
      <c r="H215" s="34"/>
      <c r="I215" s="34"/>
      <c r="J215" s="34"/>
      <c r="K215" s="35"/>
      <c r="L215" s="34"/>
      <c r="M215" s="32"/>
    </row>
    <row r="216" spans="2:13" x14ac:dyDescent="0.3">
      <c r="B216" s="33"/>
      <c r="C216" s="34"/>
      <c r="D216" s="34"/>
      <c r="E216" s="34"/>
      <c r="F216" s="34"/>
      <c r="G216" s="34"/>
      <c r="H216" s="34"/>
      <c r="I216" s="34"/>
      <c r="J216" s="34"/>
      <c r="K216" s="35"/>
      <c r="L216" s="34"/>
      <c r="M216" s="32"/>
    </row>
    <row r="217" spans="2:13" x14ac:dyDescent="0.3">
      <c r="B217" s="33"/>
      <c r="C217" s="34"/>
      <c r="D217" s="34"/>
      <c r="E217" s="34"/>
      <c r="F217" s="34"/>
      <c r="G217" s="34"/>
      <c r="H217" s="34"/>
      <c r="I217" s="34"/>
      <c r="J217" s="34"/>
      <c r="K217" s="35"/>
      <c r="L217" s="34"/>
      <c r="M217" s="32"/>
    </row>
    <row r="218" spans="2:13" x14ac:dyDescent="0.3">
      <c r="B218" s="33"/>
      <c r="C218" s="34"/>
      <c r="D218" s="34"/>
      <c r="E218" s="34"/>
      <c r="F218" s="34"/>
      <c r="G218" s="34"/>
      <c r="H218" s="34"/>
      <c r="I218" s="34"/>
      <c r="J218" s="34"/>
      <c r="K218" s="35"/>
      <c r="L218" s="34"/>
      <c r="M218" s="32"/>
    </row>
    <row r="219" spans="2:13" x14ac:dyDescent="0.3">
      <c r="B219" s="33"/>
      <c r="C219" s="34"/>
      <c r="D219" s="34"/>
      <c r="E219" s="34"/>
      <c r="F219" s="34"/>
      <c r="G219" s="34"/>
      <c r="H219" s="34"/>
      <c r="I219" s="34"/>
      <c r="J219" s="34"/>
      <c r="K219" s="35"/>
      <c r="L219" s="34"/>
      <c r="M219" s="32"/>
    </row>
    <row r="220" spans="2:13" x14ac:dyDescent="0.3">
      <c r="B220" s="33"/>
      <c r="C220" s="34"/>
      <c r="D220" s="34"/>
      <c r="E220" s="34"/>
      <c r="F220" s="34"/>
      <c r="G220" s="34"/>
      <c r="H220" s="34"/>
      <c r="I220" s="34"/>
      <c r="J220" s="34"/>
      <c r="K220" s="35"/>
      <c r="L220" s="34"/>
      <c r="M220" s="32"/>
    </row>
    <row r="221" spans="2:13" x14ac:dyDescent="0.3">
      <c r="B221" s="33"/>
      <c r="C221" s="34"/>
      <c r="D221" s="34"/>
      <c r="E221" s="34"/>
      <c r="F221" s="34"/>
      <c r="G221" s="34"/>
      <c r="H221" s="34"/>
      <c r="I221" s="34"/>
      <c r="J221" s="34"/>
      <c r="K221" s="35"/>
      <c r="L221" s="34"/>
      <c r="M221" s="32"/>
    </row>
    <row r="222" spans="2:13" x14ac:dyDescent="0.3">
      <c r="B222" s="33"/>
      <c r="C222" s="34"/>
      <c r="D222" s="34"/>
      <c r="E222" s="34"/>
      <c r="F222" s="34"/>
      <c r="G222" s="34"/>
      <c r="H222" s="34"/>
      <c r="I222" s="34"/>
      <c r="J222" s="34"/>
      <c r="K222" s="35"/>
      <c r="L222" s="34"/>
      <c r="M222" s="32"/>
    </row>
    <row r="223" spans="2:13" x14ac:dyDescent="0.3">
      <c r="B223" s="33"/>
      <c r="C223" s="34"/>
      <c r="D223" s="34"/>
      <c r="E223" s="34"/>
      <c r="F223" s="34"/>
      <c r="G223" s="34"/>
      <c r="H223" s="34"/>
      <c r="I223" s="34"/>
      <c r="J223" s="34"/>
      <c r="K223" s="35"/>
      <c r="L223" s="34"/>
      <c r="M223" s="32"/>
    </row>
    <row r="224" spans="2:13" x14ac:dyDescent="0.3">
      <c r="B224" s="33"/>
      <c r="C224" s="34"/>
      <c r="D224" s="34"/>
      <c r="E224" s="34"/>
      <c r="F224" s="34"/>
      <c r="G224" s="34"/>
      <c r="H224" s="34"/>
      <c r="I224" s="34"/>
      <c r="J224" s="34"/>
      <c r="K224" s="35"/>
      <c r="L224" s="34"/>
      <c r="M224" s="32"/>
    </row>
    <row r="225" spans="2:13" x14ac:dyDescent="0.3">
      <c r="B225" s="33"/>
      <c r="C225" s="34"/>
      <c r="D225" s="34"/>
      <c r="E225" s="34"/>
      <c r="F225" s="34"/>
      <c r="G225" s="34"/>
      <c r="H225" s="34"/>
      <c r="I225" s="34"/>
      <c r="J225" s="34"/>
      <c r="K225" s="35"/>
      <c r="L225" s="34"/>
      <c r="M225" s="32"/>
    </row>
    <row r="226" spans="2:13" x14ac:dyDescent="0.3">
      <c r="B226" s="33"/>
      <c r="C226" s="34"/>
      <c r="D226" s="34"/>
      <c r="E226" s="34"/>
      <c r="F226" s="34"/>
      <c r="G226" s="34"/>
      <c r="H226" s="34"/>
      <c r="I226" s="34"/>
      <c r="J226" s="34"/>
      <c r="K226" s="35"/>
      <c r="L226" s="34"/>
      <c r="M226" s="32"/>
    </row>
    <row r="227" spans="2:13" x14ac:dyDescent="0.3">
      <c r="B227" s="33"/>
      <c r="C227" s="34"/>
      <c r="D227" s="34"/>
      <c r="E227" s="34"/>
      <c r="F227" s="34"/>
      <c r="G227" s="34"/>
      <c r="H227" s="34"/>
      <c r="I227" s="34"/>
      <c r="J227" s="34"/>
      <c r="K227" s="35"/>
      <c r="L227" s="34"/>
      <c r="M227" s="32"/>
    </row>
    <row r="228" spans="2:13" x14ac:dyDescent="0.3">
      <c r="B228" s="33"/>
      <c r="C228" s="34"/>
      <c r="D228" s="34"/>
      <c r="E228" s="34"/>
      <c r="F228" s="34"/>
      <c r="G228" s="34"/>
      <c r="H228" s="34"/>
      <c r="I228" s="34"/>
      <c r="J228" s="34"/>
      <c r="K228" s="35"/>
      <c r="L228" s="34"/>
      <c r="M228" s="32"/>
    </row>
    <row r="229" spans="2:13" x14ac:dyDescent="0.3">
      <c r="B229" s="33"/>
      <c r="C229" s="34"/>
      <c r="D229" s="34"/>
      <c r="E229" s="34"/>
      <c r="F229" s="34"/>
      <c r="G229" s="34"/>
      <c r="H229" s="34"/>
      <c r="I229" s="34"/>
      <c r="J229" s="34"/>
      <c r="K229" s="35"/>
      <c r="L229" s="34"/>
      <c r="M229" s="32"/>
    </row>
    <row r="230" spans="2:13" x14ac:dyDescent="0.3">
      <c r="B230" s="33"/>
      <c r="C230" s="34"/>
      <c r="D230" s="34"/>
      <c r="E230" s="34"/>
      <c r="F230" s="34"/>
      <c r="G230" s="34"/>
      <c r="H230" s="34"/>
      <c r="I230" s="34"/>
      <c r="J230" s="34"/>
      <c r="K230" s="35"/>
      <c r="L230" s="34"/>
      <c r="M230" s="32"/>
    </row>
    <row r="231" spans="2:13" x14ac:dyDescent="0.3">
      <c r="B231" s="33"/>
      <c r="C231" s="34"/>
      <c r="D231" s="34"/>
      <c r="E231" s="34"/>
      <c r="F231" s="34"/>
      <c r="G231" s="34"/>
      <c r="H231" s="34"/>
      <c r="I231" s="34"/>
      <c r="J231" s="34"/>
      <c r="K231" s="35"/>
      <c r="L231" s="34"/>
      <c r="M231" s="32"/>
    </row>
    <row r="232" spans="2:13" x14ac:dyDescent="0.3">
      <c r="B232" s="33"/>
      <c r="C232" s="34"/>
      <c r="D232" s="34"/>
      <c r="E232" s="34"/>
      <c r="F232" s="34"/>
      <c r="G232" s="34"/>
      <c r="H232" s="34"/>
      <c r="I232" s="34"/>
      <c r="J232" s="34"/>
      <c r="K232" s="35"/>
      <c r="L232" s="34"/>
      <c r="M232" s="32"/>
    </row>
    <row r="233" spans="2:13" x14ac:dyDescent="0.3">
      <c r="B233" s="33"/>
      <c r="C233" s="34"/>
      <c r="D233" s="34"/>
      <c r="E233" s="34"/>
      <c r="F233" s="34"/>
      <c r="G233" s="34"/>
      <c r="H233" s="34"/>
      <c r="I233" s="34"/>
      <c r="J233" s="34"/>
      <c r="K233" s="35"/>
      <c r="L233" s="34"/>
      <c r="M233" s="32"/>
    </row>
    <row r="234" spans="2:13" x14ac:dyDescent="0.3">
      <c r="B234" s="33"/>
      <c r="C234" s="34"/>
      <c r="D234" s="34"/>
      <c r="E234" s="34"/>
      <c r="F234" s="34"/>
      <c r="G234" s="34"/>
      <c r="H234" s="34"/>
      <c r="I234" s="34"/>
      <c r="J234" s="34"/>
      <c r="K234" s="35"/>
      <c r="L234" s="34"/>
      <c r="M234" s="32"/>
    </row>
    <row r="235" spans="2:13" x14ac:dyDescent="0.3">
      <c r="B235" s="33"/>
      <c r="C235" s="34"/>
      <c r="D235" s="34"/>
      <c r="E235" s="34"/>
      <c r="F235" s="34"/>
      <c r="G235" s="34"/>
      <c r="H235" s="34"/>
      <c r="I235" s="34"/>
      <c r="J235" s="34"/>
      <c r="K235" s="35"/>
      <c r="L235" s="34"/>
      <c r="M235" s="32"/>
    </row>
    <row r="236" spans="2:13" x14ac:dyDescent="0.3">
      <c r="B236" s="33"/>
      <c r="C236" s="34"/>
      <c r="D236" s="34"/>
      <c r="E236" s="34"/>
      <c r="F236" s="34"/>
      <c r="G236" s="34"/>
      <c r="H236" s="34"/>
      <c r="I236" s="34"/>
      <c r="J236" s="34"/>
      <c r="K236" s="35"/>
      <c r="L236" s="34"/>
      <c r="M236" s="32"/>
    </row>
    <row r="237" spans="2:13" x14ac:dyDescent="0.3">
      <c r="B237" s="33"/>
      <c r="C237" s="34"/>
      <c r="D237" s="34"/>
      <c r="E237" s="34"/>
      <c r="F237" s="34"/>
      <c r="G237" s="34"/>
      <c r="H237" s="34"/>
      <c r="I237" s="34"/>
      <c r="J237" s="34"/>
      <c r="K237" s="35"/>
      <c r="L237" s="34"/>
      <c r="M237" s="32"/>
    </row>
    <row r="238" spans="2:13" x14ac:dyDescent="0.3">
      <c r="B238" s="33"/>
      <c r="C238" s="34"/>
      <c r="D238" s="34"/>
      <c r="E238" s="34"/>
      <c r="F238" s="34"/>
      <c r="G238" s="34"/>
      <c r="H238" s="34"/>
      <c r="I238" s="34"/>
      <c r="J238" s="34"/>
      <c r="K238" s="35"/>
      <c r="L238" s="34"/>
      <c r="M238" s="32"/>
    </row>
    <row r="239" spans="2:13" x14ac:dyDescent="0.3">
      <c r="B239" s="33"/>
      <c r="C239" s="34"/>
      <c r="D239" s="34"/>
      <c r="E239" s="34"/>
      <c r="F239" s="34"/>
      <c r="G239" s="34"/>
      <c r="H239" s="34"/>
      <c r="I239" s="34"/>
      <c r="J239" s="34"/>
      <c r="K239" s="35"/>
      <c r="L239" s="34"/>
      <c r="M239" s="32"/>
    </row>
    <row r="240" spans="2:13" x14ac:dyDescent="0.3">
      <c r="B240" s="33"/>
      <c r="C240" s="34"/>
      <c r="D240" s="34"/>
      <c r="E240" s="34"/>
      <c r="F240" s="34"/>
      <c r="G240" s="34"/>
      <c r="H240" s="34"/>
      <c r="I240" s="34"/>
      <c r="J240" s="34"/>
      <c r="K240" s="35"/>
      <c r="L240" s="34"/>
      <c r="M240" s="32"/>
    </row>
    <row r="241" spans="2:13" x14ac:dyDescent="0.3">
      <c r="B241" s="33"/>
      <c r="C241" s="34"/>
      <c r="D241" s="34"/>
      <c r="E241" s="34"/>
      <c r="F241" s="34"/>
      <c r="G241" s="34"/>
      <c r="H241" s="34"/>
      <c r="I241" s="34"/>
      <c r="J241" s="34"/>
      <c r="K241" s="35"/>
      <c r="L241" s="34"/>
      <c r="M241" s="32"/>
    </row>
    <row r="242" spans="2:13" x14ac:dyDescent="0.3">
      <c r="B242" s="33"/>
      <c r="C242" s="34"/>
      <c r="D242" s="34"/>
      <c r="E242" s="34"/>
      <c r="F242" s="34"/>
      <c r="G242" s="34"/>
      <c r="H242" s="34"/>
      <c r="I242" s="34"/>
      <c r="J242" s="34"/>
      <c r="K242" s="35"/>
      <c r="L242" s="34"/>
      <c r="M242" s="32"/>
    </row>
    <row r="243" spans="2:13" x14ac:dyDescent="0.3">
      <c r="B243" s="33"/>
      <c r="C243" s="34"/>
      <c r="D243" s="34"/>
      <c r="E243" s="34"/>
      <c r="F243" s="34"/>
      <c r="G243" s="34"/>
      <c r="H243" s="34"/>
      <c r="I243" s="34"/>
      <c r="J243" s="34"/>
      <c r="K243" s="35"/>
      <c r="L243" s="34"/>
      <c r="M243" s="32"/>
    </row>
    <row r="244" spans="2:13" x14ac:dyDescent="0.3">
      <c r="B244" s="33"/>
      <c r="C244" s="34"/>
      <c r="D244" s="34"/>
      <c r="E244" s="34"/>
      <c r="F244" s="34"/>
      <c r="G244" s="34"/>
      <c r="H244" s="34"/>
      <c r="I244" s="34"/>
      <c r="J244" s="34"/>
      <c r="K244" s="35"/>
      <c r="L244" s="34"/>
      <c r="M244" s="32"/>
    </row>
    <row r="245" spans="2:13" x14ac:dyDescent="0.3">
      <c r="B245" s="33"/>
      <c r="C245" s="34"/>
      <c r="D245" s="34"/>
      <c r="E245" s="34"/>
      <c r="F245" s="34"/>
      <c r="G245" s="34"/>
      <c r="H245" s="34"/>
      <c r="I245" s="34"/>
      <c r="J245" s="34"/>
      <c r="K245" s="35"/>
      <c r="L245" s="34"/>
      <c r="M245" s="32"/>
    </row>
    <row r="246" spans="2:13" x14ac:dyDescent="0.3">
      <c r="B246" s="33"/>
      <c r="C246" s="34"/>
      <c r="D246" s="34"/>
      <c r="E246" s="34"/>
      <c r="F246" s="34"/>
      <c r="G246" s="34"/>
      <c r="H246" s="34"/>
      <c r="I246" s="34"/>
      <c r="J246" s="34"/>
      <c r="K246" s="35"/>
      <c r="L246" s="34"/>
      <c r="M246" s="32"/>
    </row>
    <row r="247" spans="2:13" x14ac:dyDescent="0.3">
      <c r="B247" s="33"/>
      <c r="C247" s="34"/>
      <c r="D247" s="34"/>
      <c r="E247" s="34"/>
      <c r="F247" s="34"/>
      <c r="G247" s="34"/>
      <c r="H247" s="34"/>
      <c r="I247" s="34"/>
      <c r="J247" s="34"/>
      <c r="K247" s="35"/>
      <c r="L247" s="34"/>
      <c r="M247" s="32"/>
    </row>
    <row r="248" spans="2:13" x14ac:dyDescent="0.3">
      <c r="B248" s="33"/>
      <c r="C248" s="34"/>
      <c r="D248" s="34"/>
      <c r="E248" s="34"/>
      <c r="F248" s="34"/>
      <c r="G248" s="34"/>
      <c r="H248" s="34"/>
      <c r="I248" s="34"/>
      <c r="J248" s="34"/>
      <c r="K248" s="35"/>
      <c r="L248" s="34"/>
      <c r="M248" s="32"/>
    </row>
    <row r="249" spans="2:13" x14ac:dyDescent="0.3">
      <c r="B249" s="33"/>
      <c r="C249" s="34"/>
      <c r="D249" s="34"/>
      <c r="E249" s="34"/>
      <c r="F249" s="34"/>
      <c r="G249" s="34"/>
      <c r="H249" s="34"/>
      <c r="I249" s="34"/>
      <c r="J249" s="34"/>
      <c r="K249" s="35"/>
      <c r="L249" s="34"/>
      <c r="M249" s="32"/>
    </row>
    <row r="250" spans="2:13" x14ac:dyDescent="0.3">
      <c r="B250" s="33"/>
      <c r="C250" s="34"/>
      <c r="D250" s="34"/>
      <c r="E250" s="34"/>
      <c r="F250" s="34"/>
      <c r="G250" s="34"/>
      <c r="H250" s="34"/>
      <c r="I250" s="34"/>
      <c r="J250" s="34"/>
      <c r="K250" s="35"/>
      <c r="L250" s="34"/>
      <c r="M250" s="32"/>
    </row>
    <row r="251" spans="2:13" x14ac:dyDescent="0.3">
      <c r="B251" s="33"/>
      <c r="C251" s="34"/>
      <c r="D251" s="34"/>
      <c r="E251" s="34"/>
      <c r="F251" s="34"/>
      <c r="G251" s="34"/>
      <c r="H251" s="34"/>
      <c r="I251" s="34"/>
      <c r="J251" s="34"/>
      <c r="K251" s="35"/>
      <c r="L251" s="34"/>
      <c r="M251" s="32"/>
    </row>
    <row r="252" spans="2:13" x14ac:dyDescent="0.3">
      <c r="B252" s="33"/>
      <c r="C252" s="34"/>
      <c r="D252" s="34"/>
      <c r="E252" s="34"/>
      <c r="F252" s="34"/>
      <c r="G252" s="34"/>
      <c r="H252" s="34"/>
      <c r="I252" s="34"/>
      <c r="J252" s="34"/>
      <c r="K252" s="35"/>
      <c r="L252" s="34"/>
      <c r="M252" s="32"/>
    </row>
    <row r="253" spans="2:13" x14ac:dyDescent="0.3">
      <c r="B253" s="33"/>
      <c r="C253" s="34"/>
      <c r="D253" s="34"/>
      <c r="E253" s="34"/>
      <c r="F253" s="34"/>
      <c r="G253" s="34"/>
      <c r="H253" s="34"/>
      <c r="I253" s="34"/>
      <c r="J253" s="34"/>
      <c r="K253" s="35"/>
      <c r="L253" s="34"/>
      <c r="M253" s="32"/>
    </row>
    <row r="254" spans="2:13" x14ac:dyDescent="0.3">
      <c r="B254" s="33"/>
      <c r="C254" s="34"/>
      <c r="D254" s="34"/>
      <c r="E254" s="34"/>
      <c r="F254" s="34"/>
      <c r="G254" s="34"/>
      <c r="H254" s="34"/>
      <c r="I254" s="34"/>
      <c r="J254" s="34"/>
      <c r="K254" s="35"/>
      <c r="L254" s="34"/>
      <c r="M254" s="32"/>
    </row>
    <row r="255" spans="2:13" x14ac:dyDescent="0.3">
      <c r="B255" s="33"/>
      <c r="C255" s="34"/>
      <c r="D255" s="34"/>
      <c r="E255" s="34"/>
      <c r="F255" s="34"/>
      <c r="G255" s="34"/>
      <c r="H255" s="34"/>
      <c r="I255" s="34"/>
      <c r="J255" s="34"/>
      <c r="K255" s="35"/>
      <c r="L255" s="34"/>
      <c r="M255" s="32"/>
    </row>
    <row r="256" spans="2:13" x14ac:dyDescent="0.3">
      <c r="B256" s="33"/>
      <c r="C256" s="34"/>
      <c r="D256" s="34"/>
      <c r="E256" s="34"/>
      <c r="F256" s="34"/>
      <c r="G256" s="34"/>
      <c r="H256" s="34"/>
      <c r="I256" s="34"/>
      <c r="J256" s="34"/>
      <c r="K256" s="35"/>
      <c r="L256" s="34"/>
      <c r="M256" s="32"/>
    </row>
    <row r="257" spans="2:13" x14ac:dyDescent="0.3">
      <c r="B257" s="33"/>
      <c r="C257" s="34"/>
      <c r="D257" s="34"/>
      <c r="E257" s="34"/>
      <c r="F257" s="34"/>
      <c r="G257" s="34"/>
      <c r="H257" s="34"/>
      <c r="I257" s="34"/>
      <c r="J257" s="34"/>
      <c r="K257" s="35"/>
      <c r="L257" s="34"/>
      <c r="M257" s="32"/>
    </row>
    <row r="258" spans="2:13" x14ac:dyDescent="0.3">
      <c r="B258" s="33"/>
      <c r="C258" s="34"/>
      <c r="D258" s="34"/>
      <c r="E258" s="34"/>
      <c r="F258" s="34"/>
      <c r="G258" s="34"/>
      <c r="H258" s="34"/>
      <c r="I258" s="34"/>
      <c r="J258" s="34"/>
      <c r="K258" s="35"/>
      <c r="L258" s="34"/>
      <c r="M258" s="32"/>
    </row>
    <row r="259" spans="2:13" x14ac:dyDescent="0.3">
      <c r="B259" s="33"/>
      <c r="C259" s="34"/>
      <c r="D259" s="34"/>
      <c r="E259" s="34"/>
      <c r="F259" s="34"/>
      <c r="G259" s="34"/>
      <c r="H259" s="34"/>
      <c r="I259" s="34"/>
      <c r="J259" s="34"/>
      <c r="K259" s="35"/>
      <c r="L259" s="34"/>
      <c r="M259" s="32"/>
    </row>
    <row r="260" spans="2:13" x14ac:dyDescent="0.3">
      <c r="B260" s="33"/>
      <c r="C260" s="34"/>
      <c r="D260" s="34"/>
      <c r="E260" s="34"/>
      <c r="F260" s="34"/>
      <c r="G260" s="34"/>
      <c r="H260" s="34"/>
      <c r="I260" s="34"/>
      <c r="J260" s="34"/>
      <c r="K260" s="35"/>
      <c r="L260" s="34"/>
      <c r="M260" s="32"/>
    </row>
    <row r="261" spans="2:13" x14ac:dyDescent="0.3">
      <c r="B261" s="33"/>
      <c r="C261" s="34"/>
      <c r="D261" s="34"/>
      <c r="E261" s="34"/>
      <c r="F261" s="34"/>
      <c r="G261" s="34"/>
      <c r="H261" s="34"/>
      <c r="I261" s="34"/>
      <c r="J261" s="34"/>
      <c r="K261" s="35"/>
      <c r="L261" s="34"/>
      <c r="M261" s="32"/>
    </row>
    <row r="262" spans="2:13" x14ac:dyDescent="0.3">
      <c r="B262" s="33"/>
      <c r="C262" s="34"/>
      <c r="D262" s="34"/>
      <c r="E262" s="34"/>
      <c r="F262" s="34"/>
      <c r="G262" s="34"/>
      <c r="H262" s="34"/>
      <c r="I262" s="34"/>
      <c r="J262" s="34"/>
      <c r="K262" s="35"/>
      <c r="L262" s="34"/>
      <c r="M262" s="32"/>
    </row>
    <row r="263" spans="2:13" x14ac:dyDescent="0.3">
      <c r="B263" s="33"/>
      <c r="C263" s="34"/>
      <c r="D263" s="34"/>
      <c r="E263" s="34"/>
      <c r="F263" s="34"/>
      <c r="G263" s="34"/>
      <c r="H263" s="34"/>
      <c r="I263" s="34"/>
      <c r="J263" s="34"/>
      <c r="K263" s="35"/>
      <c r="L263" s="34"/>
      <c r="M263" s="32"/>
    </row>
    <row r="264" spans="2:13" x14ac:dyDescent="0.3">
      <c r="B264" s="33"/>
      <c r="C264" s="34"/>
      <c r="D264" s="34"/>
      <c r="E264" s="34"/>
      <c r="F264" s="34"/>
      <c r="G264" s="34"/>
      <c r="H264" s="34"/>
      <c r="I264" s="34"/>
      <c r="J264" s="34"/>
      <c r="K264" s="35"/>
      <c r="L264" s="34"/>
      <c r="M264" s="32"/>
    </row>
    <row r="265" spans="2:13" x14ac:dyDescent="0.3">
      <c r="B265" s="33"/>
      <c r="C265" s="34"/>
      <c r="D265" s="34"/>
      <c r="E265" s="34"/>
      <c r="F265" s="34"/>
      <c r="G265" s="34"/>
      <c r="H265" s="34"/>
      <c r="I265" s="34"/>
      <c r="J265" s="34"/>
      <c r="K265" s="35"/>
      <c r="L265" s="34"/>
      <c r="M265" s="32"/>
    </row>
    <row r="266" spans="2:13" x14ac:dyDescent="0.3">
      <c r="B266" s="33"/>
      <c r="C266" s="34"/>
      <c r="D266" s="34"/>
      <c r="E266" s="34"/>
      <c r="F266" s="34"/>
      <c r="G266" s="34"/>
      <c r="H266" s="34"/>
      <c r="I266" s="34"/>
      <c r="J266" s="34"/>
      <c r="K266" s="35"/>
      <c r="L266" s="34"/>
      <c r="M266" s="32"/>
    </row>
    <row r="267" spans="2:13" x14ac:dyDescent="0.3">
      <c r="B267" s="33"/>
      <c r="C267" s="34"/>
      <c r="D267" s="34"/>
      <c r="E267" s="34"/>
      <c r="F267" s="34"/>
      <c r="G267" s="34"/>
      <c r="H267" s="34"/>
      <c r="I267" s="34"/>
      <c r="J267" s="34"/>
      <c r="K267" s="35"/>
      <c r="L267" s="34"/>
      <c r="M267" s="32"/>
    </row>
    <row r="268" spans="2:13" x14ac:dyDescent="0.3">
      <c r="B268" s="33"/>
      <c r="C268" s="34"/>
      <c r="D268" s="34"/>
      <c r="E268" s="34"/>
      <c r="F268" s="34"/>
      <c r="G268" s="34"/>
      <c r="H268" s="34"/>
      <c r="I268" s="34"/>
      <c r="J268" s="34"/>
      <c r="K268" s="35"/>
      <c r="L268" s="34"/>
      <c r="M268" s="32"/>
    </row>
    <row r="269" spans="2:13" x14ac:dyDescent="0.3">
      <c r="B269" s="33"/>
      <c r="C269" s="34"/>
      <c r="D269" s="34"/>
      <c r="E269" s="34"/>
      <c r="F269" s="34"/>
      <c r="G269" s="34"/>
      <c r="H269" s="34"/>
      <c r="I269" s="34"/>
      <c r="J269" s="34"/>
      <c r="K269" s="35"/>
      <c r="L269" s="34"/>
      <c r="M269" s="32"/>
    </row>
    <row r="270" spans="2:13" x14ac:dyDescent="0.3">
      <c r="B270" s="33"/>
      <c r="C270" s="34"/>
      <c r="D270" s="34"/>
      <c r="E270" s="34"/>
      <c r="F270" s="34"/>
      <c r="G270" s="34"/>
      <c r="H270" s="34"/>
      <c r="I270" s="34"/>
      <c r="J270" s="34"/>
      <c r="K270" s="35"/>
      <c r="L270" s="34"/>
      <c r="M270" s="32"/>
    </row>
    <row r="271" spans="2:13" x14ac:dyDescent="0.3">
      <c r="B271" s="33"/>
      <c r="C271" s="34"/>
      <c r="D271" s="34"/>
      <c r="E271" s="34"/>
      <c r="F271" s="34"/>
      <c r="G271" s="34"/>
      <c r="H271" s="34"/>
      <c r="I271" s="34"/>
      <c r="J271" s="34"/>
      <c r="K271" s="35"/>
      <c r="L271" s="34"/>
      <c r="M271" s="32"/>
    </row>
    <row r="272" spans="2:13" x14ac:dyDescent="0.3">
      <c r="B272" s="33"/>
      <c r="C272" s="34"/>
      <c r="D272" s="34"/>
      <c r="E272" s="34"/>
      <c r="F272" s="34"/>
      <c r="G272" s="34"/>
      <c r="H272" s="34"/>
      <c r="I272" s="34"/>
      <c r="J272" s="34"/>
      <c r="K272" s="35"/>
      <c r="L272" s="34"/>
      <c r="M272" s="32"/>
    </row>
    <row r="273" spans="2:13" x14ac:dyDescent="0.3">
      <c r="B273" s="33"/>
      <c r="C273" s="34"/>
      <c r="D273" s="34"/>
      <c r="E273" s="34"/>
      <c r="F273" s="34"/>
      <c r="G273" s="34"/>
      <c r="H273" s="34"/>
      <c r="I273" s="34"/>
      <c r="J273" s="34"/>
      <c r="K273" s="35"/>
      <c r="L273" s="34"/>
      <c r="M273" s="32"/>
    </row>
    <row r="274" spans="2:13" x14ac:dyDescent="0.3">
      <c r="B274" s="33"/>
      <c r="C274" s="34"/>
      <c r="D274" s="34"/>
      <c r="E274" s="34"/>
      <c r="F274" s="34"/>
      <c r="G274" s="34"/>
      <c r="H274" s="34"/>
      <c r="I274" s="34"/>
      <c r="J274" s="34"/>
      <c r="K274" s="35"/>
      <c r="L274" s="34"/>
      <c r="M274" s="32"/>
    </row>
    <row r="275" spans="2:13" x14ac:dyDescent="0.3">
      <c r="B275" s="33"/>
      <c r="C275" s="34"/>
      <c r="D275" s="34"/>
      <c r="E275" s="34"/>
      <c r="F275" s="34"/>
      <c r="G275" s="34"/>
      <c r="H275" s="34"/>
      <c r="I275" s="34"/>
      <c r="J275" s="34"/>
      <c r="K275" s="35"/>
      <c r="L275" s="34"/>
      <c r="M275" s="32"/>
    </row>
    <row r="276" spans="2:13" x14ac:dyDescent="0.3">
      <c r="B276" s="33"/>
      <c r="C276" s="34"/>
      <c r="D276" s="34"/>
      <c r="E276" s="34"/>
      <c r="F276" s="34"/>
      <c r="G276" s="34"/>
      <c r="H276" s="34"/>
      <c r="I276" s="34"/>
      <c r="J276" s="34"/>
      <c r="K276" s="35"/>
      <c r="L276" s="34"/>
      <c r="M276" s="32"/>
    </row>
    <row r="277" spans="2:13" x14ac:dyDescent="0.3">
      <c r="B277" s="33"/>
      <c r="C277" s="34"/>
      <c r="D277" s="34"/>
      <c r="E277" s="34"/>
      <c r="F277" s="34"/>
      <c r="G277" s="34"/>
      <c r="H277" s="34"/>
      <c r="I277" s="34"/>
      <c r="J277" s="34"/>
      <c r="K277" s="35"/>
      <c r="L277" s="34"/>
      <c r="M277" s="32"/>
    </row>
    <row r="278" spans="2:13" x14ac:dyDescent="0.3">
      <c r="B278" s="33"/>
      <c r="C278" s="34"/>
      <c r="D278" s="34"/>
      <c r="E278" s="34"/>
      <c r="F278" s="34"/>
      <c r="G278" s="34"/>
      <c r="H278" s="34"/>
      <c r="I278" s="34"/>
      <c r="J278" s="34"/>
      <c r="K278" s="35"/>
      <c r="L278" s="34"/>
      <c r="M278" s="32"/>
    </row>
    <row r="279" spans="2:13" x14ac:dyDescent="0.3">
      <c r="B279" s="33"/>
      <c r="C279" s="34"/>
      <c r="D279" s="34"/>
      <c r="E279" s="34"/>
      <c r="F279" s="34"/>
      <c r="G279" s="34"/>
      <c r="H279" s="34"/>
      <c r="I279" s="34"/>
      <c r="J279" s="34"/>
      <c r="K279" s="35"/>
      <c r="L279" s="34"/>
      <c r="M279" s="32"/>
    </row>
    <row r="280" spans="2:13" x14ac:dyDescent="0.3">
      <c r="B280" s="33"/>
      <c r="C280" s="34"/>
      <c r="D280" s="34"/>
      <c r="E280" s="34"/>
      <c r="F280" s="34"/>
      <c r="G280" s="34"/>
      <c r="H280" s="34"/>
      <c r="I280" s="34"/>
      <c r="J280" s="34"/>
      <c r="K280" s="35"/>
      <c r="L280" s="34"/>
      <c r="M280" s="32"/>
    </row>
    <row r="281" spans="2:13" x14ac:dyDescent="0.3">
      <c r="B281" s="33"/>
      <c r="C281" s="34"/>
      <c r="D281" s="34"/>
      <c r="E281" s="34"/>
      <c r="F281" s="34"/>
      <c r="G281" s="34"/>
      <c r="H281" s="34"/>
      <c r="I281" s="34"/>
      <c r="J281" s="34"/>
      <c r="K281" s="35"/>
      <c r="L281" s="34"/>
      <c r="M281" s="32"/>
    </row>
    <row r="282" spans="2:13" x14ac:dyDescent="0.3">
      <c r="B282" s="33"/>
      <c r="C282" s="34"/>
      <c r="D282" s="34"/>
      <c r="E282" s="34"/>
      <c r="F282" s="34"/>
      <c r="G282" s="34"/>
      <c r="H282" s="34"/>
      <c r="I282" s="34"/>
      <c r="J282" s="34"/>
      <c r="K282" s="35"/>
      <c r="L282" s="34"/>
      <c r="M282" s="32"/>
    </row>
    <row r="283" spans="2:13" x14ac:dyDescent="0.3">
      <c r="B283" s="33"/>
      <c r="C283" s="34"/>
      <c r="D283" s="34"/>
      <c r="E283" s="34"/>
      <c r="F283" s="34"/>
      <c r="G283" s="34"/>
      <c r="H283" s="34"/>
      <c r="I283" s="34"/>
      <c r="J283" s="34"/>
      <c r="K283" s="35"/>
      <c r="L283" s="34"/>
      <c r="M283" s="32"/>
    </row>
    <row r="284" spans="2:13" x14ac:dyDescent="0.3">
      <c r="B284" s="33"/>
      <c r="C284" s="34"/>
      <c r="D284" s="34"/>
      <c r="E284" s="34"/>
      <c r="F284" s="34"/>
      <c r="G284" s="34"/>
      <c r="H284" s="34"/>
      <c r="I284" s="34"/>
      <c r="J284" s="34"/>
      <c r="K284" s="35"/>
      <c r="L284" s="34"/>
      <c r="M284" s="32"/>
    </row>
    <row r="285" spans="2:13" x14ac:dyDescent="0.3">
      <c r="B285" s="33"/>
      <c r="C285" s="34"/>
      <c r="D285" s="34"/>
      <c r="E285" s="34"/>
      <c r="F285" s="34"/>
      <c r="G285" s="34"/>
      <c r="H285" s="34"/>
      <c r="I285" s="34"/>
      <c r="J285" s="34"/>
      <c r="K285" s="35"/>
      <c r="L285" s="34"/>
      <c r="M285" s="32"/>
    </row>
    <row r="286" spans="2:13" x14ac:dyDescent="0.3">
      <c r="B286" s="33"/>
      <c r="C286" s="34"/>
      <c r="D286" s="34"/>
      <c r="E286" s="34"/>
      <c r="F286" s="34"/>
      <c r="G286" s="34"/>
      <c r="H286" s="34"/>
      <c r="I286" s="34"/>
      <c r="J286" s="34"/>
      <c r="K286" s="35"/>
      <c r="L286" s="34"/>
      <c r="M286" s="32"/>
    </row>
    <row r="287" spans="2:13" x14ac:dyDescent="0.3">
      <c r="B287" s="33"/>
      <c r="C287" s="34"/>
      <c r="D287" s="34"/>
      <c r="E287" s="34"/>
      <c r="F287" s="34"/>
      <c r="G287" s="34"/>
      <c r="H287" s="34"/>
      <c r="I287" s="34"/>
      <c r="J287" s="34"/>
      <c r="K287" s="35"/>
      <c r="L287" s="34"/>
      <c r="M287" s="32"/>
    </row>
    <row r="288" spans="2:13" x14ac:dyDescent="0.3">
      <c r="B288" s="33"/>
      <c r="C288" s="34"/>
      <c r="D288" s="34"/>
      <c r="E288" s="34"/>
      <c r="F288" s="34"/>
      <c r="G288" s="34"/>
      <c r="H288" s="34"/>
      <c r="I288" s="34"/>
      <c r="J288" s="34"/>
      <c r="K288" s="35"/>
      <c r="L288" s="34"/>
      <c r="M288" s="32"/>
    </row>
    <row r="289" spans="2:13" x14ac:dyDescent="0.3">
      <c r="B289" s="33"/>
      <c r="C289" s="34"/>
      <c r="D289" s="34"/>
      <c r="E289" s="34"/>
      <c r="F289" s="34"/>
      <c r="G289" s="34"/>
      <c r="H289" s="34"/>
      <c r="I289" s="34"/>
      <c r="J289" s="34"/>
      <c r="K289" s="35"/>
      <c r="L289" s="34"/>
      <c r="M289" s="32"/>
    </row>
    <row r="290" spans="2:13" x14ac:dyDescent="0.3">
      <c r="B290" s="33"/>
      <c r="C290" s="34"/>
      <c r="D290" s="34"/>
      <c r="E290" s="34"/>
      <c r="F290" s="34"/>
      <c r="G290" s="34"/>
      <c r="H290" s="34"/>
      <c r="I290" s="34"/>
      <c r="J290" s="34"/>
      <c r="K290" s="35"/>
      <c r="L290" s="34"/>
      <c r="M290" s="32"/>
    </row>
    <row r="291" spans="2:13" x14ac:dyDescent="0.3">
      <c r="B291" s="33"/>
      <c r="C291" s="34"/>
      <c r="D291" s="34"/>
      <c r="E291" s="34"/>
      <c r="F291" s="34"/>
      <c r="G291" s="34"/>
      <c r="H291" s="34"/>
      <c r="I291" s="34"/>
      <c r="J291" s="34"/>
      <c r="K291" s="35"/>
      <c r="L291" s="34"/>
      <c r="M291" s="32"/>
    </row>
    <row r="292" spans="2:13" x14ac:dyDescent="0.3">
      <c r="B292" s="33"/>
      <c r="C292" s="34"/>
      <c r="D292" s="34"/>
      <c r="E292" s="34"/>
      <c r="F292" s="34"/>
      <c r="G292" s="34"/>
      <c r="H292" s="34"/>
      <c r="I292" s="34"/>
      <c r="J292" s="34"/>
      <c r="K292" s="35"/>
      <c r="L292" s="34"/>
      <c r="M292" s="32"/>
    </row>
    <row r="293" spans="2:13" x14ac:dyDescent="0.3">
      <c r="B293" s="33"/>
      <c r="C293" s="34"/>
      <c r="D293" s="34"/>
      <c r="E293" s="34"/>
      <c r="F293" s="34"/>
      <c r="G293" s="34"/>
      <c r="H293" s="34"/>
      <c r="I293" s="34"/>
      <c r="J293" s="34"/>
      <c r="K293" s="35"/>
      <c r="L293" s="34"/>
      <c r="M293" s="32"/>
    </row>
    <row r="294" spans="2:13" x14ac:dyDescent="0.3">
      <c r="B294" s="33"/>
      <c r="C294" s="34"/>
      <c r="D294" s="34"/>
      <c r="E294" s="34"/>
      <c r="F294" s="34"/>
      <c r="G294" s="34"/>
      <c r="H294" s="34"/>
      <c r="I294" s="34"/>
      <c r="J294" s="34"/>
      <c r="K294" s="35"/>
      <c r="L294" s="34"/>
      <c r="M294" s="32"/>
    </row>
    <row r="295" spans="2:13" x14ac:dyDescent="0.3">
      <c r="B295" s="33"/>
      <c r="C295" s="34"/>
      <c r="D295" s="34"/>
      <c r="E295" s="34"/>
      <c r="F295" s="34"/>
      <c r="G295" s="34"/>
      <c r="H295" s="34"/>
      <c r="I295" s="34"/>
      <c r="J295" s="34"/>
      <c r="K295" s="35"/>
      <c r="L295" s="34"/>
      <c r="M295" s="32"/>
    </row>
    <row r="296" spans="2:13" x14ac:dyDescent="0.3">
      <c r="B296" s="33"/>
      <c r="C296" s="34"/>
      <c r="D296" s="34"/>
      <c r="E296" s="34"/>
      <c r="F296" s="34"/>
      <c r="G296" s="34"/>
      <c r="H296" s="34"/>
      <c r="I296" s="34"/>
      <c r="J296" s="34"/>
      <c r="K296" s="35"/>
      <c r="L296" s="34"/>
      <c r="M296" s="32"/>
    </row>
    <row r="297" spans="2:13" x14ac:dyDescent="0.3">
      <c r="B297" s="33"/>
      <c r="C297" s="34"/>
      <c r="D297" s="34"/>
      <c r="E297" s="34"/>
      <c r="F297" s="34"/>
      <c r="G297" s="34"/>
      <c r="H297" s="34"/>
      <c r="I297" s="34"/>
      <c r="J297" s="34"/>
      <c r="K297" s="35"/>
      <c r="L297" s="34"/>
      <c r="M297" s="32"/>
    </row>
    <row r="298" spans="2:13" x14ac:dyDescent="0.3">
      <c r="B298" s="33"/>
      <c r="C298" s="34"/>
      <c r="D298" s="34"/>
      <c r="E298" s="34"/>
      <c r="F298" s="34"/>
      <c r="G298" s="34"/>
      <c r="H298" s="34"/>
      <c r="I298" s="34"/>
      <c r="J298" s="34"/>
      <c r="K298" s="35"/>
      <c r="L298" s="34"/>
      <c r="M298" s="32"/>
    </row>
    <row r="299" spans="2:13" x14ac:dyDescent="0.3">
      <c r="B299" s="33"/>
      <c r="C299" s="34"/>
      <c r="D299" s="34"/>
      <c r="E299" s="34"/>
      <c r="F299" s="34"/>
      <c r="G299" s="34"/>
      <c r="H299" s="34"/>
      <c r="I299" s="34"/>
      <c r="J299" s="34"/>
      <c r="K299" s="35"/>
      <c r="L299" s="34"/>
      <c r="M299" s="32"/>
    </row>
    <row r="300" spans="2:13" x14ac:dyDescent="0.3">
      <c r="B300" s="33"/>
      <c r="C300" s="34"/>
      <c r="D300" s="34"/>
      <c r="E300" s="34"/>
      <c r="F300" s="34"/>
      <c r="G300" s="34"/>
      <c r="H300" s="34"/>
      <c r="I300" s="34"/>
      <c r="J300" s="34"/>
      <c r="K300" s="35"/>
      <c r="L300" s="34"/>
      <c r="M300" s="32"/>
    </row>
    <row r="301" spans="2:13" x14ac:dyDescent="0.3">
      <c r="B301" s="33"/>
      <c r="C301" s="34"/>
      <c r="D301" s="34"/>
      <c r="E301" s="34"/>
      <c r="F301" s="34"/>
      <c r="G301" s="34"/>
      <c r="H301" s="34"/>
      <c r="I301" s="34"/>
      <c r="J301" s="34"/>
      <c r="K301" s="35"/>
      <c r="L301" s="34"/>
      <c r="M301" s="32"/>
    </row>
    <row r="302" spans="2:13" x14ac:dyDescent="0.3">
      <c r="B302" s="33"/>
      <c r="C302" s="34"/>
      <c r="D302" s="34"/>
      <c r="E302" s="34"/>
      <c r="F302" s="34"/>
      <c r="G302" s="34"/>
      <c r="H302" s="34"/>
      <c r="I302" s="34"/>
      <c r="J302" s="34"/>
      <c r="K302" s="35"/>
      <c r="L302" s="34"/>
      <c r="M302" s="32"/>
    </row>
    <row r="303" spans="2:13" x14ac:dyDescent="0.3">
      <c r="B303" s="33"/>
      <c r="C303" s="34"/>
      <c r="D303" s="34"/>
      <c r="E303" s="34"/>
      <c r="F303" s="34"/>
      <c r="G303" s="34"/>
      <c r="H303" s="34"/>
      <c r="I303" s="34"/>
      <c r="J303" s="34"/>
      <c r="K303" s="35"/>
      <c r="L303" s="34"/>
      <c r="M303" s="32"/>
    </row>
    <row r="304" spans="2:13" x14ac:dyDescent="0.3">
      <c r="B304" s="33"/>
      <c r="C304" s="34"/>
      <c r="D304" s="34"/>
      <c r="E304" s="34"/>
      <c r="F304" s="34"/>
      <c r="G304" s="34"/>
      <c r="H304" s="34"/>
      <c r="I304" s="34"/>
      <c r="J304" s="34"/>
      <c r="K304" s="35"/>
      <c r="L304" s="34"/>
      <c r="M304" s="32"/>
    </row>
    <row r="305" spans="2:13" x14ac:dyDescent="0.3">
      <c r="B305" s="33"/>
      <c r="C305" s="34"/>
      <c r="D305" s="34"/>
      <c r="E305" s="34"/>
      <c r="F305" s="34"/>
      <c r="G305" s="34"/>
      <c r="H305" s="34"/>
      <c r="I305" s="34"/>
      <c r="J305" s="34"/>
      <c r="K305" s="35"/>
      <c r="L305" s="34"/>
      <c r="M305" s="32"/>
    </row>
    <row r="306" spans="2:13" x14ac:dyDescent="0.3">
      <c r="B306" s="33"/>
      <c r="C306" s="34"/>
      <c r="D306" s="34"/>
      <c r="E306" s="34"/>
      <c r="F306" s="34"/>
      <c r="G306" s="34"/>
      <c r="H306" s="34"/>
      <c r="I306" s="34"/>
      <c r="J306" s="34"/>
      <c r="K306" s="35"/>
      <c r="L306" s="34"/>
      <c r="M306" s="32"/>
    </row>
    <row r="307" spans="2:13" x14ac:dyDescent="0.3">
      <c r="B307" s="33"/>
      <c r="C307" s="34"/>
      <c r="D307" s="34"/>
      <c r="E307" s="34"/>
      <c r="F307" s="34"/>
      <c r="G307" s="34"/>
      <c r="H307" s="34"/>
      <c r="I307" s="34"/>
      <c r="J307" s="34"/>
      <c r="K307" s="35"/>
      <c r="L307" s="34"/>
      <c r="M307" s="32"/>
    </row>
    <row r="308" spans="2:13" x14ac:dyDescent="0.3">
      <c r="B308" s="33"/>
      <c r="C308" s="34"/>
      <c r="D308" s="34"/>
      <c r="E308" s="34"/>
      <c r="F308" s="34"/>
      <c r="G308" s="34"/>
      <c r="H308" s="34"/>
      <c r="I308" s="34"/>
      <c r="J308" s="34"/>
      <c r="K308" s="35"/>
      <c r="L308" s="34"/>
      <c r="M308" s="32"/>
    </row>
    <row r="309" spans="2:13" x14ac:dyDescent="0.3">
      <c r="B309" s="33"/>
      <c r="C309" s="34"/>
      <c r="D309" s="34"/>
      <c r="E309" s="34"/>
      <c r="F309" s="34"/>
      <c r="G309" s="34"/>
      <c r="H309" s="34"/>
      <c r="I309" s="34"/>
      <c r="J309" s="34"/>
      <c r="K309" s="35"/>
      <c r="L309" s="34"/>
      <c r="M309" s="32"/>
    </row>
    <row r="310" spans="2:13" x14ac:dyDescent="0.3">
      <c r="B310" s="33"/>
      <c r="C310" s="34"/>
      <c r="D310" s="34"/>
      <c r="E310" s="34"/>
      <c r="F310" s="34"/>
      <c r="G310" s="34"/>
      <c r="H310" s="34"/>
      <c r="I310" s="34"/>
      <c r="J310" s="34"/>
      <c r="K310" s="35"/>
      <c r="L310" s="34"/>
      <c r="M310" s="32"/>
    </row>
    <row r="311" spans="2:13" x14ac:dyDescent="0.3">
      <c r="B311" s="33"/>
      <c r="C311" s="34"/>
      <c r="D311" s="34"/>
      <c r="E311" s="34"/>
      <c r="F311" s="34"/>
      <c r="G311" s="34"/>
      <c r="H311" s="34"/>
      <c r="I311" s="34"/>
      <c r="J311" s="34"/>
      <c r="K311" s="35"/>
      <c r="L311" s="34"/>
      <c r="M311" s="32"/>
    </row>
    <row r="312" spans="2:13" x14ac:dyDescent="0.3">
      <c r="B312" s="33"/>
      <c r="C312" s="34"/>
      <c r="D312" s="34"/>
      <c r="E312" s="34"/>
      <c r="F312" s="34"/>
      <c r="G312" s="34"/>
      <c r="H312" s="34"/>
      <c r="I312" s="34"/>
      <c r="J312" s="34"/>
      <c r="K312" s="35"/>
      <c r="L312" s="34"/>
      <c r="M312" s="32"/>
    </row>
    <row r="313" spans="2:13" x14ac:dyDescent="0.3">
      <c r="B313" s="33"/>
      <c r="C313" s="34"/>
      <c r="D313" s="34"/>
      <c r="E313" s="34"/>
      <c r="F313" s="34"/>
      <c r="G313" s="34"/>
      <c r="H313" s="34"/>
      <c r="I313" s="34"/>
      <c r="J313" s="34"/>
      <c r="K313" s="35"/>
      <c r="L313" s="34"/>
      <c r="M313" s="32"/>
    </row>
    <row r="314" spans="2:13" x14ac:dyDescent="0.3">
      <c r="B314" s="33"/>
      <c r="C314" s="34"/>
      <c r="D314" s="34"/>
      <c r="E314" s="34"/>
      <c r="F314" s="34"/>
      <c r="G314" s="34"/>
      <c r="H314" s="34"/>
      <c r="I314" s="34"/>
      <c r="J314" s="34"/>
      <c r="K314" s="35"/>
      <c r="L314" s="34"/>
      <c r="M314" s="32"/>
    </row>
    <row r="315" spans="2:13" x14ac:dyDescent="0.3">
      <c r="B315" s="33"/>
      <c r="C315" s="34"/>
      <c r="D315" s="34"/>
      <c r="E315" s="34"/>
      <c r="F315" s="34"/>
      <c r="G315" s="34"/>
      <c r="H315" s="34"/>
      <c r="I315" s="34"/>
      <c r="J315" s="34"/>
      <c r="K315" s="35"/>
      <c r="L315" s="34"/>
      <c r="M315" s="32"/>
    </row>
    <row r="316" spans="2:13" x14ac:dyDescent="0.3">
      <c r="B316" s="33"/>
      <c r="C316" s="34"/>
      <c r="D316" s="34"/>
      <c r="E316" s="34"/>
      <c r="F316" s="34"/>
      <c r="G316" s="34"/>
      <c r="H316" s="34"/>
      <c r="I316" s="34"/>
      <c r="J316" s="34"/>
      <c r="K316" s="35"/>
      <c r="L316" s="34"/>
      <c r="M316" s="32"/>
    </row>
    <row r="317" spans="2:13" x14ac:dyDescent="0.3">
      <c r="B317" s="33"/>
      <c r="C317" s="34"/>
      <c r="D317" s="34"/>
      <c r="E317" s="34"/>
      <c r="F317" s="34"/>
      <c r="G317" s="34"/>
      <c r="H317" s="34"/>
      <c r="I317" s="34"/>
      <c r="J317" s="34"/>
      <c r="K317" s="35"/>
      <c r="L317" s="34"/>
      <c r="M317" s="32"/>
    </row>
    <row r="318" spans="2:13" x14ac:dyDescent="0.3">
      <c r="B318" s="33"/>
      <c r="C318" s="34"/>
      <c r="D318" s="34"/>
      <c r="E318" s="34"/>
      <c r="F318" s="34"/>
      <c r="G318" s="34"/>
      <c r="H318" s="34"/>
      <c r="I318" s="34"/>
      <c r="J318" s="34"/>
      <c r="K318" s="35"/>
      <c r="L318" s="34"/>
      <c r="M318" s="32"/>
    </row>
    <row r="319" spans="2:13" x14ac:dyDescent="0.3">
      <c r="B319" s="33"/>
      <c r="C319" s="34"/>
      <c r="D319" s="34"/>
      <c r="E319" s="34"/>
      <c r="F319" s="34"/>
      <c r="G319" s="34"/>
      <c r="H319" s="34"/>
      <c r="I319" s="34"/>
      <c r="J319" s="34"/>
      <c r="K319" s="35"/>
      <c r="L319" s="34"/>
      <c r="M319" s="32"/>
    </row>
    <row r="320" spans="2:13" x14ac:dyDescent="0.3">
      <c r="B320" s="33"/>
      <c r="C320" s="34"/>
      <c r="D320" s="34"/>
      <c r="E320" s="34"/>
      <c r="F320" s="34"/>
      <c r="G320" s="34"/>
      <c r="H320" s="34"/>
      <c r="I320" s="34"/>
      <c r="J320" s="34"/>
      <c r="K320" s="35"/>
      <c r="L320" s="34"/>
      <c r="M320" s="32"/>
    </row>
    <row r="321" spans="2:13" x14ac:dyDescent="0.3">
      <c r="B321" s="33"/>
      <c r="C321" s="34"/>
      <c r="D321" s="34"/>
      <c r="E321" s="34"/>
      <c r="F321" s="34"/>
      <c r="G321" s="34"/>
      <c r="H321" s="34"/>
      <c r="I321" s="34"/>
      <c r="J321" s="34"/>
      <c r="K321" s="35"/>
      <c r="L321" s="34"/>
      <c r="M321" s="32"/>
    </row>
    <row r="322" spans="2:13" x14ac:dyDescent="0.3">
      <c r="B322" s="33"/>
      <c r="C322" s="34"/>
      <c r="D322" s="34"/>
      <c r="E322" s="34"/>
      <c r="F322" s="34"/>
      <c r="G322" s="34"/>
      <c r="H322" s="34"/>
      <c r="I322" s="34"/>
      <c r="J322" s="34"/>
      <c r="K322" s="35"/>
      <c r="L322" s="34"/>
      <c r="M322" s="32"/>
    </row>
    <row r="323" spans="2:13" x14ac:dyDescent="0.3">
      <c r="B323" s="33"/>
      <c r="C323" s="34"/>
      <c r="D323" s="34"/>
      <c r="E323" s="34"/>
      <c r="F323" s="34"/>
      <c r="G323" s="34"/>
      <c r="H323" s="34"/>
      <c r="I323" s="34"/>
      <c r="J323" s="34"/>
      <c r="K323" s="35"/>
      <c r="L323" s="34"/>
      <c r="M323" s="32"/>
    </row>
    <row r="324" spans="2:13" x14ac:dyDescent="0.3">
      <c r="B324" s="33"/>
      <c r="C324" s="34"/>
      <c r="D324" s="34"/>
      <c r="E324" s="34"/>
      <c r="F324" s="34"/>
      <c r="G324" s="34"/>
      <c r="H324" s="34"/>
      <c r="I324" s="34"/>
      <c r="J324" s="34"/>
      <c r="K324" s="35"/>
      <c r="L324" s="34"/>
      <c r="M324" s="32"/>
    </row>
    <row r="325" spans="2:13" x14ac:dyDescent="0.3">
      <c r="B325" s="33"/>
      <c r="C325" s="34"/>
      <c r="D325" s="34"/>
      <c r="E325" s="34"/>
      <c r="F325" s="34"/>
      <c r="G325" s="34"/>
      <c r="H325" s="34"/>
      <c r="I325" s="34"/>
      <c r="J325" s="34"/>
      <c r="K325" s="35"/>
      <c r="L325" s="34"/>
      <c r="M325" s="32"/>
    </row>
    <row r="326" spans="2:13" x14ac:dyDescent="0.3">
      <c r="B326" s="33"/>
      <c r="C326" s="34"/>
      <c r="D326" s="34"/>
      <c r="E326" s="34"/>
      <c r="F326" s="34"/>
      <c r="G326" s="34"/>
      <c r="H326" s="34"/>
      <c r="I326" s="34"/>
      <c r="J326" s="34"/>
      <c r="K326" s="35"/>
      <c r="L326" s="34"/>
      <c r="M326" s="32"/>
    </row>
    <row r="327" spans="2:13" x14ac:dyDescent="0.3">
      <c r="B327" s="33"/>
      <c r="C327" s="34"/>
      <c r="D327" s="34"/>
      <c r="E327" s="34"/>
      <c r="F327" s="34"/>
      <c r="G327" s="34"/>
      <c r="H327" s="34"/>
      <c r="I327" s="34"/>
      <c r="J327" s="34"/>
      <c r="K327" s="35"/>
      <c r="L327" s="34"/>
      <c r="M327" s="32"/>
    </row>
    <row r="328" spans="2:13" x14ac:dyDescent="0.3">
      <c r="B328" s="33"/>
      <c r="C328" s="34"/>
      <c r="D328" s="34"/>
      <c r="E328" s="34"/>
      <c r="F328" s="34"/>
      <c r="G328" s="34"/>
      <c r="H328" s="34"/>
      <c r="I328" s="34"/>
      <c r="J328" s="34"/>
      <c r="K328" s="35"/>
      <c r="L328" s="34"/>
      <c r="M328" s="32"/>
    </row>
    <row r="329" spans="2:13" x14ac:dyDescent="0.3">
      <c r="B329" s="33"/>
      <c r="C329" s="34"/>
      <c r="D329" s="34"/>
      <c r="E329" s="34"/>
      <c r="F329" s="34"/>
      <c r="G329" s="34"/>
      <c r="H329" s="34"/>
      <c r="I329" s="34"/>
      <c r="J329" s="34"/>
      <c r="K329" s="35"/>
      <c r="L329" s="34"/>
      <c r="M329" s="32"/>
    </row>
    <row r="330" spans="2:13" x14ac:dyDescent="0.3">
      <c r="B330" s="33"/>
      <c r="C330" s="34"/>
      <c r="D330" s="34"/>
      <c r="E330" s="34"/>
      <c r="F330" s="34"/>
      <c r="G330" s="34"/>
      <c r="H330" s="34"/>
      <c r="I330" s="34"/>
      <c r="J330" s="34"/>
      <c r="K330" s="35"/>
      <c r="L330" s="34"/>
      <c r="M330" s="32"/>
    </row>
    <row r="331" spans="2:13" x14ac:dyDescent="0.3">
      <c r="B331" s="33"/>
      <c r="C331" s="34"/>
      <c r="D331" s="34"/>
      <c r="E331" s="34"/>
      <c r="F331" s="34"/>
      <c r="G331" s="34"/>
      <c r="H331" s="34"/>
      <c r="I331" s="34"/>
      <c r="J331" s="34"/>
      <c r="K331" s="35"/>
      <c r="L331" s="34"/>
      <c r="M331" s="32"/>
    </row>
    <row r="332" spans="2:13" x14ac:dyDescent="0.3">
      <c r="B332" s="33"/>
      <c r="C332" s="34"/>
      <c r="D332" s="34"/>
      <c r="E332" s="34"/>
      <c r="F332" s="34"/>
      <c r="G332" s="34"/>
      <c r="H332" s="34"/>
      <c r="I332" s="34"/>
      <c r="J332" s="34"/>
      <c r="K332" s="35"/>
      <c r="L332" s="34"/>
      <c r="M332" s="32"/>
    </row>
    <row r="333" spans="2:13" x14ac:dyDescent="0.3">
      <c r="B333" s="33"/>
      <c r="C333" s="34"/>
      <c r="D333" s="34"/>
      <c r="E333" s="34"/>
      <c r="F333" s="34"/>
      <c r="G333" s="34"/>
      <c r="H333" s="34"/>
      <c r="I333" s="34"/>
      <c r="J333" s="34"/>
      <c r="K333" s="35"/>
      <c r="L333" s="34"/>
      <c r="M333" s="32"/>
    </row>
    <row r="334" spans="2:13" x14ac:dyDescent="0.3">
      <c r="B334" s="33"/>
      <c r="C334" s="34"/>
      <c r="D334" s="34"/>
      <c r="E334" s="34"/>
      <c r="F334" s="34"/>
      <c r="G334" s="34"/>
      <c r="H334" s="34"/>
      <c r="I334" s="34"/>
      <c r="J334" s="34"/>
      <c r="K334" s="35"/>
      <c r="L334" s="34"/>
      <c r="M334" s="32"/>
    </row>
    <row r="335" spans="2:13" x14ac:dyDescent="0.3">
      <c r="B335" s="33"/>
      <c r="C335" s="34"/>
      <c r="D335" s="34"/>
      <c r="E335" s="34"/>
      <c r="F335" s="34"/>
      <c r="G335" s="34"/>
      <c r="H335" s="34"/>
      <c r="I335" s="34"/>
      <c r="J335" s="34"/>
      <c r="K335" s="35"/>
      <c r="L335" s="34"/>
      <c r="M335" s="32"/>
    </row>
    <row r="336" spans="2:13" x14ac:dyDescent="0.3">
      <c r="B336" s="33"/>
      <c r="C336" s="34"/>
      <c r="D336" s="34"/>
      <c r="E336" s="34"/>
      <c r="F336" s="34"/>
      <c r="G336" s="34"/>
      <c r="H336" s="34"/>
      <c r="I336" s="34"/>
      <c r="J336" s="34"/>
      <c r="K336" s="35"/>
      <c r="L336" s="34"/>
      <c r="M336" s="32"/>
    </row>
    <row r="337" spans="2:13" x14ac:dyDescent="0.3">
      <c r="B337" s="33"/>
      <c r="C337" s="34"/>
      <c r="D337" s="34"/>
      <c r="E337" s="34"/>
      <c r="F337" s="34"/>
      <c r="G337" s="34"/>
      <c r="H337" s="34"/>
      <c r="I337" s="34"/>
      <c r="J337" s="34"/>
      <c r="K337" s="35"/>
      <c r="L337" s="34"/>
      <c r="M337" s="32"/>
    </row>
    <row r="338" spans="2:13" x14ac:dyDescent="0.3">
      <c r="B338" s="33"/>
      <c r="C338" s="34"/>
      <c r="D338" s="34"/>
      <c r="E338" s="34"/>
      <c r="F338" s="34"/>
      <c r="G338" s="34"/>
      <c r="H338" s="34"/>
      <c r="I338" s="34"/>
      <c r="J338" s="34"/>
      <c r="K338" s="35"/>
      <c r="L338" s="34"/>
      <c r="M338" s="32"/>
    </row>
    <row r="339" spans="2:13" x14ac:dyDescent="0.3">
      <c r="B339" s="33"/>
      <c r="C339" s="34"/>
      <c r="D339" s="34"/>
      <c r="E339" s="34"/>
      <c r="F339" s="34"/>
      <c r="G339" s="34"/>
      <c r="H339" s="34"/>
      <c r="I339" s="34"/>
      <c r="J339" s="34"/>
      <c r="K339" s="35"/>
      <c r="L339" s="34"/>
      <c r="M339" s="32"/>
    </row>
    <row r="340" spans="2:13" x14ac:dyDescent="0.3">
      <c r="B340" s="33"/>
      <c r="C340" s="34"/>
      <c r="D340" s="34"/>
      <c r="E340" s="34"/>
      <c r="F340" s="34"/>
      <c r="G340" s="34"/>
      <c r="H340" s="34"/>
      <c r="I340" s="34"/>
      <c r="J340" s="34"/>
      <c r="K340" s="35"/>
      <c r="L340" s="34"/>
      <c r="M340" s="32"/>
    </row>
    <row r="341" spans="2:13" x14ac:dyDescent="0.3">
      <c r="B341" s="33"/>
      <c r="C341" s="34"/>
      <c r="D341" s="34"/>
      <c r="E341" s="34"/>
      <c r="F341" s="34"/>
      <c r="G341" s="34"/>
      <c r="H341" s="34"/>
      <c r="I341" s="34"/>
      <c r="J341" s="34"/>
      <c r="K341" s="35"/>
      <c r="L341" s="34"/>
      <c r="M341" s="32"/>
    </row>
    <row r="342" spans="2:13" x14ac:dyDescent="0.3">
      <c r="B342" s="33"/>
      <c r="C342" s="34"/>
      <c r="D342" s="34"/>
      <c r="E342" s="34"/>
      <c r="F342" s="34"/>
      <c r="G342" s="34"/>
      <c r="H342" s="34"/>
      <c r="I342" s="34"/>
      <c r="J342" s="34"/>
      <c r="K342" s="35"/>
      <c r="L342" s="34"/>
      <c r="M342" s="32"/>
    </row>
    <row r="343" spans="2:13" x14ac:dyDescent="0.3">
      <c r="B343" s="33"/>
      <c r="C343" s="34"/>
      <c r="D343" s="34"/>
      <c r="E343" s="34"/>
      <c r="F343" s="34"/>
      <c r="G343" s="34"/>
      <c r="H343" s="34"/>
      <c r="I343" s="34"/>
      <c r="J343" s="34"/>
      <c r="K343" s="35"/>
      <c r="L343" s="34"/>
      <c r="M343" s="32"/>
    </row>
    <row r="344" spans="2:13" x14ac:dyDescent="0.3">
      <c r="B344" s="33"/>
      <c r="C344" s="34"/>
      <c r="D344" s="34"/>
      <c r="E344" s="34"/>
      <c r="F344" s="34"/>
      <c r="G344" s="34"/>
      <c r="H344" s="34"/>
      <c r="I344" s="34"/>
      <c r="J344" s="34"/>
      <c r="K344" s="35"/>
      <c r="L344" s="34"/>
      <c r="M344" s="32"/>
    </row>
    <row r="345" spans="2:13" x14ac:dyDescent="0.3">
      <c r="B345" s="33"/>
      <c r="C345" s="34"/>
      <c r="D345" s="34"/>
      <c r="E345" s="34"/>
      <c r="F345" s="34"/>
      <c r="G345" s="34"/>
      <c r="H345" s="34"/>
      <c r="I345" s="34"/>
      <c r="J345" s="34"/>
      <c r="K345" s="35"/>
      <c r="L345" s="34"/>
      <c r="M345" s="32"/>
    </row>
    <row r="346" spans="2:13" x14ac:dyDescent="0.3">
      <c r="B346" s="33"/>
      <c r="C346" s="34"/>
      <c r="D346" s="34"/>
      <c r="E346" s="34"/>
      <c r="F346" s="34"/>
      <c r="G346" s="34"/>
      <c r="H346" s="34"/>
      <c r="I346" s="34"/>
      <c r="J346" s="34"/>
      <c r="K346" s="35"/>
      <c r="L346" s="34"/>
      <c r="M346" s="32"/>
    </row>
    <row r="347" spans="2:13" x14ac:dyDescent="0.3">
      <c r="B347" s="33"/>
      <c r="C347" s="34"/>
      <c r="D347" s="34"/>
      <c r="E347" s="34"/>
      <c r="F347" s="34"/>
      <c r="G347" s="34"/>
      <c r="H347" s="34"/>
      <c r="I347" s="34"/>
      <c r="J347" s="34"/>
      <c r="K347" s="35"/>
      <c r="L347" s="34"/>
      <c r="M347" s="32"/>
    </row>
    <row r="348" spans="2:13" x14ac:dyDescent="0.3">
      <c r="B348" s="33"/>
      <c r="C348" s="34"/>
      <c r="D348" s="34"/>
      <c r="E348" s="34"/>
      <c r="F348" s="34"/>
      <c r="G348" s="34"/>
      <c r="H348" s="34"/>
      <c r="I348" s="34"/>
      <c r="J348" s="34"/>
      <c r="K348" s="35"/>
      <c r="L348" s="34"/>
      <c r="M348" s="32"/>
    </row>
    <row r="349" spans="2:13" x14ac:dyDescent="0.3">
      <c r="B349" s="33"/>
      <c r="C349" s="34"/>
      <c r="D349" s="34"/>
      <c r="E349" s="34"/>
      <c r="F349" s="34"/>
      <c r="G349" s="34"/>
      <c r="H349" s="34"/>
      <c r="I349" s="34"/>
      <c r="J349" s="34"/>
      <c r="K349" s="35"/>
      <c r="L349" s="34"/>
      <c r="M349" s="32"/>
    </row>
    <row r="350" spans="2:13" x14ac:dyDescent="0.3">
      <c r="B350" s="33"/>
      <c r="C350" s="34"/>
      <c r="D350" s="34"/>
      <c r="E350" s="34"/>
      <c r="F350" s="34"/>
      <c r="G350" s="34"/>
      <c r="H350" s="34"/>
      <c r="I350" s="34"/>
      <c r="J350" s="34"/>
      <c r="K350" s="35"/>
      <c r="L350" s="34"/>
      <c r="M350" s="32"/>
    </row>
    <row r="351" spans="2:13" x14ac:dyDescent="0.3">
      <c r="B351" s="33"/>
      <c r="C351" s="34"/>
      <c r="D351" s="34"/>
      <c r="E351" s="34"/>
      <c r="F351" s="34"/>
      <c r="G351" s="34"/>
      <c r="H351" s="34"/>
      <c r="I351" s="34"/>
      <c r="J351" s="34"/>
      <c r="K351" s="35"/>
      <c r="L351" s="34"/>
      <c r="M351" s="32"/>
    </row>
    <row r="352" spans="2:13" x14ac:dyDescent="0.3">
      <c r="B352" s="33"/>
      <c r="C352" s="34"/>
      <c r="D352" s="34"/>
      <c r="E352" s="34"/>
      <c r="F352" s="34"/>
      <c r="G352" s="34"/>
      <c r="H352" s="34"/>
      <c r="I352" s="34"/>
      <c r="J352" s="34"/>
      <c r="K352" s="35"/>
      <c r="L352" s="34"/>
      <c r="M352" s="32"/>
    </row>
    <row r="353" spans="2:13" x14ac:dyDescent="0.3">
      <c r="B353" s="33"/>
      <c r="C353" s="34"/>
      <c r="D353" s="34"/>
      <c r="E353" s="34"/>
      <c r="F353" s="34"/>
      <c r="G353" s="34"/>
      <c r="H353" s="34"/>
      <c r="I353" s="34"/>
      <c r="J353" s="34"/>
      <c r="K353" s="35"/>
      <c r="L353" s="34"/>
      <c r="M353" s="32"/>
    </row>
    <row r="354" spans="2:13" x14ac:dyDescent="0.3">
      <c r="B354" s="33"/>
      <c r="C354" s="34"/>
      <c r="D354" s="34"/>
      <c r="E354" s="34"/>
      <c r="F354" s="34"/>
      <c r="G354" s="34"/>
      <c r="H354" s="34"/>
      <c r="I354" s="34"/>
      <c r="J354" s="34"/>
      <c r="K354" s="35"/>
      <c r="L354" s="34"/>
      <c r="M354" s="32"/>
    </row>
    <row r="355" spans="2:13" x14ac:dyDescent="0.3">
      <c r="B355" s="33"/>
      <c r="C355" s="34"/>
      <c r="D355" s="34"/>
      <c r="E355" s="34"/>
      <c r="F355" s="34"/>
      <c r="G355" s="34"/>
      <c r="H355" s="34"/>
      <c r="I355" s="34"/>
      <c r="J355" s="34"/>
      <c r="K355" s="35"/>
      <c r="L355" s="34"/>
      <c r="M355" s="32"/>
    </row>
    <row r="356" spans="2:13" x14ac:dyDescent="0.3">
      <c r="B356" s="33"/>
      <c r="C356" s="34"/>
      <c r="D356" s="34"/>
      <c r="E356" s="34"/>
      <c r="F356" s="34"/>
      <c r="G356" s="34"/>
      <c r="H356" s="34"/>
      <c r="I356" s="34"/>
      <c r="J356" s="34"/>
      <c r="K356" s="35"/>
      <c r="L356" s="34"/>
      <c r="M356" s="32"/>
    </row>
    <row r="357" spans="2:13" x14ac:dyDescent="0.3">
      <c r="B357" s="33"/>
      <c r="C357" s="34"/>
      <c r="D357" s="34"/>
      <c r="E357" s="34"/>
      <c r="F357" s="34"/>
      <c r="G357" s="34"/>
      <c r="H357" s="34"/>
      <c r="I357" s="34"/>
      <c r="J357" s="34"/>
      <c r="K357" s="35"/>
      <c r="L357" s="34"/>
      <c r="M357" s="32"/>
    </row>
    <row r="358" spans="2:13" x14ac:dyDescent="0.3">
      <c r="B358" s="33"/>
      <c r="C358" s="34"/>
      <c r="D358" s="34"/>
      <c r="E358" s="34"/>
      <c r="F358" s="34"/>
      <c r="G358" s="34"/>
      <c r="H358" s="34"/>
      <c r="I358" s="34"/>
      <c r="J358" s="34"/>
      <c r="K358" s="35"/>
      <c r="L358" s="34"/>
      <c r="M358" s="32"/>
    </row>
    <row r="359" spans="2:13" x14ac:dyDescent="0.3">
      <c r="B359" s="33"/>
      <c r="C359" s="34"/>
      <c r="D359" s="34"/>
      <c r="E359" s="34"/>
      <c r="F359" s="34"/>
      <c r="G359" s="34"/>
      <c r="H359" s="34"/>
      <c r="I359" s="34"/>
      <c r="J359" s="34"/>
      <c r="K359" s="35"/>
      <c r="L359" s="34"/>
      <c r="M359" s="32"/>
    </row>
    <row r="360" spans="2:13" x14ac:dyDescent="0.3">
      <c r="B360" s="33"/>
      <c r="C360" s="34"/>
      <c r="D360" s="34"/>
      <c r="E360" s="34"/>
      <c r="F360" s="34"/>
      <c r="G360" s="34"/>
      <c r="H360" s="34"/>
      <c r="I360" s="34"/>
      <c r="J360" s="34"/>
      <c r="K360" s="35"/>
      <c r="L360" s="34"/>
      <c r="M360" s="32"/>
    </row>
    <row r="361" spans="2:13" x14ac:dyDescent="0.3">
      <c r="B361" s="33"/>
      <c r="C361" s="34"/>
      <c r="D361" s="34"/>
      <c r="E361" s="34"/>
      <c r="F361" s="34"/>
      <c r="G361" s="34"/>
      <c r="H361" s="34"/>
      <c r="I361" s="34"/>
      <c r="J361" s="34"/>
      <c r="K361" s="35"/>
      <c r="L361" s="34"/>
      <c r="M361" s="32"/>
    </row>
    <row r="362" spans="2:13" x14ac:dyDescent="0.3">
      <c r="B362" s="33"/>
      <c r="C362" s="34"/>
      <c r="D362" s="34"/>
      <c r="E362" s="34"/>
      <c r="F362" s="34"/>
      <c r="G362" s="34"/>
      <c r="H362" s="34"/>
      <c r="I362" s="34"/>
      <c r="J362" s="34"/>
      <c r="K362" s="35"/>
      <c r="L362" s="34"/>
      <c r="M362" s="32"/>
    </row>
    <row r="363" spans="2:13" x14ac:dyDescent="0.3">
      <c r="B363" s="33"/>
      <c r="C363" s="34"/>
      <c r="D363" s="34"/>
      <c r="E363" s="34"/>
      <c r="F363" s="34"/>
      <c r="G363" s="34"/>
      <c r="H363" s="34"/>
      <c r="I363" s="34"/>
      <c r="J363" s="34"/>
      <c r="K363" s="35"/>
      <c r="L363" s="34"/>
      <c r="M363" s="32"/>
    </row>
    <row r="364" spans="2:13" x14ac:dyDescent="0.3">
      <c r="B364" s="33"/>
      <c r="C364" s="34"/>
      <c r="D364" s="34"/>
      <c r="E364" s="34"/>
      <c r="F364" s="34"/>
      <c r="G364" s="34"/>
      <c r="H364" s="34"/>
      <c r="I364" s="34"/>
      <c r="J364" s="34"/>
      <c r="K364" s="35"/>
      <c r="L364" s="34"/>
      <c r="M364" s="32"/>
    </row>
    <row r="365" spans="2:13" x14ac:dyDescent="0.3">
      <c r="B365" s="33"/>
      <c r="C365" s="34"/>
      <c r="D365" s="34"/>
      <c r="E365" s="34"/>
      <c r="F365" s="34"/>
      <c r="G365" s="34"/>
      <c r="H365" s="34"/>
      <c r="I365" s="34"/>
      <c r="J365" s="34"/>
      <c r="K365" s="35"/>
      <c r="L365" s="34"/>
      <c r="M365" s="32"/>
    </row>
    <row r="366" spans="2:13" x14ac:dyDescent="0.3">
      <c r="B366" s="33"/>
      <c r="C366" s="34"/>
      <c r="D366" s="34"/>
      <c r="E366" s="34"/>
      <c r="F366" s="34"/>
      <c r="G366" s="34"/>
      <c r="H366" s="34"/>
      <c r="I366" s="34"/>
      <c r="J366" s="34"/>
      <c r="K366" s="35"/>
      <c r="L366" s="34"/>
      <c r="M366" s="32"/>
    </row>
    <row r="367" spans="2:13" x14ac:dyDescent="0.3">
      <c r="B367" s="33"/>
      <c r="C367" s="34"/>
      <c r="D367" s="34"/>
      <c r="E367" s="34"/>
      <c r="F367" s="34"/>
      <c r="G367" s="34"/>
      <c r="H367" s="34"/>
      <c r="I367" s="34"/>
      <c r="J367" s="34"/>
      <c r="K367" s="35"/>
      <c r="L367" s="34"/>
      <c r="M367" s="32"/>
    </row>
    <row r="368" spans="2:13" x14ac:dyDescent="0.3">
      <c r="B368" s="33"/>
      <c r="C368" s="34"/>
      <c r="D368" s="34"/>
      <c r="E368" s="34"/>
      <c r="F368" s="34"/>
      <c r="G368" s="34"/>
      <c r="H368" s="34"/>
      <c r="I368" s="34"/>
      <c r="J368" s="34"/>
      <c r="K368" s="35"/>
      <c r="L368" s="34"/>
      <c r="M368" s="32"/>
    </row>
    <row r="369" spans="2:13" x14ac:dyDescent="0.3">
      <c r="B369" s="33"/>
      <c r="C369" s="34"/>
      <c r="D369" s="34"/>
      <c r="E369" s="34"/>
      <c r="F369" s="34"/>
      <c r="G369" s="34"/>
      <c r="H369" s="34"/>
      <c r="I369" s="34"/>
      <c r="J369" s="34"/>
      <c r="K369" s="35"/>
      <c r="L369" s="34"/>
      <c r="M369" s="32"/>
    </row>
    <row r="370" spans="2:13" x14ac:dyDescent="0.3">
      <c r="B370" s="33"/>
      <c r="C370" s="34"/>
      <c r="D370" s="34"/>
      <c r="E370" s="34"/>
      <c r="F370" s="34"/>
      <c r="G370" s="34"/>
      <c r="H370" s="34"/>
      <c r="I370" s="34"/>
      <c r="J370" s="34"/>
      <c r="K370" s="35"/>
      <c r="L370" s="34"/>
      <c r="M370" s="32"/>
    </row>
    <row r="371" spans="2:13" x14ac:dyDescent="0.3">
      <c r="B371" s="33"/>
      <c r="C371" s="34"/>
      <c r="D371" s="34"/>
      <c r="E371" s="34"/>
      <c r="F371" s="34"/>
      <c r="G371" s="34"/>
      <c r="H371" s="34"/>
      <c r="I371" s="34"/>
      <c r="J371" s="34"/>
      <c r="K371" s="35"/>
      <c r="L371" s="34"/>
      <c r="M371" s="32"/>
    </row>
    <row r="372" spans="2:13" x14ac:dyDescent="0.3">
      <c r="B372" s="33"/>
      <c r="C372" s="34"/>
      <c r="D372" s="34"/>
      <c r="E372" s="34"/>
      <c r="F372" s="34"/>
      <c r="G372" s="34"/>
      <c r="H372" s="34"/>
      <c r="I372" s="34"/>
      <c r="J372" s="34"/>
      <c r="K372" s="35"/>
      <c r="L372" s="34"/>
      <c r="M372" s="32"/>
    </row>
    <row r="373" spans="2:13" x14ac:dyDescent="0.3">
      <c r="B373" s="33"/>
      <c r="C373" s="34"/>
      <c r="D373" s="34"/>
      <c r="E373" s="34"/>
      <c r="F373" s="34"/>
      <c r="G373" s="34"/>
      <c r="H373" s="34"/>
      <c r="I373" s="34"/>
      <c r="J373" s="34"/>
      <c r="K373" s="35"/>
      <c r="L373" s="34"/>
      <c r="M373" s="32"/>
    </row>
    <row r="374" spans="2:13" x14ac:dyDescent="0.3">
      <c r="B374" s="33"/>
      <c r="C374" s="34"/>
      <c r="D374" s="34"/>
      <c r="E374" s="34"/>
      <c r="F374" s="34"/>
      <c r="G374" s="34"/>
      <c r="H374" s="34"/>
      <c r="I374" s="34"/>
      <c r="J374" s="34"/>
      <c r="K374" s="35"/>
      <c r="L374" s="34"/>
      <c r="M374" s="32"/>
    </row>
    <row r="375" spans="2:13" x14ac:dyDescent="0.3">
      <c r="B375" s="33"/>
      <c r="C375" s="34"/>
      <c r="D375" s="34"/>
      <c r="E375" s="34"/>
      <c r="F375" s="34"/>
      <c r="G375" s="34"/>
      <c r="H375" s="34"/>
      <c r="I375" s="34"/>
      <c r="J375" s="34"/>
      <c r="K375" s="35"/>
      <c r="L375" s="34"/>
      <c r="M375" s="32"/>
    </row>
    <row r="376" spans="2:13" x14ac:dyDescent="0.3">
      <c r="B376" s="33"/>
      <c r="C376" s="34"/>
      <c r="D376" s="34"/>
      <c r="E376" s="34"/>
      <c r="F376" s="34"/>
      <c r="G376" s="34"/>
      <c r="H376" s="34"/>
      <c r="I376" s="34"/>
      <c r="J376" s="34"/>
      <c r="K376" s="35"/>
      <c r="L376" s="34"/>
      <c r="M376" s="32"/>
    </row>
    <row r="377" spans="2:13" x14ac:dyDescent="0.3">
      <c r="B377" s="33"/>
      <c r="C377" s="34"/>
      <c r="D377" s="34"/>
      <c r="E377" s="34"/>
      <c r="F377" s="34"/>
      <c r="G377" s="34"/>
      <c r="H377" s="34"/>
      <c r="I377" s="34"/>
      <c r="J377" s="34"/>
      <c r="K377" s="35"/>
      <c r="L377" s="34"/>
      <c r="M377" s="32"/>
    </row>
    <row r="378" spans="2:13" x14ac:dyDescent="0.3">
      <c r="B378" s="33"/>
      <c r="C378" s="34"/>
      <c r="D378" s="34"/>
      <c r="E378" s="34"/>
      <c r="F378" s="34"/>
      <c r="G378" s="34"/>
      <c r="H378" s="34"/>
      <c r="I378" s="34"/>
      <c r="J378" s="34"/>
      <c r="K378" s="35"/>
      <c r="L378" s="34"/>
      <c r="M378" s="32"/>
    </row>
    <row r="379" spans="2:13" x14ac:dyDescent="0.3">
      <c r="B379" s="33"/>
      <c r="C379" s="34"/>
      <c r="D379" s="34"/>
      <c r="E379" s="34"/>
      <c r="F379" s="34"/>
      <c r="G379" s="34"/>
      <c r="H379" s="34"/>
      <c r="I379" s="34"/>
      <c r="J379" s="34"/>
      <c r="K379" s="35"/>
      <c r="L379" s="34"/>
      <c r="M379" s="32"/>
    </row>
    <row r="380" spans="2:13" x14ac:dyDescent="0.3">
      <c r="B380" s="33"/>
      <c r="C380" s="34"/>
      <c r="D380" s="34"/>
      <c r="E380" s="34"/>
      <c r="F380" s="34"/>
      <c r="G380" s="34"/>
      <c r="H380" s="34"/>
      <c r="I380" s="34"/>
      <c r="J380" s="34"/>
      <c r="K380" s="35"/>
      <c r="L380" s="34"/>
      <c r="M380" s="32"/>
    </row>
    <row r="381" spans="2:13" x14ac:dyDescent="0.3">
      <c r="B381" s="33"/>
      <c r="C381" s="34"/>
      <c r="D381" s="34"/>
      <c r="E381" s="34"/>
      <c r="F381" s="34"/>
      <c r="G381" s="34"/>
      <c r="H381" s="34"/>
      <c r="I381" s="34"/>
      <c r="J381" s="34"/>
      <c r="K381" s="35"/>
      <c r="L381" s="34"/>
      <c r="M381" s="32"/>
    </row>
    <row r="382" spans="2:13" x14ac:dyDescent="0.3">
      <c r="B382" s="33"/>
      <c r="C382" s="34"/>
      <c r="D382" s="34"/>
      <c r="E382" s="34"/>
      <c r="F382" s="34"/>
      <c r="G382" s="34"/>
      <c r="H382" s="34"/>
      <c r="I382" s="34"/>
      <c r="J382" s="34"/>
      <c r="K382" s="35"/>
      <c r="L382" s="34"/>
      <c r="M382" s="32"/>
    </row>
    <row r="383" spans="2:13" x14ac:dyDescent="0.3">
      <c r="B383" s="33"/>
      <c r="C383" s="34"/>
      <c r="D383" s="34"/>
      <c r="E383" s="34"/>
      <c r="F383" s="34"/>
      <c r="G383" s="34"/>
      <c r="H383" s="34"/>
      <c r="I383" s="34"/>
      <c r="J383" s="34"/>
      <c r="K383" s="35"/>
      <c r="L383" s="34"/>
      <c r="M383" s="32"/>
    </row>
    <row r="384" spans="2:13" x14ac:dyDescent="0.3">
      <c r="B384" s="33"/>
      <c r="C384" s="34"/>
      <c r="D384" s="34"/>
      <c r="E384" s="34"/>
      <c r="F384" s="34"/>
      <c r="G384" s="34"/>
      <c r="H384" s="34"/>
      <c r="I384" s="34"/>
      <c r="J384" s="34"/>
      <c r="K384" s="35"/>
      <c r="L384" s="34"/>
      <c r="M384" s="32"/>
    </row>
    <row r="385" spans="2:13" x14ac:dyDescent="0.3">
      <c r="B385" s="33"/>
      <c r="C385" s="34"/>
      <c r="D385" s="34"/>
      <c r="E385" s="34"/>
      <c r="F385" s="34"/>
      <c r="G385" s="34"/>
      <c r="H385" s="34"/>
      <c r="I385" s="34"/>
      <c r="J385" s="34"/>
      <c r="K385" s="35"/>
      <c r="L385" s="34"/>
      <c r="M385" s="32"/>
    </row>
    <row r="386" spans="2:13" x14ac:dyDescent="0.3">
      <c r="B386" s="33"/>
      <c r="C386" s="34"/>
      <c r="D386" s="34"/>
      <c r="E386" s="34"/>
      <c r="F386" s="34"/>
      <c r="G386" s="34"/>
      <c r="H386" s="34"/>
      <c r="I386" s="34"/>
      <c r="J386" s="34"/>
      <c r="K386" s="35"/>
      <c r="L386" s="34"/>
      <c r="M386" s="32"/>
    </row>
    <row r="387" spans="2:13" x14ac:dyDescent="0.3">
      <c r="B387" s="33"/>
      <c r="C387" s="34"/>
      <c r="D387" s="34"/>
      <c r="E387" s="34"/>
      <c r="F387" s="34"/>
      <c r="G387" s="34"/>
      <c r="H387" s="34"/>
      <c r="I387" s="34"/>
      <c r="J387" s="34"/>
      <c r="K387" s="35"/>
      <c r="L387" s="34"/>
      <c r="M387" s="32"/>
    </row>
    <row r="388" spans="2:13" x14ac:dyDescent="0.3">
      <c r="B388" s="33"/>
      <c r="C388" s="34"/>
      <c r="D388" s="34"/>
      <c r="E388" s="34"/>
      <c r="F388" s="34"/>
      <c r="G388" s="34"/>
      <c r="H388" s="34"/>
      <c r="I388" s="34"/>
      <c r="J388" s="34"/>
      <c r="K388" s="35"/>
      <c r="L388" s="34"/>
      <c r="M388" s="32"/>
    </row>
    <row r="389" spans="2:13" x14ac:dyDescent="0.3">
      <c r="B389" s="33"/>
      <c r="C389" s="34"/>
      <c r="D389" s="34"/>
      <c r="E389" s="34"/>
      <c r="F389" s="34"/>
      <c r="G389" s="34"/>
      <c r="H389" s="34"/>
      <c r="I389" s="34"/>
      <c r="J389" s="34"/>
      <c r="K389" s="35"/>
      <c r="L389" s="34"/>
      <c r="M389" s="32"/>
    </row>
    <row r="390" spans="2:13" x14ac:dyDescent="0.3">
      <c r="B390" s="33"/>
      <c r="C390" s="34"/>
      <c r="D390" s="34"/>
      <c r="E390" s="34"/>
      <c r="F390" s="34"/>
      <c r="G390" s="34"/>
      <c r="H390" s="34"/>
      <c r="I390" s="34"/>
      <c r="J390" s="34"/>
      <c r="K390" s="35"/>
      <c r="L390" s="34"/>
      <c r="M390" s="32"/>
    </row>
    <row r="391" spans="2:13" x14ac:dyDescent="0.3">
      <c r="B391" s="33"/>
      <c r="C391" s="34"/>
      <c r="D391" s="34"/>
      <c r="E391" s="34"/>
      <c r="F391" s="34"/>
      <c r="G391" s="34"/>
      <c r="H391" s="34"/>
      <c r="I391" s="34"/>
      <c r="J391" s="34"/>
      <c r="K391" s="35"/>
      <c r="L391" s="34"/>
      <c r="M391" s="32"/>
    </row>
    <row r="392" spans="2:13" x14ac:dyDescent="0.3">
      <c r="B392" s="33"/>
      <c r="C392" s="34"/>
      <c r="D392" s="34"/>
      <c r="E392" s="34"/>
      <c r="F392" s="34"/>
      <c r="G392" s="34"/>
      <c r="H392" s="34"/>
      <c r="I392" s="34"/>
      <c r="J392" s="34"/>
      <c r="K392" s="35"/>
      <c r="L392" s="34"/>
      <c r="M392" s="32"/>
    </row>
    <row r="393" spans="2:13" x14ac:dyDescent="0.3">
      <c r="B393" s="33"/>
      <c r="C393" s="34"/>
      <c r="D393" s="34"/>
      <c r="E393" s="34"/>
      <c r="F393" s="34"/>
      <c r="G393" s="34"/>
      <c r="H393" s="34"/>
      <c r="I393" s="34"/>
      <c r="J393" s="34"/>
      <c r="K393" s="35"/>
      <c r="L393" s="34"/>
      <c r="M393" s="32"/>
    </row>
    <row r="394" spans="2:13" x14ac:dyDescent="0.3">
      <c r="B394" s="33"/>
      <c r="C394" s="34"/>
      <c r="D394" s="34"/>
      <c r="E394" s="34"/>
      <c r="F394" s="34"/>
      <c r="G394" s="34"/>
      <c r="H394" s="34"/>
      <c r="I394" s="34"/>
      <c r="J394" s="34"/>
      <c r="K394" s="35"/>
      <c r="L394" s="34"/>
      <c r="M394" s="32"/>
    </row>
    <row r="395" spans="2:13" x14ac:dyDescent="0.3">
      <c r="B395" s="33"/>
      <c r="C395" s="34"/>
      <c r="D395" s="34"/>
      <c r="E395" s="34"/>
      <c r="F395" s="34"/>
      <c r="G395" s="34"/>
      <c r="H395" s="34"/>
      <c r="I395" s="34"/>
      <c r="J395" s="34"/>
      <c r="K395" s="35"/>
      <c r="L395" s="34"/>
      <c r="M395" s="32"/>
    </row>
    <row r="396" spans="2:13" x14ac:dyDescent="0.3">
      <c r="B396" s="33"/>
      <c r="C396" s="34"/>
      <c r="D396" s="34"/>
      <c r="E396" s="34"/>
      <c r="F396" s="34"/>
      <c r="G396" s="34"/>
      <c r="H396" s="34"/>
      <c r="I396" s="34"/>
      <c r="J396" s="34"/>
      <c r="K396" s="35"/>
      <c r="L396" s="34"/>
      <c r="M396" s="32"/>
    </row>
    <row r="397" spans="2:13" x14ac:dyDescent="0.3">
      <c r="B397" s="33"/>
      <c r="C397" s="34"/>
      <c r="D397" s="34"/>
      <c r="E397" s="34"/>
      <c r="F397" s="34"/>
      <c r="G397" s="34"/>
      <c r="H397" s="34"/>
      <c r="I397" s="34"/>
      <c r="J397" s="34"/>
      <c r="K397" s="35"/>
      <c r="L397" s="34"/>
      <c r="M397" s="32"/>
    </row>
    <row r="398" spans="2:13" x14ac:dyDescent="0.3">
      <c r="B398" s="33"/>
      <c r="C398" s="34"/>
      <c r="D398" s="34"/>
      <c r="E398" s="34"/>
      <c r="F398" s="34"/>
      <c r="G398" s="34"/>
      <c r="H398" s="34"/>
      <c r="I398" s="34"/>
      <c r="J398" s="34"/>
      <c r="K398" s="35"/>
      <c r="L398" s="34"/>
      <c r="M398" s="32"/>
    </row>
    <row r="399" spans="2:13" x14ac:dyDescent="0.3">
      <c r="B399" s="33"/>
      <c r="C399" s="34"/>
      <c r="D399" s="34"/>
      <c r="E399" s="34"/>
      <c r="F399" s="34"/>
      <c r="G399" s="34"/>
      <c r="H399" s="34"/>
      <c r="I399" s="34"/>
      <c r="J399" s="34"/>
      <c r="K399" s="35"/>
      <c r="L399" s="34"/>
      <c r="M399" s="32"/>
    </row>
    <row r="400" spans="2:13" x14ac:dyDescent="0.3">
      <c r="B400" s="33"/>
      <c r="C400" s="34"/>
      <c r="D400" s="34"/>
      <c r="E400" s="34"/>
      <c r="F400" s="34"/>
      <c r="G400" s="34"/>
      <c r="H400" s="34"/>
      <c r="I400" s="34"/>
      <c r="J400" s="34"/>
      <c r="K400" s="35"/>
      <c r="L400" s="34"/>
      <c r="M400" s="32"/>
    </row>
    <row r="401" spans="2:13" x14ac:dyDescent="0.3">
      <c r="B401" s="33"/>
      <c r="C401" s="34"/>
      <c r="D401" s="34"/>
      <c r="E401" s="34"/>
      <c r="F401" s="34"/>
      <c r="G401" s="34"/>
      <c r="H401" s="34"/>
      <c r="I401" s="34"/>
      <c r="J401" s="34"/>
      <c r="K401" s="35"/>
      <c r="L401" s="34"/>
      <c r="M401" s="32"/>
    </row>
    <row r="402" spans="2:13" x14ac:dyDescent="0.3">
      <c r="B402" s="33"/>
      <c r="C402" s="34"/>
      <c r="D402" s="34"/>
      <c r="E402" s="34"/>
      <c r="F402" s="34"/>
      <c r="G402" s="34"/>
      <c r="H402" s="34"/>
      <c r="I402" s="34"/>
      <c r="J402" s="34"/>
      <c r="K402" s="35"/>
      <c r="L402" s="34"/>
      <c r="M402" s="32"/>
    </row>
    <row r="403" spans="2:13" x14ac:dyDescent="0.3">
      <c r="B403" s="33"/>
      <c r="C403" s="34"/>
      <c r="D403" s="34"/>
      <c r="E403" s="34"/>
      <c r="F403" s="34"/>
      <c r="G403" s="34"/>
      <c r="H403" s="34"/>
      <c r="I403" s="34"/>
      <c r="J403" s="34"/>
      <c r="K403" s="35"/>
      <c r="L403" s="34"/>
      <c r="M403" s="32"/>
    </row>
    <row r="404" spans="2:13" x14ac:dyDescent="0.3">
      <c r="B404" s="33"/>
      <c r="C404" s="34"/>
      <c r="D404" s="34"/>
      <c r="E404" s="34"/>
      <c r="F404" s="34"/>
      <c r="G404" s="34"/>
      <c r="H404" s="34"/>
      <c r="I404" s="34"/>
      <c r="J404" s="34"/>
      <c r="K404" s="35"/>
      <c r="L404" s="34"/>
      <c r="M404" s="32"/>
    </row>
    <row r="405" spans="2:13" x14ac:dyDescent="0.3">
      <c r="B405" s="33"/>
      <c r="C405" s="34"/>
      <c r="D405" s="34"/>
      <c r="E405" s="34"/>
      <c r="F405" s="34"/>
      <c r="G405" s="34"/>
      <c r="H405" s="34"/>
      <c r="I405" s="34"/>
      <c r="J405" s="34"/>
      <c r="K405" s="35"/>
      <c r="L405" s="34"/>
      <c r="M405" s="32"/>
    </row>
    <row r="406" spans="2:13" x14ac:dyDescent="0.3">
      <c r="B406" s="33"/>
      <c r="C406" s="34"/>
      <c r="D406" s="34"/>
      <c r="E406" s="34"/>
      <c r="F406" s="34"/>
      <c r="G406" s="34"/>
      <c r="H406" s="34"/>
      <c r="I406" s="34"/>
      <c r="J406" s="34"/>
      <c r="K406" s="35"/>
      <c r="L406" s="34"/>
      <c r="M406" s="32"/>
    </row>
    <row r="407" spans="2:13" x14ac:dyDescent="0.3">
      <c r="B407" s="33"/>
      <c r="C407" s="34"/>
      <c r="D407" s="34"/>
      <c r="E407" s="34"/>
      <c r="F407" s="34"/>
      <c r="G407" s="34"/>
      <c r="H407" s="34"/>
      <c r="I407" s="34"/>
      <c r="J407" s="34"/>
      <c r="K407" s="35"/>
      <c r="L407" s="34"/>
      <c r="M407" s="32"/>
    </row>
    <row r="408" spans="2:13" x14ac:dyDescent="0.3">
      <c r="B408" s="33"/>
      <c r="C408" s="34"/>
      <c r="D408" s="34"/>
      <c r="E408" s="34"/>
      <c r="F408" s="34"/>
      <c r="G408" s="34"/>
      <c r="H408" s="34"/>
      <c r="I408" s="34"/>
      <c r="J408" s="34"/>
      <c r="K408" s="35"/>
      <c r="L408" s="34"/>
      <c r="M408" s="32"/>
    </row>
    <row r="409" spans="2:13" x14ac:dyDescent="0.3">
      <c r="B409" s="33"/>
      <c r="C409" s="34"/>
      <c r="D409" s="34"/>
      <c r="E409" s="34"/>
      <c r="F409" s="34"/>
      <c r="G409" s="34"/>
      <c r="H409" s="34"/>
      <c r="I409" s="34"/>
      <c r="J409" s="34"/>
      <c r="K409" s="35"/>
      <c r="L409" s="34"/>
      <c r="M409" s="32"/>
    </row>
    <row r="410" spans="2:13" x14ac:dyDescent="0.3">
      <c r="B410" s="33"/>
      <c r="C410" s="34"/>
      <c r="D410" s="34"/>
      <c r="E410" s="34"/>
      <c r="F410" s="34"/>
      <c r="G410" s="34"/>
      <c r="H410" s="34"/>
      <c r="I410" s="34"/>
      <c r="J410" s="34"/>
      <c r="K410" s="35"/>
      <c r="L410" s="34"/>
      <c r="M410" s="32"/>
    </row>
    <row r="411" spans="2:13" x14ac:dyDescent="0.3">
      <c r="B411" s="33"/>
      <c r="C411" s="34"/>
      <c r="D411" s="34"/>
      <c r="E411" s="34"/>
      <c r="F411" s="34"/>
      <c r="G411" s="34"/>
      <c r="H411" s="34"/>
      <c r="I411" s="34"/>
      <c r="J411" s="34"/>
      <c r="K411" s="35"/>
      <c r="L411" s="34"/>
      <c r="M411" s="32"/>
    </row>
    <row r="412" spans="2:13" x14ac:dyDescent="0.3">
      <c r="B412" s="33"/>
      <c r="C412" s="34"/>
      <c r="D412" s="34"/>
      <c r="E412" s="34"/>
      <c r="F412" s="34"/>
      <c r="G412" s="34"/>
      <c r="H412" s="34"/>
      <c r="I412" s="34"/>
      <c r="J412" s="34"/>
      <c r="K412" s="35"/>
      <c r="L412" s="34"/>
      <c r="M412" s="32"/>
    </row>
    <row r="413" spans="2:13" x14ac:dyDescent="0.3">
      <c r="B413" s="33"/>
      <c r="C413" s="34"/>
      <c r="D413" s="34"/>
      <c r="E413" s="34"/>
      <c r="F413" s="34"/>
      <c r="G413" s="34"/>
      <c r="H413" s="34"/>
      <c r="I413" s="34"/>
      <c r="J413" s="34"/>
      <c r="K413" s="35"/>
      <c r="L413" s="34"/>
      <c r="M413" s="32"/>
    </row>
    <row r="414" spans="2:13" x14ac:dyDescent="0.3">
      <c r="B414" s="33"/>
      <c r="C414" s="34"/>
      <c r="D414" s="34"/>
      <c r="E414" s="34"/>
      <c r="F414" s="34"/>
      <c r="G414" s="34"/>
      <c r="H414" s="34"/>
      <c r="I414" s="34"/>
      <c r="J414" s="34"/>
      <c r="K414" s="35"/>
      <c r="L414" s="34"/>
      <c r="M414" s="32"/>
    </row>
    <row r="415" spans="2:13" x14ac:dyDescent="0.3">
      <c r="B415" s="33"/>
      <c r="C415" s="34"/>
      <c r="D415" s="34"/>
      <c r="E415" s="34"/>
      <c r="F415" s="34"/>
      <c r="G415" s="34"/>
      <c r="H415" s="34"/>
      <c r="I415" s="34"/>
      <c r="J415" s="34"/>
      <c r="K415" s="35"/>
      <c r="L415" s="34"/>
      <c r="M415" s="32"/>
    </row>
    <row r="416" spans="2:13" x14ac:dyDescent="0.3">
      <c r="B416" s="33"/>
      <c r="C416" s="34"/>
      <c r="D416" s="34"/>
      <c r="E416" s="34"/>
      <c r="F416" s="34"/>
      <c r="G416" s="34"/>
      <c r="H416" s="34"/>
      <c r="I416" s="34"/>
      <c r="J416" s="34"/>
      <c r="K416" s="35"/>
      <c r="L416" s="34"/>
      <c r="M416" s="32"/>
    </row>
    <row r="417" spans="2:13" x14ac:dyDescent="0.3">
      <c r="B417" s="33"/>
      <c r="C417" s="34"/>
      <c r="D417" s="34"/>
      <c r="E417" s="34"/>
      <c r="F417" s="34"/>
      <c r="G417" s="34"/>
      <c r="H417" s="34"/>
      <c r="I417" s="34"/>
      <c r="J417" s="34"/>
      <c r="K417" s="35"/>
      <c r="L417" s="34"/>
      <c r="M417" s="32"/>
    </row>
    <row r="418" spans="2:13" x14ac:dyDescent="0.3">
      <c r="B418" s="33"/>
      <c r="C418" s="34"/>
      <c r="D418" s="34"/>
      <c r="E418" s="34"/>
      <c r="F418" s="34"/>
      <c r="G418" s="34"/>
      <c r="H418" s="34"/>
      <c r="I418" s="34"/>
      <c r="J418" s="34"/>
      <c r="K418" s="35"/>
      <c r="L418" s="34"/>
      <c r="M418" s="32"/>
    </row>
    <row r="419" spans="2:13" x14ac:dyDescent="0.3">
      <c r="B419" s="33"/>
      <c r="C419" s="34"/>
      <c r="D419" s="34"/>
      <c r="E419" s="34"/>
      <c r="F419" s="34"/>
      <c r="G419" s="34"/>
      <c r="H419" s="34"/>
      <c r="I419" s="34"/>
      <c r="J419" s="34"/>
      <c r="K419" s="35"/>
      <c r="L419" s="34"/>
      <c r="M419" s="32"/>
    </row>
    <row r="420" spans="2:13" x14ac:dyDescent="0.3">
      <c r="B420" s="33"/>
      <c r="C420" s="34"/>
      <c r="D420" s="34"/>
      <c r="E420" s="34"/>
      <c r="F420" s="34"/>
      <c r="G420" s="34"/>
      <c r="H420" s="34"/>
      <c r="I420" s="34"/>
      <c r="J420" s="34"/>
      <c r="K420" s="35"/>
      <c r="L420" s="34"/>
      <c r="M420" s="32"/>
    </row>
    <row r="421" spans="2:13" x14ac:dyDescent="0.3">
      <c r="B421" s="33"/>
      <c r="C421" s="34"/>
      <c r="D421" s="34"/>
      <c r="E421" s="34"/>
      <c r="F421" s="34"/>
      <c r="G421" s="34"/>
      <c r="H421" s="34"/>
      <c r="I421" s="34"/>
      <c r="J421" s="34"/>
      <c r="K421" s="35"/>
      <c r="L421" s="34"/>
      <c r="M421" s="32"/>
    </row>
    <row r="422" spans="2:13" x14ac:dyDescent="0.3">
      <c r="B422" s="33"/>
      <c r="C422" s="34"/>
      <c r="D422" s="34"/>
      <c r="E422" s="34"/>
      <c r="F422" s="34"/>
      <c r="G422" s="34"/>
      <c r="H422" s="34"/>
      <c r="I422" s="34"/>
      <c r="J422" s="34"/>
      <c r="K422" s="35"/>
      <c r="L422" s="34"/>
      <c r="M422" s="32"/>
    </row>
    <row r="423" spans="2:13" x14ac:dyDescent="0.3">
      <c r="B423" s="33"/>
      <c r="C423" s="34"/>
      <c r="D423" s="34"/>
      <c r="E423" s="34"/>
      <c r="F423" s="34"/>
      <c r="G423" s="34"/>
      <c r="H423" s="34"/>
      <c r="I423" s="34"/>
      <c r="J423" s="34"/>
      <c r="K423" s="35"/>
      <c r="L423" s="34"/>
      <c r="M423" s="32"/>
    </row>
    <row r="424" spans="2:13" x14ac:dyDescent="0.3">
      <c r="B424" s="33"/>
      <c r="C424" s="34"/>
      <c r="D424" s="34"/>
      <c r="E424" s="34"/>
      <c r="F424" s="34"/>
      <c r="G424" s="34"/>
      <c r="H424" s="34"/>
      <c r="I424" s="34"/>
      <c r="J424" s="34"/>
      <c r="K424" s="35"/>
      <c r="L424" s="34"/>
      <c r="M424" s="32"/>
    </row>
    <row r="425" spans="2:13" x14ac:dyDescent="0.3">
      <c r="B425" s="33"/>
      <c r="C425" s="34"/>
      <c r="D425" s="34"/>
      <c r="E425" s="34"/>
      <c r="F425" s="34"/>
      <c r="G425" s="34"/>
      <c r="H425" s="34"/>
      <c r="I425" s="34"/>
      <c r="J425" s="34"/>
      <c r="K425" s="35"/>
      <c r="L425" s="34"/>
      <c r="M425" s="32"/>
    </row>
    <row r="426" spans="2:13" x14ac:dyDescent="0.3">
      <c r="B426" s="33"/>
      <c r="C426" s="34"/>
      <c r="D426" s="34"/>
      <c r="E426" s="34"/>
      <c r="F426" s="34"/>
      <c r="G426" s="34"/>
      <c r="H426" s="34"/>
      <c r="I426" s="34"/>
      <c r="J426" s="34"/>
      <c r="K426" s="35"/>
      <c r="L426" s="34"/>
      <c r="M426" s="32"/>
    </row>
    <row r="427" spans="2:13" x14ac:dyDescent="0.3">
      <c r="B427" s="33"/>
      <c r="C427" s="34"/>
      <c r="D427" s="34"/>
      <c r="E427" s="34"/>
      <c r="F427" s="34"/>
      <c r="G427" s="34"/>
      <c r="H427" s="34"/>
      <c r="I427" s="34"/>
      <c r="J427" s="34"/>
      <c r="K427" s="35"/>
      <c r="L427" s="34"/>
      <c r="M427" s="32"/>
    </row>
    <row r="428" spans="2:13" x14ac:dyDescent="0.3">
      <c r="B428" s="33"/>
      <c r="C428" s="34"/>
      <c r="D428" s="34"/>
      <c r="E428" s="34"/>
      <c r="F428" s="34"/>
      <c r="G428" s="34"/>
      <c r="H428" s="34"/>
      <c r="I428" s="34"/>
      <c r="J428" s="34"/>
      <c r="K428" s="35"/>
      <c r="L428" s="34"/>
      <c r="M428" s="32"/>
    </row>
    <row r="429" spans="2:13" x14ac:dyDescent="0.3">
      <c r="B429" s="33"/>
      <c r="C429" s="34"/>
      <c r="D429" s="34"/>
      <c r="E429" s="34"/>
      <c r="F429" s="34"/>
      <c r="G429" s="34"/>
      <c r="H429" s="34"/>
      <c r="I429" s="34"/>
      <c r="J429" s="34"/>
      <c r="K429" s="35"/>
      <c r="L429" s="34"/>
      <c r="M429" s="32"/>
    </row>
    <row r="430" spans="2:13" x14ac:dyDescent="0.3">
      <c r="B430" s="33"/>
      <c r="C430" s="34"/>
      <c r="D430" s="34"/>
      <c r="E430" s="34"/>
      <c r="F430" s="34"/>
      <c r="G430" s="34"/>
      <c r="H430" s="34"/>
      <c r="I430" s="34"/>
      <c r="J430" s="34"/>
      <c r="K430" s="35"/>
      <c r="L430" s="34"/>
      <c r="M430" s="32"/>
    </row>
    <row r="431" spans="2:13" x14ac:dyDescent="0.3">
      <c r="B431" s="33"/>
      <c r="C431" s="34"/>
      <c r="D431" s="34"/>
      <c r="E431" s="34"/>
      <c r="F431" s="34"/>
      <c r="G431" s="34"/>
      <c r="H431" s="34"/>
      <c r="I431" s="34"/>
      <c r="J431" s="34"/>
      <c r="K431" s="35"/>
      <c r="L431" s="34"/>
      <c r="M431" s="32"/>
    </row>
    <row r="432" spans="2:13" x14ac:dyDescent="0.3">
      <c r="B432" s="33"/>
      <c r="C432" s="34"/>
      <c r="D432" s="34"/>
      <c r="E432" s="34"/>
      <c r="F432" s="34"/>
      <c r="G432" s="34"/>
      <c r="H432" s="34"/>
      <c r="I432" s="34"/>
      <c r="J432" s="34"/>
      <c r="K432" s="35"/>
      <c r="L432" s="34"/>
      <c r="M432" s="32"/>
    </row>
    <row r="433" spans="2:13" x14ac:dyDescent="0.3">
      <c r="B433" s="33"/>
      <c r="C433" s="34"/>
      <c r="D433" s="34"/>
      <c r="E433" s="34"/>
      <c r="F433" s="34"/>
      <c r="G433" s="34"/>
      <c r="H433" s="34"/>
      <c r="I433" s="34"/>
      <c r="J433" s="34"/>
      <c r="K433" s="35"/>
      <c r="L433" s="34"/>
      <c r="M433" s="32"/>
    </row>
    <row r="434" spans="2:13" x14ac:dyDescent="0.3">
      <c r="B434" s="33"/>
      <c r="C434" s="34"/>
      <c r="D434" s="34"/>
      <c r="E434" s="34"/>
      <c r="F434" s="34"/>
      <c r="G434" s="34"/>
      <c r="H434" s="34"/>
      <c r="I434" s="34"/>
      <c r="J434" s="34"/>
      <c r="K434" s="35"/>
      <c r="L434" s="34"/>
      <c r="M434" s="32"/>
    </row>
    <row r="435" spans="2:13" x14ac:dyDescent="0.3">
      <c r="B435" s="33"/>
      <c r="C435" s="34"/>
      <c r="D435" s="34"/>
      <c r="E435" s="34"/>
      <c r="F435" s="34"/>
      <c r="G435" s="34"/>
      <c r="H435" s="34"/>
      <c r="I435" s="34"/>
      <c r="J435" s="34"/>
      <c r="K435" s="35"/>
      <c r="L435" s="34"/>
      <c r="M435" s="32"/>
    </row>
    <row r="436" spans="2:13" x14ac:dyDescent="0.3">
      <c r="B436" s="33"/>
      <c r="C436" s="34"/>
      <c r="D436" s="34"/>
      <c r="E436" s="34"/>
      <c r="F436" s="34"/>
      <c r="G436" s="34"/>
      <c r="H436" s="34"/>
      <c r="I436" s="34"/>
      <c r="J436" s="34"/>
      <c r="K436" s="35"/>
      <c r="L436" s="34"/>
      <c r="M436" s="32"/>
    </row>
    <row r="437" spans="2:13" x14ac:dyDescent="0.3">
      <c r="B437" s="33"/>
      <c r="C437" s="34"/>
      <c r="D437" s="34"/>
      <c r="E437" s="34"/>
      <c r="F437" s="34"/>
      <c r="G437" s="34"/>
      <c r="H437" s="34"/>
      <c r="I437" s="34"/>
      <c r="J437" s="34"/>
      <c r="K437" s="35"/>
      <c r="L437" s="34"/>
      <c r="M437" s="32"/>
    </row>
    <row r="438" spans="2:13" x14ac:dyDescent="0.3">
      <c r="B438" s="33"/>
      <c r="C438" s="34"/>
      <c r="D438" s="34"/>
      <c r="E438" s="34"/>
      <c r="F438" s="34"/>
      <c r="G438" s="34"/>
      <c r="H438" s="34"/>
      <c r="I438" s="34"/>
      <c r="J438" s="34"/>
      <c r="K438" s="35"/>
      <c r="L438" s="34"/>
      <c r="M438" s="32"/>
    </row>
    <row r="439" spans="2:13" x14ac:dyDescent="0.3">
      <c r="B439" s="33"/>
      <c r="C439" s="34"/>
      <c r="D439" s="34"/>
      <c r="E439" s="34"/>
      <c r="F439" s="34"/>
      <c r="G439" s="34"/>
      <c r="H439" s="34"/>
      <c r="I439" s="34"/>
      <c r="J439" s="34"/>
      <c r="K439" s="35"/>
      <c r="L439" s="34"/>
      <c r="M439" s="32"/>
    </row>
    <row r="440" spans="2:13" x14ac:dyDescent="0.3">
      <c r="B440" s="33"/>
      <c r="C440" s="34"/>
      <c r="D440" s="34"/>
      <c r="E440" s="34"/>
      <c r="F440" s="34"/>
      <c r="G440" s="34"/>
      <c r="H440" s="34"/>
      <c r="I440" s="34"/>
      <c r="J440" s="34"/>
      <c r="K440" s="35"/>
      <c r="L440" s="34"/>
      <c r="M440" s="32"/>
    </row>
    <row r="441" spans="2:13" x14ac:dyDescent="0.3">
      <c r="B441" s="33"/>
      <c r="C441" s="34"/>
      <c r="D441" s="34"/>
      <c r="E441" s="34"/>
      <c r="F441" s="34"/>
      <c r="G441" s="34"/>
      <c r="H441" s="34"/>
      <c r="I441" s="34"/>
      <c r="J441" s="34"/>
      <c r="K441" s="35"/>
      <c r="L441" s="34"/>
      <c r="M441" s="32"/>
    </row>
    <row r="442" spans="2:13" x14ac:dyDescent="0.3">
      <c r="B442" s="33"/>
      <c r="C442" s="34"/>
      <c r="D442" s="34"/>
      <c r="E442" s="34"/>
      <c r="F442" s="34"/>
      <c r="G442" s="34"/>
      <c r="H442" s="34"/>
      <c r="I442" s="34"/>
      <c r="J442" s="34"/>
      <c r="K442" s="35"/>
      <c r="L442" s="34"/>
      <c r="M442" s="32"/>
    </row>
    <row r="443" spans="2:13" x14ac:dyDescent="0.3">
      <c r="B443" s="33"/>
      <c r="C443" s="34"/>
      <c r="D443" s="34"/>
      <c r="E443" s="34"/>
      <c r="F443" s="34"/>
      <c r="G443" s="34"/>
      <c r="H443" s="34"/>
      <c r="I443" s="34"/>
      <c r="J443" s="34"/>
      <c r="K443" s="35"/>
      <c r="L443" s="34"/>
      <c r="M443" s="32"/>
    </row>
    <row r="444" spans="2:13" x14ac:dyDescent="0.3">
      <c r="B444" s="33"/>
      <c r="C444" s="34"/>
      <c r="D444" s="34"/>
      <c r="E444" s="34"/>
      <c r="F444" s="34"/>
      <c r="G444" s="34"/>
      <c r="H444" s="34"/>
      <c r="I444" s="34"/>
      <c r="J444" s="34"/>
      <c r="K444" s="35"/>
      <c r="L444" s="34"/>
      <c r="M444" s="32"/>
    </row>
    <row r="445" spans="2:13" x14ac:dyDescent="0.3">
      <c r="B445" s="33"/>
      <c r="C445" s="34"/>
      <c r="D445" s="34"/>
      <c r="E445" s="34"/>
      <c r="F445" s="34"/>
      <c r="G445" s="34"/>
      <c r="H445" s="34"/>
      <c r="I445" s="34"/>
      <c r="J445" s="34"/>
      <c r="K445" s="35"/>
      <c r="L445" s="34"/>
      <c r="M445" s="32"/>
    </row>
    <row r="446" spans="2:13" x14ac:dyDescent="0.3">
      <c r="B446" s="33"/>
      <c r="C446" s="34"/>
      <c r="D446" s="34"/>
      <c r="E446" s="34"/>
      <c r="F446" s="34"/>
      <c r="G446" s="34"/>
      <c r="H446" s="34"/>
      <c r="I446" s="34"/>
      <c r="J446" s="34"/>
      <c r="K446" s="35"/>
      <c r="L446" s="34"/>
      <c r="M446" s="32"/>
    </row>
    <row r="447" spans="2:13" x14ac:dyDescent="0.3">
      <c r="B447" s="33"/>
      <c r="C447" s="34"/>
      <c r="D447" s="34"/>
      <c r="E447" s="34"/>
      <c r="F447" s="34"/>
      <c r="G447" s="34"/>
      <c r="H447" s="34"/>
      <c r="I447" s="34"/>
      <c r="J447" s="34"/>
      <c r="K447" s="35"/>
      <c r="L447" s="34"/>
      <c r="M447" s="32"/>
    </row>
    <row r="448" spans="2:13" x14ac:dyDescent="0.3">
      <c r="B448" s="33"/>
      <c r="C448" s="34"/>
      <c r="D448" s="34"/>
      <c r="E448" s="34"/>
      <c r="F448" s="34"/>
      <c r="G448" s="34"/>
      <c r="H448" s="34"/>
      <c r="I448" s="34"/>
      <c r="J448" s="34"/>
      <c r="K448" s="35"/>
      <c r="L448" s="34"/>
      <c r="M448" s="32"/>
    </row>
    <row r="449" spans="2:13" x14ac:dyDescent="0.3">
      <c r="B449" s="33"/>
      <c r="C449" s="34"/>
      <c r="D449" s="34"/>
      <c r="E449" s="34"/>
      <c r="F449" s="34"/>
      <c r="G449" s="34"/>
      <c r="H449" s="34"/>
      <c r="I449" s="34"/>
      <c r="J449" s="34"/>
      <c r="K449" s="35"/>
      <c r="L449" s="34"/>
      <c r="M449" s="32"/>
    </row>
    <row r="450" spans="2:13" x14ac:dyDescent="0.3">
      <c r="B450" s="33"/>
      <c r="C450" s="34"/>
      <c r="D450" s="34"/>
      <c r="E450" s="34"/>
      <c r="F450" s="34"/>
      <c r="G450" s="34"/>
      <c r="H450" s="34"/>
      <c r="I450" s="34"/>
      <c r="J450" s="34"/>
      <c r="K450" s="35"/>
      <c r="L450" s="34"/>
      <c r="M450" s="32"/>
    </row>
    <row r="451" spans="2:13" x14ac:dyDescent="0.3">
      <c r="B451" s="33"/>
      <c r="C451" s="34"/>
      <c r="D451" s="34"/>
      <c r="E451" s="34"/>
      <c r="F451" s="34"/>
      <c r="G451" s="34"/>
      <c r="H451" s="34"/>
      <c r="I451" s="34"/>
      <c r="J451" s="34"/>
      <c r="K451" s="35"/>
      <c r="L451" s="34"/>
      <c r="M451" s="32"/>
    </row>
    <row r="452" spans="2:13" x14ac:dyDescent="0.3">
      <c r="B452" s="33"/>
      <c r="C452" s="34"/>
      <c r="D452" s="34"/>
      <c r="E452" s="34"/>
      <c r="F452" s="34"/>
      <c r="G452" s="34"/>
      <c r="H452" s="34"/>
      <c r="I452" s="34"/>
      <c r="J452" s="34"/>
      <c r="K452" s="35"/>
      <c r="L452" s="34"/>
      <c r="M452" s="32"/>
    </row>
    <row r="453" spans="2:13" x14ac:dyDescent="0.3">
      <c r="B453" s="33"/>
      <c r="C453" s="34"/>
      <c r="D453" s="34"/>
      <c r="E453" s="34"/>
      <c r="F453" s="34"/>
      <c r="G453" s="34"/>
      <c r="H453" s="34"/>
      <c r="I453" s="34"/>
      <c r="J453" s="34"/>
      <c r="K453" s="35"/>
      <c r="L453" s="34"/>
      <c r="M453" s="32"/>
    </row>
    <row r="454" spans="2:13" x14ac:dyDescent="0.3">
      <c r="B454" s="33"/>
      <c r="C454" s="34"/>
      <c r="D454" s="34"/>
      <c r="E454" s="34"/>
      <c r="F454" s="34"/>
      <c r="G454" s="34"/>
      <c r="H454" s="34"/>
      <c r="I454" s="34"/>
      <c r="J454" s="34"/>
      <c r="K454" s="35"/>
      <c r="L454" s="34"/>
      <c r="M454" s="32"/>
    </row>
    <row r="455" spans="2:13" x14ac:dyDescent="0.3">
      <c r="B455" s="33"/>
      <c r="C455" s="34"/>
      <c r="D455" s="34"/>
      <c r="E455" s="34"/>
      <c r="F455" s="34"/>
      <c r="G455" s="34"/>
      <c r="H455" s="34"/>
      <c r="I455" s="34"/>
      <c r="J455" s="34"/>
      <c r="K455" s="35"/>
      <c r="L455" s="34"/>
      <c r="M455" s="32"/>
    </row>
    <row r="456" spans="2:13" x14ac:dyDescent="0.3">
      <c r="B456" s="33"/>
      <c r="C456" s="34"/>
      <c r="D456" s="34"/>
      <c r="E456" s="34"/>
      <c r="F456" s="34"/>
      <c r="G456" s="34"/>
      <c r="H456" s="34"/>
      <c r="I456" s="34"/>
      <c r="J456" s="34"/>
      <c r="K456" s="35"/>
      <c r="L456" s="34"/>
      <c r="M456" s="32"/>
    </row>
    <row r="457" spans="2:13" x14ac:dyDescent="0.3">
      <c r="B457" s="33"/>
      <c r="C457" s="34"/>
      <c r="D457" s="34"/>
      <c r="E457" s="34"/>
      <c r="F457" s="34"/>
      <c r="G457" s="34"/>
      <c r="H457" s="34"/>
      <c r="I457" s="34"/>
      <c r="J457" s="34"/>
      <c r="K457" s="35"/>
      <c r="L457" s="34"/>
      <c r="M457" s="32"/>
    </row>
    <row r="458" spans="2:13" x14ac:dyDescent="0.3">
      <c r="B458" s="33"/>
      <c r="C458" s="34"/>
      <c r="D458" s="34"/>
      <c r="E458" s="34"/>
      <c r="F458" s="34"/>
      <c r="G458" s="34"/>
      <c r="H458" s="34"/>
      <c r="I458" s="34"/>
      <c r="J458" s="34"/>
      <c r="K458" s="35"/>
      <c r="L458" s="34"/>
      <c r="M458" s="32"/>
    </row>
    <row r="459" spans="2:13" x14ac:dyDescent="0.3">
      <c r="B459" s="33"/>
      <c r="C459" s="34"/>
      <c r="D459" s="34"/>
      <c r="E459" s="34"/>
      <c r="F459" s="34"/>
      <c r="G459" s="34"/>
      <c r="H459" s="34"/>
      <c r="I459" s="34"/>
      <c r="J459" s="34"/>
      <c r="K459" s="35"/>
      <c r="L459" s="34"/>
      <c r="M459" s="32"/>
    </row>
    <row r="460" spans="2:13" x14ac:dyDescent="0.3">
      <c r="B460" s="33"/>
      <c r="C460" s="34"/>
      <c r="D460" s="34"/>
      <c r="E460" s="34"/>
      <c r="F460" s="34"/>
      <c r="G460" s="34"/>
      <c r="H460" s="34"/>
      <c r="I460" s="34"/>
      <c r="J460" s="34"/>
      <c r="K460" s="35"/>
      <c r="L460" s="34"/>
      <c r="M460" s="32"/>
    </row>
    <row r="461" spans="2:13" x14ac:dyDescent="0.3">
      <c r="B461" s="33"/>
      <c r="C461" s="34"/>
      <c r="D461" s="34"/>
      <c r="E461" s="34"/>
      <c r="F461" s="34"/>
      <c r="G461" s="34"/>
      <c r="H461" s="34"/>
      <c r="I461" s="34"/>
      <c r="J461" s="34"/>
      <c r="K461" s="35"/>
      <c r="L461" s="34"/>
      <c r="M461" s="32"/>
    </row>
    <row r="462" spans="2:13" x14ac:dyDescent="0.3">
      <c r="B462" s="33"/>
      <c r="C462" s="34"/>
      <c r="D462" s="34"/>
      <c r="E462" s="34"/>
      <c r="F462" s="34"/>
      <c r="G462" s="34"/>
      <c r="H462" s="34"/>
      <c r="I462" s="34"/>
      <c r="J462" s="34"/>
      <c r="K462" s="35"/>
      <c r="L462" s="34"/>
      <c r="M462" s="32"/>
    </row>
    <row r="463" spans="2:13" x14ac:dyDescent="0.3">
      <c r="B463" s="33"/>
      <c r="C463" s="34"/>
      <c r="D463" s="34"/>
      <c r="E463" s="34"/>
      <c r="F463" s="34"/>
      <c r="G463" s="34"/>
      <c r="H463" s="34"/>
      <c r="I463" s="34"/>
      <c r="J463" s="34"/>
      <c r="K463" s="35"/>
      <c r="L463" s="34"/>
      <c r="M463" s="32"/>
    </row>
    <row r="464" spans="2:13" x14ac:dyDescent="0.3">
      <c r="B464" s="33"/>
      <c r="C464" s="34"/>
      <c r="D464" s="34"/>
      <c r="E464" s="34"/>
      <c r="F464" s="34"/>
      <c r="G464" s="34"/>
      <c r="H464" s="34"/>
      <c r="I464" s="34"/>
      <c r="J464" s="34"/>
      <c r="K464" s="35"/>
      <c r="L464" s="34"/>
      <c r="M464" s="32"/>
    </row>
    <row r="465" spans="2:13" x14ac:dyDescent="0.3">
      <c r="B465" s="33"/>
      <c r="C465" s="34"/>
      <c r="D465" s="34"/>
      <c r="E465" s="34"/>
      <c r="F465" s="34"/>
      <c r="G465" s="34"/>
      <c r="H465" s="34"/>
      <c r="I465" s="34"/>
      <c r="J465" s="34"/>
      <c r="K465" s="35"/>
      <c r="L465" s="34"/>
      <c r="M465" s="32"/>
    </row>
    <row r="466" spans="2:13" x14ac:dyDescent="0.3">
      <c r="B466" s="33"/>
      <c r="C466" s="34"/>
      <c r="D466" s="34"/>
      <c r="E466" s="34"/>
      <c r="F466" s="34"/>
      <c r="G466" s="34"/>
      <c r="H466" s="34"/>
      <c r="I466" s="34"/>
      <c r="J466" s="34"/>
      <c r="K466" s="35"/>
      <c r="L466" s="34"/>
      <c r="M466" s="32"/>
    </row>
    <row r="467" spans="2:13" x14ac:dyDescent="0.3">
      <c r="B467" s="33"/>
      <c r="C467" s="34"/>
      <c r="D467" s="34"/>
      <c r="E467" s="34"/>
      <c r="F467" s="34"/>
      <c r="G467" s="34"/>
      <c r="H467" s="34"/>
      <c r="I467" s="34"/>
      <c r="J467" s="34"/>
      <c r="K467" s="35"/>
      <c r="L467" s="34"/>
      <c r="M467" s="32"/>
    </row>
    <row r="468" spans="2:13" x14ac:dyDescent="0.3">
      <c r="B468" s="33"/>
      <c r="C468" s="34"/>
      <c r="D468" s="34"/>
      <c r="E468" s="34"/>
      <c r="F468" s="34"/>
      <c r="G468" s="34"/>
      <c r="H468" s="34"/>
      <c r="I468" s="34"/>
      <c r="J468" s="34"/>
      <c r="K468" s="35"/>
      <c r="L468" s="34"/>
      <c r="M468" s="32"/>
    </row>
    <row r="469" spans="2:13" x14ac:dyDescent="0.3">
      <c r="B469" s="33"/>
      <c r="C469" s="34"/>
      <c r="D469" s="34"/>
      <c r="E469" s="34"/>
      <c r="F469" s="34"/>
      <c r="G469" s="34"/>
      <c r="H469" s="34"/>
      <c r="I469" s="34"/>
      <c r="J469" s="34"/>
      <c r="K469" s="35"/>
      <c r="L469" s="34"/>
      <c r="M469" s="32"/>
    </row>
    <row r="470" spans="2:13" x14ac:dyDescent="0.3">
      <c r="B470" s="33"/>
      <c r="C470" s="34"/>
      <c r="D470" s="34"/>
      <c r="E470" s="34"/>
      <c r="F470" s="34"/>
      <c r="G470" s="34"/>
      <c r="H470" s="34"/>
      <c r="I470" s="34"/>
      <c r="J470" s="34"/>
      <c r="K470" s="35"/>
      <c r="L470" s="34"/>
      <c r="M470" s="32"/>
    </row>
    <row r="471" spans="2:13" x14ac:dyDescent="0.3">
      <c r="B471" s="33"/>
      <c r="C471" s="34"/>
      <c r="D471" s="34"/>
      <c r="E471" s="34"/>
      <c r="F471" s="34"/>
      <c r="G471" s="34"/>
      <c r="H471" s="34"/>
      <c r="I471" s="34"/>
      <c r="J471" s="34"/>
      <c r="K471" s="35"/>
      <c r="L471" s="34"/>
      <c r="M471" s="32"/>
    </row>
    <row r="472" spans="2:13" x14ac:dyDescent="0.3">
      <c r="B472" s="33"/>
      <c r="C472" s="34"/>
      <c r="D472" s="34"/>
      <c r="E472" s="34"/>
      <c r="F472" s="34"/>
      <c r="G472" s="34"/>
      <c r="H472" s="34"/>
      <c r="I472" s="34"/>
      <c r="J472" s="34"/>
      <c r="K472" s="35"/>
      <c r="L472" s="34"/>
      <c r="M472" s="32"/>
    </row>
    <row r="473" spans="2:13" x14ac:dyDescent="0.3">
      <c r="B473" s="33"/>
      <c r="C473" s="34"/>
      <c r="D473" s="34"/>
      <c r="E473" s="34"/>
      <c r="F473" s="34"/>
      <c r="G473" s="34"/>
      <c r="H473" s="34"/>
      <c r="I473" s="34"/>
      <c r="J473" s="34"/>
      <c r="K473" s="35"/>
      <c r="L473" s="34"/>
      <c r="M473" s="32"/>
    </row>
    <row r="474" spans="2:13" x14ac:dyDescent="0.3">
      <c r="B474" s="33"/>
      <c r="C474" s="34"/>
      <c r="D474" s="34"/>
      <c r="E474" s="34"/>
      <c r="F474" s="34"/>
      <c r="G474" s="34"/>
      <c r="H474" s="34"/>
      <c r="I474" s="34"/>
      <c r="J474" s="34"/>
      <c r="K474" s="35"/>
      <c r="L474" s="34"/>
      <c r="M474" s="32"/>
    </row>
    <row r="475" spans="2:13" x14ac:dyDescent="0.3">
      <c r="B475" s="33"/>
      <c r="C475" s="34"/>
      <c r="D475" s="34"/>
      <c r="E475" s="34"/>
      <c r="F475" s="34"/>
      <c r="G475" s="34"/>
      <c r="H475" s="34"/>
      <c r="I475" s="34"/>
      <c r="J475" s="34"/>
      <c r="K475" s="35"/>
      <c r="L475" s="34"/>
      <c r="M475" s="32"/>
    </row>
    <row r="476" spans="2:13" x14ac:dyDescent="0.3">
      <c r="B476" s="33"/>
      <c r="C476" s="34"/>
      <c r="D476" s="34"/>
      <c r="E476" s="34"/>
      <c r="F476" s="34"/>
      <c r="G476" s="34"/>
      <c r="H476" s="34"/>
      <c r="I476" s="34"/>
      <c r="J476" s="34"/>
      <c r="K476" s="35"/>
      <c r="L476" s="34"/>
      <c r="M476" s="32"/>
    </row>
    <row r="477" spans="2:13" x14ac:dyDescent="0.3">
      <c r="B477" s="33"/>
      <c r="C477" s="34"/>
      <c r="D477" s="34"/>
      <c r="E477" s="34"/>
      <c r="F477" s="34"/>
      <c r="G477" s="34"/>
      <c r="H477" s="34"/>
      <c r="I477" s="34"/>
      <c r="J477" s="34"/>
      <c r="K477" s="35"/>
      <c r="L477" s="34"/>
      <c r="M477" s="32"/>
    </row>
    <row r="478" spans="2:13" x14ac:dyDescent="0.3">
      <c r="B478" s="33"/>
      <c r="C478" s="34"/>
      <c r="D478" s="34"/>
      <c r="E478" s="34"/>
      <c r="F478" s="34"/>
      <c r="G478" s="34"/>
      <c r="H478" s="34"/>
      <c r="I478" s="34"/>
      <c r="J478" s="34"/>
      <c r="K478" s="35"/>
      <c r="L478" s="34"/>
      <c r="M478" s="32"/>
    </row>
    <row r="479" spans="2:13" x14ac:dyDescent="0.3">
      <c r="B479" s="33"/>
      <c r="C479" s="34"/>
      <c r="D479" s="34"/>
      <c r="E479" s="34"/>
      <c r="F479" s="34"/>
      <c r="G479" s="34"/>
      <c r="H479" s="34"/>
      <c r="I479" s="34"/>
      <c r="J479" s="34"/>
      <c r="K479" s="35"/>
      <c r="L479" s="34"/>
      <c r="M479" s="32"/>
    </row>
    <row r="480" spans="2:13" x14ac:dyDescent="0.3">
      <c r="B480" s="33"/>
      <c r="C480" s="34"/>
      <c r="D480" s="34"/>
      <c r="E480" s="34"/>
      <c r="F480" s="34"/>
      <c r="G480" s="34"/>
      <c r="H480" s="34"/>
      <c r="I480" s="34"/>
      <c r="J480" s="34"/>
      <c r="K480" s="35"/>
      <c r="L480" s="34"/>
      <c r="M480" s="32"/>
    </row>
    <row r="481" spans="2:13" x14ac:dyDescent="0.3">
      <c r="B481" s="33"/>
      <c r="C481" s="34"/>
      <c r="D481" s="34"/>
      <c r="E481" s="34"/>
      <c r="F481" s="34"/>
      <c r="G481" s="34"/>
      <c r="H481" s="34"/>
      <c r="I481" s="34"/>
      <c r="J481" s="34"/>
      <c r="K481" s="35"/>
      <c r="L481" s="34"/>
      <c r="M481" s="32"/>
    </row>
    <row r="482" spans="2:13" x14ac:dyDescent="0.3">
      <c r="B482" s="33"/>
      <c r="C482" s="34"/>
      <c r="D482" s="34"/>
      <c r="E482" s="34"/>
      <c r="F482" s="34"/>
      <c r="G482" s="34"/>
      <c r="H482" s="34"/>
      <c r="I482" s="34"/>
      <c r="J482" s="34"/>
      <c r="K482" s="35"/>
      <c r="L482" s="34"/>
      <c r="M482" s="32"/>
    </row>
    <row r="483" spans="2:13" x14ac:dyDescent="0.3">
      <c r="B483" s="33"/>
      <c r="C483" s="34"/>
      <c r="D483" s="34"/>
      <c r="E483" s="34"/>
      <c r="F483" s="34"/>
      <c r="G483" s="34"/>
      <c r="H483" s="34"/>
      <c r="I483" s="34"/>
      <c r="J483" s="34"/>
      <c r="K483" s="35"/>
      <c r="L483" s="34"/>
      <c r="M483" s="32"/>
    </row>
    <row r="484" spans="2:13" x14ac:dyDescent="0.3">
      <c r="B484" s="33"/>
      <c r="C484" s="34"/>
      <c r="D484" s="34"/>
      <c r="E484" s="34"/>
      <c r="F484" s="34"/>
      <c r="G484" s="34"/>
      <c r="H484" s="34"/>
      <c r="I484" s="34"/>
      <c r="J484" s="34"/>
      <c r="K484" s="35"/>
      <c r="L484" s="34"/>
      <c r="M484" s="32"/>
    </row>
    <row r="485" spans="2:13" x14ac:dyDescent="0.3">
      <c r="B485" s="33"/>
      <c r="C485" s="34"/>
      <c r="D485" s="34"/>
      <c r="E485" s="34"/>
      <c r="F485" s="34"/>
      <c r="G485" s="34"/>
      <c r="H485" s="34"/>
      <c r="I485" s="34"/>
      <c r="J485" s="34"/>
      <c r="K485" s="35"/>
      <c r="L485" s="34"/>
      <c r="M485" s="32"/>
    </row>
    <row r="486" spans="2:13" x14ac:dyDescent="0.3">
      <c r="B486" s="33"/>
      <c r="C486" s="34"/>
      <c r="D486" s="34"/>
      <c r="E486" s="34"/>
      <c r="F486" s="34"/>
      <c r="G486" s="34"/>
      <c r="H486" s="34"/>
      <c r="I486" s="34"/>
      <c r="J486" s="34"/>
      <c r="K486" s="35"/>
      <c r="L486" s="34"/>
      <c r="M486" s="32"/>
    </row>
    <row r="487" spans="2:13" x14ac:dyDescent="0.3">
      <c r="B487" s="33"/>
      <c r="C487" s="34"/>
      <c r="D487" s="34"/>
      <c r="E487" s="34"/>
      <c r="F487" s="34"/>
      <c r="G487" s="34"/>
      <c r="H487" s="34"/>
      <c r="I487" s="34"/>
      <c r="J487" s="34"/>
      <c r="K487" s="35"/>
      <c r="L487" s="34"/>
      <c r="M487" s="32"/>
    </row>
    <row r="488" spans="2:13" x14ac:dyDescent="0.3">
      <c r="B488" s="33"/>
      <c r="C488" s="34"/>
      <c r="D488" s="34"/>
      <c r="E488" s="34"/>
      <c r="F488" s="34"/>
      <c r="G488" s="34"/>
      <c r="H488" s="34"/>
      <c r="I488" s="34"/>
      <c r="J488" s="34"/>
      <c r="K488" s="35"/>
      <c r="L488" s="34"/>
      <c r="M488" s="32"/>
    </row>
    <row r="489" spans="2:13" x14ac:dyDescent="0.3">
      <c r="B489" s="33"/>
      <c r="C489" s="34"/>
      <c r="D489" s="34"/>
      <c r="E489" s="34"/>
      <c r="F489" s="34"/>
      <c r="G489" s="34"/>
      <c r="H489" s="34"/>
      <c r="I489" s="34"/>
      <c r="J489" s="34"/>
      <c r="K489" s="35"/>
      <c r="L489" s="34"/>
      <c r="M489" s="32"/>
    </row>
    <row r="490" spans="2:13" x14ac:dyDescent="0.3">
      <c r="B490" s="33"/>
      <c r="C490" s="34"/>
      <c r="D490" s="34"/>
      <c r="E490" s="34"/>
      <c r="F490" s="34"/>
      <c r="G490" s="34"/>
      <c r="H490" s="34"/>
      <c r="I490" s="34"/>
      <c r="J490" s="34"/>
      <c r="K490" s="35"/>
      <c r="L490" s="34"/>
      <c r="M490" s="32"/>
    </row>
    <row r="491" spans="2:13" x14ac:dyDescent="0.3">
      <c r="B491" s="33"/>
      <c r="C491" s="34"/>
      <c r="D491" s="34"/>
      <c r="E491" s="34"/>
      <c r="F491" s="34"/>
      <c r="G491" s="34"/>
      <c r="H491" s="34"/>
      <c r="I491" s="34"/>
      <c r="J491" s="34"/>
      <c r="K491" s="35"/>
      <c r="L491" s="34"/>
      <c r="M491" s="32"/>
    </row>
    <row r="492" spans="2:13" x14ac:dyDescent="0.3">
      <c r="B492" s="33"/>
      <c r="C492" s="34"/>
      <c r="D492" s="34"/>
      <c r="E492" s="34"/>
      <c r="F492" s="34"/>
      <c r="G492" s="34"/>
      <c r="H492" s="34"/>
      <c r="I492" s="34"/>
      <c r="J492" s="34"/>
      <c r="K492" s="35"/>
      <c r="L492" s="34"/>
      <c r="M492" s="32"/>
    </row>
    <row r="493" spans="2:13" x14ac:dyDescent="0.3">
      <c r="B493" s="33"/>
      <c r="C493" s="34"/>
      <c r="D493" s="34"/>
      <c r="E493" s="34"/>
      <c r="F493" s="34"/>
      <c r="G493" s="34"/>
      <c r="H493" s="34"/>
      <c r="I493" s="34"/>
      <c r="J493" s="34"/>
      <c r="K493" s="35"/>
      <c r="L493" s="34"/>
      <c r="M493" s="32"/>
    </row>
    <row r="494" spans="2:13" x14ac:dyDescent="0.3">
      <c r="B494" s="33"/>
      <c r="C494" s="34"/>
      <c r="D494" s="34"/>
      <c r="E494" s="34"/>
      <c r="F494" s="34"/>
      <c r="G494" s="34"/>
      <c r="H494" s="34"/>
      <c r="I494" s="34"/>
      <c r="J494" s="34"/>
      <c r="K494" s="35"/>
      <c r="L494" s="34"/>
      <c r="M494" s="32"/>
    </row>
    <row r="495" spans="2:13" x14ac:dyDescent="0.3">
      <c r="B495" s="33"/>
      <c r="C495" s="34"/>
      <c r="D495" s="34"/>
      <c r="E495" s="34"/>
      <c r="F495" s="34"/>
      <c r="G495" s="34"/>
      <c r="H495" s="34"/>
      <c r="I495" s="34"/>
      <c r="J495" s="34"/>
      <c r="K495" s="35"/>
      <c r="L495" s="34"/>
      <c r="M495" s="32"/>
    </row>
    <row r="496" spans="2:13" x14ac:dyDescent="0.3">
      <c r="B496" s="33"/>
      <c r="C496" s="34"/>
      <c r="D496" s="34"/>
      <c r="E496" s="34"/>
      <c r="F496" s="34"/>
      <c r="G496" s="34"/>
      <c r="H496" s="34"/>
      <c r="I496" s="34"/>
      <c r="J496" s="34"/>
      <c r="K496" s="35"/>
      <c r="L496" s="34"/>
      <c r="M496" s="32"/>
    </row>
    <row r="497" spans="2:13" x14ac:dyDescent="0.3">
      <c r="B497" s="33"/>
      <c r="C497" s="34"/>
      <c r="D497" s="34"/>
      <c r="E497" s="34"/>
      <c r="F497" s="34"/>
      <c r="G497" s="34"/>
      <c r="H497" s="34"/>
      <c r="I497" s="34"/>
      <c r="J497" s="34"/>
      <c r="K497" s="35"/>
      <c r="L497" s="34"/>
      <c r="M497" s="32"/>
    </row>
    <row r="498" spans="2:13" x14ac:dyDescent="0.3">
      <c r="B498" s="33"/>
      <c r="C498" s="34"/>
      <c r="D498" s="34"/>
      <c r="E498" s="34"/>
      <c r="F498" s="34"/>
      <c r="G498" s="34"/>
      <c r="H498" s="34"/>
      <c r="I498" s="34"/>
      <c r="J498" s="34"/>
      <c r="K498" s="35"/>
      <c r="L498" s="34"/>
      <c r="M498" s="32"/>
    </row>
    <row r="499" spans="2:13" x14ac:dyDescent="0.3">
      <c r="B499" s="33"/>
      <c r="C499" s="34"/>
      <c r="D499" s="34"/>
      <c r="E499" s="34"/>
      <c r="F499" s="34"/>
      <c r="G499" s="34"/>
      <c r="H499" s="34"/>
      <c r="I499" s="34"/>
      <c r="J499" s="34"/>
      <c r="K499" s="35"/>
      <c r="L499" s="34"/>
      <c r="M499" s="32"/>
    </row>
    <row r="500" spans="2:13" x14ac:dyDescent="0.3">
      <c r="B500" s="33"/>
      <c r="C500" s="34"/>
      <c r="D500" s="34"/>
      <c r="E500" s="34"/>
      <c r="F500" s="34"/>
      <c r="G500" s="34"/>
      <c r="H500" s="34"/>
      <c r="I500" s="34"/>
      <c r="J500" s="34"/>
      <c r="K500" s="35"/>
      <c r="L500" s="34"/>
      <c r="M500" s="32"/>
    </row>
    <row r="501" spans="2:13" x14ac:dyDescent="0.3">
      <c r="B501" s="33"/>
      <c r="C501" s="34"/>
      <c r="D501" s="34"/>
      <c r="E501" s="34"/>
      <c r="F501" s="34"/>
      <c r="G501" s="34"/>
      <c r="H501" s="34"/>
      <c r="I501" s="34"/>
      <c r="J501" s="34"/>
      <c r="K501" s="35"/>
      <c r="L501" s="34"/>
      <c r="M501" s="32"/>
    </row>
    <row r="502" spans="2:13" x14ac:dyDescent="0.3">
      <c r="B502" s="33"/>
      <c r="C502" s="34"/>
      <c r="D502" s="34"/>
      <c r="E502" s="34"/>
      <c r="F502" s="34"/>
      <c r="G502" s="34"/>
      <c r="H502" s="34"/>
      <c r="I502" s="34"/>
      <c r="J502" s="34"/>
      <c r="K502" s="35"/>
      <c r="L502" s="34"/>
      <c r="M502" s="32"/>
    </row>
    <row r="503" spans="2:13" x14ac:dyDescent="0.3">
      <c r="B503" s="33"/>
      <c r="C503" s="34"/>
      <c r="D503" s="34"/>
      <c r="E503" s="34"/>
      <c r="F503" s="34"/>
      <c r="G503" s="34"/>
      <c r="H503" s="34"/>
      <c r="I503" s="34"/>
      <c r="J503" s="34"/>
      <c r="K503" s="35"/>
      <c r="L503" s="34"/>
      <c r="M503" s="32"/>
    </row>
    <row r="504" spans="2:13" x14ac:dyDescent="0.3">
      <c r="B504" s="33"/>
      <c r="C504" s="34"/>
      <c r="D504" s="34"/>
      <c r="E504" s="34"/>
      <c r="F504" s="34"/>
      <c r="G504" s="34"/>
      <c r="H504" s="34"/>
      <c r="I504" s="34"/>
      <c r="J504" s="34"/>
      <c r="K504" s="35"/>
      <c r="L504" s="34"/>
      <c r="M504" s="32"/>
    </row>
    <row r="505" spans="2:13" x14ac:dyDescent="0.3">
      <c r="B505" s="33"/>
      <c r="C505" s="34"/>
      <c r="D505" s="34"/>
      <c r="E505" s="34"/>
      <c r="F505" s="34"/>
      <c r="G505" s="34"/>
      <c r="H505" s="34"/>
      <c r="I505" s="34"/>
      <c r="J505" s="34"/>
      <c r="K505" s="35"/>
      <c r="L505" s="34"/>
      <c r="M505" s="32"/>
    </row>
    <row r="506" spans="2:13" x14ac:dyDescent="0.3">
      <c r="B506" s="33"/>
      <c r="C506" s="34"/>
      <c r="D506" s="34"/>
      <c r="E506" s="34"/>
      <c r="F506" s="34"/>
      <c r="G506" s="34"/>
      <c r="H506" s="34"/>
      <c r="I506" s="34"/>
      <c r="J506" s="34"/>
      <c r="K506" s="35"/>
      <c r="L506" s="34"/>
      <c r="M506" s="32"/>
    </row>
    <row r="507" spans="2:13" x14ac:dyDescent="0.3">
      <c r="B507" s="33"/>
      <c r="C507" s="34"/>
      <c r="D507" s="34"/>
      <c r="E507" s="34"/>
      <c r="F507" s="34"/>
      <c r="G507" s="34"/>
      <c r="H507" s="34"/>
      <c r="I507" s="34"/>
      <c r="J507" s="34"/>
      <c r="K507" s="35"/>
      <c r="L507" s="34"/>
      <c r="M507" s="32"/>
    </row>
    <row r="508" spans="2:13" x14ac:dyDescent="0.3">
      <c r="B508" s="33"/>
      <c r="C508" s="34"/>
      <c r="D508" s="34"/>
      <c r="E508" s="34"/>
      <c r="F508" s="34"/>
      <c r="G508" s="34"/>
      <c r="H508" s="34"/>
      <c r="I508" s="34"/>
      <c r="J508" s="34"/>
      <c r="K508" s="35"/>
      <c r="L508" s="34"/>
      <c r="M508" s="32"/>
    </row>
    <row r="509" spans="2:13" x14ac:dyDescent="0.3">
      <c r="B509" s="33"/>
      <c r="C509" s="34"/>
      <c r="D509" s="34"/>
      <c r="E509" s="34"/>
      <c r="F509" s="34"/>
      <c r="G509" s="34"/>
      <c r="H509" s="34"/>
      <c r="I509" s="34"/>
      <c r="J509" s="34"/>
      <c r="K509" s="35"/>
      <c r="L509" s="34"/>
      <c r="M509" s="32"/>
    </row>
    <row r="510" spans="2:13" x14ac:dyDescent="0.3">
      <c r="B510" s="33"/>
      <c r="C510" s="34"/>
      <c r="D510" s="34"/>
      <c r="E510" s="34"/>
      <c r="F510" s="34"/>
      <c r="G510" s="34"/>
      <c r="H510" s="34"/>
      <c r="I510" s="34"/>
      <c r="J510" s="34"/>
      <c r="K510" s="35"/>
      <c r="L510" s="34"/>
      <c r="M510" s="32"/>
    </row>
    <row r="511" spans="2:13" x14ac:dyDescent="0.3">
      <c r="B511" s="33"/>
      <c r="C511" s="34"/>
      <c r="D511" s="34"/>
      <c r="E511" s="34"/>
      <c r="F511" s="34"/>
      <c r="G511" s="34"/>
      <c r="H511" s="34"/>
      <c r="I511" s="34"/>
      <c r="J511" s="34"/>
      <c r="K511" s="35"/>
      <c r="L511" s="34"/>
      <c r="M511" s="34"/>
    </row>
    <row r="512" spans="2:13" x14ac:dyDescent="0.3">
      <c r="B512" s="33"/>
      <c r="C512" s="34"/>
      <c r="D512" s="34"/>
      <c r="E512" s="34"/>
      <c r="F512" s="34"/>
      <c r="G512" s="34"/>
      <c r="H512" s="34"/>
      <c r="I512" s="34"/>
      <c r="J512" s="34"/>
      <c r="K512" s="35"/>
      <c r="L512" s="34"/>
      <c r="M512" s="34"/>
    </row>
    <row r="513" spans="2:13" x14ac:dyDescent="0.3">
      <c r="B513" s="33"/>
      <c r="C513" s="34"/>
      <c r="D513" s="34"/>
      <c r="E513" s="34"/>
      <c r="F513" s="34"/>
      <c r="G513" s="34"/>
      <c r="H513" s="34"/>
      <c r="I513" s="34"/>
      <c r="J513" s="34"/>
      <c r="K513" s="35"/>
      <c r="L513" s="34"/>
      <c r="M513" s="34"/>
    </row>
    <row r="514" spans="2:13" x14ac:dyDescent="0.3">
      <c r="B514" s="33"/>
      <c r="C514" s="34"/>
      <c r="D514" s="34"/>
      <c r="E514" s="34"/>
      <c r="F514" s="34"/>
      <c r="G514" s="34"/>
      <c r="H514" s="34"/>
      <c r="I514" s="34"/>
      <c r="J514" s="34"/>
      <c r="K514" s="35"/>
      <c r="L514" s="34"/>
      <c r="M514" s="34"/>
    </row>
    <row r="515" spans="2:13" x14ac:dyDescent="0.3">
      <c r="B515" s="33"/>
      <c r="C515" s="34"/>
      <c r="D515" s="34"/>
      <c r="E515" s="34"/>
      <c r="F515" s="34"/>
      <c r="G515" s="34"/>
      <c r="H515" s="34"/>
      <c r="I515" s="34"/>
      <c r="J515" s="34"/>
      <c r="K515" s="35"/>
      <c r="L515" s="34"/>
      <c r="M515" s="34"/>
    </row>
    <row r="516" spans="2:13" x14ac:dyDescent="0.3">
      <c r="B516" s="33"/>
      <c r="C516" s="34"/>
      <c r="D516" s="34"/>
      <c r="E516" s="34"/>
      <c r="F516" s="34"/>
      <c r="G516" s="34"/>
      <c r="H516" s="34"/>
      <c r="I516" s="34"/>
      <c r="J516" s="34"/>
      <c r="K516" s="35"/>
      <c r="L516" s="34"/>
      <c r="M516" s="34"/>
    </row>
    <row r="517" spans="2:13" x14ac:dyDescent="0.3">
      <c r="B517" s="33"/>
      <c r="C517" s="34"/>
      <c r="D517" s="34"/>
      <c r="E517" s="34"/>
      <c r="F517" s="34"/>
      <c r="G517" s="34"/>
      <c r="H517" s="34"/>
      <c r="I517" s="34"/>
      <c r="J517" s="34"/>
      <c r="K517" s="35"/>
      <c r="L517" s="34"/>
      <c r="M517" s="34"/>
    </row>
    <row r="518" spans="2:13" x14ac:dyDescent="0.3">
      <c r="B518" s="33"/>
      <c r="C518" s="34"/>
      <c r="D518" s="34"/>
      <c r="E518" s="34"/>
      <c r="F518" s="34"/>
      <c r="G518" s="34"/>
      <c r="H518" s="34"/>
      <c r="I518" s="34"/>
      <c r="J518" s="34"/>
      <c r="K518" s="35"/>
      <c r="L518" s="34"/>
      <c r="M518" s="34"/>
    </row>
    <row r="519" spans="2:13" x14ac:dyDescent="0.3">
      <c r="B519" s="33"/>
      <c r="C519" s="34"/>
      <c r="D519" s="34"/>
      <c r="E519" s="34"/>
      <c r="F519" s="34"/>
      <c r="G519" s="34"/>
      <c r="H519" s="34"/>
      <c r="I519" s="34"/>
      <c r="J519" s="34"/>
      <c r="K519" s="35"/>
      <c r="L519" s="34"/>
      <c r="M519" s="34"/>
    </row>
    <row r="520" spans="2:13" x14ac:dyDescent="0.3">
      <c r="B520" s="33"/>
      <c r="C520" s="34"/>
      <c r="D520" s="34"/>
      <c r="E520" s="34"/>
      <c r="F520" s="34"/>
      <c r="G520" s="34"/>
      <c r="H520" s="34"/>
      <c r="I520" s="34"/>
      <c r="J520" s="34"/>
      <c r="K520" s="35"/>
      <c r="L520" s="34"/>
      <c r="M520" s="34"/>
    </row>
    <row r="521" spans="2:13" x14ac:dyDescent="0.3">
      <c r="B521" s="33"/>
      <c r="C521" s="34"/>
      <c r="D521" s="34"/>
      <c r="E521" s="34"/>
      <c r="F521" s="34"/>
      <c r="G521" s="34"/>
      <c r="H521" s="34"/>
      <c r="I521" s="34"/>
      <c r="J521" s="34"/>
      <c r="K521" s="35"/>
      <c r="L521" s="34"/>
      <c r="M521" s="34"/>
    </row>
    <row r="522" spans="2:13" x14ac:dyDescent="0.3">
      <c r="B522" s="33"/>
      <c r="C522" s="34"/>
      <c r="D522" s="34"/>
      <c r="E522" s="34"/>
      <c r="F522" s="34"/>
      <c r="G522" s="34"/>
      <c r="H522" s="34"/>
      <c r="I522" s="34"/>
      <c r="J522" s="34"/>
      <c r="K522" s="35"/>
      <c r="L522" s="34"/>
      <c r="M522" s="34"/>
    </row>
    <row r="523" spans="2:13" x14ac:dyDescent="0.3">
      <c r="B523" s="33"/>
      <c r="C523" s="34"/>
      <c r="D523" s="34"/>
      <c r="E523" s="34"/>
      <c r="F523" s="34"/>
      <c r="G523" s="34"/>
      <c r="H523" s="34"/>
      <c r="I523" s="34"/>
      <c r="J523" s="34"/>
      <c r="K523" s="35"/>
      <c r="L523" s="34"/>
      <c r="M523" s="34"/>
    </row>
    <row r="524" spans="2:13" x14ac:dyDescent="0.3">
      <c r="B524" s="33"/>
      <c r="C524" s="34"/>
      <c r="D524" s="34"/>
      <c r="E524" s="34"/>
      <c r="F524" s="34"/>
      <c r="G524" s="34"/>
      <c r="H524" s="34"/>
      <c r="I524" s="34"/>
      <c r="J524" s="34"/>
      <c r="K524" s="35"/>
      <c r="L524" s="34"/>
      <c r="M524" s="34"/>
    </row>
    <row r="525" spans="2:13" x14ac:dyDescent="0.3">
      <c r="B525" s="33"/>
      <c r="C525" s="34"/>
      <c r="D525" s="34"/>
      <c r="E525" s="34"/>
      <c r="F525" s="34"/>
      <c r="G525" s="34"/>
      <c r="H525" s="34"/>
      <c r="I525" s="34"/>
      <c r="J525" s="34"/>
      <c r="K525" s="35"/>
      <c r="L525" s="34"/>
      <c r="M525" s="34"/>
    </row>
    <row r="526" spans="2:13" x14ac:dyDescent="0.3">
      <c r="B526" s="33"/>
      <c r="C526" s="34"/>
      <c r="D526" s="34"/>
      <c r="E526" s="34"/>
      <c r="F526" s="34"/>
      <c r="G526" s="34"/>
      <c r="H526" s="34"/>
      <c r="I526" s="34"/>
      <c r="J526" s="34"/>
      <c r="K526" s="35"/>
      <c r="L526" s="34"/>
      <c r="M526" s="34"/>
    </row>
    <row r="527" spans="2:13" x14ac:dyDescent="0.3">
      <c r="B527" s="33"/>
      <c r="C527" s="34"/>
      <c r="D527" s="34"/>
      <c r="E527" s="34"/>
      <c r="F527" s="34"/>
      <c r="G527" s="34"/>
      <c r="H527" s="34"/>
      <c r="I527" s="34"/>
      <c r="J527" s="34"/>
      <c r="K527" s="35"/>
      <c r="L527" s="34"/>
      <c r="M527" s="34"/>
    </row>
    <row r="528" spans="2:13" x14ac:dyDescent="0.3">
      <c r="B528" s="33"/>
      <c r="C528" s="34"/>
      <c r="D528" s="34"/>
      <c r="E528" s="34"/>
      <c r="F528" s="34"/>
      <c r="G528" s="34"/>
      <c r="H528" s="34"/>
      <c r="I528" s="34"/>
      <c r="J528" s="34"/>
      <c r="K528" s="35"/>
      <c r="L528" s="34"/>
      <c r="M528" s="34"/>
    </row>
    <row r="529" spans="2:13" x14ac:dyDescent="0.3">
      <c r="B529" s="33"/>
      <c r="C529" s="34"/>
      <c r="D529" s="34"/>
      <c r="E529" s="34"/>
      <c r="F529" s="34"/>
      <c r="G529" s="34"/>
      <c r="H529" s="34"/>
      <c r="I529" s="34"/>
      <c r="J529" s="34"/>
      <c r="K529" s="35"/>
      <c r="L529" s="34"/>
      <c r="M529" s="34"/>
    </row>
    <row r="530" spans="2:13" x14ac:dyDescent="0.3">
      <c r="B530" s="33"/>
      <c r="C530" s="34"/>
      <c r="D530" s="34"/>
      <c r="E530" s="34"/>
      <c r="F530" s="34"/>
      <c r="G530" s="34"/>
      <c r="H530" s="34"/>
      <c r="I530" s="34"/>
      <c r="J530" s="34"/>
      <c r="K530" s="35"/>
      <c r="L530" s="34"/>
      <c r="M530" s="34"/>
    </row>
    <row r="531" spans="2:13" x14ac:dyDescent="0.3">
      <c r="B531" s="33"/>
      <c r="C531" s="34"/>
      <c r="D531" s="34"/>
      <c r="E531" s="34"/>
      <c r="F531" s="34"/>
      <c r="G531" s="34"/>
      <c r="H531" s="34"/>
      <c r="I531" s="34"/>
      <c r="J531" s="34"/>
      <c r="K531" s="35"/>
      <c r="L531" s="34"/>
      <c r="M531" s="34"/>
    </row>
    <row r="532" spans="2:13" x14ac:dyDescent="0.3">
      <c r="B532" s="33"/>
      <c r="C532" s="34"/>
      <c r="D532" s="34"/>
      <c r="E532" s="34"/>
      <c r="F532" s="34"/>
      <c r="G532" s="34"/>
      <c r="H532" s="34"/>
      <c r="I532" s="34"/>
      <c r="J532" s="34"/>
      <c r="K532" s="35"/>
      <c r="L532" s="34"/>
      <c r="M532" s="34"/>
    </row>
    <row r="533" spans="2:13" x14ac:dyDescent="0.3">
      <c r="B533" s="33"/>
      <c r="C533" s="34"/>
      <c r="D533" s="34"/>
      <c r="E533" s="34"/>
      <c r="F533" s="34"/>
      <c r="G533" s="34"/>
      <c r="H533" s="34"/>
      <c r="I533" s="34"/>
      <c r="J533" s="34"/>
      <c r="K533" s="35"/>
      <c r="L533" s="34"/>
      <c r="M533" s="34"/>
    </row>
    <row r="534" spans="2:13" x14ac:dyDescent="0.3">
      <c r="B534" s="33"/>
      <c r="C534" s="34"/>
      <c r="D534" s="34"/>
      <c r="E534" s="34"/>
      <c r="F534" s="34"/>
      <c r="G534" s="34"/>
      <c r="H534" s="34"/>
      <c r="I534" s="34"/>
      <c r="J534" s="34"/>
      <c r="K534" s="35"/>
      <c r="L534" s="34"/>
      <c r="M534" s="34"/>
    </row>
    <row r="535" spans="2:13" x14ac:dyDescent="0.3">
      <c r="B535" s="33"/>
      <c r="C535" s="34"/>
      <c r="D535" s="34"/>
      <c r="E535" s="34"/>
      <c r="F535" s="34"/>
      <c r="G535" s="34"/>
      <c r="H535" s="34"/>
      <c r="I535" s="34"/>
      <c r="J535" s="34"/>
      <c r="K535" s="35"/>
      <c r="L535" s="34"/>
      <c r="M535" s="34"/>
    </row>
    <row r="536" spans="2:13" x14ac:dyDescent="0.3">
      <c r="B536" s="33"/>
      <c r="C536" s="34"/>
      <c r="D536" s="34"/>
      <c r="E536" s="34"/>
      <c r="F536" s="34"/>
      <c r="G536" s="34"/>
      <c r="H536" s="34"/>
      <c r="I536" s="34"/>
      <c r="J536" s="34"/>
      <c r="K536" s="35"/>
      <c r="L536" s="34"/>
      <c r="M536" s="34"/>
    </row>
    <row r="537" spans="2:13" x14ac:dyDescent="0.3">
      <c r="B537" s="33"/>
      <c r="C537" s="34"/>
      <c r="D537" s="34"/>
      <c r="E537" s="34"/>
      <c r="F537" s="34"/>
      <c r="G537" s="34"/>
      <c r="H537" s="34"/>
      <c r="I537" s="34"/>
      <c r="J537" s="34"/>
      <c r="K537" s="35"/>
      <c r="L537" s="34"/>
      <c r="M537" s="34"/>
    </row>
    <row r="538" spans="2:13" x14ac:dyDescent="0.3">
      <c r="B538" s="33"/>
      <c r="C538" s="34"/>
      <c r="D538" s="34"/>
      <c r="E538" s="34"/>
      <c r="F538" s="34"/>
      <c r="G538" s="34"/>
      <c r="H538" s="34"/>
      <c r="I538" s="34"/>
      <c r="J538" s="34"/>
      <c r="K538" s="35"/>
      <c r="L538" s="34"/>
      <c r="M538" s="34"/>
    </row>
    <row r="539" spans="2:13" x14ac:dyDescent="0.3">
      <c r="B539" s="33"/>
      <c r="C539" s="34"/>
      <c r="D539" s="34"/>
      <c r="E539" s="34"/>
      <c r="F539" s="34"/>
      <c r="G539" s="34"/>
      <c r="H539" s="34"/>
      <c r="I539" s="34"/>
      <c r="J539" s="34"/>
      <c r="K539" s="35"/>
      <c r="L539" s="34"/>
      <c r="M539" s="34"/>
    </row>
    <row r="540" spans="2:13" x14ac:dyDescent="0.3">
      <c r="B540" s="33"/>
      <c r="C540" s="34"/>
      <c r="D540" s="34"/>
      <c r="E540" s="34"/>
      <c r="F540" s="34"/>
      <c r="G540" s="34"/>
      <c r="H540" s="34"/>
      <c r="I540" s="34"/>
      <c r="J540" s="34"/>
      <c r="K540" s="35"/>
      <c r="L540" s="34"/>
      <c r="M540" s="34"/>
    </row>
    <row r="541" spans="2:13" x14ac:dyDescent="0.3">
      <c r="B541" s="33"/>
      <c r="C541" s="34"/>
      <c r="D541" s="34"/>
      <c r="E541" s="34"/>
      <c r="F541" s="34"/>
      <c r="G541" s="34"/>
      <c r="H541" s="34"/>
      <c r="I541" s="34"/>
      <c r="J541" s="34"/>
      <c r="K541" s="35"/>
      <c r="L541" s="34"/>
      <c r="M541" s="34"/>
    </row>
    <row r="542" spans="2:13" x14ac:dyDescent="0.3">
      <c r="B542" s="33"/>
      <c r="C542" s="34"/>
      <c r="D542" s="34"/>
      <c r="E542" s="34"/>
      <c r="F542" s="34"/>
      <c r="G542" s="34"/>
      <c r="H542" s="34"/>
      <c r="I542" s="34"/>
      <c r="J542" s="34"/>
      <c r="K542" s="35"/>
      <c r="L542" s="34"/>
      <c r="M542" s="34"/>
    </row>
    <row r="543" spans="2:13" x14ac:dyDescent="0.3">
      <c r="B543" s="33"/>
      <c r="C543" s="34"/>
      <c r="D543" s="34"/>
      <c r="E543" s="34"/>
      <c r="F543" s="34"/>
      <c r="G543" s="34"/>
      <c r="H543" s="34"/>
      <c r="I543" s="34"/>
      <c r="J543" s="34"/>
      <c r="K543" s="35"/>
      <c r="L543" s="34"/>
      <c r="M543" s="34"/>
    </row>
    <row r="544" spans="2:13" x14ac:dyDescent="0.3">
      <c r="B544" s="33"/>
      <c r="C544" s="34"/>
      <c r="D544" s="34"/>
      <c r="E544" s="34"/>
      <c r="F544" s="34"/>
      <c r="G544" s="34"/>
      <c r="H544" s="34"/>
      <c r="I544" s="34"/>
      <c r="J544" s="34"/>
      <c r="K544" s="35"/>
      <c r="L544" s="34"/>
      <c r="M544" s="34"/>
    </row>
    <row r="545" spans="2:13" x14ac:dyDescent="0.3">
      <c r="B545" s="33"/>
      <c r="C545" s="34"/>
      <c r="D545" s="34"/>
      <c r="E545" s="34"/>
      <c r="F545" s="34"/>
      <c r="G545" s="34"/>
      <c r="H545" s="34"/>
      <c r="I545" s="34"/>
      <c r="J545" s="34"/>
      <c r="K545" s="35"/>
      <c r="L545" s="34"/>
      <c r="M545" s="34"/>
    </row>
    <row r="546" spans="2:13" x14ac:dyDescent="0.3">
      <c r="B546" s="33"/>
      <c r="C546" s="34"/>
      <c r="D546" s="34"/>
      <c r="E546" s="34"/>
      <c r="F546" s="34"/>
      <c r="G546" s="34"/>
      <c r="H546" s="34"/>
      <c r="I546" s="34"/>
      <c r="J546" s="34"/>
      <c r="K546" s="35"/>
      <c r="L546" s="34"/>
      <c r="M546" s="34"/>
    </row>
    <row r="547" spans="2:13" x14ac:dyDescent="0.3">
      <c r="B547" s="33"/>
      <c r="C547" s="34"/>
      <c r="D547" s="34"/>
      <c r="E547" s="34"/>
      <c r="F547" s="34"/>
      <c r="G547" s="34"/>
      <c r="H547" s="34"/>
      <c r="I547" s="34"/>
      <c r="J547" s="34"/>
      <c r="K547" s="35"/>
      <c r="L547" s="34"/>
      <c r="M547" s="34"/>
    </row>
    <row r="548" spans="2:13" x14ac:dyDescent="0.3">
      <c r="B548" s="33"/>
      <c r="C548" s="34"/>
      <c r="D548" s="34"/>
      <c r="E548" s="34"/>
      <c r="F548" s="34"/>
      <c r="G548" s="34"/>
      <c r="H548" s="34"/>
      <c r="I548" s="34"/>
      <c r="J548" s="34"/>
      <c r="K548" s="35"/>
      <c r="L548" s="34"/>
      <c r="M548" s="34"/>
    </row>
    <row r="549" spans="2:13" x14ac:dyDescent="0.3">
      <c r="B549" s="33"/>
      <c r="C549" s="34"/>
      <c r="D549" s="34"/>
      <c r="E549" s="34"/>
      <c r="F549" s="34"/>
      <c r="G549" s="34"/>
      <c r="H549" s="34"/>
      <c r="I549" s="34"/>
      <c r="J549" s="34"/>
      <c r="K549" s="35"/>
      <c r="L549" s="34"/>
      <c r="M549" s="34"/>
    </row>
    <row r="550" spans="2:13" x14ac:dyDescent="0.3">
      <c r="B550" s="33"/>
      <c r="C550" s="34"/>
      <c r="D550" s="34"/>
      <c r="E550" s="34"/>
      <c r="F550" s="34"/>
      <c r="G550" s="34"/>
      <c r="H550" s="34"/>
      <c r="I550" s="34"/>
      <c r="J550" s="34"/>
      <c r="K550" s="35"/>
      <c r="L550" s="34"/>
      <c r="M550" s="34"/>
    </row>
    <row r="551" spans="2:13" x14ac:dyDescent="0.3">
      <c r="B551" s="33"/>
      <c r="C551" s="34"/>
      <c r="D551" s="34"/>
      <c r="E551" s="34"/>
      <c r="F551" s="34"/>
      <c r="G551" s="34"/>
      <c r="H551" s="34"/>
      <c r="I551" s="34"/>
      <c r="J551" s="34"/>
      <c r="K551" s="35"/>
      <c r="L551" s="34"/>
      <c r="M551" s="34"/>
    </row>
    <row r="552" spans="2:13" x14ac:dyDescent="0.3">
      <c r="B552" s="33"/>
      <c r="C552" s="34"/>
      <c r="D552" s="34"/>
      <c r="E552" s="34"/>
      <c r="F552" s="34"/>
      <c r="G552" s="34"/>
      <c r="H552" s="34"/>
      <c r="I552" s="34"/>
      <c r="J552" s="34"/>
      <c r="K552" s="35"/>
      <c r="L552" s="34"/>
      <c r="M552" s="34"/>
    </row>
    <row r="553" spans="2:13" x14ac:dyDescent="0.3">
      <c r="B553" s="33"/>
      <c r="C553" s="34"/>
      <c r="D553" s="34"/>
      <c r="E553" s="34"/>
      <c r="F553" s="34"/>
      <c r="G553" s="34"/>
      <c r="H553" s="34"/>
      <c r="I553" s="34"/>
      <c r="J553" s="34"/>
      <c r="K553" s="35"/>
      <c r="L553" s="34"/>
      <c r="M553" s="34"/>
    </row>
    <row r="554" spans="2:13" x14ac:dyDescent="0.3">
      <c r="B554" s="33"/>
      <c r="C554" s="34"/>
      <c r="D554" s="34"/>
      <c r="E554" s="34"/>
      <c r="F554" s="34"/>
      <c r="G554" s="34"/>
      <c r="H554" s="34"/>
      <c r="I554" s="34"/>
      <c r="J554" s="34"/>
      <c r="K554" s="35"/>
      <c r="L554" s="34"/>
      <c r="M554" s="34"/>
    </row>
    <row r="555" spans="2:13" x14ac:dyDescent="0.3">
      <c r="B555" s="33"/>
      <c r="C555" s="34"/>
      <c r="D555" s="34"/>
      <c r="E555" s="34"/>
      <c r="F555" s="34"/>
      <c r="G555" s="34"/>
      <c r="H555" s="34"/>
      <c r="I555" s="34"/>
      <c r="J555" s="34"/>
      <c r="K555" s="35"/>
      <c r="L555" s="34"/>
      <c r="M555" s="34"/>
    </row>
    <row r="556" spans="2:13" x14ac:dyDescent="0.3">
      <c r="B556" s="33"/>
      <c r="C556" s="34"/>
      <c r="D556" s="34"/>
      <c r="E556" s="34"/>
      <c r="F556" s="34"/>
      <c r="G556" s="34"/>
      <c r="H556" s="34"/>
      <c r="I556" s="34"/>
      <c r="J556" s="34"/>
      <c r="K556" s="35"/>
      <c r="L556" s="34"/>
      <c r="M556" s="34"/>
    </row>
    <row r="557" spans="2:13" x14ac:dyDescent="0.3">
      <c r="B557" s="33"/>
      <c r="C557" s="34"/>
      <c r="D557" s="34"/>
      <c r="E557" s="34"/>
      <c r="F557" s="34"/>
      <c r="G557" s="34"/>
      <c r="H557" s="34"/>
      <c r="I557" s="34"/>
      <c r="J557" s="34"/>
      <c r="K557" s="35"/>
      <c r="L557" s="34"/>
      <c r="M557" s="34"/>
    </row>
    <row r="558" spans="2:13" x14ac:dyDescent="0.3">
      <c r="B558" s="33"/>
      <c r="C558" s="34"/>
      <c r="D558" s="34"/>
      <c r="E558" s="34"/>
      <c r="F558" s="34"/>
      <c r="G558" s="34"/>
      <c r="H558" s="34"/>
      <c r="I558" s="34"/>
      <c r="J558" s="34"/>
      <c r="K558" s="35"/>
      <c r="L558" s="34"/>
      <c r="M558" s="34"/>
    </row>
    <row r="559" spans="2:13" x14ac:dyDescent="0.3">
      <c r="B559" s="33"/>
      <c r="C559" s="34"/>
      <c r="D559" s="34"/>
      <c r="E559" s="34"/>
      <c r="F559" s="34"/>
      <c r="G559" s="34"/>
      <c r="H559" s="34"/>
      <c r="I559" s="34"/>
      <c r="J559" s="34"/>
      <c r="K559" s="35"/>
      <c r="L559" s="34"/>
      <c r="M559" s="34"/>
    </row>
    <row r="560" spans="2:13" x14ac:dyDescent="0.3">
      <c r="B560" s="33"/>
      <c r="C560" s="34"/>
      <c r="D560" s="34"/>
      <c r="E560" s="34"/>
      <c r="F560" s="34"/>
      <c r="G560" s="34"/>
      <c r="H560" s="34"/>
      <c r="I560" s="34"/>
      <c r="J560" s="34"/>
      <c r="K560" s="35"/>
      <c r="L560" s="34"/>
      <c r="M560" s="34"/>
    </row>
    <row r="561" spans="2:13" x14ac:dyDescent="0.3">
      <c r="B561" s="33"/>
      <c r="C561" s="34"/>
      <c r="D561" s="34"/>
      <c r="E561" s="34"/>
      <c r="F561" s="34"/>
      <c r="G561" s="34"/>
      <c r="H561" s="34"/>
      <c r="I561" s="34"/>
      <c r="J561" s="34"/>
      <c r="K561" s="35"/>
      <c r="L561" s="34"/>
      <c r="M561" s="34"/>
    </row>
    <row r="562" spans="2:13" x14ac:dyDescent="0.3">
      <c r="B562" s="33"/>
      <c r="C562" s="34"/>
      <c r="D562" s="34"/>
      <c r="E562" s="34"/>
      <c r="F562" s="34"/>
      <c r="G562" s="34"/>
      <c r="H562" s="34"/>
      <c r="I562" s="34"/>
      <c r="J562" s="34"/>
      <c r="K562" s="35"/>
      <c r="L562" s="34"/>
      <c r="M562" s="34"/>
    </row>
    <row r="563" spans="2:13" x14ac:dyDescent="0.3">
      <c r="B563" s="33"/>
      <c r="C563" s="34"/>
      <c r="D563" s="34"/>
      <c r="E563" s="34"/>
      <c r="F563" s="34"/>
      <c r="G563" s="34"/>
      <c r="H563" s="34"/>
      <c r="I563" s="34"/>
      <c r="J563" s="34"/>
      <c r="K563" s="35"/>
      <c r="L563" s="34"/>
      <c r="M563" s="34"/>
    </row>
    <row r="564" spans="2:13" x14ac:dyDescent="0.3">
      <c r="B564" s="33"/>
      <c r="C564" s="34"/>
      <c r="D564" s="34"/>
      <c r="E564" s="34"/>
      <c r="F564" s="34"/>
      <c r="G564" s="34"/>
      <c r="H564" s="34"/>
      <c r="I564" s="34"/>
      <c r="J564" s="34"/>
      <c r="K564" s="35"/>
      <c r="L564" s="34"/>
      <c r="M564" s="34"/>
    </row>
    <row r="565" spans="2:13" x14ac:dyDescent="0.3">
      <c r="B565" s="33"/>
      <c r="C565" s="34"/>
      <c r="D565" s="34"/>
      <c r="E565" s="34"/>
      <c r="F565" s="34"/>
      <c r="G565" s="34"/>
      <c r="H565" s="34"/>
      <c r="I565" s="34"/>
      <c r="J565" s="34"/>
      <c r="K565" s="35"/>
      <c r="L565" s="34"/>
      <c r="M565" s="34"/>
    </row>
    <row r="566" spans="2:13" x14ac:dyDescent="0.3">
      <c r="B566" s="33"/>
      <c r="C566" s="34"/>
      <c r="D566" s="34"/>
      <c r="E566" s="34"/>
      <c r="F566" s="34"/>
      <c r="G566" s="34"/>
      <c r="H566" s="34"/>
      <c r="I566" s="34"/>
      <c r="J566" s="34"/>
      <c r="K566" s="35"/>
      <c r="L566" s="34"/>
      <c r="M566" s="34"/>
    </row>
    <row r="567" spans="2:13" x14ac:dyDescent="0.3">
      <c r="B567" s="33"/>
      <c r="C567" s="34"/>
      <c r="D567" s="34"/>
      <c r="E567" s="34"/>
      <c r="F567" s="34"/>
      <c r="G567" s="34"/>
      <c r="H567" s="34"/>
      <c r="I567" s="34"/>
      <c r="J567" s="34"/>
      <c r="K567" s="35"/>
      <c r="L567" s="34"/>
      <c r="M567" s="34"/>
    </row>
    <row r="568" spans="2:13" x14ac:dyDescent="0.3">
      <c r="B568" s="33"/>
      <c r="C568" s="34"/>
      <c r="D568" s="34"/>
      <c r="E568" s="34"/>
      <c r="F568" s="34"/>
      <c r="G568" s="34"/>
      <c r="H568" s="34"/>
      <c r="I568" s="34"/>
      <c r="J568" s="34"/>
      <c r="K568" s="35"/>
      <c r="L568" s="34"/>
      <c r="M568" s="34"/>
    </row>
    <row r="569" spans="2:13" x14ac:dyDescent="0.3">
      <c r="B569" s="33"/>
      <c r="C569" s="34"/>
      <c r="D569" s="34"/>
      <c r="E569" s="34"/>
      <c r="F569" s="34"/>
      <c r="G569" s="34"/>
      <c r="H569" s="34"/>
      <c r="I569" s="34"/>
      <c r="J569" s="34"/>
      <c r="K569" s="35"/>
      <c r="L569" s="34"/>
      <c r="M569" s="34"/>
    </row>
    <row r="570" spans="2:13" x14ac:dyDescent="0.3">
      <c r="B570" s="33"/>
      <c r="C570" s="34"/>
      <c r="D570" s="34"/>
      <c r="E570" s="34"/>
      <c r="F570" s="34"/>
      <c r="G570" s="34"/>
      <c r="H570" s="34"/>
      <c r="I570" s="34"/>
      <c r="J570" s="34"/>
      <c r="K570" s="35"/>
      <c r="L570" s="34"/>
      <c r="M570" s="34"/>
    </row>
    <row r="571" spans="2:13" x14ac:dyDescent="0.3">
      <c r="B571" s="33"/>
      <c r="C571" s="34"/>
      <c r="D571" s="34"/>
      <c r="E571" s="34"/>
      <c r="F571" s="34"/>
      <c r="G571" s="34"/>
      <c r="H571" s="34"/>
      <c r="I571" s="34"/>
      <c r="J571" s="34"/>
      <c r="K571" s="35"/>
      <c r="L571" s="34"/>
      <c r="M571" s="34"/>
    </row>
    <row r="572" spans="2:13" x14ac:dyDescent="0.3">
      <c r="B572" s="33"/>
      <c r="C572" s="34"/>
      <c r="D572" s="34"/>
      <c r="E572" s="34"/>
      <c r="F572" s="34"/>
      <c r="G572" s="34"/>
      <c r="H572" s="34"/>
      <c r="I572" s="34"/>
      <c r="J572" s="34"/>
      <c r="K572" s="35"/>
      <c r="L572" s="34"/>
      <c r="M572" s="34"/>
    </row>
    <row r="573" spans="2:13" x14ac:dyDescent="0.3">
      <c r="B573" s="33"/>
      <c r="C573" s="34"/>
      <c r="D573" s="34"/>
      <c r="E573" s="34"/>
      <c r="F573" s="34"/>
      <c r="G573" s="34"/>
      <c r="H573" s="34"/>
      <c r="I573" s="34"/>
      <c r="J573" s="34"/>
      <c r="K573" s="35"/>
      <c r="L573" s="34"/>
      <c r="M573" s="34"/>
    </row>
    <row r="574" spans="2:13" x14ac:dyDescent="0.3">
      <c r="B574" s="33"/>
      <c r="C574" s="34"/>
      <c r="D574" s="34"/>
      <c r="E574" s="34"/>
      <c r="F574" s="34"/>
      <c r="G574" s="34"/>
      <c r="H574" s="34"/>
      <c r="I574" s="34"/>
      <c r="J574" s="34"/>
      <c r="K574" s="35"/>
      <c r="L574" s="34"/>
      <c r="M574" s="34"/>
    </row>
    <row r="575" spans="2:13" x14ac:dyDescent="0.3">
      <c r="B575" s="33"/>
      <c r="C575" s="34"/>
      <c r="D575" s="34"/>
      <c r="E575" s="34"/>
      <c r="F575" s="34"/>
      <c r="G575" s="34"/>
      <c r="H575" s="34"/>
      <c r="I575" s="34"/>
      <c r="J575" s="34"/>
      <c r="K575" s="35"/>
      <c r="L575" s="34"/>
      <c r="M575" s="34"/>
    </row>
    <row r="576" spans="2:13" x14ac:dyDescent="0.3">
      <c r="B576" s="33"/>
      <c r="C576" s="34"/>
      <c r="D576" s="34"/>
      <c r="E576" s="34"/>
      <c r="F576" s="34"/>
      <c r="G576" s="34"/>
      <c r="H576" s="34"/>
      <c r="I576" s="34"/>
      <c r="J576" s="34"/>
      <c r="K576" s="35"/>
      <c r="L576" s="34"/>
      <c r="M576" s="34"/>
    </row>
    <row r="577" spans="2:13" x14ac:dyDescent="0.3">
      <c r="B577" s="33"/>
      <c r="C577" s="34"/>
      <c r="D577" s="34"/>
      <c r="E577" s="34"/>
      <c r="F577" s="34"/>
      <c r="G577" s="34"/>
      <c r="H577" s="34"/>
      <c r="I577" s="34"/>
      <c r="J577" s="34"/>
      <c r="K577" s="35"/>
      <c r="L577" s="34"/>
      <c r="M577" s="34"/>
    </row>
    <row r="578" spans="2:13" x14ac:dyDescent="0.3">
      <c r="B578" s="33"/>
      <c r="C578" s="34"/>
      <c r="D578" s="34"/>
      <c r="E578" s="34"/>
      <c r="F578" s="34"/>
      <c r="G578" s="34"/>
      <c r="H578" s="34"/>
      <c r="I578" s="34"/>
      <c r="J578" s="34"/>
      <c r="K578" s="35"/>
      <c r="L578" s="34"/>
      <c r="M578" s="34"/>
    </row>
    <row r="579" spans="2:13" x14ac:dyDescent="0.3">
      <c r="B579" s="33"/>
      <c r="C579" s="34"/>
      <c r="D579" s="34"/>
      <c r="E579" s="34"/>
      <c r="F579" s="34"/>
      <c r="G579" s="34"/>
      <c r="H579" s="34"/>
      <c r="I579" s="34"/>
      <c r="J579" s="34"/>
      <c r="K579" s="35"/>
      <c r="L579" s="34"/>
      <c r="M579" s="34"/>
    </row>
    <row r="580" spans="2:13" x14ac:dyDescent="0.3">
      <c r="B580" s="33"/>
      <c r="C580" s="34"/>
      <c r="D580" s="34"/>
      <c r="E580" s="34"/>
      <c r="F580" s="34"/>
      <c r="G580" s="34"/>
      <c r="H580" s="34"/>
      <c r="I580" s="34"/>
      <c r="J580" s="34"/>
      <c r="K580" s="35"/>
      <c r="L580" s="34"/>
      <c r="M580" s="34"/>
    </row>
    <row r="581" spans="2:13" x14ac:dyDescent="0.3">
      <c r="B581" s="33"/>
      <c r="C581" s="34"/>
      <c r="D581" s="34"/>
      <c r="E581" s="34"/>
      <c r="F581" s="34"/>
      <c r="G581" s="34"/>
      <c r="H581" s="34"/>
      <c r="I581" s="34"/>
      <c r="J581" s="34"/>
      <c r="K581" s="35"/>
      <c r="L581" s="34"/>
      <c r="M581" s="34"/>
    </row>
    <row r="582" spans="2:13" x14ac:dyDescent="0.3">
      <c r="B582" s="33"/>
      <c r="C582" s="34"/>
      <c r="D582" s="34"/>
      <c r="E582" s="34"/>
      <c r="F582" s="34"/>
      <c r="G582" s="34"/>
      <c r="H582" s="34"/>
      <c r="I582" s="34"/>
      <c r="J582" s="34"/>
      <c r="K582" s="35"/>
      <c r="L582" s="34"/>
      <c r="M582" s="34"/>
    </row>
    <row r="583" spans="2:13" x14ac:dyDescent="0.3">
      <c r="B583" s="33"/>
      <c r="C583" s="34"/>
      <c r="D583" s="34"/>
      <c r="E583" s="34"/>
      <c r="F583" s="34"/>
      <c r="G583" s="34"/>
      <c r="H583" s="34"/>
      <c r="I583" s="34"/>
      <c r="J583" s="34"/>
      <c r="K583" s="35"/>
      <c r="L583" s="34"/>
      <c r="M583" s="34"/>
    </row>
    <row r="584" spans="2:13" x14ac:dyDescent="0.3">
      <c r="B584" s="33"/>
      <c r="C584" s="34"/>
      <c r="D584" s="34"/>
      <c r="E584" s="34"/>
      <c r="F584" s="34"/>
      <c r="G584" s="34"/>
      <c r="H584" s="34"/>
      <c r="I584" s="34"/>
      <c r="J584" s="34"/>
      <c r="K584" s="35"/>
      <c r="L584" s="34"/>
      <c r="M584" s="34"/>
    </row>
    <row r="585" spans="2:13" x14ac:dyDescent="0.3">
      <c r="B585" s="33"/>
      <c r="C585" s="34"/>
      <c r="D585" s="34"/>
      <c r="E585" s="34"/>
      <c r="F585" s="34"/>
      <c r="G585" s="34"/>
      <c r="H585" s="34"/>
      <c r="I585" s="34"/>
      <c r="J585" s="34"/>
      <c r="K585" s="35"/>
      <c r="L585" s="34"/>
      <c r="M585" s="34"/>
    </row>
    <row r="586" spans="2:13" x14ac:dyDescent="0.3">
      <c r="B586" s="33"/>
      <c r="C586" s="34"/>
      <c r="D586" s="34"/>
      <c r="E586" s="34"/>
      <c r="F586" s="34"/>
      <c r="G586" s="34"/>
      <c r="H586" s="34"/>
      <c r="I586" s="34"/>
      <c r="J586" s="34"/>
      <c r="K586" s="35"/>
      <c r="L586" s="34"/>
      <c r="M586" s="34"/>
    </row>
    <row r="587" spans="2:13" x14ac:dyDescent="0.3">
      <c r="B587" s="33"/>
      <c r="C587" s="34"/>
      <c r="D587" s="34"/>
      <c r="E587" s="34"/>
      <c r="F587" s="34"/>
      <c r="G587" s="34"/>
      <c r="H587" s="34"/>
      <c r="I587" s="34"/>
      <c r="J587" s="34"/>
      <c r="K587" s="35"/>
      <c r="L587" s="34"/>
      <c r="M587" s="34"/>
    </row>
    <row r="588" spans="2:13" x14ac:dyDescent="0.3">
      <c r="B588" s="33"/>
      <c r="C588" s="34"/>
      <c r="D588" s="34"/>
      <c r="E588" s="34"/>
      <c r="F588" s="34"/>
      <c r="G588" s="34"/>
      <c r="H588" s="34"/>
      <c r="I588" s="34"/>
      <c r="J588" s="34"/>
      <c r="K588" s="35"/>
      <c r="L588" s="34"/>
      <c r="M588" s="34"/>
    </row>
    <row r="589" spans="2:13" x14ac:dyDescent="0.3">
      <c r="B589" s="33"/>
      <c r="C589" s="34"/>
      <c r="D589" s="34"/>
      <c r="E589" s="34"/>
      <c r="F589" s="34"/>
      <c r="G589" s="34"/>
      <c r="H589" s="34"/>
      <c r="I589" s="34"/>
      <c r="J589" s="34"/>
      <c r="K589" s="35"/>
      <c r="L589" s="34"/>
      <c r="M589" s="34"/>
    </row>
    <row r="590" spans="2:13" x14ac:dyDescent="0.3">
      <c r="B590" s="33"/>
      <c r="C590" s="34"/>
      <c r="D590" s="34"/>
      <c r="E590" s="34"/>
      <c r="F590" s="34"/>
      <c r="G590" s="34"/>
      <c r="H590" s="34"/>
      <c r="I590" s="34"/>
      <c r="J590" s="34"/>
      <c r="K590" s="35"/>
      <c r="L590" s="34"/>
      <c r="M590" s="34"/>
    </row>
    <row r="591" spans="2:13" x14ac:dyDescent="0.3">
      <c r="B591" s="33"/>
      <c r="C591" s="34"/>
      <c r="D591" s="34"/>
      <c r="E591" s="34"/>
      <c r="F591" s="34"/>
      <c r="G591" s="34"/>
      <c r="H591" s="34"/>
      <c r="I591" s="34"/>
      <c r="J591" s="34"/>
      <c r="K591" s="35"/>
      <c r="L591" s="34"/>
      <c r="M591" s="34"/>
    </row>
    <row r="592" spans="2:13" x14ac:dyDescent="0.3">
      <c r="B592" s="33"/>
      <c r="C592" s="34"/>
      <c r="D592" s="34"/>
      <c r="E592" s="34"/>
      <c r="F592" s="34"/>
      <c r="G592" s="34"/>
      <c r="H592" s="34"/>
      <c r="I592" s="34"/>
      <c r="J592" s="34"/>
      <c r="K592" s="35"/>
      <c r="L592" s="34"/>
      <c r="M592" s="34"/>
    </row>
    <row r="593" spans="2:13" x14ac:dyDescent="0.3">
      <c r="B593" s="33"/>
      <c r="C593" s="34"/>
      <c r="D593" s="34"/>
      <c r="E593" s="34"/>
      <c r="F593" s="34"/>
      <c r="G593" s="34"/>
      <c r="H593" s="34"/>
      <c r="I593" s="34"/>
      <c r="J593" s="34"/>
      <c r="K593" s="35"/>
      <c r="L593" s="34"/>
      <c r="M593" s="34"/>
    </row>
    <row r="594" spans="2:13" x14ac:dyDescent="0.3">
      <c r="B594" s="33"/>
      <c r="C594" s="34"/>
      <c r="D594" s="34"/>
      <c r="E594" s="34"/>
      <c r="F594" s="34"/>
      <c r="G594" s="34"/>
      <c r="H594" s="34"/>
      <c r="I594" s="34"/>
      <c r="J594" s="34"/>
      <c r="K594" s="35"/>
      <c r="L594" s="34"/>
      <c r="M594" s="34"/>
    </row>
    <row r="595" spans="2:13" x14ac:dyDescent="0.3">
      <c r="B595" s="33"/>
      <c r="C595" s="34"/>
      <c r="D595" s="34"/>
      <c r="E595" s="34"/>
      <c r="F595" s="34"/>
      <c r="G595" s="34"/>
      <c r="H595" s="34"/>
      <c r="I595" s="34"/>
      <c r="J595" s="34"/>
      <c r="K595" s="35"/>
      <c r="L595" s="34"/>
      <c r="M595" s="34"/>
    </row>
    <row r="596" spans="2:13" x14ac:dyDescent="0.3">
      <c r="B596" s="33"/>
      <c r="C596" s="34"/>
      <c r="D596" s="34"/>
      <c r="E596" s="34"/>
      <c r="F596" s="34"/>
      <c r="G596" s="34"/>
      <c r="H596" s="34"/>
      <c r="I596" s="34"/>
      <c r="J596" s="34"/>
      <c r="K596" s="35"/>
      <c r="L596" s="34"/>
      <c r="M596" s="34"/>
    </row>
    <row r="597" spans="2:13" x14ac:dyDescent="0.3">
      <c r="B597" s="33"/>
      <c r="C597" s="34"/>
      <c r="D597" s="34"/>
      <c r="E597" s="34"/>
      <c r="F597" s="34"/>
      <c r="G597" s="34"/>
      <c r="H597" s="34"/>
      <c r="I597" s="34"/>
      <c r="J597" s="34"/>
      <c r="K597" s="35"/>
      <c r="L597" s="34"/>
      <c r="M597" s="34"/>
    </row>
    <row r="598" spans="2:13" x14ac:dyDescent="0.3">
      <c r="B598" s="33"/>
      <c r="C598" s="34"/>
      <c r="D598" s="34"/>
      <c r="E598" s="34"/>
      <c r="F598" s="34"/>
      <c r="G598" s="34"/>
      <c r="H598" s="34"/>
      <c r="I598" s="34"/>
      <c r="J598" s="34"/>
      <c r="K598" s="35"/>
      <c r="L598" s="34"/>
      <c r="M598" s="34"/>
    </row>
    <row r="599" spans="2:13" x14ac:dyDescent="0.3">
      <c r="B599" s="33"/>
      <c r="C599" s="34"/>
      <c r="D599" s="34"/>
      <c r="E599" s="34"/>
      <c r="F599" s="34"/>
      <c r="G599" s="34"/>
      <c r="H599" s="34"/>
      <c r="I599" s="34"/>
      <c r="J599" s="34"/>
      <c r="K599" s="35"/>
      <c r="L599" s="34"/>
      <c r="M599" s="34"/>
    </row>
    <row r="600" spans="2:13" x14ac:dyDescent="0.3">
      <c r="B600" s="33"/>
      <c r="C600" s="34"/>
      <c r="D600" s="34"/>
      <c r="E600" s="34"/>
      <c r="F600" s="34"/>
      <c r="G600" s="34"/>
      <c r="H600" s="34"/>
      <c r="I600" s="34"/>
      <c r="J600" s="34"/>
      <c r="K600" s="35"/>
      <c r="L600" s="34"/>
      <c r="M600" s="34"/>
    </row>
    <row r="601" spans="2:13" x14ac:dyDescent="0.3">
      <c r="B601" s="33"/>
      <c r="C601" s="34"/>
      <c r="D601" s="34"/>
      <c r="E601" s="34"/>
      <c r="F601" s="34"/>
      <c r="G601" s="34"/>
      <c r="H601" s="34"/>
      <c r="I601" s="34"/>
      <c r="J601" s="34"/>
      <c r="K601" s="35"/>
      <c r="L601" s="34"/>
      <c r="M601" s="34"/>
    </row>
    <row r="602" spans="2:13" x14ac:dyDescent="0.3">
      <c r="B602" s="33"/>
      <c r="C602" s="34"/>
      <c r="D602" s="34"/>
      <c r="E602" s="34"/>
      <c r="F602" s="34"/>
      <c r="G602" s="34"/>
      <c r="H602" s="34"/>
      <c r="I602" s="34"/>
      <c r="J602" s="34"/>
      <c r="K602" s="35"/>
      <c r="L602" s="34"/>
      <c r="M602" s="34"/>
    </row>
    <row r="603" spans="2:13" x14ac:dyDescent="0.3">
      <c r="B603" s="33"/>
      <c r="C603" s="34"/>
      <c r="D603" s="34"/>
      <c r="E603" s="34"/>
      <c r="F603" s="34"/>
      <c r="G603" s="34"/>
      <c r="H603" s="34"/>
      <c r="I603" s="34"/>
      <c r="J603" s="34"/>
      <c r="K603" s="35"/>
      <c r="L603" s="34"/>
      <c r="M603" s="34"/>
    </row>
    <row r="604" spans="2:13" x14ac:dyDescent="0.3">
      <c r="B604" s="33"/>
      <c r="C604" s="34"/>
      <c r="D604" s="34"/>
      <c r="E604" s="34"/>
      <c r="F604" s="34"/>
      <c r="G604" s="34"/>
      <c r="H604" s="34"/>
      <c r="I604" s="34"/>
      <c r="J604" s="34"/>
      <c r="K604" s="35"/>
      <c r="L604" s="34"/>
      <c r="M604" s="34"/>
    </row>
    <row r="605" spans="2:13" x14ac:dyDescent="0.3">
      <c r="B605" s="33"/>
      <c r="C605" s="34"/>
      <c r="D605" s="34"/>
      <c r="E605" s="34"/>
      <c r="F605" s="34"/>
      <c r="G605" s="34"/>
      <c r="H605" s="34"/>
      <c r="I605" s="34"/>
      <c r="J605" s="34"/>
      <c r="K605" s="35"/>
      <c r="L605" s="34"/>
      <c r="M605" s="34"/>
    </row>
    <row r="606" spans="2:13" x14ac:dyDescent="0.3">
      <c r="B606" s="33"/>
      <c r="C606" s="34"/>
      <c r="D606" s="34"/>
      <c r="E606" s="34"/>
      <c r="F606" s="34"/>
      <c r="G606" s="34"/>
      <c r="H606" s="34"/>
      <c r="I606" s="34"/>
      <c r="J606" s="34"/>
      <c r="K606" s="35"/>
      <c r="L606" s="34"/>
      <c r="M606" s="34"/>
    </row>
    <row r="607" spans="2:13" x14ac:dyDescent="0.3">
      <c r="B607" s="33"/>
      <c r="C607" s="34"/>
      <c r="D607" s="34"/>
      <c r="E607" s="34"/>
      <c r="F607" s="34"/>
      <c r="G607" s="34"/>
      <c r="H607" s="34"/>
      <c r="I607" s="34"/>
      <c r="J607" s="34"/>
      <c r="K607" s="35"/>
      <c r="L607" s="34"/>
      <c r="M607" s="34"/>
    </row>
    <row r="608" spans="2:13" x14ac:dyDescent="0.3">
      <c r="B608" s="33"/>
      <c r="C608" s="34"/>
      <c r="D608" s="34"/>
      <c r="E608" s="34"/>
      <c r="F608" s="34"/>
      <c r="G608" s="34"/>
      <c r="H608" s="34"/>
      <c r="I608" s="34"/>
      <c r="J608" s="34"/>
      <c r="K608" s="35"/>
      <c r="L608" s="34"/>
      <c r="M608" s="34"/>
    </row>
    <row r="609" spans="2:13" x14ac:dyDescent="0.3">
      <c r="B609" s="33"/>
      <c r="C609" s="34"/>
      <c r="D609" s="34"/>
      <c r="E609" s="34"/>
      <c r="F609" s="34"/>
      <c r="G609" s="34"/>
      <c r="H609" s="34"/>
      <c r="I609" s="34"/>
      <c r="J609" s="34"/>
      <c r="K609" s="35"/>
      <c r="L609" s="34"/>
      <c r="M609" s="34"/>
    </row>
    <row r="610" spans="2:13" x14ac:dyDescent="0.3">
      <c r="B610" s="33"/>
      <c r="C610" s="34"/>
      <c r="D610" s="34"/>
      <c r="E610" s="34"/>
      <c r="F610" s="34"/>
      <c r="G610" s="34"/>
      <c r="H610" s="34"/>
      <c r="I610" s="34"/>
      <c r="J610" s="34"/>
      <c r="K610" s="35"/>
      <c r="L610" s="34"/>
      <c r="M610" s="34"/>
    </row>
    <row r="611" spans="2:13" x14ac:dyDescent="0.3">
      <c r="B611" s="33"/>
      <c r="C611" s="34"/>
      <c r="D611" s="34"/>
      <c r="E611" s="34"/>
      <c r="F611" s="34"/>
      <c r="G611" s="34"/>
      <c r="H611" s="34"/>
      <c r="I611" s="34"/>
      <c r="J611" s="34"/>
      <c r="K611" s="35"/>
      <c r="L611" s="34"/>
      <c r="M611" s="34"/>
    </row>
    <row r="612" spans="2:13" x14ac:dyDescent="0.3">
      <c r="B612" s="33"/>
      <c r="C612" s="34"/>
      <c r="D612" s="34"/>
      <c r="E612" s="34"/>
      <c r="F612" s="34"/>
      <c r="G612" s="34"/>
      <c r="H612" s="34"/>
      <c r="I612" s="34"/>
      <c r="J612" s="34"/>
      <c r="K612" s="35"/>
      <c r="L612" s="34"/>
      <c r="M612" s="34"/>
    </row>
    <row r="613" spans="2:13" x14ac:dyDescent="0.3">
      <c r="B613" s="33"/>
      <c r="C613" s="34"/>
      <c r="D613" s="34"/>
      <c r="E613" s="34"/>
      <c r="F613" s="34"/>
      <c r="G613" s="34"/>
      <c r="H613" s="34"/>
      <c r="I613" s="34"/>
      <c r="J613" s="34"/>
      <c r="K613" s="35"/>
      <c r="L613" s="34"/>
      <c r="M613" s="34"/>
    </row>
    <row r="614" spans="2:13" x14ac:dyDescent="0.3">
      <c r="B614" s="33"/>
      <c r="C614" s="34"/>
      <c r="D614" s="34"/>
      <c r="E614" s="34"/>
      <c r="F614" s="34"/>
      <c r="G614" s="34"/>
      <c r="H614" s="34"/>
      <c r="I614" s="34"/>
      <c r="J614" s="34"/>
      <c r="K614" s="35"/>
      <c r="L614" s="34"/>
      <c r="M614" s="34"/>
    </row>
    <row r="615" spans="2:13" x14ac:dyDescent="0.3">
      <c r="B615" s="33"/>
      <c r="C615" s="34"/>
      <c r="D615" s="34"/>
      <c r="E615" s="34"/>
      <c r="F615" s="34"/>
      <c r="G615" s="34"/>
      <c r="H615" s="34"/>
      <c r="I615" s="34"/>
      <c r="J615" s="34"/>
      <c r="K615" s="35"/>
      <c r="L615" s="34"/>
      <c r="M615" s="34"/>
    </row>
    <row r="616" spans="2:13" x14ac:dyDescent="0.3">
      <c r="B616" s="33"/>
      <c r="C616" s="34"/>
      <c r="D616" s="34"/>
      <c r="E616" s="34"/>
      <c r="F616" s="34"/>
      <c r="G616" s="34"/>
      <c r="H616" s="34"/>
      <c r="I616" s="34"/>
      <c r="J616" s="34"/>
      <c r="K616" s="35"/>
      <c r="L616" s="34"/>
      <c r="M616" s="34"/>
    </row>
    <row r="617" spans="2:13" x14ac:dyDescent="0.3">
      <c r="B617" s="33"/>
      <c r="C617" s="34"/>
      <c r="D617" s="34"/>
      <c r="E617" s="34"/>
      <c r="F617" s="34"/>
      <c r="G617" s="34"/>
      <c r="H617" s="34"/>
      <c r="I617" s="34"/>
      <c r="J617" s="34"/>
      <c r="K617" s="35"/>
      <c r="L617" s="34"/>
      <c r="M617" s="34"/>
    </row>
    <row r="618" spans="2:13" x14ac:dyDescent="0.3">
      <c r="B618" s="33"/>
      <c r="C618" s="34"/>
      <c r="D618" s="34"/>
      <c r="E618" s="34"/>
      <c r="F618" s="34"/>
      <c r="G618" s="34"/>
      <c r="H618" s="34"/>
      <c r="I618" s="34"/>
      <c r="J618" s="34"/>
      <c r="K618" s="35"/>
      <c r="L618" s="34"/>
      <c r="M618" s="34"/>
    </row>
    <row r="619" spans="2:13" x14ac:dyDescent="0.3">
      <c r="B619" s="33"/>
      <c r="C619" s="34"/>
      <c r="D619" s="34"/>
      <c r="E619" s="34"/>
      <c r="F619" s="34"/>
      <c r="G619" s="34"/>
      <c r="H619" s="34"/>
      <c r="I619" s="34"/>
      <c r="J619" s="34"/>
      <c r="K619" s="35"/>
      <c r="L619" s="34"/>
      <c r="M619" s="34"/>
    </row>
    <row r="620" spans="2:13" x14ac:dyDescent="0.3">
      <c r="B620" s="33"/>
      <c r="C620" s="34"/>
      <c r="D620" s="34"/>
      <c r="E620" s="34"/>
      <c r="F620" s="34"/>
      <c r="G620" s="34"/>
      <c r="H620" s="34"/>
      <c r="I620" s="34"/>
      <c r="J620" s="34"/>
      <c r="K620" s="35"/>
      <c r="L620" s="34"/>
      <c r="M620" s="34"/>
    </row>
    <row r="621" spans="2:13" x14ac:dyDescent="0.3">
      <c r="B621" s="33"/>
      <c r="C621" s="34"/>
      <c r="D621" s="34"/>
      <c r="E621" s="34"/>
      <c r="F621" s="34"/>
      <c r="G621" s="34"/>
      <c r="H621" s="34"/>
      <c r="I621" s="34"/>
      <c r="J621" s="34"/>
      <c r="K621" s="35"/>
      <c r="L621" s="34"/>
      <c r="M621" s="34"/>
    </row>
    <row r="622" spans="2:13" x14ac:dyDescent="0.3">
      <c r="B622" s="33"/>
      <c r="C622" s="34"/>
      <c r="D622" s="34"/>
      <c r="E622" s="34"/>
      <c r="F622" s="34"/>
      <c r="G622" s="34"/>
      <c r="H622" s="34"/>
      <c r="I622" s="34"/>
      <c r="J622" s="34"/>
      <c r="K622" s="35"/>
      <c r="L622" s="34"/>
      <c r="M622" s="34"/>
    </row>
    <row r="623" spans="2:13" x14ac:dyDescent="0.3">
      <c r="B623" s="33"/>
      <c r="C623" s="34"/>
      <c r="D623" s="34"/>
      <c r="E623" s="34"/>
      <c r="F623" s="34"/>
      <c r="G623" s="34"/>
      <c r="H623" s="34"/>
      <c r="I623" s="34"/>
      <c r="J623" s="34"/>
      <c r="K623" s="35"/>
      <c r="L623" s="34"/>
      <c r="M623" s="34"/>
    </row>
    <row r="624" spans="2:13" x14ac:dyDescent="0.3">
      <c r="B624" s="33"/>
      <c r="C624" s="34"/>
      <c r="D624" s="34"/>
      <c r="E624" s="34"/>
      <c r="F624" s="34"/>
      <c r="G624" s="34"/>
      <c r="H624" s="34"/>
      <c r="I624" s="34"/>
      <c r="J624" s="34"/>
      <c r="K624" s="35"/>
      <c r="L624" s="34"/>
      <c r="M624" s="34"/>
    </row>
    <row r="625" spans="2:13" x14ac:dyDescent="0.3">
      <c r="B625" s="33"/>
      <c r="C625" s="34"/>
      <c r="D625" s="34"/>
      <c r="E625" s="34"/>
      <c r="F625" s="34"/>
      <c r="G625" s="34"/>
      <c r="H625" s="34"/>
      <c r="I625" s="34"/>
      <c r="J625" s="34"/>
      <c r="K625" s="35"/>
      <c r="L625" s="34"/>
      <c r="M625" s="34"/>
    </row>
    <row r="626" spans="2:13" x14ac:dyDescent="0.3">
      <c r="B626" s="33"/>
      <c r="C626" s="34"/>
      <c r="D626" s="34"/>
      <c r="E626" s="34"/>
      <c r="F626" s="34"/>
      <c r="G626" s="34"/>
      <c r="H626" s="34"/>
      <c r="I626" s="34"/>
      <c r="J626" s="34"/>
      <c r="K626" s="35"/>
      <c r="L626" s="34"/>
      <c r="M626" s="34"/>
    </row>
    <row r="627" spans="2:13" x14ac:dyDescent="0.3">
      <c r="B627" s="33"/>
      <c r="C627" s="34"/>
      <c r="D627" s="34"/>
      <c r="E627" s="34"/>
      <c r="F627" s="34"/>
      <c r="G627" s="34"/>
      <c r="H627" s="34"/>
      <c r="I627" s="34"/>
      <c r="J627" s="34"/>
      <c r="K627" s="35"/>
      <c r="L627" s="34"/>
      <c r="M627" s="34"/>
    </row>
    <row r="628" spans="2:13" x14ac:dyDescent="0.3">
      <c r="B628" s="33"/>
      <c r="C628" s="34"/>
      <c r="D628" s="34"/>
      <c r="E628" s="34"/>
      <c r="F628" s="34"/>
      <c r="G628" s="34"/>
      <c r="H628" s="34"/>
      <c r="I628" s="34"/>
      <c r="J628" s="34"/>
      <c r="K628" s="35"/>
      <c r="L628" s="34"/>
      <c r="M628" s="34"/>
    </row>
    <row r="629" spans="2:13" x14ac:dyDescent="0.3">
      <c r="B629" s="33"/>
      <c r="C629" s="34"/>
      <c r="D629" s="34"/>
      <c r="E629" s="34"/>
      <c r="F629" s="34"/>
      <c r="G629" s="34"/>
      <c r="H629" s="34"/>
      <c r="I629" s="34"/>
      <c r="J629" s="34"/>
      <c r="K629" s="35"/>
      <c r="L629" s="34"/>
      <c r="M629" s="34"/>
    </row>
    <row r="630" spans="2:13" x14ac:dyDescent="0.3">
      <c r="B630" s="33"/>
      <c r="C630" s="34"/>
      <c r="D630" s="34"/>
      <c r="E630" s="34"/>
      <c r="F630" s="34"/>
      <c r="G630" s="34"/>
      <c r="H630" s="34"/>
      <c r="I630" s="34"/>
      <c r="J630" s="34"/>
      <c r="K630" s="35"/>
      <c r="L630" s="34"/>
      <c r="M630" s="34"/>
    </row>
    <row r="631" spans="2:13" x14ac:dyDescent="0.3">
      <c r="B631" s="33"/>
      <c r="C631" s="34"/>
      <c r="D631" s="34"/>
      <c r="E631" s="34"/>
      <c r="F631" s="34"/>
      <c r="G631" s="34"/>
      <c r="H631" s="34"/>
      <c r="I631" s="34"/>
      <c r="J631" s="34"/>
      <c r="K631" s="35"/>
      <c r="L631" s="34"/>
      <c r="M631" s="34"/>
    </row>
    <row r="632" spans="2:13" x14ac:dyDescent="0.3">
      <c r="B632" s="33"/>
      <c r="C632" s="34"/>
      <c r="D632" s="34"/>
      <c r="E632" s="34"/>
      <c r="F632" s="34"/>
      <c r="G632" s="34"/>
      <c r="H632" s="34"/>
      <c r="I632" s="34"/>
      <c r="J632" s="34"/>
      <c r="K632" s="35"/>
      <c r="L632" s="34"/>
      <c r="M632" s="34"/>
    </row>
    <row r="633" spans="2:13" x14ac:dyDescent="0.3">
      <c r="B633" s="33"/>
      <c r="C633" s="34"/>
      <c r="D633" s="34"/>
      <c r="E633" s="34"/>
      <c r="F633" s="34"/>
      <c r="G633" s="34"/>
      <c r="H633" s="34"/>
      <c r="I633" s="34"/>
      <c r="J633" s="34"/>
      <c r="K633" s="35"/>
      <c r="L633" s="34"/>
      <c r="M633" s="34"/>
    </row>
    <row r="634" spans="2:13" x14ac:dyDescent="0.3">
      <c r="B634" s="33"/>
      <c r="C634" s="34"/>
      <c r="D634" s="34"/>
      <c r="E634" s="34"/>
      <c r="F634" s="34"/>
      <c r="G634" s="34"/>
      <c r="H634" s="34"/>
      <c r="I634" s="34"/>
      <c r="J634" s="34"/>
      <c r="K634" s="35"/>
      <c r="L634" s="34"/>
      <c r="M634" s="34"/>
    </row>
    <row r="635" spans="2:13" x14ac:dyDescent="0.3">
      <c r="B635" s="33"/>
      <c r="C635" s="34"/>
      <c r="D635" s="34"/>
      <c r="E635" s="34"/>
      <c r="F635" s="34"/>
      <c r="G635" s="34"/>
      <c r="H635" s="34"/>
      <c r="I635" s="34"/>
      <c r="J635" s="34"/>
      <c r="K635" s="35"/>
      <c r="L635" s="34"/>
      <c r="M635" s="34"/>
    </row>
    <row r="636" spans="2:13" x14ac:dyDescent="0.3">
      <c r="B636" s="33"/>
      <c r="C636" s="34"/>
      <c r="D636" s="34"/>
      <c r="E636" s="34"/>
      <c r="F636" s="34"/>
      <c r="G636" s="34"/>
      <c r="H636" s="34"/>
      <c r="I636" s="34"/>
      <c r="J636" s="34"/>
      <c r="K636" s="35"/>
      <c r="L636" s="34"/>
      <c r="M636" s="34"/>
    </row>
    <row r="637" spans="2:13" x14ac:dyDescent="0.3">
      <c r="B637" s="33"/>
      <c r="C637" s="34"/>
      <c r="D637" s="34"/>
      <c r="E637" s="34"/>
      <c r="F637" s="34"/>
      <c r="G637" s="34"/>
      <c r="H637" s="34"/>
      <c r="I637" s="34"/>
      <c r="J637" s="34"/>
      <c r="K637" s="35"/>
      <c r="L637" s="34"/>
      <c r="M637" s="34"/>
    </row>
    <row r="638" spans="2:13" x14ac:dyDescent="0.3">
      <c r="B638" s="33"/>
      <c r="C638" s="34"/>
      <c r="D638" s="34"/>
      <c r="E638" s="34"/>
      <c r="F638" s="34"/>
      <c r="G638" s="34"/>
      <c r="H638" s="34"/>
      <c r="I638" s="34"/>
      <c r="J638" s="34"/>
      <c r="K638" s="35"/>
      <c r="L638" s="34"/>
      <c r="M638" s="34"/>
    </row>
    <row r="639" spans="2:13" x14ac:dyDescent="0.3">
      <c r="B639" s="33"/>
      <c r="C639" s="34"/>
      <c r="D639" s="34"/>
      <c r="E639" s="34"/>
      <c r="F639" s="34"/>
      <c r="G639" s="34"/>
      <c r="H639" s="34"/>
      <c r="I639" s="34"/>
      <c r="J639" s="34"/>
      <c r="K639" s="35"/>
      <c r="L639" s="34"/>
      <c r="M639" s="34"/>
    </row>
    <row r="640" spans="2:13" x14ac:dyDescent="0.3">
      <c r="B640" s="33"/>
      <c r="C640" s="34"/>
      <c r="D640" s="34"/>
      <c r="E640" s="34"/>
      <c r="F640" s="34"/>
      <c r="G640" s="34"/>
      <c r="H640" s="34"/>
      <c r="I640" s="34"/>
      <c r="J640" s="34"/>
      <c r="K640" s="35"/>
      <c r="L640" s="34"/>
      <c r="M640" s="34"/>
    </row>
    <row r="641" spans="2:13" x14ac:dyDescent="0.3">
      <c r="B641" s="33"/>
      <c r="C641" s="34"/>
      <c r="D641" s="34"/>
      <c r="E641" s="34"/>
      <c r="F641" s="34"/>
      <c r="G641" s="34"/>
      <c r="H641" s="34"/>
      <c r="I641" s="34"/>
      <c r="J641" s="34"/>
      <c r="K641" s="35"/>
      <c r="L641" s="34"/>
      <c r="M641" s="34"/>
    </row>
    <row r="642" spans="2:13" x14ac:dyDescent="0.3">
      <c r="B642" s="33"/>
      <c r="C642" s="34"/>
      <c r="D642" s="34"/>
      <c r="E642" s="34"/>
      <c r="F642" s="34"/>
      <c r="G642" s="34"/>
      <c r="H642" s="34"/>
      <c r="I642" s="34"/>
      <c r="J642" s="34"/>
      <c r="K642" s="35"/>
      <c r="L642" s="34"/>
      <c r="M642" s="34"/>
    </row>
    <row r="643" spans="2:13" x14ac:dyDescent="0.3">
      <c r="B643" s="33"/>
      <c r="C643" s="34"/>
      <c r="D643" s="34"/>
      <c r="E643" s="34"/>
      <c r="F643" s="34"/>
      <c r="G643" s="34"/>
      <c r="H643" s="34"/>
      <c r="I643" s="34"/>
      <c r="J643" s="34"/>
      <c r="K643" s="35"/>
      <c r="L643" s="34"/>
      <c r="M643" s="34"/>
    </row>
    <row r="644" spans="2:13" x14ac:dyDescent="0.3">
      <c r="B644" s="33"/>
      <c r="C644" s="34"/>
      <c r="D644" s="34"/>
      <c r="E644" s="34"/>
      <c r="F644" s="34"/>
      <c r="G644" s="34"/>
      <c r="H644" s="34"/>
      <c r="I644" s="34"/>
      <c r="J644" s="34"/>
      <c r="K644" s="35"/>
      <c r="L644" s="34"/>
      <c r="M644" s="34"/>
    </row>
    <row r="645" spans="2:13" x14ac:dyDescent="0.3">
      <c r="B645" s="33"/>
      <c r="C645" s="34"/>
      <c r="D645" s="34"/>
      <c r="E645" s="34"/>
      <c r="F645" s="34"/>
      <c r="G645" s="34"/>
      <c r="H645" s="34"/>
      <c r="I645" s="34"/>
      <c r="J645" s="34"/>
      <c r="K645" s="35"/>
      <c r="L645" s="34"/>
      <c r="M645" s="34"/>
    </row>
    <row r="646" spans="2:13" x14ac:dyDescent="0.3">
      <c r="B646" s="33"/>
      <c r="C646" s="34"/>
      <c r="D646" s="34"/>
      <c r="E646" s="34"/>
      <c r="F646" s="34"/>
      <c r="G646" s="34"/>
      <c r="H646" s="34"/>
      <c r="I646" s="34"/>
      <c r="J646" s="34"/>
      <c r="K646" s="35"/>
      <c r="L646" s="34"/>
      <c r="M646" s="34"/>
    </row>
    <row r="647" spans="2:13" x14ac:dyDescent="0.3">
      <c r="B647" s="33"/>
      <c r="C647" s="34"/>
      <c r="D647" s="34"/>
      <c r="E647" s="34"/>
      <c r="F647" s="34"/>
      <c r="G647" s="34"/>
      <c r="H647" s="34"/>
      <c r="I647" s="34"/>
      <c r="J647" s="34"/>
      <c r="K647" s="35"/>
      <c r="L647" s="34"/>
      <c r="M647" s="34"/>
    </row>
    <row r="648" spans="2:13" x14ac:dyDescent="0.3">
      <c r="B648" s="33"/>
      <c r="C648" s="34"/>
      <c r="D648" s="34"/>
      <c r="E648" s="34"/>
      <c r="F648" s="34"/>
      <c r="G648" s="34"/>
      <c r="H648" s="34"/>
      <c r="I648" s="34"/>
      <c r="J648" s="34"/>
      <c r="K648" s="35"/>
      <c r="L648" s="34"/>
      <c r="M648" s="34"/>
    </row>
    <row r="649" spans="2:13" x14ac:dyDescent="0.3">
      <c r="B649" s="33"/>
      <c r="C649" s="34"/>
      <c r="D649" s="34"/>
      <c r="E649" s="34"/>
      <c r="F649" s="34"/>
      <c r="G649" s="34"/>
      <c r="H649" s="34"/>
      <c r="I649" s="34"/>
      <c r="J649" s="34"/>
      <c r="K649" s="35"/>
      <c r="L649" s="34"/>
      <c r="M649" s="34"/>
    </row>
    <row r="650" spans="2:13" x14ac:dyDescent="0.3">
      <c r="B650" s="33"/>
      <c r="C650" s="34"/>
      <c r="D650" s="34"/>
      <c r="E650" s="34"/>
      <c r="F650" s="34"/>
      <c r="G650" s="34"/>
      <c r="H650" s="34"/>
      <c r="I650" s="34"/>
      <c r="J650" s="34"/>
      <c r="K650" s="35"/>
      <c r="L650" s="34"/>
      <c r="M650" s="34"/>
    </row>
    <row r="651" spans="2:13" x14ac:dyDescent="0.3">
      <c r="B651" s="33"/>
      <c r="C651" s="34"/>
      <c r="D651" s="34"/>
      <c r="E651" s="34"/>
      <c r="F651" s="34"/>
      <c r="G651" s="34"/>
      <c r="H651" s="34"/>
      <c r="I651" s="34"/>
      <c r="J651" s="34"/>
      <c r="K651" s="35"/>
      <c r="L651" s="34"/>
      <c r="M651" s="34"/>
    </row>
    <row r="652" spans="2:13" x14ac:dyDescent="0.3">
      <c r="B652" s="33"/>
      <c r="C652" s="34"/>
      <c r="D652" s="34"/>
      <c r="E652" s="34"/>
      <c r="F652" s="34"/>
      <c r="G652" s="34"/>
      <c r="H652" s="34"/>
      <c r="I652" s="34"/>
      <c r="J652" s="34"/>
      <c r="K652" s="35"/>
      <c r="L652" s="34"/>
      <c r="M652" s="34"/>
    </row>
    <row r="653" spans="2:13" x14ac:dyDescent="0.3">
      <c r="B653" s="33"/>
      <c r="C653" s="34"/>
      <c r="D653" s="34"/>
      <c r="E653" s="34"/>
      <c r="F653" s="34"/>
      <c r="G653" s="34"/>
      <c r="H653" s="34"/>
      <c r="I653" s="34"/>
      <c r="J653" s="34"/>
      <c r="K653" s="35"/>
      <c r="L653" s="34"/>
      <c r="M653" s="34"/>
    </row>
    <row r="654" spans="2:13" x14ac:dyDescent="0.3">
      <c r="B654" s="33"/>
      <c r="C654" s="34"/>
      <c r="D654" s="34"/>
      <c r="E654" s="34"/>
      <c r="F654" s="34"/>
      <c r="G654" s="34"/>
      <c r="H654" s="34"/>
      <c r="I654" s="34"/>
      <c r="J654" s="34"/>
      <c r="K654" s="35"/>
      <c r="L654" s="34"/>
      <c r="M654" s="34"/>
    </row>
    <row r="655" spans="2:13" x14ac:dyDescent="0.3">
      <c r="B655" s="33"/>
      <c r="C655" s="34"/>
      <c r="D655" s="34"/>
      <c r="E655" s="34"/>
      <c r="F655" s="34"/>
      <c r="G655" s="34"/>
      <c r="H655" s="34"/>
      <c r="I655" s="34"/>
      <c r="J655" s="34"/>
      <c r="K655" s="35"/>
      <c r="L655" s="34"/>
      <c r="M655" s="34"/>
    </row>
    <row r="656" spans="2:13" x14ac:dyDescent="0.3">
      <c r="B656" s="33"/>
      <c r="C656" s="34"/>
      <c r="D656" s="34"/>
      <c r="E656" s="34"/>
      <c r="F656" s="34"/>
      <c r="G656" s="34"/>
      <c r="H656" s="34"/>
      <c r="I656" s="34"/>
      <c r="J656" s="34"/>
      <c r="K656" s="35"/>
      <c r="L656" s="34"/>
      <c r="M656" s="34"/>
    </row>
    <row r="657" spans="2:13" x14ac:dyDescent="0.3">
      <c r="B657" s="33"/>
      <c r="C657" s="34"/>
      <c r="D657" s="34"/>
      <c r="E657" s="34"/>
      <c r="F657" s="34"/>
      <c r="G657" s="34"/>
      <c r="H657" s="34"/>
      <c r="I657" s="34"/>
      <c r="J657" s="34"/>
      <c r="K657" s="35"/>
      <c r="L657" s="34"/>
      <c r="M657" s="34"/>
    </row>
    <row r="658" spans="2:13" x14ac:dyDescent="0.3">
      <c r="B658" s="33"/>
      <c r="C658" s="34"/>
      <c r="D658" s="34"/>
      <c r="E658" s="34"/>
      <c r="F658" s="34"/>
      <c r="G658" s="34"/>
      <c r="H658" s="34"/>
      <c r="I658" s="34"/>
      <c r="J658" s="34"/>
      <c r="K658" s="35"/>
      <c r="L658" s="34"/>
      <c r="M658" s="34"/>
    </row>
    <row r="659" spans="2:13" x14ac:dyDescent="0.3">
      <c r="B659" s="33"/>
      <c r="C659" s="34"/>
      <c r="D659" s="34"/>
      <c r="E659" s="34"/>
      <c r="F659" s="34"/>
      <c r="G659" s="34"/>
      <c r="H659" s="34"/>
      <c r="I659" s="34"/>
      <c r="J659" s="34"/>
      <c r="K659" s="35"/>
      <c r="L659" s="34"/>
      <c r="M659" s="34"/>
    </row>
    <row r="660" spans="2:13" x14ac:dyDescent="0.3">
      <c r="B660" s="33"/>
      <c r="C660" s="34"/>
      <c r="D660" s="34"/>
      <c r="E660" s="34"/>
      <c r="F660" s="34"/>
      <c r="G660" s="34"/>
      <c r="H660" s="34"/>
      <c r="I660" s="34"/>
      <c r="J660" s="34"/>
      <c r="K660" s="35"/>
      <c r="L660" s="34"/>
      <c r="M660" s="34"/>
    </row>
    <row r="661" spans="2:13" x14ac:dyDescent="0.3">
      <c r="B661" s="33"/>
      <c r="C661" s="34"/>
      <c r="D661" s="34"/>
      <c r="E661" s="34"/>
      <c r="F661" s="34"/>
      <c r="G661" s="34"/>
      <c r="H661" s="34"/>
      <c r="I661" s="34"/>
      <c r="J661" s="34"/>
      <c r="K661" s="35"/>
      <c r="L661" s="34"/>
      <c r="M661" s="34"/>
    </row>
    <row r="662" spans="2:13" x14ac:dyDescent="0.3">
      <c r="B662" s="33"/>
      <c r="C662" s="34"/>
      <c r="D662" s="34"/>
      <c r="E662" s="34"/>
      <c r="F662" s="34"/>
      <c r="G662" s="34"/>
      <c r="H662" s="34"/>
      <c r="I662" s="34"/>
      <c r="J662" s="34"/>
      <c r="K662" s="35"/>
      <c r="L662" s="34"/>
      <c r="M662" s="34"/>
    </row>
    <row r="663" spans="2:13" x14ac:dyDescent="0.3">
      <c r="B663" s="33"/>
      <c r="C663" s="34"/>
      <c r="D663" s="34"/>
      <c r="E663" s="34"/>
      <c r="F663" s="34"/>
      <c r="G663" s="34"/>
      <c r="H663" s="34"/>
      <c r="I663" s="34"/>
      <c r="J663" s="34"/>
      <c r="K663" s="35"/>
      <c r="L663" s="34"/>
      <c r="M663" s="34"/>
    </row>
    <row r="664" spans="2:13" x14ac:dyDescent="0.3">
      <c r="B664" s="33"/>
      <c r="C664" s="34"/>
      <c r="D664" s="34"/>
      <c r="E664" s="34"/>
      <c r="F664" s="34"/>
      <c r="G664" s="34"/>
      <c r="H664" s="34"/>
      <c r="I664" s="34"/>
      <c r="J664" s="34"/>
      <c r="K664" s="35"/>
      <c r="L664" s="34"/>
      <c r="M664" s="34"/>
    </row>
    <row r="665" spans="2:13" x14ac:dyDescent="0.3">
      <c r="B665" s="33"/>
      <c r="C665" s="34"/>
      <c r="D665" s="34"/>
      <c r="E665" s="34"/>
      <c r="F665" s="34"/>
      <c r="G665" s="34"/>
      <c r="H665" s="34"/>
      <c r="I665" s="34"/>
      <c r="J665" s="34"/>
      <c r="K665" s="35"/>
      <c r="L665" s="34"/>
      <c r="M665" s="34"/>
    </row>
    <row r="666" spans="2:13" x14ac:dyDescent="0.3">
      <c r="B666" s="33"/>
      <c r="C666" s="34"/>
      <c r="D666" s="34"/>
      <c r="E666" s="34"/>
      <c r="F666" s="34"/>
      <c r="G666" s="34"/>
      <c r="H666" s="34"/>
      <c r="I666" s="34"/>
      <c r="J666" s="34"/>
      <c r="K666" s="35"/>
      <c r="L666" s="34"/>
      <c r="M666" s="34"/>
    </row>
    <row r="667" spans="2:13" x14ac:dyDescent="0.3">
      <c r="B667" s="33"/>
      <c r="C667" s="34"/>
      <c r="D667" s="34"/>
      <c r="E667" s="34"/>
      <c r="F667" s="34"/>
      <c r="G667" s="34"/>
      <c r="H667" s="34"/>
      <c r="I667" s="34"/>
      <c r="J667" s="34"/>
      <c r="K667" s="35"/>
      <c r="L667" s="34"/>
      <c r="M667" s="34"/>
    </row>
    <row r="668" spans="2:13" x14ac:dyDescent="0.3">
      <c r="B668" s="33"/>
      <c r="C668" s="34"/>
      <c r="D668" s="34"/>
      <c r="E668" s="34"/>
      <c r="F668" s="34"/>
      <c r="G668" s="34"/>
      <c r="H668" s="34"/>
      <c r="I668" s="34"/>
      <c r="J668" s="34"/>
      <c r="K668" s="35"/>
      <c r="L668" s="34"/>
      <c r="M668" s="34"/>
    </row>
    <row r="669" spans="2:13" x14ac:dyDescent="0.3">
      <c r="B669" s="33"/>
      <c r="C669" s="34"/>
      <c r="D669" s="34"/>
      <c r="E669" s="34"/>
      <c r="F669" s="34"/>
      <c r="G669" s="34"/>
      <c r="H669" s="34"/>
      <c r="I669" s="34"/>
      <c r="J669" s="34"/>
      <c r="K669" s="35"/>
      <c r="L669" s="34"/>
      <c r="M669" s="34"/>
    </row>
    <row r="670" spans="2:13" x14ac:dyDescent="0.3">
      <c r="B670" s="33"/>
      <c r="C670" s="34"/>
      <c r="D670" s="34"/>
      <c r="E670" s="34"/>
      <c r="F670" s="34"/>
      <c r="G670" s="34"/>
      <c r="H670" s="34"/>
      <c r="I670" s="34"/>
      <c r="J670" s="34"/>
      <c r="K670" s="35"/>
      <c r="L670" s="34"/>
      <c r="M670" s="34"/>
    </row>
    <row r="671" spans="2:13" x14ac:dyDescent="0.3">
      <c r="B671" s="33"/>
      <c r="C671" s="34"/>
      <c r="D671" s="34"/>
      <c r="E671" s="34"/>
      <c r="F671" s="34"/>
      <c r="G671" s="34"/>
      <c r="H671" s="34"/>
      <c r="I671" s="34"/>
      <c r="J671" s="34"/>
      <c r="K671" s="35"/>
      <c r="L671" s="34"/>
      <c r="M671" s="34"/>
    </row>
    <row r="672" spans="2:13" x14ac:dyDescent="0.3">
      <c r="B672" s="33"/>
      <c r="C672" s="34"/>
      <c r="D672" s="34"/>
      <c r="E672" s="34"/>
      <c r="F672" s="34"/>
      <c r="G672" s="34"/>
      <c r="H672" s="34"/>
      <c r="I672" s="34"/>
      <c r="J672" s="34"/>
      <c r="K672" s="35"/>
      <c r="L672" s="34"/>
      <c r="M672" s="34"/>
    </row>
    <row r="673" spans="2:13" x14ac:dyDescent="0.3">
      <c r="B673" s="33"/>
      <c r="C673" s="34"/>
      <c r="D673" s="34"/>
      <c r="E673" s="34"/>
      <c r="F673" s="34"/>
      <c r="G673" s="34"/>
      <c r="H673" s="34"/>
      <c r="I673" s="34"/>
      <c r="J673" s="34"/>
      <c r="K673" s="35"/>
      <c r="L673" s="34"/>
      <c r="M673" s="34"/>
    </row>
    <row r="674" spans="2:13" x14ac:dyDescent="0.3">
      <c r="B674" s="33"/>
      <c r="C674" s="34"/>
      <c r="D674" s="34"/>
      <c r="E674" s="34"/>
      <c r="F674" s="34"/>
      <c r="G674" s="34"/>
      <c r="H674" s="34"/>
      <c r="I674" s="34"/>
      <c r="J674" s="34"/>
      <c r="K674" s="35"/>
      <c r="L674" s="34"/>
      <c r="M674" s="34"/>
    </row>
    <row r="675" spans="2:13" x14ac:dyDescent="0.3">
      <c r="B675" s="33"/>
      <c r="C675" s="34"/>
      <c r="D675" s="34"/>
      <c r="E675" s="34"/>
      <c r="F675" s="34"/>
      <c r="G675" s="34"/>
      <c r="H675" s="34"/>
      <c r="I675" s="34"/>
      <c r="J675" s="34"/>
      <c r="K675" s="35"/>
      <c r="L675" s="34"/>
      <c r="M675" s="34"/>
    </row>
    <row r="676" spans="2:13" x14ac:dyDescent="0.3">
      <c r="B676" s="33"/>
      <c r="C676" s="34"/>
      <c r="D676" s="34"/>
      <c r="E676" s="34"/>
      <c r="F676" s="34"/>
      <c r="G676" s="34"/>
      <c r="H676" s="34"/>
      <c r="I676" s="34"/>
      <c r="J676" s="34"/>
      <c r="K676" s="35"/>
      <c r="L676" s="34"/>
      <c r="M676" s="34"/>
    </row>
    <row r="677" spans="2:13" x14ac:dyDescent="0.3">
      <c r="B677" s="33"/>
      <c r="C677" s="34"/>
      <c r="D677" s="34"/>
      <c r="E677" s="34"/>
      <c r="F677" s="34"/>
      <c r="G677" s="34"/>
      <c r="H677" s="34"/>
      <c r="I677" s="34"/>
      <c r="J677" s="34"/>
      <c r="K677" s="35"/>
      <c r="L677" s="34"/>
      <c r="M677" s="34"/>
    </row>
    <row r="678" spans="2:13" x14ac:dyDescent="0.3">
      <c r="B678" s="33"/>
      <c r="C678" s="34"/>
      <c r="D678" s="34"/>
      <c r="E678" s="34"/>
      <c r="F678" s="34"/>
      <c r="G678" s="34"/>
      <c r="H678" s="34"/>
      <c r="I678" s="34"/>
      <c r="J678" s="34"/>
      <c r="K678" s="35"/>
      <c r="L678" s="34"/>
      <c r="M678" s="34"/>
    </row>
    <row r="679" spans="2:13" x14ac:dyDescent="0.3">
      <c r="B679" s="33"/>
      <c r="C679" s="34"/>
      <c r="D679" s="34"/>
      <c r="E679" s="34"/>
      <c r="F679" s="34"/>
      <c r="G679" s="34"/>
      <c r="H679" s="34"/>
      <c r="I679" s="34"/>
      <c r="J679" s="34"/>
      <c r="K679" s="35"/>
      <c r="L679" s="34"/>
      <c r="M679" s="34"/>
    </row>
    <row r="680" spans="2:13" x14ac:dyDescent="0.3">
      <c r="B680" s="33"/>
      <c r="C680" s="34"/>
      <c r="D680" s="34"/>
      <c r="E680" s="34"/>
      <c r="F680" s="34"/>
      <c r="G680" s="34"/>
      <c r="H680" s="34"/>
      <c r="I680" s="34"/>
      <c r="J680" s="34"/>
      <c r="K680" s="35"/>
      <c r="L680" s="34"/>
      <c r="M680" s="34"/>
    </row>
    <row r="681" spans="2:13" x14ac:dyDescent="0.3">
      <c r="B681" s="33"/>
      <c r="C681" s="34"/>
      <c r="D681" s="34"/>
      <c r="E681" s="34"/>
      <c r="F681" s="34"/>
      <c r="G681" s="34"/>
      <c r="H681" s="34"/>
      <c r="I681" s="34"/>
      <c r="J681" s="34"/>
      <c r="K681" s="35"/>
      <c r="L681" s="34"/>
      <c r="M681" s="34"/>
    </row>
    <row r="682" spans="2:13" x14ac:dyDescent="0.3">
      <c r="B682" s="33"/>
      <c r="C682" s="34"/>
      <c r="D682" s="34"/>
      <c r="E682" s="34"/>
      <c r="F682" s="34"/>
      <c r="G682" s="34"/>
      <c r="H682" s="34"/>
      <c r="I682" s="34"/>
      <c r="J682" s="34"/>
      <c r="K682" s="35"/>
      <c r="L682" s="34"/>
      <c r="M682" s="34"/>
    </row>
    <row r="683" spans="2:13" x14ac:dyDescent="0.3">
      <c r="B683" s="33"/>
      <c r="C683" s="34"/>
      <c r="D683" s="34"/>
      <c r="E683" s="34"/>
      <c r="F683" s="34"/>
      <c r="G683" s="34"/>
      <c r="H683" s="34"/>
      <c r="I683" s="34"/>
      <c r="J683" s="34"/>
      <c r="K683" s="35"/>
      <c r="L683" s="34"/>
      <c r="M683" s="34"/>
    </row>
    <row r="684" spans="2:13" x14ac:dyDescent="0.3">
      <c r="B684" s="33"/>
      <c r="C684" s="34"/>
      <c r="D684" s="34"/>
      <c r="E684" s="34"/>
      <c r="F684" s="34"/>
      <c r="G684" s="34"/>
      <c r="H684" s="34"/>
      <c r="I684" s="34"/>
      <c r="J684" s="34"/>
      <c r="K684" s="35"/>
      <c r="L684" s="34"/>
      <c r="M684" s="34"/>
    </row>
    <row r="685" spans="2:13" x14ac:dyDescent="0.3">
      <c r="B685" s="33"/>
      <c r="C685" s="34"/>
      <c r="D685" s="34"/>
      <c r="E685" s="34"/>
      <c r="F685" s="34"/>
      <c r="G685" s="34"/>
      <c r="H685" s="34"/>
      <c r="I685" s="34"/>
      <c r="J685" s="34"/>
      <c r="K685" s="35"/>
      <c r="L685" s="34"/>
      <c r="M685" s="34"/>
    </row>
    <row r="686" spans="2:13" x14ac:dyDescent="0.3">
      <c r="B686" s="33"/>
      <c r="C686" s="34"/>
      <c r="D686" s="34"/>
      <c r="E686" s="34"/>
      <c r="F686" s="34"/>
      <c r="G686" s="34"/>
      <c r="H686" s="34"/>
      <c r="I686" s="34"/>
      <c r="J686" s="34"/>
      <c r="K686" s="35"/>
      <c r="L686" s="34"/>
      <c r="M686" s="34"/>
    </row>
    <row r="687" spans="2:13" x14ac:dyDescent="0.3">
      <c r="B687" s="33"/>
      <c r="C687" s="34"/>
      <c r="D687" s="34"/>
      <c r="E687" s="34"/>
      <c r="F687" s="34"/>
      <c r="G687" s="34"/>
      <c r="H687" s="34"/>
      <c r="I687" s="34"/>
      <c r="J687" s="34"/>
      <c r="K687" s="35"/>
      <c r="L687" s="34"/>
      <c r="M687" s="34"/>
    </row>
    <row r="688" spans="2:13" x14ac:dyDescent="0.3">
      <c r="B688" s="33"/>
      <c r="C688" s="34"/>
      <c r="D688" s="34"/>
      <c r="E688" s="34"/>
      <c r="F688" s="34"/>
      <c r="G688" s="34"/>
      <c r="H688" s="34"/>
      <c r="I688" s="34"/>
      <c r="J688" s="34"/>
      <c r="K688" s="35"/>
      <c r="L688" s="34"/>
      <c r="M688" s="34"/>
    </row>
    <row r="689" spans="2:13" x14ac:dyDescent="0.3">
      <c r="B689" s="33"/>
      <c r="C689" s="34"/>
      <c r="D689" s="34"/>
      <c r="E689" s="34"/>
      <c r="F689" s="34"/>
      <c r="G689" s="34"/>
      <c r="H689" s="34"/>
      <c r="I689" s="34"/>
      <c r="J689" s="34"/>
      <c r="K689" s="35"/>
      <c r="L689" s="34"/>
      <c r="M689" s="34"/>
    </row>
    <row r="690" spans="2:13" x14ac:dyDescent="0.3">
      <c r="B690" s="33"/>
      <c r="C690" s="34"/>
      <c r="D690" s="34"/>
      <c r="E690" s="34"/>
      <c r="F690" s="34"/>
      <c r="G690" s="34"/>
      <c r="H690" s="34"/>
      <c r="I690" s="34"/>
      <c r="J690" s="34"/>
      <c r="K690" s="35"/>
      <c r="L690" s="34"/>
      <c r="M690" s="34"/>
    </row>
    <row r="691" spans="2:13" x14ac:dyDescent="0.3">
      <c r="B691" s="33"/>
      <c r="C691" s="34"/>
      <c r="D691" s="34"/>
      <c r="E691" s="34"/>
      <c r="F691" s="34"/>
      <c r="G691" s="34"/>
      <c r="H691" s="34"/>
      <c r="I691" s="34"/>
      <c r="J691" s="34"/>
      <c r="K691" s="35"/>
      <c r="L691" s="34"/>
      <c r="M691" s="34"/>
    </row>
    <row r="692" spans="2:13" x14ac:dyDescent="0.3">
      <c r="B692" s="33"/>
      <c r="C692" s="34"/>
      <c r="D692" s="34"/>
      <c r="E692" s="34"/>
      <c r="F692" s="34"/>
      <c r="G692" s="34"/>
      <c r="H692" s="34"/>
      <c r="I692" s="34"/>
      <c r="J692" s="34"/>
      <c r="K692" s="35"/>
      <c r="L692" s="34"/>
      <c r="M692" s="34"/>
    </row>
    <row r="693" spans="2:13" x14ac:dyDescent="0.3">
      <c r="B693" s="33"/>
      <c r="C693" s="34"/>
      <c r="D693" s="34"/>
      <c r="E693" s="34"/>
      <c r="F693" s="34"/>
      <c r="G693" s="34"/>
      <c r="H693" s="34"/>
      <c r="I693" s="34"/>
      <c r="J693" s="34"/>
      <c r="K693" s="35"/>
      <c r="L693" s="34"/>
      <c r="M693" s="34"/>
    </row>
    <row r="694" spans="2:13" x14ac:dyDescent="0.3">
      <c r="B694" s="33"/>
      <c r="C694" s="34"/>
      <c r="D694" s="34"/>
      <c r="E694" s="34"/>
      <c r="F694" s="34"/>
      <c r="G694" s="34"/>
      <c r="H694" s="34"/>
      <c r="I694" s="34"/>
      <c r="J694" s="34"/>
      <c r="K694" s="35"/>
      <c r="L694" s="34"/>
      <c r="M694" s="34"/>
    </row>
    <row r="695" spans="2:13" x14ac:dyDescent="0.3">
      <c r="B695" s="33"/>
      <c r="C695" s="34"/>
      <c r="D695" s="34"/>
      <c r="E695" s="34"/>
      <c r="F695" s="34"/>
      <c r="G695" s="34"/>
      <c r="H695" s="34"/>
      <c r="I695" s="34"/>
      <c r="J695" s="34"/>
      <c r="K695" s="35"/>
      <c r="L695" s="34"/>
      <c r="M695" s="34"/>
    </row>
    <row r="696" spans="2:13" x14ac:dyDescent="0.3">
      <c r="B696" s="33"/>
      <c r="C696" s="34"/>
      <c r="D696" s="34"/>
      <c r="E696" s="34"/>
      <c r="F696" s="34"/>
      <c r="G696" s="34"/>
      <c r="H696" s="34"/>
      <c r="I696" s="34"/>
      <c r="J696" s="34"/>
      <c r="K696" s="35"/>
      <c r="L696" s="34"/>
      <c r="M696" s="34"/>
    </row>
    <row r="697" spans="2:13" x14ac:dyDescent="0.3">
      <c r="B697" s="33"/>
      <c r="C697" s="34"/>
      <c r="D697" s="34"/>
      <c r="E697" s="34"/>
      <c r="F697" s="34"/>
      <c r="G697" s="34"/>
      <c r="H697" s="34"/>
      <c r="I697" s="34"/>
      <c r="J697" s="34"/>
      <c r="K697" s="35"/>
      <c r="L697" s="34"/>
      <c r="M697" s="34"/>
    </row>
    <row r="698" spans="2:13" x14ac:dyDescent="0.3">
      <c r="B698" s="33"/>
      <c r="C698" s="34"/>
      <c r="D698" s="34"/>
      <c r="E698" s="34"/>
      <c r="F698" s="34"/>
      <c r="G698" s="34"/>
      <c r="H698" s="34"/>
      <c r="I698" s="34"/>
      <c r="J698" s="34"/>
      <c r="K698" s="35"/>
      <c r="L698" s="34"/>
      <c r="M698" s="34"/>
    </row>
    <row r="699" spans="2:13" x14ac:dyDescent="0.3">
      <c r="B699" s="33"/>
      <c r="C699" s="34"/>
      <c r="D699" s="34"/>
      <c r="E699" s="34"/>
      <c r="F699" s="34"/>
      <c r="G699" s="34"/>
      <c r="H699" s="34"/>
      <c r="I699" s="34"/>
      <c r="J699" s="34"/>
      <c r="K699" s="35"/>
      <c r="L699" s="34"/>
      <c r="M699" s="34"/>
    </row>
    <row r="700" spans="2:13" x14ac:dyDescent="0.3">
      <c r="B700" s="33"/>
      <c r="C700" s="34"/>
      <c r="D700" s="34"/>
      <c r="E700" s="34"/>
      <c r="F700" s="34"/>
      <c r="G700" s="34"/>
      <c r="H700" s="34"/>
      <c r="I700" s="34"/>
      <c r="J700" s="34"/>
      <c r="K700" s="35"/>
      <c r="L700" s="34"/>
      <c r="M700" s="34"/>
    </row>
    <row r="701" spans="2:13" x14ac:dyDescent="0.3">
      <c r="B701" s="33"/>
      <c r="C701" s="34"/>
      <c r="D701" s="34"/>
      <c r="E701" s="34"/>
      <c r="F701" s="34"/>
      <c r="G701" s="34"/>
      <c r="H701" s="34"/>
      <c r="I701" s="34"/>
      <c r="J701" s="34"/>
      <c r="K701" s="35"/>
      <c r="L701" s="34"/>
      <c r="M701" s="34"/>
    </row>
    <row r="702" spans="2:13" x14ac:dyDescent="0.3">
      <c r="B702" s="33"/>
      <c r="C702" s="34"/>
      <c r="D702" s="34"/>
      <c r="E702" s="34"/>
      <c r="F702" s="34"/>
      <c r="G702" s="34"/>
      <c r="H702" s="34"/>
      <c r="I702" s="34"/>
      <c r="J702" s="34"/>
      <c r="K702" s="35"/>
      <c r="L702" s="34"/>
      <c r="M702" s="34"/>
    </row>
    <row r="703" spans="2:13" x14ac:dyDescent="0.3">
      <c r="B703" s="33"/>
      <c r="C703" s="34"/>
      <c r="D703" s="34"/>
      <c r="E703" s="34"/>
      <c r="F703" s="34"/>
      <c r="G703" s="34"/>
      <c r="H703" s="34"/>
      <c r="I703" s="34"/>
      <c r="J703" s="34"/>
      <c r="K703" s="35"/>
      <c r="L703" s="34"/>
      <c r="M703" s="34"/>
    </row>
    <row r="704" spans="2:13" x14ac:dyDescent="0.3">
      <c r="B704" s="33"/>
      <c r="C704" s="34"/>
      <c r="D704" s="34"/>
      <c r="E704" s="34"/>
      <c r="F704" s="34"/>
      <c r="G704" s="34"/>
      <c r="H704" s="34"/>
      <c r="I704" s="34"/>
      <c r="J704" s="34"/>
      <c r="K704" s="35"/>
      <c r="L704" s="34"/>
      <c r="M704" s="34"/>
    </row>
    <row r="705" spans="2:13" x14ac:dyDescent="0.3">
      <c r="B705" s="33"/>
      <c r="C705" s="34"/>
      <c r="D705" s="34"/>
      <c r="E705" s="34"/>
      <c r="F705" s="34"/>
      <c r="G705" s="34"/>
      <c r="H705" s="34"/>
      <c r="I705" s="34"/>
      <c r="J705" s="34"/>
      <c r="K705" s="35"/>
      <c r="L705" s="34"/>
      <c r="M705" s="34"/>
    </row>
    <row r="706" spans="2:13" x14ac:dyDescent="0.3">
      <c r="B706" s="33"/>
      <c r="C706" s="34"/>
      <c r="D706" s="34"/>
      <c r="E706" s="34"/>
      <c r="F706" s="34"/>
      <c r="G706" s="34"/>
      <c r="H706" s="34"/>
      <c r="I706" s="34"/>
      <c r="J706" s="34"/>
      <c r="K706" s="35"/>
      <c r="L706" s="34"/>
      <c r="M706" s="34"/>
    </row>
    <row r="707" spans="2:13" x14ac:dyDescent="0.3">
      <c r="B707" s="33"/>
      <c r="C707" s="34"/>
      <c r="D707" s="34"/>
      <c r="E707" s="34"/>
      <c r="F707" s="34"/>
      <c r="G707" s="34"/>
      <c r="H707" s="34"/>
      <c r="I707" s="34"/>
      <c r="J707" s="34"/>
      <c r="K707" s="35"/>
      <c r="L707" s="34"/>
      <c r="M707" s="34"/>
    </row>
    <row r="708" spans="2:13" x14ac:dyDescent="0.3">
      <c r="B708" s="33"/>
      <c r="C708" s="34"/>
      <c r="D708" s="34"/>
      <c r="E708" s="34"/>
      <c r="F708" s="34"/>
      <c r="G708" s="34"/>
      <c r="H708" s="34"/>
      <c r="I708" s="34"/>
      <c r="J708" s="34"/>
      <c r="K708" s="35"/>
      <c r="L708" s="34"/>
      <c r="M708" s="34"/>
    </row>
    <row r="709" spans="2:13" x14ac:dyDescent="0.3">
      <c r="B709" s="33"/>
      <c r="C709" s="34"/>
      <c r="D709" s="34"/>
      <c r="E709" s="34"/>
      <c r="F709" s="34"/>
      <c r="G709" s="34"/>
      <c r="H709" s="34"/>
      <c r="I709" s="34"/>
      <c r="J709" s="34"/>
      <c r="K709" s="35"/>
      <c r="L709" s="34"/>
      <c r="M709" s="34"/>
    </row>
    <row r="710" spans="2:13" x14ac:dyDescent="0.3">
      <c r="B710" s="33"/>
      <c r="C710" s="34"/>
      <c r="D710" s="34"/>
      <c r="E710" s="34"/>
      <c r="F710" s="34"/>
      <c r="G710" s="34"/>
      <c r="H710" s="34"/>
      <c r="I710" s="34"/>
      <c r="J710" s="34"/>
      <c r="K710" s="35"/>
      <c r="L710" s="34"/>
      <c r="M710" s="34"/>
    </row>
    <row r="711" spans="2:13" x14ac:dyDescent="0.3">
      <c r="B711" s="33"/>
      <c r="C711" s="34"/>
      <c r="D711" s="34"/>
      <c r="E711" s="34"/>
      <c r="F711" s="34"/>
      <c r="G711" s="34"/>
      <c r="H711" s="34"/>
      <c r="I711" s="34"/>
      <c r="J711" s="34"/>
      <c r="K711" s="35"/>
      <c r="L711" s="34"/>
      <c r="M711" s="34"/>
    </row>
    <row r="712" spans="2:13" x14ac:dyDescent="0.3">
      <c r="B712" s="33"/>
      <c r="C712" s="34"/>
      <c r="D712" s="34"/>
      <c r="E712" s="34"/>
      <c r="F712" s="34"/>
      <c r="G712" s="34"/>
      <c r="H712" s="34"/>
      <c r="I712" s="34"/>
      <c r="J712" s="34"/>
      <c r="K712" s="35"/>
      <c r="L712" s="34"/>
      <c r="M712" s="34"/>
    </row>
    <row r="713" spans="2:13" x14ac:dyDescent="0.3">
      <c r="B713" s="33"/>
      <c r="C713" s="34"/>
      <c r="D713" s="34"/>
      <c r="E713" s="34"/>
      <c r="F713" s="34"/>
      <c r="G713" s="34"/>
      <c r="H713" s="34"/>
      <c r="I713" s="34"/>
      <c r="J713" s="34"/>
      <c r="K713" s="35"/>
      <c r="L713" s="34"/>
      <c r="M713" s="34"/>
    </row>
    <row r="714" spans="2:13" x14ac:dyDescent="0.3">
      <c r="B714" s="33"/>
      <c r="C714" s="34"/>
      <c r="D714" s="34"/>
      <c r="E714" s="34"/>
      <c r="F714" s="34"/>
      <c r="G714" s="34"/>
      <c r="H714" s="34"/>
      <c r="I714" s="34"/>
      <c r="J714" s="34"/>
      <c r="K714" s="35"/>
      <c r="L714" s="34"/>
      <c r="M714" s="34"/>
    </row>
    <row r="715" spans="2:13" x14ac:dyDescent="0.3">
      <c r="B715" s="33"/>
      <c r="C715" s="34"/>
      <c r="D715" s="34"/>
      <c r="E715" s="34"/>
      <c r="F715" s="34"/>
      <c r="G715" s="34"/>
      <c r="H715" s="34"/>
      <c r="I715" s="34"/>
      <c r="J715" s="34"/>
      <c r="K715" s="35"/>
      <c r="L715" s="34"/>
      <c r="M715" s="34"/>
    </row>
    <row r="716" spans="2:13" x14ac:dyDescent="0.3">
      <c r="B716" s="33"/>
      <c r="C716" s="34"/>
      <c r="D716" s="34"/>
      <c r="E716" s="34"/>
      <c r="F716" s="34"/>
      <c r="G716" s="34"/>
      <c r="H716" s="34"/>
      <c r="I716" s="34"/>
      <c r="J716" s="34"/>
      <c r="K716" s="35"/>
      <c r="L716" s="34"/>
      <c r="M716" s="34"/>
    </row>
    <row r="717" spans="2:13" x14ac:dyDescent="0.3">
      <c r="B717" s="33"/>
      <c r="C717" s="34"/>
      <c r="D717" s="34"/>
      <c r="E717" s="34"/>
      <c r="F717" s="34"/>
      <c r="G717" s="34"/>
      <c r="H717" s="34"/>
      <c r="I717" s="34"/>
      <c r="J717" s="34"/>
      <c r="K717" s="35"/>
      <c r="L717" s="34"/>
      <c r="M717" s="34"/>
    </row>
    <row r="718" spans="2:13" x14ac:dyDescent="0.3">
      <c r="B718" s="33"/>
      <c r="C718" s="34"/>
      <c r="D718" s="34"/>
      <c r="E718" s="34"/>
      <c r="F718" s="34"/>
      <c r="G718" s="34"/>
      <c r="H718" s="34"/>
      <c r="I718" s="34"/>
      <c r="J718" s="34"/>
      <c r="K718" s="35"/>
      <c r="L718" s="34"/>
      <c r="M718" s="34"/>
    </row>
    <row r="719" spans="2:13" x14ac:dyDescent="0.3">
      <c r="B719" s="33"/>
      <c r="C719" s="34"/>
      <c r="D719" s="34"/>
      <c r="E719" s="34"/>
      <c r="F719" s="34"/>
      <c r="G719" s="34"/>
      <c r="H719" s="34"/>
      <c r="I719" s="34"/>
      <c r="J719" s="34"/>
      <c r="K719" s="35"/>
      <c r="L719" s="34"/>
      <c r="M719" s="34"/>
    </row>
    <row r="720" spans="2:13" x14ac:dyDescent="0.3">
      <c r="B720" s="33"/>
      <c r="C720" s="34"/>
      <c r="D720" s="34"/>
      <c r="E720" s="34"/>
      <c r="F720" s="34"/>
      <c r="G720" s="34"/>
      <c r="H720" s="34"/>
      <c r="I720" s="34"/>
      <c r="J720" s="34"/>
      <c r="K720" s="35"/>
      <c r="L720" s="34"/>
      <c r="M720" s="34"/>
    </row>
    <row r="721" spans="2:13" x14ac:dyDescent="0.3">
      <c r="B721" s="33"/>
      <c r="C721" s="34"/>
      <c r="D721" s="34"/>
      <c r="E721" s="34"/>
      <c r="F721" s="34"/>
      <c r="G721" s="34"/>
      <c r="H721" s="34"/>
      <c r="I721" s="34"/>
      <c r="J721" s="34"/>
      <c r="K721" s="35"/>
      <c r="L721" s="34"/>
      <c r="M721" s="34"/>
    </row>
    <row r="722" spans="2:13" x14ac:dyDescent="0.3">
      <c r="B722" s="33"/>
      <c r="C722" s="34"/>
      <c r="D722" s="34"/>
      <c r="E722" s="34"/>
      <c r="F722" s="34"/>
      <c r="G722" s="34"/>
      <c r="H722" s="34"/>
      <c r="I722" s="34"/>
      <c r="J722" s="34"/>
      <c r="K722" s="35"/>
      <c r="L722" s="34"/>
      <c r="M722" s="34"/>
    </row>
    <row r="723" spans="2:13" x14ac:dyDescent="0.3">
      <c r="B723" s="33"/>
      <c r="C723" s="34"/>
      <c r="D723" s="34"/>
      <c r="E723" s="34"/>
      <c r="F723" s="34"/>
      <c r="G723" s="34"/>
      <c r="H723" s="34"/>
      <c r="I723" s="34"/>
      <c r="J723" s="34"/>
      <c r="K723" s="35"/>
      <c r="L723" s="34"/>
      <c r="M723" s="34"/>
    </row>
    <row r="724" spans="2:13" x14ac:dyDescent="0.3">
      <c r="B724" s="33"/>
      <c r="C724" s="34"/>
      <c r="D724" s="34"/>
      <c r="E724" s="34"/>
      <c r="F724" s="34"/>
      <c r="G724" s="34"/>
      <c r="H724" s="34"/>
      <c r="I724" s="34"/>
      <c r="J724" s="34"/>
      <c r="K724" s="35"/>
      <c r="L724" s="34"/>
      <c r="M724" s="34"/>
    </row>
    <row r="725" spans="2:13" x14ac:dyDescent="0.3">
      <c r="B725" s="33"/>
      <c r="C725" s="34"/>
      <c r="D725" s="34"/>
      <c r="E725" s="34"/>
      <c r="F725" s="34"/>
      <c r="G725" s="34"/>
      <c r="H725" s="34"/>
      <c r="I725" s="34"/>
      <c r="J725" s="34"/>
      <c r="K725" s="35"/>
      <c r="L725" s="34"/>
      <c r="M725" s="34"/>
    </row>
    <row r="726" spans="2:13" x14ac:dyDescent="0.3">
      <c r="B726" s="33"/>
      <c r="C726" s="34"/>
      <c r="D726" s="34"/>
      <c r="E726" s="34"/>
      <c r="F726" s="34"/>
      <c r="G726" s="34"/>
      <c r="H726" s="34"/>
      <c r="I726" s="34"/>
      <c r="J726" s="34"/>
      <c r="K726" s="35"/>
      <c r="L726" s="34"/>
      <c r="M726" s="34"/>
    </row>
    <row r="727" spans="2:13" x14ac:dyDescent="0.3">
      <c r="B727" s="33"/>
      <c r="C727" s="34"/>
      <c r="D727" s="34"/>
      <c r="E727" s="34"/>
      <c r="F727" s="34"/>
      <c r="G727" s="34"/>
      <c r="H727" s="34"/>
      <c r="I727" s="34"/>
      <c r="J727" s="34"/>
      <c r="K727" s="35"/>
      <c r="L727" s="34"/>
      <c r="M727" s="34"/>
    </row>
    <row r="728" spans="2:13" x14ac:dyDescent="0.3">
      <c r="B728" s="33"/>
      <c r="C728" s="34"/>
      <c r="D728" s="34"/>
      <c r="E728" s="34"/>
      <c r="F728" s="34"/>
      <c r="G728" s="34"/>
      <c r="H728" s="34"/>
      <c r="I728" s="34"/>
      <c r="J728" s="34"/>
      <c r="K728" s="35"/>
      <c r="L728" s="34"/>
      <c r="M728" s="34"/>
    </row>
    <row r="729" spans="2:13" x14ac:dyDescent="0.3">
      <c r="B729" s="33"/>
      <c r="C729" s="34"/>
      <c r="D729" s="34"/>
      <c r="E729" s="34"/>
      <c r="F729" s="34"/>
      <c r="G729" s="34"/>
      <c r="H729" s="34"/>
      <c r="I729" s="34"/>
      <c r="J729" s="34"/>
      <c r="K729" s="35"/>
      <c r="L729" s="34"/>
      <c r="M729" s="34"/>
    </row>
    <row r="730" spans="2:13" x14ac:dyDescent="0.3">
      <c r="B730" s="33"/>
      <c r="C730" s="34"/>
      <c r="D730" s="34"/>
      <c r="E730" s="34"/>
      <c r="F730" s="34"/>
      <c r="G730" s="34"/>
      <c r="H730" s="34"/>
      <c r="I730" s="34"/>
      <c r="J730" s="34"/>
      <c r="K730" s="35"/>
      <c r="L730" s="34"/>
      <c r="M730" s="34"/>
    </row>
    <row r="731" spans="2:13" x14ac:dyDescent="0.3">
      <c r="B731" s="33"/>
      <c r="C731" s="34"/>
      <c r="D731" s="34"/>
      <c r="E731" s="34"/>
      <c r="F731" s="34"/>
      <c r="G731" s="34"/>
      <c r="H731" s="34"/>
      <c r="I731" s="34"/>
      <c r="J731" s="34"/>
      <c r="K731" s="35"/>
      <c r="L731" s="34"/>
      <c r="M731" s="34"/>
    </row>
    <row r="732" spans="2:13" x14ac:dyDescent="0.3">
      <c r="B732" s="33"/>
      <c r="C732" s="34"/>
      <c r="D732" s="34"/>
      <c r="E732" s="34"/>
      <c r="F732" s="34"/>
      <c r="G732" s="34"/>
      <c r="H732" s="34"/>
      <c r="I732" s="34"/>
      <c r="J732" s="34"/>
      <c r="K732" s="35"/>
      <c r="L732" s="34"/>
      <c r="M732" s="34"/>
    </row>
    <row r="733" spans="2:13" x14ac:dyDescent="0.3">
      <c r="B733" s="33"/>
      <c r="C733" s="34"/>
      <c r="D733" s="34"/>
      <c r="E733" s="34"/>
      <c r="F733" s="34"/>
      <c r="G733" s="34"/>
      <c r="H733" s="34"/>
      <c r="I733" s="34"/>
      <c r="J733" s="34"/>
      <c r="K733" s="35"/>
      <c r="L733" s="34"/>
      <c r="M733" s="34"/>
    </row>
    <row r="734" spans="2:13" x14ac:dyDescent="0.3">
      <c r="B734" s="33"/>
      <c r="C734" s="34"/>
      <c r="D734" s="34"/>
      <c r="E734" s="34"/>
      <c r="F734" s="34"/>
      <c r="G734" s="34"/>
      <c r="H734" s="34"/>
      <c r="I734" s="34"/>
      <c r="J734" s="34"/>
      <c r="K734" s="35"/>
      <c r="L734" s="34"/>
      <c r="M734" s="34"/>
    </row>
    <row r="735" spans="2:13" x14ac:dyDescent="0.3">
      <c r="B735" s="33"/>
      <c r="C735" s="34"/>
      <c r="D735" s="34"/>
      <c r="E735" s="34"/>
      <c r="F735" s="34"/>
      <c r="G735" s="34"/>
      <c r="H735" s="34"/>
      <c r="I735" s="34"/>
      <c r="J735" s="34"/>
      <c r="K735" s="35"/>
      <c r="L735" s="34"/>
      <c r="M735" s="34"/>
    </row>
    <row r="736" spans="2:13" x14ac:dyDescent="0.3">
      <c r="B736" s="33"/>
      <c r="C736" s="34"/>
      <c r="D736" s="34"/>
      <c r="E736" s="34"/>
      <c r="F736" s="34"/>
      <c r="G736" s="34"/>
      <c r="H736" s="34"/>
      <c r="I736" s="34"/>
      <c r="J736" s="34"/>
      <c r="K736" s="35"/>
      <c r="L736" s="34"/>
      <c r="M736" s="34"/>
    </row>
    <row r="737" spans="2:13" x14ac:dyDescent="0.3">
      <c r="B737" s="33"/>
      <c r="C737" s="34"/>
      <c r="D737" s="34"/>
      <c r="E737" s="34"/>
      <c r="F737" s="34"/>
      <c r="G737" s="34"/>
      <c r="H737" s="34"/>
      <c r="I737" s="34"/>
      <c r="J737" s="34"/>
      <c r="K737" s="35"/>
      <c r="L737" s="34"/>
      <c r="M737" s="34"/>
    </row>
    <row r="738" spans="2:13" x14ac:dyDescent="0.3">
      <c r="B738" s="33"/>
      <c r="C738" s="34"/>
      <c r="D738" s="34"/>
      <c r="E738" s="34"/>
      <c r="F738" s="34"/>
      <c r="G738" s="34"/>
      <c r="H738" s="34"/>
      <c r="I738" s="34"/>
      <c r="J738" s="34"/>
      <c r="K738" s="35"/>
      <c r="L738" s="34"/>
      <c r="M738" s="34"/>
    </row>
    <row r="739" spans="2:13" x14ac:dyDescent="0.3">
      <c r="B739" s="33"/>
      <c r="C739" s="34"/>
      <c r="D739" s="34"/>
      <c r="E739" s="34"/>
      <c r="F739" s="34"/>
      <c r="G739" s="34"/>
      <c r="H739" s="34"/>
      <c r="I739" s="34"/>
      <c r="J739" s="34"/>
      <c r="K739" s="35"/>
      <c r="L739" s="34"/>
      <c r="M739" s="34"/>
    </row>
    <row r="740" spans="2:13" x14ac:dyDescent="0.3">
      <c r="B740" s="33"/>
      <c r="C740" s="34"/>
      <c r="D740" s="34"/>
      <c r="E740" s="34"/>
      <c r="F740" s="34"/>
      <c r="G740" s="34"/>
      <c r="H740" s="34"/>
      <c r="I740" s="34"/>
      <c r="J740" s="34"/>
      <c r="K740" s="35"/>
      <c r="L740" s="34"/>
      <c r="M740" s="34"/>
    </row>
    <row r="741" spans="2:13" x14ac:dyDescent="0.3">
      <c r="B741" s="33"/>
      <c r="C741" s="34"/>
      <c r="D741" s="34"/>
      <c r="E741" s="34"/>
      <c r="F741" s="34"/>
      <c r="G741" s="34"/>
      <c r="H741" s="34"/>
      <c r="I741" s="34"/>
      <c r="J741" s="34"/>
      <c r="K741" s="35"/>
      <c r="L741" s="34"/>
      <c r="M741" s="34"/>
    </row>
    <row r="742" spans="2:13" x14ac:dyDescent="0.3">
      <c r="B742" s="33"/>
      <c r="C742" s="34"/>
      <c r="D742" s="34"/>
      <c r="E742" s="34"/>
      <c r="F742" s="34"/>
      <c r="G742" s="34"/>
      <c r="H742" s="34"/>
      <c r="I742" s="34"/>
      <c r="J742" s="34"/>
      <c r="K742" s="35"/>
      <c r="L742" s="34"/>
      <c r="M742" s="34"/>
    </row>
    <row r="743" spans="2:13" x14ac:dyDescent="0.3">
      <c r="B743" s="33"/>
      <c r="C743" s="34"/>
      <c r="D743" s="34"/>
      <c r="E743" s="34"/>
      <c r="F743" s="34"/>
      <c r="G743" s="34"/>
      <c r="H743" s="34"/>
      <c r="I743" s="34"/>
      <c r="J743" s="34"/>
      <c r="K743" s="35"/>
      <c r="L743" s="34"/>
      <c r="M743" s="34"/>
    </row>
    <row r="744" spans="2:13" x14ac:dyDescent="0.3">
      <c r="B744" s="33"/>
      <c r="C744" s="34"/>
      <c r="D744" s="34"/>
      <c r="E744" s="34"/>
      <c r="F744" s="34"/>
      <c r="G744" s="34"/>
      <c r="H744" s="34"/>
      <c r="I744" s="34"/>
      <c r="J744" s="34"/>
      <c r="K744" s="35"/>
      <c r="L744" s="34"/>
      <c r="M744" s="34"/>
    </row>
    <row r="745" spans="2:13" x14ac:dyDescent="0.3">
      <c r="B745" s="33"/>
      <c r="C745" s="34"/>
      <c r="D745" s="34"/>
      <c r="E745" s="34"/>
      <c r="F745" s="34"/>
      <c r="G745" s="34"/>
      <c r="H745" s="34"/>
      <c r="I745" s="34"/>
      <c r="J745" s="34"/>
      <c r="K745" s="35"/>
      <c r="L745" s="34"/>
      <c r="M745" s="34"/>
    </row>
    <row r="746" spans="2:13" x14ac:dyDescent="0.3">
      <c r="B746" s="33"/>
      <c r="C746" s="34"/>
      <c r="D746" s="34"/>
      <c r="E746" s="34"/>
      <c r="F746" s="34"/>
      <c r="G746" s="34"/>
      <c r="H746" s="34"/>
      <c r="I746" s="34"/>
      <c r="J746" s="34"/>
      <c r="K746" s="35"/>
      <c r="L746" s="34"/>
      <c r="M746" s="34"/>
    </row>
    <row r="747" spans="2:13" x14ac:dyDescent="0.3">
      <c r="B747" s="33"/>
      <c r="C747" s="34"/>
      <c r="D747" s="34"/>
      <c r="E747" s="34"/>
      <c r="F747" s="34"/>
      <c r="G747" s="34"/>
      <c r="H747" s="34"/>
      <c r="I747" s="34"/>
      <c r="J747" s="34"/>
      <c r="K747" s="35"/>
      <c r="L747" s="34"/>
      <c r="M747" s="34"/>
    </row>
    <row r="748" spans="2:13" x14ac:dyDescent="0.3">
      <c r="B748" s="33"/>
      <c r="C748" s="34"/>
      <c r="D748" s="34"/>
      <c r="E748" s="34"/>
      <c r="F748" s="34"/>
      <c r="G748" s="34"/>
      <c r="H748" s="34"/>
      <c r="I748" s="34"/>
      <c r="J748" s="34"/>
      <c r="K748" s="35"/>
      <c r="L748" s="34"/>
      <c r="M748" s="34"/>
    </row>
    <row r="749" spans="2:13" x14ac:dyDescent="0.3">
      <c r="B749" s="33"/>
      <c r="C749" s="34"/>
      <c r="D749" s="34"/>
      <c r="E749" s="34"/>
      <c r="F749" s="34"/>
      <c r="G749" s="34"/>
      <c r="H749" s="34"/>
      <c r="I749" s="34"/>
      <c r="J749" s="34"/>
      <c r="K749" s="35"/>
      <c r="L749" s="34"/>
      <c r="M749" s="34"/>
    </row>
    <row r="750" spans="2:13" x14ac:dyDescent="0.3">
      <c r="B750" s="33"/>
      <c r="C750" s="34"/>
      <c r="D750" s="34"/>
      <c r="E750" s="34"/>
      <c r="F750" s="34"/>
      <c r="G750" s="34"/>
      <c r="H750" s="34"/>
      <c r="I750" s="34"/>
      <c r="J750" s="34"/>
      <c r="K750" s="35"/>
      <c r="L750" s="34"/>
      <c r="M750" s="34"/>
    </row>
    <row r="751" spans="2:13" x14ac:dyDescent="0.3">
      <c r="B751" s="33"/>
      <c r="C751" s="34"/>
      <c r="D751" s="34"/>
      <c r="E751" s="34"/>
      <c r="F751" s="34"/>
      <c r="G751" s="34"/>
      <c r="H751" s="34"/>
      <c r="I751" s="34"/>
      <c r="J751" s="34"/>
      <c r="K751" s="35"/>
      <c r="L751" s="34"/>
      <c r="M751" s="34"/>
    </row>
    <row r="752" spans="2:13" x14ac:dyDescent="0.3">
      <c r="B752" s="33"/>
      <c r="C752" s="34"/>
      <c r="D752" s="34"/>
      <c r="E752" s="34"/>
      <c r="F752" s="34"/>
      <c r="G752" s="34"/>
      <c r="H752" s="34"/>
      <c r="I752" s="34"/>
      <c r="J752" s="34"/>
      <c r="K752" s="35"/>
      <c r="L752" s="34"/>
      <c r="M752" s="34"/>
    </row>
    <row r="753" spans="2:13" x14ac:dyDescent="0.3">
      <c r="B753" s="33"/>
      <c r="C753" s="34"/>
      <c r="D753" s="34"/>
      <c r="E753" s="34"/>
      <c r="F753" s="34"/>
      <c r="G753" s="34"/>
      <c r="H753" s="34"/>
      <c r="I753" s="34"/>
      <c r="J753" s="34"/>
      <c r="K753" s="35"/>
      <c r="L753" s="34"/>
      <c r="M753" s="34"/>
    </row>
    <row r="754" spans="2:13" x14ac:dyDescent="0.3">
      <c r="B754" s="33"/>
      <c r="C754" s="34"/>
      <c r="D754" s="34"/>
      <c r="E754" s="34"/>
      <c r="F754" s="34"/>
      <c r="G754" s="34"/>
      <c r="H754" s="34"/>
      <c r="I754" s="34"/>
      <c r="J754" s="34"/>
      <c r="K754" s="35"/>
      <c r="L754" s="34"/>
      <c r="M754" s="34"/>
    </row>
    <row r="755" spans="2:13" x14ac:dyDescent="0.3">
      <c r="B755" s="33"/>
      <c r="C755" s="34"/>
      <c r="D755" s="34"/>
      <c r="E755" s="34"/>
      <c r="F755" s="34"/>
      <c r="G755" s="34"/>
      <c r="H755" s="34"/>
      <c r="I755" s="34"/>
      <c r="J755" s="34"/>
      <c r="K755" s="35"/>
      <c r="L755" s="34"/>
      <c r="M755" s="34"/>
    </row>
    <row r="756" spans="2:13" x14ac:dyDescent="0.3">
      <c r="B756" s="33"/>
      <c r="C756" s="34"/>
      <c r="D756" s="34"/>
      <c r="E756" s="34"/>
      <c r="F756" s="34"/>
      <c r="G756" s="34"/>
      <c r="H756" s="34"/>
      <c r="I756" s="34"/>
      <c r="J756" s="34"/>
      <c r="K756" s="35"/>
      <c r="L756" s="34"/>
      <c r="M756" s="34"/>
    </row>
    <row r="757" spans="2:13" x14ac:dyDescent="0.3">
      <c r="B757" s="33"/>
      <c r="C757" s="34"/>
      <c r="D757" s="34"/>
      <c r="E757" s="34"/>
      <c r="F757" s="34"/>
      <c r="G757" s="34"/>
      <c r="H757" s="34"/>
      <c r="I757" s="34"/>
      <c r="J757" s="34"/>
      <c r="K757" s="35"/>
      <c r="L757" s="34"/>
      <c r="M757" s="34"/>
    </row>
    <row r="758" spans="2:13" x14ac:dyDescent="0.3">
      <c r="B758" s="33"/>
      <c r="C758" s="34"/>
      <c r="D758" s="34"/>
      <c r="E758" s="34"/>
      <c r="F758" s="34"/>
      <c r="G758" s="34"/>
      <c r="H758" s="34"/>
      <c r="I758" s="34"/>
      <c r="J758" s="34"/>
      <c r="K758" s="35"/>
      <c r="L758" s="34"/>
      <c r="M758" s="34"/>
    </row>
    <row r="759" spans="2:13" x14ac:dyDescent="0.3">
      <c r="B759" s="33"/>
      <c r="C759" s="34"/>
      <c r="D759" s="34"/>
      <c r="E759" s="34"/>
      <c r="F759" s="34"/>
      <c r="G759" s="34"/>
      <c r="H759" s="34"/>
      <c r="I759" s="34"/>
      <c r="J759" s="34"/>
      <c r="K759" s="35"/>
      <c r="L759" s="34"/>
      <c r="M759" s="34"/>
    </row>
    <row r="760" spans="2:13" x14ac:dyDescent="0.3">
      <c r="B760" s="33"/>
      <c r="C760" s="34"/>
      <c r="D760" s="34"/>
      <c r="E760" s="34"/>
      <c r="F760" s="34"/>
      <c r="G760" s="34"/>
      <c r="H760" s="34"/>
      <c r="I760" s="34"/>
      <c r="J760" s="34"/>
      <c r="K760" s="35"/>
      <c r="L760" s="34"/>
      <c r="M760" s="34"/>
    </row>
    <row r="761" spans="2:13" x14ac:dyDescent="0.3">
      <c r="B761" s="33"/>
      <c r="C761" s="34"/>
      <c r="D761" s="34"/>
      <c r="E761" s="34"/>
      <c r="F761" s="34"/>
      <c r="G761" s="34"/>
      <c r="H761" s="34"/>
      <c r="I761" s="34"/>
      <c r="J761" s="34"/>
      <c r="K761" s="35"/>
      <c r="L761" s="34"/>
      <c r="M761" s="34"/>
    </row>
    <row r="762" spans="2:13" x14ac:dyDescent="0.3">
      <c r="B762" s="33"/>
      <c r="C762" s="34"/>
      <c r="D762" s="34"/>
      <c r="E762" s="34"/>
      <c r="F762" s="34"/>
      <c r="G762" s="34"/>
      <c r="H762" s="34"/>
      <c r="I762" s="34"/>
      <c r="J762" s="34"/>
      <c r="K762" s="35"/>
      <c r="L762" s="34"/>
      <c r="M762" s="34"/>
    </row>
    <row r="763" spans="2:13" x14ac:dyDescent="0.3">
      <c r="B763" s="33"/>
      <c r="C763" s="34"/>
      <c r="D763" s="34"/>
      <c r="E763" s="34"/>
      <c r="F763" s="34"/>
      <c r="G763" s="34"/>
      <c r="H763" s="34"/>
      <c r="I763" s="34"/>
      <c r="J763" s="34"/>
      <c r="K763" s="35"/>
      <c r="L763" s="34"/>
      <c r="M763" s="34"/>
    </row>
    <row r="764" spans="2:13" x14ac:dyDescent="0.3">
      <c r="B764" s="33"/>
      <c r="C764" s="34"/>
      <c r="D764" s="34"/>
      <c r="E764" s="34"/>
      <c r="F764" s="34"/>
      <c r="G764" s="34"/>
      <c r="H764" s="34"/>
      <c r="I764" s="34"/>
      <c r="J764" s="34"/>
      <c r="K764" s="35"/>
      <c r="L764" s="34"/>
      <c r="M764" s="34"/>
    </row>
    <row r="765" spans="2:13" x14ac:dyDescent="0.3">
      <c r="B765" s="33"/>
      <c r="C765" s="34"/>
      <c r="D765" s="34"/>
      <c r="E765" s="34"/>
      <c r="F765" s="34"/>
      <c r="G765" s="34"/>
      <c r="H765" s="34"/>
      <c r="I765" s="34"/>
      <c r="J765" s="34"/>
      <c r="K765" s="35"/>
      <c r="L765" s="34"/>
      <c r="M765" s="34"/>
    </row>
    <row r="766" spans="2:13" x14ac:dyDescent="0.3">
      <c r="B766" s="33"/>
      <c r="C766" s="34"/>
      <c r="D766" s="34"/>
      <c r="E766" s="34"/>
      <c r="F766" s="34"/>
      <c r="G766" s="34"/>
      <c r="H766" s="34"/>
      <c r="I766" s="34"/>
      <c r="J766" s="34"/>
      <c r="K766" s="35"/>
      <c r="L766" s="34"/>
      <c r="M766" s="34"/>
    </row>
    <row r="767" spans="2:13" x14ac:dyDescent="0.3">
      <c r="B767" s="33"/>
      <c r="C767" s="34"/>
      <c r="D767" s="34"/>
      <c r="E767" s="34"/>
      <c r="F767" s="34"/>
      <c r="G767" s="34"/>
      <c r="H767" s="34"/>
      <c r="I767" s="34"/>
      <c r="J767" s="34"/>
      <c r="K767" s="35"/>
      <c r="L767" s="34"/>
      <c r="M767" s="34"/>
    </row>
    <row r="768" spans="2:13" x14ac:dyDescent="0.3">
      <c r="B768" s="33"/>
      <c r="C768" s="34"/>
      <c r="D768" s="34"/>
      <c r="E768" s="34"/>
      <c r="F768" s="34"/>
      <c r="G768" s="34"/>
      <c r="H768" s="34"/>
      <c r="I768" s="34"/>
      <c r="J768" s="34"/>
      <c r="K768" s="35"/>
      <c r="L768" s="34"/>
      <c r="M768" s="34"/>
    </row>
    <row r="769" spans="2:13" x14ac:dyDescent="0.3">
      <c r="B769" s="33"/>
      <c r="C769" s="34"/>
      <c r="D769" s="34"/>
      <c r="E769" s="34"/>
      <c r="F769" s="34"/>
      <c r="G769" s="34"/>
      <c r="H769" s="34"/>
      <c r="I769" s="34"/>
      <c r="J769" s="34"/>
      <c r="K769" s="35"/>
      <c r="L769" s="34"/>
      <c r="M769" s="34"/>
    </row>
    <row r="770" spans="2:13" x14ac:dyDescent="0.3">
      <c r="B770" s="33"/>
      <c r="C770" s="34"/>
      <c r="D770" s="34"/>
      <c r="E770" s="34"/>
      <c r="F770" s="34"/>
      <c r="G770" s="34"/>
      <c r="H770" s="34"/>
      <c r="I770" s="34"/>
      <c r="J770" s="34"/>
      <c r="K770" s="35"/>
      <c r="L770" s="34"/>
      <c r="M770" s="34"/>
    </row>
    <row r="771" spans="2:13" x14ac:dyDescent="0.3">
      <c r="B771" s="33"/>
      <c r="C771" s="34"/>
      <c r="D771" s="34"/>
      <c r="E771" s="34"/>
      <c r="F771" s="34"/>
      <c r="G771" s="34"/>
      <c r="H771" s="34"/>
      <c r="I771" s="34"/>
      <c r="J771" s="34"/>
      <c r="K771" s="35"/>
      <c r="L771" s="34"/>
      <c r="M771" s="34"/>
    </row>
    <row r="772" spans="2:13" x14ac:dyDescent="0.3">
      <c r="B772" s="33"/>
      <c r="C772" s="34"/>
      <c r="D772" s="34"/>
      <c r="E772" s="34"/>
      <c r="F772" s="34"/>
      <c r="G772" s="34"/>
      <c r="H772" s="34"/>
      <c r="I772" s="34"/>
      <c r="J772" s="34"/>
      <c r="K772" s="35"/>
      <c r="L772" s="34"/>
      <c r="M772" s="34"/>
    </row>
    <row r="773" spans="2:13" x14ac:dyDescent="0.3">
      <c r="B773" s="33"/>
      <c r="C773" s="34"/>
      <c r="D773" s="34"/>
      <c r="E773" s="34"/>
      <c r="F773" s="34"/>
      <c r="G773" s="34"/>
      <c r="H773" s="34"/>
      <c r="I773" s="34"/>
      <c r="J773" s="34"/>
      <c r="K773" s="35"/>
      <c r="L773" s="34"/>
      <c r="M773" s="34"/>
    </row>
    <row r="774" spans="2:13" x14ac:dyDescent="0.3">
      <c r="B774" s="33"/>
      <c r="C774" s="34"/>
      <c r="D774" s="34"/>
      <c r="E774" s="34"/>
      <c r="F774" s="34"/>
      <c r="G774" s="34"/>
      <c r="H774" s="34"/>
      <c r="I774" s="34"/>
      <c r="J774" s="34"/>
      <c r="K774" s="35"/>
      <c r="L774" s="34"/>
      <c r="M774" s="34"/>
    </row>
    <row r="775" spans="2:13" x14ac:dyDescent="0.3">
      <c r="B775" s="33"/>
      <c r="C775" s="34"/>
      <c r="D775" s="34"/>
      <c r="E775" s="34"/>
      <c r="F775" s="34"/>
      <c r="G775" s="34"/>
      <c r="H775" s="34"/>
      <c r="I775" s="34"/>
      <c r="J775" s="34"/>
      <c r="K775" s="35"/>
      <c r="L775" s="34"/>
      <c r="M775" s="34"/>
    </row>
    <row r="776" spans="2:13" x14ac:dyDescent="0.3">
      <c r="K776" s="40"/>
    </row>
    <row r="777" spans="2:13" x14ac:dyDescent="0.3">
      <c r="K777" s="40"/>
    </row>
    <row r="778" spans="2:13" x14ac:dyDescent="0.3">
      <c r="K778" s="40"/>
    </row>
    <row r="779" spans="2:13" x14ac:dyDescent="0.3">
      <c r="K779" s="40"/>
    </row>
    <row r="780" spans="2:13" x14ac:dyDescent="0.3">
      <c r="K780" s="40"/>
    </row>
    <row r="781" spans="2:13" x14ac:dyDescent="0.3">
      <c r="K781" s="40"/>
    </row>
    <row r="782" spans="2:13" x14ac:dyDescent="0.3">
      <c r="K782" s="40"/>
    </row>
    <row r="783" spans="2:13" x14ac:dyDescent="0.3">
      <c r="K783" s="40"/>
    </row>
    <row r="784" spans="2:1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sheetData>
  <phoneticPr fontId="0" type="noConversion"/>
  <pageMargins left="0.75" right="0.75" top="1" bottom="1" header="0.5" footer="0.5"/>
  <pageSetup orientation="portrait" horizontalDpi="4294967294" verticalDpi="0" r:id="rId1"/>
  <headerFooter alignWithMargins="0"/>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7"/>
  <sheetViews>
    <sheetView topLeftCell="A10" workbookViewId="0">
      <selection activeCell="A27" sqref="A27:A32"/>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10.6328125" style="17" customWidth="1"/>
    <col min="8" max="8" width="10.81640625" style="17" customWidth="1"/>
    <col min="9" max="9" width="9.08984375" style="17"/>
    <col min="10" max="10" width="10.81640625" style="17" customWidth="1"/>
    <col min="11" max="11" width="9.08984375" style="17"/>
    <col min="12" max="12" width="10.81640625" style="17" customWidth="1"/>
    <col min="13" max="16384" width="9.08984375" style="17"/>
  </cols>
  <sheetData>
    <row r="1" spans="1:7" x14ac:dyDescent="0.3">
      <c r="A1" s="61" t="s">
        <v>146</v>
      </c>
      <c r="B1" s="50" t="str">
        <f>model</f>
        <v>ME Grain &amp; Pulse</v>
      </c>
    </row>
    <row r="3" spans="1:7" x14ac:dyDescent="0.3">
      <c r="A3" s="7" t="s">
        <v>1301</v>
      </c>
      <c r="B3" s="55" t="s">
        <v>92</v>
      </c>
      <c r="C3" s="54">
        <f>gcorn</f>
        <v>0</v>
      </c>
      <c r="D3" s="17" t="s">
        <v>93</v>
      </c>
      <c r="E3" s="4"/>
      <c r="F3" s="27"/>
      <c r="G3" s="27"/>
    </row>
    <row r="4" spans="1:7" x14ac:dyDescent="0.3">
      <c r="A4" s="7"/>
      <c r="B4" s="55" t="s">
        <v>232</v>
      </c>
      <c r="C4" s="153">
        <f>Data!B172</f>
        <v>100</v>
      </c>
      <c r="D4" s="50" t="s">
        <v>236</v>
      </c>
      <c r="E4" s="54">
        <f>(C4*56)/100</f>
        <v>56</v>
      </c>
      <c r="F4" s="17" t="s">
        <v>233</v>
      </c>
    </row>
    <row r="5" spans="1:7" x14ac:dyDescent="0.3">
      <c r="A5" s="7"/>
      <c r="B5" s="55" t="s">
        <v>282</v>
      </c>
      <c r="C5" s="106">
        <f>Data!B169</f>
        <v>3.9866666666666699</v>
      </c>
      <c r="D5" s="17" t="s">
        <v>287</v>
      </c>
      <c r="E5" s="4"/>
      <c r="G5" s="53"/>
    </row>
    <row r="7" spans="1:7" ht="15.5" x14ac:dyDescent="0.35">
      <c r="A7" s="751" t="s">
        <v>1301</v>
      </c>
      <c r="B7" s="697" t="s">
        <v>76</v>
      </c>
      <c r="C7" s="697"/>
      <c r="D7" s="697" t="s">
        <v>77</v>
      </c>
      <c r="E7" s="698"/>
      <c r="F7" s="697" t="s">
        <v>384</v>
      </c>
    </row>
    <row r="8" spans="1:7" ht="15.5" x14ac:dyDescent="0.35">
      <c r="A8" s="699" t="s">
        <v>362</v>
      </c>
      <c r="B8" s="759">
        <f>C3</f>
        <v>0</v>
      </c>
      <c r="C8" s="701"/>
      <c r="D8" s="702" t="s">
        <v>363</v>
      </c>
      <c r="E8" s="699"/>
      <c r="F8" s="702" t="s">
        <v>363</v>
      </c>
    </row>
    <row r="9" spans="1:7" ht="15.5" x14ac:dyDescent="0.35">
      <c r="A9" s="699" t="s">
        <v>1302</v>
      </c>
      <c r="B9" s="759">
        <f>C3*C4</f>
        <v>0</v>
      </c>
      <c r="C9" s="701"/>
      <c r="D9" s="760">
        <f>C4</f>
        <v>100</v>
      </c>
      <c r="E9" s="699"/>
      <c r="F9" s="702" t="s">
        <v>363</v>
      </c>
    </row>
    <row r="10" spans="1:7" ht="15.5" x14ac:dyDescent="0.35">
      <c r="A10" s="699" t="s">
        <v>1303</v>
      </c>
      <c r="B10" s="702" t="s">
        <v>363</v>
      </c>
      <c r="C10" s="716"/>
      <c r="D10" s="702" t="s">
        <v>363</v>
      </c>
      <c r="E10" s="752"/>
      <c r="F10" s="716">
        <f>C5</f>
        <v>3.9866666666666699</v>
      </c>
    </row>
    <row r="11" spans="1:7" ht="15.5" x14ac:dyDescent="0.35">
      <c r="A11" s="699"/>
      <c r="B11" s="706"/>
      <c r="C11" s="706"/>
      <c r="D11" s="707"/>
      <c r="E11" s="744"/>
      <c r="F11" s="706"/>
    </row>
    <row r="12" spans="1:7" ht="15" x14ac:dyDescent="0.3">
      <c r="A12" s="709" t="s">
        <v>230</v>
      </c>
      <c r="B12" s="710">
        <f>C4*C5*gcorn</f>
        <v>0</v>
      </c>
      <c r="C12" s="711"/>
      <c r="D12" s="712" t="e">
        <f>B12/gcorn</f>
        <v>#DIV/0!</v>
      </c>
      <c r="E12" s="756"/>
      <c r="F12" s="711" t="e">
        <f>B12/(gcorn*$C$4)</f>
        <v>#DIV/0!</v>
      </c>
    </row>
    <row r="13" spans="1:7" ht="15.5" x14ac:dyDescent="0.35">
      <c r="A13" s="699"/>
      <c r="B13" s="721"/>
      <c r="C13" s="722"/>
      <c r="D13" s="717"/>
      <c r="E13" s="752"/>
      <c r="F13" s="752"/>
    </row>
    <row r="14" spans="1:7" ht="15.5" x14ac:dyDescent="0.35">
      <c r="A14" s="709" t="s">
        <v>365</v>
      </c>
      <c r="B14" s="715"/>
      <c r="C14" s="716"/>
      <c r="D14" s="717"/>
      <c r="E14" s="752"/>
      <c r="F14" s="752"/>
    </row>
    <row r="15" spans="1:7" ht="15.5" x14ac:dyDescent="0.35">
      <c r="A15" s="714" t="s">
        <v>13</v>
      </c>
      <c r="B15" s="715">
        <f>CnGOprC!H8</f>
        <v>0</v>
      </c>
      <c r="C15" s="716"/>
      <c r="D15" s="717" t="e">
        <f>B15/gcorn</f>
        <v>#DIV/0!</v>
      </c>
      <c r="E15" s="752"/>
      <c r="F15" s="716" t="e">
        <f>B15/(gcorn*$C$4)</f>
        <v>#DIV/0!</v>
      </c>
    </row>
    <row r="16" spans="1:7" ht="15.5" x14ac:dyDescent="0.35">
      <c r="A16" s="714" t="s">
        <v>1</v>
      </c>
      <c r="B16" s="715">
        <f>SUM(CnGOprC!H10:H11)</f>
        <v>0</v>
      </c>
      <c r="C16" s="716"/>
      <c r="D16" s="717" t="e">
        <f>B16/gcorn</f>
        <v>#DIV/0!</v>
      </c>
      <c r="E16" s="752"/>
      <c r="F16" s="716" t="e">
        <f>B16/(gcorn*$C$4)</f>
        <v>#DIV/0!</v>
      </c>
    </row>
    <row r="17" spans="1:6" ht="15.5" x14ac:dyDescent="0.35">
      <c r="A17" s="714" t="s">
        <v>2</v>
      </c>
      <c r="B17" s="715">
        <f>CnGOprC!H12</f>
        <v>0</v>
      </c>
      <c r="C17" s="716"/>
      <c r="D17" s="717" t="e">
        <f>B17/gcorn</f>
        <v>#DIV/0!</v>
      </c>
      <c r="E17" s="752"/>
      <c r="F17" s="716" t="e">
        <f>B17/(gcorn*$C$4)</f>
        <v>#DIV/0!</v>
      </c>
    </row>
    <row r="18" spans="1:6" ht="15.5" x14ac:dyDescent="0.35">
      <c r="A18" s="714" t="s">
        <v>1476</v>
      </c>
      <c r="B18" s="699"/>
      <c r="C18" s="699"/>
      <c r="D18" s="699"/>
      <c r="E18" s="699"/>
      <c r="F18" s="699"/>
    </row>
    <row r="19" spans="1:6" ht="15.5" x14ac:dyDescent="0.35">
      <c r="A19" s="714" t="s">
        <v>1119</v>
      </c>
      <c r="B19" s="745">
        <f>SUM(CnGOprC!H13:H15)</f>
        <v>0</v>
      </c>
      <c r="C19" s="746"/>
      <c r="D19" s="754" t="e">
        <f t="shared" ref="D19:D25" si="0">B19/gcorn</f>
        <v>#DIV/0!</v>
      </c>
      <c r="E19" s="752"/>
      <c r="F19" s="746" t="e">
        <f t="shared" ref="F19:F25" si="1">B19/(gcorn*$C$4)</f>
        <v>#DIV/0!</v>
      </c>
    </row>
    <row r="20" spans="1:6" ht="15.5" x14ac:dyDescent="0.35">
      <c r="A20" s="714" t="s">
        <v>1120</v>
      </c>
      <c r="B20" s="745">
        <v>0</v>
      </c>
      <c r="C20" s="746"/>
      <c r="D20" s="755" t="e">
        <f t="shared" si="0"/>
        <v>#DIV/0!</v>
      </c>
      <c r="E20" s="753"/>
      <c r="F20" s="745" t="e">
        <f t="shared" si="1"/>
        <v>#DIV/0!</v>
      </c>
    </row>
    <row r="21" spans="1:6" ht="15.5" x14ac:dyDescent="0.35">
      <c r="A21" s="714" t="s">
        <v>14</v>
      </c>
      <c r="B21" s="715">
        <f>SUM(CnGOprC!H18:H31)</f>
        <v>0</v>
      </c>
      <c r="C21" s="716"/>
      <c r="D21" s="717" t="e">
        <f t="shared" si="0"/>
        <v>#DIV/0!</v>
      </c>
      <c r="E21" s="752"/>
      <c r="F21" s="716" t="e">
        <f t="shared" si="1"/>
        <v>#DIV/0!</v>
      </c>
    </row>
    <row r="22" spans="1:6" ht="15.5" x14ac:dyDescent="0.35">
      <c r="A22" s="714" t="s">
        <v>169</v>
      </c>
      <c r="B22" s="715">
        <f>SUM(CnGOprC!H33:H48)</f>
        <v>0</v>
      </c>
      <c r="C22" s="716"/>
      <c r="D22" s="717" t="e">
        <f t="shared" si="0"/>
        <v>#DIV/0!</v>
      </c>
      <c r="E22" s="752"/>
      <c r="F22" s="716" t="e">
        <f t="shared" si="1"/>
        <v>#DIV/0!</v>
      </c>
    </row>
    <row r="23" spans="1:6" ht="15.5" x14ac:dyDescent="0.35">
      <c r="A23" s="714" t="s">
        <v>78</v>
      </c>
      <c r="B23" s="715">
        <f>SUM(CnGOprC!H49:H50)</f>
        <v>0</v>
      </c>
      <c r="C23" s="716"/>
      <c r="D23" s="717" t="e">
        <f t="shared" si="0"/>
        <v>#DIV/0!</v>
      </c>
      <c r="E23" s="752"/>
      <c r="F23" s="716" t="e">
        <f t="shared" si="1"/>
        <v>#DIV/0!</v>
      </c>
    </row>
    <row r="24" spans="1:6" ht="15.5" x14ac:dyDescent="0.35">
      <c r="A24" s="714" t="s">
        <v>170</v>
      </c>
      <c r="B24" s="732">
        <f>CnGOprC!H51</f>
        <v>0</v>
      </c>
      <c r="C24" s="733"/>
      <c r="D24" s="719" t="e">
        <f t="shared" si="0"/>
        <v>#DIV/0!</v>
      </c>
      <c r="E24" s="753"/>
      <c r="F24" s="715" t="e">
        <f t="shared" si="1"/>
        <v>#DIV/0!</v>
      </c>
    </row>
    <row r="25" spans="1:6" ht="15.5" x14ac:dyDescent="0.35">
      <c r="A25" s="714" t="s">
        <v>171</v>
      </c>
      <c r="B25" s="732">
        <f>SUM(CnGOprC!H52:H53)</f>
        <v>0</v>
      </c>
      <c r="C25" s="733"/>
      <c r="D25" s="717" t="e">
        <f t="shared" si="0"/>
        <v>#DIV/0!</v>
      </c>
      <c r="E25" s="752"/>
      <c r="F25" s="716" t="e">
        <f t="shared" si="1"/>
        <v>#DIV/0!</v>
      </c>
    </row>
    <row r="26" spans="1:6" ht="15.5" x14ac:dyDescent="0.35">
      <c r="A26" s="714" t="s">
        <v>172</v>
      </c>
      <c r="B26" s="699"/>
      <c r="C26" s="699"/>
      <c r="D26" s="703"/>
      <c r="E26" s="699"/>
      <c r="F26" s="699"/>
    </row>
    <row r="27" spans="1:6" ht="15.5" x14ac:dyDescent="0.35">
      <c r="A27" s="734" t="s">
        <v>378</v>
      </c>
      <c r="B27" s="732">
        <f>CnGOprC!H55</f>
        <v>0</v>
      </c>
      <c r="C27" s="733"/>
      <c r="D27" s="717" t="e">
        <f t="shared" ref="D27:D32" si="2">B27/gcorn</f>
        <v>#DIV/0!</v>
      </c>
      <c r="E27" s="752"/>
      <c r="F27" s="716" t="e">
        <f t="shared" ref="F27:F32" si="3">B27/(gcorn*$C$4)</f>
        <v>#DIV/0!</v>
      </c>
    </row>
    <row r="28" spans="1:6" ht="15.5" x14ac:dyDescent="0.35">
      <c r="A28" s="734" t="s">
        <v>379</v>
      </c>
      <c r="B28" s="753">
        <f>CnGOprC!H56</f>
        <v>0</v>
      </c>
      <c r="C28" s="699"/>
      <c r="D28" s="719" t="e">
        <f t="shared" si="2"/>
        <v>#DIV/0!</v>
      </c>
      <c r="E28" s="753"/>
      <c r="F28" s="715" t="e">
        <f t="shared" si="3"/>
        <v>#DIV/0!</v>
      </c>
    </row>
    <row r="29" spans="1:6" ht="15.5" x14ac:dyDescent="0.35">
      <c r="A29" s="734" t="s">
        <v>380</v>
      </c>
      <c r="B29" s="732">
        <f>SUM(CnGOprC!H58:H59)</f>
        <v>0</v>
      </c>
      <c r="C29" s="733"/>
      <c r="D29" s="717" t="e">
        <f t="shared" si="2"/>
        <v>#DIV/0!</v>
      </c>
      <c r="E29" s="752"/>
      <c r="F29" s="716" t="e">
        <f t="shared" si="3"/>
        <v>#DIV/0!</v>
      </c>
    </row>
    <row r="30" spans="1:6" ht="15.5" x14ac:dyDescent="0.35">
      <c r="A30" s="734" t="s">
        <v>381</v>
      </c>
      <c r="B30" s="732">
        <f>CnGOprC!H60</f>
        <v>0</v>
      </c>
      <c r="C30" s="733"/>
      <c r="D30" s="719" t="e">
        <f t="shared" si="2"/>
        <v>#DIV/0!</v>
      </c>
      <c r="E30" s="753"/>
      <c r="F30" s="715" t="e">
        <f t="shared" si="3"/>
        <v>#DIV/0!</v>
      </c>
    </row>
    <row r="31" spans="1:6" ht="15.5" x14ac:dyDescent="0.35">
      <c r="A31" s="734" t="s">
        <v>382</v>
      </c>
      <c r="B31" s="732">
        <f>SUM(CnGOprC!H67:H68)</f>
        <v>0</v>
      </c>
      <c r="C31" s="733"/>
      <c r="D31" s="717" t="e">
        <f t="shared" si="2"/>
        <v>#DIV/0!</v>
      </c>
      <c r="E31" s="752"/>
      <c r="F31" s="716" t="e">
        <f t="shared" si="3"/>
        <v>#DIV/0!</v>
      </c>
    </row>
    <row r="32" spans="1:6" ht="15.5" x14ac:dyDescent="0.35">
      <c r="A32" s="734" t="s">
        <v>383</v>
      </c>
      <c r="B32" s="732">
        <f>SUM(CnGOprC!H70:H72)</f>
        <v>0</v>
      </c>
      <c r="C32" s="733"/>
      <c r="D32" s="719" t="e">
        <f t="shared" si="2"/>
        <v>#DIV/0!</v>
      </c>
      <c r="E32" s="753"/>
      <c r="F32" s="715" t="e">
        <f t="shared" si="3"/>
        <v>#DIV/0!</v>
      </c>
    </row>
    <row r="33" spans="1:12" ht="15.5" x14ac:dyDescent="0.35">
      <c r="A33" s="714" t="s">
        <v>69</v>
      </c>
      <c r="B33" s="732">
        <f>CnGOprC!H76</f>
        <v>0</v>
      </c>
      <c r="C33" s="733"/>
      <c r="D33" s="739" t="e">
        <f>B33/gcorn</f>
        <v>#DIV/0!</v>
      </c>
      <c r="E33" s="757"/>
      <c r="F33" s="716" t="e">
        <f>B33/(gcorn*$C$4)</f>
        <v>#DIV/0!</v>
      </c>
    </row>
    <row r="34" spans="1:12" ht="15" x14ac:dyDescent="0.3">
      <c r="A34" s="709" t="s">
        <v>366</v>
      </c>
      <c r="B34" s="735">
        <f>SUM(B15:B33)</f>
        <v>0</v>
      </c>
      <c r="C34" s="736"/>
      <c r="D34" s="737" t="e">
        <f>SUM(D15:D33)</f>
        <v>#DIV/0!</v>
      </c>
      <c r="E34" s="736"/>
      <c r="F34" s="736" t="e">
        <f>SUM(F15:F33)</f>
        <v>#DIV/0!</v>
      </c>
    </row>
    <row r="35" spans="1:12" ht="15.5" x14ac:dyDescent="0.35">
      <c r="A35" s="738"/>
      <c r="B35" s="732"/>
      <c r="C35" s="733"/>
      <c r="D35" s="739"/>
      <c r="E35" s="757"/>
      <c r="F35" s="757"/>
    </row>
    <row r="36" spans="1:12" ht="15.5" x14ac:dyDescent="0.35">
      <c r="A36" s="709" t="s">
        <v>367</v>
      </c>
      <c r="B36" s="732"/>
      <c r="C36" s="733"/>
      <c r="D36" s="739"/>
      <c r="E36" s="757"/>
      <c r="F36" s="757"/>
    </row>
    <row r="37" spans="1:12" ht="15.5" x14ac:dyDescent="0.35">
      <c r="A37" s="714" t="s">
        <v>29</v>
      </c>
      <c r="B37" s="732"/>
      <c r="C37" s="733"/>
      <c r="D37" s="739"/>
      <c r="E37" s="757"/>
      <c r="F37" s="716"/>
      <c r="H37" s="764" t="s">
        <v>29</v>
      </c>
    </row>
    <row r="38" spans="1:12" ht="15.5" x14ac:dyDescent="0.35">
      <c r="A38" s="734" t="s">
        <v>1240</v>
      </c>
      <c r="B38" s="732">
        <f>SUM(CnGOwnC!H8:H10)</f>
        <v>0</v>
      </c>
      <c r="C38" s="733"/>
      <c r="D38" s="739" t="e">
        <f t="shared" ref="D38:D50" si="4">B38/gcorn</f>
        <v>#DIV/0!</v>
      </c>
      <c r="E38" s="757"/>
      <c r="F38" s="716" t="e">
        <f t="shared" ref="F38:F50" si="5">B38/(gcorn*$C$4)</f>
        <v>#DIV/0!</v>
      </c>
      <c r="H38" s="697" t="s">
        <v>76</v>
      </c>
      <c r="I38" s="697"/>
      <c r="J38" s="697" t="s">
        <v>77</v>
      </c>
      <c r="K38" s="698"/>
      <c r="L38" s="697" t="s">
        <v>384</v>
      </c>
    </row>
    <row r="39" spans="1:12" ht="15.5" x14ac:dyDescent="0.35">
      <c r="A39" s="734" t="s">
        <v>1241</v>
      </c>
      <c r="B39" s="732">
        <f>SUM(CnGOwnC!H11:H13)</f>
        <v>0</v>
      </c>
      <c r="C39" s="733"/>
      <c r="D39" s="739" t="e">
        <f t="shared" si="4"/>
        <v>#DIV/0!</v>
      </c>
      <c r="E39" s="757"/>
      <c r="F39" s="716" t="e">
        <f t="shared" si="5"/>
        <v>#DIV/0!</v>
      </c>
      <c r="H39" s="763">
        <f>SUM(B38:B49)</f>
        <v>0</v>
      </c>
      <c r="J39" s="756" t="e">
        <f>SUM(D38:D49)</f>
        <v>#DIV/0!</v>
      </c>
      <c r="L39" s="756" t="e">
        <f>SUM(F38:F49)</f>
        <v>#DIV/0!</v>
      </c>
    </row>
    <row r="40" spans="1:12" ht="15.5" x14ac:dyDescent="0.35">
      <c r="A40" s="734" t="s">
        <v>1243</v>
      </c>
      <c r="B40" s="732">
        <f>SUM(CnGOwnC!H14:H18)</f>
        <v>0</v>
      </c>
      <c r="C40" s="733"/>
      <c r="D40" s="739" t="e">
        <f t="shared" si="4"/>
        <v>#DIV/0!</v>
      </c>
      <c r="E40" s="757"/>
      <c r="F40" s="716" t="e">
        <f t="shared" si="5"/>
        <v>#DIV/0!</v>
      </c>
    </row>
    <row r="41" spans="1:12" ht="15.5" x14ac:dyDescent="0.35">
      <c r="A41" s="734" t="s">
        <v>1242</v>
      </c>
      <c r="B41" s="732">
        <f>SUM(CnGOwnC!H19:H22)</f>
        <v>0</v>
      </c>
      <c r="C41" s="733"/>
      <c r="D41" s="739" t="e">
        <f t="shared" si="4"/>
        <v>#DIV/0!</v>
      </c>
      <c r="E41" s="757"/>
      <c r="F41" s="716" t="e">
        <f t="shared" si="5"/>
        <v>#DIV/0!</v>
      </c>
    </row>
    <row r="42" spans="1:12" ht="15.5" x14ac:dyDescent="0.35">
      <c r="A42" s="734" t="s">
        <v>1244</v>
      </c>
      <c r="B42" s="732">
        <f>SUM(CnGOwnC!H23:H25)</f>
        <v>0</v>
      </c>
      <c r="C42" s="733"/>
      <c r="D42" s="739" t="e">
        <f t="shared" si="4"/>
        <v>#DIV/0!</v>
      </c>
      <c r="E42" s="757"/>
      <c r="F42" s="716" t="e">
        <f t="shared" si="5"/>
        <v>#DIV/0!</v>
      </c>
    </row>
    <row r="43" spans="1:12" ht="15.5" x14ac:dyDescent="0.35">
      <c r="A43" s="734" t="s">
        <v>1245</v>
      </c>
      <c r="B43" s="732">
        <f>0</f>
        <v>0</v>
      </c>
      <c r="C43" s="733"/>
      <c r="D43" s="761" t="e">
        <f t="shared" si="4"/>
        <v>#DIV/0!</v>
      </c>
      <c r="E43" s="762"/>
      <c r="F43" s="715" t="e">
        <f t="shared" si="5"/>
        <v>#DIV/0!</v>
      </c>
    </row>
    <row r="44" spans="1:12" ht="15.5" x14ac:dyDescent="0.35">
      <c r="A44" s="734" t="s">
        <v>1246</v>
      </c>
      <c r="B44" s="732">
        <f>SUM(CnGOwnC!H26:H29)</f>
        <v>0</v>
      </c>
      <c r="C44" s="733"/>
      <c r="D44" s="739" t="e">
        <f t="shared" si="4"/>
        <v>#DIV/0!</v>
      </c>
      <c r="E44" s="757"/>
      <c r="F44" s="716" t="e">
        <f t="shared" si="5"/>
        <v>#DIV/0!</v>
      </c>
    </row>
    <row r="45" spans="1:12" ht="15.5" x14ac:dyDescent="0.35">
      <c r="A45" s="734" t="s">
        <v>1247</v>
      </c>
      <c r="B45" s="732">
        <f>SUM(CnGOwnC!H30:H33)</f>
        <v>0</v>
      </c>
      <c r="C45" s="733"/>
      <c r="D45" s="739" t="e">
        <f t="shared" si="4"/>
        <v>#DIV/0!</v>
      </c>
      <c r="E45" s="757"/>
      <c r="F45" s="781" t="e">
        <f t="shared" si="5"/>
        <v>#DIV/0!</v>
      </c>
    </row>
    <row r="46" spans="1:12" ht="15.5" x14ac:dyDescent="0.35">
      <c r="A46" s="734" t="s">
        <v>1250</v>
      </c>
      <c r="B46" s="732">
        <f>SUM(CnGOwnC!H34:H38)</f>
        <v>0</v>
      </c>
      <c r="C46" s="733"/>
      <c r="D46" s="739" t="e">
        <f t="shared" si="4"/>
        <v>#DIV/0!</v>
      </c>
      <c r="E46" s="757"/>
      <c r="F46" s="716" t="e">
        <f t="shared" si="5"/>
        <v>#DIV/0!</v>
      </c>
    </row>
    <row r="47" spans="1:12" ht="15.5" x14ac:dyDescent="0.35">
      <c r="A47" s="734" t="s">
        <v>1304</v>
      </c>
      <c r="B47" s="732">
        <f>0</f>
        <v>0</v>
      </c>
      <c r="C47" s="733"/>
      <c r="D47" s="761" t="e">
        <f t="shared" si="4"/>
        <v>#DIV/0!</v>
      </c>
      <c r="E47" s="762"/>
      <c r="F47" s="715" t="e">
        <f t="shared" si="5"/>
        <v>#DIV/0!</v>
      </c>
    </row>
    <row r="48" spans="1:12" ht="15.5" x14ac:dyDescent="0.35">
      <c r="A48" s="734" t="s">
        <v>1248</v>
      </c>
      <c r="B48" s="732">
        <f>SUM(CnGOwnC!H39:H40)</f>
        <v>0</v>
      </c>
      <c r="C48" s="733"/>
      <c r="D48" s="739" t="e">
        <f t="shared" si="4"/>
        <v>#DIV/0!</v>
      </c>
      <c r="E48" s="757"/>
      <c r="F48" s="716" t="e">
        <f t="shared" si="5"/>
        <v>#DIV/0!</v>
      </c>
    </row>
    <row r="49" spans="1:8" ht="15.5" x14ac:dyDescent="0.35">
      <c r="A49" s="734" t="s">
        <v>1249</v>
      </c>
      <c r="B49" s="732">
        <f>SUM(CnGOwnC!H41:H43)</f>
        <v>0</v>
      </c>
      <c r="C49" s="733"/>
      <c r="D49" s="739" t="e">
        <f t="shared" si="4"/>
        <v>#DIV/0!</v>
      </c>
      <c r="E49" s="757"/>
      <c r="F49" s="716" t="e">
        <f t="shared" si="5"/>
        <v>#DIV/0!</v>
      </c>
    </row>
    <row r="50" spans="1:8" ht="15.5" x14ac:dyDescent="0.35">
      <c r="A50" s="714" t="s">
        <v>79</v>
      </c>
      <c r="B50" s="732">
        <f>CnGOwnC!L51</f>
        <v>0</v>
      </c>
      <c r="C50" s="733"/>
      <c r="D50" s="739" t="e">
        <f t="shared" si="4"/>
        <v>#DIV/0!</v>
      </c>
      <c r="E50" s="757"/>
      <c r="F50" s="716" t="e">
        <f t="shared" si="5"/>
        <v>#DIV/0!</v>
      </c>
    </row>
    <row r="51" spans="1:8" ht="15" x14ac:dyDescent="0.3">
      <c r="A51" s="709" t="s">
        <v>368</v>
      </c>
      <c r="B51" s="735">
        <f>SUM(B37:B50)</f>
        <v>0</v>
      </c>
      <c r="C51" s="736"/>
      <c r="D51" s="737" t="e">
        <f>SUM(D37:D50)</f>
        <v>#DIV/0!</v>
      </c>
      <c r="E51" s="736"/>
      <c r="F51" s="736" t="e">
        <f>SUM(F37:F50)</f>
        <v>#DIV/0!</v>
      </c>
    </row>
    <row r="52" spans="1:8" ht="15.5" x14ac:dyDescent="0.35">
      <c r="A52" s="699"/>
      <c r="B52" s="735"/>
      <c r="C52" s="736"/>
      <c r="D52" s="737"/>
      <c r="E52" s="758"/>
      <c r="F52" s="758"/>
    </row>
    <row r="53" spans="1:8" ht="15" x14ac:dyDescent="0.3">
      <c r="A53" s="709" t="s">
        <v>80</v>
      </c>
      <c r="B53" s="735">
        <f>B51+B34</f>
        <v>0</v>
      </c>
      <c r="C53" s="736"/>
      <c r="D53" s="737" t="e">
        <f>D51+D34</f>
        <v>#DIV/0!</v>
      </c>
      <c r="E53" s="736"/>
      <c r="F53" s="736" t="e">
        <f>F51+F34</f>
        <v>#DIV/0!</v>
      </c>
      <c r="H53" s="52"/>
    </row>
    <row r="54" spans="1:8" ht="15.5" x14ac:dyDescent="0.35">
      <c r="A54" s="742"/>
      <c r="B54" s="735"/>
      <c r="C54" s="736"/>
      <c r="D54" s="737"/>
      <c r="E54" s="736"/>
      <c r="F54" s="736"/>
    </row>
    <row r="55" spans="1:8" ht="15" x14ac:dyDescent="0.3">
      <c r="A55" s="709" t="s">
        <v>355</v>
      </c>
      <c r="B55" s="735">
        <f>B12-B53</f>
        <v>0</v>
      </c>
      <c r="C55" s="736"/>
      <c r="D55" s="737" t="e">
        <f>D12-D53</f>
        <v>#DIV/0!</v>
      </c>
      <c r="E55" s="736"/>
      <c r="F55" s="736" t="e">
        <f>F12-F53</f>
        <v>#DIV/0!</v>
      </c>
    </row>
    <row r="56" spans="1:8" ht="15" x14ac:dyDescent="0.3">
      <c r="A56" s="709" t="s">
        <v>356</v>
      </c>
      <c r="B56" s="735">
        <f>B12-B34</f>
        <v>0</v>
      </c>
      <c r="C56" s="736"/>
      <c r="D56" s="737" t="e">
        <f>D12-D34</f>
        <v>#DIV/0!</v>
      </c>
      <c r="E56" s="736"/>
      <c r="F56" s="736" t="e">
        <f>F12-F34</f>
        <v>#DIV/0!</v>
      </c>
    </row>
    <row r="57" spans="1:8" ht="15.5" x14ac:dyDescent="0.35">
      <c r="A57" s="699"/>
      <c r="B57" s="743"/>
      <c r="C57" s="743"/>
      <c r="D57" s="702"/>
      <c r="E57" s="699"/>
      <c r="F57" s="699"/>
    </row>
    <row r="58" spans="1:8" ht="15.5" x14ac:dyDescent="0.35">
      <c r="A58" s="709" t="s">
        <v>234</v>
      </c>
      <c r="B58" s="743"/>
      <c r="C58" s="743"/>
      <c r="D58" s="702"/>
      <c r="E58" s="699"/>
      <c r="F58" s="699"/>
    </row>
    <row r="59" spans="1:8" ht="12.75" customHeight="1" x14ac:dyDescent="0.35">
      <c r="A59" s="744" t="s">
        <v>369</v>
      </c>
      <c r="B59" s="703" t="s">
        <v>76</v>
      </c>
      <c r="C59" s="743"/>
      <c r="D59" s="703" t="s">
        <v>393</v>
      </c>
      <c r="E59" s="703"/>
      <c r="F59" s="703" t="s">
        <v>395</v>
      </c>
    </row>
    <row r="60" spans="1:8" ht="15.5" x14ac:dyDescent="0.35">
      <c r="A60" s="714" t="s">
        <v>370</v>
      </c>
      <c r="B60" s="745">
        <f>B53</f>
        <v>0</v>
      </c>
      <c r="C60" s="743"/>
      <c r="D60" s="717" t="e">
        <f>$B$53/gcorn</f>
        <v>#DIV/0!</v>
      </c>
      <c r="E60" s="699"/>
      <c r="F60" s="716" t="e">
        <f>$B$53/(gcorn*$C$4)</f>
        <v>#DIV/0!</v>
      </c>
    </row>
    <row r="61" spans="1:8" ht="15.5" x14ac:dyDescent="0.35">
      <c r="A61" s="714" t="s">
        <v>371</v>
      </c>
      <c r="B61" s="745">
        <f>B34</f>
        <v>0</v>
      </c>
      <c r="C61" s="743"/>
      <c r="D61" s="717" t="e">
        <f>$B$34/gcorn</f>
        <v>#DIV/0!</v>
      </c>
      <c r="E61" s="699"/>
      <c r="F61" s="716" t="e">
        <f>$B$34/(gcorn*$C$4)</f>
        <v>#DIV/0!</v>
      </c>
    </row>
    <row r="62" spans="1:8" ht="15.5" x14ac:dyDescent="0.35">
      <c r="A62" s="714"/>
      <c r="B62" s="743"/>
      <c r="C62" s="743"/>
      <c r="D62" s="717"/>
      <c r="E62" s="699"/>
      <c r="F62" s="716"/>
    </row>
    <row r="63" spans="1:8" ht="15.5" x14ac:dyDescent="0.35">
      <c r="A63" s="744" t="s">
        <v>1099</v>
      </c>
      <c r="B63" s="703" t="s">
        <v>1100</v>
      </c>
      <c r="C63" s="743"/>
      <c r="D63" s="717"/>
      <c r="E63" s="699"/>
      <c r="F63" s="716"/>
    </row>
    <row r="64" spans="1:8" ht="15.5" x14ac:dyDescent="0.35">
      <c r="A64" s="714" t="s">
        <v>1101</v>
      </c>
      <c r="B64" s="746" t="e">
        <f>B55/SUM(CnGOprC!E17:E32)</f>
        <v>#DIV/0!</v>
      </c>
      <c r="C64" s="743"/>
      <c r="D64" s="717"/>
      <c r="E64" s="699"/>
      <c r="F64" s="716"/>
    </row>
    <row r="65" spans="1:6" ht="15.5" x14ac:dyDescent="0.35">
      <c r="A65" s="714" t="s">
        <v>1102</v>
      </c>
      <c r="B65" s="746" t="e">
        <f>B56/SUM(CnGOprC!E17:E32)</f>
        <v>#DIV/0!</v>
      </c>
      <c r="C65" s="743"/>
      <c r="D65" s="717"/>
      <c r="E65" s="699"/>
      <c r="F65" s="716"/>
    </row>
    <row r="66" spans="1:6" ht="15.5" x14ac:dyDescent="0.35">
      <c r="A66" s="747"/>
      <c r="B66" s="748"/>
      <c r="C66" s="748"/>
      <c r="D66" s="749"/>
      <c r="E66" s="747"/>
      <c r="F66" s="747"/>
    </row>
    <row r="67" spans="1:6" x14ac:dyDescent="0.3">
      <c r="D67" s="59"/>
    </row>
  </sheetData>
  <phoneticPr fontId="0" type="noConversion"/>
  <pageMargins left="0.75" right="0.75" top="1" bottom="1" header="0.5" footer="0.5"/>
  <headerFooter alignWithMargins="0"/>
  <legacy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87"/>
  <sheetViews>
    <sheetView workbookViewId="0">
      <pane ySplit="7" topLeftCell="A8" activePane="bottomLeft" state="frozen"/>
      <selection pane="bottomLeft" activeCell="K16" sqref="K16"/>
    </sheetView>
  </sheetViews>
  <sheetFormatPr defaultRowHeight="12.75" customHeight="1" x14ac:dyDescent="0.25"/>
  <cols>
    <col min="1" max="1" width="39.6328125" customWidth="1"/>
    <col min="2" max="2" width="9.6328125" customWidth="1"/>
    <col min="3" max="3" width="13.6328125" customWidth="1"/>
    <col min="4" max="5" width="10.6328125" customWidth="1"/>
    <col min="6" max="6" width="12.6328125" customWidth="1"/>
    <col min="7" max="7" width="10.6328125" customWidth="1"/>
    <col min="8" max="8" width="13.6328125" customWidth="1"/>
    <col min="9" max="9" width="9.6328125" customWidth="1"/>
    <col min="10" max="10" width="12.6328125" customWidth="1"/>
  </cols>
  <sheetData>
    <row r="1" spans="1:13" ht="12.75" customHeight="1" x14ac:dyDescent="0.3">
      <c r="A1" s="61" t="s">
        <v>146</v>
      </c>
      <c r="B1" s="17" t="str">
        <f>model</f>
        <v>ME Grain &amp; Pulse</v>
      </c>
      <c r="C1" s="17"/>
      <c r="D1" s="17"/>
    </row>
    <row r="2" spans="1:13" ht="12.75" customHeight="1" x14ac:dyDescent="0.3">
      <c r="A2" s="17"/>
      <c r="B2" s="17"/>
      <c r="C2" s="17"/>
      <c r="D2" s="17"/>
    </row>
    <row r="3" spans="1:13" ht="12.75" customHeight="1" x14ac:dyDescent="0.3">
      <c r="B3" s="4"/>
      <c r="C3" s="17"/>
      <c r="D3" s="17"/>
    </row>
    <row r="4" spans="1:13" ht="12.75" customHeight="1" x14ac:dyDescent="0.3">
      <c r="A4" s="7" t="s">
        <v>476</v>
      </c>
      <c r="B4" s="8" t="s">
        <v>92</v>
      </c>
      <c r="C4" s="65">
        <f>sudan</f>
        <v>0</v>
      </c>
      <c r="D4" s="4" t="s">
        <v>93</v>
      </c>
    </row>
    <row r="6" spans="1:13" ht="12.75" customHeight="1" x14ac:dyDescent="0.35">
      <c r="A6" s="5" t="s">
        <v>0</v>
      </c>
      <c r="B6" s="5"/>
      <c r="C6" s="17"/>
      <c r="D6" s="17"/>
      <c r="E6" s="17"/>
      <c r="F6" s="17"/>
      <c r="G6" s="17"/>
      <c r="H6" s="17"/>
      <c r="I6" s="17"/>
    </row>
    <row r="7" spans="1:13" ht="25.5" customHeight="1" x14ac:dyDescent="0.3">
      <c r="A7" s="41"/>
      <c r="B7" s="391" t="s">
        <v>919</v>
      </c>
      <c r="C7" s="42" t="s">
        <v>21</v>
      </c>
      <c r="D7" s="42" t="s">
        <v>22</v>
      </c>
      <c r="E7" s="227" t="s">
        <v>900</v>
      </c>
      <c r="F7" s="42" t="s">
        <v>23</v>
      </c>
      <c r="G7" s="42" t="s">
        <v>24</v>
      </c>
      <c r="H7" s="42" t="s">
        <v>65</v>
      </c>
      <c r="I7" s="27"/>
    </row>
    <row r="8" spans="1:13" ht="12.75" customHeight="1" x14ac:dyDescent="0.3">
      <c r="A8" s="3" t="s">
        <v>13</v>
      </c>
      <c r="B8" s="3"/>
      <c r="C8" s="17"/>
      <c r="D8" s="17"/>
      <c r="E8" s="17"/>
      <c r="F8" s="17"/>
      <c r="G8" s="17"/>
      <c r="H8" s="17"/>
      <c r="I8" s="17"/>
    </row>
    <row r="9" spans="1:13" ht="12.75" customHeight="1" x14ac:dyDescent="0.3">
      <c r="A9" s="6" t="s">
        <v>467</v>
      </c>
      <c r="B9" s="397">
        <v>1</v>
      </c>
      <c r="C9" s="273">
        <v>120</v>
      </c>
      <c r="D9" s="34" t="s">
        <v>220</v>
      </c>
      <c r="E9" s="60">
        <f>C9*sudan</f>
        <v>0</v>
      </c>
      <c r="F9" s="283">
        <v>0.63766666666666705</v>
      </c>
      <c r="G9" s="114">
        <f>C9*F9</f>
        <v>76.520000000000039</v>
      </c>
      <c r="H9" s="109">
        <f>B9*G9*sudan</f>
        <v>0</v>
      </c>
      <c r="I9" s="110"/>
    </row>
    <row r="10" spans="1:13" ht="12.75" customHeight="1" x14ac:dyDescent="0.3">
      <c r="A10" s="3" t="s">
        <v>1</v>
      </c>
      <c r="B10" s="3"/>
      <c r="C10" s="46"/>
      <c r="D10" s="34"/>
      <c r="E10" s="34"/>
      <c r="F10" s="167"/>
      <c r="G10" s="104"/>
      <c r="H10" s="104"/>
      <c r="I10" s="110"/>
    </row>
    <row r="11" spans="1:13" ht="12.75" customHeight="1" x14ac:dyDescent="0.3">
      <c r="A11" s="6" t="s">
        <v>470</v>
      </c>
      <c r="B11" s="397">
        <v>1</v>
      </c>
      <c r="C11" s="278">
        <f>218/2000</f>
        <v>0.109</v>
      </c>
      <c r="D11" s="34" t="s">
        <v>26</v>
      </c>
      <c r="E11" s="60">
        <f>C11*sudan</f>
        <v>0</v>
      </c>
      <c r="F11" s="608">
        <v>600</v>
      </c>
      <c r="G11" s="114">
        <f>C11*F11</f>
        <v>65.400000000000006</v>
      </c>
      <c r="H11" s="109">
        <f>B11*G11*sudan</f>
        <v>0</v>
      </c>
      <c r="I11" s="110"/>
    </row>
    <row r="12" spans="1:13" ht="12.75" customHeight="1" x14ac:dyDescent="0.3">
      <c r="A12" s="6" t="s">
        <v>2</v>
      </c>
      <c r="B12" s="397">
        <v>1</v>
      </c>
      <c r="C12" s="369">
        <f>limeapp</f>
        <v>0.2</v>
      </c>
      <c r="D12" s="34" t="s">
        <v>26</v>
      </c>
      <c r="E12" s="60">
        <f>C12*sudan</f>
        <v>0</v>
      </c>
      <c r="F12" s="175">
        <f>lime</f>
        <v>38.260869565217391</v>
      </c>
      <c r="G12" s="114">
        <f>C12*F12</f>
        <v>7.6521739130434785</v>
      </c>
      <c r="H12" s="109">
        <f>B12*G12*sudan</f>
        <v>0</v>
      </c>
      <c r="I12" s="110"/>
    </row>
    <row r="13" spans="1:13" ht="12.75" customHeight="1" x14ac:dyDescent="0.3">
      <c r="A13" s="3" t="s">
        <v>1476</v>
      </c>
      <c r="B13" s="3"/>
      <c r="C13" s="46"/>
      <c r="D13" s="34"/>
      <c r="E13" s="34"/>
      <c r="F13" s="104"/>
      <c r="G13" s="104"/>
      <c r="H13" s="104"/>
      <c r="I13" s="110"/>
    </row>
    <row r="14" spans="1:13" ht="12.75" customHeight="1" x14ac:dyDescent="0.3">
      <c r="A14" s="6" t="s">
        <v>127</v>
      </c>
      <c r="B14" s="397">
        <v>1</v>
      </c>
      <c r="C14" s="278">
        <v>1</v>
      </c>
      <c r="D14" s="34" t="s">
        <v>113</v>
      </c>
      <c r="E14" s="60">
        <f>C14*sudan</f>
        <v>0</v>
      </c>
      <c r="F14" s="283">
        <f>5+(5*Data!$L$275)</f>
        <v>9.2009424436216776</v>
      </c>
      <c r="G14" s="114">
        <f>C14*F14</f>
        <v>9.2009424436216776</v>
      </c>
      <c r="H14" s="109">
        <f>B14*G14*sudan</f>
        <v>0</v>
      </c>
      <c r="I14" s="17"/>
      <c r="K14" s="17"/>
      <c r="L14" s="17"/>
      <c r="M14" s="17"/>
    </row>
    <row r="15" spans="1:13" ht="12.75" customHeight="1" x14ac:dyDescent="0.3">
      <c r="A15" s="3" t="s">
        <v>14</v>
      </c>
      <c r="B15" s="3"/>
      <c r="C15" s="46"/>
      <c r="D15" s="34"/>
      <c r="E15" s="34"/>
      <c r="F15" s="104"/>
      <c r="G15" s="104"/>
      <c r="H15" s="104"/>
      <c r="I15" s="110"/>
      <c r="K15" s="17"/>
      <c r="L15" s="17"/>
      <c r="M15" s="17"/>
    </row>
    <row r="16" spans="1:13" ht="12.75" customHeight="1" x14ac:dyDescent="0.3">
      <c r="A16" s="22" t="s">
        <v>332</v>
      </c>
      <c r="B16" s="22"/>
      <c r="C16" s="46"/>
      <c r="D16" s="34"/>
      <c r="E16" s="34"/>
      <c r="F16" s="167"/>
      <c r="G16" s="104"/>
      <c r="H16" s="104"/>
      <c r="I16" s="110"/>
      <c r="J16" s="17"/>
      <c r="K16" s="17"/>
      <c r="L16" s="17"/>
      <c r="M16" s="17"/>
    </row>
    <row r="17" spans="1:13" ht="12.75" customHeight="1" x14ac:dyDescent="0.3">
      <c r="A17" s="6" t="s">
        <v>484</v>
      </c>
      <c r="B17" s="397">
        <v>1</v>
      </c>
      <c r="C17" s="156">
        <f>Data!H580</f>
        <v>0.11764705882352941</v>
      </c>
      <c r="D17" s="34" t="s">
        <v>128</v>
      </c>
      <c r="E17" s="60">
        <f t="shared" ref="E17:E25" si="0">C17*sudan</f>
        <v>0</v>
      </c>
      <c r="F17" s="167">
        <f>_wage_</f>
        <v>12.29</v>
      </c>
      <c r="G17" s="114">
        <f t="shared" ref="G17:G27" si="1">C17*F17</f>
        <v>1.4458823529411764</v>
      </c>
      <c r="H17" s="109">
        <f t="shared" ref="H17:H25" si="2">B17*G17*sudan</f>
        <v>0</v>
      </c>
      <c r="I17" s="17"/>
      <c r="J17" s="17"/>
      <c r="K17" s="17"/>
      <c r="L17" s="17"/>
      <c r="M17" s="17"/>
    </row>
    <row r="18" spans="1:13" ht="12.75" customHeight="1" x14ac:dyDescent="0.3">
      <c r="A18" s="6" t="s">
        <v>485</v>
      </c>
      <c r="B18" s="397">
        <v>1</v>
      </c>
      <c r="C18" s="156">
        <f>Data!H581-0.04</f>
        <v>4.1833060556464803E-2</v>
      </c>
      <c r="D18" s="34" t="s">
        <v>128</v>
      </c>
      <c r="E18" s="60">
        <f t="shared" si="0"/>
        <v>0</v>
      </c>
      <c r="F18" s="167">
        <f t="shared" ref="F18:F27" si="3">_wage_</f>
        <v>12.29</v>
      </c>
      <c r="G18" s="114">
        <f t="shared" si="1"/>
        <v>0.51412831423895244</v>
      </c>
      <c r="H18" s="109">
        <f t="shared" si="2"/>
        <v>0</v>
      </c>
      <c r="I18" s="17"/>
      <c r="J18" s="17"/>
      <c r="K18" s="55"/>
      <c r="L18" s="55"/>
      <c r="M18" s="17"/>
    </row>
    <row r="19" spans="1:13" ht="12.75" customHeight="1" x14ac:dyDescent="0.3">
      <c r="A19" s="22" t="s">
        <v>468</v>
      </c>
      <c r="B19" s="397">
        <v>1</v>
      </c>
      <c r="C19" s="273">
        <v>0</v>
      </c>
      <c r="D19" s="34" t="s">
        <v>128</v>
      </c>
      <c r="E19" s="60">
        <f t="shared" si="0"/>
        <v>0</v>
      </c>
      <c r="F19" s="167">
        <f t="shared" si="3"/>
        <v>12.29</v>
      </c>
      <c r="G19" s="110">
        <f t="shared" si="1"/>
        <v>0</v>
      </c>
      <c r="H19" s="109">
        <f t="shared" si="2"/>
        <v>0</v>
      </c>
      <c r="I19" s="17"/>
      <c r="J19" s="17"/>
      <c r="K19" s="55"/>
      <c r="L19" s="55"/>
      <c r="M19" s="17"/>
    </row>
    <row r="20" spans="1:13" ht="12.75" customHeight="1" x14ac:dyDescent="0.3">
      <c r="A20" s="22" t="s">
        <v>315</v>
      </c>
      <c r="B20" s="397">
        <v>1</v>
      </c>
      <c r="C20" s="156">
        <f>Data!H582</f>
        <v>0.48</v>
      </c>
      <c r="D20" s="34" t="s">
        <v>128</v>
      </c>
      <c r="E20" s="60">
        <f t="shared" si="0"/>
        <v>0</v>
      </c>
      <c r="F20" s="167">
        <f t="shared" si="3"/>
        <v>12.29</v>
      </c>
      <c r="G20" s="114">
        <f t="shared" si="1"/>
        <v>5.8991999999999996</v>
      </c>
      <c r="H20" s="109">
        <f t="shared" si="2"/>
        <v>0</v>
      </c>
      <c r="I20" s="17"/>
      <c r="J20" s="17"/>
      <c r="K20" s="55"/>
      <c r="L20" s="55"/>
      <c r="M20" s="17"/>
    </row>
    <row r="21" spans="1:13" ht="12.75" customHeight="1" x14ac:dyDescent="0.3">
      <c r="A21" s="22" t="s">
        <v>581</v>
      </c>
      <c r="B21" s="397">
        <v>1</v>
      </c>
      <c r="C21" s="156">
        <f>Data!H583</f>
        <v>9.2929292929292931E-2</v>
      </c>
      <c r="D21" s="34" t="s">
        <v>128</v>
      </c>
      <c r="E21" s="60">
        <f t="shared" si="0"/>
        <v>0</v>
      </c>
      <c r="F21" s="167">
        <f t="shared" si="3"/>
        <v>12.29</v>
      </c>
      <c r="G21" s="114">
        <f t="shared" si="1"/>
        <v>1.1421010101010101</v>
      </c>
      <c r="H21" s="109">
        <f t="shared" si="2"/>
        <v>0</v>
      </c>
      <c r="I21" s="17"/>
      <c r="J21" s="17"/>
      <c r="K21" s="55"/>
      <c r="L21" s="55"/>
      <c r="M21" s="17"/>
    </row>
    <row r="22" spans="1:13" ht="12.75" customHeight="1" x14ac:dyDescent="0.3">
      <c r="A22" s="22" t="s">
        <v>333</v>
      </c>
      <c r="B22" s="397">
        <v>1</v>
      </c>
      <c r="C22" s="156">
        <f>Data!H590</f>
        <v>9.3418583878132913E-2</v>
      </c>
      <c r="D22" s="34" t="s">
        <v>128</v>
      </c>
      <c r="E22" s="60">
        <f t="shared" si="0"/>
        <v>0</v>
      </c>
      <c r="F22" s="167">
        <f t="shared" si="3"/>
        <v>12.29</v>
      </c>
      <c r="G22" s="114">
        <f t="shared" si="1"/>
        <v>1.1481143958622535</v>
      </c>
      <c r="H22" s="109">
        <f t="shared" si="2"/>
        <v>0</v>
      </c>
      <c r="I22" s="17"/>
      <c r="J22" s="17"/>
      <c r="K22" s="17"/>
      <c r="L22" s="17"/>
      <c r="M22" s="17"/>
    </row>
    <row r="23" spans="1:13" ht="12.75" customHeight="1" x14ac:dyDescent="0.3">
      <c r="A23" s="22" t="s">
        <v>334</v>
      </c>
      <c r="B23" s="397">
        <v>1</v>
      </c>
      <c r="C23" s="156">
        <f>Data!H594</f>
        <v>9.4250706880301613E-2</v>
      </c>
      <c r="D23" s="34" t="s">
        <v>128</v>
      </c>
      <c r="E23" s="60">
        <f t="shared" si="0"/>
        <v>0</v>
      </c>
      <c r="F23" s="167">
        <f t="shared" si="3"/>
        <v>12.29</v>
      </c>
      <c r="G23" s="114">
        <f t="shared" si="1"/>
        <v>1.1583411875589067</v>
      </c>
      <c r="H23" s="109">
        <f t="shared" si="2"/>
        <v>0</v>
      </c>
      <c r="I23" s="17"/>
      <c r="J23" s="17"/>
      <c r="K23" s="17"/>
      <c r="L23" s="17"/>
      <c r="M23" s="17"/>
    </row>
    <row r="24" spans="1:13" ht="12.75" customHeight="1" x14ac:dyDescent="0.3">
      <c r="A24" s="22" t="s">
        <v>304</v>
      </c>
      <c r="B24" s="397">
        <v>1</v>
      </c>
      <c r="C24" s="156">
        <f>Data!H599</f>
        <v>0.11851851851851852</v>
      </c>
      <c r="D24" s="34" t="s">
        <v>128</v>
      </c>
      <c r="E24" s="60">
        <f t="shared" si="0"/>
        <v>0</v>
      </c>
      <c r="F24" s="167">
        <f t="shared" si="3"/>
        <v>12.29</v>
      </c>
      <c r="G24" s="114">
        <f t="shared" si="1"/>
        <v>1.4565925925925924</v>
      </c>
      <c r="H24" s="109">
        <f t="shared" si="2"/>
        <v>0</v>
      </c>
      <c r="I24" s="17"/>
      <c r="J24" s="17"/>
      <c r="K24" s="55"/>
      <c r="L24" s="55"/>
      <c r="M24" s="17"/>
    </row>
    <row r="25" spans="1:13" ht="12.75" customHeight="1" x14ac:dyDescent="0.3">
      <c r="A25" s="22" t="s">
        <v>479</v>
      </c>
      <c r="B25" s="397">
        <v>1</v>
      </c>
      <c r="C25" s="235">
        <f>Data!H699</f>
        <v>0.34502898559647505</v>
      </c>
      <c r="D25" s="34" t="s">
        <v>128</v>
      </c>
      <c r="E25" s="60">
        <f t="shared" si="0"/>
        <v>0</v>
      </c>
      <c r="F25" s="167">
        <f t="shared" si="3"/>
        <v>12.29</v>
      </c>
      <c r="G25" s="114">
        <f t="shared" si="1"/>
        <v>4.2404062329806784</v>
      </c>
      <c r="H25" s="109">
        <f t="shared" si="2"/>
        <v>0</v>
      </c>
      <c r="I25" s="110"/>
      <c r="J25" s="17"/>
      <c r="K25" s="55"/>
      <c r="L25" s="24"/>
      <c r="M25" s="81"/>
    </row>
    <row r="26" spans="1:13" ht="12.75" customHeight="1" x14ac:dyDescent="0.3">
      <c r="A26" s="22" t="s">
        <v>337</v>
      </c>
      <c r="B26" s="22"/>
      <c r="C26" s="230"/>
      <c r="D26" s="34"/>
      <c r="E26" s="34"/>
      <c r="F26" s="167"/>
      <c r="G26" s="104"/>
      <c r="H26" s="104"/>
      <c r="I26" s="110"/>
      <c r="J26" s="17"/>
      <c r="K26" s="55"/>
      <c r="L26" s="24"/>
      <c r="M26" s="81"/>
    </row>
    <row r="27" spans="1:13" ht="12.75" customHeight="1" x14ac:dyDescent="0.3">
      <c r="A27" s="6" t="s">
        <v>321</v>
      </c>
      <c r="B27" s="397">
        <v>1</v>
      </c>
      <c r="C27" s="273">
        <v>0</v>
      </c>
      <c r="D27" s="34" t="s">
        <v>128</v>
      </c>
      <c r="E27" s="60">
        <f>C27*sudan</f>
        <v>0</v>
      </c>
      <c r="F27" s="167">
        <f t="shared" si="3"/>
        <v>12.29</v>
      </c>
      <c r="G27" s="110">
        <f t="shared" si="1"/>
        <v>0</v>
      </c>
      <c r="H27" s="109">
        <f>B27*G27*sudan</f>
        <v>0</v>
      </c>
      <c r="I27" s="110">
        <f>SUM(H17:H27)</f>
        <v>0</v>
      </c>
      <c r="J27" s="17"/>
      <c r="K27" s="55"/>
      <c r="L27" s="81"/>
      <c r="M27" s="81"/>
    </row>
    <row r="28" spans="1:13" ht="12.75" customHeight="1" x14ac:dyDescent="0.3">
      <c r="A28" s="3" t="s">
        <v>66</v>
      </c>
      <c r="B28" s="3"/>
      <c r="C28" s="46"/>
      <c r="D28" s="34"/>
      <c r="E28" s="34"/>
      <c r="F28" s="167"/>
      <c r="G28" s="114"/>
      <c r="H28" s="109"/>
      <c r="I28" s="137"/>
      <c r="J28" s="93"/>
      <c r="K28" s="17"/>
      <c r="L28" s="81"/>
      <c r="M28" s="81"/>
    </row>
    <row r="29" spans="1:13" ht="12.75" customHeight="1" x14ac:dyDescent="0.3">
      <c r="A29" s="22" t="s">
        <v>332</v>
      </c>
      <c r="B29" s="22"/>
      <c r="C29" s="46"/>
      <c r="D29" s="34"/>
      <c r="E29" s="34"/>
      <c r="F29" s="167"/>
      <c r="G29" s="114"/>
      <c r="H29" s="109"/>
      <c r="I29" s="139"/>
      <c r="J29" s="93"/>
      <c r="K29" s="17"/>
      <c r="L29" s="27"/>
      <c r="M29" s="27"/>
    </row>
    <row r="30" spans="1:13" ht="12.75" customHeight="1" x14ac:dyDescent="0.3">
      <c r="A30" s="6" t="s">
        <v>484</v>
      </c>
      <c r="B30" s="405">
        <f>B17</f>
        <v>1</v>
      </c>
      <c r="C30" s="156">
        <f>Data!R580</f>
        <v>0.64</v>
      </c>
      <c r="D30" s="34" t="s">
        <v>117</v>
      </c>
      <c r="E30" s="60">
        <f t="shared" ref="E30:E38" si="4">C30*sudan</f>
        <v>0</v>
      </c>
      <c r="F30" s="167">
        <f>diesel_fuel</f>
        <v>2.56</v>
      </c>
      <c r="G30" s="114">
        <f t="shared" ref="G30:G38" si="5">C30*F30</f>
        <v>1.6384000000000001</v>
      </c>
      <c r="H30" s="109">
        <f t="shared" ref="H30:H38" si="6">B30*G30*sudan</f>
        <v>0</v>
      </c>
      <c r="I30" s="17"/>
      <c r="J30" s="17"/>
      <c r="K30" s="17"/>
      <c r="L30" s="17"/>
      <c r="M30" s="17"/>
    </row>
    <row r="31" spans="1:13" ht="12.75" customHeight="1" x14ac:dyDescent="0.3">
      <c r="A31" s="6" t="s">
        <v>485</v>
      </c>
      <c r="B31" s="405">
        <f t="shared" ref="B31:B38" si="7">B18</f>
        <v>1</v>
      </c>
      <c r="C31" s="156">
        <f>Data!R581</f>
        <v>0.74</v>
      </c>
      <c r="D31" s="34" t="s">
        <v>117</v>
      </c>
      <c r="E31" s="60">
        <f t="shared" si="4"/>
        <v>0</v>
      </c>
      <c r="F31" s="167">
        <f t="shared" ref="F31:F40" si="8">diesel_fuel</f>
        <v>2.56</v>
      </c>
      <c r="G31" s="114">
        <f t="shared" si="5"/>
        <v>1.8944000000000001</v>
      </c>
      <c r="H31" s="109">
        <f t="shared" si="6"/>
        <v>0</v>
      </c>
      <c r="I31" s="17"/>
      <c r="J31" s="17"/>
      <c r="K31" s="17"/>
      <c r="L31" s="17"/>
      <c r="M31" s="17"/>
    </row>
    <row r="32" spans="1:13" ht="12.75" customHeight="1" x14ac:dyDescent="0.3">
      <c r="A32" s="22" t="s">
        <v>468</v>
      </c>
      <c r="B32" s="405">
        <f t="shared" si="7"/>
        <v>1</v>
      </c>
      <c r="C32" s="273">
        <v>0</v>
      </c>
      <c r="D32" s="34" t="s">
        <v>117</v>
      </c>
      <c r="E32" s="60">
        <f t="shared" si="4"/>
        <v>0</v>
      </c>
      <c r="F32" s="167">
        <f t="shared" si="8"/>
        <v>2.56</v>
      </c>
      <c r="G32" s="110">
        <f t="shared" si="5"/>
        <v>0</v>
      </c>
      <c r="H32" s="109">
        <f t="shared" si="6"/>
        <v>0</v>
      </c>
      <c r="I32" s="17"/>
      <c r="J32" s="17"/>
      <c r="K32" s="17"/>
      <c r="L32" s="17"/>
      <c r="M32" s="17"/>
    </row>
    <row r="33" spans="1:13" ht="12.75" customHeight="1" x14ac:dyDescent="0.3">
      <c r="A33" s="22" t="s">
        <v>315</v>
      </c>
      <c r="B33" s="405">
        <f t="shared" si="7"/>
        <v>1</v>
      </c>
      <c r="C33" s="156">
        <f>Data!R582</f>
        <v>0.2</v>
      </c>
      <c r="D33" s="34" t="s">
        <v>117</v>
      </c>
      <c r="E33" s="60">
        <f t="shared" si="4"/>
        <v>0</v>
      </c>
      <c r="F33" s="167">
        <f t="shared" si="8"/>
        <v>2.56</v>
      </c>
      <c r="G33" s="114">
        <f t="shared" si="5"/>
        <v>0.51200000000000001</v>
      </c>
      <c r="H33" s="109">
        <f t="shared" si="6"/>
        <v>0</v>
      </c>
      <c r="I33" s="17"/>
      <c r="J33" s="17"/>
      <c r="K33" s="17"/>
      <c r="L33" s="17"/>
      <c r="M33" s="17"/>
    </row>
    <row r="34" spans="1:13" ht="12.75" customHeight="1" x14ac:dyDescent="0.3">
      <c r="A34" s="22" t="s">
        <v>581</v>
      </c>
      <c r="B34" s="405">
        <f t="shared" si="7"/>
        <v>1</v>
      </c>
      <c r="C34" s="156">
        <f>Data!R583</f>
        <v>0.13183670241332501</v>
      </c>
      <c r="D34" s="34" t="s">
        <v>117</v>
      </c>
      <c r="E34" s="60">
        <f t="shared" si="4"/>
        <v>0</v>
      </c>
      <c r="F34" s="167">
        <f t="shared" si="8"/>
        <v>2.56</v>
      </c>
      <c r="G34" s="114">
        <f t="shared" si="5"/>
        <v>0.33750195817811202</v>
      </c>
      <c r="H34" s="109">
        <f t="shared" si="6"/>
        <v>0</v>
      </c>
      <c r="I34" s="17"/>
      <c r="J34" s="17"/>
      <c r="K34" s="17"/>
      <c r="L34" s="17"/>
      <c r="M34" s="17"/>
    </row>
    <row r="35" spans="1:13" ht="12.75" customHeight="1" x14ac:dyDescent="0.3">
      <c r="A35" s="22" t="s">
        <v>333</v>
      </c>
      <c r="B35" s="405">
        <f t="shared" si="7"/>
        <v>1</v>
      </c>
      <c r="C35" s="156">
        <f>Data!R590</f>
        <v>0.83039215686274503</v>
      </c>
      <c r="D35" s="34" t="s">
        <v>117</v>
      </c>
      <c r="E35" s="60">
        <f t="shared" si="4"/>
        <v>0</v>
      </c>
      <c r="F35" s="167">
        <f t="shared" si="8"/>
        <v>2.56</v>
      </c>
      <c r="G35" s="114">
        <f t="shared" si="5"/>
        <v>2.1258039215686275</v>
      </c>
      <c r="H35" s="109">
        <f t="shared" si="6"/>
        <v>0</v>
      </c>
      <c r="I35" s="17"/>
      <c r="J35" s="17"/>
      <c r="K35" s="17"/>
      <c r="L35" s="17"/>
      <c r="M35" s="17"/>
    </row>
    <row r="36" spans="1:13" ht="12.75" customHeight="1" x14ac:dyDescent="0.3">
      <c r="A36" s="22" t="s">
        <v>334</v>
      </c>
      <c r="B36" s="405">
        <f t="shared" si="7"/>
        <v>1</v>
      </c>
      <c r="C36" s="156">
        <f>Data!R594</f>
        <v>0.61</v>
      </c>
      <c r="D36" s="34" t="s">
        <v>117</v>
      </c>
      <c r="E36" s="60">
        <f t="shared" si="4"/>
        <v>0</v>
      </c>
      <c r="F36" s="167">
        <f t="shared" si="8"/>
        <v>2.56</v>
      </c>
      <c r="G36" s="114">
        <f t="shared" si="5"/>
        <v>1.5616000000000001</v>
      </c>
      <c r="H36" s="109">
        <f t="shared" si="6"/>
        <v>0</v>
      </c>
      <c r="I36" s="17"/>
      <c r="J36" s="17"/>
      <c r="K36" s="17"/>
      <c r="L36" s="17"/>
      <c r="M36" s="17"/>
    </row>
    <row r="37" spans="1:13" ht="12.75" customHeight="1" x14ac:dyDescent="0.3">
      <c r="A37" s="22" t="s">
        <v>469</v>
      </c>
      <c r="B37" s="405">
        <f t="shared" si="7"/>
        <v>1</v>
      </c>
      <c r="C37" s="156">
        <f>Data!R599</f>
        <v>0.11981642612033799</v>
      </c>
      <c r="D37" s="34" t="s">
        <v>117</v>
      </c>
      <c r="E37" s="60">
        <f t="shared" si="4"/>
        <v>0</v>
      </c>
      <c r="F37" s="167">
        <f t="shared" si="8"/>
        <v>2.56</v>
      </c>
      <c r="G37" s="114">
        <f t="shared" si="5"/>
        <v>0.30673005086806526</v>
      </c>
      <c r="H37" s="109">
        <f t="shared" si="6"/>
        <v>0</v>
      </c>
      <c r="I37" s="17"/>
      <c r="J37" s="17"/>
      <c r="K37" s="17"/>
      <c r="L37" s="17"/>
      <c r="M37" s="17"/>
    </row>
    <row r="38" spans="1:13" ht="12.75" customHeight="1" x14ac:dyDescent="0.3">
      <c r="A38" s="22" t="s">
        <v>479</v>
      </c>
      <c r="B38" s="405">
        <f t="shared" si="7"/>
        <v>1</v>
      </c>
      <c r="C38" s="156">
        <f>Data!R699</f>
        <v>1.2877668845315899</v>
      </c>
      <c r="D38" s="34" t="s">
        <v>117</v>
      </c>
      <c r="E38" s="60">
        <f t="shared" si="4"/>
        <v>0</v>
      </c>
      <c r="F38" s="167">
        <f t="shared" si="8"/>
        <v>2.56</v>
      </c>
      <c r="G38" s="114">
        <f t="shared" si="5"/>
        <v>3.2966832244008701</v>
      </c>
      <c r="H38" s="109">
        <f t="shared" si="6"/>
        <v>0</v>
      </c>
      <c r="I38" s="110"/>
      <c r="J38" s="17"/>
      <c r="K38" s="55"/>
      <c r="L38" s="81"/>
      <c r="M38" s="81"/>
    </row>
    <row r="39" spans="1:13" ht="12.75" customHeight="1" x14ac:dyDescent="0.3">
      <c r="A39" s="22" t="s">
        <v>337</v>
      </c>
      <c r="B39" s="46"/>
      <c r="C39" s="46"/>
      <c r="D39" s="34"/>
      <c r="E39" s="34"/>
      <c r="F39" s="167"/>
      <c r="G39" s="114"/>
      <c r="H39" s="109"/>
      <c r="I39" s="110"/>
      <c r="J39" s="17"/>
      <c r="K39" s="55"/>
      <c r="L39" s="81"/>
      <c r="M39" s="81"/>
    </row>
    <row r="40" spans="1:13" ht="12.75" customHeight="1" x14ac:dyDescent="0.3">
      <c r="A40" s="6" t="s">
        <v>314</v>
      </c>
      <c r="B40" s="397">
        <v>1</v>
      </c>
      <c r="C40" s="273">
        <v>0</v>
      </c>
      <c r="D40" s="34" t="s">
        <v>116</v>
      </c>
      <c r="E40" s="60">
        <f>C40*sudan</f>
        <v>0</v>
      </c>
      <c r="F40" s="167">
        <f t="shared" si="8"/>
        <v>2.56</v>
      </c>
      <c r="G40" s="110">
        <f>C40*F40</f>
        <v>0</v>
      </c>
      <c r="H40" s="109">
        <f>B40*G40*sudan</f>
        <v>0</v>
      </c>
      <c r="I40" s="124"/>
      <c r="J40" s="17"/>
      <c r="K40" s="17"/>
      <c r="L40" s="24"/>
      <c r="M40" s="24"/>
    </row>
    <row r="41" spans="1:13" ht="12.75" customHeight="1" x14ac:dyDescent="0.3">
      <c r="A41" s="3" t="s">
        <v>20</v>
      </c>
      <c r="B41" s="397">
        <v>1</v>
      </c>
      <c r="C41" s="46" t="s">
        <v>45</v>
      </c>
      <c r="D41" s="34" t="s">
        <v>45</v>
      </c>
      <c r="E41" s="34" t="s">
        <v>45</v>
      </c>
      <c r="F41" s="55" t="s">
        <v>45</v>
      </c>
      <c r="G41" s="114" t="e">
        <f>H41/sudan</f>
        <v>#DIV/0!</v>
      </c>
      <c r="H41" s="109">
        <f>B41*lube*SUM(H29:H40)</f>
        <v>0</v>
      </c>
      <c r="I41" s="110">
        <f>SUM(H30:H41)</f>
        <v>0</v>
      </c>
      <c r="J41" s="17"/>
      <c r="K41" s="17"/>
      <c r="L41" s="17"/>
      <c r="M41" s="17"/>
    </row>
    <row r="42" spans="1:13" ht="12.75" customHeight="1" x14ac:dyDescent="0.3">
      <c r="A42" s="3" t="s">
        <v>67</v>
      </c>
      <c r="B42" s="397">
        <v>1</v>
      </c>
      <c r="C42" s="46" t="s">
        <v>45</v>
      </c>
      <c r="D42" s="34" t="s">
        <v>45</v>
      </c>
      <c r="E42" s="34" t="s">
        <v>45</v>
      </c>
      <c r="F42" s="55" t="s">
        <v>45</v>
      </c>
      <c r="G42" s="114" t="e">
        <f>H42/sudan</f>
        <v>#DIV/0!</v>
      </c>
      <c r="H42" s="109">
        <f>B42*SudOwnC!J42*Data!D22</f>
        <v>0</v>
      </c>
      <c r="I42" s="110"/>
      <c r="J42" s="17"/>
      <c r="K42" s="55"/>
      <c r="L42" s="24"/>
      <c r="M42" s="81"/>
    </row>
    <row r="43" spans="1:13" ht="12.75" customHeight="1" x14ac:dyDescent="0.3">
      <c r="A43" s="3"/>
      <c r="B43" s="397">
        <v>1</v>
      </c>
      <c r="C43" s="46" t="s">
        <v>45</v>
      </c>
      <c r="D43" s="34" t="s">
        <v>45</v>
      </c>
      <c r="E43" s="34" t="s">
        <v>45</v>
      </c>
      <c r="F43" s="55" t="s">
        <v>45</v>
      </c>
      <c r="G43" s="272">
        <f>0</f>
        <v>0</v>
      </c>
      <c r="H43" s="109">
        <f>B43*G43*sudan</f>
        <v>0</v>
      </c>
      <c r="I43" s="110"/>
      <c r="J43" s="17"/>
      <c r="K43" s="55"/>
      <c r="L43" s="81"/>
      <c r="M43" s="81"/>
    </row>
    <row r="44" spans="1:13" ht="12.75" customHeight="1" x14ac:dyDescent="0.3">
      <c r="A44" s="3" t="s">
        <v>170</v>
      </c>
      <c r="B44" s="397">
        <v>1</v>
      </c>
      <c r="C44" s="46" t="s">
        <v>45</v>
      </c>
      <c r="D44" s="34" t="s">
        <v>45</v>
      </c>
      <c r="E44" s="34" t="s">
        <v>45</v>
      </c>
      <c r="F44" s="55" t="s">
        <v>45</v>
      </c>
      <c r="G44" s="114">
        <f>supplies</f>
        <v>0</v>
      </c>
      <c r="H44" s="109">
        <f>B44*G44*sudan</f>
        <v>0</v>
      </c>
      <c r="I44" s="110"/>
      <c r="J44" s="17"/>
      <c r="K44" s="17"/>
      <c r="L44" s="81"/>
      <c r="M44" s="81"/>
    </row>
    <row r="45" spans="1:13" ht="12.75" customHeight="1" x14ac:dyDescent="0.3">
      <c r="A45" s="3" t="s">
        <v>75</v>
      </c>
      <c r="B45" s="397">
        <v>1</v>
      </c>
      <c r="C45" s="46" t="s">
        <v>45</v>
      </c>
      <c r="D45" s="34" t="s">
        <v>45</v>
      </c>
      <c r="E45" s="34" t="s">
        <v>45</v>
      </c>
      <c r="F45" s="55" t="s">
        <v>45</v>
      </c>
      <c r="G45" s="114">
        <f>100/300</f>
        <v>0.33333333333333331</v>
      </c>
      <c r="H45" s="109">
        <f>B45*G45*sudan</f>
        <v>0</v>
      </c>
      <c r="I45" s="110"/>
    </row>
    <row r="46" spans="1:13" ht="12.75" customHeight="1" x14ac:dyDescent="0.3">
      <c r="A46" s="3"/>
      <c r="B46" s="397">
        <v>1</v>
      </c>
      <c r="C46" s="46" t="s">
        <v>45</v>
      </c>
      <c r="D46" s="34" t="s">
        <v>45</v>
      </c>
      <c r="E46" s="34" t="s">
        <v>45</v>
      </c>
      <c r="F46" s="55" t="s">
        <v>45</v>
      </c>
      <c r="G46" s="272">
        <f>0</f>
        <v>0</v>
      </c>
      <c r="H46" s="109">
        <f>B46*G46*sudan</f>
        <v>0</v>
      </c>
      <c r="I46" s="110"/>
    </row>
    <row r="47" spans="1:13" ht="12.75" customHeight="1" x14ac:dyDescent="0.3">
      <c r="A47" s="69" t="s">
        <v>173</v>
      </c>
      <c r="B47" s="69"/>
      <c r="C47" s="46"/>
      <c r="D47" s="34"/>
      <c r="E47" s="34"/>
      <c r="F47" s="114"/>
      <c r="G47" s="114"/>
      <c r="H47" s="109"/>
      <c r="I47" s="110"/>
    </row>
    <row r="48" spans="1:13" ht="12.75" customHeight="1" x14ac:dyDescent="0.3">
      <c r="A48" s="70" t="s">
        <v>175</v>
      </c>
      <c r="B48" s="397">
        <v>1</v>
      </c>
      <c r="C48" s="46" t="s">
        <v>45</v>
      </c>
      <c r="D48" s="34" t="s">
        <v>45</v>
      </c>
      <c r="E48" s="34" t="s">
        <v>45</v>
      </c>
      <c r="F48" s="55" t="s">
        <v>45</v>
      </c>
      <c r="G48" s="676">
        <f>Data!$F$69</f>
        <v>12</v>
      </c>
      <c r="H48" s="109">
        <f>B48*G48*sudan</f>
        <v>0</v>
      </c>
      <c r="I48" s="110"/>
    </row>
    <row r="49" spans="1:9" ht="12.75" customHeight="1" x14ac:dyDescent="0.3">
      <c r="A49" s="70" t="s">
        <v>176</v>
      </c>
      <c r="B49" s="397">
        <v>1</v>
      </c>
      <c r="C49" s="46" t="s">
        <v>45</v>
      </c>
      <c r="D49" s="34" t="s">
        <v>45</v>
      </c>
      <c r="E49" s="34" t="s">
        <v>45</v>
      </c>
      <c r="F49" s="55" t="s">
        <v>45</v>
      </c>
      <c r="G49" s="272">
        <f>0</f>
        <v>0</v>
      </c>
      <c r="H49" s="109">
        <f>B49*G49*sudan</f>
        <v>0</v>
      </c>
      <c r="I49" s="110"/>
    </row>
    <row r="50" spans="1:9" ht="12.75" customHeight="1" x14ac:dyDescent="0.3">
      <c r="A50" s="70" t="s">
        <v>177</v>
      </c>
      <c r="B50" s="70"/>
      <c r="C50" s="46"/>
      <c r="D50" s="34"/>
      <c r="E50" s="34"/>
      <c r="F50" s="110"/>
      <c r="G50" s="110"/>
      <c r="H50" s="110"/>
      <c r="I50" s="110"/>
    </row>
    <row r="51" spans="1:9" ht="12.75" customHeight="1" x14ac:dyDescent="0.3">
      <c r="A51" s="22" t="s">
        <v>174</v>
      </c>
      <c r="B51" s="397">
        <v>1</v>
      </c>
      <c r="C51" s="34" t="s">
        <v>45</v>
      </c>
      <c r="D51" s="34" t="s">
        <v>81</v>
      </c>
      <c r="E51" s="34" t="s">
        <v>45</v>
      </c>
      <c r="F51" s="110">
        <f>Data!D61</f>
        <v>50</v>
      </c>
      <c r="G51" s="114" t="e">
        <f>H51/sudan</f>
        <v>#DIV/0!</v>
      </c>
      <c r="H51" s="110">
        <f>B51*F51*sudan*Data!E57*Data!D22</f>
        <v>0</v>
      </c>
      <c r="I51" s="110"/>
    </row>
    <row r="52" spans="1:9" ht="12.75" customHeight="1" x14ac:dyDescent="0.3">
      <c r="A52" s="22" t="s">
        <v>224</v>
      </c>
      <c r="B52" s="397">
        <v>1</v>
      </c>
      <c r="C52" s="34" t="s">
        <v>45</v>
      </c>
      <c r="D52" s="34" t="s">
        <v>225</v>
      </c>
      <c r="E52" s="34" t="s">
        <v>45</v>
      </c>
      <c r="F52" s="55" t="s">
        <v>45</v>
      </c>
      <c r="G52" s="272">
        <v>0</v>
      </c>
      <c r="H52" s="109">
        <f t="shared" ref="H52:H57" si="9">B52*G52*sudan</f>
        <v>0</v>
      </c>
      <c r="I52" s="109"/>
    </row>
    <row r="53" spans="1:9" ht="12.75" customHeight="1" x14ac:dyDescent="0.3">
      <c r="A53" s="70" t="s">
        <v>178</v>
      </c>
      <c r="B53" s="397">
        <v>1</v>
      </c>
      <c r="C53" s="46" t="s">
        <v>45</v>
      </c>
      <c r="D53" s="34" t="s">
        <v>45</v>
      </c>
      <c r="E53" s="34" t="s">
        <v>45</v>
      </c>
      <c r="F53" s="55" t="s">
        <v>45</v>
      </c>
      <c r="G53" s="272">
        <f>0</f>
        <v>0</v>
      </c>
      <c r="H53" s="109">
        <f t="shared" si="9"/>
        <v>0</v>
      </c>
      <c r="I53" s="109"/>
    </row>
    <row r="54" spans="1:9" ht="12.75" customHeight="1" x14ac:dyDescent="0.3">
      <c r="A54" s="70" t="s">
        <v>179</v>
      </c>
      <c r="B54" s="397">
        <v>1</v>
      </c>
      <c r="C54" s="46" t="s">
        <v>45</v>
      </c>
      <c r="D54" s="34" t="s">
        <v>45</v>
      </c>
      <c r="E54" s="34" t="s">
        <v>45</v>
      </c>
      <c r="F54" s="55" t="s">
        <v>45</v>
      </c>
      <c r="G54" s="272">
        <f>0</f>
        <v>0</v>
      </c>
      <c r="H54" s="109">
        <f t="shared" si="9"/>
        <v>0</v>
      </c>
      <c r="I54" s="109"/>
    </row>
    <row r="55" spans="1:9" ht="12.75" customHeight="1" x14ac:dyDescent="0.3">
      <c r="A55" s="70" t="s">
        <v>180</v>
      </c>
      <c r="B55" s="397">
        <v>1</v>
      </c>
      <c r="C55" s="75" t="s">
        <v>45</v>
      </c>
      <c r="D55" s="75" t="s">
        <v>45</v>
      </c>
      <c r="E55" s="34" t="s">
        <v>45</v>
      </c>
      <c r="F55" s="55" t="s">
        <v>45</v>
      </c>
      <c r="G55" s="114">
        <f>othexp</f>
        <v>0</v>
      </c>
      <c r="H55" s="109">
        <f t="shared" si="9"/>
        <v>0</v>
      </c>
      <c r="I55" s="110"/>
    </row>
    <row r="56" spans="1:9" ht="12.75" customHeight="1" x14ac:dyDescent="0.3">
      <c r="A56" s="22" t="s">
        <v>181</v>
      </c>
      <c r="B56" s="397">
        <v>1</v>
      </c>
      <c r="C56" s="46" t="s">
        <v>45</v>
      </c>
      <c r="D56" s="75" t="s">
        <v>45</v>
      </c>
      <c r="E56" s="34" t="s">
        <v>45</v>
      </c>
      <c r="F56" s="55" t="s">
        <v>45</v>
      </c>
      <c r="G56" s="272">
        <v>0</v>
      </c>
      <c r="H56" s="109">
        <f t="shared" si="9"/>
        <v>0</v>
      </c>
      <c r="I56" s="110"/>
    </row>
    <row r="57" spans="1:9" ht="12.75" customHeight="1" x14ac:dyDescent="0.3">
      <c r="A57" s="3" t="s">
        <v>226</v>
      </c>
      <c r="B57" s="397">
        <v>1</v>
      </c>
      <c r="C57" s="46" t="s">
        <v>45</v>
      </c>
      <c r="D57" s="75" t="s">
        <v>45</v>
      </c>
      <c r="E57" s="34" t="s">
        <v>45</v>
      </c>
      <c r="F57" s="55" t="s">
        <v>45</v>
      </c>
      <c r="G57" s="272">
        <v>0</v>
      </c>
      <c r="H57" s="109">
        <f t="shared" si="9"/>
        <v>0</v>
      </c>
      <c r="I57" s="110"/>
    </row>
    <row r="58" spans="1:9" ht="12.75" customHeight="1" x14ac:dyDescent="0.3">
      <c r="A58" s="3" t="s">
        <v>73</v>
      </c>
      <c r="B58" s="3"/>
      <c r="C58" s="17"/>
      <c r="D58" s="17"/>
      <c r="E58" s="17"/>
      <c r="F58" s="114"/>
      <c r="G58" s="119" t="e">
        <f>SUM(G8:G57)</f>
        <v>#DIV/0!</v>
      </c>
      <c r="H58" s="125">
        <f>SUM(H8:H57)</f>
        <v>0</v>
      </c>
      <c r="I58" s="110"/>
    </row>
    <row r="59" spans="1:9" ht="12.75" customHeight="1" x14ac:dyDescent="0.3">
      <c r="A59" s="17"/>
      <c r="B59" s="17"/>
      <c r="C59" s="17"/>
      <c r="D59" s="17"/>
      <c r="E59" s="17"/>
      <c r="F59" s="114"/>
      <c r="G59" s="114"/>
      <c r="H59" s="109"/>
      <c r="I59" s="110"/>
    </row>
    <row r="60" spans="1:9" ht="52.75" customHeight="1" x14ac:dyDescent="0.3">
      <c r="A60" s="3" t="s">
        <v>69</v>
      </c>
      <c r="B60" s="3"/>
      <c r="C60" s="25" t="s">
        <v>70</v>
      </c>
      <c r="D60" s="25" t="s">
        <v>71</v>
      </c>
      <c r="E60" s="25"/>
      <c r="F60" s="114"/>
      <c r="G60" s="120" t="s">
        <v>1292</v>
      </c>
      <c r="H60" s="126" t="s">
        <v>72</v>
      </c>
      <c r="I60" s="110"/>
    </row>
    <row r="61" spans="1:9" ht="12.75" customHeight="1" x14ac:dyDescent="0.3">
      <c r="A61" s="3"/>
      <c r="B61" s="3"/>
      <c r="C61" s="35">
        <f>_int_oper_</f>
        <v>4.7341710603787002E-2</v>
      </c>
      <c r="D61" s="34">
        <f>Data!$B$48</f>
        <v>7</v>
      </c>
      <c r="E61" s="34"/>
      <c r="F61" s="114"/>
      <c r="G61" s="104" t="e">
        <f>H61/sudan</f>
        <v>#DIV/0!</v>
      </c>
      <c r="H61" s="109">
        <f>C61*(D61/12)*(H58)</f>
        <v>0</v>
      </c>
      <c r="I61" s="110"/>
    </row>
    <row r="62" spans="1:9" ht="12.75" customHeight="1" x14ac:dyDescent="0.3">
      <c r="A62" s="17"/>
      <c r="B62" s="17"/>
      <c r="C62" s="17"/>
      <c r="D62" s="17"/>
      <c r="E62" s="17"/>
      <c r="F62" s="114"/>
      <c r="G62" s="103"/>
      <c r="H62" s="127"/>
      <c r="I62" s="110"/>
    </row>
    <row r="63" spans="1:9" ht="12.75" customHeight="1" thickBot="1" x14ac:dyDescent="0.4">
      <c r="A63" s="1" t="s">
        <v>74</v>
      </c>
      <c r="B63" s="1"/>
      <c r="C63" s="17"/>
      <c r="D63" s="17"/>
      <c r="E63" s="17"/>
      <c r="F63" s="114"/>
      <c r="G63" s="121" t="e">
        <f>G58+G61</f>
        <v>#DIV/0!</v>
      </c>
      <c r="H63" s="128">
        <f>H58+H61</f>
        <v>0</v>
      </c>
      <c r="I63" s="110"/>
    </row>
    <row r="64" spans="1:9" ht="12.75" customHeight="1" thickTop="1" x14ac:dyDescent="0.3">
      <c r="A64" s="17"/>
      <c r="B64" s="17"/>
      <c r="C64" s="17"/>
      <c r="D64" s="17"/>
      <c r="E64" s="17"/>
      <c r="F64" s="34"/>
      <c r="G64" s="34"/>
      <c r="H64" s="49"/>
      <c r="I64" s="17"/>
    </row>
    <row r="65" spans="1:9" ht="12.75" customHeight="1" x14ac:dyDescent="0.3">
      <c r="A65" s="17"/>
      <c r="B65" s="17"/>
      <c r="C65" s="17"/>
      <c r="D65" s="17"/>
      <c r="E65" s="17"/>
      <c r="F65" s="34"/>
      <c r="G65" s="34"/>
      <c r="H65" s="49"/>
      <c r="I65" s="17"/>
    </row>
    <row r="66" spans="1:9" ht="12.75" customHeight="1" x14ac:dyDescent="0.3">
      <c r="A66" s="17"/>
      <c r="B66" s="17"/>
      <c r="C66" s="17"/>
      <c r="D66" s="17"/>
      <c r="E66" s="17"/>
      <c r="F66" s="34"/>
      <c r="G66" s="34"/>
      <c r="H66" s="49"/>
      <c r="I66" s="17"/>
    </row>
    <row r="67" spans="1:9" ht="12.75" customHeight="1" x14ac:dyDescent="0.3">
      <c r="A67" s="17"/>
      <c r="B67" s="17"/>
      <c r="C67" s="17"/>
      <c r="D67" s="17"/>
      <c r="E67" s="17"/>
      <c r="F67" s="34"/>
      <c r="G67" s="34"/>
      <c r="H67" s="49"/>
      <c r="I67" s="17"/>
    </row>
    <row r="68" spans="1:9" ht="12.75" customHeight="1" x14ac:dyDescent="0.3">
      <c r="A68" s="17"/>
      <c r="B68" s="17"/>
      <c r="C68" s="17"/>
      <c r="D68" s="17"/>
      <c r="E68" s="17"/>
      <c r="F68" s="34"/>
      <c r="G68" s="34"/>
      <c r="H68" s="49"/>
      <c r="I68" s="17"/>
    </row>
    <row r="69" spans="1:9" ht="12.75" customHeight="1" x14ac:dyDescent="0.3">
      <c r="A69" s="17"/>
      <c r="B69" s="17"/>
      <c r="C69" s="17"/>
      <c r="D69" s="17"/>
      <c r="E69" s="17"/>
      <c r="F69" s="34"/>
      <c r="G69" s="34"/>
      <c r="H69" s="49"/>
      <c r="I69" s="17"/>
    </row>
    <row r="70" spans="1:9" ht="12.75" customHeight="1" x14ac:dyDescent="0.3">
      <c r="A70" s="17"/>
      <c r="B70" s="17"/>
      <c r="C70" s="17"/>
      <c r="D70" s="17"/>
      <c r="E70" s="17"/>
      <c r="F70" s="34"/>
      <c r="G70" s="34"/>
      <c r="H70" s="49"/>
      <c r="I70" s="17"/>
    </row>
    <row r="71" spans="1:9" ht="12.75" customHeight="1" x14ac:dyDescent="0.3">
      <c r="A71" s="17"/>
      <c r="B71" s="17"/>
      <c r="C71" s="17"/>
      <c r="D71" s="17"/>
      <c r="E71" s="17"/>
      <c r="F71" s="34"/>
      <c r="G71" s="34"/>
      <c r="H71" s="49"/>
      <c r="I71" s="17"/>
    </row>
    <row r="72" spans="1:9" ht="12.75" customHeight="1" x14ac:dyDescent="0.3">
      <c r="A72" s="17"/>
      <c r="B72" s="17"/>
      <c r="C72" s="17"/>
      <c r="D72" s="17"/>
      <c r="E72" s="17"/>
      <c r="F72" s="34"/>
      <c r="G72" s="34"/>
      <c r="H72" s="49"/>
      <c r="I72" s="17"/>
    </row>
    <row r="73" spans="1:9" ht="12.75" customHeight="1" x14ac:dyDescent="0.3">
      <c r="A73" s="17"/>
      <c r="B73" s="17"/>
      <c r="C73" s="17"/>
      <c r="D73" s="17"/>
      <c r="E73" s="17"/>
      <c r="F73" s="34"/>
      <c r="G73" s="34"/>
      <c r="H73" s="34"/>
      <c r="I73" s="17"/>
    </row>
    <row r="74" spans="1:9" ht="12.75" customHeight="1" x14ac:dyDescent="0.3">
      <c r="A74" s="17"/>
      <c r="B74" s="17"/>
      <c r="C74" s="17"/>
      <c r="D74" s="17"/>
      <c r="E74" s="17"/>
      <c r="F74" s="34"/>
      <c r="G74" s="34"/>
      <c r="H74" s="34"/>
      <c r="I74" s="17"/>
    </row>
    <row r="75" spans="1:9" ht="12.75" customHeight="1" x14ac:dyDescent="0.3">
      <c r="A75" s="17"/>
      <c r="B75" s="17"/>
      <c r="C75" s="17"/>
      <c r="D75" s="17"/>
      <c r="E75" s="17"/>
      <c r="F75" s="34"/>
      <c r="G75" s="34"/>
      <c r="H75" s="34"/>
      <c r="I75" s="17"/>
    </row>
    <row r="76" spans="1:9" ht="12.75" customHeight="1" x14ac:dyDescent="0.3">
      <c r="A76" s="17"/>
      <c r="B76" s="17"/>
      <c r="C76" s="17"/>
      <c r="D76" s="17"/>
      <c r="E76" s="17"/>
      <c r="F76" s="34"/>
      <c r="G76" s="34"/>
      <c r="H76" s="34"/>
      <c r="I76" s="17"/>
    </row>
    <row r="77" spans="1:9" ht="12.75" customHeight="1" x14ac:dyDescent="0.3">
      <c r="F77" s="34"/>
      <c r="G77" s="34"/>
      <c r="H77" s="34"/>
    </row>
    <row r="78" spans="1:9" ht="12.75" customHeight="1" x14ac:dyDescent="0.3">
      <c r="F78" s="34"/>
      <c r="G78" s="34"/>
      <c r="H78" s="34"/>
    </row>
    <row r="79" spans="1:9" ht="12.75" customHeight="1" x14ac:dyDescent="0.3">
      <c r="F79" s="34"/>
      <c r="G79" s="34"/>
      <c r="H79" s="34"/>
    </row>
    <row r="80" spans="1:9" ht="12.75" customHeight="1" x14ac:dyDescent="0.3">
      <c r="F80" s="34"/>
      <c r="G80" s="34"/>
      <c r="H80" s="34"/>
    </row>
    <row r="81" spans="6:8" ht="12.75" customHeight="1" x14ac:dyDescent="0.3">
      <c r="F81" s="34"/>
      <c r="G81" s="34"/>
      <c r="H81" s="34"/>
    </row>
    <row r="82" spans="6:8" ht="12.75" customHeight="1" x14ac:dyDescent="0.3">
      <c r="F82" s="34"/>
      <c r="G82" s="34"/>
      <c r="H82" s="34"/>
    </row>
    <row r="83" spans="6:8" ht="12.75" customHeight="1" x14ac:dyDescent="0.3">
      <c r="F83" s="34"/>
      <c r="G83" s="34"/>
      <c r="H83" s="34"/>
    </row>
    <row r="84" spans="6:8" ht="12.75" customHeight="1" x14ac:dyDescent="0.3">
      <c r="F84" s="34"/>
      <c r="G84" s="34"/>
      <c r="H84" s="34"/>
    </row>
    <row r="85" spans="6:8" ht="12.75" customHeight="1" x14ac:dyDescent="0.3">
      <c r="F85" s="34"/>
      <c r="G85" s="34"/>
      <c r="H85" s="34"/>
    </row>
    <row r="86" spans="6:8" ht="12.75" customHeight="1" x14ac:dyDescent="0.3">
      <c r="F86" s="34"/>
      <c r="G86" s="34"/>
      <c r="H86" s="34"/>
    </row>
    <row r="87" spans="6:8" ht="12.75" customHeight="1" x14ac:dyDescent="0.3">
      <c r="F87" s="34"/>
      <c r="G87" s="34"/>
      <c r="H87" s="34"/>
    </row>
    <row r="88" spans="6:8" ht="12.75" customHeight="1" x14ac:dyDescent="0.3">
      <c r="F88" s="34"/>
      <c r="G88" s="34"/>
      <c r="H88" s="34"/>
    </row>
    <row r="89" spans="6:8" ht="12.75" customHeight="1" x14ac:dyDescent="0.3">
      <c r="F89" s="34"/>
      <c r="G89" s="34"/>
      <c r="H89" s="34"/>
    </row>
    <row r="90" spans="6:8" ht="12.75" customHeight="1" x14ac:dyDescent="0.3">
      <c r="F90" s="34"/>
      <c r="G90" s="34"/>
      <c r="H90" s="34"/>
    </row>
    <row r="91" spans="6:8" ht="12.75" customHeight="1" x14ac:dyDescent="0.3">
      <c r="F91" s="34"/>
      <c r="G91" s="34"/>
      <c r="H91" s="34"/>
    </row>
    <row r="92" spans="6:8" ht="12.75" customHeight="1" x14ac:dyDescent="0.3">
      <c r="F92" s="34"/>
      <c r="G92" s="34"/>
      <c r="H92" s="34"/>
    </row>
    <row r="93" spans="6:8" ht="12.75" customHeight="1" x14ac:dyDescent="0.3">
      <c r="F93" s="34"/>
      <c r="G93" s="34"/>
      <c r="H93" s="34"/>
    </row>
    <row r="94" spans="6:8" ht="12.75" customHeight="1" x14ac:dyDescent="0.3">
      <c r="F94" s="34"/>
      <c r="G94" s="34"/>
      <c r="H94" s="34"/>
    </row>
    <row r="95" spans="6:8" ht="12.75" customHeight="1" x14ac:dyDescent="0.3">
      <c r="F95" s="34"/>
      <c r="G95" s="34"/>
      <c r="H95" s="34"/>
    </row>
    <row r="96" spans="6:8" ht="12.75" customHeight="1" x14ac:dyDescent="0.3">
      <c r="F96" s="34"/>
      <c r="G96" s="34"/>
      <c r="H96" s="34"/>
    </row>
    <row r="97" spans="6:8" ht="12.75" customHeight="1" x14ac:dyDescent="0.3">
      <c r="F97" s="34"/>
      <c r="G97" s="34"/>
      <c r="H97" s="34"/>
    </row>
    <row r="98" spans="6:8" ht="12.75" customHeight="1" x14ac:dyDescent="0.3">
      <c r="F98" s="34"/>
      <c r="G98" s="34"/>
      <c r="H98" s="34"/>
    </row>
    <row r="99" spans="6:8" ht="12.75" customHeight="1" x14ac:dyDescent="0.3">
      <c r="F99" s="34"/>
      <c r="G99" s="34"/>
      <c r="H99" s="34"/>
    </row>
    <row r="100" spans="6:8" ht="12.75" customHeight="1" x14ac:dyDescent="0.3">
      <c r="F100" s="34"/>
      <c r="G100" s="34"/>
      <c r="H100" s="34"/>
    </row>
    <row r="101" spans="6:8" ht="12.75" customHeight="1" x14ac:dyDescent="0.3">
      <c r="F101" s="34"/>
      <c r="G101" s="34"/>
      <c r="H101" s="34"/>
    </row>
    <row r="102" spans="6:8" ht="12.75" customHeight="1" x14ac:dyDescent="0.3">
      <c r="F102" s="34"/>
      <c r="G102" s="34"/>
      <c r="H102" s="34"/>
    </row>
    <row r="103" spans="6:8" ht="12.75" customHeight="1" x14ac:dyDescent="0.3">
      <c r="F103" s="34"/>
      <c r="G103" s="34"/>
      <c r="H103" s="34"/>
    </row>
    <row r="104" spans="6:8" ht="12.75" customHeight="1" x14ac:dyDescent="0.3">
      <c r="F104" s="34"/>
      <c r="G104" s="34"/>
      <c r="H104" s="34"/>
    </row>
    <row r="105" spans="6:8" ht="12.75" customHeight="1" x14ac:dyDescent="0.3">
      <c r="F105" s="34"/>
      <c r="G105" s="34"/>
      <c r="H105" s="34"/>
    </row>
    <row r="106" spans="6:8" ht="12.75" customHeight="1" x14ac:dyDescent="0.3">
      <c r="F106" s="34"/>
      <c r="G106" s="34"/>
      <c r="H106" s="34"/>
    </row>
    <row r="107" spans="6:8" ht="12.75" customHeight="1" x14ac:dyDescent="0.3">
      <c r="F107" s="34"/>
      <c r="G107" s="34"/>
      <c r="H107" s="34"/>
    </row>
    <row r="108" spans="6:8" ht="12.75" customHeight="1" x14ac:dyDescent="0.3">
      <c r="F108" s="34"/>
      <c r="G108" s="34"/>
      <c r="H108" s="34"/>
    </row>
    <row r="109" spans="6:8" ht="12.75" customHeight="1" x14ac:dyDescent="0.3">
      <c r="F109" s="34"/>
      <c r="G109" s="34"/>
      <c r="H109" s="34"/>
    </row>
    <row r="110" spans="6:8" ht="12.75" customHeight="1" x14ac:dyDescent="0.3">
      <c r="F110" s="34"/>
      <c r="G110" s="34"/>
      <c r="H110" s="34"/>
    </row>
    <row r="111" spans="6:8" ht="12.75" customHeight="1" x14ac:dyDescent="0.3">
      <c r="F111" s="34"/>
      <c r="G111" s="34"/>
      <c r="H111" s="34"/>
    </row>
    <row r="112" spans="6:8" ht="12.75" customHeight="1" x14ac:dyDescent="0.3">
      <c r="F112" s="34"/>
      <c r="G112" s="34"/>
      <c r="H112" s="34"/>
    </row>
    <row r="113" spans="6:8" ht="12.75" customHeight="1" x14ac:dyDescent="0.3">
      <c r="F113" s="34"/>
      <c r="G113" s="34"/>
      <c r="H113" s="34"/>
    </row>
    <row r="114" spans="6:8" ht="12.75" customHeight="1" x14ac:dyDescent="0.3">
      <c r="F114" s="34"/>
      <c r="G114" s="34"/>
      <c r="H114" s="34"/>
    </row>
    <row r="115" spans="6:8" ht="12.75" customHeight="1" x14ac:dyDescent="0.3">
      <c r="F115" s="34"/>
      <c r="G115" s="34"/>
      <c r="H115" s="34"/>
    </row>
    <row r="116" spans="6:8" ht="12.75" customHeight="1" x14ac:dyDescent="0.3">
      <c r="F116" s="34"/>
      <c r="G116" s="34"/>
      <c r="H116" s="34"/>
    </row>
    <row r="117" spans="6:8" ht="12.75" customHeight="1" x14ac:dyDescent="0.3">
      <c r="F117" s="34"/>
      <c r="G117" s="34"/>
      <c r="H117" s="34"/>
    </row>
    <row r="118" spans="6:8" ht="12.75" customHeight="1" x14ac:dyDescent="0.3">
      <c r="F118" s="34"/>
      <c r="G118" s="34"/>
      <c r="H118" s="34"/>
    </row>
    <row r="119" spans="6:8" ht="12.75" customHeight="1" x14ac:dyDescent="0.3">
      <c r="F119" s="34"/>
      <c r="G119" s="34"/>
      <c r="H119" s="34"/>
    </row>
    <row r="120" spans="6:8" ht="12.75" customHeight="1" x14ac:dyDescent="0.3">
      <c r="F120" s="34"/>
      <c r="G120" s="34"/>
      <c r="H120" s="34"/>
    </row>
    <row r="121" spans="6:8" ht="12.75" customHeight="1" x14ac:dyDescent="0.3">
      <c r="F121" s="34"/>
      <c r="G121" s="34"/>
      <c r="H121" s="34"/>
    </row>
    <row r="122" spans="6:8" ht="12.75" customHeight="1" x14ac:dyDescent="0.3">
      <c r="F122" s="34"/>
      <c r="G122" s="34"/>
      <c r="H122" s="34"/>
    </row>
    <row r="123" spans="6:8" ht="12.75" customHeight="1" x14ac:dyDescent="0.3">
      <c r="F123" s="34"/>
      <c r="G123" s="34"/>
      <c r="H123" s="34"/>
    </row>
    <row r="124" spans="6:8" ht="12.75" customHeight="1" x14ac:dyDescent="0.3">
      <c r="F124" s="34"/>
      <c r="G124" s="34"/>
      <c r="H124" s="34"/>
    </row>
    <row r="125" spans="6:8" ht="12.75" customHeight="1" x14ac:dyDescent="0.3">
      <c r="F125" s="34"/>
      <c r="G125" s="34"/>
      <c r="H125" s="34"/>
    </row>
    <row r="126" spans="6:8" ht="12.75" customHeight="1" x14ac:dyDescent="0.3">
      <c r="F126" s="34"/>
      <c r="G126" s="34"/>
      <c r="H126" s="34"/>
    </row>
    <row r="127" spans="6:8" ht="12.75" customHeight="1" x14ac:dyDescent="0.3">
      <c r="F127" s="34"/>
      <c r="G127" s="34"/>
      <c r="H127" s="34"/>
    </row>
    <row r="128" spans="6:8" ht="12.75" customHeight="1" x14ac:dyDescent="0.3">
      <c r="F128" s="34"/>
      <c r="G128" s="34"/>
      <c r="H128" s="34"/>
    </row>
    <row r="129" spans="6:8" ht="12.75" customHeight="1" x14ac:dyDescent="0.3">
      <c r="F129" s="34"/>
      <c r="G129" s="34"/>
      <c r="H129" s="34"/>
    </row>
    <row r="130" spans="6:8" ht="12.75" customHeight="1" x14ac:dyDescent="0.3">
      <c r="F130" s="34"/>
      <c r="G130" s="34"/>
      <c r="H130" s="34"/>
    </row>
    <row r="131" spans="6:8" ht="12.75" customHeight="1" x14ac:dyDescent="0.3">
      <c r="F131" s="34"/>
      <c r="G131" s="34"/>
      <c r="H131" s="34"/>
    </row>
    <row r="132" spans="6:8" ht="12.75" customHeight="1" x14ac:dyDescent="0.3">
      <c r="F132" s="34"/>
      <c r="G132" s="34"/>
      <c r="H132" s="34"/>
    </row>
    <row r="133" spans="6:8" ht="12.75" customHeight="1" x14ac:dyDescent="0.3">
      <c r="F133" s="34"/>
      <c r="G133" s="34"/>
      <c r="H133" s="34"/>
    </row>
    <row r="134" spans="6:8" ht="12.75" customHeight="1" x14ac:dyDescent="0.3">
      <c r="F134" s="34"/>
      <c r="G134" s="34"/>
      <c r="H134" s="34"/>
    </row>
    <row r="135" spans="6:8" ht="12.75" customHeight="1" x14ac:dyDescent="0.3">
      <c r="F135" s="34"/>
      <c r="G135" s="34"/>
      <c r="H135" s="34"/>
    </row>
    <row r="136" spans="6:8" ht="12.75" customHeight="1" x14ac:dyDescent="0.3">
      <c r="F136" s="34"/>
      <c r="G136" s="34"/>
      <c r="H136" s="34"/>
    </row>
    <row r="137" spans="6:8" ht="12.75" customHeight="1" x14ac:dyDescent="0.3">
      <c r="F137" s="34"/>
      <c r="G137" s="34"/>
      <c r="H137" s="34"/>
    </row>
    <row r="138" spans="6:8" ht="12.75" customHeight="1" x14ac:dyDescent="0.3">
      <c r="F138" s="34"/>
      <c r="G138" s="34"/>
      <c r="H138" s="34"/>
    </row>
    <row r="139" spans="6:8" ht="12.75" customHeight="1" x14ac:dyDescent="0.3">
      <c r="F139" s="34"/>
      <c r="G139" s="34"/>
      <c r="H139" s="34"/>
    </row>
    <row r="140" spans="6:8" ht="12.75" customHeight="1" x14ac:dyDescent="0.3">
      <c r="F140" s="34"/>
      <c r="G140" s="34"/>
      <c r="H140" s="34"/>
    </row>
    <row r="141" spans="6:8" ht="12.75" customHeight="1" x14ac:dyDescent="0.3">
      <c r="F141" s="34"/>
      <c r="G141" s="34"/>
      <c r="H141" s="34"/>
    </row>
    <row r="142" spans="6:8" ht="12.75" customHeight="1" x14ac:dyDescent="0.3">
      <c r="F142" s="34"/>
      <c r="G142" s="34"/>
      <c r="H142" s="34"/>
    </row>
    <row r="143" spans="6:8" ht="12.75" customHeight="1" x14ac:dyDescent="0.3">
      <c r="F143" s="34"/>
      <c r="G143" s="34"/>
      <c r="H143" s="34"/>
    </row>
    <row r="144" spans="6:8" ht="12.75" customHeight="1" x14ac:dyDescent="0.3">
      <c r="F144" s="34"/>
      <c r="G144" s="34"/>
      <c r="H144" s="34"/>
    </row>
    <row r="145" spans="6:8" ht="12.75" customHeight="1" x14ac:dyDescent="0.3">
      <c r="F145" s="34"/>
      <c r="G145" s="34"/>
      <c r="H145" s="34"/>
    </row>
    <row r="146" spans="6:8" ht="12.75" customHeight="1" x14ac:dyDescent="0.3">
      <c r="F146" s="34"/>
      <c r="G146" s="34"/>
      <c r="H146" s="34"/>
    </row>
    <row r="147" spans="6:8" ht="12.75" customHeight="1" x14ac:dyDescent="0.3">
      <c r="F147" s="34"/>
      <c r="G147" s="34"/>
      <c r="H147" s="34"/>
    </row>
    <row r="148" spans="6:8" ht="12.75" customHeight="1" x14ac:dyDescent="0.3">
      <c r="F148" s="34"/>
      <c r="G148" s="34"/>
      <c r="H148" s="34"/>
    </row>
    <row r="149" spans="6:8" ht="12.75" customHeight="1" x14ac:dyDescent="0.3">
      <c r="F149" s="34"/>
      <c r="G149" s="34"/>
      <c r="H149" s="34"/>
    </row>
    <row r="150" spans="6:8" ht="12.75" customHeight="1" x14ac:dyDescent="0.3">
      <c r="F150" s="34"/>
      <c r="G150" s="34"/>
      <c r="H150" s="34"/>
    </row>
    <row r="151" spans="6:8" ht="12.75" customHeight="1" x14ac:dyDescent="0.3">
      <c r="F151" s="34"/>
      <c r="G151" s="34"/>
      <c r="H151" s="34"/>
    </row>
    <row r="152" spans="6:8" ht="12.75" customHeight="1" x14ac:dyDescent="0.3">
      <c r="F152" s="34"/>
      <c r="G152" s="34"/>
      <c r="H152" s="34"/>
    </row>
    <row r="153" spans="6:8" ht="12.75" customHeight="1" x14ac:dyDescent="0.3">
      <c r="F153" s="34"/>
      <c r="G153" s="34"/>
      <c r="H153" s="34"/>
    </row>
    <row r="154" spans="6:8" ht="12.75" customHeight="1" x14ac:dyDescent="0.3">
      <c r="F154" s="34"/>
      <c r="G154" s="34"/>
      <c r="H154" s="34"/>
    </row>
    <row r="155" spans="6:8" ht="12.75" customHeight="1" x14ac:dyDescent="0.3">
      <c r="F155" s="34"/>
      <c r="G155" s="34"/>
      <c r="H155" s="34"/>
    </row>
    <row r="156" spans="6:8" ht="12.75" customHeight="1" x14ac:dyDescent="0.3">
      <c r="F156" s="34"/>
      <c r="G156" s="34"/>
      <c r="H156" s="34"/>
    </row>
    <row r="157" spans="6:8" ht="12.75" customHeight="1" x14ac:dyDescent="0.3">
      <c r="F157" s="34"/>
      <c r="G157" s="34"/>
      <c r="H157" s="34"/>
    </row>
    <row r="158" spans="6:8" ht="12.75" customHeight="1" x14ac:dyDescent="0.3">
      <c r="F158" s="34"/>
      <c r="G158" s="34"/>
      <c r="H158" s="34"/>
    </row>
    <row r="159" spans="6:8" ht="12.75" customHeight="1" x14ac:dyDescent="0.3">
      <c r="F159" s="34"/>
      <c r="G159" s="34"/>
      <c r="H159" s="34"/>
    </row>
    <row r="160" spans="6:8" ht="12.75" customHeight="1" x14ac:dyDescent="0.3">
      <c r="F160" s="34"/>
      <c r="G160" s="34"/>
      <c r="H160" s="34"/>
    </row>
    <row r="161" spans="6:8" ht="12.75" customHeight="1" x14ac:dyDescent="0.3">
      <c r="F161" s="34"/>
      <c r="G161" s="34"/>
      <c r="H161" s="34"/>
    </row>
    <row r="162" spans="6:8" ht="12.75" customHeight="1" x14ac:dyDescent="0.3">
      <c r="F162" s="34"/>
      <c r="G162" s="34"/>
      <c r="H162" s="34"/>
    </row>
    <row r="163" spans="6:8" ht="12.75" customHeight="1" x14ac:dyDescent="0.3">
      <c r="F163" s="34"/>
      <c r="G163" s="34"/>
      <c r="H163" s="34"/>
    </row>
    <row r="164" spans="6:8" ht="12.75" customHeight="1" x14ac:dyDescent="0.3">
      <c r="F164" s="34"/>
      <c r="G164" s="34"/>
      <c r="H164" s="34"/>
    </row>
    <row r="165" spans="6:8" ht="12.75" customHeight="1" x14ac:dyDescent="0.3">
      <c r="F165" s="34"/>
      <c r="G165" s="34"/>
      <c r="H165" s="34"/>
    </row>
    <row r="166" spans="6:8" ht="12.75" customHeight="1" x14ac:dyDescent="0.3">
      <c r="F166" s="34"/>
      <c r="G166" s="34"/>
      <c r="H166" s="34"/>
    </row>
    <row r="167" spans="6:8" ht="12.75" customHeight="1" x14ac:dyDescent="0.3">
      <c r="F167" s="34"/>
      <c r="G167" s="34"/>
      <c r="H167" s="34"/>
    </row>
    <row r="168" spans="6:8" ht="12.75" customHeight="1" x14ac:dyDescent="0.3">
      <c r="F168" s="34"/>
      <c r="G168" s="34"/>
      <c r="H168" s="34"/>
    </row>
    <row r="169" spans="6:8" ht="12.75" customHeight="1" x14ac:dyDescent="0.3">
      <c r="F169" s="34"/>
      <c r="G169" s="34"/>
      <c r="H169" s="34"/>
    </row>
    <row r="170" spans="6:8" ht="12.75" customHeight="1" x14ac:dyDescent="0.3">
      <c r="F170" s="34"/>
      <c r="G170" s="34"/>
      <c r="H170" s="34"/>
    </row>
    <row r="171" spans="6:8" ht="12.75" customHeight="1" x14ac:dyDescent="0.3">
      <c r="F171" s="34"/>
      <c r="G171" s="34"/>
      <c r="H171" s="34"/>
    </row>
    <row r="172" spans="6:8" ht="12.75" customHeight="1" x14ac:dyDescent="0.3">
      <c r="F172" s="34"/>
      <c r="G172" s="34"/>
      <c r="H172" s="34"/>
    </row>
    <row r="173" spans="6:8" ht="12.75" customHeight="1" x14ac:dyDescent="0.3">
      <c r="F173" s="34"/>
      <c r="G173" s="34"/>
      <c r="H173" s="34"/>
    </row>
    <row r="174" spans="6:8" ht="12.75" customHeight="1" x14ac:dyDescent="0.3">
      <c r="F174" s="34"/>
      <c r="G174" s="34"/>
      <c r="H174" s="34"/>
    </row>
    <row r="175" spans="6:8" ht="12.75" customHeight="1" x14ac:dyDescent="0.3">
      <c r="F175" s="34"/>
      <c r="G175" s="34"/>
      <c r="H175" s="34"/>
    </row>
    <row r="176" spans="6:8" ht="12.75" customHeight="1" x14ac:dyDescent="0.3">
      <c r="F176" s="34"/>
      <c r="G176" s="34"/>
      <c r="H176" s="34"/>
    </row>
    <row r="177" spans="6:8" ht="12.75" customHeight="1" x14ac:dyDescent="0.3">
      <c r="F177" s="34"/>
      <c r="G177" s="34"/>
      <c r="H177" s="34"/>
    </row>
    <row r="178" spans="6:8" ht="12.75" customHeight="1" x14ac:dyDescent="0.3">
      <c r="F178" s="34"/>
      <c r="G178" s="34"/>
      <c r="H178" s="34"/>
    </row>
    <row r="179" spans="6:8" ht="12.75" customHeight="1" x14ac:dyDescent="0.3">
      <c r="F179" s="34"/>
      <c r="G179" s="34"/>
      <c r="H179" s="34"/>
    </row>
    <row r="180" spans="6:8" ht="12.75" customHeight="1" x14ac:dyDescent="0.3">
      <c r="F180" s="34"/>
      <c r="G180" s="34"/>
      <c r="H180" s="34"/>
    </row>
    <row r="181" spans="6:8" ht="12.75" customHeight="1" x14ac:dyDescent="0.3">
      <c r="F181" s="34"/>
      <c r="G181" s="34"/>
      <c r="H181" s="34"/>
    </row>
    <row r="182" spans="6:8" ht="12.75" customHeight="1" x14ac:dyDescent="0.3">
      <c r="F182" s="34"/>
      <c r="G182" s="34"/>
      <c r="H182" s="34"/>
    </row>
    <row r="183" spans="6:8" ht="12.75" customHeight="1" x14ac:dyDescent="0.3">
      <c r="F183" s="34"/>
      <c r="G183" s="34"/>
      <c r="H183" s="34"/>
    </row>
    <row r="184" spans="6:8" ht="12.75" customHeight="1" x14ac:dyDescent="0.3">
      <c r="F184" s="34"/>
      <c r="G184" s="34"/>
      <c r="H184" s="34"/>
    </row>
    <row r="185" spans="6:8" ht="12.75" customHeight="1" x14ac:dyDescent="0.3">
      <c r="F185" s="34"/>
      <c r="G185" s="34"/>
      <c r="H185" s="34"/>
    </row>
    <row r="186" spans="6:8" ht="12.75" customHeight="1" x14ac:dyDescent="0.3">
      <c r="F186" s="34"/>
      <c r="G186" s="34"/>
      <c r="H186" s="34"/>
    </row>
    <row r="187" spans="6:8" ht="12.75" customHeight="1" x14ac:dyDescent="0.3">
      <c r="F187" s="34"/>
      <c r="G187" s="34"/>
      <c r="H187" s="34"/>
    </row>
    <row r="188" spans="6:8" ht="12.75" customHeight="1" x14ac:dyDescent="0.3">
      <c r="F188" s="34"/>
      <c r="G188" s="34"/>
      <c r="H188" s="34"/>
    </row>
    <row r="189" spans="6:8" ht="12.75" customHeight="1" x14ac:dyDescent="0.3">
      <c r="F189" s="34"/>
      <c r="G189" s="34"/>
      <c r="H189" s="34"/>
    </row>
    <row r="190" spans="6:8" ht="12.75" customHeight="1" x14ac:dyDescent="0.3">
      <c r="F190" s="34"/>
      <c r="G190" s="34"/>
      <c r="H190" s="34"/>
    </row>
    <row r="191" spans="6:8" ht="12.75" customHeight="1" x14ac:dyDescent="0.3">
      <c r="F191" s="34"/>
      <c r="G191" s="34"/>
      <c r="H191" s="34"/>
    </row>
    <row r="192" spans="6:8" ht="12.75" customHeight="1" x14ac:dyDescent="0.3">
      <c r="F192" s="34"/>
      <c r="G192" s="34"/>
      <c r="H192" s="34"/>
    </row>
    <row r="193" spans="6:8" ht="12.75" customHeight="1" x14ac:dyDescent="0.3">
      <c r="F193" s="34"/>
      <c r="G193" s="34"/>
      <c r="H193" s="34"/>
    </row>
    <row r="194" spans="6:8" ht="12.75" customHeight="1" x14ac:dyDescent="0.3">
      <c r="F194" s="34"/>
      <c r="G194" s="34"/>
      <c r="H194" s="34"/>
    </row>
    <row r="195" spans="6:8" ht="12.75" customHeight="1" x14ac:dyDescent="0.3">
      <c r="F195" s="34"/>
      <c r="G195" s="34"/>
      <c r="H195" s="34"/>
    </row>
    <row r="196" spans="6:8" ht="12.75" customHeight="1" x14ac:dyDescent="0.3">
      <c r="F196" s="34"/>
      <c r="G196" s="34"/>
      <c r="H196" s="34"/>
    </row>
    <row r="197" spans="6:8" ht="12.75" customHeight="1" x14ac:dyDescent="0.3">
      <c r="F197" s="34"/>
      <c r="G197" s="34"/>
      <c r="H197" s="34"/>
    </row>
    <row r="198" spans="6:8" ht="12.75" customHeight="1" x14ac:dyDescent="0.3">
      <c r="F198" s="34"/>
      <c r="G198" s="34"/>
      <c r="H198" s="34"/>
    </row>
    <row r="199" spans="6:8" ht="12.75" customHeight="1" x14ac:dyDescent="0.3">
      <c r="F199" s="34"/>
      <c r="G199" s="34"/>
      <c r="H199" s="34"/>
    </row>
    <row r="200" spans="6:8" ht="12.75" customHeight="1" x14ac:dyDescent="0.3">
      <c r="F200" s="34"/>
      <c r="G200" s="34"/>
      <c r="H200" s="34"/>
    </row>
    <row r="201" spans="6:8" ht="12.75" customHeight="1" x14ac:dyDescent="0.3">
      <c r="F201" s="34"/>
      <c r="G201" s="34"/>
      <c r="H201" s="34"/>
    </row>
    <row r="202" spans="6:8" ht="12.75" customHeight="1" x14ac:dyDescent="0.3">
      <c r="F202" s="34"/>
      <c r="G202" s="34"/>
      <c r="H202" s="34"/>
    </row>
    <row r="203" spans="6:8" ht="12.75" customHeight="1" x14ac:dyDescent="0.3">
      <c r="F203" s="34"/>
      <c r="G203" s="34"/>
      <c r="H203" s="34"/>
    </row>
    <row r="204" spans="6:8" ht="12.75" customHeight="1" x14ac:dyDescent="0.3">
      <c r="F204" s="34"/>
      <c r="G204" s="34"/>
      <c r="H204" s="34"/>
    </row>
    <row r="205" spans="6:8" ht="12.75" customHeight="1" x14ac:dyDescent="0.3">
      <c r="F205" s="34"/>
      <c r="G205" s="34"/>
      <c r="H205" s="34"/>
    </row>
    <row r="206" spans="6:8" ht="12.75" customHeight="1" x14ac:dyDescent="0.3">
      <c r="F206" s="34"/>
      <c r="G206" s="34"/>
      <c r="H206" s="34"/>
    </row>
    <row r="207" spans="6:8" ht="12.75" customHeight="1" x14ac:dyDescent="0.3">
      <c r="F207" s="34"/>
      <c r="G207" s="34"/>
      <c r="H207" s="34"/>
    </row>
    <row r="208" spans="6:8" ht="12.75" customHeight="1" x14ac:dyDescent="0.3">
      <c r="F208" s="34"/>
      <c r="G208" s="34"/>
      <c r="H208" s="34"/>
    </row>
    <row r="209" spans="6:8" ht="12.75" customHeight="1" x14ac:dyDescent="0.3">
      <c r="F209" s="34"/>
      <c r="G209" s="34"/>
      <c r="H209" s="34"/>
    </row>
    <row r="210" spans="6:8" ht="12.75" customHeight="1" x14ac:dyDescent="0.3">
      <c r="F210" s="34"/>
      <c r="G210" s="34"/>
      <c r="H210" s="34"/>
    </row>
    <row r="211" spans="6:8" ht="12.75" customHeight="1" x14ac:dyDescent="0.3">
      <c r="F211" s="34"/>
      <c r="G211" s="34"/>
      <c r="H211" s="34"/>
    </row>
    <row r="212" spans="6:8" ht="12.75" customHeight="1" x14ac:dyDescent="0.3">
      <c r="F212" s="34"/>
      <c r="G212" s="34"/>
      <c r="H212" s="34"/>
    </row>
    <row r="213" spans="6:8" ht="12.75" customHeight="1" x14ac:dyDescent="0.3">
      <c r="F213" s="34"/>
      <c r="G213" s="34"/>
      <c r="H213" s="34"/>
    </row>
    <row r="214" spans="6:8" ht="12.75" customHeight="1" x14ac:dyDescent="0.3">
      <c r="F214" s="34"/>
      <c r="G214" s="34"/>
      <c r="H214" s="34"/>
    </row>
    <row r="215" spans="6:8" ht="12.75" customHeight="1" x14ac:dyDescent="0.3">
      <c r="F215" s="34"/>
      <c r="G215" s="34"/>
      <c r="H215" s="34"/>
    </row>
    <row r="216" spans="6:8" ht="12.75" customHeight="1" x14ac:dyDescent="0.3">
      <c r="F216" s="34"/>
      <c r="G216" s="34"/>
      <c r="H216" s="34"/>
    </row>
    <row r="217" spans="6:8" ht="12.75" customHeight="1" x14ac:dyDescent="0.3">
      <c r="F217" s="34"/>
      <c r="G217" s="34"/>
      <c r="H217" s="34"/>
    </row>
    <row r="218" spans="6:8" ht="12.75" customHeight="1" x14ac:dyDescent="0.3">
      <c r="F218" s="34"/>
      <c r="G218" s="34"/>
      <c r="H218" s="34"/>
    </row>
    <row r="219" spans="6:8" ht="12.75" customHeight="1" x14ac:dyDescent="0.3">
      <c r="F219" s="34"/>
      <c r="G219" s="34"/>
      <c r="H219" s="34"/>
    </row>
    <row r="220" spans="6:8" ht="12.75" customHeight="1" x14ac:dyDescent="0.3">
      <c r="F220" s="34"/>
      <c r="G220" s="34"/>
      <c r="H220" s="34"/>
    </row>
    <row r="221" spans="6:8" ht="12.75" customHeight="1" x14ac:dyDescent="0.3">
      <c r="F221" s="34"/>
      <c r="G221" s="34"/>
      <c r="H221" s="34"/>
    </row>
    <row r="222" spans="6:8" ht="12.75" customHeight="1" x14ac:dyDescent="0.3">
      <c r="F222" s="34"/>
      <c r="G222" s="34"/>
      <c r="H222" s="34"/>
    </row>
    <row r="223" spans="6:8" ht="12.75" customHeight="1" x14ac:dyDescent="0.3">
      <c r="F223" s="34"/>
      <c r="G223" s="34"/>
      <c r="H223" s="34"/>
    </row>
    <row r="224" spans="6:8" ht="12.75" customHeight="1" x14ac:dyDescent="0.3">
      <c r="F224" s="34"/>
      <c r="G224" s="34"/>
      <c r="H224" s="34"/>
    </row>
    <row r="225" spans="6:8" ht="12.75" customHeight="1" x14ac:dyDescent="0.3">
      <c r="F225" s="34"/>
      <c r="G225" s="34"/>
      <c r="H225" s="34"/>
    </row>
    <row r="226" spans="6:8" ht="12.75" customHeight="1" x14ac:dyDescent="0.3">
      <c r="F226" s="34"/>
      <c r="G226" s="34"/>
      <c r="H226" s="34"/>
    </row>
    <row r="227" spans="6:8" ht="12.75" customHeight="1" x14ac:dyDescent="0.3">
      <c r="F227" s="34"/>
      <c r="G227" s="34"/>
      <c r="H227" s="34"/>
    </row>
    <row r="228" spans="6:8" ht="12.75" customHeight="1" x14ac:dyDescent="0.3">
      <c r="F228" s="34"/>
      <c r="G228" s="34"/>
      <c r="H228" s="34"/>
    </row>
    <row r="229" spans="6:8" ht="12.75" customHeight="1" x14ac:dyDescent="0.3">
      <c r="F229" s="34"/>
      <c r="G229" s="34"/>
      <c r="H229" s="34"/>
    </row>
    <row r="230" spans="6:8" ht="12.75" customHeight="1" x14ac:dyDescent="0.3">
      <c r="F230" s="34"/>
      <c r="G230" s="34"/>
      <c r="H230" s="34"/>
    </row>
    <row r="231" spans="6:8" ht="12.75" customHeight="1" x14ac:dyDescent="0.3">
      <c r="F231" s="34"/>
      <c r="G231" s="34"/>
      <c r="H231" s="34"/>
    </row>
    <row r="232" spans="6:8" ht="12.75" customHeight="1" x14ac:dyDescent="0.3">
      <c r="F232" s="34"/>
      <c r="G232" s="34"/>
      <c r="H232" s="34"/>
    </row>
    <row r="233" spans="6:8" ht="12.75" customHeight="1" x14ac:dyDescent="0.3">
      <c r="F233" s="34"/>
      <c r="G233" s="34"/>
      <c r="H233" s="34"/>
    </row>
    <row r="234" spans="6:8" ht="12.75" customHeight="1" x14ac:dyDescent="0.3">
      <c r="F234" s="34"/>
      <c r="G234" s="34"/>
      <c r="H234" s="34"/>
    </row>
    <row r="235" spans="6:8" ht="12.75" customHeight="1" x14ac:dyDescent="0.3">
      <c r="F235" s="34"/>
      <c r="G235" s="34"/>
      <c r="H235" s="34"/>
    </row>
    <row r="236" spans="6:8" ht="12.75" customHeight="1" x14ac:dyDescent="0.3">
      <c r="F236" s="34"/>
      <c r="G236" s="34"/>
      <c r="H236" s="34"/>
    </row>
    <row r="237" spans="6:8" ht="12.75" customHeight="1" x14ac:dyDescent="0.3">
      <c r="F237" s="34"/>
      <c r="G237" s="34"/>
      <c r="H237" s="34"/>
    </row>
    <row r="238" spans="6:8" ht="12.75" customHeight="1" x14ac:dyDescent="0.3">
      <c r="F238" s="34"/>
      <c r="G238" s="34"/>
      <c r="H238" s="34"/>
    </row>
    <row r="239" spans="6:8" ht="12.75" customHeight="1" x14ac:dyDescent="0.3">
      <c r="F239" s="34"/>
      <c r="G239" s="34"/>
      <c r="H239" s="34"/>
    </row>
    <row r="240" spans="6:8" ht="12.75" customHeight="1" x14ac:dyDescent="0.3">
      <c r="F240" s="34"/>
      <c r="G240" s="34"/>
      <c r="H240" s="34"/>
    </row>
    <row r="241" spans="6:8" ht="12.75" customHeight="1" x14ac:dyDescent="0.3">
      <c r="F241" s="34"/>
      <c r="G241" s="34"/>
      <c r="H241" s="34"/>
    </row>
    <row r="242" spans="6:8" ht="12.75" customHeight="1" x14ac:dyDescent="0.3">
      <c r="F242" s="34"/>
      <c r="G242" s="34"/>
      <c r="H242" s="34"/>
    </row>
    <row r="243" spans="6:8" ht="12.75" customHeight="1" x14ac:dyDescent="0.3">
      <c r="F243" s="34"/>
      <c r="G243" s="34"/>
      <c r="H243" s="34"/>
    </row>
    <row r="244" spans="6:8" ht="12.75" customHeight="1" x14ac:dyDescent="0.3">
      <c r="F244" s="34"/>
      <c r="G244" s="34"/>
      <c r="H244" s="34"/>
    </row>
    <row r="245" spans="6:8" ht="12.75" customHeight="1" x14ac:dyDescent="0.3">
      <c r="F245" s="34"/>
      <c r="G245" s="34"/>
      <c r="H245" s="34"/>
    </row>
    <row r="246" spans="6:8" ht="12.75" customHeight="1" x14ac:dyDescent="0.3">
      <c r="F246" s="34"/>
      <c r="G246" s="34"/>
      <c r="H246" s="34"/>
    </row>
    <row r="247" spans="6:8" ht="12.75" customHeight="1" x14ac:dyDescent="0.3">
      <c r="F247" s="34"/>
      <c r="G247" s="34"/>
      <c r="H247" s="34"/>
    </row>
    <row r="248" spans="6:8" ht="12.75" customHeight="1" x14ac:dyDescent="0.3">
      <c r="F248" s="34"/>
      <c r="G248" s="34"/>
      <c r="H248" s="34"/>
    </row>
    <row r="249" spans="6:8" ht="12.75" customHeight="1" x14ac:dyDescent="0.3">
      <c r="F249" s="34"/>
      <c r="G249" s="34"/>
      <c r="H249" s="34"/>
    </row>
    <row r="250" spans="6:8" ht="12.75" customHeight="1" x14ac:dyDescent="0.3">
      <c r="F250" s="34"/>
      <c r="G250" s="34"/>
      <c r="H250" s="34"/>
    </row>
    <row r="251" spans="6:8" ht="12.75" customHeight="1" x14ac:dyDescent="0.3">
      <c r="F251" s="34"/>
      <c r="G251" s="34"/>
      <c r="H251" s="34"/>
    </row>
    <row r="252" spans="6:8" ht="12.75" customHeight="1" x14ac:dyDescent="0.3">
      <c r="F252" s="34"/>
      <c r="G252" s="34"/>
      <c r="H252" s="34"/>
    </row>
    <row r="253" spans="6:8" ht="12.75" customHeight="1" x14ac:dyDescent="0.3">
      <c r="F253" s="34"/>
      <c r="G253" s="34"/>
      <c r="H253" s="34"/>
    </row>
    <row r="254" spans="6:8" ht="12.75" customHeight="1" x14ac:dyDescent="0.3">
      <c r="F254" s="34"/>
      <c r="G254" s="34"/>
      <c r="H254" s="34"/>
    </row>
    <row r="255" spans="6:8" ht="12.75" customHeight="1" x14ac:dyDescent="0.3">
      <c r="F255" s="34"/>
      <c r="G255" s="34"/>
      <c r="H255" s="34"/>
    </row>
    <row r="256" spans="6:8" ht="12.75" customHeight="1" x14ac:dyDescent="0.3">
      <c r="F256" s="34"/>
      <c r="G256" s="34"/>
      <c r="H256" s="34"/>
    </row>
    <row r="257" spans="6:8" ht="12.75" customHeight="1" x14ac:dyDescent="0.3">
      <c r="F257" s="34"/>
      <c r="G257" s="34"/>
      <c r="H257" s="34"/>
    </row>
    <row r="258" spans="6:8" ht="12.75" customHeight="1" x14ac:dyDescent="0.3">
      <c r="F258" s="34"/>
      <c r="G258" s="34"/>
      <c r="H258" s="34"/>
    </row>
    <row r="259" spans="6:8" ht="12.75" customHeight="1" x14ac:dyDescent="0.3">
      <c r="F259" s="34"/>
      <c r="G259" s="34"/>
      <c r="H259" s="34"/>
    </row>
    <row r="260" spans="6:8" ht="12.75" customHeight="1" x14ac:dyDescent="0.3">
      <c r="F260" s="34"/>
      <c r="G260" s="34"/>
      <c r="H260" s="34"/>
    </row>
    <row r="261" spans="6:8" ht="12.75" customHeight="1" x14ac:dyDescent="0.3">
      <c r="F261" s="34"/>
      <c r="G261" s="34"/>
      <c r="H261" s="34"/>
    </row>
    <row r="262" spans="6:8" ht="12.75" customHeight="1" x14ac:dyDescent="0.3">
      <c r="F262" s="34"/>
      <c r="G262" s="34"/>
      <c r="H262" s="34"/>
    </row>
    <row r="263" spans="6:8" ht="12.75" customHeight="1" x14ac:dyDescent="0.3">
      <c r="F263" s="34"/>
      <c r="G263" s="34"/>
      <c r="H263" s="34"/>
    </row>
    <row r="264" spans="6:8" ht="12.75" customHeight="1" x14ac:dyDescent="0.3">
      <c r="F264" s="34"/>
      <c r="G264" s="34"/>
      <c r="H264" s="34"/>
    </row>
    <row r="265" spans="6:8" ht="12.75" customHeight="1" x14ac:dyDescent="0.3">
      <c r="F265" s="34"/>
      <c r="G265" s="34"/>
      <c r="H265" s="34"/>
    </row>
    <row r="266" spans="6:8" ht="12.75" customHeight="1" x14ac:dyDescent="0.3">
      <c r="F266" s="34"/>
      <c r="G266" s="34"/>
      <c r="H266" s="34"/>
    </row>
    <row r="267" spans="6:8" ht="12.75" customHeight="1" x14ac:dyDescent="0.3">
      <c r="F267" s="34"/>
      <c r="G267" s="34"/>
      <c r="H267" s="34"/>
    </row>
    <row r="268" spans="6:8" ht="12.75" customHeight="1" x14ac:dyDescent="0.3">
      <c r="F268" s="34"/>
      <c r="G268" s="34"/>
      <c r="H268" s="34"/>
    </row>
    <row r="269" spans="6:8" ht="12.75" customHeight="1" x14ac:dyDescent="0.3">
      <c r="F269" s="34"/>
      <c r="G269" s="34"/>
      <c r="H269" s="34"/>
    </row>
    <row r="270" spans="6:8" ht="12.75" customHeight="1" x14ac:dyDescent="0.3">
      <c r="F270" s="34"/>
      <c r="G270" s="34"/>
      <c r="H270" s="34"/>
    </row>
    <row r="271" spans="6:8" ht="12.75" customHeight="1" x14ac:dyDescent="0.3">
      <c r="F271" s="34"/>
      <c r="G271" s="34"/>
      <c r="H271" s="34"/>
    </row>
    <row r="272" spans="6:8" ht="12.75" customHeight="1" x14ac:dyDescent="0.3">
      <c r="F272" s="34"/>
      <c r="G272" s="34"/>
      <c r="H272" s="34"/>
    </row>
    <row r="273" spans="6:8" ht="12.75" customHeight="1" x14ac:dyDescent="0.3">
      <c r="F273" s="34"/>
      <c r="G273" s="34"/>
      <c r="H273" s="34"/>
    </row>
    <row r="274" spans="6:8" ht="12.75" customHeight="1" x14ac:dyDescent="0.3">
      <c r="F274" s="34"/>
      <c r="G274" s="34"/>
      <c r="H274" s="34"/>
    </row>
    <row r="275" spans="6:8" ht="12.75" customHeight="1" x14ac:dyDescent="0.3">
      <c r="F275" s="34"/>
      <c r="G275" s="34"/>
      <c r="H275" s="34"/>
    </row>
    <row r="276" spans="6:8" ht="12.75" customHeight="1" x14ac:dyDescent="0.3">
      <c r="F276" s="34"/>
      <c r="G276" s="34"/>
      <c r="H276" s="34"/>
    </row>
    <row r="277" spans="6:8" ht="12.75" customHeight="1" x14ac:dyDescent="0.3">
      <c r="F277" s="34"/>
      <c r="G277" s="34"/>
      <c r="H277" s="34"/>
    </row>
    <row r="278" spans="6:8" ht="12.75" customHeight="1" x14ac:dyDescent="0.3">
      <c r="F278" s="34"/>
      <c r="G278" s="34"/>
      <c r="H278" s="34"/>
    </row>
    <row r="279" spans="6:8" ht="12.75" customHeight="1" x14ac:dyDescent="0.3">
      <c r="F279" s="34"/>
      <c r="G279" s="34"/>
      <c r="H279" s="34"/>
    </row>
    <row r="280" spans="6:8" ht="12.75" customHeight="1" x14ac:dyDescent="0.3">
      <c r="F280" s="34"/>
      <c r="G280" s="34"/>
      <c r="H280" s="34"/>
    </row>
    <row r="281" spans="6:8" ht="12.75" customHeight="1" x14ac:dyDescent="0.3">
      <c r="F281" s="34"/>
      <c r="G281" s="34"/>
      <c r="H281" s="34"/>
    </row>
    <row r="282" spans="6:8" ht="12.75" customHeight="1" x14ac:dyDescent="0.3">
      <c r="F282" s="34"/>
      <c r="G282" s="34"/>
      <c r="H282" s="34"/>
    </row>
    <row r="283" spans="6:8" ht="12.75" customHeight="1" x14ac:dyDescent="0.3">
      <c r="F283" s="34"/>
      <c r="G283" s="34"/>
      <c r="H283" s="34"/>
    </row>
    <row r="284" spans="6:8" ht="12.75" customHeight="1" x14ac:dyDescent="0.3">
      <c r="F284" s="34"/>
      <c r="G284" s="34"/>
      <c r="H284" s="34"/>
    </row>
    <row r="285" spans="6:8" ht="12.75" customHeight="1" x14ac:dyDescent="0.3">
      <c r="F285" s="34"/>
      <c r="G285" s="34"/>
      <c r="H285" s="34"/>
    </row>
    <row r="286" spans="6:8" ht="12.75" customHeight="1" x14ac:dyDescent="0.3">
      <c r="F286" s="34"/>
      <c r="G286" s="34"/>
      <c r="H286" s="34"/>
    </row>
    <row r="287" spans="6:8" ht="12.75" customHeight="1" x14ac:dyDescent="0.3">
      <c r="F287" s="34"/>
      <c r="G287" s="34"/>
      <c r="H287" s="34"/>
    </row>
    <row r="288" spans="6:8" ht="12.75" customHeight="1" x14ac:dyDescent="0.3">
      <c r="F288" s="34"/>
      <c r="G288" s="34"/>
      <c r="H288" s="34"/>
    </row>
    <row r="289" spans="6:8" ht="12.75" customHeight="1" x14ac:dyDescent="0.3">
      <c r="F289" s="34"/>
      <c r="G289" s="34"/>
      <c r="H289" s="34"/>
    </row>
    <row r="290" spans="6:8" ht="12.75" customHeight="1" x14ac:dyDescent="0.3">
      <c r="F290" s="34"/>
      <c r="G290" s="34"/>
      <c r="H290" s="34"/>
    </row>
    <row r="291" spans="6:8" ht="12.75" customHeight="1" x14ac:dyDescent="0.3">
      <c r="F291" s="34"/>
      <c r="G291" s="34"/>
      <c r="H291" s="34"/>
    </row>
    <row r="292" spans="6:8" ht="12.75" customHeight="1" x14ac:dyDescent="0.3">
      <c r="F292" s="34"/>
      <c r="G292" s="34"/>
      <c r="H292" s="34"/>
    </row>
    <row r="293" spans="6:8" ht="12.75" customHeight="1" x14ac:dyDescent="0.3">
      <c r="F293" s="34"/>
      <c r="G293" s="34"/>
      <c r="H293" s="34"/>
    </row>
    <row r="294" spans="6:8" ht="12.75" customHeight="1" x14ac:dyDescent="0.3">
      <c r="F294" s="34"/>
      <c r="G294" s="34"/>
      <c r="H294" s="34"/>
    </row>
    <row r="295" spans="6:8" ht="12.75" customHeight="1" x14ac:dyDescent="0.3">
      <c r="F295" s="34"/>
      <c r="G295" s="34"/>
      <c r="H295" s="34"/>
    </row>
    <row r="296" spans="6:8" ht="12.75" customHeight="1" x14ac:dyDescent="0.3">
      <c r="F296" s="34"/>
      <c r="G296" s="34"/>
      <c r="H296" s="34"/>
    </row>
    <row r="297" spans="6:8" ht="12.75" customHeight="1" x14ac:dyDescent="0.3">
      <c r="F297" s="34"/>
      <c r="G297" s="34"/>
      <c r="H297" s="34"/>
    </row>
    <row r="298" spans="6:8" ht="12.75" customHeight="1" x14ac:dyDescent="0.3">
      <c r="F298" s="34"/>
      <c r="G298" s="34"/>
      <c r="H298" s="34"/>
    </row>
    <row r="299" spans="6:8" ht="12.75" customHeight="1" x14ac:dyDescent="0.3">
      <c r="F299" s="34"/>
      <c r="G299" s="34"/>
      <c r="H299" s="34"/>
    </row>
    <row r="300" spans="6:8" ht="12.75" customHeight="1" x14ac:dyDescent="0.3">
      <c r="F300" s="34"/>
      <c r="G300" s="34"/>
      <c r="H300" s="34"/>
    </row>
    <row r="301" spans="6:8" ht="12.75" customHeight="1" x14ac:dyDescent="0.3">
      <c r="F301" s="34"/>
      <c r="G301" s="34"/>
      <c r="H301" s="34"/>
    </row>
    <row r="302" spans="6:8" ht="12.75" customHeight="1" x14ac:dyDescent="0.3">
      <c r="F302" s="34"/>
      <c r="G302" s="34"/>
      <c r="H302" s="34"/>
    </row>
    <row r="303" spans="6:8" ht="12.75" customHeight="1" x14ac:dyDescent="0.3">
      <c r="F303" s="34"/>
      <c r="G303" s="34"/>
      <c r="H303" s="34"/>
    </row>
    <row r="304" spans="6:8" ht="12.75" customHeight="1" x14ac:dyDescent="0.3">
      <c r="F304" s="34"/>
      <c r="G304" s="34"/>
      <c r="H304" s="34"/>
    </row>
    <row r="305" spans="6:8" ht="12.75" customHeight="1" x14ac:dyDescent="0.3">
      <c r="F305" s="34"/>
      <c r="G305" s="34"/>
      <c r="H305" s="34"/>
    </row>
    <row r="306" spans="6:8" ht="12.75" customHeight="1" x14ac:dyDescent="0.3">
      <c r="F306" s="34"/>
      <c r="G306" s="34"/>
      <c r="H306" s="34"/>
    </row>
    <row r="307" spans="6:8" ht="12.75" customHeight="1" x14ac:dyDescent="0.3">
      <c r="F307" s="34"/>
      <c r="G307" s="34"/>
      <c r="H307" s="34"/>
    </row>
    <row r="308" spans="6:8" ht="12.75" customHeight="1" x14ac:dyDescent="0.3">
      <c r="F308" s="34"/>
      <c r="G308" s="34"/>
      <c r="H308" s="34"/>
    </row>
    <row r="309" spans="6:8" ht="12.75" customHeight="1" x14ac:dyDescent="0.3">
      <c r="F309" s="34"/>
      <c r="G309" s="34"/>
      <c r="H309" s="34"/>
    </row>
    <row r="310" spans="6:8" ht="12.75" customHeight="1" x14ac:dyDescent="0.3">
      <c r="F310" s="34"/>
      <c r="G310" s="34"/>
      <c r="H310" s="34"/>
    </row>
    <row r="311" spans="6:8" ht="12.75" customHeight="1" x14ac:dyDescent="0.3">
      <c r="F311" s="34"/>
      <c r="G311" s="34"/>
      <c r="H311" s="34"/>
    </row>
    <row r="312" spans="6:8" ht="12.75" customHeight="1" x14ac:dyDescent="0.3">
      <c r="F312" s="34"/>
      <c r="G312" s="34"/>
      <c r="H312" s="34"/>
    </row>
    <row r="313" spans="6:8" ht="12.75" customHeight="1" x14ac:dyDescent="0.3">
      <c r="F313" s="34"/>
      <c r="G313" s="34"/>
      <c r="H313" s="34"/>
    </row>
    <row r="314" spans="6:8" ht="12.75" customHeight="1" x14ac:dyDescent="0.3">
      <c r="F314" s="34"/>
      <c r="G314" s="34"/>
      <c r="H314" s="34"/>
    </row>
    <row r="315" spans="6:8" ht="12.75" customHeight="1" x14ac:dyDescent="0.3">
      <c r="F315" s="34"/>
      <c r="G315" s="34"/>
      <c r="H315" s="34"/>
    </row>
    <row r="316" spans="6:8" ht="12.75" customHeight="1" x14ac:dyDescent="0.3">
      <c r="F316" s="34"/>
      <c r="G316" s="34"/>
      <c r="H316" s="34"/>
    </row>
    <row r="317" spans="6:8" ht="12.75" customHeight="1" x14ac:dyDescent="0.3">
      <c r="F317" s="34"/>
      <c r="G317" s="34"/>
      <c r="H317" s="34"/>
    </row>
    <row r="318" spans="6:8" ht="12.75" customHeight="1" x14ac:dyDescent="0.3">
      <c r="F318" s="34"/>
      <c r="G318" s="34"/>
      <c r="H318" s="34"/>
    </row>
    <row r="319" spans="6:8" ht="12.75" customHeight="1" x14ac:dyDescent="0.3">
      <c r="F319" s="34"/>
      <c r="G319" s="34"/>
      <c r="H319" s="34"/>
    </row>
    <row r="320" spans="6:8" ht="12.75" customHeight="1" x14ac:dyDescent="0.3">
      <c r="F320" s="34"/>
      <c r="G320" s="34"/>
      <c r="H320" s="34"/>
    </row>
    <row r="321" spans="6:8" ht="12.75" customHeight="1" x14ac:dyDescent="0.3">
      <c r="F321" s="34"/>
      <c r="G321" s="34"/>
      <c r="H321" s="34"/>
    </row>
    <row r="322" spans="6:8" ht="12.75" customHeight="1" x14ac:dyDescent="0.3">
      <c r="F322" s="34"/>
      <c r="G322" s="34"/>
      <c r="H322" s="34"/>
    </row>
    <row r="323" spans="6:8" ht="12.75" customHeight="1" x14ac:dyDescent="0.3">
      <c r="F323" s="34"/>
      <c r="G323" s="34"/>
      <c r="H323" s="34"/>
    </row>
    <row r="324" spans="6:8" ht="12.75" customHeight="1" x14ac:dyDescent="0.3">
      <c r="F324" s="34"/>
      <c r="G324" s="34"/>
      <c r="H324" s="34"/>
    </row>
    <row r="325" spans="6:8" ht="12.75" customHeight="1" x14ac:dyDescent="0.3">
      <c r="F325" s="34"/>
      <c r="G325" s="34"/>
      <c r="H325" s="34"/>
    </row>
    <row r="326" spans="6:8" ht="12.75" customHeight="1" x14ac:dyDescent="0.3">
      <c r="F326" s="34"/>
      <c r="G326" s="34"/>
      <c r="H326" s="34"/>
    </row>
    <row r="327" spans="6:8" ht="12.75" customHeight="1" x14ac:dyDescent="0.3">
      <c r="F327" s="34"/>
      <c r="G327" s="34"/>
      <c r="H327" s="34"/>
    </row>
    <row r="328" spans="6:8" ht="12.75" customHeight="1" x14ac:dyDescent="0.3">
      <c r="F328" s="34"/>
      <c r="G328" s="34"/>
      <c r="H328" s="34"/>
    </row>
    <row r="329" spans="6:8" ht="12.75" customHeight="1" x14ac:dyDescent="0.3">
      <c r="F329" s="34"/>
      <c r="G329" s="34"/>
      <c r="H329" s="34"/>
    </row>
    <row r="330" spans="6:8" ht="12.75" customHeight="1" x14ac:dyDescent="0.3">
      <c r="F330" s="34"/>
      <c r="G330" s="34"/>
      <c r="H330" s="34"/>
    </row>
    <row r="331" spans="6:8" ht="12.75" customHeight="1" x14ac:dyDescent="0.3">
      <c r="F331" s="34"/>
      <c r="G331" s="34"/>
      <c r="H331" s="34"/>
    </row>
    <row r="332" spans="6:8" ht="12.75" customHeight="1" x14ac:dyDescent="0.3">
      <c r="F332" s="34"/>
      <c r="G332" s="34"/>
      <c r="H332" s="34"/>
    </row>
    <row r="333" spans="6:8" ht="12.75" customHeight="1" x14ac:dyDescent="0.3">
      <c r="F333" s="34"/>
      <c r="G333" s="34"/>
      <c r="H333" s="34"/>
    </row>
    <row r="334" spans="6:8" ht="12.75" customHeight="1" x14ac:dyDescent="0.3">
      <c r="F334" s="34"/>
      <c r="G334" s="34"/>
      <c r="H334" s="34"/>
    </row>
    <row r="335" spans="6:8" ht="12.75" customHeight="1" x14ac:dyDescent="0.3">
      <c r="F335" s="34"/>
      <c r="G335" s="34"/>
      <c r="H335" s="34"/>
    </row>
    <row r="336" spans="6:8" ht="12.75" customHeight="1" x14ac:dyDescent="0.3">
      <c r="F336" s="34"/>
      <c r="G336" s="34"/>
      <c r="H336" s="34"/>
    </row>
    <row r="337" spans="6:8" ht="12.75" customHeight="1" x14ac:dyDescent="0.3">
      <c r="F337" s="34"/>
      <c r="G337" s="34"/>
      <c r="H337" s="34"/>
    </row>
    <row r="338" spans="6:8" ht="12.75" customHeight="1" x14ac:dyDescent="0.3">
      <c r="F338" s="34"/>
      <c r="G338" s="34"/>
      <c r="H338" s="34"/>
    </row>
    <row r="339" spans="6:8" ht="12.75" customHeight="1" x14ac:dyDescent="0.3">
      <c r="F339" s="34"/>
      <c r="G339" s="34"/>
      <c r="H339" s="34"/>
    </row>
    <row r="340" spans="6:8" ht="12.75" customHeight="1" x14ac:dyDescent="0.3">
      <c r="F340" s="34"/>
      <c r="G340" s="34"/>
      <c r="H340" s="34"/>
    </row>
    <row r="341" spans="6:8" ht="12.75" customHeight="1" x14ac:dyDescent="0.3">
      <c r="F341" s="34"/>
      <c r="G341" s="34"/>
      <c r="H341" s="34"/>
    </row>
    <row r="342" spans="6:8" ht="12.75" customHeight="1" x14ac:dyDescent="0.3">
      <c r="F342" s="34"/>
      <c r="G342" s="34"/>
      <c r="H342" s="34"/>
    </row>
    <row r="343" spans="6:8" ht="12.75" customHeight="1" x14ac:dyDescent="0.3">
      <c r="F343" s="34"/>
      <c r="G343" s="34"/>
      <c r="H343" s="34"/>
    </row>
    <row r="344" spans="6:8" ht="12.75" customHeight="1" x14ac:dyDescent="0.3">
      <c r="F344" s="34"/>
      <c r="G344" s="34"/>
      <c r="H344" s="34"/>
    </row>
    <row r="345" spans="6:8" ht="12.75" customHeight="1" x14ac:dyDescent="0.3">
      <c r="F345" s="34"/>
      <c r="G345" s="34"/>
      <c r="H345" s="34"/>
    </row>
    <row r="346" spans="6:8" ht="12.75" customHeight="1" x14ac:dyDescent="0.3">
      <c r="F346" s="34"/>
      <c r="G346" s="34"/>
      <c r="H346" s="34"/>
    </row>
    <row r="347" spans="6:8" ht="12.75" customHeight="1" x14ac:dyDescent="0.3">
      <c r="F347" s="34"/>
      <c r="G347" s="34"/>
      <c r="H347" s="34"/>
    </row>
    <row r="348" spans="6:8" ht="12.75" customHeight="1" x14ac:dyDescent="0.3">
      <c r="F348" s="34"/>
      <c r="G348" s="34"/>
      <c r="H348" s="34"/>
    </row>
    <row r="349" spans="6:8" ht="12.75" customHeight="1" x14ac:dyDescent="0.3">
      <c r="F349" s="34"/>
      <c r="G349" s="34"/>
      <c r="H349" s="34"/>
    </row>
    <row r="350" spans="6:8" ht="12.75" customHeight="1" x14ac:dyDescent="0.3">
      <c r="F350" s="34"/>
      <c r="G350" s="34"/>
      <c r="H350" s="34"/>
    </row>
    <row r="351" spans="6:8" ht="12.75" customHeight="1" x14ac:dyDescent="0.3">
      <c r="F351" s="34"/>
      <c r="G351" s="34"/>
      <c r="H351" s="34"/>
    </row>
    <row r="352" spans="6:8" ht="12.75" customHeight="1" x14ac:dyDescent="0.3">
      <c r="F352" s="34"/>
      <c r="G352" s="34"/>
      <c r="H352" s="34"/>
    </row>
    <row r="353" spans="6:8" ht="12.75" customHeight="1" x14ac:dyDescent="0.3">
      <c r="F353" s="34"/>
      <c r="G353" s="34"/>
      <c r="H353" s="34"/>
    </row>
    <row r="354" spans="6:8" ht="12.75" customHeight="1" x14ac:dyDescent="0.3">
      <c r="F354" s="34"/>
      <c r="G354" s="34"/>
      <c r="H354" s="34"/>
    </row>
    <row r="355" spans="6:8" ht="12.75" customHeight="1" x14ac:dyDescent="0.3">
      <c r="F355" s="34"/>
      <c r="G355" s="34"/>
      <c r="H355" s="34"/>
    </row>
    <row r="356" spans="6:8" ht="12.75" customHeight="1" x14ac:dyDescent="0.3">
      <c r="F356" s="34"/>
      <c r="G356" s="34"/>
      <c r="H356" s="34"/>
    </row>
    <row r="357" spans="6:8" ht="12.75" customHeight="1" x14ac:dyDescent="0.3">
      <c r="F357" s="34"/>
      <c r="G357" s="34"/>
      <c r="H357" s="34"/>
    </row>
    <row r="358" spans="6:8" ht="12.75" customHeight="1" x14ac:dyDescent="0.3">
      <c r="F358" s="34"/>
      <c r="G358" s="34"/>
      <c r="H358" s="34"/>
    </row>
    <row r="359" spans="6:8" ht="12.75" customHeight="1" x14ac:dyDescent="0.3">
      <c r="F359" s="34"/>
      <c r="G359" s="34"/>
      <c r="H359" s="34"/>
    </row>
    <row r="360" spans="6:8" ht="12.75" customHeight="1" x14ac:dyDescent="0.3">
      <c r="F360" s="34"/>
      <c r="G360" s="34"/>
      <c r="H360" s="34"/>
    </row>
    <row r="361" spans="6:8" ht="12.75" customHeight="1" x14ac:dyDescent="0.3">
      <c r="F361" s="34"/>
      <c r="G361" s="34"/>
      <c r="H361" s="34"/>
    </row>
    <row r="362" spans="6:8" ht="12.75" customHeight="1" x14ac:dyDescent="0.3">
      <c r="F362" s="34"/>
      <c r="G362" s="34"/>
      <c r="H362" s="34"/>
    </row>
    <row r="363" spans="6:8" ht="12.75" customHeight="1" x14ac:dyDescent="0.3">
      <c r="F363" s="34"/>
      <c r="G363" s="34"/>
      <c r="H363" s="34"/>
    </row>
    <row r="364" spans="6:8" ht="12.75" customHeight="1" x14ac:dyDescent="0.3">
      <c r="F364" s="34"/>
      <c r="G364" s="34"/>
      <c r="H364" s="34"/>
    </row>
    <row r="365" spans="6:8" ht="12.75" customHeight="1" x14ac:dyDescent="0.3">
      <c r="F365" s="34"/>
      <c r="G365" s="34"/>
      <c r="H365" s="34"/>
    </row>
    <row r="366" spans="6:8" ht="12.75" customHeight="1" x14ac:dyDescent="0.3">
      <c r="F366" s="34"/>
      <c r="G366" s="34"/>
      <c r="H366" s="34"/>
    </row>
    <row r="367" spans="6:8" ht="12.75" customHeight="1" x14ac:dyDescent="0.3">
      <c r="F367" s="34"/>
      <c r="G367" s="34"/>
      <c r="H367" s="34"/>
    </row>
    <row r="368" spans="6:8" ht="12.75" customHeight="1" x14ac:dyDescent="0.3">
      <c r="F368" s="34"/>
      <c r="G368" s="34"/>
      <c r="H368" s="34"/>
    </row>
    <row r="369" spans="6:8" ht="12.75" customHeight="1" x14ac:dyDescent="0.3">
      <c r="F369" s="34"/>
      <c r="G369" s="34"/>
      <c r="H369" s="34"/>
    </row>
    <row r="370" spans="6:8" ht="12.75" customHeight="1" x14ac:dyDescent="0.3">
      <c r="F370" s="34"/>
      <c r="G370" s="34"/>
      <c r="H370" s="34"/>
    </row>
    <row r="371" spans="6:8" ht="12.75" customHeight="1" x14ac:dyDescent="0.3">
      <c r="F371" s="34"/>
      <c r="G371" s="34"/>
      <c r="H371" s="34"/>
    </row>
    <row r="372" spans="6:8" ht="12.75" customHeight="1" x14ac:dyDescent="0.3">
      <c r="F372" s="34"/>
      <c r="G372" s="34"/>
      <c r="H372" s="34"/>
    </row>
    <row r="373" spans="6:8" ht="12.75" customHeight="1" x14ac:dyDescent="0.3">
      <c r="F373" s="34"/>
      <c r="G373" s="34"/>
      <c r="H373" s="34"/>
    </row>
    <row r="374" spans="6:8" ht="12.75" customHeight="1" x14ac:dyDescent="0.3">
      <c r="F374" s="34"/>
      <c r="G374" s="34"/>
      <c r="H374" s="34"/>
    </row>
    <row r="375" spans="6:8" ht="12.75" customHeight="1" x14ac:dyDescent="0.3">
      <c r="F375" s="34"/>
      <c r="G375" s="34"/>
      <c r="H375" s="34"/>
    </row>
    <row r="376" spans="6:8" ht="12.75" customHeight="1" x14ac:dyDescent="0.3">
      <c r="F376" s="34"/>
      <c r="G376" s="34"/>
      <c r="H376" s="34"/>
    </row>
    <row r="377" spans="6:8" ht="12.75" customHeight="1" x14ac:dyDescent="0.3">
      <c r="F377" s="34"/>
      <c r="G377" s="34"/>
      <c r="H377" s="34"/>
    </row>
    <row r="378" spans="6:8" ht="12.75" customHeight="1" x14ac:dyDescent="0.3">
      <c r="F378" s="34"/>
      <c r="G378" s="34"/>
      <c r="H378" s="34"/>
    </row>
    <row r="379" spans="6:8" ht="12.75" customHeight="1" x14ac:dyDescent="0.3">
      <c r="F379" s="34"/>
      <c r="G379" s="34"/>
      <c r="H379" s="34"/>
    </row>
    <row r="380" spans="6:8" ht="12.75" customHeight="1" x14ac:dyDescent="0.3">
      <c r="F380" s="34"/>
      <c r="G380" s="34"/>
      <c r="H380" s="34"/>
    </row>
    <row r="381" spans="6:8" ht="12.75" customHeight="1" x14ac:dyDescent="0.3">
      <c r="F381" s="34"/>
      <c r="G381" s="34"/>
      <c r="H381" s="34"/>
    </row>
    <row r="382" spans="6:8" ht="12.75" customHeight="1" x14ac:dyDescent="0.3">
      <c r="F382" s="34"/>
      <c r="G382" s="34"/>
      <c r="H382" s="34"/>
    </row>
    <row r="383" spans="6:8" ht="12.75" customHeight="1" x14ac:dyDescent="0.3">
      <c r="F383" s="34"/>
      <c r="G383" s="34"/>
      <c r="H383" s="34"/>
    </row>
    <row r="384" spans="6:8" ht="12.75" customHeight="1" x14ac:dyDescent="0.3">
      <c r="F384" s="34"/>
      <c r="G384" s="34"/>
      <c r="H384" s="34"/>
    </row>
    <row r="385" spans="6:8" ht="12.75" customHeight="1" x14ac:dyDescent="0.3">
      <c r="F385" s="34"/>
      <c r="G385" s="34"/>
      <c r="H385" s="34"/>
    </row>
    <row r="386" spans="6:8" ht="12.75" customHeight="1" x14ac:dyDescent="0.3">
      <c r="F386" s="34"/>
      <c r="G386" s="34"/>
      <c r="H386" s="34"/>
    </row>
    <row r="387" spans="6:8" ht="12.75" customHeight="1" x14ac:dyDescent="0.3">
      <c r="F387" s="34"/>
      <c r="G387" s="34"/>
      <c r="H387" s="34"/>
    </row>
    <row r="388" spans="6:8" ht="12.75" customHeight="1" x14ac:dyDescent="0.3">
      <c r="F388" s="34"/>
      <c r="G388" s="34"/>
      <c r="H388" s="34"/>
    </row>
    <row r="389" spans="6:8" ht="12.75" customHeight="1" x14ac:dyDescent="0.3">
      <c r="F389" s="34"/>
      <c r="G389" s="34"/>
      <c r="H389" s="34"/>
    </row>
    <row r="390" spans="6:8" ht="12.75" customHeight="1" x14ac:dyDescent="0.3">
      <c r="F390" s="34"/>
      <c r="G390" s="34"/>
      <c r="H390" s="34"/>
    </row>
    <row r="391" spans="6:8" ht="12.75" customHeight="1" x14ac:dyDescent="0.3">
      <c r="F391" s="34"/>
      <c r="G391" s="34"/>
      <c r="H391" s="34"/>
    </row>
    <row r="392" spans="6:8" ht="12.75" customHeight="1" x14ac:dyDescent="0.3">
      <c r="F392" s="34"/>
      <c r="G392" s="34"/>
      <c r="H392" s="34"/>
    </row>
    <row r="393" spans="6:8" ht="12.75" customHeight="1" x14ac:dyDescent="0.3">
      <c r="F393" s="34"/>
      <c r="G393" s="34"/>
      <c r="H393" s="34"/>
    </row>
    <row r="394" spans="6:8" ht="12.75" customHeight="1" x14ac:dyDescent="0.3">
      <c r="F394" s="34"/>
      <c r="G394" s="34"/>
      <c r="H394" s="34"/>
    </row>
    <row r="395" spans="6:8" ht="12.75" customHeight="1" x14ac:dyDescent="0.3">
      <c r="F395" s="34"/>
      <c r="G395" s="34"/>
      <c r="H395" s="34"/>
    </row>
    <row r="396" spans="6:8" ht="12.75" customHeight="1" x14ac:dyDescent="0.3">
      <c r="F396" s="34"/>
      <c r="G396" s="34"/>
      <c r="H396" s="34"/>
    </row>
    <row r="397" spans="6:8" ht="12.75" customHeight="1" x14ac:dyDescent="0.3">
      <c r="F397" s="34"/>
      <c r="G397" s="34"/>
      <c r="H397" s="34"/>
    </row>
    <row r="398" spans="6:8" ht="12.75" customHeight="1" x14ac:dyDescent="0.3">
      <c r="F398" s="34"/>
      <c r="G398" s="34"/>
      <c r="H398" s="34"/>
    </row>
    <row r="399" spans="6:8" ht="12.75" customHeight="1" x14ac:dyDescent="0.3">
      <c r="F399" s="34"/>
      <c r="G399" s="34"/>
      <c r="H399" s="34"/>
    </row>
    <row r="400" spans="6:8" ht="12.75" customHeight="1" x14ac:dyDescent="0.3">
      <c r="F400" s="34"/>
      <c r="G400" s="34"/>
      <c r="H400" s="34"/>
    </row>
    <row r="401" spans="6:8" ht="12.75" customHeight="1" x14ac:dyDescent="0.3">
      <c r="F401" s="34"/>
      <c r="G401" s="34"/>
      <c r="H401" s="34"/>
    </row>
    <row r="402" spans="6:8" ht="12.75" customHeight="1" x14ac:dyDescent="0.3">
      <c r="F402" s="34"/>
      <c r="G402" s="34"/>
      <c r="H402" s="34"/>
    </row>
    <row r="403" spans="6:8" ht="12.75" customHeight="1" x14ac:dyDescent="0.3">
      <c r="F403" s="34"/>
      <c r="G403" s="34"/>
      <c r="H403" s="34"/>
    </row>
    <row r="404" spans="6:8" ht="12.75" customHeight="1" x14ac:dyDescent="0.3">
      <c r="F404" s="34"/>
      <c r="G404" s="34"/>
      <c r="H404" s="34"/>
    </row>
    <row r="405" spans="6:8" ht="12.75" customHeight="1" x14ac:dyDescent="0.3">
      <c r="F405" s="34"/>
      <c r="G405" s="34"/>
      <c r="H405" s="34"/>
    </row>
    <row r="406" spans="6:8" ht="12.75" customHeight="1" x14ac:dyDescent="0.3">
      <c r="F406" s="34"/>
      <c r="G406" s="34"/>
      <c r="H406" s="34"/>
    </row>
    <row r="407" spans="6:8" ht="12.75" customHeight="1" x14ac:dyDescent="0.3">
      <c r="F407" s="34"/>
      <c r="G407" s="34"/>
      <c r="H407" s="34"/>
    </row>
    <row r="408" spans="6:8" ht="12.75" customHeight="1" x14ac:dyDescent="0.3">
      <c r="F408" s="34"/>
      <c r="G408" s="34"/>
      <c r="H408" s="34"/>
    </row>
    <row r="409" spans="6:8" ht="12.75" customHeight="1" x14ac:dyDescent="0.3">
      <c r="F409" s="34"/>
      <c r="G409" s="34"/>
      <c r="H409" s="34"/>
    </row>
    <row r="410" spans="6:8" ht="12.75" customHeight="1" x14ac:dyDescent="0.3">
      <c r="F410" s="34"/>
      <c r="G410" s="34"/>
      <c r="H410" s="34"/>
    </row>
    <row r="411" spans="6:8" ht="12.75" customHeight="1" x14ac:dyDescent="0.3">
      <c r="F411" s="34"/>
      <c r="G411" s="34"/>
      <c r="H411" s="34"/>
    </row>
    <row r="412" spans="6:8" ht="12.75" customHeight="1" x14ac:dyDescent="0.3">
      <c r="F412" s="34"/>
      <c r="G412" s="34"/>
      <c r="H412" s="34"/>
    </row>
    <row r="413" spans="6:8" ht="12.75" customHeight="1" x14ac:dyDescent="0.3">
      <c r="F413" s="34"/>
      <c r="G413" s="34"/>
      <c r="H413" s="34"/>
    </row>
    <row r="414" spans="6:8" ht="12.75" customHeight="1" x14ac:dyDescent="0.3">
      <c r="F414" s="34"/>
      <c r="G414" s="34"/>
      <c r="H414" s="34"/>
    </row>
    <row r="415" spans="6:8" ht="12.75" customHeight="1" x14ac:dyDescent="0.3">
      <c r="F415" s="34"/>
      <c r="G415" s="34"/>
      <c r="H415" s="34"/>
    </row>
    <row r="416" spans="6:8" ht="12.75" customHeight="1" x14ac:dyDescent="0.3">
      <c r="F416" s="34"/>
      <c r="G416" s="34"/>
      <c r="H416" s="34"/>
    </row>
    <row r="417" spans="6:8" ht="12.75" customHeight="1" x14ac:dyDescent="0.3">
      <c r="F417" s="34"/>
      <c r="G417" s="34"/>
      <c r="H417" s="34"/>
    </row>
    <row r="418" spans="6:8" ht="12.75" customHeight="1" x14ac:dyDescent="0.3">
      <c r="F418" s="34"/>
      <c r="G418" s="34"/>
      <c r="H418" s="34"/>
    </row>
    <row r="419" spans="6:8" ht="12.75" customHeight="1" x14ac:dyDescent="0.3">
      <c r="F419" s="34"/>
      <c r="G419" s="34"/>
      <c r="H419" s="34"/>
    </row>
    <row r="420" spans="6:8" ht="12.75" customHeight="1" x14ac:dyDescent="0.3">
      <c r="F420" s="34"/>
      <c r="G420" s="34"/>
      <c r="H420" s="34"/>
    </row>
    <row r="421" spans="6:8" ht="12.75" customHeight="1" x14ac:dyDescent="0.3">
      <c r="F421" s="34"/>
      <c r="G421" s="34"/>
      <c r="H421" s="34"/>
    </row>
    <row r="422" spans="6:8" ht="12.75" customHeight="1" x14ac:dyDescent="0.3">
      <c r="F422" s="34"/>
      <c r="G422" s="34"/>
      <c r="H422" s="34"/>
    </row>
    <row r="423" spans="6:8" ht="12.75" customHeight="1" x14ac:dyDescent="0.3">
      <c r="F423" s="34"/>
      <c r="G423" s="34"/>
      <c r="H423" s="34"/>
    </row>
    <row r="424" spans="6:8" ht="12.75" customHeight="1" x14ac:dyDescent="0.3">
      <c r="F424" s="34"/>
      <c r="G424" s="34"/>
      <c r="H424" s="34"/>
    </row>
    <row r="425" spans="6:8" ht="12.75" customHeight="1" x14ac:dyDescent="0.3">
      <c r="F425" s="34"/>
      <c r="G425" s="34"/>
      <c r="H425" s="34"/>
    </row>
    <row r="426" spans="6:8" ht="12.75" customHeight="1" x14ac:dyDescent="0.3">
      <c r="F426" s="34"/>
      <c r="G426" s="34"/>
      <c r="H426" s="34"/>
    </row>
    <row r="427" spans="6:8" ht="12.75" customHeight="1" x14ac:dyDescent="0.3">
      <c r="F427" s="34"/>
      <c r="G427" s="34"/>
      <c r="H427" s="34"/>
    </row>
    <row r="428" spans="6:8" ht="12.75" customHeight="1" x14ac:dyDescent="0.3">
      <c r="F428" s="34"/>
      <c r="G428" s="34"/>
      <c r="H428" s="34"/>
    </row>
    <row r="429" spans="6:8" ht="12.75" customHeight="1" x14ac:dyDescent="0.3">
      <c r="F429" s="34"/>
      <c r="G429" s="34"/>
      <c r="H429" s="34"/>
    </row>
    <row r="430" spans="6:8" ht="12.75" customHeight="1" x14ac:dyDescent="0.3">
      <c r="F430" s="34"/>
      <c r="G430" s="34"/>
      <c r="H430" s="34"/>
    </row>
    <row r="431" spans="6:8" ht="12.75" customHeight="1" x14ac:dyDescent="0.3">
      <c r="F431" s="34"/>
      <c r="G431" s="34"/>
      <c r="H431" s="34"/>
    </row>
    <row r="432" spans="6:8" ht="12.75" customHeight="1" x14ac:dyDescent="0.3">
      <c r="F432" s="34"/>
      <c r="G432" s="34"/>
      <c r="H432" s="34"/>
    </row>
    <row r="433" spans="6:8" ht="12.75" customHeight="1" x14ac:dyDescent="0.3">
      <c r="F433" s="34"/>
      <c r="G433" s="34"/>
      <c r="H433" s="34"/>
    </row>
    <row r="434" spans="6:8" ht="12.75" customHeight="1" x14ac:dyDescent="0.3">
      <c r="F434" s="34"/>
      <c r="G434" s="34"/>
      <c r="H434" s="34"/>
    </row>
    <row r="435" spans="6:8" ht="12.75" customHeight="1" x14ac:dyDescent="0.3">
      <c r="F435" s="34"/>
      <c r="G435" s="34"/>
      <c r="H435" s="34"/>
    </row>
    <row r="436" spans="6:8" ht="12.75" customHeight="1" x14ac:dyDescent="0.3">
      <c r="F436" s="34"/>
      <c r="G436" s="34"/>
      <c r="H436" s="34"/>
    </row>
    <row r="437" spans="6:8" ht="12.75" customHeight="1" x14ac:dyDescent="0.3">
      <c r="F437" s="34"/>
      <c r="G437" s="34"/>
      <c r="H437" s="34"/>
    </row>
    <row r="438" spans="6:8" ht="12.75" customHeight="1" x14ac:dyDescent="0.3">
      <c r="F438" s="34"/>
      <c r="G438" s="34"/>
      <c r="H438" s="34"/>
    </row>
    <row r="439" spans="6:8" ht="12.75" customHeight="1" x14ac:dyDescent="0.3">
      <c r="F439" s="34"/>
      <c r="G439" s="34"/>
      <c r="H439" s="34"/>
    </row>
    <row r="440" spans="6:8" ht="12.75" customHeight="1" x14ac:dyDescent="0.3">
      <c r="F440" s="34"/>
      <c r="G440" s="34"/>
      <c r="H440" s="34"/>
    </row>
    <row r="441" spans="6:8" ht="12.75" customHeight="1" x14ac:dyDescent="0.3">
      <c r="F441" s="34"/>
      <c r="G441" s="34"/>
      <c r="H441" s="34"/>
    </row>
    <row r="442" spans="6:8" ht="12.75" customHeight="1" x14ac:dyDescent="0.3">
      <c r="F442" s="34"/>
      <c r="G442" s="34"/>
      <c r="H442" s="34"/>
    </row>
    <row r="443" spans="6:8" ht="12.75" customHeight="1" x14ac:dyDescent="0.3">
      <c r="F443" s="34"/>
      <c r="G443" s="34"/>
      <c r="H443" s="34"/>
    </row>
    <row r="444" spans="6:8" ht="12.75" customHeight="1" x14ac:dyDescent="0.3">
      <c r="F444" s="34"/>
      <c r="G444" s="34"/>
      <c r="H444" s="34"/>
    </row>
    <row r="445" spans="6:8" ht="12.75" customHeight="1" x14ac:dyDescent="0.3">
      <c r="F445" s="34"/>
      <c r="G445" s="34"/>
      <c r="H445" s="34"/>
    </row>
    <row r="446" spans="6:8" ht="12.75" customHeight="1" x14ac:dyDescent="0.3">
      <c r="F446" s="34"/>
      <c r="G446" s="34"/>
      <c r="H446" s="34"/>
    </row>
    <row r="447" spans="6:8" ht="12.75" customHeight="1" x14ac:dyDescent="0.3">
      <c r="F447" s="34"/>
      <c r="G447" s="34"/>
      <c r="H447" s="34"/>
    </row>
    <row r="448" spans="6:8" ht="12.75" customHeight="1" x14ac:dyDescent="0.3">
      <c r="F448" s="34"/>
      <c r="G448" s="34"/>
      <c r="H448" s="34"/>
    </row>
    <row r="449" spans="6:8" ht="12.75" customHeight="1" x14ac:dyDescent="0.3">
      <c r="F449" s="34"/>
      <c r="G449" s="34"/>
      <c r="H449" s="34"/>
    </row>
    <row r="450" spans="6:8" ht="12.75" customHeight="1" x14ac:dyDescent="0.3">
      <c r="F450" s="34"/>
      <c r="G450" s="34"/>
      <c r="H450" s="34"/>
    </row>
    <row r="451" spans="6:8" ht="12.75" customHeight="1" x14ac:dyDescent="0.3">
      <c r="F451" s="34"/>
      <c r="G451" s="34"/>
      <c r="H451" s="34"/>
    </row>
    <row r="452" spans="6:8" ht="12.75" customHeight="1" x14ac:dyDescent="0.3">
      <c r="F452" s="34"/>
      <c r="G452" s="34"/>
      <c r="H452" s="34"/>
    </row>
    <row r="453" spans="6:8" ht="12.75" customHeight="1" x14ac:dyDescent="0.3">
      <c r="F453" s="34"/>
      <c r="G453" s="34"/>
      <c r="H453" s="34"/>
    </row>
    <row r="454" spans="6:8" ht="12.75" customHeight="1" x14ac:dyDescent="0.3">
      <c r="F454" s="34"/>
      <c r="G454" s="34"/>
      <c r="H454" s="34"/>
    </row>
    <row r="455" spans="6:8" ht="12.75" customHeight="1" x14ac:dyDescent="0.3">
      <c r="F455" s="34"/>
      <c r="G455" s="34"/>
      <c r="H455" s="34"/>
    </row>
    <row r="456" spans="6:8" ht="12.75" customHeight="1" x14ac:dyDescent="0.3">
      <c r="F456" s="34"/>
      <c r="G456" s="34"/>
      <c r="H456" s="34"/>
    </row>
    <row r="457" spans="6:8" ht="12.75" customHeight="1" x14ac:dyDescent="0.3">
      <c r="F457" s="34"/>
      <c r="G457" s="34"/>
      <c r="H457" s="34"/>
    </row>
    <row r="458" spans="6:8" ht="12.75" customHeight="1" x14ac:dyDescent="0.3">
      <c r="F458" s="34"/>
      <c r="G458" s="34"/>
      <c r="H458" s="34"/>
    </row>
    <row r="459" spans="6:8" ht="12.75" customHeight="1" x14ac:dyDescent="0.3">
      <c r="F459" s="34"/>
      <c r="G459" s="34"/>
      <c r="H459" s="34"/>
    </row>
    <row r="460" spans="6:8" ht="12.75" customHeight="1" x14ac:dyDescent="0.3">
      <c r="F460" s="34"/>
      <c r="G460" s="34"/>
      <c r="H460" s="34"/>
    </row>
    <row r="461" spans="6:8" ht="12.75" customHeight="1" x14ac:dyDescent="0.3">
      <c r="F461" s="34"/>
      <c r="G461" s="34"/>
      <c r="H461" s="34"/>
    </row>
    <row r="462" spans="6:8" ht="12.75" customHeight="1" x14ac:dyDescent="0.3">
      <c r="F462" s="34"/>
      <c r="G462" s="34"/>
      <c r="H462" s="34"/>
    </row>
    <row r="463" spans="6:8" ht="12.75" customHeight="1" x14ac:dyDescent="0.3">
      <c r="F463" s="34"/>
      <c r="G463" s="34"/>
      <c r="H463" s="34"/>
    </row>
    <row r="464" spans="6:8" ht="12.75" customHeight="1" x14ac:dyDescent="0.3">
      <c r="F464" s="34"/>
      <c r="G464" s="34"/>
      <c r="H464" s="34"/>
    </row>
    <row r="465" spans="6:8" ht="12.75" customHeight="1" x14ac:dyDescent="0.3">
      <c r="F465" s="34"/>
      <c r="G465" s="34"/>
      <c r="H465" s="34"/>
    </row>
    <row r="466" spans="6:8" ht="12.75" customHeight="1" x14ac:dyDescent="0.3">
      <c r="F466" s="34"/>
      <c r="G466" s="34"/>
      <c r="H466" s="34"/>
    </row>
    <row r="467" spans="6:8" ht="12.75" customHeight="1" x14ac:dyDescent="0.3">
      <c r="F467" s="34"/>
      <c r="G467" s="34"/>
      <c r="H467" s="34"/>
    </row>
    <row r="468" spans="6:8" ht="12.75" customHeight="1" x14ac:dyDescent="0.3">
      <c r="F468" s="34"/>
      <c r="G468" s="34"/>
      <c r="H468" s="34"/>
    </row>
    <row r="469" spans="6:8" ht="12.75" customHeight="1" x14ac:dyDescent="0.3">
      <c r="F469" s="34"/>
      <c r="G469" s="34"/>
      <c r="H469" s="34"/>
    </row>
    <row r="470" spans="6:8" ht="12.75" customHeight="1" x14ac:dyDescent="0.3">
      <c r="F470" s="34"/>
      <c r="G470" s="34"/>
      <c r="H470" s="34"/>
    </row>
    <row r="471" spans="6:8" ht="12.75" customHeight="1" x14ac:dyDescent="0.3">
      <c r="F471" s="34"/>
      <c r="G471" s="34"/>
      <c r="H471" s="34"/>
    </row>
    <row r="472" spans="6:8" ht="12.75" customHeight="1" x14ac:dyDescent="0.3">
      <c r="F472" s="34"/>
      <c r="G472" s="34"/>
      <c r="H472" s="34"/>
    </row>
    <row r="473" spans="6:8" ht="12.75" customHeight="1" x14ac:dyDescent="0.3">
      <c r="F473" s="34"/>
      <c r="G473" s="34"/>
      <c r="H473" s="34"/>
    </row>
    <row r="474" spans="6:8" ht="12.75" customHeight="1" x14ac:dyDescent="0.3">
      <c r="F474" s="34"/>
      <c r="G474" s="34"/>
      <c r="H474" s="34"/>
    </row>
    <row r="475" spans="6:8" ht="12.75" customHeight="1" x14ac:dyDescent="0.3">
      <c r="F475" s="34"/>
      <c r="G475" s="34"/>
      <c r="H475" s="34"/>
    </row>
    <row r="476" spans="6:8" ht="12.75" customHeight="1" x14ac:dyDescent="0.3">
      <c r="F476" s="34"/>
      <c r="G476" s="34"/>
      <c r="H476" s="34"/>
    </row>
    <row r="477" spans="6:8" ht="12.75" customHeight="1" x14ac:dyDescent="0.3">
      <c r="F477" s="34"/>
      <c r="G477" s="34"/>
      <c r="H477" s="34"/>
    </row>
    <row r="478" spans="6:8" ht="12.75" customHeight="1" x14ac:dyDescent="0.3">
      <c r="F478" s="34"/>
      <c r="G478" s="34"/>
      <c r="H478" s="34"/>
    </row>
    <row r="479" spans="6:8" ht="12.75" customHeight="1" x14ac:dyDescent="0.3">
      <c r="F479" s="34"/>
      <c r="G479" s="34"/>
      <c r="H479" s="34"/>
    </row>
    <row r="480" spans="6:8" ht="12.75" customHeight="1" x14ac:dyDescent="0.3">
      <c r="F480" s="34"/>
      <c r="G480" s="34"/>
      <c r="H480" s="34"/>
    </row>
    <row r="481" spans="6:8" ht="12.75" customHeight="1" x14ac:dyDescent="0.3">
      <c r="F481" s="34"/>
      <c r="G481" s="34"/>
      <c r="H481" s="34"/>
    </row>
    <row r="482" spans="6:8" ht="12.75" customHeight="1" x14ac:dyDescent="0.3">
      <c r="F482" s="34"/>
      <c r="G482" s="34"/>
      <c r="H482" s="34"/>
    </row>
    <row r="483" spans="6:8" ht="12.75" customHeight="1" x14ac:dyDescent="0.3">
      <c r="F483" s="34"/>
      <c r="G483" s="34"/>
      <c r="H483" s="34"/>
    </row>
    <row r="484" spans="6:8" ht="12.75" customHeight="1" x14ac:dyDescent="0.3">
      <c r="F484" s="34"/>
      <c r="G484" s="34"/>
      <c r="H484" s="34"/>
    </row>
    <row r="485" spans="6:8" ht="12.75" customHeight="1" x14ac:dyDescent="0.3">
      <c r="F485" s="34"/>
      <c r="G485" s="34"/>
      <c r="H485" s="34"/>
    </row>
    <row r="486" spans="6:8" ht="12.75" customHeight="1" x14ac:dyDescent="0.3">
      <c r="F486" s="34"/>
      <c r="G486" s="34"/>
      <c r="H486" s="34"/>
    </row>
    <row r="487" spans="6:8" ht="12.75" customHeight="1" x14ac:dyDescent="0.3">
      <c r="F487" s="34"/>
      <c r="G487" s="34"/>
      <c r="H487" s="34"/>
    </row>
    <row r="488" spans="6:8" ht="12.75" customHeight="1" x14ac:dyDescent="0.3">
      <c r="F488" s="34"/>
      <c r="G488" s="34"/>
      <c r="H488" s="34"/>
    </row>
    <row r="489" spans="6:8" ht="12.75" customHeight="1" x14ac:dyDescent="0.3">
      <c r="F489" s="34"/>
      <c r="G489" s="34"/>
      <c r="H489" s="34"/>
    </row>
    <row r="490" spans="6:8" ht="12.75" customHeight="1" x14ac:dyDescent="0.3">
      <c r="F490" s="34"/>
      <c r="G490" s="34"/>
      <c r="H490" s="34"/>
    </row>
    <row r="491" spans="6:8" ht="12.75" customHeight="1" x14ac:dyDescent="0.3">
      <c r="F491" s="34"/>
      <c r="G491" s="34"/>
      <c r="H491" s="34"/>
    </row>
    <row r="492" spans="6:8" ht="12.75" customHeight="1" x14ac:dyDescent="0.3">
      <c r="F492" s="34"/>
      <c r="G492" s="34"/>
      <c r="H492" s="34"/>
    </row>
    <row r="493" spans="6:8" ht="12.75" customHeight="1" x14ac:dyDescent="0.3">
      <c r="F493" s="34"/>
      <c r="G493" s="34"/>
      <c r="H493" s="34"/>
    </row>
    <row r="494" spans="6:8" ht="12.75" customHeight="1" x14ac:dyDescent="0.3">
      <c r="F494" s="34"/>
      <c r="G494" s="34"/>
      <c r="H494" s="34"/>
    </row>
    <row r="495" spans="6:8" ht="12.75" customHeight="1" x14ac:dyDescent="0.3">
      <c r="F495" s="34"/>
      <c r="G495" s="34"/>
      <c r="H495" s="34"/>
    </row>
    <row r="496" spans="6:8" ht="12.75" customHeight="1" x14ac:dyDescent="0.3">
      <c r="F496" s="34"/>
      <c r="G496" s="34"/>
      <c r="H496" s="34"/>
    </row>
    <row r="497" spans="6:8" ht="12.75" customHeight="1" x14ac:dyDescent="0.3">
      <c r="F497" s="34"/>
      <c r="G497" s="34"/>
      <c r="H497" s="34"/>
    </row>
    <row r="498" spans="6:8" ht="12.75" customHeight="1" x14ac:dyDescent="0.3">
      <c r="F498" s="34"/>
      <c r="G498" s="34"/>
      <c r="H498" s="34"/>
    </row>
    <row r="499" spans="6:8" ht="12.75" customHeight="1" x14ac:dyDescent="0.3">
      <c r="F499" s="34"/>
      <c r="G499" s="34"/>
      <c r="H499" s="34"/>
    </row>
    <row r="500" spans="6:8" ht="12.75" customHeight="1" x14ac:dyDescent="0.3">
      <c r="F500" s="34"/>
      <c r="G500" s="34"/>
      <c r="H500" s="34"/>
    </row>
    <row r="501" spans="6:8" ht="12.75" customHeight="1" x14ac:dyDescent="0.3">
      <c r="F501" s="34"/>
      <c r="G501" s="34"/>
      <c r="H501" s="34"/>
    </row>
    <row r="502" spans="6:8" ht="12.75" customHeight="1" x14ac:dyDescent="0.3">
      <c r="F502" s="34"/>
      <c r="G502" s="34"/>
      <c r="H502" s="34"/>
    </row>
    <row r="503" spans="6:8" ht="12.75" customHeight="1" x14ac:dyDescent="0.3">
      <c r="F503" s="34"/>
      <c r="G503" s="34"/>
      <c r="H503" s="34"/>
    </row>
    <row r="504" spans="6:8" ht="12.75" customHeight="1" x14ac:dyDescent="0.3">
      <c r="F504" s="34"/>
      <c r="G504" s="34"/>
      <c r="H504" s="34"/>
    </row>
    <row r="505" spans="6:8" ht="12.75" customHeight="1" x14ac:dyDescent="0.3">
      <c r="F505" s="34"/>
      <c r="G505" s="34"/>
      <c r="H505" s="34"/>
    </row>
    <row r="506" spans="6:8" ht="12.75" customHeight="1" x14ac:dyDescent="0.3">
      <c r="F506" s="34"/>
      <c r="G506" s="34"/>
      <c r="H506" s="34"/>
    </row>
    <row r="507" spans="6:8" ht="12.75" customHeight="1" x14ac:dyDescent="0.3">
      <c r="F507" s="34"/>
      <c r="G507" s="34"/>
      <c r="H507" s="34"/>
    </row>
    <row r="508" spans="6:8" ht="12.75" customHeight="1" x14ac:dyDescent="0.3">
      <c r="F508" s="34"/>
      <c r="G508" s="34"/>
      <c r="H508" s="34"/>
    </row>
    <row r="509" spans="6:8" ht="12.75" customHeight="1" x14ac:dyDescent="0.3">
      <c r="F509" s="34"/>
      <c r="G509" s="34"/>
      <c r="H509" s="34"/>
    </row>
    <row r="510" spans="6:8" ht="12.75" customHeight="1" x14ac:dyDescent="0.3">
      <c r="F510" s="34"/>
      <c r="G510" s="34"/>
      <c r="H510" s="34"/>
    </row>
    <row r="511" spans="6:8" ht="12.75" customHeight="1" x14ac:dyDescent="0.3">
      <c r="F511" s="34"/>
      <c r="G511" s="34"/>
      <c r="H511" s="34"/>
    </row>
    <row r="512" spans="6:8" ht="12.75" customHeight="1" x14ac:dyDescent="0.3">
      <c r="F512" s="34"/>
      <c r="G512" s="34"/>
      <c r="H512" s="34"/>
    </row>
    <row r="513" spans="6:8" ht="12.75" customHeight="1" x14ac:dyDescent="0.3">
      <c r="F513" s="34"/>
      <c r="G513" s="34"/>
      <c r="H513" s="34"/>
    </row>
    <row r="514" spans="6:8" ht="12.75" customHeight="1" x14ac:dyDescent="0.3">
      <c r="F514" s="34"/>
      <c r="G514" s="34"/>
      <c r="H514" s="34"/>
    </row>
    <row r="515" spans="6:8" ht="12.75" customHeight="1" x14ac:dyDescent="0.3">
      <c r="F515" s="34"/>
      <c r="G515" s="34"/>
      <c r="H515" s="34"/>
    </row>
    <row r="516" spans="6:8" ht="12.75" customHeight="1" x14ac:dyDescent="0.3">
      <c r="F516" s="34"/>
      <c r="G516" s="34"/>
      <c r="H516" s="34"/>
    </row>
    <row r="517" spans="6:8" ht="12.75" customHeight="1" x14ac:dyDescent="0.3">
      <c r="F517" s="34"/>
      <c r="G517" s="34"/>
      <c r="H517" s="34"/>
    </row>
    <row r="518" spans="6:8" ht="12.75" customHeight="1" x14ac:dyDescent="0.3">
      <c r="F518" s="34"/>
      <c r="G518" s="34"/>
      <c r="H518" s="34"/>
    </row>
    <row r="519" spans="6:8" ht="12.75" customHeight="1" x14ac:dyDescent="0.3">
      <c r="F519" s="34"/>
      <c r="G519" s="34"/>
      <c r="H519" s="34"/>
    </row>
    <row r="520" spans="6:8" ht="12.75" customHeight="1" x14ac:dyDescent="0.3">
      <c r="F520" s="34"/>
      <c r="G520" s="34"/>
      <c r="H520" s="34"/>
    </row>
    <row r="521" spans="6:8" ht="12.75" customHeight="1" x14ac:dyDescent="0.3">
      <c r="F521" s="34"/>
      <c r="G521" s="34"/>
      <c r="H521" s="34"/>
    </row>
    <row r="522" spans="6:8" ht="12.75" customHeight="1" x14ac:dyDescent="0.3">
      <c r="F522" s="34"/>
      <c r="G522" s="34"/>
      <c r="H522" s="34"/>
    </row>
    <row r="523" spans="6:8" ht="12.75" customHeight="1" x14ac:dyDescent="0.3">
      <c r="F523" s="34"/>
      <c r="G523" s="34"/>
      <c r="H523" s="34"/>
    </row>
    <row r="524" spans="6:8" ht="12.75" customHeight="1" x14ac:dyDescent="0.3">
      <c r="F524" s="34"/>
      <c r="G524" s="34"/>
      <c r="H524" s="34"/>
    </row>
    <row r="525" spans="6:8" ht="12.75" customHeight="1" x14ac:dyDescent="0.3">
      <c r="F525" s="34"/>
      <c r="G525" s="34"/>
      <c r="H525" s="34"/>
    </row>
    <row r="526" spans="6:8" ht="12.75" customHeight="1" x14ac:dyDescent="0.3">
      <c r="F526" s="34"/>
      <c r="G526" s="34"/>
      <c r="H526" s="34"/>
    </row>
    <row r="527" spans="6:8" ht="12.75" customHeight="1" x14ac:dyDescent="0.3">
      <c r="F527" s="34"/>
      <c r="G527" s="34"/>
      <c r="H527" s="34"/>
    </row>
    <row r="528" spans="6:8" ht="12.75" customHeight="1" x14ac:dyDescent="0.3">
      <c r="F528" s="34"/>
      <c r="G528" s="34"/>
      <c r="H528" s="34"/>
    </row>
    <row r="529" spans="6:8" ht="12.75" customHeight="1" x14ac:dyDescent="0.3">
      <c r="F529" s="34"/>
      <c r="G529" s="34"/>
      <c r="H529" s="34"/>
    </row>
    <row r="530" spans="6:8" ht="12.75" customHeight="1" x14ac:dyDescent="0.3">
      <c r="F530" s="34"/>
      <c r="G530" s="34"/>
      <c r="H530" s="34"/>
    </row>
    <row r="531" spans="6:8" ht="12.75" customHeight="1" x14ac:dyDescent="0.3">
      <c r="F531" s="34"/>
      <c r="G531" s="34"/>
      <c r="H531" s="34"/>
    </row>
    <row r="532" spans="6:8" ht="12.75" customHeight="1" x14ac:dyDescent="0.3">
      <c r="F532" s="34"/>
      <c r="G532" s="34"/>
      <c r="H532" s="34"/>
    </row>
    <row r="533" spans="6:8" ht="12.75" customHeight="1" x14ac:dyDescent="0.3">
      <c r="F533" s="34"/>
      <c r="G533" s="34"/>
      <c r="H533" s="34"/>
    </row>
    <row r="534" spans="6:8" ht="12.75" customHeight="1" x14ac:dyDescent="0.3">
      <c r="F534" s="34"/>
      <c r="G534" s="34"/>
      <c r="H534" s="34"/>
    </row>
    <row r="535" spans="6:8" ht="12.75" customHeight="1" x14ac:dyDescent="0.3">
      <c r="F535" s="34"/>
      <c r="G535" s="34"/>
      <c r="H535" s="34"/>
    </row>
    <row r="536" spans="6:8" ht="12.75" customHeight="1" x14ac:dyDescent="0.3">
      <c r="F536" s="34"/>
      <c r="G536" s="34"/>
      <c r="H536" s="34"/>
    </row>
    <row r="537" spans="6:8" ht="12.75" customHeight="1" x14ac:dyDescent="0.3">
      <c r="F537" s="34"/>
      <c r="G537" s="34"/>
      <c r="H537" s="34"/>
    </row>
    <row r="538" spans="6:8" ht="12.75" customHeight="1" x14ac:dyDescent="0.3">
      <c r="F538" s="34"/>
      <c r="G538" s="34"/>
      <c r="H538" s="34"/>
    </row>
    <row r="539" spans="6:8" ht="12.75" customHeight="1" x14ac:dyDescent="0.3">
      <c r="F539" s="34"/>
      <c r="G539" s="34"/>
      <c r="H539" s="34"/>
    </row>
    <row r="540" spans="6:8" ht="12.75" customHeight="1" x14ac:dyDescent="0.3">
      <c r="F540" s="34"/>
      <c r="G540" s="34"/>
      <c r="H540" s="34"/>
    </row>
    <row r="541" spans="6:8" ht="12.75" customHeight="1" x14ac:dyDescent="0.3">
      <c r="F541" s="34"/>
      <c r="G541" s="34"/>
      <c r="H541" s="34"/>
    </row>
    <row r="542" spans="6:8" ht="12.75" customHeight="1" x14ac:dyDescent="0.3">
      <c r="F542" s="34"/>
      <c r="G542" s="34"/>
      <c r="H542" s="34"/>
    </row>
    <row r="543" spans="6:8" ht="12.75" customHeight="1" x14ac:dyDescent="0.3">
      <c r="F543" s="34"/>
      <c r="G543" s="34"/>
      <c r="H543" s="34"/>
    </row>
    <row r="544" spans="6:8" ht="12.75" customHeight="1" x14ac:dyDescent="0.3">
      <c r="F544" s="34"/>
      <c r="G544" s="34"/>
      <c r="H544" s="34"/>
    </row>
    <row r="545" spans="6:8" ht="12.75" customHeight="1" x14ac:dyDescent="0.3">
      <c r="F545" s="34"/>
      <c r="G545" s="34"/>
      <c r="H545" s="34"/>
    </row>
    <row r="546" spans="6:8" ht="12.75" customHeight="1" x14ac:dyDescent="0.3">
      <c r="F546" s="34"/>
      <c r="G546" s="34"/>
      <c r="H546" s="34"/>
    </row>
    <row r="547" spans="6:8" ht="12.75" customHeight="1" x14ac:dyDescent="0.3">
      <c r="F547" s="34"/>
      <c r="G547" s="34"/>
      <c r="H547" s="34"/>
    </row>
    <row r="548" spans="6:8" ht="12.75" customHeight="1" x14ac:dyDescent="0.3">
      <c r="F548" s="34"/>
      <c r="G548" s="34"/>
      <c r="H548" s="34"/>
    </row>
    <row r="549" spans="6:8" ht="12.75" customHeight="1" x14ac:dyDescent="0.3">
      <c r="F549" s="34"/>
      <c r="G549" s="34"/>
      <c r="H549" s="34"/>
    </row>
    <row r="550" spans="6:8" ht="12.75" customHeight="1" x14ac:dyDescent="0.3">
      <c r="F550" s="34"/>
      <c r="G550" s="34"/>
      <c r="H550" s="34"/>
    </row>
    <row r="551" spans="6:8" ht="12.75" customHeight="1" x14ac:dyDescent="0.3">
      <c r="F551" s="34"/>
      <c r="G551" s="34"/>
      <c r="H551" s="34"/>
    </row>
    <row r="552" spans="6:8" ht="12.75" customHeight="1" x14ac:dyDescent="0.3">
      <c r="F552" s="34"/>
      <c r="G552" s="34"/>
      <c r="H552" s="34"/>
    </row>
    <row r="553" spans="6:8" ht="12.75" customHeight="1" x14ac:dyDescent="0.3">
      <c r="F553" s="34"/>
      <c r="G553" s="34"/>
      <c r="H553" s="34"/>
    </row>
    <row r="554" spans="6:8" ht="12.75" customHeight="1" x14ac:dyDescent="0.3">
      <c r="F554" s="34"/>
      <c r="G554" s="34"/>
      <c r="H554" s="34"/>
    </row>
    <row r="555" spans="6:8" ht="12.75" customHeight="1" x14ac:dyDescent="0.3">
      <c r="F555" s="34"/>
      <c r="G555" s="34"/>
      <c r="H555" s="34"/>
    </row>
    <row r="556" spans="6:8" ht="12.75" customHeight="1" x14ac:dyDescent="0.3">
      <c r="F556" s="34"/>
      <c r="G556" s="34"/>
      <c r="H556" s="34"/>
    </row>
    <row r="557" spans="6:8" ht="12.75" customHeight="1" x14ac:dyDescent="0.3">
      <c r="F557" s="34"/>
      <c r="G557" s="34"/>
      <c r="H557" s="34"/>
    </row>
    <row r="558" spans="6:8" ht="12.75" customHeight="1" x14ac:dyDescent="0.3">
      <c r="F558" s="34"/>
      <c r="G558" s="34"/>
      <c r="H558" s="34"/>
    </row>
    <row r="559" spans="6:8" ht="12.75" customHeight="1" x14ac:dyDescent="0.3">
      <c r="F559" s="34"/>
      <c r="G559" s="34"/>
      <c r="H559" s="34"/>
    </row>
    <row r="560" spans="6:8" ht="12.75" customHeight="1" x14ac:dyDescent="0.3">
      <c r="F560" s="34"/>
      <c r="G560" s="34"/>
      <c r="H560" s="34"/>
    </row>
    <row r="561" spans="6:8" ht="12.75" customHeight="1" x14ac:dyDescent="0.3">
      <c r="F561" s="34"/>
      <c r="G561" s="34"/>
      <c r="H561" s="34"/>
    </row>
    <row r="562" spans="6:8" ht="12.75" customHeight="1" x14ac:dyDescent="0.3">
      <c r="F562" s="34"/>
      <c r="G562" s="34"/>
      <c r="H562" s="34"/>
    </row>
    <row r="563" spans="6:8" ht="12.75" customHeight="1" x14ac:dyDescent="0.3">
      <c r="F563" s="34"/>
      <c r="G563" s="34"/>
      <c r="H563" s="34"/>
    </row>
    <row r="564" spans="6:8" ht="12.75" customHeight="1" x14ac:dyDescent="0.3">
      <c r="F564" s="34"/>
      <c r="G564" s="34"/>
      <c r="H564" s="34"/>
    </row>
    <row r="565" spans="6:8" ht="12.75" customHeight="1" x14ac:dyDescent="0.3">
      <c r="F565" s="34"/>
      <c r="G565" s="34"/>
      <c r="H565" s="34"/>
    </row>
    <row r="566" spans="6:8" ht="12.75" customHeight="1" x14ac:dyDescent="0.3">
      <c r="F566" s="34"/>
      <c r="G566" s="17"/>
      <c r="H566" s="17"/>
    </row>
    <row r="567" spans="6:8" ht="12.75" customHeight="1" x14ac:dyDescent="0.3">
      <c r="F567" s="34"/>
      <c r="G567" s="17"/>
      <c r="H567" s="17"/>
    </row>
    <row r="568" spans="6:8" ht="12.75" customHeight="1" x14ac:dyDescent="0.3">
      <c r="F568" s="34"/>
      <c r="G568" s="17"/>
      <c r="H568" s="17"/>
    </row>
    <row r="569" spans="6:8" ht="12.75" customHeight="1" x14ac:dyDescent="0.3">
      <c r="F569" s="34"/>
      <c r="G569" s="17"/>
      <c r="H569" s="17"/>
    </row>
    <row r="570" spans="6:8" ht="12.75" customHeight="1" x14ac:dyDescent="0.3">
      <c r="F570" s="34"/>
      <c r="G570" s="17"/>
      <c r="H570" s="17"/>
    </row>
    <row r="571" spans="6:8" ht="12.75" customHeight="1" x14ac:dyDescent="0.3">
      <c r="F571" s="34"/>
      <c r="G571" s="17"/>
      <c r="H571" s="17"/>
    </row>
    <row r="572" spans="6:8" ht="12.75" customHeight="1" x14ac:dyDescent="0.3">
      <c r="F572" s="34"/>
      <c r="G572" s="17"/>
      <c r="H572" s="17"/>
    </row>
    <row r="573" spans="6:8" ht="12.75" customHeight="1" x14ac:dyDescent="0.3">
      <c r="F573" s="34"/>
    </row>
    <row r="574" spans="6:8" ht="12.75" customHeight="1" x14ac:dyDescent="0.3">
      <c r="F574" s="34"/>
    </row>
    <row r="575" spans="6:8" ht="12.75" customHeight="1" x14ac:dyDescent="0.3">
      <c r="F575" s="34"/>
    </row>
    <row r="576" spans="6:8" ht="12.75" customHeight="1" x14ac:dyDescent="0.3">
      <c r="F576" s="34"/>
    </row>
    <row r="577" spans="6:6" ht="12.75" customHeight="1" x14ac:dyDescent="0.3">
      <c r="F577" s="34"/>
    </row>
    <row r="578" spans="6:6" ht="12.75" customHeight="1" x14ac:dyDescent="0.3">
      <c r="F578" s="34"/>
    </row>
    <row r="579" spans="6:6" ht="12.75" customHeight="1" x14ac:dyDescent="0.3">
      <c r="F579" s="34"/>
    </row>
    <row r="580" spans="6:6" ht="12.75" customHeight="1" x14ac:dyDescent="0.3">
      <c r="F580" s="34"/>
    </row>
    <row r="581" spans="6:6" ht="12.75" customHeight="1" x14ac:dyDescent="0.3">
      <c r="F581" s="34"/>
    </row>
    <row r="582" spans="6:6" ht="12.75" customHeight="1" x14ac:dyDescent="0.3">
      <c r="F582" s="34"/>
    </row>
    <row r="583" spans="6:6" ht="12.75" customHeight="1" x14ac:dyDescent="0.3">
      <c r="F583" s="34"/>
    </row>
    <row r="584" spans="6:6" ht="12.75" customHeight="1" x14ac:dyDescent="0.3">
      <c r="F584" s="34"/>
    </row>
    <row r="585" spans="6:6" ht="12.75" customHeight="1" x14ac:dyDescent="0.3">
      <c r="F585" s="34"/>
    </row>
    <row r="586" spans="6:6" ht="12.75" customHeight="1" x14ac:dyDescent="0.3">
      <c r="F586" s="34"/>
    </row>
    <row r="587" spans="6:6" ht="12.75" customHeight="1" x14ac:dyDescent="0.3">
      <c r="F587" s="34"/>
    </row>
  </sheetData>
  <phoneticPr fontId="0" type="noConversion"/>
  <pageMargins left="0.75" right="0.75" top="1" bottom="1" header="0.5" footer="0.5"/>
  <headerFooter alignWithMargins="0"/>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49"/>
  <sheetViews>
    <sheetView workbookViewId="0">
      <pane ySplit="6" topLeftCell="A16" activePane="bottomLeft" state="frozen"/>
      <selection pane="bottomLeft" activeCell="C30" sqref="C30"/>
    </sheetView>
  </sheetViews>
  <sheetFormatPr defaultRowHeight="12.75" customHeight="1" x14ac:dyDescent="0.25"/>
  <cols>
    <col min="1" max="1" width="50.81640625" customWidth="1"/>
    <col min="2" max="2" width="8.6328125" customWidth="1"/>
    <col min="3" max="3" width="9.6328125" customWidth="1"/>
    <col min="4" max="5" width="8.6328125" customWidth="1"/>
    <col min="6" max="7" width="7.6328125" customWidth="1"/>
    <col min="8" max="8" width="11.6328125" customWidth="1"/>
    <col min="9" max="10" width="11.90625" customWidth="1"/>
    <col min="12" max="13" width="9.6328125" customWidth="1"/>
  </cols>
  <sheetData>
    <row r="1" spans="1:23" ht="12.75" customHeight="1" x14ac:dyDescent="0.3">
      <c r="A1" s="61" t="s">
        <v>146</v>
      </c>
      <c r="B1" s="17" t="str">
        <f>model</f>
        <v>ME Grain &amp; Pulse</v>
      </c>
      <c r="C1" s="17"/>
      <c r="D1" s="17"/>
      <c r="E1" s="17"/>
      <c r="F1" s="17"/>
      <c r="G1" s="17"/>
      <c r="H1" s="17"/>
      <c r="I1" s="17"/>
      <c r="J1" s="17"/>
      <c r="K1" s="17"/>
      <c r="L1" s="17"/>
      <c r="M1" s="17"/>
      <c r="N1" s="17"/>
      <c r="O1" s="17"/>
      <c r="P1" s="17"/>
      <c r="Q1" s="17"/>
      <c r="R1" s="17"/>
      <c r="S1" s="17"/>
      <c r="T1" s="17"/>
      <c r="U1" s="17"/>
      <c r="V1" s="17"/>
      <c r="W1" s="17"/>
    </row>
    <row r="3" spans="1:23" ht="12.75" customHeight="1" x14ac:dyDescent="0.3">
      <c r="B3" s="27"/>
      <c r="C3" s="17"/>
      <c r="D3" s="17"/>
      <c r="E3" s="17"/>
      <c r="F3" s="17"/>
      <c r="G3" s="17"/>
      <c r="H3" s="17"/>
      <c r="I3" s="17"/>
      <c r="J3" s="17"/>
      <c r="K3" s="17"/>
      <c r="L3" s="17"/>
      <c r="M3" s="17"/>
      <c r="N3" s="17"/>
      <c r="O3" s="17"/>
      <c r="P3" s="17"/>
      <c r="Q3" s="17"/>
      <c r="R3" s="17"/>
      <c r="S3" s="17"/>
      <c r="T3" s="17"/>
      <c r="U3" s="17"/>
      <c r="V3" s="17"/>
      <c r="W3" s="17"/>
    </row>
    <row r="4" spans="1:23" ht="12.75" customHeight="1" x14ac:dyDescent="0.3">
      <c r="A4" s="16" t="s">
        <v>475</v>
      </c>
      <c r="B4" s="8" t="s">
        <v>92</v>
      </c>
      <c r="C4" s="65">
        <f>sudan</f>
        <v>0</v>
      </c>
      <c r="D4" s="4" t="s">
        <v>93</v>
      </c>
      <c r="E4" s="17"/>
      <c r="F4" s="17"/>
      <c r="G4" s="17"/>
      <c r="H4" s="17"/>
      <c r="I4" s="17"/>
      <c r="J4" s="17"/>
      <c r="K4" s="17"/>
      <c r="L4" s="17"/>
      <c r="M4" s="17"/>
      <c r="N4" s="17"/>
      <c r="O4" s="17"/>
      <c r="P4" s="17"/>
      <c r="Q4" s="17"/>
      <c r="R4" s="17"/>
      <c r="S4" s="17"/>
      <c r="T4" s="17"/>
      <c r="U4" s="17"/>
      <c r="V4" s="17"/>
      <c r="W4" s="17"/>
    </row>
    <row r="5" spans="1:23" ht="12.75" customHeight="1" x14ac:dyDescent="0.3">
      <c r="A5" s="27"/>
      <c r="E5" s="17"/>
      <c r="F5" s="17"/>
      <c r="G5" s="17"/>
      <c r="H5" s="28"/>
      <c r="I5" s="17"/>
      <c r="J5" s="17"/>
      <c r="K5" s="17"/>
      <c r="L5" s="17"/>
      <c r="M5" s="17"/>
      <c r="N5" s="17"/>
      <c r="O5" s="17"/>
      <c r="P5" s="17"/>
      <c r="Q5" s="17"/>
      <c r="R5" s="17"/>
      <c r="S5" s="17"/>
      <c r="T5" s="17"/>
      <c r="U5" s="17"/>
      <c r="V5" s="17"/>
      <c r="W5" s="17"/>
    </row>
    <row r="6" spans="1:23"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c r="O6" s="27"/>
      <c r="P6" s="27"/>
      <c r="Q6" s="27"/>
      <c r="R6" s="27"/>
      <c r="S6" s="27"/>
      <c r="T6" s="27"/>
      <c r="U6" s="27"/>
      <c r="V6" s="27"/>
      <c r="W6" s="27"/>
    </row>
    <row r="7" spans="1:23" ht="12.75" customHeight="1" x14ac:dyDescent="0.3">
      <c r="A7" s="13"/>
      <c r="B7" s="29"/>
      <c r="C7" s="30"/>
      <c r="D7" s="31"/>
      <c r="E7" s="31"/>
      <c r="F7" s="18"/>
      <c r="G7" s="18"/>
      <c r="H7" s="32"/>
      <c r="I7" s="31"/>
      <c r="J7" s="31"/>
      <c r="K7" s="31"/>
      <c r="L7" s="31"/>
      <c r="M7" s="31"/>
      <c r="N7" s="17"/>
      <c r="O7" s="17"/>
      <c r="P7" s="17"/>
      <c r="Q7" s="17"/>
      <c r="R7" s="17"/>
      <c r="S7" s="17"/>
      <c r="T7" s="17"/>
      <c r="U7" s="17"/>
      <c r="V7" s="17"/>
      <c r="W7" s="17"/>
    </row>
    <row r="8" spans="1:23" ht="12.75" customHeight="1" x14ac:dyDescent="0.3">
      <c r="A8" s="14" t="s">
        <v>3</v>
      </c>
      <c r="B8" s="27"/>
      <c r="C8" s="17"/>
      <c r="D8" s="17"/>
      <c r="E8" s="17"/>
      <c r="F8" s="17"/>
      <c r="G8" s="17"/>
      <c r="H8" s="17"/>
      <c r="I8" s="17"/>
      <c r="J8" s="110"/>
      <c r="K8" s="17"/>
      <c r="L8" s="17"/>
      <c r="M8" s="17"/>
      <c r="N8" s="17"/>
      <c r="O8" s="17"/>
      <c r="P8" s="17"/>
      <c r="Q8" s="17"/>
      <c r="R8" s="17"/>
      <c r="S8" s="17"/>
      <c r="T8" s="17"/>
      <c r="U8" s="17"/>
      <c r="V8" s="17"/>
      <c r="W8" s="17"/>
    </row>
    <row r="9" spans="1:23" s="17" customFormat="1" ht="13" x14ac:dyDescent="0.3">
      <c r="A9" s="6" t="str">
        <f>Data!A285</f>
        <v>Large tractor (160 hp) - MEDIUM SIZE</v>
      </c>
      <c r="B9" s="33">
        <f>Data!B285</f>
        <v>1</v>
      </c>
      <c r="C9" s="34" t="str">
        <f>Data!C285</f>
        <v>tractor</v>
      </c>
      <c r="D9" s="109">
        <f>Data!D292*Data!H22</f>
        <v>0</v>
      </c>
      <c r="E9" s="109">
        <f>D9*B9</f>
        <v>0</v>
      </c>
      <c r="F9" s="109">
        <f>Data!I292*E9</f>
        <v>0</v>
      </c>
      <c r="G9" s="34">
        <f>Data!F292</f>
        <v>20</v>
      </c>
      <c r="H9" s="112">
        <f>(E9*(_int_inv_*(1+_int_inv_)^G9)/((1+_int_inv_)^G9-1))-(F9*_int_inv_/((1+_int_inv_)^G9-1))</f>
        <v>0</v>
      </c>
      <c r="I9" s="35">
        <f>Data!H292</f>
        <v>1.6659574468085105E-2</v>
      </c>
      <c r="J9" s="109">
        <f>E9*I9</f>
        <v>0</v>
      </c>
      <c r="K9" s="36">
        <f>_tax_ins_</f>
        <v>6.7999999999999996E-3</v>
      </c>
      <c r="L9" s="109">
        <f>E9*K9</f>
        <v>0</v>
      </c>
      <c r="M9" s="109">
        <f>H9+J9+L9</f>
        <v>0</v>
      </c>
      <c r="N9" s="34"/>
      <c r="O9" s="34"/>
      <c r="P9" s="34"/>
      <c r="Q9" s="34"/>
    </row>
    <row r="10" spans="1:23" ht="12.75" customHeight="1" x14ac:dyDescent="0.3">
      <c r="A10" s="6"/>
      <c r="B10" s="33"/>
      <c r="C10" s="34"/>
      <c r="D10" s="155"/>
      <c r="E10" s="109"/>
      <c r="F10" s="109"/>
      <c r="G10" s="34"/>
      <c r="H10" s="129"/>
      <c r="I10" s="35"/>
      <c r="J10" s="109"/>
      <c r="K10" s="36"/>
      <c r="L10" s="109"/>
      <c r="M10" s="109"/>
      <c r="N10" s="34"/>
      <c r="O10" s="34"/>
      <c r="P10" s="34"/>
      <c r="Q10" s="34"/>
      <c r="R10" s="34"/>
      <c r="S10" s="17"/>
      <c r="T10" s="17"/>
      <c r="U10" s="17"/>
      <c r="V10" s="17"/>
      <c r="W10" s="17"/>
    </row>
    <row r="11" spans="1:23" ht="12.75" customHeight="1" x14ac:dyDescent="0.3">
      <c r="A11" s="14" t="s">
        <v>386</v>
      </c>
      <c r="B11" s="27"/>
      <c r="C11" s="17"/>
      <c r="D11" s="110"/>
      <c r="E11" s="110"/>
      <c r="F11" s="109"/>
      <c r="G11" s="17"/>
      <c r="H11" s="109"/>
      <c r="I11" s="17"/>
      <c r="J11" s="110"/>
      <c r="K11" s="17"/>
      <c r="L11" s="110"/>
      <c r="M11" s="109"/>
      <c r="N11" s="17"/>
      <c r="O11" s="17"/>
      <c r="P11" s="17"/>
      <c r="Q11" s="17"/>
      <c r="R11" s="17"/>
      <c r="S11" s="17"/>
      <c r="T11" s="17"/>
      <c r="U11" s="17"/>
      <c r="V11" s="17"/>
      <c r="W11" s="17"/>
    </row>
    <row r="12" spans="1:23" s="17" customFormat="1" ht="13" x14ac:dyDescent="0.3">
      <c r="A12" s="6" t="str">
        <f>Data!A297</f>
        <v>Bulk Body Truck(s) - SMALL SIZE</v>
      </c>
      <c r="B12" s="247">
        <f>0</f>
        <v>0</v>
      </c>
      <c r="C12" s="34" t="str">
        <f>Data!C297</f>
        <v>truck</v>
      </c>
      <c r="D12" s="109">
        <f>0*Data!J22</f>
        <v>0</v>
      </c>
      <c r="E12" s="109">
        <f>D12*B12</f>
        <v>0</v>
      </c>
      <c r="F12" s="109">
        <f>Data!I297*E12</f>
        <v>0</v>
      </c>
      <c r="G12" s="34">
        <f>Data!F297</f>
        <v>40</v>
      </c>
      <c r="H12" s="112">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row>
    <row r="13" spans="1:23" ht="12.75" customHeight="1" x14ac:dyDescent="0.3">
      <c r="A13" s="27"/>
      <c r="B13" s="33"/>
      <c r="C13" s="34"/>
      <c r="D13" s="155"/>
      <c r="E13" s="109"/>
      <c r="F13" s="109"/>
      <c r="G13" s="34"/>
      <c r="H13" s="129"/>
      <c r="I13" s="35"/>
      <c r="J13" s="109"/>
      <c r="K13" s="35"/>
      <c r="L13" s="109"/>
      <c r="M13" s="109"/>
      <c r="N13" s="32"/>
      <c r="O13" s="34"/>
      <c r="P13" s="34"/>
      <c r="Q13" s="34"/>
      <c r="R13" s="34"/>
      <c r="S13" s="34"/>
      <c r="T13" s="34"/>
      <c r="U13" s="34"/>
      <c r="V13" s="34"/>
      <c r="W13" s="34"/>
    </row>
    <row r="14" spans="1:23" ht="12.75" customHeight="1" x14ac:dyDescent="0.3">
      <c r="A14" s="14" t="s">
        <v>6</v>
      </c>
      <c r="B14" s="33"/>
      <c r="C14" s="34"/>
      <c r="D14" s="109"/>
      <c r="E14" s="109"/>
      <c r="F14" s="109"/>
      <c r="G14" s="34"/>
      <c r="H14" s="129"/>
      <c r="I14" s="35"/>
      <c r="J14" s="109"/>
      <c r="K14" s="35"/>
      <c r="L14" s="109"/>
      <c r="M14" s="109"/>
      <c r="N14" s="34"/>
      <c r="O14" s="34"/>
      <c r="P14" s="34"/>
      <c r="Q14" s="34"/>
      <c r="R14" s="34"/>
      <c r="S14" s="34"/>
      <c r="T14" s="34"/>
      <c r="U14" s="34"/>
      <c r="V14" s="34"/>
      <c r="W14" s="34"/>
    </row>
    <row r="15" spans="1:23" s="17" customFormat="1" ht="13" x14ac:dyDescent="0.3">
      <c r="A15" s="6" t="str">
        <f>Data!A313</f>
        <v>Chisel Plow (15 ft) - SMALL SIZE</v>
      </c>
      <c r="B15" s="33">
        <f>Data!B313</f>
        <v>0</v>
      </c>
      <c r="C15" s="34" t="str">
        <f>Data!C313</f>
        <v>chisel plow</v>
      </c>
      <c r="D15" s="109">
        <f>Data!D313*Data!P22</f>
        <v>0</v>
      </c>
      <c r="E15" s="109">
        <f>D15*B15</f>
        <v>0</v>
      </c>
      <c r="F15" s="109">
        <f>Data!I313*E15</f>
        <v>0</v>
      </c>
      <c r="G15" s="60">
        <f>Data!F313</f>
        <v>40</v>
      </c>
      <c r="H15" s="109">
        <f>(E15*(_int_inv_*(1+_int_inv_)^G15)/((1+_int_inv_)^G15-1))-(F15*_int_inv_/((1+_int_inv_)^G15-1))</f>
        <v>0</v>
      </c>
      <c r="I15" s="35">
        <f>Data!H313</f>
        <v>2.433684210526316E-2</v>
      </c>
      <c r="J15" s="109">
        <f>E15*I15</f>
        <v>0</v>
      </c>
      <c r="K15" s="36">
        <f>_tax_ins_</f>
        <v>6.7999999999999996E-3</v>
      </c>
      <c r="L15" s="109">
        <f>E15*K15</f>
        <v>0</v>
      </c>
      <c r="M15" s="109">
        <f>H15+J15+L15</f>
        <v>0</v>
      </c>
      <c r="N15" s="34"/>
      <c r="O15" s="34"/>
      <c r="P15" s="34"/>
      <c r="Q15" s="34"/>
      <c r="R15" s="34"/>
    </row>
    <row r="16" spans="1:23" s="17" customFormat="1" ht="13" x14ac:dyDescent="0.3">
      <c r="A16" s="6" t="str">
        <f>Data!A316</f>
        <v>Disk Harrow (12 ft) - SMALL SIZE</v>
      </c>
      <c r="B16" s="33">
        <f>Data!B316</f>
        <v>0</v>
      </c>
      <c r="C16" s="34" t="str">
        <f>Data!C316</f>
        <v>disk harrow</v>
      </c>
      <c r="D16" s="109">
        <f>Data!D316*Data!P22</f>
        <v>0</v>
      </c>
      <c r="E16" s="109">
        <f>D16*B16</f>
        <v>0</v>
      </c>
      <c r="F16" s="109">
        <f>Data!I316*E16</f>
        <v>0</v>
      </c>
      <c r="G16" s="60">
        <f>Data!F316</f>
        <v>50</v>
      </c>
      <c r="H16" s="109">
        <f>(E16*(_int_inv_*(1+_int_inv_)^G16)/((1+_int_inv_)^G16-1))-(F16*_int_inv_/((1+_int_inv_)^G16-1))</f>
        <v>0</v>
      </c>
      <c r="I16" s="35">
        <f>Data!H316</f>
        <v>2.2825263157894737E-2</v>
      </c>
      <c r="J16" s="109">
        <f>E16*I16</f>
        <v>0</v>
      </c>
      <c r="K16" s="36">
        <f>_tax_ins_</f>
        <v>6.7999999999999996E-3</v>
      </c>
      <c r="L16" s="109">
        <f>E16*K16</f>
        <v>0</v>
      </c>
      <c r="M16" s="109">
        <f>H16+J16+L16</f>
        <v>0</v>
      </c>
    </row>
    <row r="17" spans="1:23" s="17" customFormat="1" ht="13.25" customHeight="1" x14ac:dyDescent="0.3">
      <c r="A17" s="6" t="str">
        <f>Data!A319</f>
        <v>Soil Conditioner/Field Cultivator (18 ft) - SMALL SIZE</v>
      </c>
      <c r="B17" s="33">
        <f>Data!B319</f>
        <v>0</v>
      </c>
      <c r="C17" s="34" t="str">
        <f>Data!C319</f>
        <v>condit.</v>
      </c>
      <c r="D17" s="109">
        <f>Data!D319*Data!P22</f>
        <v>0</v>
      </c>
      <c r="E17" s="109">
        <f>D17*B17</f>
        <v>0</v>
      </c>
      <c r="F17" s="109">
        <f>Data!I319*E17</f>
        <v>0</v>
      </c>
      <c r="G17" s="60">
        <f>Data!F319</f>
        <v>40</v>
      </c>
      <c r="H17" s="109">
        <f>(E17*(_int_inv_*(1+_int_inv_)^G17)/((1+_int_inv_)^G17-1))-(F17*_int_inv_/((1+_int_inv_)^G17-1))</f>
        <v>0</v>
      </c>
      <c r="I17" s="35">
        <f>Data!H319</f>
        <v>3.245E-2</v>
      </c>
      <c r="J17" s="109">
        <f>E17*I17</f>
        <v>0</v>
      </c>
      <c r="K17" s="36">
        <f>_tax_ins_</f>
        <v>6.7999999999999996E-3</v>
      </c>
      <c r="L17" s="109">
        <f>E17*K17</f>
        <v>0</v>
      </c>
      <c r="M17" s="109">
        <f>H17+J17+L17</f>
        <v>0</v>
      </c>
    </row>
    <row r="18" spans="1:23" ht="12.75" customHeight="1" x14ac:dyDescent="0.3">
      <c r="A18" s="27"/>
      <c r="B18" s="33"/>
      <c r="C18" s="34"/>
      <c r="D18" s="155"/>
      <c r="E18" s="109"/>
      <c r="F18" s="109" t="s">
        <v>124</v>
      </c>
      <c r="G18" s="34"/>
      <c r="H18" s="129"/>
      <c r="I18" s="35"/>
      <c r="J18" s="109"/>
      <c r="K18" s="36"/>
      <c r="L18" s="109"/>
      <c r="M18" s="109"/>
      <c r="N18" s="34"/>
      <c r="O18" s="34"/>
      <c r="P18" s="34"/>
      <c r="Q18" s="34"/>
      <c r="R18" s="34"/>
      <c r="S18" s="34"/>
      <c r="T18" s="34"/>
      <c r="U18" s="34"/>
      <c r="V18" s="34"/>
      <c r="W18" s="34"/>
    </row>
    <row r="19" spans="1:23" ht="12.75" customHeight="1" x14ac:dyDescent="0.3">
      <c r="A19" s="14" t="s">
        <v>4</v>
      </c>
      <c r="B19" s="33"/>
      <c r="C19" s="34"/>
      <c r="D19" s="109"/>
      <c r="E19" s="109"/>
      <c r="F19" s="109"/>
      <c r="G19" s="34"/>
      <c r="H19" s="129"/>
      <c r="I19" s="35"/>
      <c r="J19" s="109"/>
      <c r="K19" s="35"/>
      <c r="L19" s="109"/>
      <c r="M19" s="109"/>
      <c r="N19" s="34"/>
      <c r="O19" s="34"/>
      <c r="P19" s="34"/>
      <c r="Q19" s="34"/>
      <c r="R19" s="34"/>
      <c r="S19" s="34"/>
      <c r="T19" s="34"/>
      <c r="U19" s="34"/>
      <c r="V19" s="34"/>
      <c r="W19" s="34"/>
    </row>
    <row r="20" spans="1:23" s="17" customFormat="1" ht="13" x14ac:dyDescent="0.3">
      <c r="A20" s="6" t="str">
        <f>Data!A334</f>
        <v xml:space="preserve">Fertilizer Spreader </v>
      </c>
      <c r="B20" s="247">
        <v>1</v>
      </c>
      <c r="C20" s="34" t="str">
        <f>Data!C334</f>
        <v>fert.spread</v>
      </c>
      <c r="D20" s="109">
        <f>Data!D334*Data!N22</f>
        <v>0</v>
      </c>
      <c r="E20" s="109">
        <f>D20*B20</f>
        <v>0</v>
      </c>
      <c r="F20" s="109">
        <f>Data!I334*E20</f>
        <v>0</v>
      </c>
      <c r="G20" s="60">
        <f>Data!F334</f>
        <v>10</v>
      </c>
      <c r="H20" s="109">
        <f>(E20*(_int_inv_*(1+_int_inv_)^G20)/((1+_int_inv_)^G20-1))-(F20*_int_inv_/((1+_int_inv_)^G20-1))</f>
        <v>0</v>
      </c>
      <c r="I20" s="35">
        <f>Data!H334</f>
        <v>4.4999999999999998E-2</v>
      </c>
      <c r="J20" s="104">
        <f>E20*I20</f>
        <v>0</v>
      </c>
      <c r="K20" s="36">
        <f>_tax_ins_</f>
        <v>6.7999999999999996E-3</v>
      </c>
      <c r="L20" s="104">
        <f>E20*K20</f>
        <v>0</v>
      </c>
      <c r="M20" s="109">
        <f>H20+J20+L20</f>
        <v>0</v>
      </c>
    </row>
    <row r="21" spans="1:23" s="17" customFormat="1" ht="12.65" customHeight="1" x14ac:dyDescent="0.3">
      <c r="A21" s="6" t="str">
        <f>Data!A343</f>
        <v>Grain Drill (Presswheel, 16 ft) - SMALL SIZE</v>
      </c>
      <c r="B21" s="33">
        <f>Data!B343</f>
        <v>0</v>
      </c>
      <c r="C21" s="34" t="str">
        <f>Data!C343</f>
        <v>grain drill</v>
      </c>
      <c r="D21" s="109">
        <f>Data!D343*Data!AR22</f>
        <v>0</v>
      </c>
      <c r="E21" s="109">
        <f>D21*B21</f>
        <v>0</v>
      </c>
      <c r="F21" s="109">
        <f>Data!I343*E21</f>
        <v>0</v>
      </c>
      <c r="G21" s="60">
        <f>Data!F343</f>
        <v>50</v>
      </c>
      <c r="H21" s="109">
        <f>(E21*(_int_inv_*(1+_int_inv_)^G21)/((1+_int_inv_)^G21-1))-(F21*_int_inv_/((1+_int_inv_)^G21-1))</f>
        <v>0</v>
      </c>
      <c r="I21" s="37">
        <f>Data!H343</f>
        <v>2.3830454545454544E-2</v>
      </c>
      <c r="J21" s="109">
        <f>E21*I21</f>
        <v>0</v>
      </c>
      <c r="K21" s="36">
        <f>_tax_ins_</f>
        <v>6.7999999999999996E-3</v>
      </c>
      <c r="L21" s="109">
        <f>E21*K21</f>
        <v>0</v>
      </c>
      <c r="M21" s="109">
        <f>H21+J21+L21</f>
        <v>0</v>
      </c>
      <c r="N21" s="34"/>
      <c r="O21" s="34"/>
      <c r="P21" s="34"/>
      <c r="Q21" s="34"/>
      <c r="R21" s="34"/>
      <c r="S21" s="34"/>
      <c r="T21" s="34"/>
      <c r="U21" s="34"/>
      <c r="V21" s="34"/>
      <c r="W21" s="34"/>
    </row>
    <row r="22" spans="1:23" ht="12.75" customHeight="1" x14ac:dyDescent="0.3">
      <c r="A22" s="27"/>
      <c r="B22" s="33"/>
      <c r="C22" s="34"/>
      <c r="D22" s="155"/>
      <c r="E22" s="109"/>
      <c r="F22" s="109"/>
      <c r="G22" s="34"/>
      <c r="H22" s="129"/>
      <c r="I22" s="35"/>
      <c r="J22" s="109"/>
      <c r="K22" s="35"/>
      <c r="L22" s="109"/>
      <c r="M22" s="109"/>
      <c r="N22" s="34"/>
      <c r="O22" s="34"/>
      <c r="P22" s="34"/>
      <c r="Q22" s="34"/>
      <c r="R22" s="34"/>
      <c r="S22" s="34"/>
      <c r="T22" s="34"/>
      <c r="U22" s="34"/>
      <c r="V22" s="34"/>
      <c r="W22" s="34"/>
    </row>
    <row r="23" spans="1:23" ht="12.75" customHeight="1" x14ac:dyDescent="0.3">
      <c r="A23" s="14" t="s">
        <v>7</v>
      </c>
      <c r="B23" s="33"/>
      <c r="C23" s="34"/>
      <c r="D23" s="109"/>
      <c r="E23" s="109"/>
      <c r="F23" s="109"/>
      <c r="G23" s="34"/>
      <c r="H23" s="112"/>
      <c r="I23" s="35"/>
      <c r="J23" s="109"/>
      <c r="K23" s="36"/>
      <c r="L23" s="109"/>
      <c r="M23" s="109"/>
      <c r="N23" s="34"/>
      <c r="O23" s="34"/>
      <c r="P23" s="34"/>
      <c r="Q23" s="34"/>
      <c r="R23" s="34"/>
      <c r="S23" s="34"/>
      <c r="T23" s="34"/>
      <c r="U23" s="34"/>
      <c r="V23" s="34"/>
      <c r="W23" s="34"/>
    </row>
    <row r="24" spans="1:23" s="17" customFormat="1" ht="13.25" customHeight="1" x14ac:dyDescent="0.3">
      <c r="A24" s="6" t="str">
        <f>Data!A353</f>
        <v>Sprayer (Tractor Mounted Boom, 50 ft) - SMALL SIZE</v>
      </c>
      <c r="B24" s="247">
        <v>1</v>
      </c>
      <c r="C24" s="34" t="str">
        <f>Data!C353</f>
        <v>sprayer</v>
      </c>
      <c r="D24" s="109">
        <f>Data!D353*Data!P22</f>
        <v>0</v>
      </c>
      <c r="E24" s="109">
        <f>D24*B24</f>
        <v>0</v>
      </c>
      <c r="F24" s="109">
        <f>Data!I353*E24</f>
        <v>0</v>
      </c>
      <c r="G24" s="60">
        <f>Data!F353</f>
        <v>50</v>
      </c>
      <c r="H24" s="109">
        <f>(E24*(_int_inv_*(1+_int_inv_)^G24)/((1+_int_inv_)^G24-1))-(F24*_int_inv_/((1+_int_inv_)^G24-1))</f>
        <v>0</v>
      </c>
      <c r="I24" s="35">
        <f>Data!H353</f>
        <v>4.4999999999999998E-2</v>
      </c>
      <c r="J24" s="109">
        <f>E24*I24</f>
        <v>0</v>
      </c>
      <c r="K24" s="36">
        <f>_tax_ins_</f>
        <v>6.7999999999999996E-3</v>
      </c>
      <c r="L24" s="109">
        <f>E24*K24</f>
        <v>0</v>
      </c>
      <c r="M24" s="109">
        <f>H24+J24+L24</f>
        <v>0</v>
      </c>
      <c r="N24" s="34"/>
      <c r="O24" s="34"/>
      <c r="P24" s="34"/>
      <c r="Q24" s="34"/>
      <c r="R24" s="34"/>
    </row>
    <row r="25" spans="1:23" ht="12.75" customHeight="1" x14ac:dyDescent="0.3">
      <c r="A25" s="27"/>
      <c r="B25" s="33"/>
      <c r="C25" s="34"/>
      <c r="D25" s="109"/>
      <c r="E25" s="109"/>
      <c r="F25" s="109"/>
      <c r="G25" s="34"/>
      <c r="H25" s="112"/>
      <c r="I25" s="35"/>
      <c r="J25" s="109"/>
      <c r="K25" s="36"/>
      <c r="L25" s="109"/>
      <c r="M25" s="109"/>
      <c r="N25" s="34"/>
      <c r="O25" s="34"/>
      <c r="P25" s="34"/>
      <c r="Q25" s="34"/>
      <c r="R25" s="34"/>
      <c r="S25" s="34"/>
      <c r="T25" s="34"/>
      <c r="U25" s="34"/>
      <c r="V25" s="34"/>
      <c r="W25" s="34"/>
    </row>
    <row r="26" spans="1:23" ht="12.75" customHeight="1" x14ac:dyDescent="0.3">
      <c r="A26" s="14" t="s">
        <v>357</v>
      </c>
      <c r="B26" s="33"/>
      <c r="C26" s="34"/>
      <c r="D26" s="109"/>
      <c r="E26" s="109"/>
      <c r="F26" s="109"/>
      <c r="G26" s="34"/>
      <c r="H26" s="112"/>
      <c r="I26" s="35"/>
      <c r="J26" s="109"/>
      <c r="K26" s="36"/>
      <c r="L26" s="109"/>
      <c r="M26" s="109"/>
      <c r="N26" s="17"/>
      <c r="O26" s="17"/>
      <c r="P26" s="17"/>
      <c r="Q26" s="17"/>
      <c r="R26" s="17"/>
      <c r="S26" s="17"/>
      <c r="T26" s="17"/>
      <c r="U26" s="17"/>
      <c r="V26" s="17"/>
      <c r="W26" s="17"/>
    </row>
    <row r="27" spans="1:23" s="17" customFormat="1" ht="13" x14ac:dyDescent="0.3">
      <c r="A27" s="6" t="str">
        <f>Data!A395</f>
        <v>Fuel Tanks - SMALL SIZE</v>
      </c>
      <c r="B27" s="33">
        <f>Data!B395</f>
        <v>0</v>
      </c>
      <c r="C27" s="34" t="str">
        <f>Data!C395</f>
        <v>fuel tank</v>
      </c>
      <c r="D27" s="109">
        <f>Data!D395*Data!H22</f>
        <v>0</v>
      </c>
      <c r="E27" s="109">
        <f>D27*B27</f>
        <v>0</v>
      </c>
      <c r="F27" s="109">
        <f>Data!I395*E27</f>
        <v>0</v>
      </c>
      <c r="G27" s="60">
        <f>Data!F395</f>
        <v>50</v>
      </c>
      <c r="H27" s="109">
        <f>(E27*(_int_inv_*(1+_int_inv_)^G27)/((1+_int_inv_)^G27-1))-(F27*_int_inv_/((1+_int_inv_)^G27-1))</f>
        <v>0</v>
      </c>
      <c r="I27" s="35">
        <f>Data!H395</f>
        <v>0.02</v>
      </c>
      <c r="J27" s="104">
        <f>E27*I27</f>
        <v>0</v>
      </c>
      <c r="K27" s="36">
        <f>_tax_ins_</f>
        <v>6.7999999999999996E-3</v>
      </c>
      <c r="L27" s="104">
        <f>E27*K27</f>
        <v>0</v>
      </c>
      <c r="M27" s="109">
        <f>H27+J27+L27</f>
        <v>0</v>
      </c>
    </row>
    <row r="28" spans="1:23" s="17" customFormat="1" ht="13" x14ac:dyDescent="0.3">
      <c r="A28" s="6" t="str">
        <f>Data!A396</f>
        <v>Shop Tools - SMALL SIZE</v>
      </c>
      <c r="B28" s="33">
        <f>Data!B396</f>
        <v>0</v>
      </c>
      <c r="C28" s="34" t="str">
        <f>Data!C396</f>
        <v>shop tools</v>
      </c>
      <c r="D28" s="109">
        <f>Data!D396*Data!H22</f>
        <v>0</v>
      </c>
      <c r="E28" s="109">
        <f>D28*B28</f>
        <v>0</v>
      </c>
      <c r="F28" s="109">
        <f>Data!I396*E28</f>
        <v>0</v>
      </c>
      <c r="G28" s="60">
        <f>Data!F396</f>
        <v>50</v>
      </c>
      <c r="H28" s="109">
        <f>(E28*(_int_inv_*(1+_int_inv_)^G28)/((1+_int_inv_)^G28-1))-(F28*_int_inv_/((1+_int_inv_)^G28-1))</f>
        <v>0</v>
      </c>
      <c r="I28" s="35">
        <f>Data!H396</f>
        <v>0.02</v>
      </c>
      <c r="J28" s="109">
        <f>E28*I28</f>
        <v>0</v>
      </c>
      <c r="K28" s="36">
        <f>_tax_ins_</f>
        <v>6.7999999999999996E-3</v>
      </c>
      <c r="L28" s="104">
        <f>E28*K28</f>
        <v>0</v>
      </c>
      <c r="M28" s="109">
        <f>H28+J28+L28</f>
        <v>0</v>
      </c>
    </row>
    <row r="29" spans="1:23" ht="12.75" customHeight="1" x14ac:dyDescent="0.3">
      <c r="A29" s="6"/>
      <c r="B29" s="33"/>
      <c r="C29" s="34"/>
      <c r="D29" s="109"/>
      <c r="E29" s="109"/>
      <c r="F29" s="109"/>
      <c r="G29" s="34"/>
      <c r="H29" s="112"/>
      <c r="I29" s="35"/>
      <c r="J29" s="109"/>
      <c r="K29" s="36"/>
      <c r="L29" s="104"/>
      <c r="M29" s="109"/>
      <c r="N29" s="34"/>
      <c r="O29" s="34"/>
      <c r="P29" s="34"/>
      <c r="Q29" s="34"/>
      <c r="R29" s="34"/>
      <c r="S29" s="34"/>
      <c r="T29" s="34"/>
      <c r="U29" s="34"/>
      <c r="V29" s="34"/>
      <c r="W29" s="34"/>
    </row>
    <row r="30" spans="1:23" ht="12.75" customHeight="1" x14ac:dyDescent="0.3">
      <c r="A30" s="14" t="s">
        <v>12</v>
      </c>
      <c r="B30" s="84">
        <f>Data!B110</f>
        <v>0</v>
      </c>
      <c r="C30" s="868" t="str">
        <f>Data!H51</f>
        <v>acre(s)</v>
      </c>
      <c r="D30" s="109">
        <f>Data!F61</f>
        <v>1000</v>
      </c>
      <c r="E30" s="109">
        <f>B30*D30</f>
        <v>0</v>
      </c>
      <c r="F30" s="864" t="s">
        <v>45</v>
      </c>
      <c r="G30" s="865" t="s">
        <v>45</v>
      </c>
      <c r="H30" s="109">
        <f>E30*_int_inv_</f>
        <v>0</v>
      </c>
      <c r="I30" s="35">
        <f>Data!H61</f>
        <v>0.01</v>
      </c>
      <c r="J30" s="109">
        <f>E30*I30</f>
        <v>0</v>
      </c>
      <c r="K30" s="36">
        <v>6.7999999999999996E-3</v>
      </c>
      <c r="L30" s="109">
        <f>E30*K30</f>
        <v>0</v>
      </c>
      <c r="M30" s="109">
        <f>H30+J30+L30</f>
        <v>0</v>
      </c>
      <c r="N30" s="34"/>
      <c r="O30" s="34"/>
      <c r="P30" s="34"/>
      <c r="Q30" s="34"/>
      <c r="R30" s="34"/>
      <c r="S30" s="34"/>
      <c r="T30" s="34"/>
      <c r="U30" s="34"/>
      <c r="V30" s="34"/>
      <c r="W30" s="34"/>
    </row>
    <row r="31" spans="1:23" ht="12.75" customHeight="1" x14ac:dyDescent="0.3">
      <c r="A31" s="27"/>
      <c r="B31" s="33"/>
      <c r="C31" s="34"/>
      <c r="D31" s="109"/>
      <c r="E31" s="109"/>
      <c r="F31" s="109"/>
      <c r="G31" s="38"/>
      <c r="H31" s="112"/>
      <c r="I31" s="35"/>
      <c r="J31" s="109"/>
      <c r="K31" s="36"/>
      <c r="L31" s="104"/>
      <c r="M31" s="109"/>
      <c r="N31" s="34"/>
      <c r="O31" s="34"/>
      <c r="P31" s="34"/>
      <c r="Q31" s="34"/>
      <c r="R31" s="34"/>
      <c r="S31" s="34"/>
      <c r="T31" s="34"/>
      <c r="U31" s="34"/>
      <c r="V31" s="34"/>
      <c r="W31" s="34"/>
    </row>
    <row r="32" spans="1:23" ht="12.75" customHeight="1" x14ac:dyDescent="0.3">
      <c r="A32" s="14" t="s">
        <v>1229</v>
      </c>
      <c r="B32" s="33"/>
      <c r="C32" s="34"/>
      <c r="D32" s="109"/>
      <c r="E32" s="109"/>
      <c r="F32" s="109"/>
      <c r="G32" s="34"/>
      <c r="H32" s="112"/>
      <c r="I32" s="35"/>
      <c r="J32" s="109"/>
      <c r="K32" s="36"/>
      <c r="L32" s="104"/>
      <c r="M32" s="109"/>
      <c r="N32" s="34"/>
      <c r="O32" s="34"/>
      <c r="P32" s="34"/>
      <c r="Q32" s="34"/>
      <c r="R32" s="34"/>
      <c r="S32" s="34"/>
      <c r="T32" s="34"/>
      <c r="U32" s="34"/>
      <c r="V32" s="34"/>
      <c r="W32" s="34"/>
    </row>
    <row r="33" spans="1:23" ht="12.75" customHeight="1" x14ac:dyDescent="0.3">
      <c r="A33" s="6" t="str">
        <f>Data!A495</f>
        <v>Shop/Loading Shed - SMALL SIZE</v>
      </c>
      <c r="B33" s="33">
        <f>Data!B495</f>
        <v>0</v>
      </c>
      <c r="C33" s="34" t="str">
        <f>Data!C495</f>
        <v>building</v>
      </c>
      <c r="D33" s="109">
        <f>Data!D495*Data!H22</f>
        <v>0</v>
      </c>
      <c r="E33" s="109">
        <f>B33*D33</f>
        <v>0</v>
      </c>
      <c r="F33" s="109">
        <f>Data!I495*E33</f>
        <v>0</v>
      </c>
      <c r="G33" s="34">
        <f>Data!F495</f>
        <v>33</v>
      </c>
      <c r="H33" s="109">
        <f>(E33*(_int_inv_*(1+_int_inv_)^G33)/((1+_int_inv_)^G33-1))-(F33*_int_inv_/((1+_int_inv_)^G33-1))</f>
        <v>0</v>
      </c>
      <c r="I33" s="35">
        <f>Data!H495</f>
        <v>0.01</v>
      </c>
      <c r="J33" s="109">
        <f>E33*I33</f>
        <v>0</v>
      </c>
      <c r="K33" s="36">
        <v>6.7999999999999996E-3</v>
      </c>
      <c r="L33" s="109">
        <f>E33*K33</f>
        <v>0</v>
      </c>
      <c r="M33" s="109">
        <f>H33+J33+L33</f>
        <v>0</v>
      </c>
      <c r="N33" s="17"/>
      <c r="O33" s="17"/>
      <c r="P33" s="17"/>
      <c r="Q33" s="17"/>
      <c r="R33" s="17"/>
      <c r="S33" s="17"/>
      <c r="T33" s="17"/>
      <c r="U33" s="17"/>
      <c r="V33" s="17"/>
      <c r="W33" s="17"/>
    </row>
    <row r="34" spans="1:23" ht="12.75" customHeight="1" x14ac:dyDescent="0.3">
      <c r="A34" s="27"/>
      <c r="B34" s="33"/>
      <c r="C34" s="34"/>
      <c r="D34" s="109"/>
      <c r="E34" s="109"/>
      <c r="F34" s="109"/>
      <c r="G34" s="34"/>
      <c r="H34" s="112"/>
      <c r="I34" s="35"/>
      <c r="J34" s="109"/>
      <c r="K34" s="36"/>
      <c r="L34" s="110"/>
      <c r="M34" s="109"/>
      <c r="N34" s="34"/>
      <c r="O34" s="34"/>
      <c r="P34" s="34"/>
      <c r="Q34" s="34"/>
      <c r="R34" s="34"/>
      <c r="S34" s="34"/>
      <c r="T34" s="34"/>
      <c r="U34" s="34"/>
      <c r="V34" s="34"/>
      <c r="W34" s="34"/>
    </row>
    <row r="35" spans="1:23" s="17" customFormat="1" ht="12.75" customHeight="1" x14ac:dyDescent="0.3">
      <c r="A35" s="14" t="s">
        <v>514</v>
      </c>
      <c r="B35" s="351" t="s">
        <v>516</v>
      </c>
      <c r="C35" s="351"/>
      <c r="D35" s="351"/>
      <c r="E35" s="351"/>
      <c r="F35" s="351"/>
      <c r="G35" s="351"/>
      <c r="H35" s="351"/>
      <c r="I35" s="351"/>
      <c r="J35" s="109"/>
      <c r="K35" s="36"/>
      <c r="L35" s="109"/>
      <c r="M35" s="109"/>
      <c r="N35" s="34"/>
      <c r="O35" s="34"/>
      <c r="P35" s="34"/>
      <c r="Q35" s="34"/>
      <c r="R35" s="34"/>
      <c r="S35" s="34"/>
      <c r="T35" s="34"/>
      <c r="U35" s="34"/>
      <c r="V35" s="34"/>
    </row>
    <row r="36" spans="1:23" s="17" customFormat="1" ht="12.75" customHeight="1" x14ac:dyDescent="0.3">
      <c r="A36" s="14" t="s">
        <v>515</v>
      </c>
      <c r="B36" s="351" t="s">
        <v>517</v>
      </c>
      <c r="C36" s="351"/>
      <c r="D36" s="351"/>
      <c r="E36" s="351"/>
      <c r="F36" s="351"/>
      <c r="G36" s="351"/>
      <c r="H36" s="351"/>
      <c r="I36" s="351"/>
      <c r="J36" s="109"/>
      <c r="K36" s="36"/>
      <c r="L36" s="109"/>
      <c r="M36" s="109"/>
      <c r="N36" s="34"/>
      <c r="O36" s="34"/>
      <c r="P36" s="34"/>
      <c r="Q36" s="34"/>
      <c r="R36" s="34"/>
      <c r="S36" s="34"/>
      <c r="T36" s="34"/>
      <c r="U36" s="34"/>
      <c r="V36" s="34"/>
    </row>
    <row r="37" spans="1:23" ht="12.75" customHeight="1" x14ac:dyDescent="0.3">
      <c r="A37" s="27"/>
      <c r="B37" s="33"/>
      <c r="C37" s="34"/>
      <c r="D37" s="109"/>
      <c r="E37" s="109"/>
      <c r="F37" s="109"/>
      <c r="G37" s="34"/>
      <c r="H37" s="112"/>
      <c r="I37" s="35"/>
      <c r="J37" s="109"/>
      <c r="K37" s="36"/>
      <c r="L37" s="110"/>
      <c r="M37" s="109"/>
      <c r="N37" s="34"/>
      <c r="O37" s="34"/>
      <c r="P37" s="34"/>
      <c r="Q37" s="34"/>
      <c r="R37" s="34"/>
      <c r="S37" s="34"/>
      <c r="T37" s="34"/>
      <c r="U37" s="34"/>
      <c r="V37" s="34"/>
      <c r="W37" s="34"/>
    </row>
    <row r="38" spans="1:23" ht="12.75" customHeight="1" x14ac:dyDescent="0.3">
      <c r="A38" s="14" t="s">
        <v>19</v>
      </c>
      <c r="B38" s="865" t="s">
        <v>45</v>
      </c>
      <c r="C38" s="864" t="s">
        <v>45</v>
      </c>
      <c r="D38" s="864" t="s">
        <v>45</v>
      </c>
      <c r="E38" s="864" t="s">
        <v>45</v>
      </c>
      <c r="F38" s="864" t="s">
        <v>45</v>
      </c>
      <c r="G38" s="865" t="s">
        <v>45</v>
      </c>
      <c r="H38" s="864" t="s">
        <v>45</v>
      </c>
      <c r="I38" s="865" t="s">
        <v>45</v>
      </c>
      <c r="J38" s="864" t="s">
        <v>45</v>
      </c>
      <c r="K38" s="865" t="s">
        <v>45</v>
      </c>
      <c r="L38" s="864" t="s">
        <v>45</v>
      </c>
      <c r="M38" s="864" t="s">
        <v>45</v>
      </c>
      <c r="N38" s="34"/>
      <c r="O38" s="34"/>
      <c r="P38" s="34"/>
      <c r="Q38" s="34"/>
      <c r="R38" s="34"/>
      <c r="S38" s="34"/>
      <c r="T38" s="34"/>
      <c r="U38" s="34"/>
      <c r="V38" s="34"/>
      <c r="W38" s="34"/>
    </row>
    <row r="39" spans="1:23" ht="12.75" customHeight="1" x14ac:dyDescent="0.3">
      <c r="A39" s="14"/>
      <c r="B39" s="33"/>
      <c r="C39" s="34"/>
      <c r="D39" s="109"/>
      <c r="E39" s="109"/>
      <c r="F39" s="109"/>
      <c r="G39" s="34"/>
      <c r="H39" s="112"/>
      <c r="I39" s="35"/>
      <c r="J39" s="109"/>
      <c r="K39" s="35"/>
      <c r="L39" s="110"/>
      <c r="M39" s="109"/>
      <c r="N39" s="34"/>
      <c r="O39" s="34"/>
      <c r="P39" s="34"/>
      <c r="Q39" s="34"/>
      <c r="R39" s="34"/>
      <c r="S39" s="34"/>
      <c r="T39" s="34"/>
      <c r="U39" s="34"/>
      <c r="V39" s="34"/>
      <c r="W39" s="34"/>
    </row>
    <row r="40" spans="1:23" ht="12.75" customHeight="1" x14ac:dyDescent="0.3">
      <c r="A40" s="14" t="s">
        <v>64</v>
      </c>
      <c r="B40" s="865" t="s">
        <v>45</v>
      </c>
      <c r="C40" s="864" t="s">
        <v>45</v>
      </c>
      <c r="D40" s="866">
        <v>0</v>
      </c>
      <c r="E40" s="866">
        <v>0</v>
      </c>
      <c r="F40" s="866">
        <v>0</v>
      </c>
      <c r="G40" s="247">
        <v>1</v>
      </c>
      <c r="H40" s="109">
        <v>0</v>
      </c>
      <c r="I40" s="251">
        <v>0.01</v>
      </c>
      <c r="J40" s="109">
        <v>0</v>
      </c>
      <c r="K40" s="36">
        <v>6.7999999999999996E-3</v>
      </c>
      <c r="L40" s="109">
        <v>0</v>
      </c>
      <c r="M40" s="109">
        <v>0</v>
      </c>
      <c r="N40" s="34"/>
      <c r="O40" s="34"/>
      <c r="P40" s="34"/>
      <c r="Q40" s="34"/>
      <c r="R40" s="34"/>
      <c r="S40" s="34"/>
      <c r="T40" s="34"/>
      <c r="U40" s="34"/>
      <c r="V40" s="34"/>
      <c r="W40" s="34"/>
    </row>
    <row r="41" spans="1:23" ht="12.75" customHeight="1" x14ac:dyDescent="0.3">
      <c r="A41" s="27"/>
      <c r="B41" s="33"/>
      <c r="C41" s="34"/>
      <c r="D41" s="109"/>
      <c r="E41" s="109"/>
      <c r="F41" s="109"/>
      <c r="G41" s="34"/>
      <c r="H41" s="112"/>
      <c r="I41" s="35"/>
      <c r="J41" s="110"/>
      <c r="K41" s="35"/>
      <c r="L41" s="110"/>
      <c r="M41" s="109"/>
      <c r="N41" s="34"/>
      <c r="O41" s="34"/>
      <c r="P41" s="34"/>
      <c r="Q41" s="34"/>
      <c r="R41" s="34"/>
      <c r="S41" s="34"/>
      <c r="T41" s="34"/>
      <c r="U41" s="34"/>
      <c r="V41" s="34"/>
      <c r="W41" s="34"/>
    </row>
    <row r="42" spans="1:23" ht="12.75" customHeight="1" x14ac:dyDescent="0.35">
      <c r="A42" s="1" t="s">
        <v>68</v>
      </c>
      <c r="B42" s="33"/>
      <c r="C42" s="34"/>
      <c r="D42" s="109"/>
      <c r="E42" s="109">
        <f>SUM(E7:E40)</f>
        <v>0</v>
      </c>
      <c r="F42" s="109">
        <f>SUM(F7:F40)</f>
        <v>0</v>
      </c>
      <c r="G42" s="34"/>
      <c r="H42" s="109">
        <f>SUM(H7:H40)</f>
        <v>0</v>
      </c>
      <c r="I42" s="35"/>
      <c r="J42" s="109">
        <f>SUM(J7:J40)</f>
        <v>0</v>
      </c>
      <c r="K42" s="35"/>
      <c r="L42" s="109">
        <f>SUM(L7:L40)</f>
        <v>0</v>
      </c>
      <c r="M42" s="109">
        <f>SUM(M7:M40)</f>
        <v>0</v>
      </c>
      <c r="N42" s="34"/>
      <c r="O42" s="34"/>
      <c r="P42" s="34"/>
      <c r="Q42" s="34"/>
      <c r="R42" s="34"/>
      <c r="S42" s="34"/>
      <c r="T42" s="34"/>
      <c r="U42" s="34"/>
      <c r="V42" s="34"/>
      <c r="W42" s="34"/>
    </row>
    <row r="43" spans="1:23" ht="12.75" customHeight="1" x14ac:dyDescent="0.3">
      <c r="A43" s="27"/>
      <c r="B43" s="33"/>
      <c r="C43" s="34"/>
      <c r="D43" s="109"/>
      <c r="E43" s="109"/>
      <c r="F43" s="109"/>
      <c r="G43" s="34"/>
      <c r="H43" s="32"/>
      <c r="I43" s="35"/>
      <c r="J43" s="34"/>
      <c r="K43" s="35"/>
      <c r="L43" s="34"/>
      <c r="M43" s="32"/>
      <c r="N43" s="34"/>
      <c r="O43" s="34"/>
      <c r="P43" s="34"/>
      <c r="Q43" s="34"/>
      <c r="R43" s="34"/>
      <c r="S43" s="34"/>
      <c r="T43" s="34"/>
      <c r="U43" s="34"/>
      <c r="V43" s="34"/>
      <c r="W43" s="34"/>
    </row>
    <row r="44" spans="1:23" ht="12.75" customHeight="1" x14ac:dyDescent="0.3">
      <c r="A44" s="27"/>
      <c r="B44" s="33"/>
      <c r="C44" s="34"/>
      <c r="D44" s="109"/>
      <c r="E44" s="109"/>
      <c r="F44" s="109"/>
      <c r="G44" s="34"/>
      <c r="H44" s="32"/>
      <c r="I44" s="35"/>
      <c r="J44" s="34"/>
      <c r="K44" s="35"/>
      <c r="L44" s="34"/>
      <c r="M44" s="32"/>
      <c r="N44" s="34"/>
      <c r="O44" s="34"/>
      <c r="P44" s="34"/>
      <c r="Q44" s="34"/>
      <c r="R44" s="34"/>
      <c r="S44" s="34"/>
      <c r="T44" s="34"/>
      <c r="U44" s="34"/>
      <c r="V44" s="34"/>
      <c r="W44" s="34"/>
    </row>
    <row r="45" spans="1:23" ht="12.75" customHeight="1" x14ac:dyDescent="0.3">
      <c r="A45" s="27"/>
      <c r="B45" s="33"/>
      <c r="C45" s="34"/>
      <c r="D45" s="134" t="s">
        <v>136</v>
      </c>
      <c r="E45" s="109"/>
      <c r="F45" s="109"/>
      <c r="G45" s="34"/>
      <c r="H45" s="32"/>
      <c r="I45" s="35"/>
      <c r="J45" s="34"/>
      <c r="K45" s="35"/>
      <c r="L45" s="34"/>
      <c r="M45" s="32"/>
      <c r="N45" s="34"/>
      <c r="O45" s="34"/>
      <c r="P45" s="34"/>
      <c r="Q45" s="34"/>
      <c r="R45" s="34"/>
      <c r="S45" s="34"/>
      <c r="T45" s="34"/>
      <c r="U45" s="34"/>
      <c r="V45" s="34"/>
      <c r="W45" s="34"/>
    </row>
    <row r="46" spans="1:23" ht="12.75" customHeight="1" x14ac:dyDescent="0.3">
      <c r="B46" s="33"/>
      <c r="C46" s="34"/>
      <c r="D46" s="110" t="s">
        <v>471</v>
      </c>
      <c r="E46" s="109">
        <f>SUM(E7:E28)</f>
        <v>0</v>
      </c>
      <c r="F46" s="109"/>
      <c r="G46" s="34"/>
      <c r="H46" s="32"/>
      <c r="I46" s="35"/>
      <c r="J46" s="34"/>
      <c r="K46" s="35"/>
      <c r="L46" s="34"/>
      <c r="M46" s="32"/>
      <c r="N46" s="34"/>
      <c r="O46" s="34"/>
      <c r="P46" s="34"/>
      <c r="Q46" s="34"/>
      <c r="R46" s="34"/>
      <c r="S46" s="34"/>
      <c r="T46" s="34"/>
      <c r="U46" s="34"/>
      <c r="V46" s="34"/>
      <c r="W46" s="34"/>
    </row>
    <row r="47" spans="1:23" ht="12.75" customHeight="1" x14ac:dyDescent="0.3">
      <c r="B47" s="33"/>
      <c r="C47" s="34"/>
      <c r="D47" s="110" t="s">
        <v>472</v>
      </c>
      <c r="E47" s="109">
        <f>SUM(E30:E31)</f>
        <v>0</v>
      </c>
      <c r="F47" s="109"/>
      <c r="G47" s="34"/>
      <c r="H47" s="32"/>
      <c r="I47" s="35"/>
      <c r="J47" s="34"/>
      <c r="K47" s="35"/>
      <c r="L47" s="34"/>
      <c r="M47" s="32"/>
      <c r="N47" s="34"/>
      <c r="O47" s="34"/>
      <c r="P47" s="34"/>
      <c r="Q47" s="34"/>
      <c r="R47" s="34"/>
      <c r="S47" s="34"/>
      <c r="T47" s="34"/>
      <c r="U47" s="34"/>
      <c r="V47" s="34"/>
      <c r="W47" s="34"/>
    </row>
    <row r="48" spans="1:23" ht="12.75" customHeight="1" x14ac:dyDescent="0.3">
      <c r="B48" s="33"/>
      <c r="C48" s="34"/>
      <c r="D48" s="127" t="s">
        <v>473</v>
      </c>
      <c r="E48" s="111">
        <f>SUM(E33:E34)</f>
        <v>0</v>
      </c>
      <c r="F48" s="109"/>
      <c r="G48" s="34"/>
      <c r="H48" s="32"/>
      <c r="I48" s="34"/>
      <c r="J48" s="34"/>
      <c r="K48" s="35"/>
      <c r="L48" s="34"/>
      <c r="M48" s="32"/>
      <c r="N48" s="34"/>
      <c r="O48" s="34"/>
      <c r="P48" s="34"/>
      <c r="Q48" s="34"/>
      <c r="R48" s="34"/>
      <c r="S48" s="34"/>
      <c r="T48" s="34"/>
      <c r="U48" s="34"/>
      <c r="V48" s="34"/>
      <c r="W48" s="34"/>
    </row>
    <row r="49" spans="2:23" ht="12.75" customHeight="1" x14ac:dyDescent="0.3">
      <c r="B49" s="33"/>
      <c r="C49" s="34"/>
      <c r="D49" s="135" t="s">
        <v>474</v>
      </c>
      <c r="E49" s="109">
        <f>SUM(E46:E48)</f>
        <v>0</v>
      </c>
      <c r="F49" s="109"/>
      <c r="G49" s="34"/>
      <c r="H49" s="32"/>
      <c r="I49" s="34"/>
      <c r="J49" s="34"/>
      <c r="K49" s="35"/>
      <c r="L49" s="34"/>
      <c r="M49" s="32"/>
      <c r="N49" s="34"/>
      <c r="O49" s="34"/>
      <c r="P49" s="34"/>
      <c r="Q49" s="34"/>
      <c r="R49" s="34"/>
      <c r="S49" s="34"/>
      <c r="T49" s="34"/>
      <c r="U49" s="34"/>
      <c r="V49" s="34"/>
      <c r="W49" s="34"/>
    </row>
    <row r="50" spans="2:23" ht="12.75" customHeight="1" x14ac:dyDescent="0.3">
      <c r="B50" s="33"/>
      <c r="C50" s="34"/>
      <c r="D50" s="32"/>
      <c r="E50" s="32"/>
      <c r="F50" s="32"/>
      <c r="G50" s="34"/>
      <c r="H50" s="32"/>
      <c r="I50" s="34"/>
      <c r="J50" s="34"/>
      <c r="K50" s="35"/>
      <c r="L50" s="34"/>
      <c r="M50" s="32"/>
      <c r="N50" s="34"/>
      <c r="O50" s="34"/>
      <c r="P50" s="34"/>
      <c r="Q50" s="34"/>
      <c r="R50" s="34"/>
      <c r="S50" s="34"/>
      <c r="T50" s="34"/>
      <c r="U50" s="34"/>
      <c r="V50" s="34"/>
      <c r="W50" s="34"/>
    </row>
    <row r="51" spans="2:23" ht="12.75" customHeight="1" x14ac:dyDescent="0.3">
      <c r="B51" s="33"/>
      <c r="C51" s="34"/>
      <c r="D51" s="32"/>
      <c r="E51" s="32"/>
      <c r="F51" s="32"/>
      <c r="G51" s="34"/>
      <c r="H51" s="32"/>
      <c r="I51" s="34"/>
      <c r="J51" s="34"/>
      <c r="K51" s="35"/>
      <c r="L51" s="34"/>
      <c r="M51" s="32"/>
      <c r="N51" s="34"/>
      <c r="O51" s="34"/>
      <c r="P51" s="34"/>
      <c r="Q51" s="34"/>
      <c r="R51" s="34"/>
      <c r="S51" s="34"/>
      <c r="T51" s="34"/>
      <c r="U51" s="34"/>
      <c r="V51" s="34"/>
      <c r="W51" s="34"/>
    </row>
    <row r="52" spans="2:23" ht="12.75" customHeight="1" x14ac:dyDescent="0.3">
      <c r="B52" s="33"/>
      <c r="C52" s="34"/>
      <c r="D52" s="32"/>
      <c r="E52" s="32"/>
      <c r="F52" s="32"/>
      <c r="G52" s="34"/>
      <c r="H52" s="32"/>
      <c r="I52" s="34"/>
      <c r="J52" s="34"/>
      <c r="K52" s="35"/>
      <c r="L52" s="34"/>
      <c r="M52" s="32"/>
      <c r="N52" s="34"/>
      <c r="O52" s="34"/>
      <c r="P52" s="34"/>
      <c r="Q52" s="34"/>
      <c r="R52" s="34"/>
      <c r="S52" s="34"/>
      <c r="T52" s="34"/>
      <c r="U52" s="34"/>
      <c r="V52" s="34"/>
      <c r="W52" s="34"/>
    </row>
    <row r="53" spans="2:23" ht="12.75" customHeight="1" x14ac:dyDescent="0.3">
      <c r="B53" s="33"/>
      <c r="C53" s="34"/>
      <c r="D53" s="32"/>
      <c r="E53" s="32"/>
      <c r="F53" s="32"/>
      <c r="G53" s="34"/>
      <c r="H53" s="32"/>
      <c r="I53" s="34"/>
      <c r="J53" s="34"/>
      <c r="K53" s="35"/>
      <c r="L53" s="34"/>
      <c r="M53" s="32"/>
      <c r="N53" s="34"/>
      <c r="O53" s="34"/>
      <c r="P53" s="34"/>
      <c r="Q53" s="34"/>
      <c r="R53" s="34"/>
      <c r="S53" s="34"/>
      <c r="T53" s="34"/>
      <c r="U53" s="34"/>
      <c r="V53" s="34"/>
      <c r="W53" s="34"/>
    </row>
    <row r="54" spans="2:23" ht="12.75" customHeight="1" x14ac:dyDescent="0.3">
      <c r="B54" s="33"/>
      <c r="C54" s="34"/>
      <c r="D54" s="32"/>
      <c r="E54" s="32"/>
      <c r="F54" s="32"/>
      <c r="G54" s="34"/>
      <c r="H54" s="32"/>
      <c r="I54" s="34"/>
      <c r="J54" s="34"/>
      <c r="K54" s="35"/>
      <c r="L54" s="34"/>
      <c r="M54" s="32"/>
      <c r="N54" s="34"/>
      <c r="O54" s="34"/>
      <c r="P54" s="34"/>
      <c r="Q54" s="34"/>
      <c r="R54" s="34"/>
      <c r="S54" s="34"/>
      <c r="T54" s="34"/>
      <c r="U54" s="34"/>
      <c r="V54" s="34"/>
      <c r="W54" s="34"/>
    </row>
    <row r="55" spans="2:23" ht="12.75" customHeight="1" x14ac:dyDescent="0.3">
      <c r="B55" s="33"/>
      <c r="C55" s="34"/>
      <c r="D55" s="32"/>
      <c r="E55" s="32"/>
      <c r="F55" s="32"/>
      <c r="G55" s="34"/>
      <c r="H55" s="32"/>
      <c r="I55" s="34"/>
      <c r="J55" s="34"/>
      <c r="K55" s="35"/>
      <c r="L55" s="34"/>
      <c r="M55" s="32"/>
      <c r="N55" s="34"/>
      <c r="O55" s="34"/>
      <c r="P55" s="34"/>
      <c r="Q55" s="34"/>
      <c r="R55" s="34"/>
      <c r="S55" s="34"/>
      <c r="T55" s="34"/>
      <c r="U55" s="34"/>
      <c r="V55" s="34"/>
      <c r="W55" s="34"/>
    </row>
    <row r="56" spans="2:23" ht="12.75" customHeight="1" x14ac:dyDescent="0.3">
      <c r="B56" s="33"/>
      <c r="C56" s="34"/>
      <c r="D56" s="32"/>
      <c r="E56" s="32"/>
      <c r="F56" s="32"/>
      <c r="G56" s="34"/>
      <c r="H56" s="32"/>
      <c r="I56" s="34"/>
      <c r="J56" s="34"/>
      <c r="K56" s="35"/>
      <c r="L56" s="34"/>
      <c r="M56" s="32"/>
      <c r="N56" s="34"/>
      <c r="O56" s="34"/>
      <c r="P56" s="34"/>
      <c r="Q56" s="34"/>
      <c r="R56" s="34"/>
      <c r="S56" s="34"/>
      <c r="T56" s="34"/>
      <c r="U56" s="34"/>
      <c r="V56" s="34"/>
      <c r="W56" s="34"/>
    </row>
    <row r="57" spans="2:23" ht="12.75" customHeight="1" x14ac:dyDescent="0.3">
      <c r="B57" s="33"/>
      <c r="C57" s="34"/>
      <c r="D57" s="32"/>
      <c r="E57" s="32"/>
      <c r="F57" s="32"/>
      <c r="G57" s="34"/>
      <c r="H57" s="32"/>
      <c r="I57" s="34"/>
      <c r="J57" s="34"/>
      <c r="K57" s="35"/>
      <c r="L57" s="34"/>
      <c r="M57" s="32"/>
      <c r="N57" s="34"/>
      <c r="O57" s="34"/>
      <c r="P57" s="34"/>
      <c r="Q57" s="34"/>
      <c r="R57" s="34"/>
      <c r="S57" s="34"/>
      <c r="T57" s="34"/>
      <c r="U57" s="34"/>
      <c r="V57" s="34"/>
      <c r="W57" s="34"/>
    </row>
    <row r="58" spans="2:23" ht="12.75" customHeight="1" x14ac:dyDescent="0.3">
      <c r="B58" s="33"/>
      <c r="C58" s="34"/>
      <c r="D58" s="32"/>
      <c r="E58" s="32"/>
      <c r="F58" s="32"/>
      <c r="G58" s="34"/>
      <c r="H58" s="32"/>
      <c r="I58" s="34"/>
      <c r="J58" s="34"/>
      <c r="K58" s="35"/>
      <c r="L58" s="34"/>
      <c r="M58" s="32"/>
      <c r="N58" s="34"/>
      <c r="O58" s="34"/>
      <c r="P58" s="34"/>
      <c r="Q58" s="34"/>
      <c r="R58" s="34"/>
      <c r="S58" s="34"/>
      <c r="T58" s="34"/>
      <c r="U58" s="34"/>
      <c r="V58" s="34"/>
      <c r="W58" s="34"/>
    </row>
    <row r="59" spans="2:23" ht="12.75" customHeight="1" x14ac:dyDescent="0.3">
      <c r="B59" s="33"/>
      <c r="C59" s="34"/>
      <c r="D59" s="32"/>
      <c r="E59" s="32"/>
      <c r="F59" s="32"/>
      <c r="G59" s="34"/>
      <c r="H59" s="32"/>
      <c r="I59" s="34"/>
      <c r="J59" s="34"/>
      <c r="K59" s="35"/>
      <c r="L59" s="34"/>
      <c r="M59" s="32"/>
      <c r="N59" s="34"/>
      <c r="O59" s="34"/>
      <c r="P59" s="34"/>
      <c r="Q59" s="34"/>
      <c r="R59" s="34"/>
      <c r="S59" s="34"/>
      <c r="T59" s="34"/>
      <c r="U59" s="34"/>
      <c r="V59" s="34"/>
      <c r="W59" s="34"/>
    </row>
    <row r="60" spans="2:23" ht="12.75" customHeight="1" x14ac:dyDescent="0.3">
      <c r="B60" s="33"/>
      <c r="C60" s="34"/>
      <c r="D60" s="32"/>
      <c r="E60" s="32"/>
      <c r="F60" s="32"/>
      <c r="G60" s="34"/>
      <c r="H60" s="32"/>
      <c r="I60" s="34"/>
      <c r="J60" s="34"/>
      <c r="K60" s="35"/>
      <c r="L60" s="34"/>
      <c r="M60" s="32"/>
      <c r="N60" s="34"/>
      <c r="O60" s="34"/>
      <c r="P60" s="34"/>
      <c r="Q60" s="34"/>
      <c r="R60" s="34"/>
      <c r="S60" s="34"/>
      <c r="T60" s="34"/>
      <c r="U60" s="34"/>
      <c r="V60" s="34"/>
      <c r="W60" s="34"/>
    </row>
    <row r="61" spans="2:23" ht="12.75" customHeight="1" x14ac:dyDescent="0.3">
      <c r="B61" s="33"/>
      <c r="C61" s="34"/>
      <c r="D61" s="32"/>
      <c r="E61" s="32"/>
      <c r="F61" s="32"/>
      <c r="G61" s="34"/>
      <c r="H61" s="32"/>
      <c r="I61" s="34"/>
      <c r="J61" s="34"/>
      <c r="K61" s="35"/>
      <c r="L61" s="34"/>
      <c r="M61" s="32"/>
      <c r="N61" s="34"/>
      <c r="O61" s="34"/>
      <c r="P61" s="34"/>
      <c r="Q61" s="34"/>
      <c r="R61" s="34"/>
      <c r="S61" s="34"/>
      <c r="T61" s="34"/>
      <c r="U61" s="34"/>
      <c r="V61" s="34"/>
      <c r="W61" s="34"/>
    </row>
    <row r="62" spans="2:23" ht="12.75" customHeight="1" x14ac:dyDescent="0.3">
      <c r="B62" s="33"/>
      <c r="C62" s="34"/>
      <c r="D62" s="32"/>
      <c r="E62" s="32"/>
      <c r="F62" s="32"/>
      <c r="G62" s="34"/>
      <c r="H62" s="32"/>
      <c r="I62" s="34"/>
      <c r="J62" s="34"/>
      <c r="K62" s="35"/>
      <c r="L62" s="34"/>
      <c r="M62" s="32"/>
      <c r="N62" s="34"/>
      <c r="O62" s="34"/>
      <c r="P62" s="34"/>
      <c r="Q62" s="34"/>
      <c r="R62" s="34"/>
      <c r="S62" s="34"/>
      <c r="T62" s="34"/>
      <c r="U62" s="34"/>
      <c r="V62" s="34"/>
      <c r="W62" s="34"/>
    </row>
    <row r="63" spans="2:23" ht="12.75" customHeight="1" x14ac:dyDescent="0.3">
      <c r="B63" s="33"/>
      <c r="C63" s="34"/>
      <c r="D63" s="32"/>
      <c r="E63" s="32"/>
      <c r="F63" s="32"/>
      <c r="G63" s="34"/>
      <c r="H63" s="32"/>
      <c r="I63" s="34"/>
      <c r="J63" s="34"/>
      <c r="K63" s="35"/>
      <c r="L63" s="34"/>
      <c r="M63" s="32"/>
      <c r="N63" s="34"/>
      <c r="O63" s="34"/>
      <c r="P63" s="34"/>
      <c r="Q63" s="34"/>
      <c r="R63" s="34"/>
      <c r="S63" s="34"/>
      <c r="T63" s="34"/>
      <c r="U63" s="34"/>
      <c r="V63" s="34"/>
      <c r="W63" s="34"/>
    </row>
    <row r="64" spans="2:23" ht="12.75" customHeight="1" x14ac:dyDescent="0.3">
      <c r="B64" s="33"/>
      <c r="C64" s="34"/>
      <c r="D64" s="32"/>
      <c r="E64" s="32"/>
      <c r="F64" s="32"/>
      <c r="G64" s="34"/>
      <c r="H64" s="32"/>
      <c r="I64" s="34"/>
      <c r="J64" s="34"/>
      <c r="K64" s="35"/>
      <c r="L64" s="34"/>
      <c r="M64" s="32"/>
      <c r="N64" s="34"/>
      <c r="O64" s="34"/>
      <c r="P64" s="34"/>
      <c r="Q64" s="34"/>
      <c r="R64" s="34"/>
      <c r="S64" s="34"/>
      <c r="T64" s="34"/>
      <c r="U64" s="34"/>
      <c r="V64" s="34"/>
      <c r="W64" s="34"/>
    </row>
    <row r="65" spans="2:23" ht="12.75" customHeight="1" x14ac:dyDescent="0.3">
      <c r="B65" s="33"/>
      <c r="C65" s="34"/>
      <c r="D65" s="32"/>
      <c r="E65" s="32"/>
      <c r="F65" s="32"/>
      <c r="G65" s="34"/>
      <c r="H65" s="32"/>
      <c r="I65" s="34"/>
      <c r="J65" s="34"/>
      <c r="K65" s="35"/>
      <c r="L65" s="34"/>
      <c r="M65" s="32"/>
      <c r="N65" s="34"/>
      <c r="O65" s="34"/>
      <c r="P65" s="34"/>
      <c r="Q65" s="34"/>
      <c r="R65" s="34"/>
      <c r="S65" s="34"/>
      <c r="T65" s="34"/>
      <c r="U65" s="34"/>
      <c r="V65" s="34"/>
      <c r="W65" s="34"/>
    </row>
    <row r="66" spans="2:23" ht="12.75" customHeight="1" x14ac:dyDescent="0.3">
      <c r="B66" s="33"/>
      <c r="C66" s="34"/>
      <c r="D66" s="32"/>
      <c r="E66" s="32"/>
      <c r="F66" s="32"/>
      <c r="G66" s="34"/>
      <c r="H66" s="32"/>
      <c r="I66" s="34"/>
      <c r="J66" s="34"/>
      <c r="K66" s="35"/>
      <c r="L66" s="34"/>
      <c r="M66" s="32"/>
      <c r="N66" s="34"/>
      <c r="O66" s="34"/>
      <c r="P66" s="34"/>
      <c r="Q66" s="34"/>
      <c r="R66" s="34"/>
      <c r="S66" s="34"/>
      <c r="T66" s="34"/>
      <c r="U66" s="34"/>
      <c r="V66" s="34"/>
      <c r="W66" s="34"/>
    </row>
    <row r="67" spans="2:23" ht="12.75" customHeight="1" x14ac:dyDescent="0.3">
      <c r="B67" s="33"/>
      <c r="C67" s="34"/>
      <c r="D67" s="32"/>
      <c r="E67" s="32"/>
      <c r="F67" s="32"/>
      <c r="G67" s="34"/>
      <c r="H67" s="32"/>
      <c r="I67" s="34"/>
      <c r="J67" s="34"/>
      <c r="K67" s="35"/>
      <c r="L67" s="34"/>
      <c r="M67" s="32"/>
      <c r="N67" s="34"/>
      <c r="O67" s="34"/>
      <c r="P67" s="34"/>
      <c r="Q67" s="34"/>
      <c r="R67" s="34"/>
      <c r="S67" s="34"/>
      <c r="T67" s="34"/>
      <c r="U67" s="34"/>
      <c r="V67" s="34"/>
      <c r="W67" s="34"/>
    </row>
    <row r="68" spans="2:23" ht="12.75" customHeight="1" x14ac:dyDescent="0.3">
      <c r="B68" s="33"/>
      <c r="C68" s="34"/>
      <c r="D68" s="32"/>
      <c r="E68" s="32"/>
      <c r="F68" s="32"/>
      <c r="G68" s="34"/>
      <c r="H68" s="32"/>
      <c r="I68" s="34"/>
      <c r="J68" s="34"/>
      <c r="K68" s="35"/>
      <c r="L68" s="34"/>
      <c r="M68" s="32"/>
      <c r="N68" s="34"/>
      <c r="O68" s="34"/>
      <c r="P68" s="34"/>
      <c r="Q68" s="34"/>
      <c r="R68" s="34"/>
      <c r="S68" s="34"/>
      <c r="T68" s="34"/>
      <c r="U68" s="34"/>
      <c r="V68" s="34"/>
      <c r="W68" s="34"/>
    </row>
    <row r="69" spans="2:23" ht="12.75" customHeight="1" x14ac:dyDescent="0.3">
      <c r="B69" s="33"/>
      <c r="C69" s="34"/>
      <c r="D69" s="32"/>
      <c r="E69" s="32"/>
      <c r="F69" s="32"/>
      <c r="G69" s="34"/>
      <c r="H69" s="32"/>
      <c r="I69" s="34"/>
      <c r="J69" s="34"/>
      <c r="K69" s="35"/>
      <c r="L69" s="34"/>
      <c r="M69" s="32"/>
      <c r="N69" s="34"/>
      <c r="O69" s="34"/>
      <c r="P69" s="34"/>
      <c r="Q69" s="34"/>
      <c r="R69" s="34"/>
      <c r="S69" s="34"/>
      <c r="T69" s="34"/>
      <c r="U69" s="34"/>
      <c r="V69" s="34"/>
      <c r="W69" s="34"/>
    </row>
    <row r="70" spans="2:23" ht="12.75" customHeight="1" x14ac:dyDescent="0.3">
      <c r="B70" s="33"/>
      <c r="C70" s="34"/>
      <c r="D70" s="32"/>
      <c r="E70" s="32"/>
      <c r="F70" s="32"/>
      <c r="G70" s="34"/>
      <c r="H70" s="32"/>
      <c r="I70" s="34"/>
      <c r="J70" s="34"/>
      <c r="K70" s="35"/>
      <c r="L70" s="34"/>
      <c r="M70" s="32"/>
      <c r="N70" s="34"/>
      <c r="O70" s="34"/>
      <c r="P70" s="34"/>
      <c r="Q70" s="34"/>
      <c r="R70" s="34"/>
      <c r="S70" s="34"/>
      <c r="T70" s="34"/>
      <c r="U70" s="34"/>
      <c r="V70" s="34"/>
      <c r="W70" s="34"/>
    </row>
    <row r="71" spans="2:23" ht="12.75" customHeight="1" x14ac:dyDescent="0.3">
      <c r="B71" s="33"/>
      <c r="C71" s="34"/>
      <c r="D71" s="32"/>
      <c r="E71" s="32"/>
      <c r="F71" s="32"/>
      <c r="G71" s="34"/>
      <c r="H71" s="32"/>
      <c r="I71" s="34"/>
      <c r="J71" s="34"/>
      <c r="K71" s="35"/>
      <c r="L71" s="34"/>
      <c r="M71" s="32"/>
      <c r="N71" s="34"/>
      <c r="O71" s="34"/>
      <c r="P71" s="34"/>
      <c r="Q71" s="34"/>
      <c r="R71" s="34"/>
      <c r="S71" s="34"/>
      <c r="T71" s="34"/>
      <c r="U71" s="34"/>
      <c r="V71" s="34"/>
      <c r="W71" s="34"/>
    </row>
    <row r="72" spans="2:23" ht="12.75" customHeight="1" x14ac:dyDescent="0.3">
      <c r="B72" s="33"/>
      <c r="C72" s="34"/>
      <c r="D72" s="32"/>
      <c r="E72" s="32"/>
      <c r="F72" s="32"/>
      <c r="G72" s="34"/>
      <c r="H72" s="32"/>
      <c r="I72" s="34"/>
      <c r="J72" s="34"/>
      <c r="K72" s="35"/>
      <c r="L72" s="34"/>
      <c r="M72" s="32"/>
      <c r="N72" s="34"/>
      <c r="O72" s="34"/>
      <c r="P72" s="34"/>
      <c r="Q72" s="34"/>
      <c r="R72" s="34"/>
      <c r="S72" s="34"/>
      <c r="T72" s="34"/>
      <c r="U72" s="34"/>
      <c r="V72" s="34"/>
      <c r="W72" s="34"/>
    </row>
    <row r="73" spans="2:23" ht="12.75" customHeight="1" x14ac:dyDescent="0.3">
      <c r="B73" s="33"/>
      <c r="C73" s="34"/>
      <c r="D73" s="32"/>
      <c r="E73" s="32"/>
      <c r="F73" s="32"/>
      <c r="G73" s="34"/>
      <c r="H73" s="32"/>
      <c r="I73" s="34"/>
      <c r="J73" s="34"/>
      <c r="K73" s="35"/>
      <c r="L73" s="34"/>
      <c r="M73" s="32"/>
      <c r="N73" s="34"/>
      <c r="O73" s="34"/>
      <c r="P73" s="34"/>
      <c r="Q73" s="34"/>
      <c r="R73" s="34"/>
      <c r="S73" s="34"/>
      <c r="T73" s="34"/>
      <c r="U73" s="34"/>
      <c r="V73" s="34"/>
      <c r="W73" s="34"/>
    </row>
    <row r="74" spans="2:23" ht="12.75" customHeight="1" x14ac:dyDescent="0.3">
      <c r="B74" s="33"/>
      <c r="C74" s="34"/>
      <c r="D74" s="32"/>
      <c r="E74" s="32"/>
      <c r="F74" s="32"/>
      <c r="G74" s="34"/>
      <c r="H74" s="32"/>
      <c r="I74" s="34"/>
      <c r="J74" s="34"/>
      <c r="K74" s="35"/>
      <c r="L74" s="34"/>
      <c r="M74" s="32"/>
      <c r="N74" s="34"/>
      <c r="O74" s="34"/>
      <c r="P74" s="34"/>
      <c r="Q74" s="34"/>
      <c r="R74" s="34"/>
      <c r="S74" s="34"/>
      <c r="T74" s="34"/>
      <c r="U74" s="34"/>
      <c r="V74" s="34"/>
      <c r="W74" s="34"/>
    </row>
    <row r="75" spans="2:23" ht="12.75" customHeight="1" x14ac:dyDescent="0.3">
      <c r="B75" s="33"/>
      <c r="C75" s="34"/>
      <c r="D75" s="39"/>
      <c r="E75" s="39"/>
      <c r="F75" s="39"/>
      <c r="G75" s="34"/>
      <c r="H75" s="32"/>
      <c r="I75" s="34"/>
      <c r="J75" s="34"/>
      <c r="K75" s="35"/>
      <c r="L75" s="34"/>
      <c r="M75" s="32"/>
      <c r="N75" s="34"/>
      <c r="O75" s="34"/>
      <c r="P75" s="34"/>
      <c r="Q75" s="34"/>
      <c r="R75" s="34"/>
      <c r="S75" s="34"/>
      <c r="T75" s="34"/>
      <c r="U75" s="34"/>
      <c r="V75" s="34"/>
      <c r="W75" s="34"/>
    </row>
    <row r="76" spans="2:23" ht="12.75" customHeight="1" x14ac:dyDescent="0.3">
      <c r="B76" s="33"/>
      <c r="C76" s="34"/>
      <c r="D76" s="39"/>
      <c r="E76" s="39"/>
      <c r="F76" s="39"/>
      <c r="G76" s="34"/>
      <c r="H76" s="32"/>
      <c r="I76" s="34"/>
      <c r="J76" s="34"/>
      <c r="K76" s="35"/>
      <c r="L76" s="34"/>
      <c r="M76" s="32"/>
      <c r="N76" s="34"/>
      <c r="O76" s="34"/>
      <c r="P76" s="34"/>
      <c r="Q76" s="34"/>
      <c r="R76" s="34"/>
      <c r="S76" s="34"/>
      <c r="T76" s="34"/>
      <c r="U76" s="34"/>
      <c r="V76" s="34"/>
      <c r="W76" s="34"/>
    </row>
    <row r="77" spans="2:23" ht="12.75" customHeight="1" x14ac:dyDescent="0.3">
      <c r="B77" s="33"/>
      <c r="C77" s="34"/>
      <c r="D77" s="39"/>
      <c r="E77" s="39"/>
      <c r="F77" s="39"/>
      <c r="G77" s="34"/>
      <c r="H77" s="32"/>
      <c r="I77" s="34"/>
      <c r="J77" s="34"/>
      <c r="K77" s="35"/>
      <c r="L77" s="34"/>
      <c r="M77" s="32"/>
      <c r="N77" s="34"/>
      <c r="O77" s="34"/>
      <c r="P77" s="34"/>
      <c r="Q77" s="34"/>
      <c r="R77" s="34"/>
      <c r="S77" s="34"/>
      <c r="T77" s="34"/>
      <c r="U77" s="34"/>
      <c r="V77" s="34"/>
      <c r="W77" s="34"/>
    </row>
    <row r="78" spans="2:23" ht="12.75" customHeight="1" x14ac:dyDescent="0.3">
      <c r="B78" s="33"/>
      <c r="C78" s="34"/>
      <c r="D78" s="39"/>
      <c r="E78" s="39"/>
      <c r="F78" s="39"/>
      <c r="G78" s="34"/>
      <c r="H78" s="32"/>
      <c r="I78" s="34"/>
      <c r="J78" s="34"/>
      <c r="K78" s="35"/>
      <c r="L78" s="34"/>
      <c r="M78" s="32"/>
      <c r="N78" s="34"/>
      <c r="O78" s="34"/>
      <c r="P78" s="34"/>
      <c r="Q78" s="34"/>
      <c r="R78" s="34"/>
      <c r="S78" s="34"/>
      <c r="T78" s="34"/>
      <c r="U78" s="34"/>
      <c r="V78" s="34"/>
      <c r="W78" s="34"/>
    </row>
    <row r="79" spans="2:23" ht="12.75" customHeight="1" x14ac:dyDescent="0.3">
      <c r="B79" s="33"/>
      <c r="C79" s="34"/>
      <c r="D79" s="39"/>
      <c r="E79" s="39"/>
      <c r="F79" s="39"/>
      <c r="G79" s="34"/>
      <c r="H79" s="32"/>
      <c r="I79" s="34"/>
      <c r="J79" s="34"/>
      <c r="K79" s="35"/>
      <c r="L79" s="34"/>
      <c r="M79" s="32"/>
      <c r="N79" s="34"/>
      <c r="O79" s="34"/>
      <c r="P79" s="34"/>
      <c r="Q79" s="34"/>
      <c r="R79" s="34"/>
      <c r="S79" s="34"/>
      <c r="T79" s="34"/>
      <c r="U79" s="34"/>
      <c r="V79" s="34"/>
      <c r="W79" s="34"/>
    </row>
    <row r="80" spans="2:23" ht="12.75" customHeight="1" x14ac:dyDescent="0.3">
      <c r="B80" s="33"/>
      <c r="C80" s="34"/>
      <c r="D80" s="39"/>
      <c r="E80" s="39"/>
      <c r="F80" s="39"/>
      <c r="G80" s="34"/>
      <c r="H80" s="32"/>
      <c r="I80" s="34"/>
      <c r="J80" s="34"/>
      <c r="K80" s="35"/>
      <c r="L80" s="34"/>
      <c r="M80" s="32"/>
      <c r="N80" s="34"/>
      <c r="O80" s="34"/>
      <c r="P80" s="34"/>
      <c r="Q80" s="34"/>
      <c r="R80" s="34"/>
      <c r="S80" s="34"/>
      <c r="T80" s="34"/>
      <c r="U80" s="34"/>
      <c r="V80" s="34"/>
      <c r="W80" s="34"/>
    </row>
    <row r="81" spans="2:23" ht="12.75" customHeight="1" x14ac:dyDescent="0.3">
      <c r="B81" s="33"/>
      <c r="C81" s="34"/>
      <c r="D81" s="39"/>
      <c r="E81" s="39"/>
      <c r="F81" s="39"/>
      <c r="G81" s="34"/>
      <c r="H81" s="32"/>
      <c r="I81" s="34"/>
      <c r="J81" s="34"/>
      <c r="K81" s="35"/>
      <c r="L81" s="34"/>
      <c r="M81" s="32"/>
      <c r="N81" s="34"/>
      <c r="O81" s="34"/>
      <c r="P81" s="34"/>
      <c r="Q81" s="34"/>
      <c r="R81" s="34"/>
      <c r="S81" s="34"/>
      <c r="T81" s="34"/>
      <c r="U81" s="34"/>
      <c r="V81" s="34"/>
      <c r="W81" s="34"/>
    </row>
    <row r="82" spans="2:23" ht="12.75" customHeight="1" x14ac:dyDescent="0.3">
      <c r="B82" s="33"/>
      <c r="C82" s="34"/>
      <c r="D82" s="39"/>
      <c r="E82" s="39"/>
      <c r="F82" s="39"/>
      <c r="G82" s="34"/>
      <c r="H82" s="32"/>
      <c r="I82" s="34"/>
      <c r="J82" s="34"/>
      <c r="K82" s="35"/>
      <c r="L82" s="34"/>
      <c r="M82" s="32"/>
      <c r="N82" s="34"/>
      <c r="O82" s="34"/>
      <c r="P82" s="34"/>
      <c r="Q82" s="34"/>
      <c r="R82" s="34"/>
      <c r="S82" s="34"/>
      <c r="T82" s="34"/>
      <c r="U82" s="34"/>
      <c r="V82" s="34"/>
      <c r="W82" s="34"/>
    </row>
    <row r="83" spans="2:23" ht="12.75" customHeight="1" x14ac:dyDescent="0.3">
      <c r="B83" s="33"/>
      <c r="C83" s="34"/>
      <c r="D83" s="39"/>
      <c r="E83" s="39"/>
      <c r="F83" s="39"/>
      <c r="G83" s="34"/>
      <c r="H83" s="32"/>
      <c r="I83" s="34"/>
      <c r="J83" s="34"/>
      <c r="K83" s="35"/>
      <c r="L83" s="34"/>
      <c r="M83" s="32"/>
      <c r="N83" s="34"/>
      <c r="O83" s="34"/>
      <c r="P83" s="34"/>
      <c r="Q83" s="34"/>
      <c r="R83" s="34"/>
      <c r="S83" s="34"/>
      <c r="T83" s="34"/>
      <c r="U83" s="34"/>
      <c r="V83" s="34"/>
      <c r="W83" s="34"/>
    </row>
    <row r="84" spans="2:23" ht="12.75" customHeight="1" x14ac:dyDescent="0.3">
      <c r="B84" s="33"/>
      <c r="C84" s="34"/>
      <c r="D84" s="39"/>
      <c r="E84" s="39"/>
      <c r="F84" s="39"/>
      <c r="G84" s="34"/>
      <c r="H84" s="32"/>
      <c r="I84" s="34"/>
      <c r="J84" s="34"/>
      <c r="K84" s="35"/>
      <c r="L84" s="34"/>
      <c r="M84" s="32"/>
      <c r="N84" s="34"/>
      <c r="O84" s="34"/>
      <c r="P84" s="34"/>
      <c r="Q84" s="34"/>
      <c r="R84" s="34"/>
      <c r="S84" s="34"/>
      <c r="T84" s="34"/>
      <c r="U84" s="34"/>
      <c r="V84" s="34"/>
      <c r="W84" s="34"/>
    </row>
    <row r="85" spans="2:23" ht="12.75" customHeight="1" x14ac:dyDescent="0.3">
      <c r="B85" s="33"/>
      <c r="C85" s="34"/>
      <c r="D85" s="39"/>
      <c r="E85" s="39"/>
      <c r="F85" s="39"/>
      <c r="G85" s="34"/>
      <c r="H85" s="32"/>
      <c r="I85" s="34"/>
      <c r="J85" s="34"/>
      <c r="K85" s="35"/>
      <c r="L85" s="34"/>
      <c r="M85" s="32"/>
      <c r="N85" s="34"/>
      <c r="O85" s="34"/>
      <c r="P85" s="34"/>
      <c r="Q85" s="34"/>
      <c r="R85" s="34"/>
      <c r="S85" s="34"/>
      <c r="T85" s="34"/>
      <c r="U85" s="34"/>
      <c r="V85" s="34"/>
      <c r="W85" s="34"/>
    </row>
    <row r="86" spans="2:23" ht="12.75" customHeight="1" x14ac:dyDescent="0.3">
      <c r="B86" s="33"/>
      <c r="C86" s="34"/>
      <c r="D86" s="39"/>
      <c r="E86" s="39"/>
      <c r="F86" s="39"/>
      <c r="G86" s="34"/>
      <c r="H86" s="32"/>
      <c r="I86" s="34"/>
      <c r="J86" s="34"/>
      <c r="K86" s="35"/>
      <c r="L86" s="34"/>
      <c r="M86" s="32"/>
      <c r="N86" s="34"/>
      <c r="O86" s="34"/>
      <c r="P86" s="34"/>
      <c r="Q86" s="34"/>
      <c r="R86" s="34"/>
      <c r="S86" s="34"/>
      <c r="T86" s="34"/>
      <c r="U86" s="34"/>
      <c r="V86" s="34"/>
      <c r="W86" s="34"/>
    </row>
    <row r="87" spans="2:23" ht="12.75" customHeight="1" x14ac:dyDescent="0.3">
      <c r="B87" s="33"/>
      <c r="C87" s="34"/>
      <c r="D87" s="39"/>
      <c r="E87" s="39"/>
      <c r="F87" s="39"/>
      <c r="G87" s="34"/>
      <c r="H87" s="32"/>
      <c r="I87" s="34"/>
      <c r="J87" s="34"/>
      <c r="K87" s="35"/>
      <c r="L87" s="34"/>
      <c r="M87" s="32"/>
      <c r="N87" s="34"/>
      <c r="O87" s="34"/>
      <c r="P87" s="34"/>
      <c r="Q87" s="34"/>
      <c r="R87" s="34"/>
      <c r="S87" s="34"/>
      <c r="T87" s="34"/>
      <c r="U87" s="34"/>
      <c r="V87" s="34"/>
      <c r="W87" s="34"/>
    </row>
    <row r="88" spans="2:23" ht="12.75" customHeight="1" x14ac:dyDescent="0.3">
      <c r="B88" s="33"/>
      <c r="C88" s="34"/>
      <c r="D88" s="39"/>
      <c r="E88" s="39"/>
      <c r="F88" s="39"/>
      <c r="G88" s="34"/>
      <c r="H88" s="32"/>
      <c r="I88" s="34"/>
      <c r="J88" s="34"/>
      <c r="K88" s="35"/>
      <c r="L88" s="34"/>
      <c r="M88" s="32"/>
      <c r="N88" s="34"/>
      <c r="O88" s="34"/>
      <c r="P88" s="34"/>
      <c r="Q88" s="34"/>
      <c r="R88" s="34"/>
      <c r="S88" s="34"/>
      <c r="T88" s="34"/>
      <c r="U88" s="34"/>
      <c r="V88" s="34"/>
      <c r="W88" s="34"/>
    </row>
    <row r="89" spans="2:23" ht="12.75" customHeight="1" x14ac:dyDescent="0.3">
      <c r="B89" s="33"/>
      <c r="C89" s="34"/>
      <c r="D89" s="39"/>
      <c r="E89" s="39"/>
      <c r="F89" s="39"/>
      <c r="G89" s="34"/>
      <c r="H89" s="32"/>
      <c r="I89" s="34"/>
      <c r="J89" s="34"/>
      <c r="K89" s="35"/>
      <c r="L89" s="34"/>
      <c r="M89" s="32"/>
      <c r="N89" s="34"/>
      <c r="O89" s="34"/>
      <c r="P89" s="34"/>
      <c r="Q89" s="34"/>
      <c r="R89" s="34"/>
      <c r="S89" s="34"/>
      <c r="T89" s="34"/>
      <c r="U89" s="34"/>
      <c r="V89" s="34"/>
      <c r="W89" s="34"/>
    </row>
    <row r="90" spans="2:23" ht="12.75" customHeight="1" x14ac:dyDescent="0.3">
      <c r="B90" s="33"/>
      <c r="C90" s="34"/>
      <c r="D90" s="39"/>
      <c r="E90" s="39"/>
      <c r="F90" s="39"/>
      <c r="G90" s="34"/>
      <c r="H90" s="32"/>
      <c r="I90" s="34"/>
      <c r="J90" s="34"/>
      <c r="K90" s="35"/>
      <c r="L90" s="34"/>
      <c r="M90" s="32"/>
      <c r="N90" s="34"/>
      <c r="O90" s="34"/>
      <c r="P90" s="34"/>
      <c r="Q90" s="34"/>
      <c r="R90" s="34"/>
      <c r="S90" s="34"/>
      <c r="T90" s="34"/>
      <c r="U90" s="34"/>
      <c r="V90" s="34"/>
      <c r="W90" s="34"/>
    </row>
    <row r="91" spans="2:23" ht="12.75" customHeight="1" x14ac:dyDescent="0.3">
      <c r="B91" s="33"/>
      <c r="C91" s="34"/>
      <c r="D91" s="39"/>
      <c r="E91" s="39"/>
      <c r="F91" s="39"/>
      <c r="G91" s="34"/>
      <c r="H91" s="32"/>
      <c r="I91" s="34"/>
      <c r="J91" s="34"/>
      <c r="K91" s="35"/>
      <c r="L91" s="34"/>
      <c r="M91" s="32"/>
      <c r="N91" s="34"/>
      <c r="O91" s="34"/>
      <c r="P91" s="34"/>
      <c r="Q91" s="34"/>
      <c r="R91" s="34"/>
      <c r="S91" s="34"/>
      <c r="T91" s="34"/>
      <c r="U91" s="34"/>
      <c r="V91" s="34"/>
      <c r="W91" s="34"/>
    </row>
    <row r="92" spans="2:23" ht="12.75" customHeight="1" x14ac:dyDescent="0.3">
      <c r="B92" s="33"/>
      <c r="C92" s="34"/>
      <c r="D92" s="39"/>
      <c r="E92" s="39"/>
      <c r="F92" s="39"/>
      <c r="G92" s="34"/>
      <c r="H92" s="32"/>
      <c r="I92" s="34"/>
      <c r="J92" s="34"/>
      <c r="K92" s="35"/>
      <c r="L92" s="34"/>
      <c r="M92" s="32"/>
      <c r="N92" s="34"/>
      <c r="O92" s="34"/>
      <c r="P92" s="34"/>
      <c r="Q92" s="34"/>
      <c r="R92" s="34"/>
      <c r="S92" s="34"/>
      <c r="T92" s="34"/>
      <c r="U92" s="34"/>
      <c r="V92" s="34"/>
      <c r="W92" s="34"/>
    </row>
    <row r="93" spans="2:23" ht="12.75" customHeight="1" x14ac:dyDescent="0.3">
      <c r="B93" s="33"/>
      <c r="C93" s="34"/>
      <c r="D93" s="39"/>
      <c r="E93" s="39"/>
      <c r="F93" s="39"/>
      <c r="G93" s="34"/>
      <c r="H93" s="32"/>
      <c r="I93" s="34"/>
      <c r="J93" s="34"/>
      <c r="K93" s="35"/>
      <c r="L93" s="34"/>
      <c r="M93" s="32"/>
      <c r="N93" s="34"/>
      <c r="O93" s="34"/>
      <c r="P93" s="34"/>
      <c r="Q93" s="34"/>
      <c r="R93" s="34"/>
      <c r="S93" s="34"/>
      <c r="T93" s="34"/>
      <c r="U93" s="34"/>
      <c r="V93" s="34"/>
      <c r="W93" s="34"/>
    </row>
    <row r="94" spans="2:23" ht="12.75" customHeight="1" x14ac:dyDescent="0.3">
      <c r="B94" s="33"/>
      <c r="C94" s="34"/>
      <c r="D94" s="39"/>
      <c r="E94" s="39"/>
      <c r="F94" s="39"/>
      <c r="G94" s="34"/>
      <c r="H94" s="32"/>
      <c r="I94" s="34"/>
      <c r="J94" s="34"/>
      <c r="K94" s="35"/>
      <c r="L94" s="34"/>
      <c r="M94" s="32"/>
      <c r="N94" s="34"/>
      <c r="O94" s="34"/>
      <c r="P94" s="34"/>
      <c r="Q94" s="34"/>
      <c r="R94" s="34"/>
      <c r="S94" s="34"/>
      <c r="T94" s="34"/>
      <c r="U94" s="34"/>
      <c r="V94" s="34"/>
      <c r="W94" s="34"/>
    </row>
    <row r="95" spans="2:23" ht="12.75" customHeight="1" x14ac:dyDescent="0.3">
      <c r="B95" s="33"/>
      <c r="C95" s="34"/>
      <c r="D95" s="39"/>
      <c r="E95" s="39"/>
      <c r="F95" s="39"/>
      <c r="G95" s="34"/>
      <c r="H95" s="32"/>
      <c r="I95" s="34"/>
      <c r="J95" s="34"/>
      <c r="K95" s="35"/>
      <c r="L95" s="34"/>
      <c r="M95" s="32"/>
      <c r="N95" s="34"/>
      <c r="O95" s="34"/>
      <c r="P95" s="34"/>
      <c r="Q95" s="34"/>
      <c r="R95" s="34"/>
      <c r="S95" s="34"/>
      <c r="T95" s="34"/>
      <c r="U95" s="34"/>
      <c r="V95" s="34"/>
      <c r="W95" s="34"/>
    </row>
    <row r="96" spans="2:23" ht="12.75" customHeight="1" x14ac:dyDescent="0.3">
      <c r="B96" s="33"/>
      <c r="C96" s="34"/>
      <c r="D96" s="39"/>
      <c r="E96" s="39"/>
      <c r="F96" s="39"/>
      <c r="G96" s="34"/>
      <c r="H96" s="32"/>
      <c r="I96" s="34"/>
      <c r="J96" s="34"/>
      <c r="K96" s="35"/>
      <c r="L96" s="34"/>
      <c r="M96" s="32"/>
      <c r="N96" s="34"/>
      <c r="O96" s="34"/>
      <c r="P96" s="34"/>
      <c r="Q96" s="34"/>
      <c r="R96" s="34"/>
      <c r="S96" s="34"/>
      <c r="T96" s="34"/>
      <c r="U96" s="34"/>
      <c r="V96" s="34"/>
      <c r="W96" s="34"/>
    </row>
    <row r="97" spans="2:23" ht="12.75" customHeight="1" x14ac:dyDescent="0.3">
      <c r="B97" s="33"/>
      <c r="C97" s="34"/>
      <c r="D97" s="39"/>
      <c r="E97" s="39"/>
      <c r="F97" s="39"/>
      <c r="G97" s="34"/>
      <c r="H97" s="32"/>
      <c r="I97" s="34"/>
      <c r="J97" s="34"/>
      <c r="K97" s="35"/>
      <c r="L97" s="34"/>
      <c r="M97" s="32"/>
      <c r="N97" s="34"/>
      <c r="O97" s="34"/>
      <c r="P97" s="34"/>
      <c r="Q97" s="34"/>
      <c r="R97" s="34"/>
      <c r="S97" s="34"/>
      <c r="T97" s="34"/>
      <c r="U97" s="34"/>
      <c r="V97" s="34"/>
      <c r="W97" s="34"/>
    </row>
    <row r="98" spans="2:23" ht="12.75" customHeight="1" x14ac:dyDescent="0.3">
      <c r="B98" s="33"/>
      <c r="C98" s="34"/>
      <c r="D98" s="39"/>
      <c r="E98" s="39"/>
      <c r="F98" s="39"/>
      <c r="G98" s="34"/>
      <c r="H98" s="32"/>
      <c r="I98" s="34"/>
      <c r="J98" s="34"/>
      <c r="K98" s="35"/>
      <c r="L98" s="34"/>
      <c r="M98" s="32"/>
      <c r="N98" s="34"/>
      <c r="O98" s="34"/>
      <c r="P98" s="34"/>
      <c r="Q98" s="34"/>
      <c r="R98" s="34"/>
      <c r="S98" s="34"/>
      <c r="T98" s="34"/>
      <c r="U98" s="34"/>
      <c r="V98" s="34"/>
      <c r="W98" s="34"/>
    </row>
    <row r="99" spans="2:23" ht="12.75" customHeight="1" x14ac:dyDescent="0.3">
      <c r="B99" s="33"/>
      <c r="C99" s="34"/>
      <c r="D99" s="39"/>
      <c r="E99" s="39"/>
      <c r="F99" s="39"/>
      <c r="G99" s="34"/>
      <c r="H99" s="32"/>
      <c r="I99" s="34"/>
      <c r="J99" s="34"/>
      <c r="K99" s="35"/>
      <c r="L99" s="34"/>
      <c r="M99" s="32"/>
      <c r="N99" s="34"/>
      <c r="O99" s="34"/>
      <c r="P99" s="34"/>
      <c r="Q99" s="34"/>
      <c r="R99" s="34"/>
      <c r="S99" s="34"/>
      <c r="T99" s="34"/>
      <c r="U99" s="34"/>
      <c r="V99" s="34"/>
      <c r="W99" s="34"/>
    </row>
    <row r="100" spans="2:23" ht="12.75" customHeight="1" x14ac:dyDescent="0.3">
      <c r="B100" s="33"/>
      <c r="C100" s="34"/>
      <c r="D100" s="39"/>
      <c r="E100" s="39"/>
      <c r="F100" s="39"/>
      <c r="G100" s="34"/>
      <c r="H100" s="32"/>
      <c r="I100" s="34"/>
      <c r="J100" s="34"/>
      <c r="K100" s="35"/>
      <c r="L100" s="34"/>
      <c r="M100" s="32"/>
      <c r="N100" s="34"/>
      <c r="O100" s="34"/>
      <c r="P100" s="34"/>
      <c r="Q100" s="34"/>
      <c r="R100" s="34"/>
      <c r="S100" s="34"/>
      <c r="T100" s="34"/>
      <c r="U100" s="34"/>
      <c r="V100" s="34"/>
      <c r="W100" s="34"/>
    </row>
    <row r="101" spans="2:23" ht="12.75" customHeight="1" x14ac:dyDescent="0.3">
      <c r="B101" s="33"/>
      <c r="C101" s="34"/>
      <c r="D101" s="39"/>
      <c r="E101" s="39"/>
      <c r="F101" s="39"/>
      <c r="G101" s="34"/>
      <c r="H101" s="32"/>
      <c r="I101" s="34"/>
      <c r="J101" s="34"/>
      <c r="K101" s="35"/>
      <c r="L101" s="34"/>
      <c r="M101" s="32"/>
      <c r="N101" s="34"/>
      <c r="O101" s="34"/>
      <c r="P101" s="34"/>
      <c r="Q101" s="34"/>
      <c r="R101" s="34"/>
      <c r="S101" s="34"/>
      <c r="T101" s="34"/>
      <c r="U101" s="34"/>
      <c r="V101" s="34"/>
      <c r="W101" s="34"/>
    </row>
    <row r="102" spans="2:23" ht="12.75" customHeight="1" x14ac:dyDescent="0.3">
      <c r="B102" s="33"/>
      <c r="C102" s="34"/>
      <c r="D102" s="39"/>
      <c r="E102" s="39"/>
      <c r="F102" s="39"/>
      <c r="G102" s="34"/>
      <c r="H102" s="32"/>
      <c r="I102" s="34"/>
      <c r="J102" s="34"/>
      <c r="K102" s="35"/>
      <c r="L102" s="34"/>
      <c r="M102" s="32"/>
      <c r="N102" s="34"/>
      <c r="O102" s="34"/>
      <c r="P102" s="34"/>
      <c r="Q102" s="34"/>
      <c r="R102" s="34"/>
      <c r="S102" s="34"/>
      <c r="T102" s="34"/>
      <c r="U102" s="34"/>
      <c r="V102" s="34"/>
      <c r="W102" s="34"/>
    </row>
    <row r="103" spans="2:23" ht="12.75" customHeight="1" x14ac:dyDescent="0.3">
      <c r="B103" s="33"/>
      <c r="C103" s="34"/>
      <c r="D103" s="39"/>
      <c r="E103" s="39"/>
      <c r="F103" s="39"/>
      <c r="G103" s="34"/>
      <c r="H103" s="32"/>
      <c r="I103" s="34"/>
      <c r="J103" s="34"/>
      <c r="K103" s="35"/>
      <c r="L103" s="34"/>
      <c r="M103" s="32"/>
      <c r="N103" s="34"/>
      <c r="O103" s="34"/>
      <c r="P103" s="34"/>
      <c r="Q103" s="34"/>
      <c r="R103" s="34"/>
      <c r="S103" s="34"/>
      <c r="T103" s="34"/>
      <c r="U103" s="34"/>
      <c r="V103" s="34"/>
      <c r="W103" s="34"/>
    </row>
    <row r="104" spans="2:23" ht="12.75" customHeight="1" x14ac:dyDescent="0.3">
      <c r="B104" s="33"/>
      <c r="C104" s="34"/>
      <c r="D104" s="39"/>
      <c r="E104" s="39"/>
      <c r="F104" s="39"/>
      <c r="G104" s="34"/>
      <c r="H104" s="32"/>
      <c r="I104" s="34"/>
      <c r="J104" s="34"/>
      <c r="K104" s="35"/>
      <c r="L104" s="34"/>
      <c r="M104" s="32"/>
      <c r="N104" s="34"/>
      <c r="O104" s="34"/>
      <c r="P104" s="34"/>
      <c r="Q104" s="34"/>
      <c r="R104" s="34"/>
      <c r="S104" s="34"/>
      <c r="T104" s="34"/>
      <c r="U104" s="34"/>
      <c r="V104" s="34"/>
      <c r="W104" s="34"/>
    </row>
    <row r="105" spans="2:23" ht="12.75" customHeight="1" x14ac:dyDescent="0.3">
      <c r="B105" s="33"/>
      <c r="C105" s="34"/>
      <c r="D105" s="39"/>
      <c r="E105" s="39"/>
      <c r="F105" s="39"/>
      <c r="G105" s="34"/>
      <c r="H105" s="32"/>
      <c r="I105" s="34"/>
      <c r="J105" s="34"/>
      <c r="K105" s="35"/>
      <c r="L105" s="34"/>
      <c r="M105" s="32"/>
      <c r="N105" s="34"/>
      <c r="O105" s="34"/>
      <c r="P105" s="34"/>
      <c r="Q105" s="34"/>
      <c r="R105" s="34"/>
      <c r="S105" s="34"/>
      <c r="T105" s="34"/>
      <c r="U105" s="34"/>
      <c r="V105" s="34"/>
      <c r="W105" s="34"/>
    </row>
    <row r="106" spans="2:23" ht="12.75" customHeight="1" x14ac:dyDescent="0.3">
      <c r="B106" s="33"/>
      <c r="C106" s="34"/>
      <c r="D106" s="39"/>
      <c r="E106" s="39"/>
      <c r="F106" s="39"/>
      <c r="G106" s="34"/>
      <c r="H106" s="32"/>
      <c r="I106" s="34"/>
      <c r="J106" s="34"/>
      <c r="K106" s="35"/>
      <c r="L106" s="34"/>
      <c r="M106" s="32"/>
      <c r="N106" s="34"/>
      <c r="O106" s="34"/>
      <c r="P106" s="34"/>
      <c r="Q106" s="34"/>
      <c r="R106" s="34"/>
      <c r="S106" s="34"/>
      <c r="T106" s="34"/>
      <c r="U106" s="34"/>
      <c r="V106" s="34"/>
      <c r="W106" s="34"/>
    </row>
    <row r="107" spans="2:23" ht="12.75" customHeight="1" x14ac:dyDescent="0.3">
      <c r="B107" s="33"/>
      <c r="C107" s="34"/>
      <c r="D107" s="39"/>
      <c r="E107" s="39"/>
      <c r="F107" s="39"/>
      <c r="G107" s="34"/>
      <c r="H107" s="32"/>
      <c r="I107" s="34"/>
      <c r="J107" s="34"/>
      <c r="K107" s="35"/>
      <c r="L107" s="34"/>
      <c r="M107" s="32"/>
      <c r="N107" s="34"/>
      <c r="O107" s="34"/>
      <c r="P107" s="34"/>
      <c r="Q107" s="34"/>
      <c r="R107" s="34"/>
      <c r="S107" s="34"/>
      <c r="T107" s="34"/>
      <c r="U107" s="34"/>
      <c r="V107" s="34"/>
      <c r="W107" s="34"/>
    </row>
    <row r="108" spans="2:23" ht="12.75" customHeight="1" x14ac:dyDescent="0.3">
      <c r="B108" s="33"/>
      <c r="C108" s="34"/>
      <c r="D108" s="39"/>
      <c r="E108" s="39"/>
      <c r="F108" s="39"/>
      <c r="G108" s="34"/>
      <c r="H108" s="32"/>
      <c r="I108" s="34"/>
      <c r="J108" s="34"/>
      <c r="K108" s="35"/>
      <c r="L108" s="34"/>
      <c r="M108" s="32"/>
      <c r="N108" s="34"/>
      <c r="O108" s="34"/>
      <c r="P108" s="34"/>
      <c r="Q108" s="34"/>
      <c r="R108" s="34"/>
      <c r="S108" s="34"/>
      <c r="T108" s="34"/>
      <c r="U108" s="34"/>
      <c r="V108" s="34"/>
      <c r="W108" s="34"/>
    </row>
    <row r="109" spans="2:23" ht="12.75" customHeight="1" x14ac:dyDescent="0.3">
      <c r="B109" s="33"/>
      <c r="C109" s="34"/>
      <c r="D109" s="39"/>
      <c r="E109" s="39"/>
      <c r="F109" s="39"/>
      <c r="G109" s="34"/>
      <c r="H109" s="32"/>
      <c r="I109" s="34"/>
      <c r="J109" s="34"/>
      <c r="K109" s="35"/>
      <c r="L109" s="34"/>
      <c r="M109" s="32"/>
      <c r="N109" s="34"/>
      <c r="O109" s="34"/>
      <c r="P109" s="34"/>
      <c r="Q109" s="34"/>
      <c r="R109" s="34"/>
      <c r="S109" s="34"/>
      <c r="T109" s="34"/>
      <c r="U109" s="34"/>
      <c r="V109" s="34"/>
      <c r="W109" s="34"/>
    </row>
    <row r="110" spans="2:23" ht="12.75" customHeight="1" x14ac:dyDescent="0.3">
      <c r="B110" s="33"/>
      <c r="C110" s="34"/>
      <c r="D110" s="39"/>
      <c r="E110" s="39"/>
      <c r="F110" s="39"/>
      <c r="G110" s="34"/>
      <c r="H110" s="32"/>
      <c r="I110" s="34"/>
      <c r="J110" s="34"/>
      <c r="K110" s="35"/>
      <c r="L110" s="34"/>
      <c r="M110" s="32"/>
      <c r="N110" s="34"/>
      <c r="O110" s="34"/>
      <c r="P110" s="34"/>
      <c r="Q110" s="34"/>
      <c r="R110" s="34"/>
      <c r="S110" s="34"/>
      <c r="T110" s="34"/>
      <c r="U110" s="34"/>
      <c r="V110" s="34"/>
      <c r="W110" s="34"/>
    </row>
    <row r="111" spans="2:23" ht="12.75" customHeight="1" x14ac:dyDescent="0.3">
      <c r="B111" s="33"/>
      <c r="C111" s="34"/>
      <c r="D111" s="39"/>
      <c r="E111" s="39"/>
      <c r="F111" s="39"/>
      <c r="G111" s="34"/>
      <c r="H111" s="32"/>
      <c r="I111" s="34"/>
      <c r="J111" s="34"/>
      <c r="K111" s="35"/>
      <c r="L111" s="34"/>
      <c r="M111" s="32"/>
      <c r="N111" s="34"/>
      <c r="O111" s="34"/>
      <c r="P111" s="34"/>
      <c r="Q111" s="34"/>
      <c r="R111" s="34"/>
      <c r="S111" s="34"/>
      <c r="T111" s="34"/>
      <c r="U111" s="34"/>
      <c r="V111" s="34"/>
      <c r="W111" s="34"/>
    </row>
    <row r="112" spans="2:23" ht="12.75" customHeight="1" x14ac:dyDescent="0.3">
      <c r="B112" s="33"/>
      <c r="C112" s="34"/>
      <c r="D112" s="39"/>
      <c r="E112" s="39"/>
      <c r="F112" s="39"/>
      <c r="G112" s="34"/>
      <c r="H112" s="32"/>
      <c r="I112" s="34"/>
      <c r="J112" s="34"/>
      <c r="K112" s="35"/>
      <c r="L112" s="34"/>
      <c r="M112" s="32"/>
      <c r="N112" s="34"/>
      <c r="O112" s="34"/>
      <c r="P112" s="34"/>
      <c r="Q112" s="34"/>
      <c r="R112" s="34"/>
      <c r="S112" s="34"/>
      <c r="T112" s="34"/>
      <c r="U112" s="34"/>
      <c r="V112" s="34"/>
      <c r="W112" s="34"/>
    </row>
    <row r="113" spans="2:23" ht="12.75" customHeight="1" x14ac:dyDescent="0.3">
      <c r="B113" s="33"/>
      <c r="C113" s="34"/>
      <c r="D113" s="39"/>
      <c r="E113" s="39"/>
      <c r="F113" s="39"/>
      <c r="G113" s="34"/>
      <c r="H113" s="32"/>
      <c r="I113" s="34"/>
      <c r="J113" s="34"/>
      <c r="K113" s="35"/>
      <c r="L113" s="34"/>
      <c r="M113" s="32"/>
      <c r="N113" s="34"/>
      <c r="O113" s="34"/>
      <c r="P113" s="34"/>
      <c r="Q113" s="34"/>
      <c r="R113" s="34"/>
      <c r="S113" s="34"/>
      <c r="T113" s="34"/>
      <c r="U113" s="34"/>
      <c r="V113" s="34"/>
      <c r="W113" s="34"/>
    </row>
    <row r="114" spans="2:23" ht="12.75" customHeight="1" x14ac:dyDescent="0.3">
      <c r="B114" s="33"/>
      <c r="C114" s="34"/>
      <c r="D114" s="39"/>
      <c r="E114" s="39"/>
      <c r="F114" s="39"/>
      <c r="G114" s="34"/>
      <c r="H114" s="32"/>
      <c r="I114" s="34"/>
      <c r="J114" s="34"/>
      <c r="K114" s="35"/>
      <c r="L114" s="34"/>
      <c r="M114" s="32"/>
      <c r="N114" s="34"/>
      <c r="O114" s="34"/>
      <c r="P114" s="34"/>
      <c r="Q114" s="34"/>
      <c r="R114" s="34"/>
      <c r="S114" s="34"/>
      <c r="T114" s="34"/>
      <c r="U114" s="34"/>
      <c r="V114" s="34"/>
      <c r="W114" s="34"/>
    </row>
    <row r="115" spans="2:23" ht="12.75" customHeight="1" x14ac:dyDescent="0.3">
      <c r="B115" s="33"/>
      <c r="C115" s="34"/>
      <c r="D115" s="39"/>
      <c r="E115" s="39"/>
      <c r="F115" s="39"/>
      <c r="G115" s="34"/>
      <c r="H115" s="32"/>
      <c r="I115" s="34"/>
      <c r="J115" s="34"/>
      <c r="K115" s="35"/>
      <c r="L115" s="34"/>
      <c r="M115" s="32"/>
      <c r="N115" s="34"/>
      <c r="O115" s="34"/>
      <c r="P115" s="34"/>
      <c r="Q115" s="34"/>
      <c r="R115" s="34"/>
      <c r="S115" s="34"/>
      <c r="T115" s="34"/>
      <c r="U115" s="34"/>
      <c r="V115" s="34"/>
      <c r="W115" s="34"/>
    </row>
    <row r="116" spans="2:23" ht="12.75" customHeight="1" x14ac:dyDescent="0.3">
      <c r="B116" s="33"/>
      <c r="C116" s="34"/>
      <c r="D116" s="39"/>
      <c r="E116" s="39"/>
      <c r="F116" s="39"/>
      <c r="G116" s="34"/>
      <c r="H116" s="32"/>
      <c r="I116" s="34"/>
      <c r="J116" s="34"/>
      <c r="K116" s="35"/>
      <c r="L116" s="34"/>
      <c r="M116" s="32"/>
      <c r="N116" s="34"/>
      <c r="O116" s="34"/>
      <c r="P116" s="34"/>
      <c r="Q116" s="34"/>
      <c r="R116" s="34"/>
      <c r="S116" s="34"/>
      <c r="T116" s="34"/>
      <c r="U116" s="34"/>
      <c r="V116" s="34"/>
      <c r="W116" s="34"/>
    </row>
    <row r="117" spans="2:23" ht="12.75" customHeight="1" x14ac:dyDescent="0.3">
      <c r="B117" s="33"/>
      <c r="C117" s="34"/>
      <c r="D117" s="39"/>
      <c r="E117" s="39"/>
      <c r="F117" s="39"/>
      <c r="G117" s="34"/>
      <c r="H117" s="32"/>
      <c r="I117" s="34"/>
      <c r="J117" s="34"/>
      <c r="K117" s="35"/>
      <c r="L117" s="34"/>
      <c r="M117" s="32"/>
      <c r="N117" s="34"/>
      <c r="O117" s="34"/>
      <c r="P117" s="34"/>
      <c r="Q117" s="34"/>
      <c r="R117" s="34"/>
      <c r="S117" s="34"/>
      <c r="T117" s="34"/>
      <c r="U117" s="34"/>
      <c r="V117" s="34"/>
      <c r="W117" s="34"/>
    </row>
    <row r="118" spans="2:23" ht="12.75" customHeight="1" x14ac:dyDescent="0.3">
      <c r="B118" s="33"/>
      <c r="C118" s="34"/>
      <c r="D118" s="39"/>
      <c r="E118" s="39"/>
      <c r="F118" s="39"/>
      <c r="G118" s="34"/>
      <c r="H118" s="32"/>
      <c r="I118" s="34"/>
      <c r="J118" s="34"/>
      <c r="K118" s="35"/>
      <c r="L118" s="34"/>
      <c r="M118" s="32"/>
      <c r="N118" s="34"/>
      <c r="O118" s="34"/>
      <c r="P118" s="34"/>
      <c r="Q118" s="34"/>
      <c r="R118" s="34"/>
      <c r="S118" s="34"/>
      <c r="T118" s="34"/>
      <c r="U118" s="34"/>
      <c r="V118" s="34"/>
      <c r="W118" s="34"/>
    </row>
    <row r="119" spans="2:23" ht="12.75" customHeight="1" x14ac:dyDescent="0.3">
      <c r="B119" s="33"/>
      <c r="C119" s="34"/>
      <c r="D119" s="39"/>
      <c r="E119" s="39"/>
      <c r="F119" s="39"/>
      <c r="G119" s="34"/>
      <c r="H119" s="32"/>
      <c r="I119" s="34"/>
      <c r="J119" s="34"/>
      <c r="K119" s="35"/>
      <c r="L119" s="34"/>
      <c r="M119" s="32"/>
      <c r="N119" s="34"/>
      <c r="O119" s="34"/>
      <c r="P119" s="34"/>
      <c r="Q119" s="34"/>
      <c r="R119" s="34"/>
      <c r="S119" s="34"/>
      <c r="T119" s="34"/>
      <c r="U119" s="34"/>
      <c r="V119" s="34"/>
      <c r="W119" s="34"/>
    </row>
    <row r="120" spans="2:23" ht="12.75" customHeight="1" x14ac:dyDescent="0.3">
      <c r="B120" s="33"/>
      <c r="C120" s="34"/>
      <c r="D120" s="39"/>
      <c r="E120" s="39"/>
      <c r="F120" s="39"/>
      <c r="G120" s="34"/>
      <c r="H120" s="32"/>
      <c r="I120" s="34"/>
      <c r="J120" s="34"/>
      <c r="K120" s="35"/>
      <c r="L120" s="34"/>
      <c r="M120" s="32"/>
      <c r="N120" s="34"/>
      <c r="O120" s="34"/>
      <c r="P120" s="34"/>
      <c r="Q120" s="34"/>
      <c r="R120" s="34"/>
      <c r="S120" s="34"/>
      <c r="T120" s="34"/>
      <c r="U120" s="34"/>
      <c r="V120" s="34"/>
      <c r="W120" s="34"/>
    </row>
    <row r="121" spans="2:23" ht="12.75" customHeight="1" x14ac:dyDescent="0.3">
      <c r="B121" s="33"/>
      <c r="C121" s="34"/>
      <c r="D121" s="39"/>
      <c r="E121" s="39"/>
      <c r="F121" s="39"/>
      <c r="G121" s="34"/>
      <c r="H121" s="32"/>
      <c r="I121" s="34"/>
      <c r="J121" s="34"/>
      <c r="K121" s="35"/>
      <c r="L121" s="34"/>
      <c r="M121" s="32"/>
      <c r="N121" s="34"/>
      <c r="O121" s="34"/>
      <c r="P121" s="34"/>
      <c r="Q121" s="34"/>
      <c r="R121" s="34"/>
      <c r="S121" s="34"/>
      <c r="T121" s="34"/>
      <c r="U121" s="34"/>
      <c r="V121" s="34"/>
      <c r="W121" s="34"/>
    </row>
    <row r="122" spans="2:23" ht="12.75" customHeight="1" x14ac:dyDescent="0.3">
      <c r="B122" s="33"/>
      <c r="C122" s="34"/>
      <c r="D122" s="39"/>
      <c r="E122" s="39"/>
      <c r="F122" s="39"/>
      <c r="G122" s="34"/>
      <c r="H122" s="32"/>
      <c r="I122" s="34"/>
      <c r="J122" s="34"/>
      <c r="K122" s="35"/>
      <c r="L122" s="34"/>
      <c r="M122" s="32"/>
      <c r="N122" s="34"/>
      <c r="O122" s="34"/>
      <c r="P122" s="34"/>
      <c r="Q122" s="34"/>
      <c r="R122" s="34"/>
      <c r="S122" s="34"/>
      <c r="T122" s="34"/>
      <c r="U122" s="34"/>
      <c r="V122" s="34"/>
      <c r="W122" s="34"/>
    </row>
    <row r="123" spans="2:23" ht="12.75" customHeight="1" x14ac:dyDescent="0.3">
      <c r="B123" s="33"/>
      <c r="C123" s="34"/>
      <c r="D123" s="39"/>
      <c r="E123" s="39"/>
      <c r="F123" s="39"/>
      <c r="G123" s="34"/>
      <c r="H123" s="32"/>
      <c r="I123" s="34"/>
      <c r="J123" s="34"/>
      <c r="K123" s="35"/>
      <c r="L123" s="34"/>
      <c r="M123" s="32"/>
      <c r="N123" s="34"/>
      <c r="O123" s="34"/>
      <c r="P123" s="34"/>
      <c r="Q123" s="34"/>
      <c r="R123" s="34"/>
      <c r="S123" s="34"/>
      <c r="T123" s="34"/>
      <c r="U123" s="34"/>
      <c r="V123" s="34"/>
      <c r="W123" s="34"/>
    </row>
    <row r="124" spans="2:23" ht="12.75" customHeight="1" x14ac:dyDescent="0.3">
      <c r="B124" s="33"/>
      <c r="C124" s="34"/>
      <c r="D124" s="39"/>
      <c r="E124" s="39"/>
      <c r="F124" s="39"/>
      <c r="G124" s="34"/>
      <c r="H124" s="32"/>
      <c r="I124" s="34"/>
      <c r="J124" s="34"/>
      <c r="K124" s="35"/>
      <c r="L124" s="34"/>
      <c r="M124" s="32"/>
      <c r="N124" s="34"/>
      <c r="O124" s="34"/>
      <c r="P124" s="34"/>
      <c r="Q124" s="34"/>
      <c r="R124" s="34"/>
      <c r="S124" s="34"/>
      <c r="T124" s="34"/>
      <c r="U124" s="34"/>
      <c r="V124" s="34"/>
      <c r="W124" s="34"/>
    </row>
    <row r="125" spans="2:23" ht="12.75" customHeight="1" x14ac:dyDescent="0.3">
      <c r="B125" s="33"/>
      <c r="C125" s="34"/>
      <c r="D125" s="39"/>
      <c r="E125" s="39"/>
      <c r="F125" s="39"/>
      <c r="G125" s="34"/>
      <c r="H125" s="32"/>
      <c r="I125" s="34"/>
      <c r="J125" s="34"/>
      <c r="K125" s="35"/>
      <c r="L125" s="34"/>
      <c r="M125" s="32"/>
      <c r="N125" s="34"/>
      <c r="O125" s="34"/>
      <c r="P125" s="34"/>
      <c r="Q125" s="34"/>
      <c r="R125" s="34"/>
      <c r="S125" s="34"/>
      <c r="T125" s="34"/>
      <c r="U125" s="34"/>
      <c r="V125" s="34"/>
      <c r="W125" s="34"/>
    </row>
    <row r="126" spans="2:23" ht="12.75" customHeight="1" x14ac:dyDescent="0.3">
      <c r="B126" s="33"/>
      <c r="C126" s="34"/>
      <c r="D126" s="39"/>
      <c r="E126" s="39"/>
      <c r="F126" s="39"/>
      <c r="G126" s="34"/>
      <c r="H126" s="32"/>
      <c r="I126" s="34"/>
      <c r="J126" s="34"/>
      <c r="K126" s="35"/>
      <c r="L126" s="34"/>
      <c r="M126" s="32"/>
      <c r="N126" s="34"/>
      <c r="O126" s="34"/>
      <c r="P126" s="34"/>
      <c r="Q126" s="34"/>
      <c r="R126" s="34"/>
      <c r="S126" s="34"/>
      <c r="T126" s="34"/>
      <c r="U126" s="34"/>
      <c r="V126" s="34"/>
      <c r="W126" s="34"/>
    </row>
    <row r="127" spans="2:23" ht="12.75" customHeight="1" x14ac:dyDescent="0.3">
      <c r="B127" s="33"/>
      <c r="C127" s="34"/>
      <c r="D127" s="39"/>
      <c r="E127" s="39"/>
      <c r="F127" s="39"/>
      <c r="G127" s="34"/>
      <c r="H127" s="32"/>
      <c r="I127" s="34"/>
      <c r="J127" s="34"/>
      <c r="K127" s="35"/>
      <c r="L127" s="34"/>
      <c r="M127" s="32"/>
      <c r="N127" s="34"/>
      <c r="O127" s="34"/>
      <c r="P127" s="34"/>
      <c r="Q127" s="34"/>
      <c r="R127" s="34"/>
      <c r="S127" s="34"/>
      <c r="T127" s="34"/>
      <c r="U127" s="34"/>
      <c r="V127" s="34"/>
      <c r="W127" s="34"/>
    </row>
    <row r="128" spans="2:23" ht="12.75" customHeight="1" x14ac:dyDescent="0.3">
      <c r="B128" s="33"/>
      <c r="C128" s="34"/>
      <c r="D128" s="39"/>
      <c r="E128" s="39"/>
      <c r="F128" s="39"/>
      <c r="G128" s="34"/>
      <c r="H128" s="32"/>
      <c r="I128" s="34"/>
      <c r="J128" s="34"/>
      <c r="K128" s="35"/>
      <c r="L128" s="34"/>
      <c r="M128" s="32"/>
      <c r="N128" s="34"/>
      <c r="O128" s="34"/>
      <c r="P128" s="34"/>
      <c r="Q128" s="34"/>
      <c r="R128" s="34"/>
      <c r="S128" s="34"/>
      <c r="T128" s="34"/>
      <c r="U128" s="34"/>
      <c r="V128" s="34"/>
      <c r="W128" s="34"/>
    </row>
    <row r="129" spans="2:23" ht="12.75" customHeight="1" x14ac:dyDescent="0.3">
      <c r="B129" s="33"/>
      <c r="C129" s="34"/>
      <c r="D129" s="39"/>
      <c r="E129" s="39"/>
      <c r="F129" s="39"/>
      <c r="G129" s="34"/>
      <c r="H129" s="32"/>
      <c r="I129" s="34"/>
      <c r="J129" s="34"/>
      <c r="K129" s="35"/>
      <c r="L129" s="34"/>
      <c r="M129" s="32"/>
      <c r="N129" s="34"/>
      <c r="O129" s="34"/>
      <c r="P129" s="34"/>
      <c r="Q129" s="34"/>
      <c r="R129" s="34"/>
      <c r="S129" s="34"/>
      <c r="T129" s="34"/>
      <c r="U129" s="34"/>
      <c r="V129" s="34"/>
      <c r="W129" s="34"/>
    </row>
    <row r="130" spans="2:23" ht="12.75" customHeight="1" x14ac:dyDescent="0.3">
      <c r="B130" s="33"/>
      <c r="C130" s="34"/>
      <c r="D130" s="39"/>
      <c r="E130" s="39"/>
      <c r="F130" s="39"/>
      <c r="G130" s="34"/>
      <c r="H130" s="32"/>
      <c r="I130" s="34"/>
      <c r="J130" s="34"/>
      <c r="K130" s="35"/>
      <c r="L130" s="34"/>
      <c r="M130" s="32"/>
      <c r="N130" s="34"/>
      <c r="O130" s="34"/>
      <c r="P130" s="34"/>
      <c r="Q130" s="34"/>
      <c r="R130" s="34"/>
      <c r="S130" s="34"/>
      <c r="T130" s="34"/>
      <c r="U130" s="34"/>
      <c r="V130" s="34"/>
      <c r="W130" s="34"/>
    </row>
    <row r="131" spans="2:23" ht="12.75" customHeight="1" x14ac:dyDescent="0.3">
      <c r="B131" s="33"/>
      <c r="C131" s="34"/>
      <c r="D131" s="39"/>
      <c r="E131" s="39"/>
      <c r="F131" s="39"/>
      <c r="G131" s="34"/>
      <c r="H131" s="32"/>
      <c r="I131" s="34"/>
      <c r="J131" s="34"/>
      <c r="K131" s="35"/>
      <c r="L131" s="34"/>
      <c r="M131" s="32"/>
      <c r="N131" s="34"/>
      <c r="O131" s="34"/>
      <c r="P131" s="34"/>
      <c r="Q131" s="34"/>
      <c r="R131" s="34"/>
      <c r="S131" s="34"/>
      <c r="T131" s="34"/>
      <c r="U131" s="34"/>
      <c r="V131" s="34"/>
      <c r="W131" s="34"/>
    </row>
    <row r="132" spans="2:23" ht="12.75" customHeight="1" x14ac:dyDescent="0.3">
      <c r="B132" s="33"/>
      <c r="C132" s="34"/>
      <c r="D132" s="39"/>
      <c r="E132" s="39"/>
      <c r="F132" s="39"/>
      <c r="G132" s="34"/>
      <c r="H132" s="32"/>
      <c r="I132" s="34"/>
      <c r="J132" s="34"/>
      <c r="K132" s="35"/>
      <c r="L132" s="34"/>
      <c r="M132" s="32"/>
      <c r="N132" s="34"/>
      <c r="O132" s="34"/>
      <c r="P132" s="34"/>
      <c r="Q132" s="34"/>
      <c r="R132" s="34"/>
      <c r="S132" s="34"/>
      <c r="T132" s="34"/>
      <c r="U132" s="34"/>
      <c r="V132" s="34"/>
      <c r="W132" s="34"/>
    </row>
    <row r="133" spans="2:23" ht="12.75" customHeight="1" x14ac:dyDescent="0.3">
      <c r="B133" s="33"/>
      <c r="C133" s="34"/>
      <c r="D133" s="39"/>
      <c r="E133" s="39"/>
      <c r="F133" s="39"/>
      <c r="G133" s="34"/>
      <c r="H133" s="32"/>
      <c r="I133" s="34"/>
      <c r="J133" s="34"/>
      <c r="K133" s="35"/>
      <c r="L133" s="34"/>
      <c r="M133" s="32"/>
      <c r="N133" s="34"/>
      <c r="O133" s="34"/>
      <c r="P133" s="34"/>
      <c r="Q133" s="34"/>
      <c r="R133" s="34"/>
      <c r="S133" s="34"/>
      <c r="T133" s="34"/>
      <c r="U133" s="34"/>
      <c r="V133" s="34"/>
      <c r="W133" s="34"/>
    </row>
    <row r="134" spans="2:23" ht="12.75" customHeight="1" x14ac:dyDescent="0.3">
      <c r="B134" s="33"/>
      <c r="C134" s="34"/>
      <c r="D134" s="39"/>
      <c r="E134" s="39"/>
      <c r="F134" s="39"/>
      <c r="G134" s="34"/>
      <c r="H134" s="32"/>
      <c r="I134" s="34"/>
      <c r="J134" s="34"/>
      <c r="K134" s="35"/>
      <c r="L134" s="34"/>
      <c r="M134" s="32"/>
      <c r="N134" s="34"/>
      <c r="O134" s="34"/>
      <c r="P134" s="34"/>
      <c r="Q134" s="34"/>
      <c r="R134" s="34"/>
      <c r="S134" s="34"/>
      <c r="T134" s="34"/>
      <c r="U134" s="34"/>
      <c r="V134" s="34"/>
      <c r="W134" s="34"/>
    </row>
    <row r="135" spans="2:23" ht="12.75" customHeight="1" x14ac:dyDescent="0.3">
      <c r="B135" s="33"/>
      <c r="C135" s="34"/>
      <c r="D135" s="39"/>
      <c r="E135" s="39"/>
      <c r="F135" s="39"/>
      <c r="G135" s="34"/>
      <c r="H135" s="32"/>
      <c r="I135" s="34"/>
      <c r="J135" s="34"/>
      <c r="K135" s="35"/>
      <c r="L135" s="34"/>
      <c r="M135" s="32"/>
      <c r="N135" s="34"/>
      <c r="O135" s="34"/>
      <c r="P135" s="34"/>
      <c r="Q135" s="34"/>
      <c r="R135" s="34"/>
      <c r="S135" s="34"/>
      <c r="T135" s="34"/>
      <c r="U135" s="34"/>
      <c r="V135" s="34"/>
      <c r="W135" s="34"/>
    </row>
    <row r="136" spans="2:23" ht="12.75" customHeight="1" x14ac:dyDescent="0.3">
      <c r="B136" s="33"/>
      <c r="C136" s="34"/>
      <c r="D136" s="39"/>
      <c r="E136" s="39"/>
      <c r="F136" s="39"/>
      <c r="G136" s="34"/>
      <c r="H136" s="32"/>
      <c r="I136" s="34"/>
      <c r="J136" s="34"/>
      <c r="K136" s="35"/>
      <c r="L136" s="34"/>
      <c r="M136" s="32"/>
      <c r="N136" s="34"/>
      <c r="O136" s="34"/>
      <c r="P136" s="34"/>
      <c r="Q136" s="34"/>
      <c r="R136" s="34"/>
      <c r="S136" s="34"/>
      <c r="T136" s="34"/>
      <c r="U136" s="34"/>
      <c r="V136" s="34"/>
      <c r="W136" s="34"/>
    </row>
    <row r="137" spans="2:23" ht="12.75" customHeight="1" x14ac:dyDescent="0.3">
      <c r="B137" s="33"/>
      <c r="C137" s="34"/>
      <c r="D137" s="39"/>
      <c r="E137" s="39"/>
      <c r="F137" s="39"/>
      <c r="G137" s="34"/>
      <c r="H137" s="32"/>
      <c r="I137" s="34"/>
      <c r="J137" s="34"/>
      <c r="K137" s="35"/>
      <c r="L137" s="34"/>
      <c r="M137" s="32"/>
      <c r="N137" s="34"/>
      <c r="O137" s="34"/>
      <c r="P137" s="34"/>
      <c r="Q137" s="34"/>
      <c r="R137" s="34"/>
      <c r="S137" s="34"/>
      <c r="T137" s="34"/>
      <c r="U137" s="34"/>
      <c r="V137" s="34"/>
      <c r="W137" s="34"/>
    </row>
    <row r="138" spans="2:23" ht="12.75" customHeight="1" x14ac:dyDescent="0.3">
      <c r="B138" s="33"/>
      <c r="C138" s="34"/>
      <c r="D138" s="39"/>
      <c r="E138" s="39"/>
      <c r="F138" s="39"/>
      <c r="G138" s="34"/>
      <c r="H138" s="32"/>
      <c r="I138" s="34"/>
      <c r="J138" s="34"/>
      <c r="K138" s="35"/>
      <c r="L138" s="34"/>
      <c r="M138" s="32"/>
      <c r="N138" s="34"/>
      <c r="O138" s="34"/>
      <c r="P138" s="34"/>
      <c r="Q138" s="34"/>
      <c r="R138" s="34"/>
      <c r="S138" s="34"/>
      <c r="T138" s="34"/>
      <c r="U138" s="34"/>
      <c r="V138" s="34"/>
      <c r="W138" s="34"/>
    </row>
    <row r="139" spans="2:23" ht="12.75" customHeight="1" x14ac:dyDescent="0.3">
      <c r="B139" s="33"/>
      <c r="C139" s="34"/>
      <c r="D139" s="39"/>
      <c r="E139" s="39"/>
      <c r="F139" s="39"/>
      <c r="G139" s="34"/>
      <c r="H139" s="32"/>
      <c r="I139" s="34"/>
      <c r="J139" s="34"/>
      <c r="K139" s="35"/>
      <c r="L139" s="34"/>
      <c r="M139" s="32"/>
      <c r="N139" s="34"/>
      <c r="O139" s="34"/>
      <c r="P139" s="34"/>
      <c r="Q139" s="34"/>
      <c r="R139" s="34"/>
      <c r="S139" s="34"/>
      <c r="T139" s="34"/>
      <c r="U139" s="34"/>
      <c r="V139" s="34"/>
      <c r="W139" s="34"/>
    </row>
    <row r="140" spans="2:23" ht="12.75" customHeight="1" x14ac:dyDescent="0.3">
      <c r="B140" s="33"/>
      <c r="C140" s="34"/>
      <c r="D140" s="39"/>
      <c r="E140" s="39"/>
      <c r="F140" s="39"/>
      <c r="G140" s="34"/>
      <c r="H140" s="32"/>
      <c r="I140" s="34"/>
      <c r="J140" s="34"/>
      <c r="K140" s="35"/>
      <c r="L140" s="34"/>
      <c r="M140" s="32"/>
      <c r="N140" s="34"/>
      <c r="O140" s="34"/>
      <c r="P140" s="34"/>
      <c r="Q140" s="34"/>
      <c r="R140" s="34"/>
      <c r="S140" s="34"/>
      <c r="T140" s="34"/>
      <c r="U140" s="34"/>
      <c r="V140" s="34"/>
      <c r="W140" s="34"/>
    </row>
    <row r="141" spans="2:23" ht="12.75" customHeight="1" x14ac:dyDescent="0.3">
      <c r="B141" s="33"/>
      <c r="C141" s="34"/>
      <c r="D141" s="39"/>
      <c r="E141" s="39"/>
      <c r="F141" s="39"/>
      <c r="G141" s="34"/>
      <c r="H141" s="32"/>
      <c r="I141" s="34"/>
      <c r="J141" s="34"/>
      <c r="K141" s="35"/>
      <c r="L141" s="34"/>
      <c r="M141" s="32"/>
      <c r="N141" s="34"/>
      <c r="O141" s="34"/>
      <c r="P141" s="34"/>
      <c r="Q141" s="34"/>
      <c r="R141" s="34"/>
      <c r="S141" s="34"/>
      <c r="T141" s="34"/>
      <c r="U141" s="34"/>
      <c r="V141" s="34"/>
      <c r="W141" s="34"/>
    </row>
    <row r="142" spans="2:23" ht="12.75" customHeight="1" x14ac:dyDescent="0.3">
      <c r="B142" s="33"/>
      <c r="C142" s="34"/>
      <c r="D142" s="39"/>
      <c r="E142" s="39"/>
      <c r="F142" s="39"/>
      <c r="G142" s="34"/>
      <c r="H142" s="32"/>
      <c r="I142" s="34"/>
      <c r="J142" s="34"/>
      <c r="K142" s="35"/>
      <c r="L142" s="34"/>
      <c r="M142" s="32"/>
      <c r="N142" s="34"/>
      <c r="O142" s="34"/>
      <c r="P142" s="34"/>
      <c r="Q142" s="34"/>
      <c r="R142" s="34"/>
      <c r="S142" s="34"/>
      <c r="T142" s="34"/>
      <c r="U142" s="34"/>
      <c r="V142" s="34"/>
      <c r="W142" s="34"/>
    </row>
    <row r="143" spans="2:23" ht="12.75" customHeight="1" x14ac:dyDescent="0.3">
      <c r="B143" s="33"/>
      <c r="C143" s="34"/>
      <c r="D143" s="39"/>
      <c r="E143" s="39"/>
      <c r="F143" s="39"/>
      <c r="G143" s="34"/>
      <c r="H143" s="32"/>
      <c r="I143" s="34"/>
      <c r="J143" s="34"/>
      <c r="K143" s="35"/>
      <c r="L143" s="34"/>
      <c r="M143" s="32"/>
      <c r="N143" s="34"/>
      <c r="O143" s="34"/>
      <c r="P143" s="34"/>
      <c r="Q143" s="34"/>
      <c r="R143" s="34"/>
      <c r="S143" s="34"/>
      <c r="T143" s="34"/>
      <c r="U143" s="34"/>
      <c r="V143" s="34"/>
      <c r="W143" s="34"/>
    </row>
    <row r="144" spans="2:23" ht="12.75" customHeight="1" x14ac:dyDescent="0.3">
      <c r="B144" s="33"/>
      <c r="C144" s="34"/>
      <c r="D144" s="39"/>
      <c r="E144" s="39"/>
      <c r="F144" s="39"/>
      <c r="G144" s="34"/>
      <c r="H144" s="32"/>
      <c r="I144" s="34"/>
      <c r="J144" s="34"/>
      <c r="K144" s="35"/>
      <c r="L144" s="34"/>
      <c r="M144" s="32"/>
      <c r="N144" s="34"/>
      <c r="O144" s="34"/>
      <c r="P144" s="34"/>
      <c r="Q144" s="34"/>
      <c r="R144" s="34"/>
      <c r="S144" s="34"/>
      <c r="T144" s="34"/>
      <c r="U144" s="34"/>
      <c r="V144" s="34"/>
      <c r="W144" s="34"/>
    </row>
    <row r="145" spans="2:23" ht="12.75" customHeight="1" x14ac:dyDescent="0.3">
      <c r="B145" s="33"/>
      <c r="C145" s="34"/>
      <c r="D145" s="39"/>
      <c r="E145" s="39"/>
      <c r="F145" s="39"/>
      <c r="G145" s="34"/>
      <c r="H145" s="32"/>
      <c r="I145" s="34"/>
      <c r="J145" s="34"/>
      <c r="K145" s="35"/>
      <c r="L145" s="34"/>
      <c r="M145" s="32"/>
      <c r="N145" s="34"/>
      <c r="O145" s="34"/>
      <c r="P145" s="34"/>
      <c r="Q145" s="34"/>
      <c r="R145" s="34"/>
      <c r="S145" s="34"/>
      <c r="T145" s="34"/>
      <c r="U145" s="34"/>
      <c r="V145" s="34"/>
      <c r="W145" s="34"/>
    </row>
    <row r="146" spans="2:23" ht="12.75" customHeight="1" x14ac:dyDescent="0.3">
      <c r="B146" s="33"/>
      <c r="C146" s="34"/>
      <c r="D146" s="39"/>
      <c r="E146" s="39"/>
      <c r="F146" s="39"/>
      <c r="G146" s="34"/>
      <c r="H146" s="32"/>
      <c r="I146" s="34"/>
      <c r="J146" s="34"/>
      <c r="K146" s="35"/>
      <c r="L146" s="34"/>
      <c r="M146" s="32"/>
      <c r="N146" s="34"/>
      <c r="O146" s="34"/>
      <c r="P146" s="34"/>
      <c r="Q146" s="34"/>
      <c r="R146" s="34"/>
      <c r="S146" s="34"/>
      <c r="T146" s="34"/>
      <c r="U146" s="34"/>
      <c r="V146" s="34"/>
      <c r="W146" s="34"/>
    </row>
    <row r="147" spans="2:23" ht="12.75" customHeight="1" x14ac:dyDescent="0.3">
      <c r="B147" s="33"/>
      <c r="C147" s="34"/>
      <c r="D147" s="39"/>
      <c r="E147" s="39"/>
      <c r="F147" s="39"/>
      <c r="G147" s="34"/>
      <c r="H147" s="32"/>
      <c r="I147" s="34"/>
      <c r="J147" s="34"/>
      <c r="K147" s="35"/>
      <c r="L147" s="34"/>
      <c r="M147" s="32"/>
      <c r="N147" s="34"/>
      <c r="O147" s="34"/>
      <c r="P147" s="34"/>
      <c r="Q147" s="34"/>
      <c r="R147" s="34"/>
      <c r="S147" s="34"/>
      <c r="T147" s="34"/>
      <c r="U147" s="34"/>
      <c r="V147" s="34"/>
      <c r="W147" s="34"/>
    </row>
    <row r="148" spans="2:23" ht="12.75" customHeight="1" x14ac:dyDescent="0.3">
      <c r="B148" s="33"/>
      <c r="C148" s="34"/>
      <c r="D148" s="39"/>
      <c r="E148" s="39"/>
      <c r="F148" s="39"/>
      <c r="G148" s="34"/>
      <c r="H148" s="32"/>
      <c r="I148" s="34"/>
      <c r="J148" s="34"/>
      <c r="K148" s="35"/>
      <c r="L148" s="34"/>
      <c r="M148" s="32"/>
      <c r="N148" s="34"/>
      <c r="O148" s="34"/>
      <c r="P148" s="34"/>
      <c r="Q148" s="34"/>
      <c r="R148" s="34"/>
      <c r="S148" s="34"/>
      <c r="T148" s="34"/>
      <c r="U148" s="34"/>
      <c r="V148" s="34"/>
      <c r="W148" s="34"/>
    </row>
    <row r="149" spans="2:23" ht="12.75" customHeight="1" x14ac:dyDescent="0.3">
      <c r="B149" s="33"/>
      <c r="C149" s="34"/>
      <c r="D149" s="39"/>
      <c r="E149" s="39"/>
      <c r="F149" s="39"/>
      <c r="G149" s="34"/>
      <c r="H149" s="32"/>
      <c r="I149" s="34"/>
      <c r="J149" s="34"/>
      <c r="K149" s="35"/>
      <c r="L149" s="34"/>
      <c r="M149" s="32"/>
      <c r="N149" s="34"/>
      <c r="O149" s="34"/>
      <c r="P149" s="34"/>
      <c r="Q149" s="34"/>
      <c r="R149" s="34"/>
      <c r="S149" s="34"/>
      <c r="T149" s="34"/>
      <c r="U149" s="34"/>
      <c r="V149" s="34"/>
      <c r="W149" s="34"/>
    </row>
    <row r="150" spans="2:23" ht="12.75" customHeight="1" x14ac:dyDescent="0.3">
      <c r="B150" s="33"/>
      <c r="C150" s="34"/>
      <c r="D150" s="39"/>
      <c r="E150" s="39"/>
      <c r="F150" s="39"/>
      <c r="G150" s="34"/>
      <c r="H150" s="32"/>
      <c r="I150" s="34"/>
      <c r="J150" s="34"/>
      <c r="K150" s="35"/>
      <c r="L150" s="34"/>
      <c r="M150" s="32"/>
      <c r="N150" s="34"/>
      <c r="O150" s="34"/>
      <c r="P150" s="34"/>
      <c r="Q150" s="34"/>
      <c r="R150" s="34"/>
      <c r="S150" s="34"/>
      <c r="T150" s="34"/>
      <c r="U150" s="34"/>
      <c r="V150" s="34"/>
      <c r="W150" s="34"/>
    </row>
    <row r="151" spans="2:23" ht="12.75" customHeight="1" x14ac:dyDescent="0.3">
      <c r="B151" s="33"/>
      <c r="C151" s="34"/>
      <c r="D151" s="39"/>
      <c r="E151" s="39"/>
      <c r="F151" s="39"/>
      <c r="G151" s="34"/>
      <c r="H151" s="32"/>
      <c r="I151" s="34"/>
      <c r="J151" s="34"/>
      <c r="K151" s="35"/>
      <c r="L151" s="34"/>
      <c r="M151" s="32"/>
      <c r="N151" s="34"/>
      <c r="O151" s="34"/>
      <c r="P151" s="34"/>
      <c r="Q151" s="34"/>
      <c r="R151" s="34"/>
      <c r="S151" s="34"/>
      <c r="T151" s="34"/>
      <c r="U151" s="34"/>
      <c r="V151" s="34"/>
      <c r="W151" s="34"/>
    </row>
    <row r="152" spans="2:23" ht="12.75" customHeight="1" x14ac:dyDescent="0.3">
      <c r="B152" s="33"/>
      <c r="C152" s="34"/>
      <c r="D152" s="39"/>
      <c r="E152" s="39"/>
      <c r="F152" s="39"/>
      <c r="G152" s="34"/>
      <c r="H152" s="32"/>
      <c r="I152" s="34"/>
      <c r="J152" s="34"/>
      <c r="K152" s="35"/>
      <c r="L152" s="34"/>
      <c r="M152" s="32"/>
      <c r="N152" s="34"/>
      <c r="O152" s="34"/>
      <c r="P152" s="34"/>
      <c r="Q152" s="34"/>
      <c r="R152" s="34"/>
      <c r="S152" s="34"/>
      <c r="T152" s="34"/>
      <c r="U152" s="34"/>
      <c r="V152" s="34"/>
      <c r="W152" s="34"/>
    </row>
    <row r="153" spans="2:23" ht="12.75" customHeight="1" x14ac:dyDescent="0.3">
      <c r="B153" s="33"/>
      <c r="C153" s="34"/>
      <c r="D153" s="39"/>
      <c r="E153" s="39"/>
      <c r="F153" s="39"/>
      <c r="G153" s="34"/>
      <c r="H153" s="32"/>
      <c r="I153" s="34"/>
      <c r="J153" s="34"/>
      <c r="K153" s="35"/>
      <c r="L153" s="34"/>
      <c r="M153" s="32"/>
      <c r="N153" s="34"/>
      <c r="O153" s="34"/>
      <c r="P153" s="34"/>
      <c r="Q153" s="34"/>
      <c r="R153" s="34"/>
      <c r="S153" s="34"/>
      <c r="T153" s="34"/>
      <c r="U153" s="34"/>
      <c r="V153" s="34"/>
      <c r="W153" s="34"/>
    </row>
    <row r="154" spans="2:23" ht="12.75" customHeight="1"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ht="12.75" customHeight="1"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ht="12.75" customHeight="1"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ht="12.75" customHeight="1"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ht="12.75" customHeight="1"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ht="12.75" customHeight="1"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ht="12.75" customHeight="1"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ht="12.75" customHeight="1"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ht="12.75" customHeight="1"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ht="12.75" customHeight="1"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ht="12.75" customHeight="1"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ht="12.75" customHeight="1"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ht="12.75" customHeight="1"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ht="12.75" customHeight="1"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ht="12.75" customHeight="1"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ht="12.75" customHeight="1"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ht="12.75" customHeight="1"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ht="12.75" customHeight="1"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ht="12.75" customHeight="1"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ht="12.75" customHeight="1"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ht="12.75" customHeight="1"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ht="12.75" customHeight="1"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ht="12.75" customHeight="1"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ht="12.75" customHeight="1"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ht="12.75" customHeight="1"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ht="12.75" customHeight="1"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ht="12.75" customHeight="1" x14ac:dyDescent="0.3">
      <c r="B180" s="33"/>
      <c r="C180" s="34"/>
      <c r="D180" s="39"/>
      <c r="E180" s="39"/>
      <c r="F180" s="39"/>
      <c r="G180" s="34"/>
      <c r="H180" s="34"/>
      <c r="I180" s="34"/>
      <c r="J180" s="34"/>
      <c r="K180" s="35"/>
      <c r="L180" s="34"/>
      <c r="M180" s="32"/>
      <c r="N180" s="34"/>
      <c r="O180" s="34"/>
      <c r="P180" s="34"/>
      <c r="Q180" s="34"/>
      <c r="R180" s="34"/>
      <c r="S180" s="34"/>
      <c r="T180" s="34"/>
      <c r="U180" s="34"/>
      <c r="V180" s="34"/>
      <c r="W180" s="34"/>
    </row>
    <row r="181" spans="2:23" ht="12.75" customHeight="1" x14ac:dyDescent="0.3">
      <c r="B181" s="33"/>
      <c r="C181" s="34"/>
      <c r="D181" s="39"/>
      <c r="E181" s="39"/>
      <c r="F181" s="39"/>
      <c r="G181" s="34"/>
      <c r="H181" s="34"/>
      <c r="I181" s="34"/>
      <c r="J181" s="34"/>
      <c r="K181" s="35"/>
      <c r="L181" s="34"/>
      <c r="M181" s="32"/>
      <c r="N181" s="34"/>
      <c r="O181" s="34"/>
      <c r="P181" s="34"/>
      <c r="Q181" s="34"/>
      <c r="R181" s="34"/>
      <c r="S181" s="34"/>
      <c r="T181" s="34"/>
      <c r="U181" s="34"/>
      <c r="V181" s="34"/>
      <c r="W181" s="34"/>
    </row>
    <row r="182" spans="2:23" ht="12.75" customHeight="1" x14ac:dyDescent="0.3">
      <c r="B182" s="33"/>
      <c r="C182" s="34"/>
      <c r="D182" s="39"/>
      <c r="E182" s="39"/>
      <c r="F182" s="39"/>
      <c r="G182" s="34"/>
      <c r="H182" s="34"/>
      <c r="I182" s="34"/>
      <c r="J182" s="34"/>
      <c r="K182" s="35"/>
      <c r="L182" s="34"/>
      <c r="M182" s="32"/>
      <c r="N182" s="34"/>
      <c r="O182" s="34"/>
      <c r="P182" s="34"/>
      <c r="Q182" s="34"/>
      <c r="R182" s="34"/>
      <c r="S182" s="34"/>
      <c r="T182" s="34"/>
      <c r="U182" s="34"/>
      <c r="V182" s="34"/>
      <c r="W182" s="34"/>
    </row>
    <row r="183" spans="2:23" ht="12.75" customHeight="1" x14ac:dyDescent="0.3">
      <c r="B183" s="33"/>
      <c r="C183" s="34"/>
      <c r="D183" s="39"/>
      <c r="E183" s="39"/>
      <c r="F183" s="39"/>
      <c r="G183" s="34"/>
      <c r="H183" s="34"/>
      <c r="I183" s="34"/>
      <c r="J183" s="34"/>
      <c r="K183" s="35"/>
      <c r="L183" s="34"/>
      <c r="M183" s="32"/>
      <c r="N183" s="34"/>
      <c r="O183" s="34"/>
      <c r="P183" s="34"/>
      <c r="Q183" s="34"/>
      <c r="R183" s="34"/>
      <c r="S183" s="34"/>
      <c r="T183" s="34"/>
      <c r="U183" s="34"/>
      <c r="V183" s="34"/>
      <c r="W183" s="34"/>
    </row>
    <row r="184" spans="2:23" ht="12.75" customHeight="1" x14ac:dyDescent="0.3">
      <c r="B184" s="33"/>
      <c r="C184" s="34"/>
      <c r="D184" s="39"/>
      <c r="E184" s="39"/>
      <c r="F184" s="39"/>
      <c r="G184" s="34"/>
      <c r="H184" s="34"/>
      <c r="I184" s="34"/>
      <c r="J184" s="34"/>
      <c r="K184" s="35"/>
      <c r="L184" s="34"/>
      <c r="M184" s="32"/>
      <c r="N184" s="34"/>
      <c r="O184" s="34"/>
      <c r="P184" s="34"/>
      <c r="Q184" s="34"/>
      <c r="R184" s="34"/>
      <c r="S184" s="34"/>
      <c r="T184" s="34"/>
      <c r="U184" s="34"/>
      <c r="V184" s="34"/>
      <c r="W184" s="34"/>
    </row>
    <row r="185" spans="2:23" ht="12.75" customHeight="1" x14ac:dyDescent="0.3">
      <c r="B185" s="33"/>
      <c r="C185" s="34"/>
      <c r="D185" s="39"/>
      <c r="E185" s="39"/>
      <c r="F185" s="39"/>
      <c r="G185" s="34"/>
      <c r="H185" s="34"/>
      <c r="I185" s="34"/>
      <c r="J185" s="34"/>
      <c r="K185" s="35"/>
      <c r="L185" s="34"/>
      <c r="M185" s="32"/>
      <c r="N185" s="34"/>
      <c r="O185" s="34"/>
      <c r="P185" s="34"/>
      <c r="Q185" s="34"/>
      <c r="R185" s="34"/>
      <c r="S185" s="34"/>
      <c r="T185" s="34"/>
      <c r="U185" s="34"/>
      <c r="V185" s="34"/>
      <c r="W185" s="34"/>
    </row>
    <row r="186" spans="2:23" ht="12.75" customHeight="1" x14ac:dyDescent="0.3">
      <c r="B186" s="33"/>
      <c r="C186" s="34"/>
      <c r="D186" s="39"/>
      <c r="E186" s="39"/>
      <c r="F186" s="39"/>
      <c r="G186" s="34"/>
      <c r="H186" s="34"/>
      <c r="I186" s="34"/>
      <c r="J186" s="34"/>
      <c r="K186" s="35"/>
      <c r="L186" s="34"/>
      <c r="M186" s="32"/>
      <c r="N186" s="34"/>
      <c r="O186" s="34"/>
      <c r="P186" s="34"/>
      <c r="Q186" s="34"/>
      <c r="R186" s="34"/>
      <c r="S186" s="34"/>
      <c r="T186" s="34"/>
      <c r="U186" s="34"/>
      <c r="V186" s="34"/>
      <c r="W186" s="34"/>
    </row>
    <row r="187" spans="2:23" ht="12.75" customHeight="1" x14ac:dyDescent="0.3">
      <c r="B187" s="33"/>
      <c r="C187" s="34"/>
      <c r="D187" s="39"/>
      <c r="E187" s="39"/>
      <c r="F187" s="39"/>
      <c r="G187" s="34"/>
      <c r="H187" s="34"/>
      <c r="I187" s="34"/>
      <c r="J187" s="34"/>
      <c r="K187" s="35"/>
      <c r="L187" s="34"/>
      <c r="M187" s="32"/>
      <c r="N187" s="34"/>
      <c r="O187" s="34"/>
      <c r="P187" s="34"/>
      <c r="Q187" s="34"/>
      <c r="R187" s="34"/>
      <c r="S187" s="34"/>
      <c r="T187" s="34"/>
      <c r="U187" s="34"/>
      <c r="V187" s="34"/>
      <c r="W187" s="34"/>
    </row>
    <row r="188" spans="2:23" ht="12.75" customHeight="1" x14ac:dyDescent="0.3">
      <c r="B188" s="33"/>
      <c r="C188" s="34"/>
      <c r="D188" s="39"/>
      <c r="E188" s="39"/>
      <c r="F188" s="39"/>
      <c r="G188" s="34"/>
      <c r="H188" s="34"/>
      <c r="I188" s="34"/>
      <c r="J188" s="34"/>
      <c r="K188" s="35"/>
      <c r="L188" s="34"/>
      <c r="M188" s="32"/>
      <c r="N188" s="34"/>
      <c r="O188" s="34"/>
      <c r="P188" s="34"/>
      <c r="Q188" s="34"/>
      <c r="R188" s="34"/>
      <c r="S188" s="34"/>
      <c r="T188" s="34"/>
      <c r="U188" s="34"/>
      <c r="V188" s="34"/>
      <c r="W188" s="34"/>
    </row>
    <row r="189" spans="2:23" ht="12.75" customHeight="1" x14ac:dyDescent="0.3">
      <c r="B189" s="33"/>
      <c r="C189" s="34"/>
      <c r="D189" s="39"/>
      <c r="E189" s="39"/>
      <c r="F189" s="39"/>
      <c r="G189" s="34"/>
      <c r="H189" s="34"/>
      <c r="I189" s="34"/>
      <c r="J189" s="34"/>
      <c r="K189" s="35"/>
      <c r="L189" s="34"/>
      <c r="M189" s="32"/>
      <c r="N189" s="34"/>
      <c r="O189" s="34"/>
      <c r="P189" s="34"/>
      <c r="Q189" s="34"/>
      <c r="R189" s="34"/>
      <c r="S189" s="34"/>
      <c r="T189" s="34"/>
      <c r="U189" s="34"/>
      <c r="V189" s="34"/>
      <c r="W189" s="34"/>
    </row>
    <row r="190" spans="2:23" ht="12.75" customHeight="1" x14ac:dyDescent="0.3">
      <c r="B190" s="33"/>
      <c r="C190" s="34"/>
      <c r="D190" s="39"/>
      <c r="E190" s="39"/>
      <c r="F190" s="39"/>
      <c r="G190" s="34"/>
      <c r="H190" s="34"/>
      <c r="I190" s="34"/>
      <c r="J190" s="34"/>
      <c r="K190" s="35"/>
      <c r="L190" s="34"/>
      <c r="M190" s="32"/>
      <c r="N190" s="34"/>
      <c r="O190" s="34"/>
      <c r="P190" s="34"/>
      <c r="Q190" s="34"/>
      <c r="R190" s="34"/>
      <c r="S190" s="34"/>
      <c r="T190" s="34"/>
      <c r="U190" s="34"/>
      <c r="V190" s="34"/>
      <c r="W190" s="34"/>
    </row>
    <row r="191" spans="2:23" ht="12.75" customHeight="1" x14ac:dyDescent="0.3">
      <c r="B191" s="33"/>
      <c r="C191" s="34"/>
      <c r="D191" s="39"/>
      <c r="E191" s="39"/>
      <c r="F191" s="39"/>
      <c r="G191" s="34"/>
      <c r="H191" s="34"/>
      <c r="I191" s="34"/>
      <c r="J191" s="34"/>
      <c r="K191" s="35"/>
      <c r="L191" s="34"/>
      <c r="M191" s="32"/>
      <c r="N191" s="34"/>
      <c r="O191" s="34"/>
      <c r="P191" s="34"/>
      <c r="Q191" s="34"/>
      <c r="R191" s="34"/>
      <c r="S191" s="34"/>
      <c r="T191" s="34"/>
      <c r="U191" s="34"/>
      <c r="V191" s="34"/>
      <c r="W191" s="34"/>
    </row>
    <row r="192" spans="2:23" ht="12.75" customHeight="1" x14ac:dyDescent="0.3">
      <c r="B192" s="33"/>
      <c r="C192" s="34"/>
      <c r="D192" s="39"/>
      <c r="E192" s="39"/>
      <c r="F192" s="39"/>
      <c r="G192" s="34"/>
      <c r="H192" s="34"/>
      <c r="I192" s="34"/>
      <c r="J192" s="34"/>
      <c r="K192" s="35"/>
      <c r="L192" s="34"/>
      <c r="M192" s="32"/>
      <c r="N192" s="34"/>
      <c r="O192" s="34"/>
      <c r="P192" s="34"/>
      <c r="Q192" s="34"/>
      <c r="R192" s="34"/>
      <c r="S192" s="34"/>
      <c r="T192" s="34"/>
      <c r="U192" s="34"/>
      <c r="V192" s="34"/>
      <c r="W192" s="34"/>
    </row>
    <row r="193" spans="2:23" ht="12.75" customHeight="1" x14ac:dyDescent="0.3">
      <c r="B193" s="33"/>
      <c r="C193" s="34"/>
      <c r="D193" s="34"/>
      <c r="E193" s="34"/>
      <c r="F193" s="34"/>
      <c r="G193" s="34"/>
      <c r="H193" s="34"/>
      <c r="I193" s="34"/>
      <c r="J193" s="34"/>
      <c r="K193" s="35"/>
      <c r="L193" s="34"/>
      <c r="M193" s="32"/>
      <c r="N193" s="34"/>
      <c r="O193" s="34"/>
      <c r="P193" s="34"/>
      <c r="Q193" s="34"/>
      <c r="R193" s="34"/>
      <c r="S193" s="34"/>
      <c r="T193" s="34"/>
      <c r="U193" s="34"/>
      <c r="V193" s="34"/>
      <c r="W193" s="34"/>
    </row>
    <row r="194" spans="2:23" ht="12.75" customHeight="1" x14ac:dyDescent="0.3">
      <c r="B194" s="33"/>
      <c r="C194" s="34"/>
      <c r="D194" s="34"/>
      <c r="E194" s="34"/>
      <c r="F194" s="34"/>
      <c r="G194" s="34"/>
      <c r="H194" s="34"/>
      <c r="I194" s="34"/>
      <c r="J194" s="34"/>
      <c r="K194" s="35"/>
      <c r="L194" s="34"/>
      <c r="M194" s="32"/>
      <c r="N194" s="34"/>
      <c r="O194" s="34"/>
      <c r="P194" s="34"/>
      <c r="Q194" s="34"/>
      <c r="R194" s="34"/>
      <c r="S194" s="34"/>
      <c r="T194" s="34"/>
      <c r="U194" s="34"/>
      <c r="V194" s="34"/>
      <c r="W194" s="34"/>
    </row>
    <row r="195" spans="2:23" ht="12.75" customHeight="1" x14ac:dyDescent="0.3">
      <c r="B195" s="33"/>
      <c r="C195" s="34"/>
      <c r="D195" s="34"/>
      <c r="E195" s="34"/>
      <c r="F195" s="34"/>
      <c r="G195" s="34"/>
      <c r="H195" s="34"/>
      <c r="I195" s="34"/>
      <c r="J195" s="34"/>
      <c r="K195" s="35"/>
      <c r="L195" s="34"/>
      <c r="M195" s="32"/>
      <c r="N195" s="34"/>
      <c r="O195" s="34"/>
      <c r="P195" s="34"/>
      <c r="Q195" s="34"/>
      <c r="R195" s="34"/>
      <c r="S195" s="34"/>
      <c r="T195" s="34"/>
      <c r="U195" s="34"/>
      <c r="V195" s="34"/>
      <c r="W195" s="34"/>
    </row>
    <row r="196" spans="2:23" ht="12.75" customHeight="1" x14ac:dyDescent="0.3">
      <c r="B196" s="33"/>
      <c r="C196" s="34"/>
      <c r="D196" s="34"/>
      <c r="E196" s="34"/>
      <c r="F196" s="34"/>
      <c r="G196" s="34"/>
      <c r="H196" s="34"/>
      <c r="I196" s="34"/>
      <c r="J196" s="34"/>
      <c r="K196" s="35"/>
      <c r="L196" s="34"/>
      <c r="M196" s="32"/>
      <c r="N196" s="34"/>
      <c r="O196" s="34"/>
      <c r="P196" s="34"/>
      <c r="Q196" s="34"/>
      <c r="R196" s="34"/>
      <c r="S196" s="34"/>
      <c r="T196" s="34"/>
      <c r="U196" s="34"/>
      <c r="V196" s="34"/>
      <c r="W196" s="34"/>
    </row>
    <row r="197" spans="2:23" ht="12.75" customHeight="1" x14ac:dyDescent="0.3">
      <c r="B197" s="33"/>
      <c r="C197" s="34"/>
      <c r="D197" s="34"/>
      <c r="E197" s="34"/>
      <c r="F197" s="34"/>
      <c r="G197" s="34"/>
      <c r="H197" s="34"/>
      <c r="I197" s="34"/>
      <c r="J197" s="34"/>
      <c r="K197" s="35"/>
      <c r="L197" s="34"/>
      <c r="M197" s="32"/>
      <c r="N197" s="34"/>
      <c r="O197" s="34"/>
      <c r="P197" s="34"/>
      <c r="Q197" s="34"/>
      <c r="R197" s="34"/>
      <c r="S197" s="34"/>
      <c r="T197" s="34"/>
      <c r="U197" s="34"/>
      <c r="V197" s="34"/>
      <c r="W197" s="34"/>
    </row>
    <row r="198" spans="2:23" ht="12.75" customHeight="1" x14ac:dyDescent="0.3">
      <c r="B198" s="33"/>
      <c r="C198" s="34"/>
      <c r="D198" s="34"/>
      <c r="E198" s="34"/>
      <c r="F198" s="34"/>
      <c r="G198" s="34"/>
      <c r="H198" s="34"/>
      <c r="I198" s="34"/>
      <c r="J198" s="34"/>
      <c r="K198" s="35"/>
      <c r="L198" s="34"/>
      <c r="M198" s="32"/>
      <c r="N198" s="34"/>
      <c r="O198" s="34"/>
      <c r="P198" s="34"/>
      <c r="Q198" s="34"/>
      <c r="R198" s="34"/>
      <c r="S198" s="34"/>
      <c r="T198" s="34"/>
      <c r="U198" s="34"/>
      <c r="V198" s="34"/>
      <c r="W198" s="34"/>
    </row>
    <row r="199" spans="2:23" ht="12.75" customHeight="1" x14ac:dyDescent="0.3">
      <c r="B199" s="33"/>
      <c r="C199" s="34"/>
      <c r="D199" s="34"/>
      <c r="E199" s="34"/>
      <c r="F199" s="34"/>
      <c r="G199" s="34"/>
      <c r="H199" s="34"/>
      <c r="I199" s="34"/>
      <c r="J199" s="34"/>
      <c r="K199" s="35"/>
      <c r="L199" s="34"/>
      <c r="M199" s="32"/>
      <c r="N199" s="34"/>
      <c r="O199" s="34"/>
      <c r="P199" s="34"/>
      <c r="Q199" s="34"/>
      <c r="R199" s="34"/>
      <c r="S199" s="34"/>
      <c r="T199" s="34"/>
      <c r="U199" s="34"/>
      <c r="V199" s="34"/>
      <c r="W199" s="34"/>
    </row>
    <row r="200" spans="2:23" ht="12.75" customHeight="1" x14ac:dyDescent="0.3">
      <c r="B200" s="33"/>
      <c r="C200" s="34"/>
      <c r="D200" s="34"/>
      <c r="E200" s="34"/>
      <c r="F200" s="34"/>
      <c r="G200" s="34"/>
      <c r="H200" s="34"/>
      <c r="I200" s="34"/>
      <c r="J200" s="34"/>
      <c r="K200" s="35"/>
      <c r="L200" s="34"/>
      <c r="M200" s="32"/>
      <c r="N200" s="34"/>
      <c r="O200" s="34"/>
      <c r="P200" s="34"/>
      <c r="Q200" s="34"/>
      <c r="R200" s="34"/>
      <c r="S200" s="34"/>
      <c r="T200" s="34"/>
      <c r="U200" s="34"/>
      <c r="V200" s="34"/>
      <c r="W200" s="34"/>
    </row>
    <row r="201" spans="2:23" ht="12.75" customHeight="1" x14ac:dyDescent="0.3">
      <c r="B201" s="33"/>
      <c r="C201" s="34"/>
      <c r="D201" s="34"/>
      <c r="E201" s="34"/>
      <c r="F201" s="34"/>
      <c r="G201" s="34"/>
      <c r="H201" s="34"/>
      <c r="I201" s="34"/>
      <c r="J201" s="34"/>
      <c r="K201" s="35"/>
      <c r="L201" s="34"/>
      <c r="M201" s="32"/>
      <c r="N201" s="34"/>
      <c r="O201" s="34"/>
      <c r="P201" s="34"/>
      <c r="Q201" s="34"/>
      <c r="R201" s="34"/>
      <c r="S201" s="34"/>
      <c r="T201" s="34"/>
      <c r="U201" s="34"/>
      <c r="V201" s="34"/>
      <c r="W201" s="34"/>
    </row>
    <row r="202" spans="2:23" ht="12.75" customHeight="1" x14ac:dyDescent="0.3">
      <c r="B202" s="33"/>
      <c r="C202" s="34"/>
      <c r="D202" s="34"/>
      <c r="E202" s="34"/>
      <c r="F202" s="34"/>
      <c r="G202" s="34"/>
      <c r="H202" s="34"/>
      <c r="I202" s="34"/>
      <c r="J202" s="34"/>
      <c r="K202" s="35"/>
      <c r="L202" s="34"/>
      <c r="M202" s="32"/>
      <c r="N202" s="34"/>
      <c r="O202" s="34"/>
      <c r="P202" s="34"/>
      <c r="Q202" s="34"/>
      <c r="R202" s="34"/>
      <c r="S202" s="34"/>
      <c r="T202" s="34"/>
      <c r="U202" s="34"/>
      <c r="V202" s="34"/>
      <c r="W202" s="34"/>
    </row>
    <row r="203" spans="2:23" ht="12.75" customHeight="1" x14ac:dyDescent="0.3">
      <c r="B203" s="33"/>
      <c r="C203" s="34"/>
      <c r="D203" s="34"/>
      <c r="E203" s="34"/>
      <c r="F203" s="34"/>
      <c r="G203" s="34"/>
      <c r="H203" s="34"/>
      <c r="I203" s="34"/>
      <c r="J203" s="34"/>
      <c r="K203" s="35"/>
      <c r="L203" s="34"/>
      <c r="M203" s="32"/>
      <c r="N203" s="34"/>
      <c r="O203" s="34"/>
      <c r="P203" s="34"/>
      <c r="Q203" s="34"/>
      <c r="R203" s="34"/>
      <c r="S203" s="34"/>
      <c r="T203" s="34"/>
      <c r="U203" s="34"/>
      <c r="V203" s="34"/>
      <c r="W203" s="34"/>
    </row>
    <row r="204" spans="2:23" ht="12.75" customHeight="1" x14ac:dyDescent="0.3">
      <c r="B204" s="33"/>
      <c r="C204" s="34"/>
      <c r="D204" s="34"/>
      <c r="E204" s="34"/>
      <c r="F204" s="34"/>
      <c r="G204" s="34"/>
      <c r="H204" s="34"/>
      <c r="I204" s="34"/>
      <c r="J204" s="34"/>
      <c r="K204" s="35"/>
      <c r="L204" s="34"/>
      <c r="M204" s="32"/>
      <c r="N204" s="34"/>
      <c r="O204" s="34"/>
      <c r="P204" s="34"/>
      <c r="Q204" s="34"/>
      <c r="R204" s="34"/>
      <c r="S204" s="34"/>
      <c r="T204" s="34"/>
      <c r="U204" s="34"/>
      <c r="V204" s="34"/>
      <c r="W204" s="34"/>
    </row>
    <row r="205" spans="2:23" ht="12.75" customHeight="1" x14ac:dyDescent="0.3">
      <c r="B205" s="33"/>
      <c r="C205" s="34"/>
      <c r="D205" s="34"/>
      <c r="E205" s="34"/>
      <c r="F205" s="34"/>
      <c r="G205" s="34"/>
      <c r="H205" s="34"/>
      <c r="I205" s="34"/>
      <c r="J205" s="34"/>
      <c r="K205" s="35"/>
      <c r="L205" s="34"/>
      <c r="M205" s="32"/>
      <c r="N205" s="34"/>
      <c r="O205" s="34"/>
      <c r="P205" s="34"/>
      <c r="Q205" s="34"/>
      <c r="R205" s="34"/>
      <c r="S205" s="34"/>
      <c r="T205" s="34"/>
      <c r="U205" s="34"/>
      <c r="V205" s="34"/>
      <c r="W205" s="34"/>
    </row>
    <row r="206" spans="2:23" ht="12.75" customHeight="1" x14ac:dyDescent="0.3">
      <c r="B206" s="33"/>
      <c r="C206" s="34"/>
      <c r="D206" s="34"/>
      <c r="E206" s="34"/>
      <c r="F206" s="34"/>
      <c r="G206" s="34"/>
      <c r="H206" s="34"/>
      <c r="I206" s="34"/>
      <c r="J206" s="34"/>
      <c r="K206" s="35"/>
      <c r="L206" s="34"/>
      <c r="M206" s="32"/>
      <c r="N206" s="34"/>
      <c r="O206" s="34"/>
      <c r="P206" s="34"/>
      <c r="Q206" s="34"/>
      <c r="R206" s="34"/>
      <c r="S206" s="34"/>
      <c r="T206" s="34"/>
      <c r="U206" s="34"/>
      <c r="V206" s="34"/>
      <c r="W206" s="34"/>
    </row>
    <row r="207" spans="2:23" ht="12.75" customHeight="1" x14ac:dyDescent="0.3">
      <c r="B207" s="33"/>
      <c r="C207" s="34"/>
      <c r="D207" s="34"/>
      <c r="E207" s="34"/>
      <c r="F207" s="34"/>
      <c r="G207" s="34"/>
      <c r="H207" s="34"/>
      <c r="I207" s="34"/>
      <c r="J207" s="34"/>
      <c r="K207" s="35"/>
      <c r="L207" s="34"/>
      <c r="M207" s="32"/>
      <c r="N207" s="34"/>
      <c r="O207" s="34"/>
      <c r="P207" s="34"/>
      <c r="Q207" s="34"/>
      <c r="R207" s="34"/>
      <c r="S207" s="34"/>
      <c r="T207" s="34"/>
      <c r="U207" s="34"/>
      <c r="V207" s="34"/>
      <c r="W207" s="34"/>
    </row>
    <row r="208" spans="2:23" ht="12.75" customHeight="1" x14ac:dyDescent="0.3">
      <c r="B208" s="33"/>
      <c r="C208" s="34"/>
      <c r="D208" s="34"/>
      <c r="E208" s="34"/>
      <c r="F208" s="34"/>
      <c r="G208" s="34"/>
      <c r="H208" s="34"/>
      <c r="I208" s="34"/>
      <c r="J208" s="34"/>
      <c r="K208" s="35"/>
      <c r="L208" s="34"/>
      <c r="M208" s="32"/>
      <c r="N208" s="34"/>
      <c r="O208" s="34"/>
      <c r="P208" s="34"/>
      <c r="Q208" s="34"/>
      <c r="R208" s="34"/>
      <c r="S208" s="34"/>
      <c r="T208" s="34"/>
      <c r="U208" s="34"/>
      <c r="V208" s="34"/>
      <c r="W208" s="34"/>
    </row>
    <row r="209" spans="2:23" ht="12.75" customHeight="1" x14ac:dyDescent="0.3">
      <c r="B209" s="33"/>
      <c r="C209" s="34"/>
      <c r="D209" s="34"/>
      <c r="E209" s="34"/>
      <c r="F209" s="34"/>
      <c r="G209" s="34"/>
      <c r="H209" s="34"/>
      <c r="I209" s="34"/>
      <c r="J209" s="34"/>
      <c r="K209" s="35"/>
      <c r="L209" s="34"/>
      <c r="M209" s="32"/>
      <c r="N209" s="34"/>
      <c r="O209" s="34"/>
      <c r="P209" s="34"/>
      <c r="Q209" s="34"/>
      <c r="R209" s="34"/>
      <c r="S209" s="34"/>
      <c r="T209" s="34"/>
      <c r="U209" s="34"/>
      <c r="V209" s="34"/>
      <c r="W209" s="34"/>
    </row>
    <row r="210" spans="2:23" ht="12.75" customHeight="1" x14ac:dyDescent="0.3">
      <c r="B210" s="33"/>
      <c r="C210" s="34"/>
      <c r="D210" s="34"/>
      <c r="E210" s="34"/>
      <c r="F210" s="34"/>
      <c r="G210" s="34"/>
      <c r="H210" s="34"/>
      <c r="I210" s="34"/>
      <c r="J210" s="34"/>
      <c r="K210" s="35"/>
      <c r="L210" s="34"/>
      <c r="M210" s="32"/>
      <c r="N210" s="34"/>
      <c r="O210" s="34"/>
      <c r="P210" s="34"/>
      <c r="Q210" s="34"/>
      <c r="R210" s="34"/>
      <c r="S210" s="34"/>
      <c r="T210" s="34"/>
      <c r="U210" s="34"/>
      <c r="V210" s="34"/>
      <c r="W210" s="34"/>
    </row>
    <row r="211" spans="2:23" ht="12.75" customHeight="1" x14ac:dyDescent="0.3">
      <c r="B211" s="33"/>
      <c r="C211" s="34"/>
      <c r="D211" s="34"/>
      <c r="E211" s="34"/>
      <c r="F211" s="34"/>
      <c r="G211" s="34"/>
      <c r="H211" s="34"/>
      <c r="I211" s="34"/>
      <c r="J211" s="34"/>
      <c r="K211" s="35"/>
      <c r="L211" s="34"/>
      <c r="M211" s="32"/>
      <c r="N211" s="34"/>
      <c r="O211" s="34"/>
      <c r="P211" s="34"/>
      <c r="Q211" s="34"/>
      <c r="R211" s="34"/>
      <c r="S211" s="34"/>
      <c r="T211" s="34"/>
      <c r="U211" s="34"/>
      <c r="V211" s="34"/>
      <c r="W211" s="34"/>
    </row>
    <row r="212" spans="2:23" ht="12.75" customHeight="1" x14ac:dyDescent="0.3">
      <c r="B212" s="33"/>
      <c r="C212" s="34"/>
      <c r="D212" s="34"/>
      <c r="E212" s="34"/>
      <c r="F212" s="34"/>
      <c r="G212" s="34"/>
      <c r="H212" s="34"/>
      <c r="I212" s="34"/>
      <c r="J212" s="34"/>
      <c r="K212" s="35"/>
      <c r="L212" s="34"/>
      <c r="M212" s="32"/>
      <c r="N212" s="34"/>
      <c r="O212" s="34"/>
      <c r="P212" s="34"/>
      <c r="Q212" s="34"/>
      <c r="R212" s="34"/>
      <c r="S212" s="34"/>
      <c r="T212" s="34"/>
      <c r="U212" s="34"/>
      <c r="V212" s="34"/>
      <c r="W212" s="34"/>
    </row>
    <row r="213" spans="2:23" ht="12.75" customHeight="1" x14ac:dyDescent="0.3">
      <c r="B213" s="33"/>
      <c r="C213" s="34"/>
      <c r="D213" s="34"/>
      <c r="E213" s="34"/>
      <c r="F213" s="34"/>
      <c r="G213" s="34"/>
      <c r="H213" s="34"/>
      <c r="I213" s="34"/>
      <c r="J213" s="34"/>
      <c r="K213" s="35"/>
      <c r="L213" s="34"/>
      <c r="M213" s="32"/>
      <c r="N213" s="34"/>
      <c r="O213" s="34"/>
      <c r="P213" s="34"/>
      <c r="Q213" s="34"/>
      <c r="R213" s="34"/>
      <c r="S213" s="34"/>
      <c r="T213" s="34"/>
      <c r="U213" s="34"/>
      <c r="V213" s="34"/>
      <c r="W213" s="34"/>
    </row>
    <row r="214" spans="2:23" ht="12.75" customHeight="1" x14ac:dyDescent="0.3">
      <c r="B214" s="33"/>
      <c r="C214" s="34"/>
      <c r="D214" s="34"/>
      <c r="E214" s="34"/>
      <c r="F214" s="34"/>
      <c r="G214" s="34"/>
      <c r="H214" s="34"/>
      <c r="I214" s="34"/>
      <c r="J214" s="34"/>
      <c r="K214" s="35"/>
      <c r="L214" s="34"/>
      <c r="M214" s="32"/>
      <c r="N214" s="34"/>
      <c r="O214" s="34"/>
      <c r="P214" s="34"/>
      <c r="Q214" s="34"/>
      <c r="R214" s="34"/>
      <c r="S214" s="34"/>
      <c r="T214" s="34"/>
      <c r="U214" s="34"/>
      <c r="V214" s="34"/>
      <c r="W214" s="34"/>
    </row>
    <row r="215" spans="2:23" ht="12.75" customHeight="1" x14ac:dyDescent="0.3">
      <c r="B215" s="33"/>
      <c r="C215" s="34"/>
      <c r="D215" s="34"/>
      <c r="E215" s="34"/>
      <c r="F215" s="34"/>
      <c r="G215" s="34"/>
      <c r="H215" s="34"/>
      <c r="I215" s="34"/>
      <c r="J215" s="34"/>
      <c r="K215" s="35"/>
      <c r="L215" s="34"/>
      <c r="M215" s="32"/>
      <c r="N215" s="34"/>
      <c r="O215" s="34"/>
      <c r="P215" s="34"/>
      <c r="Q215" s="34"/>
      <c r="R215" s="34"/>
      <c r="S215" s="34"/>
      <c r="T215" s="34"/>
      <c r="U215" s="34"/>
      <c r="V215" s="34"/>
      <c r="W215" s="34"/>
    </row>
    <row r="216" spans="2:23" ht="12.75" customHeight="1" x14ac:dyDescent="0.3">
      <c r="B216" s="33"/>
      <c r="C216" s="34"/>
      <c r="D216" s="34"/>
      <c r="E216" s="34"/>
      <c r="F216" s="34"/>
      <c r="G216" s="34"/>
      <c r="H216" s="34"/>
      <c r="I216" s="34"/>
      <c r="J216" s="34"/>
      <c r="K216" s="35"/>
      <c r="L216" s="34"/>
      <c r="M216" s="32"/>
      <c r="N216" s="34"/>
      <c r="O216" s="34"/>
      <c r="P216" s="34"/>
      <c r="Q216" s="34"/>
      <c r="R216" s="34"/>
      <c r="S216" s="34"/>
      <c r="T216" s="34"/>
      <c r="U216" s="34"/>
      <c r="V216" s="34"/>
      <c r="W216" s="34"/>
    </row>
    <row r="217" spans="2:23" ht="12.75" customHeight="1" x14ac:dyDescent="0.3">
      <c r="B217" s="33"/>
      <c r="C217" s="34"/>
      <c r="D217" s="34"/>
      <c r="E217" s="34"/>
      <c r="F217" s="34"/>
      <c r="G217" s="34"/>
      <c r="H217" s="34"/>
      <c r="I217" s="34"/>
      <c r="J217" s="34"/>
      <c r="K217" s="35"/>
      <c r="L217" s="34"/>
      <c r="M217" s="32"/>
      <c r="N217" s="34"/>
      <c r="O217" s="34"/>
      <c r="P217" s="34"/>
      <c r="Q217" s="34"/>
      <c r="R217" s="34"/>
      <c r="S217" s="34"/>
      <c r="T217" s="34"/>
      <c r="U217" s="34"/>
      <c r="V217" s="34"/>
      <c r="W217" s="34"/>
    </row>
    <row r="218" spans="2:23" ht="12.75" customHeight="1" x14ac:dyDescent="0.3">
      <c r="B218" s="33"/>
      <c r="C218" s="34"/>
      <c r="D218" s="34"/>
      <c r="E218" s="34"/>
      <c r="F218" s="34"/>
      <c r="G218" s="34"/>
      <c r="H218" s="34"/>
      <c r="I218" s="34"/>
      <c r="J218" s="34"/>
      <c r="K218" s="35"/>
      <c r="L218" s="34"/>
      <c r="M218" s="32"/>
      <c r="N218" s="34"/>
      <c r="O218" s="34"/>
      <c r="P218" s="34"/>
      <c r="Q218" s="34"/>
      <c r="R218" s="34"/>
      <c r="S218" s="34"/>
      <c r="T218" s="34"/>
      <c r="U218" s="34"/>
      <c r="V218" s="34"/>
      <c r="W218" s="34"/>
    </row>
    <row r="219" spans="2:23" ht="12.75" customHeight="1" x14ac:dyDescent="0.3">
      <c r="B219" s="33"/>
      <c r="C219" s="34"/>
      <c r="D219" s="34"/>
      <c r="E219" s="34"/>
      <c r="F219" s="34"/>
      <c r="G219" s="34"/>
      <c r="H219" s="34"/>
      <c r="I219" s="34"/>
      <c r="J219" s="34"/>
      <c r="K219" s="35"/>
      <c r="L219" s="34"/>
      <c r="M219" s="32"/>
      <c r="N219" s="34"/>
      <c r="O219" s="34"/>
      <c r="P219" s="34"/>
      <c r="Q219" s="34"/>
      <c r="R219" s="34"/>
      <c r="S219" s="34"/>
      <c r="T219" s="34"/>
      <c r="U219" s="34"/>
      <c r="V219" s="34"/>
      <c r="W219" s="34"/>
    </row>
    <row r="220" spans="2:23" ht="12.75" customHeight="1" x14ac:dyDescent="0.3">
      <c r="B220" s="33"/>
      <c r="C220" s="34"/>
      <c r="D220" s="34"/>
      <c r="E220" s="34"/>
      <c r="F220" s="34"/>
      <c r="G220" s="34"/>
      <c r="H220" s="34"/>
      <c r="I220" s="34"/>
      <c r="J220" s="34"/>
      <c r="K220" s="35"/>
      <c r="L220" s="34"/>
      <c r="M220" s="32"/>
      <c r="N220" s="34"/>
      <c r="O220" s="34"/>
      <c r="P220" s="34"/>
      <c r="Q220" s="34"/>
      <c r="R220" s="34"/>
      <c r="S220" s="34"/>
      <c r="T220" s="34"/>
      <c r="U220" s="34"/>
      <c r="V220" s="34"/>
      <c r="W220" s="34"/>
    </row>
    <row r="221" spans="2:23" ht="12.75" customHeight="1" x14ac:dyDescent="0.3">
      <c r="B221" s="33"/>
      <c r="C221" s="34"/>
      <c r="D221" s="34"/>
      <c r="E221" s="34"/>
      <c r="F221" s="34"/>
      <c r="G221" s="34"/>
      <c r="H221" s="34"/>
      <c r="I221" s="34"/>
      <c r="J221" s="34"/>
      <c r="K221" s="35"/>
      <c r="L221" s="34"/>
      <c r="M221" s="32"/>
      <c r="N221" s="34"/>
      <c r="O221" s="34"/>
      <c r="P221" s="34"/>
      <c r="Q221" s="34"/>
      <c r="R221" s="34"/>
      <c r="S221" s="34"/>
      <c r="T221" s="34"/>
      <c r="U221" s="34"/>
      <c r="V221" s="34"/>
      <c r="W221" s="34"/>
    </row>
    <row r="222" spans="2:23" ht="12.75" customHeight="1" x14ac:dyDescent="0.3">
      <c r="B222" s="33"/>
      <c r="C222" s="34"/>
      <c r="D222" s="34"/>
      <c r="E222" s="34"/>
      <c r="F222" s="34"/>
      <c r="G222" s="34"/>
      <c r="H222" s="34"/>
      <c r="I222" s="34"/>
      <c r="J222" s="34"/>
      <c r="K222" s="35"/>
      <c r="L222" s="34"/>
      <c r="M222" s="32"/>
      <c r="N222" s="34"/>
      <c r="O222" s="34"/>
      <c r="P222" s="34"/>
      <c r="Q222" s="34"/>
      <c r="R222" s="34"/>
      <c r="S222" s="34"/>
      <c r="T222" s="34"/>
      <c r="U222" s="34"/>
      <c r="V222" s="34"/>
      <c r="W222" s="34"/>
    </row>
    <row r="223" spans="2:23" ht="12.75" customHeight="1" x14ac:dyDescent="0.3">
      <c r="B223" s="33"/>
      <c r="C223" s="34"/>
      <c r="D223" s="34"/>
      <c r="E223" s="34"/>
      <c r="F223" s="34"/>
      <c r="G223" s="34"/>
      <c r="H223" s="34"/>
      <c r="I223" s="34"/>
      <c r="J223" s="34"/>
      <c r="K223" s="35"/>
      <c r="L223" s="34"/>
      <c r="M223" s="32"/>
      <c r="N223" s="34"/>
      <c r="O223" s="34"/>
      <c r="P223" s="34"/>
      <c r="Q223" s="34"/>
      <c r="R223" s="34"/>
      <c r="S223" s="34"/>
      <c r="T223" s="34"/>
      <c r="U223" s="34"/>
      <c r="V223" s="34"/>
      <c r="W223" s="34"/>
    </row>
    <row r="224" spans="2:23" ht="12.75" customHeight="1" x14ac:dyDescent="0.3">
      <c r="B224" s="33"/>
      <c r="C224" s="34"/>
      <c r="D224" s="34"/>
      <c r="E224" s="34"/>
      <c r="F224" s="34"/>
      <c r="G224" s="34"/>
      <c r="H224" s="34"/>
      <c r="I224" s="34"/>
      <c r="J224" s="34"/>
      <c r="K224" s="35"/>
      <c r="L224" s="34"/>
      <c r="M224" s="32"/>
      <c r="N224" s="34"/>
      <c r="O224" s="34"/>
      <c r="P224" s="34"/>
      <c r="Q224" s="34"/>
      <c r="R224" s="34"/>
      <c r="S224" s="34"/>
      <c r="T224" s="34"/>
      <c r="U224" s="34"/>
      <c r="V224" s="34"/>
      <c r="W224" s="34"/>
    </row>
    <row r="225" spans="2:23" ht="12.75" customHeight="1" x14ac:dyDescent="0.3">
      <c r="B225" s="33"/>
      <c r="C225" s="34"/>
      <c r="D225" s="34"/>
      <c r="E225" s="34"/>
      <c r="F225" s="34"/>
      <c r="G225" s="34"/>
      <c r="H225" s="34"/>
      <c r="I225" s="34"/>
      <c r="J225" s="34"/>
      <c r="K225" s="35"/>
      <c r="L225" s="34"/>
      <c r="M225" s="32"/>
      <c r="N225" s="34"/>
      <c r="O225" s="34"/>
      <c r="P225" s="34"/>
      <c r="Q225" s="34"/>
      <c r="R225" s="34"/>
      <c r="S225" s="34"/>
      <c r="T225" s="34"/>
      <c r="U225" s="34"/>
      <c r="V225" s="34"/>
      <c r="W225" s="34"/>
    </row>
    <row r="226" spans="2:23" ht="12.75" customHeight="1" x14ac:dyDescent="0.3">
      <c r="B226" s="33"/>
      <c r="C226" s="34"/>
      <c r="D226" s="34"/>
      <c r="E226" s="34"/>
      <c r="F226" s="34"/>
      <c r="G226" s="34"/>
      <c r="H226" s="34"/>
      <c r="I226" s="34"/>
      <c r="J226" s="34"/>
      <c r="K226" s="35"/>
      <c r="L226" s="34"/>
      <c r="M226" s="32"/>
      <c r="N226" s="34"/>
      <c r="O226" s="34"/>
      <c r="P226" s="34"/>
      <c r="Q226" s="34"/>
      <c r="R226" s="34"/>
      <c r="S226" s="34"/>
      <c r="T226" s="34"/>
      <c r="U226" s="34"/>
      <c r="V226" s="34"/>
      <c r="W226" s="34"/>
    </row>
    <row r="227" spans="2:23" ht="12.75" customHeight="1" x14ac:dyDescent="0.3">
      <c r="B227" s="33"/>
      <c r="C227" s="34"/>
      <c r="D227" s="34"/>
      <c r="E227" s="34"/>
      <c r="F227" s="34"/>
      <c r="G227" s="34"/>
      <c r="H227" s="34"/>
      <c r="I227" s="34"/>
      <c r="J227" s="34"/>
      <c r="K227" s="35"/>
      <c r="L227" s="34"/>
      <c r="M227" s="32"/>
      <c r="N227" s="34"/>
      <c r="O227" s="34"/>
      <c r="P227" s="34"/>
      <c r="Q227" s="34"/>
      <c r="R227" s="34"/>
      <c r="S227" s="34"/>
      <c r="T227" s="34"/>
      <c r="U227" s="34"/>
      <c r="V227" s="34"/>
      <c r="W227" s="34"/>
    </row>
    <row r="228" spans="2:23" ht="12.75" customHeight="1" x14ac:dyDescent="0.3">
      <c r="B228" s="33"/>
      <c r="C228" s="34"/>
      <c r="D228" s="34"/>
      <c r="E228" s="34"/>
      <c r="F228" s="34"/>
      <c r="G228" s="34"/>
      <c r="H228" s="34"/>
      <c r="I228" s="34"/>
      <c r="J228" s="34"/>
      <c r="K228" s="35"/>
      <c r="L228" s="34"/>
      <c r="M228" s="32"/>
      <c r="N228" s="34"/>
      <c r="O228" s="34"/>
      <c r="P228" s="34"/>
      <c r="Q228" s="34"/>
      <c r="R228" s="34"/>
      <c r="S228" s="34"/>
      <c r="T228" s="34"/>
      <c r="U228" s="34"/>
      <c r="V228" s="34"/>
      <c r="W228" s="34"/>
    </row>
    <row r="229" spans="2:23" ht="12.75" customHeight="1" x14ac:dyDescent="0.3">
      <c r="B229" s="33"/>
      <c r="C229" s="34"/>
      <c r="D229" s="34"/>
      <c r="E229" s="34"/>
      <c r="F229" s="34"/>
      <c r="G229" s="34"/>
      <c r="H229" s="34"/>
      <c r="I229" s="34"/>
      <c r="J229" s="34"/>
      <c r="K229" s="35"/>
      <c r="L229" s="34"/>
      <c r="M229" s="32"/>
      <c r="N229" s="34"/>
      <c r="O229" s="34"/>
      <c r="P229" s="34"/>
      <c r="Q229" s="34"/>
      <c r="R229" s="34"/>
      <c r="S229" s="34"/>
      <c r="T229" s="34"/>
      <c r="U229" s="34"/>
      <c r="V229" s="34"/>
      <c r="W229" s="34"/>
    </row>
    <row r="230" spans="2:23" ht="12.75" customHeight="1" x14ac:dyDescent="0.3">
      <c r="B230" s="33"/>
      <c r="C230" s="34"/>
      <c r="D230" s="34"/>
      <c r="E230" s="34"/>
      <c r="F230" s="34"/>
      <c r="G230" s="34"/>
      <c r="H230" s="34"/>
      <c r="I230" s="34"/>
      <c r="J230" s="34"/>
      <c r="K230" s="35"/>
      <c r="L230" s="34"/>
      <c r="M230" s="32"/>
      <c r="N230" s="34"/>
      <c r="O230" s="34"/>
      <c r="P230" s="34"/>
      <c r="Q230" s="34"/>
      <c r="R230" s="34"/>
      <c r="S230" s="34"/>
      <c r="T230" s="34"/>
      <c r="U230" s="34"/>
      <c r="V230" s="34"/>
      <c r="W230" s="34"/>
    </row>
    <row r="231" spans="2:23" ht="12.75" customHeight="1" x14ac:dyDescent="0.3">
      <c r="B231" s="33"/>
      <c r="C231" s="34"/>
      <c r="D231" s="34"/>
      <c r="E231" s="34"/>
      <c r="F231" s="34"/>
      <c r="G231" s="34"/>
      <c r="H231" s="34"/>
      <c r="I231" s="34"/>
      <c r="J231" s="34"/>
      <c r="K231" s="35"/>
      <c r="L231" s="34"/>
      <c r="M231" s="32"/>
      <c r="N231" s="34"/>
      <c r="O231" s="34"/>
      <c r="P231" s="34"/>
      <c r="Q231" s="34"/>
      <c r="R231" s="34"/>
      <c r="S231" s="34"/>
      <c r="T231" s="34"/>
      <c r="U231" s="34"/>
      <c r="V231" s="34"/>
      <c r="W231" s="34"/>
    </row>
    <row r="232" spans="2:23" ht="12.75" customHeight="1" x14ac:dyDescent="0.3">
      <c r="B232" s="33"/>
      <c r="C232" s="34"/>
      <c r="D232" s="34"/>
      <c r="E232" s="34"/>
      <c r="F232" s="34"/>
      <c r="G232" s="34"/>
      <c r="H232" s="34"/>
      <c r="I232" s="34"/>
      <c r="J232" s="34"/>
      <c r="K232" s="35"/>
      <c r="L232" s="34"/>
      <c r="M232" s="32"/>
      <c r="N232" s="34"/>
      <c r="O232" s="34"/>
      <c r="P232" s="34"/>
      <c r="Q232" s="34"/>
      <c r="R232" s="34"/>
      <c r="S232" s="34"/>
      <c r="T232" s="34"/>
      <c r="U232" s="34"/>
      <c r="V232" s="34"/>
      <c r="W232" s="34"/>
    </row>
    <row r="233" spans="2:23" ht="12.75" customHeight="1" x14ac:dyDescent="0.3">
      <c r="B233" s="33"/>
      <c r="C233" s="34"/>
      <c r="D233" s="34"/>
      <c r="E233" s="34"/>
      <c r="F233" s="34"/>
      <c r="G233" s="34"/>
      <c r="H233" s="34"/>
      <c r="I233" s="34"/>
      <c r="J233" s="34"/>
      <c r="K233" s="35"/>
      <c r="L233" s="34"/>
      <c r="M233" s="32"/>
      <c r="N233" s="34"/>
      <c r="O233" s="34"/>
      <c r="P233" s="34"/>
      <c r="Q233" s="34"/>
      <c r="R233" s="34"/>
      <c r="S233" s="34"/>
      <c r="T233" s="34"/>
      <c r="U233" s="34"/>
      <c r="V233" s="34"/>
      <c r="W233" s="34"/>
    </row>
    <row r="234" spans="2:23" ht="12.75" customHeight="1" x14ac:dyDescent="0.3">
      <c r="B234" s="33"/>
      <c r="C234" s="34"/>
      <c r="D234" s="34"/>
      <c r="E234" s="34"/>
      <c r="F234" s="34"/>
      <c r="G234" s="34"/>
      <c r="H234" s="34"/>
      <c r="I234" s="34"/>
      <c r="J234" s="34"/>
      <c r="K234" s="35"/>
      <c r="L234" s="34"/>
      <c r="M234" s="32"/>
      <c r="N234" s="34"/>
      <c r="O234" s="34"/>
      <c r="P234" s="34"/>
      <c r="Q234" s="34"/>
      <c r="R234" s="34"/>
      <c r="S234" s="34"/>
      <c r="T234" s="34"/>
      <c r="U234" s="34"/>
      <c r="V234" s="34"/>
      <c r="W234" s="34"/>
    </row>
    <row r="235" spans="2:23" ht="12.75" customHeight="1" x14ac:dyDescent="0.3">
      <c r="B235" s="33"/>
      <c r="C235" s="34"/>
      <c r="D235" s="34"/>
      <c r="E235" s="34"/>
      <c r="F235" s="34"/>
      <c r="G235" s="34"/>
      <c r="H235" s="34"/>
      <c r="I235" s="34"/>
      <c r="J235" s="34"/>
      <c r="K235" s="35"/>
      <c r="L235" s="34"/>
      <c r="M235" s="32"/>
      <c r="N235" s="34"/>
      <c r="O235" s="34"/>
      <c r="P235" s="34"/>
      <c r="Q235" s="34"/>
      <c r="R235" s="34"/>
      <c r="S235" s="34"/>
      <c r="T235" s="34"/>
      <c r="U235" s="34"/>
      <c r="V235" s="34"/>
      <c r="W235" s="34"/>
    </row>
    <row r="236" spans="2:23" ht="12.75" customHeight="1" x14ac:dyDescent="0.3">
      <c r="B236" s="33"/>
      <c r="C236" s="34"/>
      <c r="D236" s="34"/>
      <c r="E236" s="34"/>
      <c r="F236" s="34"/>
      <c r="G236" s="34"/>
      <c r="H236" s="34"/>
      <c r="I236" s="34"/>
      <c r="J236" s="34"/>
      <c r="K236" s="35"/>
      <c r="L236" s="34"/>
      <c r="M236" s="32"/>
      <c r="N236" s="34"/>
      <c r="O236" s="34"/>
      <c r="P236" s="34"/>
      <c r="Q236" s="34"/>
      <c r="R236" s="34"/>
      <c r="S236" s="34"/>
      <c r="T236" s="34"/>
      <c r="U236" s="34"/>
      <c r="V236" s="34"/>
      <c r="W236" s="34"/>
    </row>
    <row r="237" spans="2:23" ht="12.75" customHeight="1" x14ac:dyDescent="0.3">
      <c r="B237" s="33"/>
      <c r="C237" s="34"/>
      <c r="D237" s="34"/>
      <c r="E237" s="34"/>
      <c r="F237" s="34"/>
      <c r="G237" s="34"/>
      <c r="H237" s="34"/>
      <c r="I237" s="34"/>
      <c r="J237" s="34"/>
      <c r="K237" s="35"/>
      <c r="L237" s="34"/>
      <c r="M237" s="32"/>
      <c r="N237" s="34"/>
      <c r="O237" s="34"/>
      <c r="P237" s="34"/>
      <c r="Q237" s="34"/>
      <c r="R237" s="34"/>
      <c r="S237" s="34"/>
      <c r="T237" s="34"/>
      <c r="U237" s="34"/>
      <c r="V237" s="34"/>
      <c r="W237" s="34"/>
    </row>
    <row r="238" spans="2:23" ht="12.75" customHeight="1" x14ac:dyDescent="0.3">
      <c r="B238" s="33"/>
      <c r="C238" s="34"/>
      <c r="D238" s="34"/>
      <c r="E238" s="34"/>
      <c r="F238" s="34"/>
      <c r="G238" s="34"/>
      <c r="H238" s="34"/>
      <c r="I238" s="34"/>
      <c r="J238" s="34"/>
      <c r="K238" s="35"/>
      <c r="L238" s="34"/>
      <c r="M238" s="32"/>
      <c r="N238" s="34"/>
      <c r="O238" s="34"/>
      <c r="P238" s="34"/>
      <c r="Q238" s="34"/>
      <c r="R238" s="34"/>
      <c r="S238" s="34"/>
      <c r="T238" s="34"/>
      <c r="U238" s="34"/>
      <c r="V238" s="34"/>
      <c r="W238" s="34"/>
    </row>
    <row r="239" spans="2:23" ht="12.75" customHeight="1" x14ac:dyDescent="0.3">
      <c r="B239" s="33"/>
      <c r="C239" s="34"/>
      <c r="D239" s="34"/>
      <c r="E239" s="34"/>
      <c r="F239" s="34"/>
      <c r="G239" s="34"/>
      <c r="H239" s="34"/>
      <c r="I239" s="34"/>
      <c r="J239" s="34"/>
      <c r="K239" s="35"/>
      <c r="L239" s="34"/>
      <c r="M239" s="32"/>
      <c r="N239" s="34"/>
      <c r="O239" s="34"/>
      <c r="P239" s="34"/>
      <c r="Q239" s="34"/>
      <c r="R239" s="34"/>
      <c r="S239" s="34"/>
      <c r="T239" s="34"/>
      <c r="U239" s="34"/>
      <c r="V239" s="34"/>
      <c r="W239" s="34"/>
    </row>
    <row r="240" spans="2:23" ht="12.75" customHeight="1" x14ac:dyDescent="0.3">
      <c r="B240" s="33"/>
      <c r="C240" s="34"/>
      <c r="D240" s="34"/>
      <c r="E240" s="34"/>
      <c r="F240" s="34"/>
      <c r="G240" s="34"/>
      <c r="H240" s="34"/>
      <c r="I240" s="34"/>
      <c r="J240" s="34"/>
      <c r="K240" s="35"/>
      <c r="L240" s="34"/>
      <c r="M240" s="32"/>
      <c r="N240" s="34"/>
      <c r="O240" s="34"/>
      <c r="P240" s="34"/>
      <c r="Q240" s="34"/>
      <c r="R240" s="34"/>
      <c r="S240" s="34"/>
      <c r="T240" s="34"/>
      <c r="U240" s="34"/>
      <c r="V240" s="34"/>
      <c r="W240" s="34"/>
    </row>
    <row r="241" spans="2:23" ht="12.75" customHeight="1" x14ac:dyDescent="0.3">
      <c r="B241" s="33"/>
      <c r="C241" s="34"/>
      <c r="D241" s="34"/>
      <c r="E241" s="34"/>
      <c r="F241" s="34"/>
      <c r="G241" s="34"/>
      <c r="H241" s="34"/>
      <c r="I241" s="34"/>
      <c r="J241" s="34"/>
      <c r="K241" s="35"/>
      <c r="L241" s="34"/>
      <c r="M241" s="32"/>
      <c r="N241" s="34"/>
      <c r="O241" s="34"/>
      <c r="P241" s="34"/>
      <c r="Q241" s="34"/>
      <c r="R241" s="34"/>
      <c r="S241" s="34"/>
      <c r="T241" s="34"/>
      <c r="U241" s="34"/>
      <c r="V241" s="34"/>
      <c r="W241" s="34"/>
    </row>
    <row r="242" spans="2:23" ht="12.75" customHeight="1" x14ac:dyDescent="0.3">
      <c r="B242" s="33"/>
      <c r="C242" s="34"/>
      <c r="D242" s="34"/>
      <c r="E242" s="34"/>
      <c r="F242" s="34"/>
      <c r="G242" s="34"/>
      <c r="H242" s="34"/>
      <c r="I242" s="34"/>
      <c r="J242" s="34"/>
      <c r="K242" s="35"/>
      <c r="L242" s="34"/>
      <c r="M242" s="32"/>
      <c r="N242" s="34"/>
      <c r="O242" s="34"/>
      <c r="P242" s="34"/>
      <c r="Q242" s="34"/>
      <c r="R242" s="34"/>
      <c r="S242" s="34"/>
      <c r="T242" s="34"/>
      <c r="U242" s="34"/>
      <c r="V242" s="34"/>
      <c r="W242" s="34"/>
    </row>
    <row r="243" spans="2:23" ht="12.75" customHeight="1" x14ac:dyDescent="0.3">
      <c r="B243" s="33"/>
      <c r="C243" s="34"/>
      <c r="D243" s="34"/>
      <c r="E243" s="34"/>
      <c r="F243" s="34"/>
      <c r="G243" s="34"/>
      <c r="H243" s="34"/>
      <c r="I243" s="34"/>
      <c r="J243" s="34"/>
      <c r="K243" s="35"/>
      <c r="L243" s="34"/>
      <c r="M243" s="32"/>
      <c r="N243" s="34"/>
      <c r="O243" s="34"/>
      <c r="P243" s="34"/>
      <c r="Q243" s="34"/>
      <c r="R243" s="34"/>
      <c r="S243" s="34"/>
      <c r="T243" s="34"/>
      <c r="U243" s="34"/>
      <c r="V243" s="34"/>
      <c r="W243" s="34"/>
    </row>
    <row r="244" spans="2:23" ht="12.75" customHeight="1" x14ac:dyDescent="0.3">
      <c r="B244" s="33"/>
      <c r="C244" s="34"/>
      <c r="D244" s="34"/>
      <c r="E244" s="34"/>
      <c r="F244" s="34"/>
      <c r="G244" s="34"/>
      <c r="H244" s="34"/>
      <c r="I244" s="34"/>
      <c r="J244" s="34"/>
      <c r="K244" s="35"/>
      <c r="L244" s="34"/>
      <c r="M244" s="32"/>
      <c r="N244" s="34"/>
      <c r="O244" s="34"/>
      <c r="P244" s="34"/>
      <c r="Q244" s="34"/>
      <c r="R244" s="34"/>
      <c r="S244" s="34"/>
      <c r="T244" s="34"/>
      <c r="U244" s="34"/>
      <c r="V244" s="34"/>
      <c r="W244" s="34"/>
    </row>
    <row r="245" spans="2:23" ht="12.75" customHeight="1" x14ac:dyDescent="0.3">
      <c r="B245" s="33"/>
      <c r="C245" s="34"/>
      <c r="D245" s="34"/>
      <c r="E245" s="34"/>
      <c r="F245" s="34"/>
      <c r="G245" s="34"/>
      <c r="H245" s="34"/>
      <c r="I245" s="34"/>
      <c r="J245" s="34"/>
      <c r="K245" s="35"/>
      <c r="L245" s="34"/>
      <c r="M245" s="32"/>
      <c r="N245" s="34"/>
      <c r="O245" s="34"/>
      <c r="P245" s="34"/>
      <c r="Q245" s="34"/>
      <c r="R245" s="34"/>
      <c r="S245" s="34"/>
      <c r="T245" s="34"/>
      <c r="U245" s="34"/>
      <c r="V245" s="34"/>
      <c r="W245" s="34"/>
    </row>
    <row r="246" spans="2:23" ht="12.75" customHeight="1" x14ac:dyDescent="0.3">
      <c r="B246" s="33"/>
      <c r="C246" s="34"/>
      <c r="D246" s="34"/>
      <c r="E246" s="34"/>
      <c r="F246" s="34"/>
      <c r="G246" s="34"/>
      <c r="H246" s="34"/>
      <c r="I246" s="34"/>
      <c r="J246" s="34"/>
      <c r="K246" s="35"/>
      <c r="L246" s="34"/>
      <c r="M246" s="32"/>
      <c r="N246" s="34"/>
      <c r="O246" s="34"/>
      <c r="P246" s="34"/>
      <c r="Q246" s="34"/>
      <c r="R246" s="34"/>
      <c r="S246" s="34"/>
      <c r="T246" s="34"/>
      <c r="U246" s="34"/>
      <c r="V246" s="34"/>
      <c r="W246" s="34"/>
    </row>
    <row r="247" spans="2:23" ht="12.75" customHeight="1" x14ac:dyDescent="0.3">
      <c r="B247" s="33"/>
      <c r="C247" s="34"/>
      <c r="D247" s="34"/>
      <c r="E247" s="34"/>
      <c r="F247" s="34"/>
      <c r="G247" s="34"/>
      <c r="H247" s="34"/>
      <c r="I247" s="34"/>
      <c r="J247" s="34"/>
      <c r="K247" s="35"/>
      <c r="L247" s="34"/>
      <c r="M247" s="32"/>
      <c r="N247" s="34"/>
      <c r="O247" s="34"/>
      <c r="P247" s="34"/>
      <c r="Q247" s="34"/>
      <c r="R247" s="34"/>
      <c r="S247" s="34"/>
      <c r="T247" s="34"/>
      <c r="U247" s="34"/>
      <c r="V247" s="34"/>
      <c r="W247" s="34"/>
    </row>
    <row r="248" spans="2:23" ht="12.75" customHeight="1" x14ac:dyDescent="0.3">
      <c r="B248" s="33"/>
      <c r="C248" s="34"/>
      <c r="D248" s="34"/>
      <c r="E248" s="34"/>
      <c r="F248" s="34"/>
      <c r="G248" s="34"/>
      <c r="H248" s="34"/>
      <c r="I248" s="34"/>
      <c r="J248" s="34"/>
      <c r="K248" s="35"/>
      <c r="L248" s="34"/>
      <c r="M248" s="32"/>
      <c r="N248" s="34"/>
      <c r="O248" s="34"/>
      <c r="P248" s="34"/>
      <c r="Q248" s="34"/>
      <c r="R248" s="34"/>
      <c r="S248" s="34"/>
      <c r="T248" s="34"/>
      <c r="U248" s="34"/>
      <c r="V248" s="34"/>
      <c r="W248" s="34"/>
    </row>
    <row r="249" spans="2:23" ht="12.75" customHeight="1" x14ac:dyDescent="0.3">
      <c r="B249" s="33"/>
      <c r="C249" s="34"/>
      <c r="D249" s="34"/>
      <c r="E249" s="34"/>
      <c r="F249" s="34"/>
      <c r="G249" s="34"/>
      <c r="H249" s="34"/>
      <c r="I249" s="34"/>
      <c r="J249" s="34"/>
      <c r="K249" s="35"/>
      <c r="L249" s="34"/>
      <c r="M249" s="32"/>
      <c r="N249" s="34"/>
      <c r="O249" s="34"/>
      <c r="P249" s="34"/>
      <c r="Q249" s="34"/>
      <c r="R249" s="34"/>
      <c r="S249" s="34"/>
      <c r="T249" s="34"/>
      <c r="U249" s="34"/>
      <c r="V249" s="34"/>
      <c r="W249" s="34"/>
    </row>
    <row r="250" spans="2:23" ht="12.75" customHeight="1" x14ac:dyDescent="0.3">
      <c r="B250" s="33"/>
      <c r="C250" s="34"/>
      <c r="D250" s="34"/>
      <c r="E250" s="34"/>
      <c r="F250" s="34"/>
      <c r="G250" s="34"/>
      <c r="H250" s="34"/>
      <c r="I250" s="34"/>
      <c r="J250" s="34"/>
      <c r="K250" s="35"/>
      <c r="L250" s="34"/>
      <c r="M250" s="32"/>
      <c r="N250" s="34"/>
      <c r="O250" s="34"/>
      <c r="P250" s="34"/>
      <c r="Q250" s="34"/>
      <c r="R250" s="34"/>
      <c r="S250" s="34"/>
      <c r="T250" s="34"/>
      <c r="U250" s="34"/>
      <c r="V250" s="34"/>
      <c r="W250" s="34"/>
    </row>
    <row r="251" spans="2:23" ht="12.75" customHeight="1" x14ac:dyDescent="0.3">
      <c r="B251" s="33"/>
      <c r="C251" s="34"/>
      <c r="D251" s="34"/>
      <c r="E251" s="34"/>
      <c r="F251" s="34"/>
      <c r="G251" s="34"/>
      <c r="H251" s="34"/>
      <c r="I251" s="34"/>
      <c r="J251" s="34"/>
      <c r="K251" s="35"/>
      <c r="L251" s="34"/>
      <c r="M251" s="32"/>
      <c r="N251" s="34"/>
      <c r="O251" s="34"/>
      <c r="P251" s="34"/>
      <c r="Q251" s="34"/>
      <c r="R251" s="34"/>
      <c r="S251" s="34"/>
      <c r="T251" s="34"/>
      <c r="U251" s="34"/>
      <c r="V251" s="34"/>
      <c r="W251" s="34"/>
    </row>
    <row r="252" spans="2:23" ht="12.75" customHeight="1" x14ac:dyDescent="0.3">
      <c r="B252" s="33"/>
      <c r="C252" s="34"/>
      <c r="D252" s="34"/>
      <c r="E252" s="34"/>
      <c r="F252" s="34"/>
      <c r="G252" s="34"/>
      <c r="H252" s="34"/>
      <c r="I252" s="34"/>
      <c r="J252" s="34"/>
      <c r="K252" s="35"/>
      <c r="L252" s="34"/>
      <c r="M252" s="32"/>
      <c r="N252" s="34"/>
      <c r="O252" s="34"/>
      <c r="P252" s="34"/>
      <c r="Q252" s="34"/>
      <c r="R252" s="34"/>
      <c r="S252" s="34"/>
      <c r="T252" s="34"/>
      <c r="U252" s="34"/>
      <c r="V252" s="34"/>
      <c r="W252" s="34"/>
    </row>
    <row r="253" spans="2:23" ht="12.75" customHeight="1" x14ac:dyDescent="0.3">
      <c r="B253" s="33"/>
      <c r="C253" s="34"/>
      <c r="D253" s="34"/>
      <c r="E253" s="34"/>
      <c r="F253" s="34"/>
      <c r="G253" s="34"/>
      <c r="H253" s="34"/>
      <c r="I253" s="34"/>
      <c r="J253" s="34"/>
      <c r="K253" s="35"/>
      <c r="L253" s="34"/>
      <c r="M253" s="32"/>
      <c r="N253" s="34"/>
      <c r="O253" s="34"/>
      <c r="P253" s="34"/>
      <c r="Q253" s="34"/>
      <c r="R253" s="34"/>
      <c r="S253" s="34"/>
      <c r="T253" s="34"/>
      <c r="U253" s="34"/>
      <c r="V253" s="34"/>
      <c r="W253" s="34"/>
    </row>
    <row r="254" spans="2:23" ht="12.75" customHeight="1" x14ac:dyDescent="0.3">
      <c r="B254" s="33"/>
      <c r="C254" s="34"/>
      <c r="D254" s="34"/>
      <c r="E254" s="34"/>
      <c r="F254" s="34"/>
      <c r="G254" s="34"/>
      <c r="H254" s="34"/>
      <c r="I254" s="34"/>
      <c r="J254" s="34"/>
      <c r="K254" s="35"/>
      <c r="L254" s="34"/>
      <c r="M254" s="32"/>
      <c r="N254" s="34"/>
      <c r="O254" s="34"/>
      <c r="P254" s="34"/>
      <c r="Q254" s="34"/>
      <c r="R254" s="34"/>
      <c r="S254" s="34"/>
      <c r="T254" s="34"/>
      <c r="U254" s="34"/>
      <c r="V254" s="34"/>
      <c r="W254" s="34"/>
    </row>
    <row r="255" spans="2:23" ht="12.75" customHeight="1" x14ac:dyDescent="0.3">
      <c r="B255" s="33"/>
      <c r="C255" s="34"/>
      <c r="D255" s="34"/>
      <c r="E255" s="34"/>
      <c r="F255" s="34"/>
      <c r="G255" s="34"/>
      <c r="H255" s="34"/>
      <c r="I255" s="34"/>
      <c r="J255" s="34"/>
      <c r="K255" s="35"/>
      <c r="L255" s="34"/>
      <c r="M255" s="32"/>
      <c r="N255" s="34"/>
      <c r="O255" s="34"/>
      <c r="P255" s="34"/>
      <c r="Q255" s="34"/>
      <c r="R255" s="34"/>
      <c r="S255" s="34"/>
      <c r="T255" s="34"/>
      <c r="U255" s="34"/>
      <c r="V255" s="34"/>
      <c r="W255" s="34"/>
    </row>
    <row r="256" spans="2:23" ht="12.75" customHeight="1" x14ac:dyDescent="0.3">
      <c r="B256" s="33"/>
      <c r="C256" s="34"/>
      <c r="D256" s="34"/>
      <c r="E256" s="34"/>
      <c r="F256" s="34"/>
      <c r="G256" s="34"/>
      <c r="H256" s="34"/>
      <c r="I256" s="34"/>
      <c r="J256" s="34"/>
      <c r="K256" s="35"/>
      <c r="L256" s="34"/>
      <c r="M256" s="32"/>
      <c r="N256" s="34"/>
      <c r="O256" s="34"/>
      <c r="P256" s="34"/>
      <c r="Q256" s="34"/>
      <c r="R256" s="34"/>
      <c r="S256" s="34"/>
      <c r="T256" s="34"/>
      <c r="U256" s="34"/>
      <c r="V256" s="34"/>
      <c r="W256" s="34"/>
    </row>
    <row r="257" spans="2:23" ht="12.75" customHeight="1" x14ac:dyDescent="0.3">
      <c r="B257" s="33"/>
      <c r="C257" s="34"/>
      <c r="D257" s="34"/>
      <c r="E257" s="34"/>
      <c r="F257" s="34"/>
      <c r="G257" s="34"/>
      <c r="H257" s="34"/>
      <c r="I257" s="34"/>
      <c r="J257" s="34"/>
      <c r="K257" s="35"/>
      <c r="L257" s="34"/>
      <c r="M257" s="32"/>
      <c r="N257" s="34"/>
      <c r="O257" s="34"/>
      <c r="P257" s="34"/>
      <c r="Q257" s="34"/>
      <c r="R257" s="34"/>
      <c r="S257" s="34"/>
      <c r="T257" s="34"/>
      <c r="U257" s="34"/>
      <c r="V257" s="34"/>
      <c r="W257" s="34"/>
    </row>
    <row r="258" spans="2:23" ht="12.75" customHeight="1" x14ac:dyDescent="0.3">
      <c r="B258" s="33"/>
      <c r="C258" s="34"/>
      <c r="D258" s="34"/>
      <c r="E258" s="34"/>
      <c r="F258" s="34"/>
      <c r="G258" s="34"/>
      <c r="H258" s="34"/>
      <c r="I258" s="34"/>
      <c r="J258" s="34"/>
      <c r="K258" s="35"/>
      <c r="L258" s="34"/>
      <c r="M258" s="32"/>
      <c r="N258" s="34"/>
      <c r="O258" s="34"/>
      <c r="P258" s="34"/>
      <c r="Q258" s="34"/>
      <c r="R258" s="34"/>
      <c r="S258" s="34"/>
      <c r="T258" s="34"/>
      <c r="U258" s="34"/>
      <c r="V258" s="34"/>
      <c r="W258" s="34"/>
    </row>
    <row r="259" spans="2:23" ht="12.75" customHeight="1" x14ac:dyDescent="0.3">
      <c r="B259" s="33"/>
      <c r="C259" s="34"/>
      <c r="D259" s="34"/>
      <c r="E259" s="34"/>
      <c r="F259" s="34"/>
      <c r="G259" s="34"/>
      <c r="H259" s="34"/>
      <c r="I259" s="34"/>
      <c r="J259" s="34"/>
      <c r="K259" s="35"/>
      <c r="L259" s="34"/>
      <c r="M259" s="32"/>
      <c r="N259" s="34"/>
      <c r="O259" s="34"/>
      <c r="P259" s="34"/>
      <c r="Q259" s="34"/>
      <c r="R259" s="34"/>
      <c r="S259" s="34"/>
      <c r="T259" s="34"/>
      <c r="U259" s="34"/>
      <c r="V259" s="34"/>
      <c r="W259" s="34"/>
    </row>
    <row r="260" spans="2:23" ht="12.75" customHeight="1" x14ac:dyDescent="0.3">
      <c r="B260" s="33"/>
      <c r="C260" s="34"/>
      <c r="D260" s="34"/>
      <c r="E260" s="34"/>
      <c r="F260" s="34"/>
      <c r="G260" s="34"/>
      <c r="H260" s="34"/>
      <c r="I260" s="34"/>
      <c r="J260" s="34"/>
      <c r="K260" s="35"/>
      <c r="L260" s="34"/>
      <c r="M260" s="32"/>
      <c r="N260" s="34"/>
      <c r="O260" s="34"/>
      <c r="P260" s="34"/>
      <c r="Q260" s="34"/>
      <c r="R260" s="34"/>
      <c r="S260" s="34"/>
      <c r="T260" s="34"/>
      <c r="U260" s="34"/>
      <c r="V260" s="34"/>
      <c r="W260" s="34"/>
    </row>
    <row r="261" spans="2:23" ht="12.75" customHeight="1" x14ac:dyDescent="0.3">
      <c r="B261" s="33"/>
      <c r="C261" s="34"/>
      <c r="D261" s="34"/>
      <c r="E261" s="34"/>
      <c r="F261" s="34"/>
      <c r="G261" s="34"/>
      <c r="H261" s="34"/>
      <c r="I261" s="34"/>
      <c r="J261" s="34"/>
      <c r="K261" s="35"/>
      <c r="L261" s="34"/>
      <c r="M261" s="32"/>
      <c r="N261" s="34"/>
      <c r="O261" s="34"/>
      <c r="P261" s="34"/>
      <c r="Q261" s="34"/>
      <c r="R261" s="34"/>
      <c r="S261" s="34"/>
      <c r="T261" s="34"/>
      <c r="U261" s="34"/>
      <c r="V261" s="34"/>
      <c r="W261" s="34"/>
    </row>
    <row r="262" spans="2:23" ht="12.75" customHeight="1" x14ac:dyDescent="0.3">
      <c r="B262" s="33"/>
      <c r="C262" s="34"/>
      <c r="D262" s="34"/>
      <c r="E262" s="34"/>
      <c r="F262" s="34"/>
      <c r="G262" s="34"/>
      <c r="H262" s="34"/>
      <c r="I262" s="34"/>
      <c r="J262" s="34"/>
      <c r="K262" s="35"/>
      <c r="L262" s="34"/>
      <c r="M262" s="32"/>
      <c r="N262" s="34"/>
      <c r="O262" s="34"/>
      <c r="P262" s="34"/>
      <c r="Q262" s="34"/>
      <c r="R262" s="34"/>
      <c r="S262" s="34"/>
      <c r="T262" s="34"/>
      <c r="U262" s="34"/>
      <c r="V262" s="34"/>
      <c r="W262" s="34"/>
    </row>
    <row r="263" spans="2:23" ht="12.75" customHeight="1" x14ac:dyDescent="0.3">
      <c r="B263" s="33"/>
      <c r="C263" s="34"/>
      <c r="D263" s="34"/>
      <c r="E263" s="34"/>
      <c r="F263" s="34"/>
      <c r="G263" s="34"/>
      <c r="H263" s="34"/>
      <c r="I263" s="34"/>
      <c r="J263" s="34"/>
      <c r="K263" s="35"/>
      <c r="L263" s="34"/>
      <c r="M263" s="32"/>
      <c r="N263" s="34"/>
      <c r="O263" s="34"/>
      <c r="P263" s="34"/>
      <c r="Q263" s="34"/>
      <c r="R263" s="34"/>
      <c r="S263" s="34"/>
      <c r="T263" s="34"/>
      <c r="U263" s="34"/>
      <c r="V263" s="34"/>
      <c r="W263" s="34"/>
    </row>
    <row r="264" spans="2:23" ht="12.75" customHeight="1" x14ac:dyDescent="0.3">
      <c r="B264" s="33"/>
      <c r="C264" s="34"/>
      <c r="D264" s="34"/>
      <c r="E264" s="34"/>
      <c r="F264" s="34"/>
      <c r="G264" s="34"/>
      <c r="H264" s="34"/>
      <c r="I264" s="34"/>
      <c r="J264" s="34"/>
      <c r="K264" s="35"/>
      <c r="L264" s="34"/>
      <c r="M264" s="32"/>
      <c r="N264" s="34"/>
      <c r="O264" s="34"/>
      <c r="P264" s="34"/>
      <c r="Q264" s="34"/>
      <c r="R264" s="34"/>
      <c r="S264" s="34"/>
      <c r="T264" s="34"/>
      <c r="U264" s="34"/>
      <c r="V264" s="34"/>
      <c r="W264" s="34"/>
    </row>
    <row r="265" spans="2:23" ht="12.75" customHeight="1" x14ac:dyDescent="0.3">
      <c r="B265" s="33"/>
      <c r="C265" s="34"/>
      <c r="D265" s="34"/>
      <c r="E265" s="34"/>
      <c r="F265" s="34"/>
      <c r="G265" s="34"/>
      <c r="H265" s="34"/>
      <c r="I265" s="34"/>
      <c r="J265" s="34"/>
      <c r="K265" s="35"/>
      <c r="L265" s="34"/>
      <c r="M265" s="32"/>
      <c r="N265" s="34"/>
      <c r="O265" s="34"/>
      <c r="P265" s="34"/>
      <c r="Q265" s="34"/>
      <c r="R265" s="34"/>
      <c r="S265" s="34"/>
      <c r="T265" s="34"/>
      <c r="U265" s="34"/>
      <c r="V265" s="34"/>
      <c r="W265" s="34"/>
    </row>
    <row r="266" spans="2:23" ht="12.75" customHeight="1" x14ac:dyDescent="0.3">
      <c r="B266" s="33"/>
      <c r="C266" s="34"/>
      <c r="D266" s="34"/>
      <c r="E266" s="34"/>
      <c r="F266" s="34"/>
      <c r="G266" s="34"/>
      <c r="H266" s="34"/>
      <c r="I266" s="34"/>
      <c r="J266" s="34"/>
      <c r="K266" s="35"/>
      <c r="L266" s="34"/>
      <c r="M266" s="32"/>
      <c r="N266" s="34"/>
      <c r="O266" s="34"/>
      <c r="P266" s="34"/>
      <c r="Q266" s="34"/>
      <c r="R266" s="34"/>
      <c r="S266" s="34"/>
      <c r="T266" s="34"/>
      <c r="U266" s="34"/>
      <c r="V266" s="34"/>
      <c r="W266" s="34"/>
    </row>
    <row r="267" spans="2:23" ht="12.75" customHeight="1" x14ac:dyDescent="0.3">
      <c r="B267" s="33"/>
      <c r="C267" s="34"/>
      <c r="D267" s="34"/>
      <c r="E267" s="34"/>
      <c r="F267" s="34"/>
      <c r="G267" s="34"/>
      <c r="H267" s="34"/>
      <c r="I267" s="34"/>
      <c r="J267" s="34"/>
      <c r="K267" s="35"/>
      <c r="L267" s="34"/>
      <c r="M267" s="32"/>
      <c r="N267" s="34"/>
      <c r="O267" s="34"/>
      <c r="P267" s="34"/>
      <c r="Q267" s="34"/>
      <c r="R267" s="34"/>
      <c r="S267" s="34"/>
      <c r="T267" s="34"/>
      <c r="U267" s="34"/>
      <c r="V267" s="34"/>
      <c r="W267" s="34"/>
    </row>
    <row r="268" spans="2:23" ht="12.75" customHeight="1" x14ac:dyDescent="0.3">
      <c r="B268" s="33"/>
      <c r="C268" s="34"/>
      <c r="D268" s="34"/>
      <c r="E268" s="34"/>
      <c r="F268" s="34"/>
      <c r="G268" s="34"/>
      <c r="H268" s="34"/>
      <c r="I268" s="34"/>
      <c r="J268" s="34"/>
      <c r="K268" s="35"/>
      <c r="L268" s="34"/>
      <c r="M268" s="32"/>
      <c r="N268" s="34"/>
      <c r="O268" s="34"/>
      <c r="P268" s="34"/>
      <c r="Q268" s="34"/>
      <c r="R268" s="34"/>
      <c r="S268" s="34"/>
      <c r="T268" s="34"/>
      <c r="U268" s="34"/>
      <c r="V268" s="34"/>
      <c r="W268" s="34"/>
    </row>
    <row r="269" spans="2:23" ht="12.75" customHeight="1" x14ac:dyDescent="0.3">
      <c r="B269" s="33"/>
      <c r="C269" s="34"/>
      <c r="D269" s="34"/>
      <c r="E269" s="34"/>
      <c r="F269" s="34"/>
      <c r="G269" s="34"/>
      <c r="H269" s="34"/>
      <c r="I269" s="34"/>
      <c r="J269" s="34"/>
      <c r="K269" s="35"/>
      <c r="L269" s="34"/>
      <c r="M269" s="32"/>
      <c r="N269" s="34"/>
      <c r="O269" s="34"/>
      <c r="P269" s="34"/>
      <c r="Q269" s="34"/>
      <c r="R269" s="34"/>
      <c r="S269" s="34"/>
      <c r="T269" s="34"/>
      <c r="U269" s="34"/>
      <c r="V269" s="34"/>
      <c r="W269" s="34"/>
    </row>
    <row r="270" spans="2:23" ht="12.75" customHeight="1" x14ac:dyDescent="0.3">
      <c r="B270" s="33"/>
      <c r="C270" s="34"/>
      <c r="D270" s="34"/>
      <c r="E270" s="34"/>
      <c r="F270" s="34"/>
      <c r="G270" s="34"/>
      <c r="H270" s="34"/>
      <c r="I270" s="34"/>
      <c r="J270" s="34"/>
      <c r="K270" s="35"/>
      <c r="L270" s="34"/>
      <c r="M270" s="32"/>
      <c r="N270" s="34"/>
      <c r="O270" s="34"/>
      <c r="P270" s="34"/>
      <c r="Q270" s="34"/>
      <c r="R270" s="34"/>
      <c r="S270" s="34"/>
      <c r="T270" s="34"/>
      <c r="U270" s="34"/>
      <c r="V270" s="34"/>
      <c r="W270" s="34"/>
    </row>
    <row r="271" spans="2:23" ht="12.75" customHeight="1" x14ac:dyDescent="0.3">
      <c r="B271" s="33"/>
      <c r="C271" s="34"/>
      <c r="D271" s="34"/>
      <c r="E271" s="34"/>
      <c r="F271" s="34"/>
      <c r="G271" s="34"/>
      <c r="H271" s="34"/>
      <c r="I271" s="34"/>
      <c r="J271" s="34"/>
      <c r="K271" s="35"/>
      <c r="L271" s="34"/>
      <c r="M271" s="32"/>
      <c r="N271" s="34"/>
      <c r="O271" s="34"/>
      <c r="P271" s="34"/>
      <c r="Q271" s="34"/>
      <c r="R271" s="34"/>
      <c r="S271" s="34"/>
      <c r="T271" s="34"/>
      <c r="U271" s="34"/>
      <c r="V271" s="34"/>
      <c r="W271" s="34"/>
    </row>
    <row r="272" spans="2:23" ht="12.75" customHeight="1"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ht="12.75" customHeight="1"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ht="12.75" customHeight="1"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ht="12.75" customHeight="1"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ht="12.75" customHeight="1"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ht="12.75" customHeight="1"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ht="12.75" customHeight="1"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ht="12.75" customHeight="1"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ht="12.75" customHeight="1"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ht="12.75" customHeight="1"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ht="12.75" customHeight="1"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ht="12.75" customHeight="1"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ht="12.75" customHeight="1"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ht="12.75" customHeight="1"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ht="12.75" customHeight="1"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ht="12.75" customHeight="1"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ht="12.75" customHeight="1"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ht="12.75" customHeight="1"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ht="12.75" customHeight="1"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ht="12.75" customHeight="1"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ht="12.75" customHeight="1"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ht="12.75" customHeight="1"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ht="12.75" customHeight="1"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ht="12.75" customHeight="1"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ht="12.75" customHeight="1"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ht="12.75" customHeight="1"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ht="12.75" customHeight="1"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ht="12.75" customHeight="1"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ht="12.75" customHeight="1"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ht="12.75" customHeight="1"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ht="12.75" customHeight="1"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ht="12.75" customHeight="1"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ht="12.75" customHeight="1"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ht="12.75" customHeight="1"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ht="12.75" customHeight="1"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ht="12.75" customHeight="1"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ht="12.75" customHeight="1"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ht="12.75" customHeight="1"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ht="12.75" customHeight="1"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ht="12.75" customHeight="1"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ht="12.75" customHeight="1"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ht="12.75" customHeight="1"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ht="12.75" customHeight="1"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ht="12.75" customHeight="1"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ht="12.75" customHeight="1"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ht="12.75" customHeight="1"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ht="12.75" customHeight="1"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ht="12.75" customHeight="1"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ht="12.75" customHeight="1"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ht="12.75" customHeight="1"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ht="12.75" customHeight="1"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ht="12.75" customHeight="1"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ht="12.75" customHeight="1"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ht="12.75" customHeight="1"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ht="12.75" customHeight="1"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ht="12.75" customHeight="1"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ht="12.75" customHeight="1"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ht="12.75" customHeight="1"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ht="12.75" customHeight="1"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ht="12.75" customHeight="1"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ht="12.75" customHeight="1"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ht="12.75" customHeight="1"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ht="12.75" customHeight="1"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ht="12.75" customHeight="1"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ht="12.75" customHeight="1"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ht="12.75" customHeight="1"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ht="12.75" customHeight="1"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ht="12.75" customHeight="1"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ht="12.75" customHeight="1"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ht="12.75" customHeight="1"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ht="12.75" customHeight="1"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ht="12.75" customHeight="1"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ht="12.75" customHeight="1"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ht="12.75" customHeight="1"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ht="12.75" customHeight="1"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ht="12.75" customHeight="1"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ht="12.75" customHeight="1"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ht="12.75" customHeight="1"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ht="12.75" customHeight="1"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ht="12.75" customHeight="1"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ht="12.75" customHeight="1"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ht="12.75" customHeight="1"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ht="12.75" customHeight="1"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ht="12.75" customHeight="1"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ht="12.75" customHeight="1"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ht="12.75" customHeight="1"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ht="12.75" customHeight="1"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ht="12.75" customHeight="1"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ht="12.75" customHeight="1"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ht="12.75" customHeight="1"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ht="12.75" customHeight="1"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ht="12.75" customHeight="1"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ht="12.75" customHeight="1"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ht="12.75" customHeight="1"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ht="12.75" customHeight="1"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ht="12.75" customHeight="1"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ht="12.75" customHeight="1"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ht="12.75" customHeight="1"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ht="12.75" customHeight="1"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ht="12.75" customHeight="1"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ht="12.75" customHeight="1"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ht="12.75" customHeight="1"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ht="12.75" customHeight="1"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ht="12.75" customHeight="1"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ht="12.75" customHeight="1"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ht="12.75" customHeight="1"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ht="12.75" customHeight="1"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ht="12.75" customHeight="1"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ht="12.75" customHeight="1"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ht="12.75" customHeight="1"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ht="12.75" customHeight="1"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ht="12.75" customHeight="1"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ht="12.75" customHeight="1"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ht="12.75" customHeight="1"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ht="12.75" customHeight="1"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ht="12.75" customHeight="1"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ht="12.75" customHeight="1"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ht="12.75" customHeight="1"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ht="12.75" customHeight="1"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ht="12.75" customHeight="1"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ht="12.75" customHeight="1"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ht="12.75" customHeight="1"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ht="12.75" customHeight="1"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ht="12.75" customHeight="1"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ht="12.75" customHeight="1"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ht="12.75" customHeight="1"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ht="12.75" customHeight="1"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ht="12.75" customHeight="1"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ht="12.75" customHeight="1"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ht="12.75" customHeight="1"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ht="12.75" customHeight="1"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ht="12.75" customHeight="1"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ht="12.75" customHeight="1"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ht="12.75" customHeight="1"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ht="12.75" customHeight="1"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ht="12.75" customHeight="1"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ht="12.75" customHeight="1"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ht="12.75" customHeight="1"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ht="12.75" customHeight="1"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ht="12.75" customHeight="1"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ht="12.75" customHeight="1"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ht="12.75" customHeight="1"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ht="12.75" customHeight="1"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ht="12.75" customHeight="1"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ht="12.75" customHeight="1"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ht="12.75" customHeight="1"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ht="12.75" customHeight="1"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ht="12.75" customHeight="1"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ht="12.75" customHeight="1"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ht="12.75" customHeight="1"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ht="12.75" customHeight="1"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ht="12.75" customHeight="1"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ht="12.75" customHeight="1"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ht="12.75" customHeight="1"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ht="12.75" customHeight="1"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ht="12.75" customHeight="1"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ht="12.75" customHeight="1"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ht="12.75" customHeight="1"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ht="12.75" customHeight="1"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ht="12.75" customHeight="1"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ht="12.75" customHeight="1"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ht="12.75" customHeight="1"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ht="12.75" customHeight="1"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ht="12.75" customHeight="1"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ht="12.75" customHeight="1"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ht="12.75" customHeight="1"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ht="12.75" customHeight="1"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ht="12.75" customHeight="1"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ht="12.75" customHeight="1"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ht="12.75" customHeight="1"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ht="12.75" customHeight="1"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ht="12.75" customHeight="1"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ht="12.75" customHeight="1"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ht="12.75" customHeight="1"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ht="12.75" customHeight="1"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ht="12.75" customHeight="1"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ht="12.75" customHeight="1"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ht="12.75" customHeight="1"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ht="12.75" customHeight="1"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ht="12.75" customHeight="1"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ht="12.75" customHeight="1"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ht="12.75" customHeight="1"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ht="12.75" customHeight="1"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ht="12.75" customHeight="1"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ht="12.75" customHeight="1"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ht="12.75" customHeight="1"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ht="12.75" customHeight="1"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ht="12.75" customHeight="1"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ht="12.75" customHeight="1"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ht="12.75" customHeight="1"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ht="12.75" customHeight="1"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ht="12.75" customHeight="1"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ht="12.75" customHeight="1"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ht="12.75" customHeight="1"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ht="12.75" customHeight="1"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ht="12.75" customHeight="1"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ht="12.75" customHeight="1"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ht="12.75" customHeight="1"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ht="12.75" customHeight="1"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ht="12.75" customHeight="1"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ht="12.75" customHeight="1"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ht="12.75" customHeight="1"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ht="12.75" customHeight="1"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ht="12.75" customHeight="1"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ht="12.75" customHeight="1"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ht="12.75" customHeight="1"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ht="12.75" customHeight="1"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ht="12.75" customHeight="1"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ht="12.75" customHeight="1"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ht="12.75" customHeight="1"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ht="12.75" customHeight="1"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ht="12.75" customHeight="1"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ht="12.75" customHeight="1"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ht="12.75" customHeight="1"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ht="12.75" customHeight="1"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ht="12.75" customHeight="1"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ht="12.75" customHeight="1"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ht="12.75" customHeight="1"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ht="12.75" customHeight="1"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ht="12.75" customHeight="1"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ht="12.75" customHeight="1"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ht="12.75" customHeight="1"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ht="12.75" customHeight="1"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ht="12.75" customHeight="1"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ht="12.75" customHeight="1"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ht="12.75" customHeight="1"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ht="12.75" customHeight="1"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ht="12.75" customHeight="1"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ht="12.75" customHeight="1"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ht="12.75" customHeight="1"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ht="12.75" customHeight="1" x14ac:dyDescent="0.3">
      <c r="B502" s="33"/>
      <c r="C502" s="34"/>
      <c r="D502" s="34"/>
      <c r="E502" s="34"/>
      <c r="F502" s="34"/>
      <c r="G502" s="34"/>
      <c r="H502" s="34"/>
      <c r="I502" s="34"/>
      <c r="J502" s="34"/>
      <c r="K502" s="35"/>
      <c r="L502" s="34"/>
      <c r="M502" s="34"/>
      <c r="N502" s="34"/>
      <c r="O502" s="34"/>
      <c r="P502" s="34"/>
      <c r="Q502" s="34"/>
      <c r="R502" s="34"/>
      <c r="S502" s="34"/>
      <c r="T502" s="34"/>
      <c r="U502" s="34"/>
      <c r="V502" s="34"/>
      <c r="W502" s="34"/>
    </row>
    <row r="503" spans="2:23" ht="12.75" customHeight="1" x14ac:dyDescent="0.3">
      <c r="B503" s="33"/>
      <c r="C503" s="34"/>
      <c r="D503" s="34"/>
      <c r="E503" s="34"/>
      <c r="F503" s="34"/>
      <c r="G503" s="34"/>
      <c r="H503" s="34"/>
      <c r="I503" s="34"/>
      <c r="J503" s="34"/>
      <c r="K503" s="35"/>
      <c r="L503" s="34"/>
      <c r="M503" s="34"/>
      <c r="N503" s="34"/>
      <c r="O503" s="34"/>
      <c r="P503" s="34"/>
      <c r="Q503" s="34"/>
      <c r="R503" s="34"/>
      <c r="S503" s="34"/>
      <c r="T503" s="34"/>
      <c r="U503" s="34"/>
      <c r="V503" s="34"/>
      <c r="W503" s="34"/>
    </row>
    <row r="504" spans="2:23" ht="12.75" customHeight="1" x14ac:dyDescent="0.3">
      <c r="B504" s="33"/>
      <c r="C504" s="34"/>
      <c r="D504" s="34"/>
      <c r="E504" s="34"/>
      <c r="F504" s="34"/>
      <c r="G504" s="34"/>
      <c r="H504" s="34"/>
      <c r="I504" s="34"/>
      <c r="J504" s="34"/>
      <c r="K504" s="35"/>
      <c r="L504" s="34"/>
      <c r="M504" s="34"/>
      <c r="N504" s="34"/>
      <c r="O504" s="34"/>
      <c r="P504" s="34"/>
      <c r="Q504" s="34"/>
      <c r="R504" s="34"/>
      <c r="S504" s="34"/>
      <c r="T504" s="34"/>
      <c r="U504" s="34"/>
      <c r="V504" s="34"/>
      <c r="W504" s="34"/>
    </row>
    <row r="505" spans="2:23" ht="12.75" customHeight="1" x14ac:dyDescent="0.3">
      <c r="B505" s="33"/>
      <c r="C505" s="34"/>
      <c r="D505" s="34"/>
      <c r="E505" s="34"/>
      <c r="F505" s="34"/>
      <c r="G505" s="34"/>
      <c r="H505" s="34"/>
      <c r="I505" s="34"/>
      <c r="J505" s="34"/>
      <c r="K505" s="35"/>
      <c r="L505" s="34"/>
      <c r="M505" s="34"/>
      <c r="N505" s="34"/>
      <c r="O505" s="34"/>
      <c r="P505" s="34"/>
      <c r="Q505" s="34"/>
      <c r="R505" s="34"/>
      <c r="S505" s="34"/>
      <c r="T505" s="34"/>
      <c r="U505" s="34"/>
      <c r="V505" s="34"/>
      <c r="W505" s="34"/>
    </row>
    <row r="506" spans="2:23" ht="12.75" customHeight="1" x14ac:dyDescent="0.3">
      <c r="B506" s="33"/>
      <c r="C506" s="34"/>
      <c r="D506" s="34"/>
      <c r="E506" s="34"/>
      <c r="F506" s="34"/>
      <c r="G506" s="34"/>
      <c r="H506" s="34"/>
      <c r="I506" s="34"/>
      <c r="J506" s="34"/>
      <c r="K506" s="35"/>
      <c r="L506" s="34"/>
      <c r="M506" s="34"/>
      <c r="N506" s="34"/>
      <c r="O506" s="34"/>
      <c r="P506" s="34"/>
      <c r="Q506" s="34"/>
      <c r="R506" s="34"/>
      <c r="S506" s="34"/>
      <c r="T506" s="34"/>
      <c r="U506" s="34"/>
      <c r="V506" s="34"/>
      <c r="W506" s="34"/>
    </row>
    <row r="507" spans="2:23" ht="12.75" customHeight="1" x14ac:dyDescent="0.3">
      <c r="B507" s="33"/>
      <c r="C507" s="34"/>
      <c r="D507" s="34"/>
      <c r="E507" s="34"/>
      <c r="F507" s="34"/>
      <c r="G507" s="34"/>
      <c r="H507" s="34"/>
      <c r="I507" s="34"/>
      <c r="J507" s="34"/>
      <c r="K507" s="35"/>
      <c r="L507" s="34"/>
      <c r="M507" s="34"/>
      <c r="N507" s="34"/>
      <c r="O507" s="34"/>
      <c r="P507" s="34"/>
      <c r="Q507" s="34"/>
      <c r="R507" s="34"/>
      <c r="S507" s="34"/>
      <c r="T507" s="34"/>
      <c r="U507" s="34"/>
      <c r="V507" s="34"/>
      <c r="W507" s="34"/>
    </row>
    <row r="508" spans="2:23" ht="12.75" customHeight="1" x14ac:dyDescent="0.3">
      <c r="B508" s="33"/>
      <c r="C508" s="34"/>
      <c r="D508" s="34"/>
      <c r="E508" s="34"/>
      <c r="F508" s="34"/>
      <c r="G508" s="34"/>
      <c r="H508" s="34"/>
      <c r="I508" s="34"/>
      <c r="J508" s="34"/>
      <c r="K508" s="35"/>
      <c r="L508" s="34"/>
      <c r="M508" s="34"/>
      <c r="N508" s="34"/>
      <c r="O508" s="34"/>
      <c r="P508" s="34"/>
      <c r="Q508" s="34"/>
      <c r="R508" s="34"/>
      <c r="S508" s="34"/>
      <c r="T508" s="34"/>
      <c r="U508" s="34"/>
      <c r="V508" s="34"/>
      <c r="W508" s="34"/>
    </row>
    <row r="509" spans="2:23" ht="12.75" customHeight="1" x14ac:dyDescent="0.3">
      <c r="B509" s="33"/>
      <c r="C509" s="34"/>
      <c r="D509" s="34"/>
      <c r="E509" s="34"/>
      <c r="F509" s="34"/>
      <c r="G509" s="34"/>
      <c r="H509" s="34"/>
      <c r="I509" s="34"/>
      <c r="J509" s="34"/>
      <c r="K509" s="35"/>
      <c r="L509" s="34"/>
      <c r="M509" s="34"/>
      <c r="N509" s="34"/>
      <c r="O509" s="34"/>
      <c r="P509" s="34"/>
      <c r="Q509" s="34"/>
      <c r="R509" s="34"/>
      <c r="S509" s="34"/>
      <c r="T509" s="34"/>
      <c r="U509" s="34"/>
      <c r="V509" s="34"/>
      <c r="W509" s="34"/>
    </row>
    <row r="510" spans="2:23" ht="12.75" customHeight="1" x14ac:dyDescent="0.3">
      <c r="B510" s="33"/>
      <c r="C510" s="34"/>
      <c r="D510" s="34"/>
      <c r="E510" s="34"/>
      <c r="F510" s="34"/>
      <c r="G510" s="34"/>
      <c r="H510" s="34"/>
      <c r="I510" s="34"/>
      <c r="J510" s="34"/>
      <c r="K510" s="35"/>
      <c r="L510" s="34"/>
      <c r="M510" s="34"/>
      <c r="N510" s="34"/>
      <c r="O510" s="34"/>
      <c r="P510" s="34"/>
      <c r="Q510" s="34"/>
      <c r="R510" s="34"/>
      <c r="S510" s="34"/>
      <c r="T510" s="34"/>
      <c r="U510" s="34"/>
      <c r="V510" s="34"/>
      <c r="W510" s="34"/>
    </row>
    <row r="511" spans="2:23" ht="12.75" customHeight="1" x14ac:dyDescent="0.3">
      <c r="B511" s="33"/>
      <c r="C511" s="34"/>
      <c r="D511" s="34"/>
      <c r="E511" s="34"/>
      <c r="F511" s="34"/>
      <c r="G511" s="34"/>
      <c r="H511" s="34"/>
      <c r="I511" s="34"/>
      <c r="J511" s="34"/>
      <c r="K511" s="35"/>
      <c r="L511" s="34"/>
      <c r="M511" s="34"/>
      <c r="N511" s="34"/>
      <c r="O511" s="34"/>
      <c r="P511" s="34"/>
      <c r="Q511" s="34"/>
      <c r="R511" s="34"/>
      <c r="S511" s="34"/>
      <c r="T511" s="34"/>
      <c r="U511" s="34"/>
      <c r="V511" s="34"/>
      <c r="W511" s="34"/>
    </row>
    <row r="512" spans="2:23" ht="12.75" customHeight="1" x14ac:dyDescent="0.3">
      <c r="B512" s="33"/>
      <c r="C512" s="34"/>
      <c r="D512" s="34"/>
      <c r="E512" s="34"/>
      <c r="F512" s="34"/>
      <c r="G512" s="34"/>
      <c r="H512" s="34"/>
      <c r="I512" s="34"/>
      <c r="J512" s="34"/>
      <c r="K512" s="35"/>
      <c r="L512" s="34"/>
      <c r="M512" s="34"/>
      <c r="N512" s="34"/>
      <c r="O512" s="34"/>
      <c r="P512" s="34"/>
      <c r="Q512" s="34"/>
      <c r="R512" s="34"/>
      <c r="S512" s="34"/>
      <c r="T512" s="34"/>
      <c r="U512" s="34"/>
      <c r="V512" s="34"/>
      <c r="W512" s="34"/>
    </row>
    <row r="513" spans="2:23" ht="12.75" customHeight="1" x14ac:dyDescent="0.3">
      <c r="B513" s="33"/>
      <c r="C513" s="34"/>
      <c r="D513" s="34"/>
      <c r="E513" s="34"/>
      <c r="F513" s="34"/>
      <c r="G513" s="34"/>
      <c r="H513" s="34"/>
      <c r="I513" s="34"/>
      <c r="J513" s="34"/>
      <c r="K513" s="35"/>
      <c r="L513" s="34"/>
      <c r="M513" s="34"/>
      <c r="N513" s="34"/>
      <c r="O513" s="34"/>
      <c r="P513" s="34"/>
      <c r="Q513" s="34"/>
      <c r="R513" s="34"/>
      <c r="S513" s="34"/>
      <c r="T513" s="34"/>
      <c r="U513" s="34"/>
      <c r="V513" s="34"/>
      <c r="W513" s="34"/>
    </row>
    <row r="514" spans="2:23" ht="12.75" customHeight="1" x14ac:dyDescent="0.3">
      <c r="B514" s="33"/>
      <c r="C514" s="34"/>
      <c r="D514" s="34"/>
      <c r="E514" s="34"/>
      <c r="F514" s="34"/>
      <c r="G514" s="34"/>
      <c r="H514" s="34"/>
      <c r="I514" s="34"/>
      <c r="J514" s="34"/>
      <c r="K514" s="35"/>
      <c r="L514" s="34"/>
      <c r="M514" s="34"/>
      <c r="N514" s="34"/>
      <c r="O514" s="34"/>
      <c r="P514" s="34"/>
      <c r="Q514" s="34"/>
      <c r="R514" s="34"/>
      <c r="S514" s="34"/>
      <c r="T514" s="34"/>
      <c r="U514" s="34"/>
      <c r="V514" s="34"/>
      <c r="W514" s="34"/>
    </row>
    <row r="515" spans="2:23" ht="12.75" customHeight="1" x14ac:dyDescent="0.3">
      <c r="B515" s="33"/>
      <c r="C515" s="34"/>
      <c r="D515" s="34"/>
      <c r="E515" s="34"/>
      <c r="F515" s="34"/>
      <c r="G515" s="34"/>
      <c r="H515" s="34"/>
      <c r="I515" s="34"/>
      <c r="J515" s="34"/>
      <c r="K515" s="35"/>
      <c r="L515" s="34"/>
      <c r="M515" s="34"/>
      <c r="N515" s="34"/>
      <c r="O515" s="34"/>
      <c r="P515" s="34"/>
      <c r="Q515" s="34"/>
      <c r="R515" s="34"/>
      <c r="S515" s="34"/>
      <c r="T515" s="34"/>
      <c r="U515" s="34"/>
      <c r="V515" s="34"/>
      <c r="W515" s="34"/>
    </row>
    <row r="516" spans="2:23" ht="12.75" customHeight="1" x14ac:dyDescent="0.3">
      <c r="B516" s="33"/>
      <c r="C516" s="34"/>
      <c r="D516" s="34"/>
      <c r="E516" s="34"/>
      <c r="F516" s="34"/>
      <c r="G516" s="34"/>
      <c r="H516" s="34"/>
      <c r="I516" s="34"/>
      <c r="J516" s="34"/>
      <c r="K516" s="35"/>
      <c r="L516" s="34"/>
      <c r="M516" s="34"/>
      <c r="N516" s="34"/>
      <c r="O516" s="34"/>
      <c r="P516" s="34"/>
      <c r="Q516" s="34"/>
      <c r="R516" s="34"/>
      <c r="S516" s="34"/>
      <c r="T516" s="34"/>
      <c r="U516" s="34"/>
      <c r="V516" s="34"/>
      <c r="W516" s="34"/>
    </row>
    <row r="517" spans="2:23" ht="12.75" customHeight="1" x14ac:dyDescent="0.3">
      <c r="B517" s="33"/>
      <c r="C517" s="34"/>
      <c r="D517" s="34"/>
      <c r="E517" s="34"/>
      <c r="F517" s="34"/>
      <c r="G517" s="34"/>
      <c r="H517" s="34"/>
      <c r="I517" s="34"/>
      <c r="J517" s="34"/>
      <c r="K517" s="35"/>
      <c r="L517" s="34"/>
      <c r="M517" s="34"/>
      <c r="N517" s="34"/>
      <c r="O517" s="34"/>
      <c r="P517" s="34"/>
      <c r="Q517" s="34"/>
      <c r="R517" s="34"/>
      <c r="S517" s="34"/>
      <c r="T517" s="34"/>
      <c r="U517" s="34"/>
      <c r="V517" s="34"/>
      <c r="W517" s="34"/>
    </row>
    <row r="518" spans="2:23" ht="12.75" customHeight="1" x14ac:dyDescent="0.3">
      <c r="B518" s="33"/>
      <c r="C518" s="34"/>
      <c r="D518" s="34"/>
      <c r="E518" s="34"/>
      <c r="F518" s="34"/>
      <c r="G518" s="34"/>
      <c r="H518" s="34"/>
      <c r="I518" s="34"/>
      <c r="J518" s="34"/>
      <c r="K518" s="35"/>
      <c r="L518" s="34"/>
      <c r="M518" s="34"/>
      <c r="N518" s="34"/>
      <c r="O518" s="34"/>
      <c r="P518" s="34"/>
      <c r="Q518" s="34"/>
      <c r="R518" s="34"/>
      <c r="S518" s="34"/>
      <c r="T518" s="34"/>
      <c r="U518" s="34"/>
      <c r="V518" s="34"/>
      <c r="W518" s="34"/>
    </row>
    <row r="519" spans="2:23" ht="12.75" customHeight="1" x14ac:dyDescent="0.3">
      <c r="B519" s="33"/>
      <c r="C519" s="34"/>
      <c r="D519" s="34"/>
      <c r="E519" s="34"/>
      <c r="F519" s="34"/>
      <c r="G519" s="34"/>
      <c r="H519" s="34"/>
      <c r="I519" s="34"/>
      <c r="J519" s="34"/>
      <c r="K519" s="35"/>
      <c r="L519" s="34"/>
      <c r="M519" s="34"/>
      <c r="N519" s="34"/>
      <c r="O519" s="34"/>
      <c r="P519" s="34"/>
      <c r="Q519" s="34"/>
      <c r="R519" s="34"/>
      <c r="S519" s="34"/>
      <c r="T519" s="34"/>
      <c r="U519" s="34"/>
      <c r="V519" s="34"/>
      <c r="W519" s="34"/>
    </row>
    <row r="520" spans="2:23" ht="12.75" customHeight="1" x14ac:dyDescent="0.3">
      <c r="B520" s="33"/>
      <c r="C520" s="34"/>
      <c r="D520" s="34"/>
      <c r="E520" s="34"/>
      <c r="F520" s="34"/>
      <c r="G520" s="34"/>
      <c r="H520" s="34"/>
      <c r="I520" s="34"/>
      <c r="J520" s="34"/>
      <c r="K520" s="35"/>
      <c r="L520" s="34"/>
      <c r="M520" s="34"/>
      <c r="N520" s="34"/>
      <c r="O520" s="34"/>
      <c r="P520" s="34"/>
      <c r="Q520" s="34"/>
      <c r="R520" s="34"/>
      <c r="S520" s="34"/>
      <c r="T520" s="34"/>
      <c r="U520" s="34"/>
      <c r="V520" s="34"/>
      <c r="W520" s="34"/>
    </row>
    <row r="521" spans="2:23" ht="12.75" customHeight="1" x14ac:dyDescent="0.3">
      <c r="B521" s="33"/>
      <c r="C521" s="34"/>
      <c r="D521" s="34"/>
      <c r="E521" s="34"/>
      <c r="F521" s="34"/>
      <c r="G521" s="34"/>
      <c r="H521" s="34"/>
      <c r="I521" s="34"/>
      <c r="J521" s="34"/>
      <c r="K521" s="35"/>
      <c r="L521" s="34"/>
      <c r="M521" s="34"/>
      <c r="N521" s="34"/>
      <c r="O521" s="34"/>
      <c r="P521" s="34"/>
      <c r="Q521" s="34"/>
      <c r="R521" s="34"/>
      <c r="S521" s="34"/>
      <c r="T521" s="34"/>
      <c r="U521" s="34"/>
      <c r="V521" s="34"/>
      <c r="W521" s="34"/>
    </row>
    <row r="522" spans="2:23" ht="12.75" customHeight="1" x14ac:dyDescent="0.3">
      <c r="B522" s="33"/>
      <c r="C522" s="34"/>
      <c r="D522" s="34"/>
      <c r="E522" s="34"/>
      <c r="F522" s="34"/>
      <c r="G522" s="34"/>
      <c r="H522" s="34"/>
      <c r="I522" s="34"/>
      <c r="J522" s="34"/>
      <c r="K522" s="35"/>
      <c r="L522" s="34"/>
      <c r="M522" s="34"/>
      <c r="N522" s="34"/>
      <c r="O522" s="34"/>
      <c r="P522" s="34"/>
      <c r="Q522" s="34"/>
      <c r="R522" s="34"/>
      <c r="S522" s="34"/>
      <c r="T522" s="34"/>
      <c r="U522" s="34"/>
      <c r="V522" s="34"/>
      <c r="W522" s="34"/>
    </row>
    <row r="523" spans="2:23" ht="12.75" customHeight="1" x14ac:dyDescent="0.3">
      <c r="B523" s="33"/>
      <c r="C523" s="34"/>
      <c r="D523" s="34"/>
      <c r="E523" s="34"/>
      <c r="F523" s="34"/>
      <c r="G523" s="34"/>
      <c r="H523" s="34"/>
      <c r="I523" s="34"/>
      <c r="J523" s="34"/>
      <c r="K523" s="35"/>
      <c r="L523" s="34"/>
      <c r="M523" s="34"/>
      <c r="N523" s="34"/>
      <c r="O523" s="34"/>
      <c r="P523" s="34"/>
      <c r="Q523" s="34"/>
      <c r="R523" s="34"/>
      <c r="S523" s="34"/>
      <c r="T523" s="34"/>
      <c r="U523" s="34"/>
      <c r="V523" s="34"/>
      <c r="W523" s="34"/>
    </row>
    <row r="524" spans="2:23" ht="12.75" customHeight="1" x14ac:dyDescent="0.3">
      <c r="B524" s="33"/>
      <c r="C524" s="34"/>
      <c r="D524" s="34"/>
      <c r="E524" s="34"/>
      <c r="F524" s="34"/>
      <c r="G524" s="34"/>
      <c r="H524" s="34"/>
      <c r="I524" s="34"/>
      <c r="J524" s="34"/>
      <c r="K524" s="35"/>
      <c r="L524" s="34"/>
      <c r="M524" s="34"/>
      <c r="N524" s="34"/>
      <c r="O524" s="34"/>
      <c r="P524" s="34"/>
      <c r="Q524" s="34"/>
      <c r="R524" s="34"/>
      <c r="S524" s="34"/>
      <c r="T524" s="34"/>
      <c r="U524" s="34"/>
      <c r="V524" s="34"/>
      <c r="W524" s="34"/>
    </row>
    <row r="525" spans="2:23" ht="12.75" customHeight="1" x14ac:dyDescent="0.3">
      <c r="B525" s="33"/>
      <c r="C525" s="34"/>
      <c r="D525" s="34"/>
      <c r="E525" s="34"/>
      <c r="F525" s="34"/>
      <c r="G525" s="34"/>
      <c r="H525" s="34"/>
      <c r="I525" s="34"/>
      <c r="J525" s="34"/>
      <c r="K525" s="35"/>
      <c r="L525" s="34"/>
      <c r="M525" s="34"/>
      <c r="N525" s="34"/>
      <c r="O525" s="34"/>
      <c r="P525" s="34"/>
      <c r="Q525" s="34"/>
      <c r="R525" s="34"/>
      <c r="S525" s="34"/>
      <c r="T525" s="34"/>
      <c r="U525" s="34"/>
      <c r="V525" s="34"/>
      <c r="W525" s="34"/>
    </row>
    <row r="526" spans="2:23" ht="12.75" customHeight="1" x14ac:dyDescent="0.3">
      <c r="B526" s="33"/>
      <c r="C526" s="34"/>
      <c r="D526" s="34"/>
      <c r="E526" s="34"/>
      <c r="F526" s="34"/>
      <c r="G526" s="34"/>
      <c r="H526" s="34"/>
      <c r="I526" s="34"/>
      <c r="J526" s="34"/>
      <c r="K526" s="35"/>
      <c r="L526" s="34"/>
      <c r="M526" s="34"/>
      <c r="N526" s="34"/>
      <c r="O526" s="34"/>
      <c r="P526" s="34"/>
      <c r="Q526" s="34"/>
      <c r="R526" s="34"/>
      <c r="S526" s="34"/>
      <c r="T526" s="34"/>
      <c r="U526" s="34"/>
      <c r="V526" s="34"/>
      <c r="W526" s="34"/>
    </row>
    <row r="527" spans="2:23" ht="12.75" customHeight="1" x14ac:dyDescent="0.3">
      <c r="B527" s="33"/>
      <c r="C527" s="34"/>
      <c r="D527" s="34"/>
      <c r="E527" s="34"/>
      <c r="F527" s="34"/>
      <c r="G527" s="34"/>
      <c r="H527" s="34"/>
      <c r="I527" s="34"/>
      <c r="J527" s="34"/>
      <c r="K527" s="35"/>
      <c r="L527" s="34"/>
      <c r="M527" s="34"/>
      <c r="N527" s="34"/>
      <c r="O527" s="34"/>
      <c r="P527" s="34"/>
      <c r="Q527" s="34"/>
      <c r="R527" s="34"/>
      <c r="S527" s="34"/>
      <c r="T527" s="34"/>
      <c r="U527" s="34"/>
      <c r="V527" s="34"/>
      <c r="W527" s="34"/>
    </row>
    <row r="528" spans="2:23" ht="12.75" customHeight="1" x14ac:dyDescent="0.3">
      <c r="B528" s="33"/>
      <c r="C528" s="34"/>
      <c r="D528" s="34"/>
      <c r="E528" s="34"/>
      <c r="F528" s="34"/>
      <c r="G528" s="34"/>
      <c r="H528" s="34"/>
      <c r="I528" s="34"/>
      <c r="J528" s="34"/>
      <c r="K528" s="35"/>
      <c r="L528" s="34"/>
      <c r="M528" s="34"/>
      <c r="N528" s="34"/>
      <c r="O528" s="34"/>
      <c r="P528" s="34"/>
      <c r="Q528" s="34"/>
      <c r="R528" s="34"/>
      <c r="S528" s="34"/>
      <c r="T528" s="34"/>
      <c r="U528" s="34"/>
      <c r="V528" s="34"/>
      <c r="W528" s="34"/>
    </row>
    <row r="529" spans="2:23" ht="12.75" customHeight="1" x14ac:dyDescent="0.3">
      <c r="B529" s="33"/>
      <c r="C529" s="34"/>
      <c r="D529" s="34"/>
      <c r="E529" s="34"/>
      <c r="F529" s="34"/>
      <c r="G529" s="34"/>
      <c r="H529" s="34"/>
      <c r="I529" s="34"/>
      <c r="J529" s="34"/>
      <c r="K529" s="35"/>
      <c r="L529" s="34"/>
      <c r="M529" s="34"/>
      <c r="N529" s="34"/>
      <c r="O529" s="34"/>
      <c r="P529" s="34"/>
      <c r="Q529" s="34"/>
      <c r="R529" s="34"/>
      <c r="S529" s="34"/>
      <c r="T529" s="34"/>
      <c r="U529" s="34"/>
      <c r="V529" s="34"/>
      <c r="W529" s="34"/>
    </row>
    <row r="530" spans="2:23" ht="12.75" customHeight="1" x14ac:dyDescent="0.3">
      <c r="B530" s="33"/>
      <c r="C530" s="34"/>
      <c r="D530" s="34"/>
      <c r="E530" s="34"/>
      <c r="F530" s="34"/>
      <c r="G530" s="34"/>
      <c r="H530" s="34"/>
      <c r="I530" s="34"/>
      <c r="J530" s="34"/>
      <c r="K530" s="35"/>
      <c r="L530" s="34"/>
      <c r="M530" s="34"/>
      <c r="N530" s="34"/>
      <c r="O530" s="34"/>
      <c r="P530" s="34"/>
      <c r="Q530" s="34"/>
      <c r="R530" s="34"/>
      <c r="S530" s="34"/>
      <c r="T530" s="34"/>
      <c r="U530" s="34"/>
      <c r="V530" s="34"/>
      <c r="W530" s="34"/>
    </row>
    <row r="531" spans="2:23" ht="12.75" customHeight="1" x14ac:dyDescent="0.3">
      <c r="B531" s="33"/>
      <c r="C531" s="34"/>
      <c r="D531" s="34"/>
      <c r="E531" s="34"/>
      <c r="F531" s="34"/>
      <c r="G531" s="34"/>
      <c r="H531" s="34"/>
      <c r="I531" s="34"/>
      <c r="J531" s="34"/>
      <c r="K531" s="35"/>
      <c r="L531" s="34"/>
      <c r="M531" s="34"/>
      <c r="N531" s="34"/>
      <c r="O531" s="34"/>
      <c r="P531" s="34"/>
      <c r="Q531" s="34"/>
      <c r="R531" s="34"/>
      <c r="S531" s="34"/>
      <c r="T531" s="34"/>
      <c r="U531" s="34"/>
      <c r="V531" s="34"/>
      <c r="W531" s="34"/>
    </row>
    <row r="532" spans="2:23" ht="12.75" customHeight="1" x14ac:dyDescent="0.3">
      <c r="B532" s="33"/>
      <c r="C532" s="34"/>
      <c r="D532" s="34"/>
      <c r="E532" s="34"/>
      <c r="F532" s="34"/>
      <c r="G532" s="34"/>
      <c r="H532" s="34"/>
      <c r="I532" s="34"/>
      <c r="J532" s="34"/>
      <c r="K532" s="35"/>
      <c r="L532" s="34"/>
      <c r="M532" s="34"/>
      <c r="N532" s="34"/>
      <c r="O532" s="34"/>
      <c r="P532" s="34"/>
      <c r="Q532" s="34"/>
      <c r="R532" s="34"/>
      <c r="S532" s="34"/>
      <c r="T532" s="34"/>
      <c r="U532" s="34"/>
      <c r="V532" s="34"/>
      <c r="W532" s="34"/>
    </row>
    <row r="533" spans="2:23" ht="12.75" customHeight="1" x14ac:dyDescent="0.3">
      <c r="B533" s="33"/>
      <c r="C533" s="34"/>
      <c r="D533" s="34"/>
      <c r="E533" s="34"/>
      <c r="F533" s="34"/>
      <c r="G533" s="34"/>
      <c r="H533" s="34"/>
      <c r="I533" s="34"/>
      <c r="J533" s="34"/>
      <c r="K533" s="35"/>
      <c r="L533" s="34"/>
      <c r="M533" s="34"/>
      <c r="N533" s="34"/>
      <c r="O533" s="34"/>
      <c r="P533" s="34"/>
      <c r="Q533" s="34"/>
      <c r="R533" s="34"/>
      <c r="S533" s="34"/>
      <c r="T533" s="34"/>
      <c r="U533" s="34"/>
      <c r="V533" s="34"/>
      <c r="W533" s="34"/>
    </row>
    <row r="534" spans="2:23" ht="12.75" customHeight="1" x14ac:dyDescent="0.3">
      <c r="B534" s="33"/>
      <c r="C534" s="34"/>
      <c r="D534" s="34"/>
      <c r="E534" s="34"/>
      <c r="F534" s="34"/>
      <c r="G534" s="34"/>
      <c r="H534" s="34"/>
      <c r="I534" s="34"/>
      <c r="J534" s="34"/>
      <c r="K534" s="35"/>
      <c r="L534" s="34"/>
      <c r="M534" s="34"/>
      <c r="N534" s="34"/>
      <c r="O534" s="34"/>
      <c r="P534" s="34"/>
      <c r="Q534" s="34"/>
      <c r="R534" s="34"/>
      <c r="S534" s="34"/>
      <c r="T534" s="34"/>
      <c r="U534" s="34"/>
      <c r="V534" s="34"/>
      <c r="W534" s="34"/>
    </row>
    <row r="535" spans="2:23" ht="12.75" customHeight="1" x14ac:dyDescent="0.3">
      <c r="B535" s="33"/>
      <c r="C535" s="34"/>
      <c r="D535" s="34"/>
      <c r="E535" s="34"/>
      <c r="F535" s="34"/>
      <c r="G535" s="34"/>
      <c r="H535" s="34"/>
      <c r="I535" s="34"/>
      <c r="J535" s="34"/>
      <c r="K535" s="35"/>
      <c r="L535" s="34"/>
      <c r="M535" s="34"/>
      <c r="N535" s="34"/>
      <c r="O535" s="34"/>
      <c r="P535" s="34"/>
      <c r="Q535" s="34"/>
      <c r="R535" s="34"/>
      <c r="S535" s="34"/>
      <c r="T535" s="34"/>
      <c r="U535" s="34"/>
      <c r="V535" s="34"/>
      <c r="W535" s="34"/>
    </row>
    <row r="536" spans="2:23" ht="12.75" customHeight="1" x14ac:dyDescent="0.3">
      <c r="B536" s="33"/>
      <c r="C536" s="34"/>
      <c r="D536" s="34"/>
      <c r="E536" s="34"/>
      <c r="F536" s="34"/>
      <c r="G536" s="34"/>
      <c r="H536" s="34"/>
      <c r="I536" s="34"/>
      <c r="J536" s="34"/>
      <c r="K536" s="35"/>
      <c r="L536" s="34"/>
      <c r="M536" s="34"/>
      <c r="N536" s="34"/>
      <c r="O536" s="34"/>
      <c r="P536" s="34"/>
      <c r="Q536" s="34"/>
      <c r="R536" s="34"/>
      <c r="S536" s="34"/>
      <c r="T536" s="34"/>
      <c r="U536" s="34"/>
      <c r="V536" s="34"/>
      <c r="W536" s="34"/>
    </row>
    <row r="537" spans="2:23" ht="12.75" customHeight="1" x14ac:dyDescent="0.3">
      <c r="B537" s="33"/>
      <c r="C537" s="34"/>
      <c r="D537" s="34"/>
      <c r="E537" s="34"/>
      <c r="F537" s="34"/>
      <c r="G537" s="34"/>
      <c r="H537" s="34"/>
      <c r="I537" s="34"/>
      <c r="J537" s="34"/>
      <c r="K537" s="35"/>
      <c r="L537" s="34"/>
      <c r="M537" s="34"/>
      <c r="N537" s="34"/>
      <c r="O537" s="34"/>
      <c r="P537" s="34"/>
      <c r="Q537" s="34"/>
      <c r="R537" s="34"/>
      <c r="S537" s="34"/>
      <c r="T537" s="34"/>
      <c r="U537" s="34"/>
      <c r="V537" s="34"/>
      <c r="W537" s="34"/>
    </row>
    <row r="538" spans="2:23" ht="12.75" customHeight="1" x14ac:dyDescent="0.3">
      <c r="B538" s="33"/>
      <c r="C538" s="34"/>
      <c r="D538" s="34"/>
      <c r="E538" s="34"/>
      <c r="F538" s="34"/>
      <c r="G538" s="34"/>
      <c r="H538" s="34"/>
      <c r="I538" s="34"/>
      <c r="J538" s="34"/>
      <c r="K538" s="35"/>
      <c r="L538" s="34"/>
      <c r="M538" s="34"/>
      <c r="N538" s="34"/>
      <c r="O538" s="34"/>
      <c r="P538" s="34"/>
      <c r="Q538" s="34"/>
      <c r="R538" s="34"/>
      <c r="S538" s="34"/>
      <c r="T538" s="34"/>
      <c r="U538" s="34"/>
      <c r="V538" s="34"/>
      <c r="W538" s="34"/>
    </row>
    <row r="539" spans="2:23" ht="12.75" customHeight="1" x14ac:dyDescent="0.3">
      <c r="B539" s="33"/>
      <c r="C539" s="34"/>
      <c r="D539" s="34"/>
      <c r="E539" s="34"/>
      <c r="F539" s="34"/>
      <c r="G539" s="34"/>
      <c r="H539" s="34"/>
      <c r="I539" s="34"/>
      <c r="J539" s="34"/>
      <c r="K539" s="35"/>
      <c r="L539" s="34"/>
      <c r="M539" s="34"/>
      <c r="N539" s="34"/>
      <c r="O539" s="34"/>
      <c r="P539" s="34"/>
      <c r="Q539" s="34"/>
      <c r="R539" s="34"/>
      <c r="S539" s="34"/>
      <c r="T539" s="34"/>
      <c r="U539" s="34"/>
      <c r="V539" s="34"/>
      <c r="W539" s="34"/>
    </row>
    <row r="540" spans="2:23" ht="12.75" customHeight="1" x14ac:dyDescent="0.3">
      <c r="B540" s="33"/>
      <c r="C540" s="34"/>
      <c r="D540" s="34"/>
      <c r="E540" s="34"/>
      <c r="F540" s="34"/>
      <c r="G540" s="34"/>
      <c r="H540" s="34"/>
      <c r="I540" s="34"/>
      <c r="J540" s="34"/>
      <c r="K540" s="35"/>
      <c r="L540" s="34"/>
      <c r="M540" s="34"/>
      <c r="N540" s="34"/>
      <c r="O540" s="34"/>
      <c r="P540" s="34"/>
      <c r="Q540" s="34"/>
      <c r="R540" s="34"/>
      <c r="S540" s="34"/>
      <c r="T540" s="34"/>
      <c r="U540" s="34"/>
      <c r="V540" s="34"/>
      <c r="W540" s="34"/>
    </row>
    <row r="541" spans="2:23" ht="12.75" customHeight="1" x14ac:dyDescent="0.3">
      <c r="B541" s="33"/>
      <c r="C541" s="34"/>
      <c r="D541" s="34"/>
      <c r="E541" s="34"/>
      <c r="F541" s="34"/>
      <c r="G541" s="34"/>
      <c r="H541" s="34"/>
      <c r="I541" s="34"/>
      <c r="J541" s="34"/>
      <c r="K541" s="35"/>
      <c r="L541" s="34"/>
      <c r="M541" s="34"/>
      <c r="N541" s="34"/>
      <c r="O541" s="34"/>
      <c r="P541" s="34"/>
      <c r="Q541" s="34"/>
      <c r="R541" s="34"/>
      <c r="S541" s="34"/>
      <c r="T541" s="34"/>
      <c r="U541" s="34"/>
      <c r="V541" s="34"/>
      <c r="W541" s="34"/>
    </row>
    <row r="542" spans="2:23" ht="12.75" customHeight="1" x14ac:dyDescent="0.3">
      <c r="B542" s="33"/>
      <c r="C542" s="34"/>
      <c r="D542" s="34"/>
      <c r="E542" s="34"/>
      <c r="F542" s="34"/>
      <c r="G542" s="34"/>
      <c r="H542" s="34"/>
      <c r="I542" s="34"/>
      <c r="J542" s="34"/>
      <c r="K542" s="35"/>
      <c r="L542" s="34"/>
      <c r="M542" s="34"/>
      <c r="N542" s="34"/>
      <c r="O542" s="34"/>
      <c r="P542" s="34"/>
      <c r="Q542" s="34"/>
      <c r="R542" s="34"/>
      <c r="S542" s="34"/>
      <c r="T542" s="34"/>
      <c r="U542" s="34"/>
      <c r="V542" s="34"/>
      <c r="W542" s="34"/>
    </row>
    <row r="543" spans="2:23" ht="12.75" customHeight="1" x14ac:dyDescent="0.3">
      <c r="B543" s="33"/>
      <c r="C543" s="34"/>
      <c r="D543" s="34"/>
      <c r="E543" s="34"/>
      <c r="F543" s="34"/>
      <c r="G543" s="34"/>
      <c r="H543" s="34"/>
      <c r="I543" s="34"/>
      <c r="J543" s="34"/>
      <c r="K543" s="35"/>
      <c r="L543" s="34"/>
      <c r="M543" s="34"/>
      <c r="N543" s="34"/>
      <c r="O543" s="34"/>
      <c r="P543" s="34"/>
      <c r="Q543" s="34"/>
      <c r="R543" s="34"/>
      <c r="S543" s="34"/>
      <c r="T543" s="34"/>
      <c r="U543" s="34"/>
      <c r="V543" s="34"/>
      <c r="W543" s="34"/>
    </row>
    <row r="544" spans="2:23" ht="12.75" customHeight="1" x14ac:dyDescent="0.3">
      <c r="B544" s="33"/>
      <c r="C544" s="34"/>
      <c r="D544" s="34"/>
      <c r="E544" s="34"/>
      <c r="F544" s="34"/>
      <c r="G544" s="34"/>
      <c r="H544" s="34"/>
      <c r="I544" s="34"/>
      <c r="J544" s="34"/>
      <c r="K544" s="35"/>
      <c r="L544" s="34"/>
      <c r="M544" s="34"/>
      <c r="N544" s="34"/>
      <c r="O544" s="34"/>
      <c r="P544" s="34"/>
      <c r="Q544" s="34"/>
      <c r="R544" s="34"/>
      <c r="S544" s="34"/>
      <c r="T544" s="34"/>
      <c r="U544" s="34"/>
      <c r="V544" s="34"/>
      <c r="W544" s="34"/>
    </row>
    <row r="545" spans="2:23" ht="12.75" customHeight="1" x14ac:dyDescent="0.3">
      <c r="B545" s="33"/>
      <c r="C545" s="34"/>
      <c r="D545" s="34"/>
      <c r="E545" s="34"/>
      <c r="F545" s="34"/>
      <c r="G545" s="34"/>
      <c r="H545" s="34"/>
      <c r="I545" s="34"/>
      <c r="J545" s="34"/>
      <c r="K545" s="35"/>
      <c r="L545" s="34"/>
      <c r="M545" s="34"/>
      <c r="N545" s="34"/>
      <c r="O545" s="34"/>
      <c r="P545" s="34"/>
      <c r="Q545" s="34"/>
      <c r="R545" s="34"/>
      <c r="S545" s="34"/>
      <c r="T545" s="34"/>
      <c r="U545" s="34"/>
      <c r="V545" s="34"/>
      <c r="W545" s="34"/>
    </row>
    <row r="546" spans="2:23" ht="12.75" customHeight="1" x14ac:dyDescent="0.3">
      <c r="B546" s="33"/>
      <c r="C546" s="34"/>
      <c r="D546" s="34"/>
      <c r="E546" s="34"/>
      <c r="F546" s="34"/>
      <c r="G546" s="34"/>
      <c r="H546" s="34"/>
      <c r="I546" s="34"/>
      <c r="J546" s="34"/>
      <c r="K546" s="35"/>
      <c r="L546" s="34"/>
      <c r="M546" s="34"/>
      <c r="N546" s="34"/>
      <c r="O546" s="34"/>
      <c r="P546" s="34"/>
      <c r="Q546" s="34"/>
      <c r="R546" s="34"/>
      <c r="S546" s="34"/>
      <c r="T546" s="34"/>
      <c r="U546" s="34"/>
      <c r="V546" s="34"/>
      <c r="W546" s="34"/>
    </row>
    <row r="547" spans="2:23" ht="12.75" customHeight="1" x14ac:dyDescent="0.3">
      <c r="B547" s="33"/>
      <c r="C547" s="34"/>
      <c r="D547" s="34"/>
      <c r="E547" s="34"/>
      <c r="F547" s="34"/>
      <c r="G547" s="34"/>
      <c r="H547" s="34"/>
      <c r="I547" s="34"/>
      <c r="J547" s="34"/>
      <c r="K547" s="35"/>
      <c r="L547" s="34"/>
      <c r="M547" s="34"/>
      <c r="N547" s="34"/>
      <c r="O547" s="34"/>
      <c r="P547" s="34"/>
      <c r="Q547" s="34"/>
      <c r="R547" s="34"/>
      <c r="S547" s="34"/>
      <c r="T547" s="34"/>
      <c r="U547" s="34"/>
      <c r="V547" s="34"/>
      <c r="W547" s="34"/>
    </row>
    <row r="548" spans="2:23" ht="12.75" customHeight="1" x14ac:dyDescent="0.3">
      <c r="B548" s="33"/>
      <c r="C548" s="34"/>
      <c r="D548" s="34"/>
      <c r="E548" s="34"/>
      <c r="F548" s="34"/>
      <c r="G548" s="34"/>
      <c r="H548" s="34"/>
      <c r="I548" s="34"/>
      <c r="J548" s="34"/>
      <c r="K548" s="35"/>
      <c r="L548" s="34"/>
      <c r="M548" s="34"/>
      <c r="N548" s="34"/>
      <c r="O548" s="34"/>
      <c r="P548" s="34"/>
      <c r="Q548" s="34"/>
      <c r="R548" s="34"/>
      <c r="S548" s="34"/>
      <c r="T548" s="34"/>
      <c r="U548" s="34"/>
      <c r="V548" s="34"/>
      <c r="W548" s="34"/>
    </row>
    <row r="549" spans="2:23" ht="12.75" customHeight="1" x14ac:dyDescent="0.3">
      <c r="B549" s="33"/>
      <c r="C549" s="34"/>
      <c r="D549" s="34"/>
      <c r="E549" s="34"/>
      <c r="F549" s="34"/>
      <c r="G549" s="34"/>
      <c r="H549" s="34"/>
      <c r="I549" s="34"/>
      <c r="J549" s="34"/>
      <c r="K549" s="35"/>
      <c r="L549" s="34"/>
      <c r="M549" s="34"/>
      <c r="N549" s="34"/>
      <c r="O549" s="34"/>
      <c r="P549" s="34"/>
      <c r="Q549" s="34"/>
      <c r="R549" s="34"/>
      <c r="S549" s="34"/>
      <c r="T549" s="34"/>
      <c r="U549" s="34"/>
      <c r="V549" s="34"/>
      <c r="W549" s="34"/>
    </row>
    <row r="550" spans="2:23" ht="12.75" customHeight="1" x14ac:dyDescent="0.3">
      <c r="B550" s="33"/>
      <c r="C550" s="34"/>
      <c r="D550" s="34"/>
      <c r="E550" s="34"/>
      <c r="F550" s="34"/>
      <c r="G550" s="34"/>
      <c r="H550" s="34"/>
      <c r="I550" s="34"/>
      <c r="J550" s="34"/>
      <c r="K550" s="35"/>
      <c r="L550" s="34"/>
      <c r="M550" s="34"/>
      <c r="N550" s="34"/>
      <c r="O550" s="34"/>
      <c r="P550" s="34"/>
      <c r="Q550" s="34"/>
      <c r="R550" s="34"/>
      <c r="S550" s="34"/>
      <c r="T550" s="34"/>
      <c r="U550" s="34"/>
      <c r="V550" s="34"/>
      <c r="W550" s="34"/>
    </row>
    <row r="551" spans="2:23" ht="12.75" customHeight="1" x14ac:dyDescent="0.3">
      <c r="B551" s="33"/>
      <c r="C551" s="34"/>
      <c r="D551" s="34"/>
      <c r="E551" s="34"/>
      <c r="F551" s="34"/>
      <c r="G551" s="34"/>
      <c r="H551" s="34"/>
      <c r="I551" s="34"/>
      <c r="J551" s="34"/>
      <c r="K551" s="35"/>
      <c r="L551" s="34"/>
      <c r="M551" s="34"/>
      <c r="N551" s="34"/>
      <c r="O551" s="34"/>
      <c r="P551" s="34"/>
      <c r="Q551" s="34"/>
      <c r="R551" s="34"/>
      <c r="S551" s="34"/>
      <c r="T551" s="34"/>
      <c r="U551" s="34"/>
      <c r="V551" s="34"/>
      <c r="W551" s="34"/>
    </row>
    <row r="552" spans="2:23" ht="12.75" customHeight="1" x14ac:dyDescent="0.3">
      <c r="B552" s="33"/>
      <c r="C552" s="34"/>
      <c r="D552" s="34"/>
      <c r="E552" s="34"/>
      <c r="F552" s="34"/>
      <c r="G552" s="34"/>
      <c r="H552" s="34"/>
      <c r="I552" s="34"/>
      <c r="J552" s="34"/>
      <c r="K552" s="35"/>
      <c r="L552" s="34"/>
      <c r="M552" s="34"/>
      <c r="N552" s="34"/>
      <c r="O552" s="34"/>
      <c r="P552" s="34"/>
      <c r="Q552" s="34"/>
      <c r="R552" s="34"/>
      <c r="S552" s="34"/>
      <c r="T552" s="34"/>
      <c r="U552" s="34"/>
      <c r="V552" s="34"/>
      <c r="W552" s="34"/>
    </row>
    <row r="553" spans="2:23" ht="12.75" customHeight="1" x14ac:dyDescent="0.3">
      <c r="B553" s="33"/>
      <c r="C553" s="34"/>
      <c r="D553" s="34"/>
      <c r="E553" s="34"/>
      <c r="F553" s="34"/>
      <c r="G553" s="34"/>
      <c r="H553" s="34"/>
      <c r="I553" s="34"/>
      <c r="J553" s="34"/>
      <c r="K553" s="35"/>
      <c r="L553" s="34"/>
      <c r="M553" s="34"/>
      <c r="N553" s="34"/>
      <c r="O553" s="34"/>
      <c r="P553" s="34"/>
      <c r="Q553" s="34"/>
      <c r="R553" s="34"/>
      <c r="S553" s="34"/>
      <c r="T553" s="34"/>
      <c r="U553" s="34"/>
      <c r="V553" s="34"/>
      <c r="W553" s="34"/>
    </row>
    <row r="554" spans="2:23" ht="12.75" customHeight="1" x14ac:dyDescent="0.3">
      <c r="B554" s="33"/>
      <c r="C554" s="34"/>
      <c r="D554" s="34"/>
      <c r="E554" s="34"/>
      <c r="F554" s="34"/>
      <c r="G554" s="34"/>
      <c r="H554" s="34"/>
      <c r="I554" s="34"/>
      <c r="J554" s="34"/>
      <c r="K554" s="35"/>
      <c r="L554" s="34"/>
      <c r="M554" s="34"/>
      <c r="N554" s="34"/>
      <c r="O554" s="34"/>
      <c r="P554" s="34"/>
      <c r="Q554" s="34"/>
      <c r="R554" s="34"/>
      <c r="S554" s="34"/>
      <c r="T554" s="34"/>
      <c r="U554" s="34"/>
      <c r="V554" s="34"/>
      <c r="W554" s="34"/>
    </row>
    <row r="555" spans="2:23" ht="12.75" customHeight="1" x14ac:dyDescent="0.3">
      <c r="B555" s="33"/>
      <c r="C555" s="34"/>
      <c r="D555" s="34"/>
      <c r="E555" s="34"/>
      <c r="F555" s="34"/>
      <c r="G555" s="34"/>
      <c r="H555" s="34"/>
      <c r="I555" s="34"/>
      <c r="J555" s="34"/>
      <c r="K555" s="35"/>
      <c r="L555" s="34"/>
      <c r="M555" s="34"/>
      <c r="N555" s="34"/>
      <c r="O555" s="34"/>
      <c r="P555" s="34"/>
      <c r="Q555" s="34"/>
      <c r="R555" s="34"/>
      <c r="S555" s="34"/>
      <c r="T555" s="34"/>
      <c r="U555" s="34"/>
      <c r="V555" s="34"/>
      <c r="W555" s="34"/>
    </row>
    <row r="556" spans="2:23" ht="12.75" customHeight="1" x14ac:dyDescent="0.3">
      <c r="B556" s="33"/>
      <c r="C556" s="34"/>
      <c r="D556" s="34"/>
      <c r="E556" s="34"/>
      <c r="F556" s="34"/>
      <c r="G556" s="34"/>
      <c r="H556" s="34"/>
      <c r="I556" s="34"/>
      <c r="J556" s="34"/>
      <c r="K556" s="35"/>
      <c r="L556" s="34"/>
      <c r="M556" s="34"/>
      <c r="N556" s="34"/>
      <c r="O556" s="34"/>
      <c r="P556" s="34"/>
      <c r="Q556" s="34"/>
      <c r="R556" s="34"/>
      <c r="S556" s="34"/>
      <c r="T556" s="34"/>
      <c r="U556" s="34"/>
      <c r="V556" s="34"/>
      <c r="W556" s="34"/>
    </row>
    <row r="557" spans="2:23" ht="12.75" customHeight="1" x14ac:dyDescent="0.3">
      <c r="B557" s="33"/>
      <c r="C557" s="34"/>
      <c r="D557" s="34"/>
      <c r="E557" s="34"/>
      <c r="F557" s="34"/>
      <c r="G557" s="34"/>
      <c r="H557" s="34"/>
      <c r="I557" s="34"/>
      <c r="J557" s="34"/>
      <c r="K557" s="35"/>
      <c r="L557" s="34"/>
      <c r="M557" s="34"/>
      <c r="N557" s="34"/>
      <c r="O557" s="34"/>
      <c r="P557" s="34"/>
      <c r="Q557" s="34"/>
      <c r="R557" s="34"/>
      <c r="S557" s="34"/>
      <c r="T557" s="34"/>
      <c r="U557" s="34"/>
      <c r="V557" s="34"/>
      <c r="W557" s="34"/>
    </row>
    <row r="558" spans="2:23" ht="12.75" customHeight="1" x14ac:dyDescent="0.3">
      <c r="B558" s="33"/>
      <c r="C558" s="34"/>
      <c r="D558" s="34"/>
      <c r="E558" s="34"/>
      <c r="F558" s="34"/>
      <c r="G558" s="34"/>
      <c r="H558" s="34"/>
      <c r="I558" s="34"/>
      <c r="J558" s="34"/>
      <c r="K558" s="35"/>
      <c r="L558" s="34"/>
      <c r="M558" s="34"/>
      <c r="N558" s="34"/>
      <c r="O558" s="34"/>
      <c r="P558" s="34"/>
      <c r="Q558" s="34"/>
      <c r="R558" s="34"/>
      <c r="S558" s="34"/>
      <c r="T558" s="34"/>
      <c r="U558" s="34"/>
      <c r="V558" s="34"/>
      <c r="W558" s="34"/>
    </row>
    <row r="559" spans="2:23" ht="12.75" customHeight="1" x14ac:dyDescent="0.3">
      <c r="B559" s="33"/>
      <c r="C559" s="34"/>
      <c r="D559" s="34"/>
      <c r="E559" s="34"/>
      <c r="F559" s="34"/>
      <c r="G559" s="34"/>
      <c r="H559" s="34"/>
      <c r="I559" s="34"/>
      <c r="J559" s="34"/>
      <c r="K559" s="35"/>
      <c r="L559" s="34"/>
      <c r="M559" s="34"/>
      <c r="N559" s="34"/>
      <c r="O559" s="34"/>
      <c r="P559" s="34"/>
      <c r="Q559" s="34"/>
      <c r="R559" s="34"/>
      <c r="S559" s="34"/>
      <c r="T559" s="34"/>
      <c r="U559" s="34"/>
      <c r="V559" s="34"/>
      <c r="W559" s="34"/>
    </row>
    <row r="560" spans="2:23" ht="12.75" customHeight="1" x14ac:dyDescent="0.3">
      <c r="B560" s="33"/>
      <c r="C560" s="34"/>
      <c r="D560" s="34"/>
      <c r="E560" s="34"/>
      <c r="F560" s="34"/>
      <c r="G560" s="34"/>
      <c r="H560" s="34"/>
      <c r="I560" s="34"/>
      <c r="J560" s="34"/>
      <c r="K560" s="35"/>
      <c r="L560" s="34"/>
      <c r="M560" s="34"/>
      <c r="N560" s="34"/>
      <c r="O560" s="34"/>
      <c r="P560" s="34"/>
      <c r="Q560" s="34"/>
      <c r="R560" s="34"/>
      <c r="S560" s="34"/>
      <c r="T560" s="34"/>
      <c r="U560" s="34"/>
      <c r="V560" s="34"/>
      <c r="W560" s="34"/>
    </row>
    <row r="561" spans="2:23" ht="12.75" customHeight="1" x14ac:dyDescent="0.3">
      <c r="B561" s="33"/>
      <c r="C561" s="34"/>
      <c r="D561" s="34"/>
      <c r="E561" s="34"/>
      <c r="F561" s="34"/>
      <c r="G561" s="34"/>
      <c r="H561" s="34"/>
      <c r="I561" s="34"/>
      <c r="J561" s="34"/>
      <c r="K561" s="35"/>
      <c r="L561" s="34"/>
      <c r="M561" s="34"/>
      <c r="N561" s="34"/>
      <c r="O561" s="34"/>
      <c r="P561" s="34"/>
      <c r="Q561" s="34"/>
      <c r="R561" s="34"/>
      <c r="S561" s="34"/>
      <c r="T561" s="34"/>
      <c r="U561" s="34"/>
      <c r="V561" s="34"/>
      <c r="W561" s="34"/>
    </row>
    <row r="562" spans="2:23" ht="12.75" customHeight="1" x14ac:dyDescent="0.3">
      <c r="B562" s="33"/>
      <c r="C562" s="34"/>
      <c r="D562" s="34"/>
      <c r="E562" s="34"/>
      <c r="F562" s="34"/>
      <c r="G562" s="34"/>
      <c r="H562" s="34"/>
      <c r="I562" s="34"/>
      <c r="J562" s="34"/>
      <c r="K562" s="35"/>
      <c r="L562" s="34"/>
      <c r="M562" s="34"/>
      <c r="N562" s="34"/>
      <c r="O562" s="34"/>
      <c r="P562" s="34"/>
      <c r="Q562" s="34"/>
      <c r="R562" s="34"/>
      <c r="S562" s="34"/>
      <c r="T562" s="34"/>
      <c r="U562" s="34"/>
      <c r="V562" s="34"/>
      <c r="W562" s="34"/>
    </row>
    <row r="563" spans="2:23" ht="12.75" customHeight="1" x14ac:dyDescent="0.3">
      <c r="B563" s="33"/>
      <c r="C563" s="34"/>
      <c r="D563" s="34"/>
      <c r="E563" s="34"/>
      <c r="F563" s="34"/>
      <c r="G563" s="34"/>
      <c r="H563" s="34"/>
      <c r="I563" s="34"/>
      <c r="J563" s="34"/>
      <c r="K563" s="35"/>
      <c r="L563" s="34"/>
      <c r="M563" s="34"/>
      <c r="N563" s="34"/>
      <c r="O563" s="34"/>
      <c r="P563" s="34"/>
      <c r="Q563" s="34"/>
      <c r="R563" s="34"/>
      <c r="S563" s="34"/>
      <c r="T563" s="34"/>
      <c r="U563" s="34"/>
      <c r="V563" s="34"/>
      <c r="W563" s="34"/>
    </row>
    <row r="564" spans="2:23" ht="12.75" customHeight="1" x14ac:dyDescent="0.3">
      <c r="B564" s="33"/>
      <c r="C564" s="34"/>
      <c r="D564" s="34"/>
      <c r="E564" s="34"/>
      <c r="F564" s="34"/>
      <c r="G564" s="34"/>
      <c r="H564" s="34"/>
      <c r="I564" s="34"/>
      <c r="J564" s="34"/>
      <c r="K564" s="35"/>
      <c r="L564" s="34"/>
      <c r="M564" s="34"/>
      <c r="N564" s="34"/>
      <c r="O564" s="34"/>
      <c r="P564" s="34"/>
      <c r="Q564" s="34"/>
      <c r="R564" s="34"/>
      <c r="S564" s="34"/>
      <c r="T564" s="34"/>
      <c r="U564" s="34"/>
      <c r="V564" s="34"/>
      <c r="W564" s="34"/>
    </row>
    <row r="565" spans="2:23" ht="12.75" customHeight="1" x14ac:dyDescent="0.3">
      <c r="B565" s="33"/>
      <c r="C565" s="34"/>
      <c r="D565" s="34"/>
      <c r="E565" s="34"/>
      <c r="F565" s="34"/>
      <c r="G565" s="34"/>
      <c r="H565" s="34"/>
      <c r="I565" s="34"/>
      <c r="J565" s="34"/>
      <c r="K565" s="35"/>
      <c r="L565" s="34"/>
      <c r="M565" s="34"/>
      <c r="N565" s="34"/>
      <c r="O565" s="34"/>
      <c r="P565" s="34"/>
      <c r="Q565" s="34"/>
      <c r="R565" s="34"/>
      <c r="S565" s="34"/>
      <c r="T565" s="34"/>
      <c r="U565" s="34"/>
      <c r="V565" s="34"/>
      <c r="W565" s="34"/>
    </row>
    <row r="566" spans="2:23" ht="12.75" customHeight="1" x14ac:dyDescent="0.3">
      <c r="B566" s="33"/>
      <c r="C566" s="34"/>
      <c r="D566" s="34"/>
      <c r="E566" s="34"/>
      <c r="F566" s="34"/>
      <c r="G566" s="34"/>
      <c r="H566" s="34"/>
      <c r="I566" s="34"/>
      <c r="J566" s="34"/>
      <c r="K566" s="35"/>
      <c r="L566" s="34"/>
      <c r="M566" s="34"/>
      <c r="N566" s="34"/>
      <c r="O566" s="34"/>
      <c r="P566" s="34"/>
      <c r="Q566" s="34"/>
      <c r="R566" s="34"/>
      <c r="S566" s="34"/>
      <c r="T566" s="34"/>
      <c r="U566" s="34"/>
      <c r="V566" s="34"/>
      <c r="W566" s="34"/>
    </row>
    <row r="567" spans="2:23" ht="12.75" customHeight="1" x14ac:dyDescent="0.3">
      <c r="B567" s="33"/>
      <c r="C567" s="34"/>
      <c r="D567" s="34"/>
      <c r="E567" s="34"/>
      <c r="F567" s="34"/>
      <c r="G567" s="34"/>
      <c r="H567" s="34"/>
      <c r="I567" s="34"/>
      <c r="J567" s="34"/>
      <c r="K567" s="35"/>
      <c r="L567" s="34"/>
      <c r="M567" s="34"/>
      <c r="N567" s="34"/>
      <c r="O567" s="34"/>
      <c r="P567" s="34"/>
      <c r="Q567" s="34"/>
      <c r="R567" s="34"/>
      <c r="S567" s="34"/>
      <c r="T567" s="34"/>
      <c r="U567" s="34"/>
      <c r="V567" s="34"/>
      <c r="W567" s="34"/>
    </row>
    <row r="568" spans="2:23" ht="12.75" customHeight="1" x14ac:dyDescent="0.3">
      <c r="B568" s="33"/>
      <c r="C568" s="34"/>
      <c r="D568" s="34"/>
      <c r="E568" s="34"/>
      <c r="F568" s="34"/>
      <c r="G568" s="34"/>
      <c r="H568" s="34"/>
      <c r="I568" s="34"/>
      <c r="J568" s="34"/>
      <c r="K568" s="35"/>
      <c r="L568" s="34"/>
      <c r="M568" s="34"/>
      <c r="N568" s="34"/>
      <c r="O568" s="34"/>
      <c r="P568" s="34"/>
      <c r="Q568" s="34"/>
      <c r="R568" s="34"/>
      <c r="S568" s="34"/>
      <c r="T568" s="34"/>
      <c r="U568" s="34"/>
      <c r="V568" s="34"/>
      <c r="W568" s="34"/>
    </row>
    <row r="569" spans="2:23" ht="12.75" customHeight="1" x14ac:dyDescent="0.3">
      <c r="B569" s="33"/>
      <c r="C569" s="34"/>
      <c r="D569" s="34"/>
      <c r="E569" s="34"/>
      <c r="F569" s="34"/>
      <c r="G569" s="34"/>
      <c r="H569" s="34"/>
      <c r="I569" s="34"/>
      <c r="J569" s="34"/>
      <c r="K569" s="35"/>
      <c r="L569" s="34"/>
      <c r="M569" s="34"/>
      <c r="N569" s="34"/>
      <c r="O569" s="34"/>
      <c r="P569" s="34"/>
      <c r="Q569" s="34"/>
      <c r="R569" s="34"/>
      <c r="S569" s="34"/>
      <c r="T569" s="34"/>
      <c r="U569" s="34"/>
      <c r="V569" s="34"/>
      <c r="W569" s="34"/>
    </row>
    <row r="570" spans="2:23" ht="12.75" customHeight="1" x14ac:dyDescent="0.3">
      <c r="B570" s="33"/>
      <c r="C570" s="34"/>
      <c r="D570" s="34"/>
      <c r="E570" s="34"/>
      <c r="F570" s="34"/>
      <c r="G570" s="34"/>
      <c r="H570" s="34"/>
      <c r="I570" s="34"/>
      <c r="J570" s="34"/>
      <c r="K570" s="35"/>
      <c r="L570" s="34"/>
      <c r="M570" s="34"/>
      <c r="N570" s="34"/>
      <c r="O570" s="34"/>
      <c r="P570" s="34"/>
      <c r="Q570" s="34"/>
      <c r="R570" s="34"/>
      <c r="S570" s="34"/>
      <c r="T570" s="34"/>
      <c r="U570" s="34"/>
      <c r="V570" s="34"/>
      <c r="W570" s="34"/>
    </row>
    <row r="571" spans="2:23" ht="12.75" customHeight="1" x14ac:dyDescent="0.3">
      <c r="B571" s="33"/>
      <c r="C571" s="34"/>
      <c r="D571" s="34"/>
      <c r="E571" s="34"/>
      <c r="F571" s="34"/>
      <c r="G571" s="34"/>
      <c r="H571" s="34"/>
      <c r="I571" s="34"/>
      <c r="J571" s="34"/>
      <c r="K571" s="35"/>
      <c r="L571" s="34"/>
      <c r="M571" s="34"/>
      <c r="N571" s="34"/>
      <c r="O571" s="34"/>
      <c r="P571" s="34"/>
      <c r="Q571" s="34"/>
      <c r="R571" s="34"/>
      <c r="S571" s="34"/>
      <c r="T571" s="34"/>
      <c r="U571" s="34"/>
      <c r="V571" s="34"/>
      <c r="W571" s="34"/>
    </row>
    <row r="572" spans="2:23" ht="12.75" customHeight="1" x14ac:dyDescent="0.3">
      <c r="B572" s="33"/>
      <c r="C572" s="34"/>
      <c r="D572" s="34"/>
      <c r="E572" s="34"/>
      <c r="F572" s="34"/>
      <c r="G572" s="34"/>
      <c r="H572" s="34"/>
      <c r="I572" s="34"/>
      <c r="J572" s="34"/>
      <c r="K572" s="35"/>
      <c r="L572" s="34"/>
      <c r="M572" s="34"/>
      <c r="N572" s="34"/>
      <c r="O572" s="34"/>
      <c r="P572" s="34"/>
      <c r="Q572" s="34"/>
      <c r="R572" s="34"/>
      <c r="S572" s="34"/>
      <c r="T572" s="34"/>
      <c r="U572" s="34"/>
      <c r="V572" s="34"/>
      <c r="W572" s="34"/>
    </row>
    <row r="573" spans="2:23" ht="12.75" customHeight="1" x14ac:dyDescent="0.3">
      <c r="B573" s="33"/>
      <c r="C573" s="34"/>
      <c r="D573" s="34"/>
      <c r="E573" s="34"/>
      <c r="F573" s="34"/>
      <c r="G573" s="34"/>
      <c r="H573" s="34"/>
      <c r="I573" s="34"/>
      <c r="J573" s="34"/>
      <c r="K573" s="35"/>
      <c r="L573" s="34"/>
      <c r="M573" s="34"/>
      <c r="N573" s="34"/>
      <c r="O573" s="34"/>
      <c r="P573" s="34"/>
      <c r="Q573" s="34"/>
      <c r="R573" s="34"/>
      <c r="S573" s="34"/>
      <c r="T573" s="34"/>
      <c r="U573" s="34"/>
      <c r="V573" s="34"/>
      <c r="W573" s="34"/>
    </row>
    <row r="574" spans="2:23" ht="12.75" customHeight="1" x14ac:dyDescent="0.3">
      <c r="B574" s="33"/>
      <c r="C574" s="34"/>
      <c r="D574" s="34"/>
      <c r="E574" s="34"/>
      <c r="F574" s="34"/>
      <c r="G574" s="34"/>
      <c r="H574" s="34"/>
      <c r="I574" s="34"/>
      <c r="J574" s="34"/>
      <c r="K574" s="35"/>
      <c r="L574" s="34"/>
      <c r="M574" s="34"/>
      <c r="N574" s="34"/>
      <c r="O574" s="34"/>
      <c r="P574" s="34"/>
      <c r="Q574" s="34"/>
      <c r="R574" s="34"/>
      <c r="S574" s="34"/>
      <c r="T574" s="34"/>
      <c r="U574" s="34"/>
      <c r="V574" s="34"/>
      <c r="W574" s="34"/>
    </row>
    <row r="575" spans="2:23" ht="12.75" customHeight="1" x14ac:dyDescent="0.3">
      <c r="B575" s="33"/>
      <c r="C575" s="34"/>
      <c r="D575" s="34"/>
      <c r="E575" s="34"/>
      <c r="F575" s="34"/>
      <c r="G575" s="34"/>
      <c r="H575" s="34"/>
      <c r="I575" s="34"/>
      <c r="J575" s="34"/>
      <c r="K575" s="35"/>
      <c r="L575" s="34"/>
      <c r="M575" s="34"/>
      <c r="N575" s="34"/>
      <c r="O575" s="34"/>
      <c r="P575" s="34"/>
      <c r="Q575" s="34"/>
      <c r="R575" s="34"/>
      <c r="S575" s="34"/>
      <c r="T575" s="34"/>
      <c r="U575" s="34"/>
      <c r="V575" s="34"/>
      <c r="W575" s="34"/>
    </row>
    <row r="576" spans="2:23" ht="12.75" customHeight="1" x14ac:dyDescent="0.3">
      <c r="B576" s="33"/>
      <c r="C576" s="34"/>
      <c r="D576" s="34"/>
      <c r="E576" s="34"/>
      <c r="F576" s="34"/>
      <c r="G576" s="34"/>
      <c r="H576" s="34"/>
      <c r="I576" s="34"/>
      <c r="J576" s="34"/>
      <c r="K576" s="35"/>
      <c r="L576" s="34"/>
      <c r="M576" s="34"/>
      <c r="N576" s="34"/>
      <c r="O576" s="34"/>
      <c r="P576" s="34"/>
      <c r="Q576" s="34"/>
      <c r="R576" s="34"/>
      <c r="S576" s="34"/>
      <c r="T576" s="34"/>
      <c r="U576" s="34"/>
      <c r="V576" s="34"/>
      <c r="W576" s="34"/>
    </row>
    <row r="577" spans="2:23" ht="12.75" customHeight="1" x14ac:dyDescent="0.3">
      <c r="B577" s="33"/>
      <c r="C577" s="34"/>
      <c r="D577" s="34"/>
      <c r="E577" s="34"/>
      <c r="F577" s="34"/>
      <c r="G577" s="34"/>
      <c r="H577" s="34"/>
      <c r="I577" s="34"/>
      <c r="J577" s="34"/>
      <c r="K577" s="35"/>
      <c r="L577" s="34"/>
      <c r="M577" s="34"/>
      <c r="N577" s="34"/>
      <c r="O577" s="34"/>
      <c r="P577" s="34"/>
      <c r="Q577" s="34"/>
      <c r="R577" s="34"/>
      <c r="S577" s="34"/>
      <c r="T577" s="34"/>
      <c r="U577" s="34"/>
      <c r="V577" s="34"/>
      <c r="W577" s="34"/>
    </row>
    <row r="578" spans="2:23" ht="12.75" customHeight="1" x14ac:dyDescent="0.3">
      <c r="B578" s="33"/>
      <c r="C578" s="34"/>
      <c r="D578" s="34"/>
      <c r="E578" s="34"/>
      <c r="F578" s="34"/>
      <c r="G578" s="34"/>
      <c r="H578" s="34"/>
      <c r="I578" s="34"/>
      <c r="J578" s="34"/>
      <c r="K578" s="35"/>
      <c r="L578" s="34"/>
      <c r="M578" s="34"/>
      <c r="N578" s="34"/>
      <c r="O578" s="34"/>
      <c r="P578" s="34"/>
      <c r="Q578" s="34"/>
      <c r="R578" s="34"/>
      <c r="S578" s="34"/>
      <c r="T578" s="34"/>
      <c r="U578" s="34"/>
      <c r="V578" s="34"/>
      <c r="W578" s="34"/>
    </row>
    <row r="579" spans="2:23" ht="12.75" customHeight="1" x14ac:dyDescent="0.3">
      <c r="B579" s="33"/>
      <c r="C579" s="34"/>
      <c r="D579" s="34"/>
      <c r="E579" s="34"/>
      <c r="F579" s="34"/>
      <c r="G579" s="34"/>
      <c r="H579" s="34"/>
      <c r="I579" s="34"/>
      <c r="J579" s="34"/>
      <c r="K579" s="35"/>
      <c r="L579" s="34"/>
      <c r="M579" s="34"/>
      <c r="N579" s="34"/>
      <c r="O579" s="34"/>
      <c r="P579" s="34"/>
      <c r="Q579" s="34"/>
      <c r="R579" s="34"/>
      <c r="S579" s="34"/>
      <c r="T579" s="34"/>
      <c r="U579" s="34"/>
      <c r="V579" s="34"/>
      <c r="W579" s="34"/>
    </row>
    <row r="580" spans="2:23" ht="12.75" customHeight="1" x14ac:dyDescent="0.3">
      <c r="B580" s="33"/>
      <c r="C580" s="34"/>
      <c r="D580" s="34"/>
      <c r="E580" s="34"/>
      <c r="F580" s="34"/>
      <c r="G580" s="34"/>
      <c r="H580" s="34"/>
      <c r="I580" s="34"/>
      <c r="J580" s="34"/>
      <c r="K580" s="35"/>
      <c r="L580" s="34"/>
      <c r="M580" s="34"/>
      <c r="N580" s="34"/>
      <c r="O580" s="34"/>
      <c r="P580" s="34"/>
      <c r="Q580" s="34"/>
      <c r="R580" s="34"/>
      <c r="S580" s="34"/>
      <c r="T580" s="34"/>
      <c r="U580" s="34"/>
      <c r="V580" s="34"/>
      <c r="W580" s="34"/>
    </row>
    <row r="581" spans="2:23" ht="12.75" customHeight="1"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ht="12.75" customHeight="1"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ht="12.75" customHeight="1"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ht="12.75" customHeight="1"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ht="12.75" customHeight="1"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ht="12.75" customHeight="1"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ht="12.75" customHeight="1"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ht="12.75" customHeight="1"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ht="12.75" customHeight="1"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ht="12.75" customHeight="1"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ht="12.75" customHeight="1"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ht="12.75" customHeight="1"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ht="12.75" customHeight="1"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ht="12.75" customHeight="1"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ht="12.75" customHeight="1"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ht="12.75" customHeight="1"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ht="12.75" customHeight="1"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ht="12.75" customHeight="1"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ht="12.75" customHeight="1"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ht="12.75" customHeight="1"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ht="12.75" customHeight="1"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ht="12.75" customHeight="1"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ht="12.75" customHeight="1"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ht="12.75" customHeight="1"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ht="12.75" customHeight="1"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ht="12.75" customHeight="1"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ht="12.75" customHeight="1"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ht="12.75" customHeight="1"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ht="12.75" customHeight="1"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ht="12.75" customHeight="1"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ht="12.75" customHeight="1"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ht="12.75" customHeight="1"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ht="12.75" customHeight="1"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ht="12.75" customHeight="1"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ht="12.75" customHeight="1"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ht="12.75" customHeight="1"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ht="12.75" customHeight="1"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ht="12.75" customHeight="1"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ht="12.75" customHeight="1"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ht="12.75" customHeight="1"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ht="12.75" customHeight="1"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ht="12.75" customHeight="1"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ht="12.75" customHeight="1"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ht="12.75" customHeight="1"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ht="12.75" customHeight="1"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ht="12.75" customHeight="1"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ht="12.75" customHeight="1"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ht="12.75" customHeight="1"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ht="12.75" customHeight="1"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ht="12.75" customHeight="1"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ht="12.75" customHeight="1"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ht="12.75" customHeight="1"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ht="12.75" customHeight="1"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ht="12.75" customHeight="1"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ht="12.75" customHeight="1"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ht="12.75" customHeight="1"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ht="12.75" customHeight="1"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ht="12.75" customHeight="1"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ht="12.75" customHeight="1"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ht="12.75" customHeight="1"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ht="12.75" customHeight="1"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ht="12.75" customHeight="1"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ht="12.75" customHeight="1"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ht="12.75" customHeight="1"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ht="12.75" customHeight="1"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ht="12.75" customHeight="1"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ht="12.75" customHeight="1"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ht="12.75" customHeight="1"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ht="12.75" customHeight="1"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ht="12.75" customHeight="1"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ht="12.75" customHeight="1"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ht="12.75" customHeight="1"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ht="12.75" customHeight="1"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ht="12.75" customHeight="1"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ht="12.75" customHeight="1"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ht="12.75" customHeight="1"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ht="12.75" customHeight="1"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ht="12.75" customHeight="1"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ht="12.75" customHeight="1"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ht="12.75" customHeight="1"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ht="12.75" customHeight="1"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ht="12.75" customHeight="1"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ht="12.75" customHeight="1"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ht="12.75" customHeight="1"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ht="12.75" customHeight="1"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ht="12.75" customHeight="1"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ht="12.75" customHeight="1"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ht="12.75" customHeight="1"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ht="12.75" customHeight="1"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ht="12.75" customHeight="1"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ht="12.75" customHeight="1"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ht="12.75" customHeight="1"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ht="12.75" customHeight="1"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ht="12.75" customHeight="1"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ht="12.75" customHeight="1"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ht="12.75" customHeight="1"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ht="12.75" customHeight="1"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ht="12.75" customHeight="1"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ht="12.75" customHeight="1"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ht="12.75" customHeight="1"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ht="12.75" customHeight="1"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ht="12.75" customHeight="1"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ht="12.75" customHeight="1"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ht="12.75" customHeight="1"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ht="12.75" customHeight="1"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ht="12.75" customHeight="1"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ht="12.75" customHeight="1"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ht="12.75" customHeight="1"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ht="12.75" customHeight="1"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ht="12.75" customHeight="1"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ht="12.75" customHeight="1"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ht="12.75" customHeight="1"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ht="12.75" customHeight="1"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ht="12.75" customHeight="1"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ht="12.75" customHeight="1"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ht="12.75" customHeight="1"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ht="12.75" customHeight="1"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ht="12.75" customHeight="1"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ht="12.75" customHeight="1"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ht="12.75" customHeight="1"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ht="12.75" customHeight="1"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ht="12.75" customHeight="1"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ht="12.75" customHeight="1"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ht="12.75" customHeight="1"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ht="12.75" customHeight="1"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ht="12.75" customHeight="1"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ht="12.75" customHeight="1"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ht="12.75" customHeight="1"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ht="12.75" customHeight="1"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ht="12.75" customHeight="1"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ht="12.75" customHeight="1"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ht="12.75" customHeight="1"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ht="12.75" customHeight="1"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ht="12.75" customHeight="1"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ht="12.75" customHeight="1"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ht="12.75" customHeight="1"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ht="12.75" customHeight="1"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ht="12.75" customHeight="1"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ht="12.75" customHeight="1"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ht="12.75" customHeight="1"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ht="12.75" customHeight="1"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ht="12.75" customHeight="1"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ht="12.75" customHeight="1"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ht="12.75" customHeight="1"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ht="12.75" customHeight="1"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ht="12.75" customHeight="1"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ht="12.75" customHeight="1"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ht="12.75" customHeight="1"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ht="12.75" customHeight="1"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ht="12.75" customHeight="1"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ht="12.75" customHeight="1"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ht="12.75" customHeight="1"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ht="12.75" customHeight="1"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ht="12.75" customHeight="1"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ht="12.75" customHeight="1"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ht="12.75" customHeight="1"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ht="12.75" customHeight="1"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ht="12.75" customHeight="1"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ht="12.75" customHeight="1"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ht="12.75" customHeight="1"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ht="12.75" customHeight="1"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ht="12.75" customHeight="1"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ht="12.75" customHeight="1"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ht="12.75" customHeight="1"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ht="12.75" customHeight="1"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ht="12.75" customHeight="1"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ht="12.75" customHeight="1"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ht="12.75" customHeight="1"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ht="12.75" customHeight="1"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ht="12.75" customHeight="1"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ht="12.75" customHeight="1"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ht="12.75" customHeight="1"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ht="12.75" customHeight="1"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ht="12.75" customHeight="1"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ht="12.75" customHeight="1"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ht="12.75" customHeight="1"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ht="12.75" customHeight="1"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ht="12.75" customHeight="1"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ht="12.75" customHeight="1"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ht="12.75" customHeight="1"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ht="12.75" customHeight="1"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ht="12.75" customHeight="1"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ht="12.75" customHeight="1"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ht="12.75" customHeight="1"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ht="12.75" customHeight="1"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ht="12.75" customHeight="1"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ht="12.75" customHeight="1" x14ac:dyDescent="0.3">
      <c r="B767" s="27"/>
      <c r="C767" s="17"/>
      <c r="D767" s="17"/>
      <c r="E767" s="17"/>
      <c r="F767" s="17"/>
      <c r="G767" s="17"/>
      <c r="H767" s="17"/>
      <c r="I767" s="17"/>
      <c r="J767" s="17"/>
      <c r="K767" s="40"/>
      <c r="L767" s="17"/>
      <c r="M767" s="17"/>
      <c r="N767" s="17"/>
      <c r="O767" s="17"/>
      <c r="P767" s="17"/>
      <c r="Q767" s="17"/>
      <c r="R767" s="17"/>
      <c r="S767" s="17"/>
      <c r="T767" s="17"/>
      <c r="U767" s="17"/>
      <c r="V767" s="17"/>
      <c r="W767" s="17"/>
    </row>
    <row r="768" spans="2:23" ht="12.75" customHeight="1" x14ac:dyDescent="0.3">
      <c r="B768" s="27"/>
      <c r="C768" s="17"/>
      <c r="D768" s="17"/>
      <c r="E768" s="17"/>
      <c r="F768" s="17"/>
      <c r="G768" s="17"/>
      <c r="H768" s="17"/>
      <c r="I768" s="17"/>
      <c r="J768" s="17"/>
      <c r="K768" s="40"/>
      <c r="L768" s="17"/>
      <c r="M768" s="17"/>
      <c r="N768" s="17"/>
      <c r="O768" s="17"/>
      <c r="P768" s="17"/>
      <c r="Q768" s="17"/>
      <c r="R768" s="17"/>
      <c r="S768" s="17"/>
      <c r="T768" s="17"/>
      <c r="U768" s="17"/>
      <c r="V768" s="17"/>
      <c r="W768" s="17"/>
    </row>
    <row r="769" spans="2:23" ht="12.75" customHeight="1" x14ac:dyDescent="0.3">
      <c r="B769" s="27"/>
      <c r="C769" s="17"/>
      <c r="D769" s="17"/>
      <c r="E769" s="17"/>
      <c r="F769" s="17"/>
      <c r="G769" s="17"/>
      <c r="H769" s="17"/>
      <c r="I769" s="17"/>
      <c r="J769" s="17"/>
      <c r="K769" s="40"/>
      <c r="L769" s="17"/>
      <c r="M769" s="17"/>
      <c r="N769" s="17"/>
      <c r="O769" s="17"/>
      <c r="P769" s="17"/>
      <c r="Q769" s="17"/>
      <c r="R769" s="17"/>
      <c r="S769" s="17"/>
      <c r="T769" s="17"/>
      <c r="U769" s="17"/>
      <c r="V769" s="17"/>
      <c r="W769" s="17"/>
    </row>
    <row r="770" spans="2:23" ht="12.75" customHeight="1" x14ac:dyDescent="0.3">
      <c r="B770" s="27"/>
      <c r="C770" s="17"/>
      <c r="D770" s="17"/>
      <c r="E770" s="17"/>
      <c r="F770" s="17"/>
      <c r="G770" s="17"/>
      <c r="H770" s="17"/>
      <c r="I770" s="17"/>
      <c r="J770" s="17"/>
      <c r="K770" s="40"/>
      <c r="L770" s="17"/>
      <c r="M770" s="17"/>
      <c r="N770" s="17"/>
      <c r="O770" s="17"/>
      <c r="P770" s="17"/>
      <c r="Q770" s="17"/>
      <c r="R770" s="17"/>
      <c r="S770" s="17"/>
      <c r="T770" s="17"/>
      <c r="U770" s="17"/>
      <c r="V770" s="17"/>
      <c r="W770" s="17"/>
    </row>
    <row r="771" spans="2:23" ht="12.75" customHeight="1" x14ac:dyDescent="0.3">
      <c r="B771" s="27"/>
      <c r="C771" s="17"/>
      <c r="D771" s="17"/>
      <c r="E771" s="17"/>
      <c r="F771" s="17"/>
      <c r="G771" s="17"/>
      <c r="H771" s="17"/>
      <c r="I771" s="17"/>
      <c r="J771" s="17"/>
      <c r="K771" s="40"/>
      <c r="L771" s="17"/>
      <c r="M771" s="17"/>
      <c r="N771" s="17"/>
      <c r="O771" s="17"/>
      <c r="P771" s="17"/>
      <c r="Q771" s="17"/>
      <c r="R771" s="17"/>
      <c r="S771" s="17"/>
      <c r="T771" s="17"/>
      <c r="U771" s="17"/>
      <c r="V771" s="17"/>
      <c r="W771" s="17"/>
    </row>
    <row r="772" spans="2:23" ht="12.75" customHeight="1" x14ac:dyDescent="0.3">
      <c r="B772" s="27"/>
      <c r="C772" s="17"/>
      <c r="D772" s="17"/>
      <c r="E772" s="17"/>
      <c r="F772" s="17"/>
      <c r="G772" s="17"/>
      <c r="H772" s="17"/>
      <c r="I772" s="17"/>
      <c r="J772" s="17"/>
      <c r="K772" s="40"/>
      <c r="L772" s="17"/>
      <c r="M772" s="17"/>
      <c r="N772" s="17"/>
      <c r="O772" s="17"/>
      <c r="P772" s="17"/>
      <c r="Q772" s="17"/>
      <c r="R772" s="17"/>
      <c r="S772" s="17"/>
      <c r="T772" s="17"/>
      <c r="U772" s="17"/>
      <c r="V772" s="17"/>
      <c r="W772" s="17"/>
    </row>
    <row r="773" spans="2:23" ht="12.75" customHeight="1" x14ac:dyDescent="0.3">
      <c r="B773" s="27"/>
      <c r="C773" s="17"/>
      <c r="D773" s="17"/>
      <c r="E773" s="17"/>
      <c r="F773" s="17"/>
      <c r="G773" s="17"/>
      <c r="H773" s="17"/>
      <c r="I773" s="17"/>
      <c r="J773" s="17"/>
      <c r="K773" s="40"/>
      <c r="L773" s="17"/>
      <c r="M773" s="17"/>
      <c r="N773" s="17"/>
      <c r="O773" s="17"/>
      <c r="P773" s="17"/>
      <c r="Q773" s="17"/>
      <c r="R773" s="17"/>
      <c r="S773" s="17"/>
      <c r="T773" s="17"/>
      <c r="U773" s="17"/>
      <c r="V773" s="17"/>
      <c r="W773" s="17"/>
    </row>
    <row r="774" spans="2:23" ht="12.75" customHeight="1" x14ac:dyDescent="0.3">
      <c r="B774" s="27"/>
      <c r="C774" s="17"/>
      <c r="D774" s="17"/>
      <c r="E774" s="17"/>
      <c r="F774" s="17"/>
      <c r="G774" s="17"/>
      <c r="H774" s="17"/>
      <c r="I774" s="17"/>
      <c r="J774" s="17"/>
      <c r="K774" s="40"/>
      <c r="L774" s="17"/>
      <c r="M774" s="17"/>
      <c r="N774" s="17"/>
      <c r="O774" s="17"/>
      <c r="P774" s="17"/>
      <c r="Q774" s="17"/>
      <c r="R774" s="17"/>
      <c r="S774" s="17"/>
      <c r="T774" s="17"/>
      <c r="U774" s="17"/>
      <c r="V774" s="17"/>
      <c r="W774" s="17"/>
    </row>
    <row r="775" spans="2:23" ht="12.75" customHeight="1" x14ac:dyDescent="0.3">
      <c r="B775" s="27"/>
      <c r="C775" s="17"/>
      <c r="D775" s="17"/>
      <c r="E775" s="17"/>
      <c r="F775" s="17"/>
      <c r="G775" s="17"/>
      <c r="H775" s="17"/>
      <c r="I775" s="17"/>
      <c r="J775" s="17"/>
      <c r="K775" s="40"/>
      <c r="L775" s="17"/>
      <c r="M775" s="17"/>
      <c r="N775" s="17"/>
      <c r="O775" s="17"/>
      <c r="P775" s="17"/>
      <c r="Q775" s="17"/>
      <c r="R775" s="17"/>
      <c r="S775" s="17"/>
      <c r="T775" s="17"/>
      <c r="U775" s="17"/>
      <c r="V775" s="17"/>
      <c r="W775" s="17"/>
    </row>
    <row r="776" spans="2:23" ht="12.75" customHeight="1" x14ac:dyDescent="0.3">
      <c r="B776" s="27"/>
      <c r="C776" s="17"/>
      <c r="D776" s="17"/>
      <c r="E776" s="17"/>
      <c r="F776" s="17"/>
      <c r="G776" s="17"/>
      <c r="H776" s="17"/>
      <c r="I776" s="17"/>
      <c r="J776" s="17"/>
      <c r="K776" s="40"/>
      <c r="L776" s="17"/>
      <c r="M776" s="17"/>
      <c r="N776" s="17"/>
      <c r="O776" s="17"/>
      <c r="P776" s="17"/>
      <c r="Q776" s="17"/>
      <c r="R776" s="17"/>
      <c r="S776" s="17"/>
      <c r="T776" s="17"/>
      <c r="U776" s="17"/>
      <c r="V776" s="17"/>
      <c r="W776" s="17"/>
    </row>
    <row r="777" spans="2:23" ht="12.75" customHeight="1" x14ac:dyDescent="0.3">
      <c r="B777" s="27"/>
      <c r="C777" s="17"/>
      <c r="D777" s="17"/>
      <c r="E777" s="17"/>
      <c r="F777" s="17"/>
      <c r="G777" s="17"/>
      <c r="H777" s="17"/>
      <c r="I777" s="17"/>
      <c r="J777" s="17"/>
      <c r="K777" s="40"/>
      <c r="L777" s="17"/>
      <c r="M777" s="17"/>
      <c r="N777" s="17"/>
      <c r="O777" s="17"/>
      <c r="P777" s="17"/>
      <c r="Q777" s="17"/>
      <c r="R777" s="17"/>
      <c r="S777" s="17"/>
      <c r="T777" s="17"/>
      <c r="U777" s="17"/>
      <c r="V777" s="17"/>
      <c r="W777" s="17"/>
    </row>
    <row r="778" spans="2:23" ht="12.75" customHeight="1" x14ac:dyDescent="0.3">
      <c r="B778" s="27"/>
      <c r="C778" s="17"/>
      <c r="D778" s="17"/>
      <c r="E778" s="17"/>
      <c r="F778" s="17"/>
      <c r="G778" s="17"/>
      <c r="H778" s="17"/>
      <c r="I778" s="17"/>
      <c r="J778" s="17"/>
      <c r="K778" s="40"/>
      <c r="L778" s="17"/>
      <c r="M778" s="17"/>
      <c r="N778" s="17"/>
      <c r="O778" s="17"/>
      <c r="P778" s="17"/>
      <c r="Q778" s="17"/>
      <c r="R778" s="17"/>
      <c r="S778" s="17"/>
      <c r="T778" s="17"/>
      <c r="U778" s="17"/>
      <c r="V778" s="17"/>
      <c r="W778" s="17"/>
    </row>
    <row r="779" spans="2:23" ht="12.75" customHeight="1" x14ac:dyDescent="0.3">
      <c r="B779" s="27"/>
      <c r="C779" s="17"/>
      <c r="D779" s="17"/>
      <c r="E779" s="17"/>
      <c r="F779" s="17"/>
      <c r="G779" s="17"/>
      <c r="H779" s="17"/>
      <c r="I779" s="17"/>
      <c r="J779" s="17"/>
      <c r="K779" s="40"/>
      <c r="L779" s="17"/>
      <c r="M779" s="17"/>
      <c r="N779" s="17"/>
      <c r="O779" s="17"/>
      <c r="P779" s="17"/>
      <c r="Q779" s="17"/>
      <c r="R779" s="17"/>
      <c r="S779" s="17"/>
      <c r="T779" s="17"/>
      <c r="U779" s="17"/>
      <c r="V779" s="17"/>
      <c r="W779" s="17"/>
    </row>
    <row r="780" spans="2:23" ht="12.75" customHeight="1" x14ac:dyDescent="0.3">
      <c r="B780" s="27"/>
      <c r="C780" s="17"/>
      <c r="D780" s="17"/>
      <c r="E780" s="17"/>
      <c r="F780" s="17"/>
      <c r="G780" s="17"/>
      <c r="H780" s="17"/>
      <c r="I780" s="17"/>
      <c r="J780" s="17"/>
      <c r="K780" s="40"/>
      <c r="L780" s="17"/>
      <c r="M780" s="17"/>
      <c r="N780" s="17"/>
      <c r="O780" s="17"/>
      <c r="P780" s="17"/>
      <c r="Q780" s="17"/>
      <c r="R780" s="17"/>
      <c r="S780" s="17"/>
      <c r="T780" s="17"/>
      <c r="U780" s="17"/>
      <c r="V780" s="17"/>
      <c r="W780" s="17"/>
    </row>
    <row r="781" spans="2:23" ht="12.75" customHeight="1" x14ac:dyDescent="0.3">
      <c r="B781" s="27"/>
      <c r="C781" s="17"/>
      <c r="D781" s="17"/>
      <c r="E781" s="17"/>
      <c r="F781" s="17"/>
      <c r="G781" s="17"/>
      <c r="H781" s="17"/>
      <c r="I781" s="17"/>
      <c r="J781" s="17"/>
      <c r="K781" s="40"/>
      <c r="L781" s="17"/>
      <c r="M781" s="17"/>
      <c r="N781" s="17"/>
      <c r="O781" s="17"/>
      <c r="P781" s="17"/>
      <c r="Q781" s="17"/>
      <c r="R781" s="17"/>
      <c r="S781" s="17"/>
      <c r="T781" s="17"/>
      <c r="U781" s="17"/>
      <c r="V781" s="17"/>
      <c r="W781" s="17"/>
    </row>
    <row r="782" spans="2:23" ht="12.75" customHeight="1" x14ac:dyDescent="0.3">
      <c r="K782" s="40"/>
    </row>
    <row r="783" spans="2:23" ht="12.75" customHeight="1" x14ac:dyDescent="0.3">
      <c r="K783" s="40"/>
    </row>
    <row r="784" spans="2:23" ht="12.75" customHeight="1" x14ac:dyDescent="0.3">
      <c r="K784" s="40"/>
    </row>
    <row r="785" spans="11:11" ht="12.75" customHeight="1" x14ac:dyDescent="0.3">
      <c r="K785" s="40"/>
    </row>
    <row r="786" spans="11:11" ht="12.75" customHeight="1" x14ac:dyDescent="0.3">
      <c r="K786" s="40"/>
    </row>
    <row r="787" spans="11:11" ht="12.75" customHeight="1" x14ac:dyDescent="0.3">
      <c r="K787" s="40"/>
    </row>
    <row r="788" spans="11:11" ht="12.75" customHeight="1" x14ac:dyDescent="0.3">
      <c r="K788" s="40"/>
    </row>
    <row r="789" spans="11:11" ht="12.75" customHeight="1" x14ac:dyDescent="0.3">
      <c r="K789" s="40"/>
    </row>
    <row r="790" spans="11:11" ht="12.75" customHeight="1" x14ac:dyDescent="0.3">
      <c r="K790" s="40"/>
    </row>
    <row r="791" spans="11:11" ht="12.75" customHeight="1" x14ac:dyDescent="0.3">
      <c r="K791" s="40"/>
    </row>
    <row r="792" spans="11:11" ht="12.75" customHeight="1" x14ac:dyDescent="0.3">
      <c r="K792" s="40"/>
    </row>
    <row r="793" spans="11:11" ht="12.75" customHeight="1" x14ac:dyDescent="0.3">
      <c r="K793" s="40"/>
    </row>
    <row r="794" spans="11:11" ht="12.75" customHeight="1" x14ac:dyDescent="0.3">
      <c r="K794" s="40"/>
    </row>
    <row r="795" spans="11:11" ht="12.75" customHeight="1" x14ac:dyDescent="0.3">
      <c r="K795" s="40"/>
    </row>
    <row r="796" spans="11:11" ht="12.75" customHeight="1" x14ac:dyDescent="0.3">
      <c r="K796" s="40"/>
    </row>
    <row r="797" spans="11:11" ht="12.75" customHeight="1" x14ac:dyDescent="0.3">
      <c r="K797" s="40"/>
    </row>
    <row r="798" spans="11:11" ht="12.75" customHeight="1" x14ac:dyDescent="0.3">
      <c r="K798" s="40"/>
    </row>
    <row r="799" spans="11:11" ht="12.75" customHeight="1" x14ac:dyDescent="0.3">
      <c r="K799" s="40"/>
    </row>
    <row r="800" spans="11:11" ht="12.75" customHeight="1" x14ac:dyDescent="0.3">
      <c r="K800" s="40"/>
    </row>
    <row r="801" spans="11:11" ht="12.75" customHeight="1" x14ac:dyDescent="0.3">
      <c r="K801" s="40"/>
    </row>
    <row r="802" spans="11:11" ht="12.75" customHeight="1" x14ac:dyDescent="0.3">
      <c r="K802" s="40"/>
    </row>
    <row r="803" spans="11:11" ht="12.75" customHeight="1" x14ac:dyDescent="0.3">
      <c r="K803" s="40"/>
    </row>
    <row r="804" spans="11:11" ht="12.75" customHeight="1" x14ac:dyDescent="0.3">
      <c r="K804" s="40"/>
    </row>
    <row r="805" spans="11:11" ht="12.75" customHeight="1" x14ac:dyDescent="0.3">
      <c r="K805" s="40"/>
    </row>
    <row r="806" spans="11:11" ht="12.75" customHeight="1" x14ac:dyDescent="0.3">
      <c r="K806" s="40"/>
    </row>
    <row r="807" spans="11:11" ht="12.75" customHeight="1" x14ac:dyDescent="0.3">
      <c r="K807" s="40"/>
    </row>
    <row r="808" spans="11:11" ht="12.75" customHeight="1" x14ac:dyDescent="0.3">
      <c r="K808" s="40"/>
    </row>
    <row r="809" spans="11:11" ht="12.75" customHeight="1" x14ac:dyDescent="0.3">
      <c r="K809" s="40"/>
    </row>
    <row r="810" spans="11:11" ht="12.75" customHeight="1" x14ac:dyDescent="0.3">
      <c r="K810" s="40"/>
    </row>
    <row r="811" spans="11:11" ht="12.75" customHeight="1" x14ac:dyDescent="0.3">
      <c r="K811" s="40"/>
    </row>
    <row r="812" spans="11:11" ht="12.75" customHeight="1" x14ac:dyDescent="0.3">
      <c r="K812" s="40"/>
    </row>
    <row r="813" spans="11:11" ht="12.75" customHeight="1" x14ac:dyDescent="0.3">
      <c r="K813" s="40"/>
    </row>
    <row r="814" spans="11:11" ht="12.75" customHeight="1" x14ac:dyDescent="0.3">
      <c r="K814" s="40"/>
    </row>
    <row r="815" spans="11:11" ht="12.75" customHeight="1" x14ac:dyDescent="0.3">
      <c r="K815" s="40"/>
    </row>
    <row r="816" spans="11:11" ht="12.75" customHeight="1" x14ac:dyDescent="0.3">
      <c r="K816" s="40"/>
    </row>
    <row r="817" spans="11:11" ht="12.75" customHeight="1" x14ac:dyDescent="0.3">
      <c r="K817" s="40"/>
    </row>
    <row r="818" spans="11:11" ht="12.75" customHeight="1" x14ac:dyDescent="0.3">
      <c r="K818" s="40"/>
    </row>
    <row r="819" spans="11:11" ht="12.75" customHeight="1" x14ac:dyDescent="0.3">
      <c r="K819" s="40"/>
    </row>
    <row r="820" spans="11:11" ht="12.75" customHeight="1" x14ac:dyDescent="0.3">
      <c r="K820" s="40"/>
    </row>
    <row r="821" spans="11:11" ht="12.75" customHeight="1" x14ac:dyDescent="0.3">
      <c r="K821" s="40"/>
    </row>
    <row r="822" spans="11:11" ht="12.75" customHeight="1" x14ac:dyDescent="0.3">
      <c r="K822" s="40"/>
    </row>
    <row r="823" spans="11:11" ht="12.75" customHeight="1" x14ac:dyDescent="0.3">
      <c r="K823" s="40"/>
    </row>
    <row r="824" spans="11:11" ht="12.75" customHeight="1" x14ac:dyDescent="0.3">
      <c r="K824" s="40"/>
    </row>
    <row r="825" spans="11:11" ht="12.75" customHeight="1" x14ac:dyDescent="0.3">
      <c r="K825" s="40"/>
    </row>
    <row r="826" spans="11:11" ht="12.75" customHeight="1" x14ac:dyDescent="0.3">
      <c r="K826" s="40"/>
    </row>
    <row r="827" spans="11:11" ht="12.75" customHeight="1" x14ac:dyDescent="0.3">
      <c r="K827" s="40"/>
    </row>
    <row r="828" spans="11:11" ht="12.75" customHeight="1" x14ac:dyDescent="0.3">
      <c r="K828" s="40"/>
    </row>
    <row r="829" spans="11:11" ht="12.75" customHeight="1" x14ac:dyDescent="0.3">
      <c r="K829" s="40"/>
    </row>
    <row r="830" spans="11:11" ht="12.75" customHeight="1" x14ac:dyDescent="0.3">
      <c r="K830" s="40"/>
    </row>
    <row r="831" spans="11:11" ht="12.75" customHeight="1" x14ac:dyDescent="0.3">
      <c r="K831" s="40"/>
    </row>
    <row r="832" spans="11:11" ht="12.75" customHeight="1" x14ac:dyDescent="0.3">
      <c r="K832" s="40"/>
    </row>
    <row r="833" spans="11:11" ht="12.75" customHeight="1" x14ac:dyDescent="0.3">
      <c r="K833" s="40"/>
    </row>
    <row r="834" spans="11:11" ht="12.75" customHeight="1" x14ac:dyDescent="0.3">
      <c r="K834" s="40"/>
    </row>
    <row r="835" spans="11:11" ht="12.75" customHeight="1" x14ac:dyDescent="0.3">
      <c r="K835" s="40"/>
    </row>
    <row r="836" spans="11:11" ht="12.75" customHeight="1" x14ac:dyDescent="0.3">
      <c r="K836" s="40"/>
    </row>
    <row r="837" spans="11:11" ht="12.75" customHeight="1" x14ac:dyDescent="0.3">
      <c r="K837" s="40"/>
    </row>
    <row r="838" spans="11:11" ht="12.75" customHeight="1" x14ac:dyDescent="0.3">
      <c r="K838" s="40"/>
    </row>
    <row r="839" spans="11:11" ht="12.75" customHeight="1" x14ac:dyDescent="0.3">
      <c r="K839" s="40"/>
    </row>
    <row r="840" spans="11:11" ht="12.75" customHeight="1" x14ac:dyDescent="0.3">
      <c r="K840" s="40"/>
    </row>
    <row r="841" spans="11:11" ht="12.75" customHeight="1" x14ac:dyDescent="0.3">
      <c r="K841" s="40"/>
    </row>
    <row r="842" spans="11:11" ht="12.75" customHeight="1" x14ac:dyDescent="0.3">
      <c r="K842" s="40"/>
    </row>
    <row r="843" spans="11:11" ht="12.75" customHeight="1" x14ac:dyDescent="0.3">
      <c r="K843" s="40"/>
    </row>
    <row r="844" spans="11:11" ht="12.75" customHeight="1" x14ac:dyDescent="0.3">
      <c r="K844" s="40"/>
    </row>
    <row r="845" spans="11:11" ht="12.75" customHeight="1" x14ac:dyDescent="0.3">
      <c r="K845" s="40"/>
    </row>
    <row r="846" spans="11:11" ht="12.75" customHeight="1" x14ac:dyDescent="0.3">
      <c r="K846" s="40"/>
    </row>
    <row r="847" spans="11:11" ht="12.75" customHeight="1" x14ac:dyDescent="0.3">
      <c r="K847" s="40"/>
    </row>
    <row r="848" spans="11:11" ht="12.75" customHeight="1" x14ac:dyDescent="0.3">
      <c r="K848" s="40"/>
    </row>
    <row r="849" spans="11:11" ht="12.75" customHeight="1" x14ac:dyDescent="0.3">
      <c r="K849" s="40"/>
    </row>
    <row r="850" spans="11:11" ht="12.75" customHeight="1" x14ac:dyDescent="0.3">
      <c r="K850" s="40"/>
    </row>
    <row r="851" spans="11:11" ht="12.75" customHeight="1" x14ac:dyDescent="0.3">
      <c r="K851" s="40"/>
    </row>
    <row r="852" spans="11:11" ht="12.75" customHeight="1" x14ac:dyDescent="0.3">
      <c r="K852" s="40"/>
    </row>
    <row r="853" spans="11:11" ht="12.75" customHeight="1" x14ac:dyDescent="0.3">
      <c r="K853" s="40"/>
    </row>
    <row r="854" spans="11:11" ht="12.75" customHeight="1" x14ac:dyDescent="0.3">
      <c r="K854" s="40"/>
    </row>
    <row r="855" spans="11:11" ht="12.75" customHeight="1" x14ac:dyDescent="0.3">
      <c r="K855" s="40"/>
    </row>
    <row r="856" spans="11:11" ht="12.75" customHeight="1" x14ac:dyDescent="0.3">
      <c r="K856" s="40"/>
    </row>
    <row r="857" spans="11:11" ht="12.75" customHeight="1" x14ac:dyDescent="0.3">
      <c r="K857" s="40"/>
    </row>
    <row r="858" spans="11:11" ht="12.75" customHeight="1" x14ac:dyDescent="0.3">
      <c r="K858" s="40"/>
    </row>
    <row r="859" spans="11:11" ht="12.75" customHeight="1" x14ac:dyDescent="0.3">
      <c r="K859" s="40"/>
    </row>
    <row r="860" spans="11:11" ht="12.75" customHeight="1" x14ac:dyDescent="0.3">
      <c r="K860" s="40"/>
    </row>
    <row r="861" spans="11:11" ht="12.75" customHeight="1" x14ac:dyDescent="0.3">
      <c r="K861" s="40"/>
    </row>
    <row r="862" spans="11:11" ht="12.75" customHeight="1" x14ac:dyDescent="0.3">
      <c r="K862" s="40"/>
    </row>
    <row r="863" spans="11:11" ht="12.75" customHeight="1" x14ac:dyDescent="0.3">
      <c r="K863" s="40"/>
    </row>
    <row r="864" spans="11:11" ht="12.75" customHeight="1" x14ac:dyDescent="0.3">
      <c r="K864" s="40"/>
    </row>
    <row r="865" spans="11:11" ht="12.75" customHeight="1" x14ac:dyDescent="0.3">
      <c r="K865" s="40"/>
    </row>
    <row r="866" spans="11:11" ht="12.75" customHeight="1" x14ac:dyDescent="0.3">
      <c r="K866" s="40"/>
    </row>
    <row r="867" spans="11:11" ht="12.75" customHeight="1" x14ac:dyDescent="0.3">
      <c r="K867" s="40"/>
    </row>
    <row r="868" spans="11:11" ht="12.75" customHeight="1" x14ac:dyDescent="0.3">
      <c r="K868" s="40"/>
    </row>
    <row r="869" spans="11:11" ht="12.75" customHeight="1" x14ac:dyDescent="0.3">
      <c r="K869" s="40"/>
    </row>
    <row r="870" spans="11:11" ht="12.75" customHeight="1" x14ac:dyDescent="0.3">
      <c r="K870" s="40"/>
    </row>
    <row r="871" spans="11:11" ht="12.75" customHeight="1" x14ac:dyDescent="0.3">
      <c r="K871" s="40"/>
    </row>
    <row r="872" spans="11:11" ht="12.75" customHeight="1" x14ac:dyDescent="0.3">
      <c r="K872" s="40"/>
    </row>
    <row r="873" spans="11:11" ht="12.75" customHeight="1" x14ac:dyDescent="0.3">
      <c r="K873" s="40"/>
    </row>
    <row r="874" spans="11:11" ht="12.75" customHeight="1" x14ac:dyDescent="0.3">
      <c r="K874" s="40"/>
    </row>
    <row r="875" spans="11:11" ht="12.75" customHeight="1" x14ac:dyDescent="0.3">
      <c r="K875" s="40"/>
    </row>
    <row r="876" spans="11:11" ht="12.75" customHeight="1" x14ac:dyDescent="0.3">
      <c r="K876" s="40"/>
    </row>
    <row r="877" spans="11:11" ht="12.75" customHeight="1" x14ac:dyDescent="0.3">
      <c r="K877" s="40"/>
    </row>
    <row r="878" spans="11:11" ht="12.75" customHeight="1" x14ac:dyDescent="0.3">
      <c r="K878" s="40"/>
    </row>
    <row r="879" spans="11:11" ht="12.75" customHeight="1" x14ac:dyDescent="0.3">
      <c r="K879" s="40"/>
    </row>
    <row r="880" spans="11:11" ht="12.75" customHeight="1" x14ac:dyDescent="0.3">
      <c r="K880" s="40"/>
    </row>
    <row r="881" spans="11:11" ht="12.75" customHeight="1" x14ac:dyDescent="0.3">
      <c r="K881" s="40"/>
    </row>
    <row r="882" spans="11:11" ht="12.75" customHeight="1" x14ac:dyDescent="0.3">
      <c r="K882" s="40"/>
    </row>
    <row r="883" spans="11:11" ht="12.75" customHeight="1" x14ac:dyDescent="0.3">
      <c r="K883" s="40"/>
    </row>
    <row r="884" spans="11:11" ht="12.75" customHeight="1" x14ac:dyDescent="0.3">
      <c r="K884" s="40"/>
    </row>
    <row r="885" spans="11:11" ht="12.75" customHeight="1" x14ac:dyDescent="0.3">
      <c r="K885" s="40"/>
    </row>
    <row r="886" spans="11:11" ht="12.75" customHeight="1" x14ac:dyDescent="0.3">
      <c r="K886" s="40"/>
    </row>
    <row r="887" spans="11:11" ht="12.75" customHeight="1" x14ac:dyDescent="0.3">
      <c r="K887" s="40"/>
    </row>
    <row r="888" spans="11:11" ht="12.75" customHeight="1" x14ac:dyDescent="0.3">
      <c r="K888" s="40"/>
    </row>
    <row r="889" spans="11:11" ht="12.75" customHeight="1" x14ac:dyDescent="0.3">
      <c r="K889" s="40"/>
    </row>
    <row r="890" spans="11:11" ht="12.75" customHeight="1" x14ac:dyDescent="0.3">
      <c r="K890" s="40"/>
    </row>
    <row r="891" spans="11:11" ht="12.75" customHeight="1" x14ac:dyDescent="0.3">
      <c r="K891" s="40"/>
    </row>
    <row r="892" spans="11:11" ht="12.75" customHeight="1" x14ac:dyDescent="0.3">
      <c r="K892" s="40"/>
    </row>
    <row r="893" spans="11:11" ht="12.75" customHeight="1" x14ac:dyDescent="0.3">
      <c r="K893" s="40"/>
    </row>
    <row r="894" spans="11:11" ht="12.75" customHeight="1" x14ac:dyDescent="0.3">
      <c r="K894" s="40"/>
    </row>
    <row r="895" spans="11:11" ht="12.75" customHeight="1" x14ac:dyDescent="0.3">
      <c r="K895" s="40"/>
    </row>
    <row r="896" spans="11:11" ht="12.75" customHeight="1" x14ac:dyDescent="0.3">
      <c r="K896" s="40"/>
    </row>
    <row r="897" spans="11:11" ht="12.75" customHeight="1" x14ac:dyDescent="0.3">
      <c r="K897" s="40"/>
    </row>
    <row r="898" spans="11:11" ht="12.75" customHeight="1" x14ac:dyDescent="0.3">
      <c r="K898" s="40"/>
    </row>
    <row r="899" spans="11:11" ht="12.75" customHeight="1" x14ac:dyDescent="0.3">
      <c r="K899" s="40"/>
    </row>
    <row r="900" spans="11:11" ht="12.75" customHeight="1" x14ac:dyDescent="0.3">
      <c r="K900" s="40"/>
    </row>
    <row r="901" spans="11:11" ht="12.75" customHeight="1" x14ac:dyDescent="0.3">
      <c r="K901" s="40"/>
    </row>
    <row r="902" spans="11:11" ht="12.75" customHeight="1" x14ac:dyDescent="0.3">
      <c r="K902" s="40"/>
    </row>
    <row r="903" spans="11:11" ht="12.75" customHeight="1" x14ac:dyDescent="0.3">
      <c r="K903" s="40"/>
    </row>
    <row r="904" spans="11:11" ht="12.75" customHeight="1" x14ac:dyDescent="0.3">
      <c r="K904" s="40"/>
    </row>
    <row r="905" spans="11:11" ht="12.75" customHeight="1" x14ac:dyDescent="0.3">
      <c r="K905" s="40"/>
    </row>
    <row r="906" spans="11:11" ht="12.75" customHeight="1" x14ac:dyDescent="0.3">
      <c r="K906" s="40"/>
    </row>
    <row r="907" spans="11:11" ht="12.75" customHeight="1" x14ac:dyDescent="0.3">
      <c r="K907" s="40"/>
    </row>
    <row r="908" spans="11:11" ht="12.75" customHeight="1" x14ac:dyDescent="0.3">
      <c r="K908" s="40"/>
    </row>
    <row r="909" spans="11:11" ht="12.75" customHeight="1" x14ac:dyDescent="0.3">
      <c r="K909" s="40"/>
    </row>
    <row r="910" spans="11:11" ht="12.75" customHeight="1" x14ac:dyDescent="0.3">
      <c r="K910" s="40"/>
    </row>
    <row r="911" spans="11:11" ht="12.75" customHeight="1" x14ac:dyDescent="0.3">
      <c r="K911" s="40"/>
    </row>
    <row r="912" spans="11:11" ht="12.75" customHeight="1" x14ac:dyDescent="0.3">
      <c r="K912" s="40"/>
    </row>
    <row r="913" spans="11:11" ht="12.75" customHeight="1" x14ac:dyDescent="0.3">
      <c r="K913" s="40"/>
    </row>
    <row r="914" spans="11:11" ht="12.75" customHeight="1" x14ac:dyDescent="0.3">
      <c r="K914" s="40"/>
    </row>
    <row r="915" spans="11:11" ht="12.75" customHeight="1" x14ac:dyDescent="0.3">
      <c r="K915" s="40"/>
    </row>
    <row r="916" spans="11:11" ht="12.75" customHeight="1" x14ac:dyDescent="0.3">
      <c r="K916" s="40"/>
    </row>
    <row r="917" spans="11:11" ht="12.75" customHeight="1" x14ac:dyDescent="0.3">
      <c r="K917" s="40"/>
    </row>
    <row r="918" spans="11:11" ht="12.75" customHeight="1" x14ac:dyDescent="0.3">
      <c r="K918" s="40"/>
    </row>
    <row r="919" spans="11:11" ht="12.75" customHeight="1" x14ac:dyDescent="0.3">
      <c r="K919" s="40"/>
    </row>
    <row r="920" spans="11:11" ht="12.75" customHeight="1" x14ac:dyDescent="0.3">
      <c r="K920" s="40"/>
    </row>
    <row r="921" spans="11:11" ht="12.75" customHeight="1" x14ac:dyDescent="0.3">
      <c r="K921" s="40"/>
    </row>
    <row r="922" spans="11:11" ht="12.75" customHeight="1" x14ac:dyDescent="0.3">
      <c r="K922" s="40"/>
    </row>
    <row r="923" spans="11:11" ht="12.75" customHeight="1" x14ac:dyDescent="0.3">
      <c r="K923" s="40"/>
    </row>
    <row r="924" spans="11:11" ht="12.75" customHeight="1" x14ac:dyDescent="0.3">
      <c r="K924" s="40"/>
    </row>
    <row r="925" spans="11:11" ht="12.75" customHeight="1" x14ac:dyDescent="0.3">
      <c r="K925" s="40"/>
    </row>
    <row r="926" spans="11:11" ht="12.75" customHeight="1" x14ac:dyDescent="0.3">
      <c r="K926" s="40"/>
    </row>
    <row r="927" spans="11:11" ht="12.75" customHeight="1" x14ac:dyDescent="0.3">
      <c r="K927" s="40"/>
    </row>
    <row r="928" spans="11:11" ht="12.75" customHeight="1" x14ac:dyDescent="0.3">
      <c r="K928" s="40"/>
    </row>
    <row r="929" spans="11:11" ht="12.75" customHeight="1" x14ac:dyDescent="0.3">
      <c r="K929" s="40"/>
    </row>
    <row r="930" spans="11:11" ht="12.75" customHeight="1" x14ac:dyDescent="0.3">
      <c r="K930" s="40"/>
    </row>
    <row r="931" spans="11:11" ht="12.75" customHeight="1" x14ac:dyDescent="0.3">
      <c r="K931" s="40"/>
    </row>
    <row r="932" spans="11:11" ht="12.75" customHeight="1" x14ac:dyDescent="0.3">
      <c r="K932" s="40"/>
    </row>
    <row r="933" spans="11:11" ht="12.75" customHeight="1" x14ac:dyDescent="0.3">
      <c r="K933" s="40"/>
    </row>
    <row r="934" spans="11:11" ht="12.75" customHeight="1" x14ac:dyDescent="0.3">
      <c r="K934" s="40"/>
    </row>
    <row r="935" spans="11:11" ht="12.75" customHeight="1" x14ac:dyDescent="0.3">
      <c r="K935" s="40"/>
    </row>
    <row r="936" spans="11:11" ht="12.75" customHeight="1" x14ac:dyDescent="0.3">
      <c r="K936" s="40"/>
    </row>
    <row r="937" spans="11:11" ht="12.75" customHeight="1" x14ac:dyDescent="0.3">
      <c r="K937" s="40"/>
    </row>
    <row r="938" spans="11:11" ht="12.75" customHeight="1" x14ac:dyDescent="0.3">
      <c r="K938" s="40"/>
    </row>
    <row r="939" spans="11:11" ht="12.75" customHeight="1" x14ac:dyDescent="0.3">
      <c r="K939" s="40"/>
    </row>
    <row r="940" spans="11:11" ht="12.75" customHeight="1" x14ac:dyDescent="0.3">
      <c r="K940" s="40"/>
    </row>
    <row r="941" spans="11:11" ht="12.75" customHeight="1" x14ac:dyDescent="0.3">
      <c r="K941" s="40"/>
    </row>
    <row r="942" spans="11:11" ht="12.75" customHeight="1" x14ac:dyDescent="0.3">
      <c r="K942" s="40"/>
    </row>
    <row r="943" spans="11:11" ht="12.75" customHeight="1" x14ac:dyDescent="0.3">
      <c r="K943" s="40"/>
    </row>
    <row r="944" spans="11:11" ht="12.75" customHeight="1" x14ac:dyDescent="0.3">
      <c r="K944" s="40"/>
    </row>
    <row r="945" spans="11:11" ht="12.75" customHeight="1" x14ac:dyDescent="0.3">
      <c r="K945" s="40"/>
    </row>
    <row r="946" spans="11:11" ht="12.75" customHeight="1" x14ac:dyDescent="0.3">
      <c r="K946" s="40"/>
    </row>
    <row r="947" spans="11:11" ht="12.75" customHeight="1" x14ac:dyDescent="0.3">
      <c r="K947" s="40"/>
    </row>
    <row r="948" spans="11:11" ht="12.75" customHeight="1" x14ac:dyDescent="0.3">
      <c r="K948" s="40"/>
    </row>
    <row r="949" spans="11:11" ht="12.75" customHeight="1" x14ac:dyDescent="0.3">
      <c r="K949" s="40"/>
    </row>
    <row r="950" spans="11:11" ht="12.75" customHeight="1" x14ac:dyDescent="0.3">
      <c r="K950" s="40"/>
    </row>
    <row r="951" spans="11:11" ht="12.75" customHeight="1" x14ac:dyDescent="0.3">
      <c r="K951" s="40"/>
    </row>
    <row r="952" spans="11:11" ht="12.75" customHeight="1" x14ac:dyDescent="0.3">
      <c r="K952" s="40"/>
    </row>
    <row r="953" spans="11:11" ht="12.75" customHeight="1" x14ac:dyDescent="0.3">
      <c r="K953" s="40"/>
    </row>
    <row r="954" spans="11:11" ht="12.75" customHeight="1" x14ac:dyDescent="0.3">
      <c r="K954" s="40"/>
    </row>
    <row r="955" spans="11:11" ht="12.75" customHeight="1" x14ac:dyDescent="0.3">
      <c r="K955" s="40"/>
    </row>
    <row r="956" spans="11:11" ht="12.75" customHeight="1" x14ac:dyDescent="0.3">
      <c r="K956" s="40"/>
    </row>
    <row r="957" spans="11:11" ht="12.75" customHeight="1" x14ac:dyDescent="0.3">
      <c r="K957" s="40"/>
    </row>
    <row r="958" spans="11:11" ht="12.75" customHeight="1" x14ac:dyDescent="0.3">
      <c r="K958" s="40"/>
    </row>
    <row r="959" spans="11:11" ht="12.75" customHeight="1" x14ac:dyDescent="0.3">
      <c r="K959" s="40"/>
    </row>
    <row r="960" spans="11:11" ht="12.75" customHeight="1" x14ac:dyDescent="0.3">
      <c r="K960" s="40"/>
    </row>
    <row r="961" spans="11:11" ht="12.75" customHeight="1" x14ac:dyDescent="0.3">
      <c r="K961" s="40"/>
    </row>
    <row r="962" spans="11:11" ht="12.75" customHeight="1" x14ac:dyDescent="0.3">
      <c r="K962" s="40"/>
    </row>
    <row r="963" spans="11:11" ht="12.75" customHeight="1" x14ac:dyDescent="0.3">
      <c r="K963" s="40"/>
    </row>
    <row r="964" spans="11:11" ht="12.75" customHeight="1" x14ac:dyDescent="0.3">
      <c r="K964" s="40"/>
    </row>
    <row r="965" spans="11:11" ht="12.75" customHeight="1" x14ac:dyDescent="0.3">
      <c r="K965" s="40"/>
    </row>
    <row r="966" spans="11:11" ht="12.75" customHeight="1" x14ac:dyDescent="0.3">
      <c r="K966" s="40"/>
    </row>
    <row r="967" spans="11:11" ht="12.75" customHeight="1" x14ac:dyDescent="0.3">
      <c r="K967" s="40"/>
    </row>
    <row r="968" spans="11:11" ht="12.75" customHeight="1" x14ac:dyDescent="0.3">
      <c r="K968" s="40"/>
    </row>
    <row r="969" spans="11:11" ht="12.75" customHeight="1" x14ac:dyDescent="0.3">
      <c r="K969" s="40"/>
    </row>
    <row r="970" spans="11:11" ht="12.75" customHeight="1" x14ac:dyDescent="0.3">
      <c r="K970" s="40"/>
    </row>
    <row r="971" spans="11:11" ht="12.75" customHeight="1" x14ac:dyDescent="0.3">
      <c r="K971" s="40"/>
    </row>
    <row r="972" spans="11:11" ht="12.75" customHeight="1" x14ac:dyDescent="0.3">
      <c r="K972" s="40"/>
    </row>
    <row r="973" spans="11:11" ht="12.75" customHeight="1" x14ac:dyDescent="0.3">
      <c r="K973" s="40"/>
    </row>
    <row r="974" spans="11:11" ht="12.75" customHeight="1" x14ac:dyDescent="0.3">
      <c r="K974" s="40"/>
    </row>
    <row r="975" spans="11:11" ht="12.75" customHeight="1" x14ac:dyDescent="0.3">
      <c r="K975" s="40"/>
    </row>
    <row r="976" spans="11:11" ht="12.75" customHeight="1" x14ac:dyDescent="0.3">
      <c r="K976" s="40"/>
    </row>
    <row r="977" spans="11:11" ht="12.75" customHeight="1" x14ac:dyDescent="0.3">
      <c r="K977" s="40"/>
    </row>
    <row r="978" spans="11:11" ht="12.75" customHeight="1" x14ac:dyDescent="0.3">
      <c r="K978" s="40"/>
    </row>
    <row r="979" spans="11:11" ht="12.75" customHeight="1" x14ac:dyDescent="0.3">
      <c r="K979" s="40"/>
    </row>
    <row r="980" spans="11:11" ht="12.75" customHeight="1" x14ac:dyDescent="0.3">
      <c r="K980" s="40"/>
    </row>
    <row r="981" spans="11:11" ht="12.75" customHeight="1" x14ac:dyDescent="0.3">
      <c r="K981" s="40"/>
    </row>
    <row r="982" spans="11:11" ht="12.75" customHeight="1" x14ac:dyDescent="0.3">
      <c r="K982" s="40"/>
    </row>
    <row r="983" spans="11:11" ht="12.75" customHeight="1" x14ac:dyDescent="0.3">
      <c r="K983" s="40"/>
    </row>
    <row r="984" spans="11:11" ht="12.75" customHeight="1" x14ac:dyDescent="0.3">
      <c r="K984" s="40"/>
    </row>
    <row r="985" spans="11:11" ht="12.75" customHeight="1" x14ac:dyDescent="0.3">
      <c r="K985" s="40"/>
    </row>
    <row r="986" spans="11:11" ht="12.75" customHeight="1" x14ac:dyDescent="0.3">
      <c r="K986" s="40"/>
    </row>
    <row r="987" spans="11:11" ht="12.75" customHeight="1" x14ac:dyDescent="0.3">
      <c r="K987" s="40"/>
    </row>
    <row r="988" spans="11:11" ht="12.75" customHeight="1" x14ac:dyDescent="0.3">
      <c r="K988" s="40"/>
    </row>
    <row r="989" spans="11:11" ht="12.75" customHeight="1" x14ac:dyDescent="0.3">
      <c r="K989" s="40"/>
    </row>
    <row r="990" spans="11:11" ht="12.75" customHeight="1" x14ac:dyDescent="0.3">
      <c r="K990" s="40"/>
    </row>
    <row r="991" spans="11:11" ht="12.75" customHeight="1" x14ac:dyDescent="0.3">
      <c r="K991" s="40"/>
    </row>
    <row r="992" spans="11:11" ht="12.75" customHeight="1" x14ac:dyDescent="0.3">
      <c r="K992" s="40"/>
    </row>
    <row r="993" spans="11:11" ht="12.75" customHeight="1" x14ac:dyDescent="0.3">
      <c r="K993" s="40"/>
    </row>
    <row r="994" spans="11:11" ht="12.75" customHeight="1" x14ac:dyDescent="0.3">
      <c r="K994" s="40"/>
    </row>
    <row r="995" spans="11:11" ht="12.75" customHeight="1" x14ac:dyDescent="0.3">
      <c r="K995" s="40"/>
    </row>
    <row r="996" spans="11:11" ht="12.75" customHeight="1" x14ac:dyDescent="0.3">
      <c r="K996" s="40"/>
    </row>
    <row r="997" spans="11:11" ht="12.75" customHeight="1" x14ac:dyDescent="0.3">
      <c r="K997" s="40"/>
    </row>
    <row r="998" spans="11:11" ht="12.75" customHeight="1" x14ac:dyDescent="0.3">
      <c r="K998" s="40"/>
    </row>
    <row r="999" spans="11:11" ht="12.75" customHeight="1" x14ac:dyDescent="0.3">
      <c r="K999" s="40"/>
    </row>
    <row r="1000" spans="11:11" ht="12.75" customHeight="1" x14ac:dyDescent="0.3">
      <c r="K1000" s="40"/>
    </row>
    <row r="1001" spans="11:11" ht="12.75" customHeight="1" x14ac:dyDescent="0.3">
      <c r="K1001" s="40"/>
    </row>
    <row r="1002" spans="11:11" ht="12.75" customHeight="1" x14ac:dyDescent="0.3">
      <c r="K1002" s="40"/>
    </row>
    <row r="1003" spans="11:11" ht="12.75" customHeight="1" x14ac:dyDescent="0.3">
      <c r="K1003" s="40"/>
    </row>
    <row r="1004" spans="11:11" ht="12.75" customHeight="1" x14ac:dyDescent="0.3">
      <c r="K1004" s="40"/>
    </row>
    <row r="1005" spans="11:11" ht="12.75" customHeight="1" x14ac:dyDescent="0.3">
      <c r="K1005" s="40"/>
    </row>
    <row r="1006" spans="11:11" ht="12.75" customHeight="1" x14ac:dyDescent="0.3">
      <c r="K1006" s="40"/>
    </row>
    <row r="1007" spans="11:11" ht="12.75" customHeight="1" x14ac:dyDescent="0.3">
      <c r="K1007" s="40"/>
    </row>
    <row r="1008" spans="11:11" ht="12.75" customHeight="1" x14ac:dyDescent="0.3">
      <c r="K1008" s="40"/>
    </row>
    <row r="1009" spans="11:11" ht="12.75" customHeight="1" x14ac:dyDescent="0.3">
      <c r="K1009" s="40"/>
    </row>
    <row r="1010" spans="11:11" ht="12.75" customHeight="1" x14ac:dyDescent="0.3">
      <c r="K1010" s="40"/>
    </row>
    <row r="1011" spans="11:11" ht="12.75" customHeight="1" x14ac:dyDescent="0.3">
      <c r="K1011" s="40"/>
    </row>
    <row r="1012" spans="11:11" ht="12.75" customHeight="1" x14ac:dyDescent="0.3">
      <c r="K1012" s="40"/>
    </row>
    <row r="1013" spans="11:11" ht="12.75" customHeight="1" x14ac:dyDescent="0.3">
      <c r="K1013" s="40"/>
    </row>
    <row r="1014" spans="11:11" ht="12.75" customHeight="1" x14ac:dyDescent="0.3">
      <c r="K1014" s="40"/>
    </row>
    <row r="1015" spans="11:11" ht="12.75" customHeight="1" x14ac:dyDescent="0.3">
      <c r="K1015" s="40"/>
    </row>
    <row r="1016" spans="11:11" ht="12.75" customHeight="1" x14ac:dyDescent="0.3">
      <c r="K1016" s="40"/>
    </row>
    <row r="1017" spans="11:11" ht="12.75" customHeight="1" x14ac:dyDescent="0.3">
      <c r="K1017" s="40"/>
    </row>
    <row r="1018" spans="11:11" ht="12.75" customHeight="1" x14ac:dyDescent="0.3">
      <c r="K1018" s="40"/>
    </row>
    <row r="1019" spans="11:11" ht="12.75" customHeight="1" x14ac:dyDescent="0.3">
      <c r="K1019" s="40"/>
    </row>
    <row r="1020" spans="11:11" ht="12.75" customHeight="1" x14ac:dyDescent="0.3">
      <c r="K1020" s="40"/>
    </row>
    <row r="1021" spans="11:11" ht="12.75" customHeight="1" x14ac:dyDescent="0.3">
      <c r="K1021" s="40"/>
    </row>
    <row r="1022" spans="11:11" ht="12.75" customHeight="1" x14ac:dyDescent="0.3">
      <c r="K1022" s="40"/>
    </row>
    <row r="1023" spans="11:11" ht="12.75" customHeight="1" x14ac:dyDescent="0.3">
      <c r="K1023" s="40"/>
    </row>
    <row r="1024" spans="11:11" ht="12.75" customHeight="1" x14ac:dyDescent="0.3">
      <c r="K1024" s="40"/>
    </row>
    <row r="1025" spans="11:11" ht="12.75" customHeight="1" x14ac:dyDescent="0.3">
      <c r="K1025" s="40"/>
    </row>
    <row r="1026" spans="11:11" ht="12.75" customHeight="1" x14ac:dyDescent="0.3">
      <c r="K1026" s="40"/>
    </row>
    <row r="1027" spans="11:11" ht="12.75" customHeight="1" x14ac:dyDescent="0.3">
      <c r="K1027" s="40"/>
    </row>
    <row r="1028" spans="11:11" ht="12.75" customHeight="1" x14ac:dyDescent="0.3">
      <c r="K1028" s="40"/>
    </row>
    <row r="1029" spans="11:11" ht="12.75" customHeight="1" x14ac:dyDescent="0.3">
      <c r="K1029" s="40"/>
    </row>
    <row r="1030" spans="11:11" ht="12.75" customHeight="1" x14ac:dyDescent="0.3">
      <c r="K1030" s="40"/>
    </row>
    <row r="1031" spans="11:11" ht="12.75" customHeight="1" x14ac:dyDescent="0.3">
      <c r="K1031" s="40"/>
    </row>
    <row r="1032" spans="11:11" ht="12.75" customHeight="1" x14ac:dyDescent="0.3">
      <c r="K1032" s="40"/>
    </row>
    <row r="1033" spans="11:11" ht="12.75" customHeight="1" x14ac:dyDescent="0.3">
      <c r="K1033" s="40"/>
    </row>
    <row r="1034" spans="11:11" ht="12.75" customHeight="1" x14ac:dyDescent="0.3">
      <c r="K1034" s="40"/>
    </row>
    <row r="1035" spans="11:11" ht="12.75" customHeight="1" x14ac:dyDescent="0.3">
      <c r="K1035" s="40"/>
    </row>
    <row r="1036" spans="11:11" ht="12.75" customHeight="1" x14ac:dyDescent="0.3">
      <c r="K1036" s="40"/>
    </row>
    <row r="1037" spans="11:11" ht="12.75" customHeight="1" x14ac:dyDescent="0.3">
      <c r="K1037" s="40"/>
    </row>
    <row r="1038" spans="11:11" ht="12.75" customHeight="1" x14ac:dyDescent="0.3">
      <c r="K1038" s="40"/>
    </row>
    <row r="1039" spans="11:11" ht="12.75" customHeight="1" x14ac:dyDescent="0.3">
      <c r="K1039" s="40"/>
    </row>
    <row r="1040" spans="11:11" ht="12.75" customHeight="1" x14ac:dyDescent="0.3">
      <c r="K1040" s="40"/>
    </row>
    <row r="1041" spans="11:11" ht="12.75" customHeight="1" x14ac:dyDescent="0.3">
      <c r="K1041" s="40"/>
    </row>
    <row r="1042" spans="11:11" ht="12.75" customHeight="1" x14ac:dyDescent="0.3">
      <c r="K1042" s="40"/>
    </row>
    <row r="1043" spans="11:11" ht="12.75" customHeight="1" x14ac:dyDescent="0.3">
      <c r="K1043" s="40"/>
    </row>
    <row r="1044" spans="11:11" ht="12.75" customHeight="1" x14ac:dyDescent="0.3">
      <c r="K1044" s="40"/>
    </row>
    <row r="1045" spans="11:11" ht="12.75" customHeight="1" x14ac:dyDescent="0.3">
      <c r="K1045" s="40"/>
    </row>
    <row r="1046" spans="11:11" ht="12.75" customHeight="1" x14ac:dyDescent="0.3">
      <c r="K1046" s="40"/>
    </row>
    <row r="1047" spans="11:11" ht="12.75" customHeight="1" x14ac:dyDescent="0.3">
      <c r="K1047" s="40"/>
    </row>
    <row r="1048" spans="11:11" ht="12.75" customHeight="1" x14ac:dyDescent="0.3">
      <c r="K1048" s="40"/>
    </row>
    <row r="1049" spans="11:11" ht="12.75" customHeight="1" x14ac:dyDescent="0.3">
      <c r="K1049" s="40"/>
    </row>
    <row r="1050" spans="11:11" ht="12.75" customHeight="1" x14ac:dyDescent="0.3">
      <c r="K1050" s="40"/>
    </row>
    <row r="1051" spans="11:11" ht="12.75" customHeight="1" x14ac:dyDescent="0.3">
      <c r="K1051" s="40"/>
    </row>
    <row r="1052" spans="11:11" ht="12.75" customHeight="1" x14ac:dyDescent="0.3">
      <c r="K1052" s="40"/>
    </row>
    <row r="1053" spans="11:11" ht="12.75" customHeight="1" x14ac:dyDescent="0.3">
      <c r="K1053" s="40"/>
    </row>
    <row r="1054" spans="11:11" ht="12.75" customHeight="1" x14ac:dyDescent="0.3">
      <c r="K1054" s="40"/>
    </row>
    <row r="1055" spans="11:11" ht="12.75" customHeight="1" x14ac:dyDescent="0.3">
      <c r="K1055" s="40"/>
    </row>
    <row r="1056" spans="11:11" ht="12.75" customHeight="1" x14ac:dyDescent="0.3">
      <c r="K1056" s="40"/>
    </row>
    <row r="1057" spans="11:11" ht="12.75" customHeight="1" x14ac:dyDescent="0.3">
      <c r="K1057" s="40"/>
    </row>
    <row r="1058" spans="11:11" ht="12.75" customHeight="1" x14ac:dyDescent="0.3">
      <c r="K1058" s="40"/>
    </row>
    <row r="1059" spans="11:11" ht="12.75" customHeight="1" x14ac:dyDescent="0.3">
      <c r="K1059" s="40"/>
    </row>
    <row r="1060" spans="11:11" ht="12.75" customHeight="1" x14ac:dyDescent="0.3">
      <c r="K1060" s="40"/>
    </row>
    <row r="1061" spans="11:11" ht="12.75" customHeight="1" x14ac:dyDescent="0.3">
      <c r="K1061" s="40"/>
    </row>
    <row r="1062" spans="11:11" ht="12.75" customHeight="1" x14ac:dyDescent="0.3">
      <c r="K1062" s="40"/>
    </row>
    <row r="1063" spans="11:11" ht="12.75" customHeight="1" x14ac:dyDescent="0.3">
      <c r="K1063" s="40"/>
    </row>
    <row r="1064" spans="11:11" ht="12.75" customHeight="1" x14ac:dyDescent="0.3">
      <c r="K1064" s="40"/>
    </row>
    <row r="1065" spans="11:11" ht="12.75" customHeight="1" x14ac:dyDescent="0.3">
      <c r="K1065" s="40"/>
    </row>
    <row r="1066" spans="11:11" ht="12.75" customHeight="1" x14ac:dyDescent="0.3">
      <c r="K1066" s="40"/>
    </row>
    <row r="1067" spans="11:11" ht="12.75" customHeight="1" x14ac:dyDescent="0.3">
      <c r="K1067" s="40"/>
    </row>
    <row r="1068" spans="11:11" ht="12.75" customHeight="1" x14ac:dyDescent="0.3">
      <c r="K1068" s="40"/>
    </row>
    <row r="1069" spans="11:11" ht="12.75" customHeight="1" x14ac:dyDescent="0.3">
      <c r="K1069" s="40"/>
    </row>
    <row r="1070" spans="11:11" ht="12.75" customHeight="1" x14ac:dyDescent="0.3">
      <c r="K1070" s="40"/>
    </row>
    <row r="1071" spans="11:11" ht="12.75" customHeight="1" x14ac:dyDescent="0.3">
      <c r="K1071" s="40"/>
    </row>
    <row r="1072" spans="11:11" ht="12.75" customHeight="1" x14ac:dyDescent="0.3">
      <c r="K1072" s="40"/>
    </row>
    <row r="1073" spans="11:11" ht="12.75" customHeight="1" x14ac:dyDescent="0.3">
      <c r="K1073" s="40"/>
    </row>
    <row r="1074" spans="11:11" ht="12.75" customHeight="1" x14ac:dyDescent="0.3">
      <c r="K1074" s="40"/>
    </row>
    <row r="1075" spans="11:11" ht="12.75" customHeight="1" x14ac:dyDescent="0.3">
      <c r="K1075" s="40"/>
    </row>
    <row r="1076" spans="11:11" ht="12.75" customHeight="1" x14ac:dyDescent="0.3">
      <c r="K1076" s="40"/>
    </row>
    <row r="1077" spans="11:11" ht="12.75" customHeight="1" x14ac:dyDescent="0.3">
      <c r="K1077" s="40"/>
    </row>
    <row r="1078" spans="11:11" ht="12.75" customHeight="1" x14ac:dyDescent="0.3">
      <c r="K1078" s="40"/>
    </row>
    <row r="1079" spans="11:11" ht="12.75" customHeight="1" x14ac:dyDescent="0.3">
      <c r="K1079" s="40"/>
    </row>
    <row r="1080" spans="11:11" ht="12.75" customHeight="1" x14ac:dyDescent="0.3">
      <c r="K1080" s="40"/>
    </row>
    <row r="1081" spans="11:11" ht="12.75" customHeight="1" x14ac:dyDescent="0.3">
      <c r="K1081" s="40"/>
    </row>
    <row r="1082" spans="11:11" ht="12.75" customHeight="1" x14ac:dyDescent="0.3">
      <c r="K1082" s="40"/>
    </row>
    <row r="1083" spans="11:11" ht="12.75" customHeight="1" x14ac:dyDescent="0.3">
      <c r="K1083" s="40"/>
    </row>
    <row r="1084" spans="11:11" ht="12.75" customHeight="1" x14ac:dyDescent="0.3">
      <c r="K1084" s="40"/>
    </row>
    <row r="1085" spans="11:11" ht="12.75" customHeight="1" x14ac:dyDescent="0.3">
      <c r="K1085" s="40"/>
    </row>
    <row r="1086" spans="11:11" ht="12.75" customHeight="1" x14ac:dyDescent="0.3">
      <c r="K1086" s="40"/>
    </row>
    <row r="1087" spans="11:11" ht="12.75" customHeight="1" x14ac:dyDescent="0.3">
      <c r="K1087" s="40"/>
    </row>
    <row r="1088" spans="11:11" ht="12.75" customHeight="1" x14ac:dyDescent="0.3">
      <c r="K1088" s="40"/>
    </row>
    <row r="1089" spans="11:11" ht="12.75" customHeight="1" x14ac:dyDescent="0.3">
      <c r="K1089" s="40"/>
    </row>
    <row r="1090" spans="11:11" ht="12.75" customHeight="1" x14ac:dyDescent="0.3">
      <c r="K1090" s="40"/>
    </row>
    <row r="1091" spans="11:11" ht="12.75" customHeight="1" x14ac:dyDescent="0.3">
      <c r="K1091" s="40"/>
    </row>
    <row r="1092" spans="11:11" ht="12.75" customHeight="1" x14ac:dyDescent="0.3">
      <c r="K1092" s="40"/>
    </row>
    <row r="1093" spans="11:11" ht="12.75" customHeight="1" x14ac:dyDescent="0.3">
      <c r="K1093" s="40"/>
    </row>
    <row r="1094" spans="11:11" ht="12.75" customHeight="1" x14ac:dyDescent="0.3">
      <c r="K1094" s="40"/>
    </row>
    <row r="1095" spans="11:11" ht="12.75" customHeight="1" x14ac:dyDescent="0.3">
      <c r="K1095" s="40"/>
    </row>
    <row r="1096" spans="11:11" ht="12.75" customHeight="1" x14ac:dyDescent="0.3">
      <c r="K1096" s="40"/>
    </row>
    <row r="1097" spans="11:11" ht="12.75" customHeight="1" x14ac:dyDescent="0.3">
      <c r="K1097" s="40"/>
    </row>
    <row r="1098" spans="11:11" ht="12.75" customHeight="1" x14ac:dyDescent="0.3">
      <c r="K1098" s="40"/>
    </row>
    <row r="1099" spans="11:11" ht="12.75" customHeight="1" x14ac:dyDescent="0.3">
      <c r="K1099" s="40"/>
    </row>
    <row r="1100" spans="11:11" ht="12.75" customHeight="1" x14ac:dyDescent="0.3">
      <c r="K1100" s="40"/>
    </row>
    <row r="1101" spans="11:11" ht="12.75" customHeight="1" x14ac:dyDescent="0.3">
      <c r="K1101" s="40"/>
    </row>
    <row r="1102" spans="11:11" ht="12.75" customHeight="1" x14ac:dyDescent="0.3">
      <c r="K1102" s="40"/>
    </row>
    <row r="1103" spans="11:11" ht="12.75" customHeight="1" x14ac:dyDescent="0.3">
      <c r="K1103" s="40"/>
    </row>
    <row r="1104" spans="11:11" ht="12.75" customHeight="1" x14ac:dyDescent="0.3">
      <c r="K1104" s="40"/>
    </row>
    <row r="1105" spans="11:11" ht="12.75" customHeight="1" x14ac:dyDescent="0.3">
      <c r="K1105" s="40"/>
    </row>
    <row r="1106" spans="11:11" ht="12.75" customHeight="1" x14ac:dyDescent="0.3">
      <c r="K1106" s="40"/>
    </row>
    <row r="1107" spans="11:11" ht="12.75" customHeight="1" x14ac:dyDescent="0.3">
      <c r="K1107" s="40"/>
    </row>
    <row r="1108" spans="11:11" ht="12.75" customHeight="1" x14ac:dyDescent="0.3">
      <c r="K1108" s="40"/>
    </row>
    <row r="1109" spans="11:11" ht="12.75" customHeight="1" x14ac:dyDescent="0.3">
      <c r="K1109" s="40"/>
    </row>
    <row r="1110" spans="11:11" ht="12.75" customHeight="1" x14ac:dyDescent="0.3">
      <c r="K1110" s="40"/>
    </row>
    <row r="1111" spans="11:11" ht="12.75" customHeight="1" x14ac:dyDescent="0.3">
      <c r="K1111" s="40"/>
    </row>
    <row r="1112" spans="11:11" ht="12.75" customHeight="1" x14ac:dyDescent="0.3">
      <c r="K1112" s="40"/>
    </row>
    <row r="1113" spans="11:11" ht="12.75" customHeight="1" x14ac:dyDescent="0.3">
      <c r="K1113" s="40"/>
    </row>
    <row r="1114" spans="11:11" ht="12.75" customHeight="1" x14ac:dyDescent="0.3">
      <c r="K1114" s="40"/>
    </row>
    <row r="1115" spans="11:11" ht="12.75" customHeight="1" x14ac:dyDescent="0.3">
      <c r="K1115" s="40"/>
    </row>
    <row r="1116" spans="11:11" ht="12.75" customHeight="1" x14ac:dyDescent="0.3">
      <c r="K1116" s="40"/>
    </row>
    <row r="1117" spans="11:11" ht="12.75" customHeight="1" x14ac:dyDescent="0.3">
      <c r="K1117" s="40"/>
    </row>
    <row r="1118" spans="11:11" ht="12.75" customHeight="1" x14ac:dyDescent="0.3">
      <c r="K1118" s="40"/>
    </row>
    <row r="1119" spans="11:11" ht="12.75" customHeight="1" x14ac:dyDescent="0.3">
      <c r="K1119" s="40"/>
    </row>
    <row r="1120" spans="11:11" ht="12.75" customHeight="1" x14ac:dyDescent="0.3">
      <c r="K1120" s="40"/>
    </row>
    <row r="1121" spans="11:11" ht="12.75" customHeight="1" x14ac:dyDescent="0.3">
      <c r="K1121" s="40"/>
    </row>
    <row r="1122" spans="11:11" ht="12.75" customHeight="1" x14ac:dyDescent="0.3">
      <c r="K1122" s="40"/>
    </row>
    <row r="1123" spans="11:11" ht="12.75" customHeight="1" x14ac:dyDescent="0.3">
      <c r="K1123" s="40"/>
    </row>
    <row r="1124" spans="11:11" ht="12.75" customHeight="1" x14ac:dyDescent="0.3">
      <c r="K1124" s="40"/>
    </row>
    <row r="1125" spans="11:11" ht="12.75" customHeight="1" x14ac:dyDescent="0.3">
      <c r="K1125" s="40"/>
    </row>
    <row r="1126" spans="11:11" ht="12.75" customHeight="1" x14ac:dyDescent="0.3">
      <c r="K1126" s="40"/>
    </row>
    <row r="1127" spans="11:11" ht="12.75" customHeight="1" x14ac:dyDescent="0.3">
      <c r="K1127" s="40"/>
    </row>
    <row r="1128" spans="11:11" ht="12.75" customHeight="1" x14ac:dyDescent="0.3">
      <c r="K1128" s="40"/>
    </row>
    <row r="1129" spans="11:11" ht="12.75" customHeight="1" x14ac:dyDescent="0.3">
      <c r="K1129" s="40"/>
    </row>
    <row r="1130" spans="11:11" ht="12.75" customHeight="1" x14ac:dyDescent="0.3">
      <c r="K1130" s="40"/>
    </row>
    <row r="1131" spans="11:11" ht="12.75" customHeight="1" x14ac:dyDescent="0.3">
      <c r="K1131" s="40"/>
    </row>
    <row r="1132" spans="11:11" ht="12.75" customHeight="1" x14ac:dyDescent="0.3">
      <c r="K1132" s="40"/>
    </row>
    <row r="1133" spans="11:11" ht="12.75" customHeight="1" x14ac:dyDescent="0.3">
      <c r="K1133" s="40"/>
    </row>
    <row r="1134" spans="11:11" ht="12.75" customHeight="1" x14ac:dyDescent="0.3">
      <c r="K1134" s="40"/>
    </row>
    <row r="1135" spans="11:11" ht="12.75" customHeight="1" x14ac:dyDescent="0.3">
      <c r="K1135" s="40"/>
    </row>
    <row r="1136" spans="11:11" ht="12.75" customHeight="1" x14ac:dyDescent="0.3">
      <c r="K1136" s="40"/>
    </row>
    <row r="1137" spans="11:11" ht="12.75" customHeight="1" x14ac:dyDescent="0.3">
      <c r="K1137" s="40"/>
    </row>
    <row r="1138" spans="11:11" ht="12.75" customHeight="1" x14ac:dyDescent="0.3">
      <c r="K1138" s="40"/>
    </row>
    <row r="1139" spans="11:11" ht="12.75" customHeight="1" x14ac:dyDescent="0.3">
      <c r="K1139" s="40"/>
    </row>
    <row r="1140" spans="11:11" ht="12.75" customHeight="1" x14ac:dyDescent="0.3">
      <c r="K1140" s="40"/>
    </row>
    <row r="1141" spans="11:11" ht="12.75" customHeight="1" x14ac:dyDescent="0.3">
      <c r="K1141" s="40"/>
    </row>
    <row r="1142" spans="11:11" ht="12.75" customHeight="1" x14ac:dyDescent="0.3">
      <c r="K1142" s="40"/>
    </row>
    <row r="1143" spans="11:11" ht="12.75" customHeight="1" x14ac:dyDescent="0.3">
      <c r="K1143" s="40"/>
    </row>
    <row r="1144" spans="11:11" ht="12.75" customHeight="1" x14ac:dyDescent="0.3">
      <c r="K1144" s="40"/>
    </row>
    <row r="1145" spans="11:11" ht="12.75" customHeight="1" x14ac:dyDescent="0.3">
      <c r="K1145" s="40"/>
    </row>
    <row r="1146" spans="11:11" ht="12.75" customHeight="1" x14ac:dyDescent="0.3">
      <c r="K1146" s="40"/>
    </row>
    <row r="1147" spans="11:11" ht="12.75" customHeight="1" x14ac:dyDescent="0.3">
      <c r="K1147" s="40"/>
    </row>
    <row r="1148" spans="11:11" ht="12.75" customHeight="1" x14ac:dyDescent="0.3">
      <c r="K1148" s="40"/>
    </row>
    <row r="1149" spans="11:11" ht="12.75" customHeight="1" x14ac:dyDescent="0.3">
      <c r="K1149" s="40"/>
    </row>
  </sheetData>
  <phoneticPr fontId="0" type="noConversion"/>
  <pageMargins left="0.75" right="0.75" top="1" bottom="1" header="0.5" footer="0.5"/>
  <headerFooter alignWithMargins="0"/>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A18" sqref="A18"/>
    </sheetView>
  </sheetViews>
  <sheetFormatPr defaultRowHeight="12.5" x14ac:dyDescent="0.25"/>
  <cols>
    <col min="1" max="1" width="41.81640625" customWidth="1"/>
    <col min="2" max="2" width="10.81640625" customWidth="1"/>
    <col min="3" max="3" width="7.81640625" customWidth="1"/>
    <col min="4" max="4" width="10.81640625" customWidth="1"/>
    <col min="5" max="5" width="7.81640625" customWidth="1"/>
    <col min="6" max="6" width="10.81640625" customWidth="1"/>
    <col min="8" max="8" width="10.81640625" customWidth="1"/>
    <col min="9" max="9" width="7.81640625" customWidth="1"/>
    <col min="10" max="10" width="10.81640625" customWidth="1"/>
    <col min="11" max="11" width="7.81640625" customWidth="1"/>
    <col min="12" max="12" width="10.81640625" customWidth="1"/>
  </cols>
  <sheetData>
    <row r="1" spans="1:6" ht="13" x14ac:dyDescent="0.3">
      <c r="A1" s="61" t="s">
        <v>146</v>
      </c>
      <c r="B1" s="50" t="str">
        <f>model</f>
        <v>ME Grain &amp; Pulse</v>
      </c>
      <c r="C1" s="50"/>
      <c r="D1" s="50"/>
      <c r="E1" s="17"/>
      <c r="F1" s="17"/>
    </row>
    <row r="3" spans="1:6" ht="13" x14ac:dyDescent="0.3">
      <c r="A3" s="7" t="s">
        <v>477</v>
      </c>
      <c r="B3" s="55" t="s">
        <v>92</v>
      </c>
      <c r="C3" s="54">
        <f>sudan</f>
        <v>0</v>
      </c>
      <c r="D3" s="17" t="s">
        <v>93</v>
      </c>
      <c r="E3" s="17"/>
      <c r="F3" s="17"/>
    </row>
    <row r="4" spans="1:6" ht="13" x14ac:dyDescent="0.3">
      <c r="A4" s="8"/>
      <c r="B4" s="55" t="s">
        <v>232</v>
      </c>
      <c r="C4" s="157">
        <f>Data!B258</f>
        <v>6.5</v>
      </c>
      <c r="D4" s="17" t="s">
        <v>235</v>
      </c>
      <c r="E4" s="54">
        <f>(C4*2000)/100</f>
        <v>130</v>
      </c>
      <c r="F4" s="17" t="s">
        <v>233</v>
      </c>
    </row>
    <row r="5" spans="1:6" ht="13" x14ac:dyDescent="0.3">
      <c r="A5" s="8"/>
      <c r="B5" s="55" t="s">
        <v>284</v>
      </c>
      <c r="C5" s="99">
        <f>Data!B255</f>
        <v>0</v>
      </c>
      <c r="D5" s="79" t="s">
        <v>286</v>
      </c>
      <c r="E5" s="17"/>
      <c r="F5" s="17"/>
    </row>
    <row r="7" spans="1:6" ht="15.5" x14ac:dyDescent="0.35">
      <c r="A7" s="751" t="s">
        <v>477</v>
      </c>
      <c r="B7" s="697" t="s">
        <v>76</v>
      </c>
      <c r="C7" s="697"/>
      <c r="D7" s="697" t="s">
        <v>77</v>
      </c>
      <c r="E7" s="698"/>
      <c r="F7" s="697" t="s">
        <v>385</v>
      </c>
    </row>
    <row r="8" spans="1:6" ht="15.5" x14ac:dyDescent="0.35">
      <c r="A8" s="699" t="s">
        <v>362</v>
      </c>
      <c r="B8" s="759">
        <f>C3</f>
        <v>0</v>
      </c>
      <c r="C8" s="701"/>
      <c r="D8" s="702" t="s">
        <v>363</v>
      </c>
      <c r="E8" s="699"/>
      <c r="F8" s="702" t="s">
        <v>363</v>
      </c>
    </row>
    <row r="9" spans="1:6" ht="15.5" x14ac:dyDescent="0.35">
      <c r="A9" s="699" t="s">
        <v>478</v>
      </c>
      <c r="B9" s="759">
        <f>C3*C4</f>
        <v>0</v>
      </c>
      <c r="C9" s="701"/>
      <c r="D9" s="770">
        <f>C4</f>
        <v>6.5</v>
      </c>
      <c r="E9" s="699"/>
      <c r="F9" s="702" t="s">
        <v>363</v>
      </c>
    </row>
    <row r="10" spans="1:6" ht="15.5" x14ac:dyDescent="0.35">
      <c r="A10" s="699" t="s">
        <v>589</v>
      </c>
      <c r="B10" s="702" t="s">
        <v>363</v>
      </c>
      <c r="C10" s="716"/>
      <c r="D10" s="702" t="s">
        <v>363</v>
      </c>
      <c r="E10" s="752"/>
      <c r="F10" s="715">
        <f>C5</f>
        <v>0</v>
      </c>
    </row>
    <row r="11" spans="1:6" ht="15.5" x14ac:dyDescent="0.35">
      <c r="A11" s="699"/>
      <c r="B11" s="706"/>
      <c r="C11" s="706"/>
      <c r="D11" s="706"/>
      <c r="E11" s="744"/>
      <c r="F11" s="706"/>
    </row>
    <row r="12" spans="1:6" ht="15" x14ac:dyDescent="0.3">
      <c r="A12" s="709" t="s">
        <v>230</v>
      </c>
      <c r="B12" s="710">
        <f>C4*C5*sudan</f>
        <v>0</v>
      </c>
      <c r="C12" s="711"/>
      <c r="D12" s="777" t="e">
        <f>B12/sudan</f>
        <v>#DIV/0!</v>
      </c>
      <c r="E12" s="782"/>
      <c r="F12" s="777" t="e">
        <f>B12/($C$4*sudan)</f>
        <v>#DIV/0!</v>
      </c>
    </row>
    <row r="13" spans="1:6" ht="15.5" x14ac:dyDescent="0.35">
      <c r="A13" s="699"/>
      <c r="B13" s="721"/>
      <c r="C13" s="721"/>
      <c r="D13" s="777"/>
      <c r="E13" s="777"/>
      <c r="F13" s="777"/>
    </row>
    <row r="14" spans="1:6" ht="15.5" x14ac:dyDescent="0.35">
      <c r="A14" s="709" t="s">
        <v>365</v>
      </c>
      <c r="B14" s="715"/>
      <c r="C14" s="715"/>
      <c r="D14" s="719"/>
      <c r="E14" s="719"/>
      <c r="F14" s="719"/>
    </row>
    <row r="15" spans="1:6" ht="15.5" x14ac:dyDescent="0.35">
      <c r="A15" s="714" t="s">
        <v>13</v>
      </c>
      <c r="B15" s="715">
        <f>SudOprC!H9</f>
        <v>0</v>
      </c>
      <c r="C15" s="716"/>
      <c r="D15" s="717" t="e">
        <f t="shared" ref="D15:D33" si="0">B15/sudan</f>
        <v>#DIV/0!</v>
      </c>
      <c r="E15" s="718"/>
      <c r="F15" s="717" t="e">
        <f t="shared" ref="F15:F33" si="1">B15/($C$4*sudan)</f>
        <v>#DIV/0!</v>
      </c>
    </row>
    <row r="16" spans="1:6" ht="15.5" x14ac:dyDescent="0.35">
      <c r="A16" s="714" t="s">
        <v>1</v>
      </c>
      <c r="B16" s="715">
        <f>SudOprC!H11</f>
        <v>0</v>
      </c>
      <c r="C16" s="716"/>
      <c r="D16" s="717" t="e">
        <f t="shared" si="0"/>
        <v>#DIV/0!</v>
      </c>
      <c r="E16" s="718"/>
      <c r="F16" s="717" t="e">
        <f t="shared" si="1"/>
        <v>#DIV/0!</v>
      </c>
    </row>
    <row r="17" spans="1:6" ht="15.5" x14ac:dyDescent="0.35">
      <c r="A17" s="714" t="s">
        <v>2</v>
      </c>
      <c r="B17" s="715">
        <f>SudOprC!H12</f>
        <v>0</v>
      </c>
      <c r="C17" s="716"/>
      <c r="D17" s="717" t="e">
        <f t="shared" si="0"/>
        <v>#DIV/0!</v>
      </c>
      <c r="E17" s="718"/>
      <c r="F17" s="717" t="e">
        <f t="shared" si="1"/>
        <v>#DIV/0!</v>
      </c>
    </row>
    <row r="18" spans="1:6" ht="15.5" x14ac:dyDescent="0.35">
      <c r="A18" s="714" t="s">
        <v>1476</v>
      </c>
      <c r="B18" s="783"/>
      <c r="C18" s="783"/>
      <c r="D18" s="783"/>
      <c r="E18" s="783"/>
      <c r="F18" s="783"/>
    </row>
    <row r="19" spans="1:6" ht="15.5" x14ac:dyDescent="0.35">
      <c r="A19" s="714" t="s">
        <v>1119</v>
      </c>
      <c r="B19" s="745">
        <f>SUM(SudOprC!H13:H14)</f>
        <v>0</v>
      </c>
      <c r="C19" s="746"/>
      <c r="D19" s="754" t="e">
        <f>B19/sudan</f>
        <v>#DIV/0!</v>
      </c>
      <c r="E19" s="718"/>
      <c r="F19" s="754" t="e">
        <f>B19/($C$4*sudan)</f>
        <v>#DIV/0!</v>
      </c>
    </row>
    <row r="20" spans="1:6" ht="15.5" x14ac:dyDescent="0.35">
      <c r="A20" s="714" t="s">
        <v>1120</v>
      </c>
      <c r="B20" s="745">
        <v>0</v>
      </c>
      <c r="C20" s="746"/>
      <c r="D20" s="755" t="e">
        <f>B20/sudan</f>
        <v>#DIV/0!</v>
      </c>
      <c r="E20" s="720"/>
      <c r="F20" s="755" t="e">
        <f>B20/($C$4*sudan)</f>
        <v>#DIV/0!</v>
      </c>
    </row>
    <row r="21" spans="1:6" ht="15.5" x14ac:dyDescent="0.35">
      <c r="A21" s="714" t="s">
        <v>14</v>
      </c>
      <c r="B21" s="715">
        <f>SUM(SudOprC!H16:H27)</f>
        <v>0</v>
      </c>
      <c r="C21" s="716"/>
      <c r="D21" s="717" t="e">
        <f t="shared" si="0"/>
        <v>#DIV/0!</v>
      </c>
      <c r="E21" s="718"/>
      <c r="F21" s="717" t="e">
        <f t="shared" si="1"/>
        <v>#DIV/0!</v>
      </c>
    </row>
    <row r="22" spans="1:6" ht="15.5" x14ac:dyDescent="0.35">
      <c r="A22" s="714" t="s">
        <v>169</v>
      </c>
      <c r="B22" s="715">
        <f>SUM(SudOprC!H30:H41)</f>
        <v>0</v>
      </c>
      <c r="C22" s="716"/>
      <c r="D22" s="717" t="e">
        <f t="shared" si="0"/>
        <v>#DIV/0!</v>
      </c>
      <c r="E22" s="718"/>
      <c r="F22" s="717" t="e">
        <f t="shared" si="1"/>
        <v>#DIV/0!</v>
      </c>
    </row>
    <row r="23" spans="1:6" ht="15.5" x14ac:dyDescent="0.35">
      <c r="A23" s="714" t="s">
        <v>78</v>
      </c>
      <c r="B23" s="715">
        <f>SUM(SudOprC!H42:H43)</f>
        <v>0</v>
      </c>
      <c r="C23" s="716"/>
      <c r="D23" s="717" t="e">
        <f t="shared" si="0"/>
        <v>#DIV/0!</v>
      </c>
      <c r="E23" s="718"/>
      <c r="F23" s="717" t="e">
        <f t="shared" si="1"/>
        <v>#DIV/0!</v>
      </c>
    </row>
    <row r="24" spans="1:6" ht="15.5" x14ac:dyDescent="0.35">
      <c r="A24" s="714" t="s">
        <v>170</v>
      </c>
      <c r="B24" s="732">
        <f>SudOprC!H44</f>
        <v>0</v>
      </c>
      <c r="C24" s="733"/>
      <c r="D24" s="719" t="e">
        <f t="shared" si="0"/>
        <v>#DIV/0!</v>
      </c>
      <c r="E24" s="720"/>
      <c r="F24" s="719" t="e">
        <f t="shared" si="1"/>
        <v>#DIV/0!</v>
      </c>
    </row>
    <row r="25" spans="1:6" ht="15.5" x14ac:dyDescent="0.35">
      <c r="A25" s="714" t="s">
        <v>171</v>
      </c>
      <c r="B25" s="732">
        <f>SUM(SudOprC!H45:H46)</f>
        <v>0</v>
      </c>
      <c r="C25" s="733"/>
      <c r="D25" s="717" t="e">
        <f t="shared" si="0"/>
        <v>#DIV/0!</v>
      </c>
      <c r="E25" s="718"/>
      <c r="F25" s="717" t="e">
        <f t="shared" si="1"/>
        <v>#DIV/0!</v>
      </c>
    </row>
    <row r="26" spans="1:6" ht="15.5" x14ac:dyDescent="0.35">
      <c r="A26" s="714" t="s">
        <v>172</v>
      </c>
      <c r="B26" s="699"/>
      <c r="C26" s="699"/>
      <c r="D26" s="703"/>
      <c r="E26" s="703"/>
      <c r="F26" s="703"/>
    </row>
    <row r="27" spans="1:6" ht="15.5" x14ac:dyDescent="0.35">
      <c r="A27" s="734" t="s">
        <v>378</v>
      </c>
      <c r="B27" s="715">
        <f>SudOprC!H48</f>
        <v>0</v>
      </c>
      <c r="C27" s="743"/>
      <c r="D27" s="717" t="e">
        <f t="shared" si="0"/>
        <v>#DIV/0!</v>
      </c>
      <c r="E27" s="718"/>
      <c r="F27" s="717" t="e">
        <f t="shared" si="1"/>
        <v>#DIV/0!</v>
      </c>
    </row>
    <row r="28" spans="1:6" ht="15.5" x14ac:dyDescent="0.35">
      <c r="A28" s="734" t="s">
        <v>379</v>
      </c>
      <c r="B28" s="715">
        <f>SudOprC!H49</f>
        <v>0</v>
      </c>
      <c r="C28" s="743"/>
      <c r="D28" s="719" t="e">
        <f t="shared" si="0"/>
        <v>#DIV/0!</v>
      </c>
      <c r="E28" s="720"/>
      <c r="F28" s="719" t="e">
        <f t="shared" si="1"/>
        <v>#DIV/0!</v>
      </c>
    </row>
    <row r="29" spans="1:6" ht="15.5" x14ac:dyDescent="0.35">
      <c r="A29" s="734" t="s">
        <v>380</v>
      </c>
      <c r="B29" s="732">
        <f>SUM(SudOprC!H51:H52)</f>
        <v>0</v>
      </c>
      <c r="C29" s="733"/>
      <c r="D29" s="717" t="e">
        <f t="shared" si="0"/>
        <v>#DIV/0!</v>
      </c>
      <c r="E29" s="718"/>
      <c r="F29" s="717" t="e">
        <f t="shared" si="1"/>
        <v>#DIV/0!</v>
      </c>
    </row>
    <row r="30" spans="1:6" ht="15.5" x14ac:dyDescent="0.35">
      <c r="A30" s="734" t="s">
        <v>381</v>
      </c>
      <c r="B30" s="732">
        <f>SudOprC!H53</f>
        <v>0</v>
      </c>
      <c r="C30" s="733"/>
      <c r="D30" s="719" t="e">
        <f t="shared" si="0"/>
        <v>#DIV/0!</v>
      </c>
      <c r="E30" s="720"/>
      <c r="F30" s="719" t="e">
        <f t="shared" si="1"/>
        <v>#DIV/0!</v>
      </c>
    </row>
    <row r="31" spans="1:6" ht="15.5" x14ac:dyDescent="0.35">
      <c r="A31" s="734" t="s">
        <v>382</v>
      </c>
      <c r="B31" s="732">
        <f>SudOprC!H54</f>
        <v>0</v>
      </c>
      <c r="C31" s="733"/>
      <c r="D31" s="719" t="e">
        <f t="shared" si="0"/>
        <v>#DIV/0!</v>
      </c>
      <c r="E31" s="720"/>
      <c r="F31" s="719" t="e">
        <f t="shared" si="1"/>
        <v>#DIV/0!</v>
      </c>
    </row>
    <row r="32" spans="1:6" ht="15.5" x14ac:dyDescent="0.35">
      <c r="A32" s="734" t="s">
        <v>383</v>
      </c>
      <c r="B32" s="732">
        <f>SUM(SudOprC!H55:H57)</f>
        <v>0</v>
      </c>
      <c r="C32" s="733"/>
      <c r="D32" s="719" t="e">
        <f t="shared" si="0"/>
        <v>#DIV/0!</v>
      </c>
      <c r="E32" s="720"/>
      <c r="F32" s="719" t="e">
        <f t="shared" si="1"/>
        <v>#DIV/0!</v>
      </c>
    </row>
    <row r="33" spans="1:12" ht="15.5" x14ac:dyDescent="0.35">
      <c r="A33" s="714" t="s">
        <v>69</v>
      </c>
      <c r="B33" s="732">
        <f>SudOprC!H61</f>
        <v>0</v>
      </c>
      <c r="C33" s="733"/>
      <c r="D33" s="717" t="e">
        <f t="shared" si="0"/>
        <v>#DIV/0!</v>
      </c>
      <c r="E33" s="718"/>
      <c r="F33" s="717" t="e">
        <f t="shared" si="1"/>
        <v>#DIV/0!</v>
      </c>
    </row>
    <row r="34" spans="1:12" ht="15.5" x14ac:dyDescent="0.35">
      <c r="A34" s="709" t="s">
        <v>366</v>
      </c>
      <c r="B34" s="780">
        <f>SUM(B15:B33)</f>
        <v>0</v>
      </c>
      <c r="C34" s="733"/>
      <c r="D34" s="737" t="e">
        <f>SUM(D15:D33)</f>
        <v>#DIV/0!</v>
      </c>
      <c r="E34" s="718"/>
      <c r="F34" s="737" t="e">
        <f>SUM(F15:F33)</f>
        <v>#DIV/0!</v>
      </c>
    </row>
    <row r="35" spans="1:12" ht="15.5" x14ac:dyDescent="0.35">
      <c r="A35" s="738"/>
      <c r="B35" s="732"/>
      <c r="C35" s="733"/>
      <c r="D35" s="739"/>
      <c r="E35" s="740"/>
      <c r="F35" s="740"/>
    </row>
    <row r="36" spans="1:12" ht="15.5" x14ac:dyDescent="0.35">
      <c r="A36" s="709" t="s">
        <v>367</v>
      </c>
      <c r="B36" s="732"/>
      <c r="C36" s="733"/>
      <c r="D36" s="739"/>
      <c r="E36" s="740"/>
      <c r="F36" s="740"/>
    </row>
    <row r="37" spans="1:12" ht="15.5" x14ac:dyDescent="0.35">
      <c r="A37" s="714" t="s">
        <v>29</v>
      </c>
      <c r="B37" s="732"/>
      <c r="C37" s="733"/>
      <c r="D37" s="717"/>
      <c r="E37" s="740"/>
      <c r="F37" s="717"/>
      <c r="H37" s="764" t="s">
        <v>29</v>
      </c>
      <c r="I37" s="17"/>
      <c r="J37" s="17"/>
      <c r="K37" s="17"/>
      <c r="L37" s="17"/>
    </row>
    <row r="38" spans="1:12" ht="15.5" x14ac:dyDescent="0.35">
      <c r="A38" s="734" t="s">
        <v>1240</v>
      </c>
      <c r="B38" s="732">
        <f>SUM(SudOwnC!H8:H10)</f>
        <v>0</v>
      </c>
      <c r="C38" s="733"/>
      <c r="D38" s="717" t="e">
        <f t="shared" ref="D38:D50" si="2">B38/sudan</f>
        <v>#DIV/0!</v>
      </c>
      <c r="E38" s="740"/>
      <c r="F38" s="717" t="e">
        <f t="shared" ref="F38:F50" si="3">B38/($C$4*sudan)</f>
        <v>#DIV/0!</v>
      </c>
      <c r="H38" s="697" t="s">
        <v>76</v>
      </c>
      <c r="I38" s="697"/>
      <c r="J38" s="697" t="s">
        <v>77</v>
      </c>
      <c r="K38" s="698"/>
      <c r="L38" s="697" t="s">
        <v>385</v>
      </c>
    </row>
    <row r="39" spans="1:12" ht="15.5" x14ac:dyDescent="0.35">
      <c r="A39" s="734" t="s">
        <v>1241</v>
      </c>
      <c r="B39" s="732">
        <f>SUM(SudOwnC!H11:H13)</f>
        <v>0</v>
      </c>
      <c r="C39" s="733"/>
      <c r="D39" s="719" t="e">
        <f t="shared" si="2"/>
        <v>#DIV/0!</v>
      </c>
      <c r="E39" s="786"/>
      <c r="F39" s="719" t="e">
        <f t="shared" si="3"/>
        <v>#DIV/0!</v>
      </c>
      <c r="H39" s="763">
        <f>SUM(B38:B49)</f>
        <v>0</v>
      </c>
      <c r="I39" s="17"/>
      <c r="J39" s="756" t="e">
        <f>SUM(D38:D49)</f>
        <v>#DIV/0!</v>
      </c>
      <c r="K39" s="17"/>
      <c r="L39" s="756" t="e">
        <f>SUM(F38:F49)</f>
        <v>#DIV/0!</v>
      </c>
    </row>
    <row r="40" spans="1:12" ht="15.5" x14ac:dyDescent="0.35">
      <c r="A40" s="734" t="s">
        <v>1243</v>
      </c>
      <c r="B40" s="732">
        <f>SUM(SudOwnC!H14:H18)</f>
        <v>0</v>
      </c>
      <c r="C40" s="733"/>
      <c r="D40" s="717" t="e">
        <f t="shared" si="2"/>
        <v>#DIV/0!</v>
      </c>
      <c r="E40" s="740"/>
      <c r="F40" s="717" t="e">
        <f t="shared" si="3"/>
        <v>#DIV/0!</v>
      </c>
    </row>
    <row r="41" spans="1:12" ht="15.5" x14ac:dyDescent="0.35">
      <c r="A41" s="734" t="s">
        <v>1242</v>
      </c>
      <c r="B41" s="732">
        <f>SUM(SudOwnC!H19:H22)</f>
        <v>0</v>
      </c>
      <c r="C41" s="733"/>
      <c r="D41" s="717" t="e">
        <f t="shared" si="2"/>
        <v>#DIV/0!</v>
      </c>
      <c r="E41" s="740"/>
      <c r="F41" s="717" t="e">
        <f t="shared" si="3"/>
        <v>#DIV/0!</v>
      </c>
    </row>
    <row r="42" spans="1:12" ht="15.5" x14ac:dyDescent="0.35">
      <c r="A42" s="734" t="s">
        <v>1244</v>
      </c>
      <c r="B42" s="732">
        <f>SUM(SudOwnC!H23:H25)</f>
        <v>0</v>
      </c>
      <c r="C42" s="733"/>
      <c r="D42" s="717" t="e">
        <f t="shared" si="2"/>
        <v>#DIV/0!</v>
      </c>
      <c r="E42" s="740"/>
      <c r="F42" s="717" t="e">
        <f t="shared" si="3"/>
        <v>#DIV/0!</v>
      </c>
    </row>
    <row r="43" spans="1:12" ht="15.5" x14ac:dyDescent="0.35">
      <c r="A43" s="734" t="s">
        <v>1245</v>
      </c>
      <c r="B43" s="732">
        <f>0</f>
        <v>0</v>
      </c>
      <c r="C43" s="733"/>
      <c r="D43" s="719" t="e">
        <f t="shared" si="2"/>
        <v>#DIV/0!</v>
      </c>
      <c r="E43" s="786"/>
      <c r="F43" s="719" t="e">
        <f t="shared" si="3"/>
        <v>#DIV/0!</v>
      </c>
    </row>
    <row r="44" spans="1:12" ht="15.5" x14ac:dyDescent="0.35">
      <c r="A44" s="734" t="s">
        <v>1246</v>
      </c>
      <c r="B44" s="732">
        <f>0</f>
        <v>0</v>
      </c>
      <c r="C44" s="733"/>
      <c r="D44" s="719" t="e">
        <f t="shared" si="2"/>
        <v>#DIV/0!</v>
      </c>
      <c r="E44" s="786"/>
      <c r="F44" s="719" t="e">
        <f t="shared" si="3"/>
        <v>#DIV/0!</v>
      </c>
    </row>
    <row r="45" spans="1:12" ht="15.5" x14ac:dyDescent="0.35">
      <c r="A45" s="734" t="s">
        <v>1247</v>
      </c>
      <c r="B45" s="732">
        <f>SUM(SudOwnC!H26:H29)</f>
        <v>0</v>
      </c>
      <c r="C45" s="733"/>
      <c r="D45" s="717" t="e">
        <f t="shared" si="2"/>
        <v>#DIV/0!</v>
      </c>
      <c r="E45" s="740"/>
      <c r="F45" s="785" t="e">
        <f t="shared" si="3"/>
        <v>#DIV/0!</v>
      </c>
    </row>
    <row r="46" spans="1:12" ht="15.5" x14ac:dyDescent="0.35">
      <c r="A46" s="734" t="s">
        <v>1250</v>
      </c>
      <c r="B46" s="732">
        <f>0</f>
        <v>0</v>
      </c>
      <c r="C46" s="733"/>
      <c r="D46" s="719" t="e">
        <f t="shared" si="2"/>
        <v>#DIV/0!</v>
      </c>
      <c r="E46" s="786"/>
      <c r="F46" s="719" t="e">
        <f t="shared" si="3"/>
        <v>#DIV/0!</v>
      </c>
    </row>
    <row r="47" spans="1:12" ht="15.5" x14ac:dyDescent="0.35">
      <c r="A47" s="734" t="s">
        <v>1304</v>
      </c>
      <c r="B47" s="732">
        <f>0</f>
        <v>0</v>
      </c>
      <c r="C47" s="733"/>
      <c r="D47" s="719" t="e">
        <f t="shared" si="2"/>
        <v>#DIV/0!</v>
      </c>
      <c r="E47" s="786"/>
      <c r="F47" s="719" t="e">
        <f t="shared" si="3"/>
        <v>#DIV/0!</v>
      </c>
    </row>
    <row r="48" spans="1:12" ht="15.5" x14ac:dyDescent="0.35">
      <c r="A48" s="734" t="s">
        <v>1248</v>
      </c>
      <c r="B48" s="732">
        <f>SUM(SudOwnC!H30:H31)</f>
        <v>0</v>
      </c>
      <c r="C48" s="733"/>
      <c r="D48" s="717" t="e">
        <f t="shared" si="2"/>
        <v>#DIV/0!</v>
      </c>
      <c r="E48" s="740"/>
      <c r="F48" s="717" t="e">
        <f t="shared" si="3"/>
        <v>#DIV/0!</v>
      </c>
    </row>
    <row r="49" spans="1:6" ht="15.5" x14ac:dyDescent="0.35">
      <c r="A49" s="734" t="s">
        <v>1249</v>
      </c>
      <c r="B49" s="732">
        <f>SUM(SudOwnC!H32:H34)</f>
        <v>0</v>
      </c>
      <c r="C49" s="733"/>
      <c r="D49" s="717" t="e">
        <f t="shared" si="2"/>
        <v>#DIV/0!</v>
      </c>
      <c r="E49" s="740"/>
      <c r="F49" s="717" t="e">
        <f t="shared" si="3"/>
        <v>#DIV/0!</v>
      </c>
    </row>
    <row r="50" spans="1:6" ht="15.5" x14ac:dyDescent="0.35">
      <c r="A50" s="714" t="s">
        <v>79</v>
      </c>
      <c r="B50" s="732">
        <f>SudOwnC!L42</f>
        <v>0</v>
      </c>
      <c r="C50" s="733"/>
      <c r="D50" s="717" t="e">
        <f t="shared" si="2"/>
        <v>#DIV/0!</v>
      </c>
      <c r="E50" s="740"/>
      <c r="F50" s="717" t="e">
        <f t="shared" si="3"/>
        <v>#DIV/0!</v>
      </c>
    </row>
    <row r="51" spans="1:6" ht="15.5" x14ac:dyDescent="0.35">
      <c r="A51" s="709" t="s">
        <v>368</v>
      </c>
      <c r="B51" s="780">
        <f>SUM(B37:B50)</f>
        <v>0</v>
      </c>
      <c r="C51" s="733"/>
      <c r="D51" s="737" t="e">
        <f>SUM(D37:D50)</f>
        <v>#DIV/0!</v>
      </c>
      <c r="E51" s="740"/>
      <c r="F51" s="737" t="e">
        <f>SUM(F37:F50)</f>
        <v>#DIV/0!</v>
      </c>
    </row>
    <row r="52" spans="1:6" ht="15.5" x14ac:dyDescent="0.35">
      <c r="A52" s="699"/>
      <c r="B52" s="735"/>
      <c r="C52" s="736"/>
      <c r="D52" s="737"/>
      <c r="E52" s="740"/>
      <c r="F52" s="741"/>
    </row>
    <row r="53" spans="1:6" ht="15.5" x14ac:dyDescent="0.35">
      <c r="A53" s="709" t="s">
        <v>80</v>
      </c>
      <c r="B53" s="780">
        <f>B51+B34</f>
        <v>0</v>
      </c>
      <c r="C53" s="736"/>
      <c r="D53" s="737" t="e">
        <f>D51+D34</f>
        <v>#DIV/0!</v>
      </c>
      <c r="E53" s="740"/>
      <c r="F53" s="737" t="e">
        <f>F51+F34</f>
        <v>#DIV/0!</v>
      </c>
    </row>
    <row r="54" spans="1:6" ht="15.5" x14ac:dyDescent="0.35">
      <c r="A54" s="742"/>
      <c r="B54" s="735"/>
      <c r="C54" s="736"/>
      <c r="D54" s="737"/>
      <c r="E54" s="737"/>
      <c r="F54" s="737"/>
    </row>
    <row r="55" spans="1:6" ht="15" x14ac:dyDescent="0.3">
      <c r="A55" s="709" t="s">
        <v>355</v>
      </c>
      <c r="B55" s="777">
        <f>B12-B53</f>
        <v>0</v>
      </c>
      <c r="C55" s="736"/>
      <c r="D55" s="712" t="e">
        <f>D12-D53</f>
        <v>#DIV/0!</v>
      </c>
      <c r="E55" s="737"/>
      <c r="F55" s="712" t="e">
        <f>F12-F53</f>
        <v>#DIV/0!</v>
      </c>
    </row>
    <row r="56" spans="1:6" ht="15" x14ac:dyDescent="0.3">
      <c r="A56" s="709" t="s">
        <v>356</v>
      </c>
      <c r="B56" s="780">
        <f>B12-B34</f>
        <v>0</v>
      </c>
      <c r="C56" s="736"/>
      <c r="D56" s="737" t="e">
        <f>D12-D34</f>
        <v>#DIV/0!</v>
      </c>
      <c r="E56" s="737"/>
      <c r="F56" s="737" t="e">
        <f>F12-F34</f>
        <v>#DIV/0!</v>
      </c>
    </row>
    <row r="57" spans="1:6" ht="15.5" x14ac:dyDescent="0.35">
      <c r="A57" s="783"/>
      <c r="B57" s="783"/>
      <c r="C57" s="736"/>
      <c r="D57" s="784"/>
      <c r="E57" s="784"/>
      <c r="F57" s="784"/>
    </row>
    <row r="58" spans="1:6" ht="15.5" x14ac:dyDescent="0.35">
      <c r="A58" s="709" t="s">
        <v>234</v>
      </c>
      <c r="B58" s="743"/>
      <c r="C58" s="743"/>
      <c r="D58" s="702"/>
      <c r="E58" s="703"/>
      <c r="F58" s="703"/>
    </row>
    <row r="59" spans="1:6" ht="15.5" x14ac:dyDescent="0.35">
      <c r="A59" s="744" t="s">
        <v>369</v>
      </c>
      <c r="B59" s="703" t="s">
        <v>76</v>
      </c>
      <c r="C59" s="743"/>
      <c r="D59" s="703" t="s">
        <v>393</v>
      </c>
      <c r="E59" s="703"/>
      <c r="F59" s="703" t="s">
        <v>396</v>
      </c>
    </row>
    <row r="60" spans="1:6" ht="15.5" x14ac:dyDescent="0.35">
      <c r="A60" s="714" t="s">
        <v>370</v>
      </c>
      <c r="B60" s="745">
        <f>B53</f>
        <v>0</v>
      </c>
      <c r="C60" s="743"/>
      <c r="D60" s="717" t="e">
        <f>$B$53/sudan</f>
        <v>#DIV/0!</v>
      </c>
      <c r="E60" s="718"/>
      <c r="F60" s="717" t="e">
        <f>$B$53/($C$4*sudan)</f>
        <v>#DIV/0!</v>
      </c>
    </row>
    <row r="61" spans="1:6" ht="15.5" x14ac:dyDescent="0.35">
      <c r="A61" s="714" t="s">
        <v>371</v>
      </c>
      <c r="B61" s="745">
        <f>B34</f>
        <v>0</v>
      </c>
      <c r="C61" s="743"/>
      <c r="D61" s="717" t="e">
        <f>$B$34/sudan</f>
        <v>#DIV/0!</v>
      </c>
      <c r="E61" s="718"/>
      <c r="F61" s="717" t="e">
        <f>$B$34/($C$4*sudan)</f>
        <v>#DIV/0!</v>
      </c>
    </row>
    <row r="62" spans="1:6" ht="15.5" x14ac:dyDescent="0.35">
      <c r="A62" s="714"/>
      <c r="B62" s="743"/>
      <c r="C62" s="743"/>
      <c r="D62" s="717"/>
      <c r="E62" s="718"/>
      <c r="F62" s="717"/>
    </row>
    <row r="63" spans="1:6" ht="15.5" x14ac:dyDescent="0.35">
      <c r="A63" s="744" t="s">
        <v>1099</v>
      </c>
      <c r="B63" s="703" t="s">
        <v>1100</v>
      </c>
      <c r="C63" s="743"/>
      <c r="D63" s="717"/>
      <c r="E63" s="718"/>
      <c r="F63" s="717"/>
    </row>
    <row r="64" spans="1:6" ht="15.5" x14ac:dyDescent="0.35">
      <c r="A64" s="714" t="s">
        <v>1101</v>
      </c>
      <c r="B64" s="746" t="e">
        <f>B55/SUM(SudOprC!E16:E28)</f>
        <v>#DIV/0!</v>
      </c>
      <c r="C64" s="743"/>
      <c r="D64" s="717"/>
      <c r="E64" s="718"/>
      <c r="F64" s="717"/>
    </row>
    <row r="65" spans="1:6" ht="15.5" x14ac:dyDescent="0.35">
      <c r="A65" s="714" t="s">
        <v>1102</v>
      </c>
      <c r="B65" s="746" t="e">
        <f>B56/SUM(SudOprC!E16:E28)</f>
        <v>#DIV/0!</v>
      </c>
      <c r="C65" s="743"/>
      <c r="D65" s="717"/>
      <c r="E65" s="718"/>
      <c r="F65" s="717"/>
    </row>
    <row r="66" spans="1:6" ht="15.5" x14ac:dyDescent="0.35">
      <c r="A66" s="747"/>
      <c r="B66" s="748"/>
      <c r="C66" s="748"/>
      <c r="D66" s="748"/>
      <c r="E66" s="747"/>
      <c r="F66" s="747"/>
    </row>
  </sheetData>
  <phoneticPr fontId="0" type="noConversion"/>
  <pageMargins left="0.75" right="0.75" top="1" bottom="1" header="0.5" footer="0.5"/>
  <pageSetup orientation="portrait" horizontalDpi="4294967294" verticalDpi="0" r:id="rId1"/>
  <headerFooter alignWithMargins="0"/>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01"/>
  <sheetViews>
    <sheetView workbookViewId="0">
      <pane ySplit="7" topLeftCell="A13" activePane="bottomLeft" state="frozen"/>
      <selection pane="bottomLeft" activeCell="J4" sqref="J4"/>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9.90625" style="17" customWidth="1"/>
    <col min="16" max="16384" width="9.08984375" style="17"/>
  </cols>
  <sheetData>
    <row r="1" spans="1:16" x14ac:dyDescent="0.3">
      <c r="A1" s="61" t="s">
        <v>146</v>
      </c>
      <c r="B1" s="17" t="str">
        <f>model</f>
        <v>ME Grain &amp; Pulse</v>
      </c>
      <c r="E1" s="55" t="s">
        <v>106</v>
      </c>
      <c r="F1" s="55" t="s">
        <v>182</v>
      </c>
      <c r="G1" s="55" t="s">
        <v>108</v>
      </c>
    </row>
    <row r="2" spans="1:16" x14ac:dyDescent="0.3">
      <c r="E2" s="55" t="s">
        <v>104</v>
      </c>
      <c r="F2" s="26">
        <f>Data!B132</f>
        <v>282.5</v>
      </c>
      <c r="G2" s="24">
        <f>F2/$F$4</f>
        <v>0.94957983193277307</v>
      </c>
    </row>
    <row r="3" spans="1:16" x14ac:dyDescent="0.3">
      <c r="B3" s="4"/>
      <c r="E3" s="55" t="s">
        <v>523</v>
      </c>
      <c r="F3" s="76">
        <f>Data!G263/100</f>
        <v>15</v>
      </c>
      <c r="G3" s="57">
        <f>F3/$F$4</f>
        <v>5.0420168067226892E-2</v>
      </c>
    </row>
    <row r="4" spans="1:16" x14ac:dyDescent="0.3">
      <c r="A4" s="7" t="s">
        <v>556</v>
      </c>
      <c r="B4" s="8" t="s">
        <v>92</v>
      </c>
      <c r="C4" s="65">
        <f>canola</f>
        <v>0</v>
      </c>
      <c r="D4" s="4" t="s">
        <v>93</v>
      </c>
      <c r="F4" s="26">
        <f>SUM(F2:F3)</f>
        <v>297.5</v>
      </c>
      <c r="G4" s="24">
        <f>SUM(G2:G3)</f>
        <v>1</v>
      </c>
    </row>
    <row r="6" spans="1:16" ht="13.5" x14ac:dyDescent="0.35">
      <c r="A6" s="5" t="s">
        <v>0</v>
      </c>
      <c r="B6" s="5"/>
    </row>
    <row r="7" spans="1:16" s="27" customFormat="1" ht="26" x14ac:dyDescent="0.3">
      <c r="A7" s="41"/>
      <c r="B7" s="391" t="s">
        <v>919</v>
      </c>
      <c r="C7" s="42" t="s">
        <v>21</v>
      </c>
      <c r="D7" s="42" t="s">
        <v>22</v>
      </c>
      <c r="E7" s="227" t="s">
        <v>900</v>
      </c>
      <c r="F7" s="42" t="s">
        <v>23</v>
      </c>
      <c r="G7" s="42" t="s">
        <v>24</v>
      </c>
      <c r="H7" s="42" t="s">
        <v>65</v>
      </c>
    </row>
    <row r="8" spans="1:16" x14ac:dyDescent="0.3">
      <c r="A8" s="3" t="s">
        <v>13</v>
      </c>
      <c r="B8" s="3"/>
      <c r="L8" s="55" t="s">
        <v>646</v>
      </c>
      <c r="M8" s="55" t="s">
        <v>646</v>
      </c>
      <c r="N8" s="55" t="s">
        <v>646</v>
      </c>
      <c r="P8" s="55" t="s">
        <v>1</v>
      </c>
    </row>
    <row r="9" spans="1:16" x14ac:dyDescent="0.3">
      <c r="A9" s="6" t="s">
        <v>523</v>
      </c>
      <c r="B9" s="397">
        <v>1</v>
      </c>
      <c r="C9" s="278">
        <v>5</v>
      </c>
      <c r="D9" s="34" t="s">
        <v>126</v>
      </c>
      <c r="E9" s="60">
        <f>C9*canola</f>
        <v>0</v>
      </c>
      <c r="F9" s="283">
        <f>31.15/3.5</f>
        <v>8.9</v>
      </c>
      <c r="G9" s="114">
        <f>C9*F9</f>
        <v>44.5</v>
      </c>
      <c r="H9" s="109">
        <f>B9*G9*canola</f>
        <v>0</v>
      </c>
      <c r="J9" s="194"/>
      <c r="L9" s="55" t="s">
        <v>643</v>
      </c>
      <c r="M9" s="55" t="s">
        <v>644</v>
      </c>
      <c r="N9" s="55" t="s">
        <v>246</v>
      </c>
      <c r="P9" s="55" t="s">
        <v>246</v>
      </c>
    </row>
    <row r="10" spans="1:16" x14ac:dyDescent="0.3">
      <c r="A10" s="3" t="s">
        <v>1</v>
      </c>
      <c r="B10" s="3"/>
      <c r="C10" s="46"/>
      <c r="D10" s="34"/>
      <c r="E10" s="34"/>
      <c r="F10" s="104"/>
      <c r="G10" s="114"/>
      <c r="H10" s="109"/>
      <c r="K10" s="55" t="s">
        <v>641</v>
      </c>
      <c r="L10" s="55">
        <v>166</v>
      </c>
      <c r="M10" s="68">
        <f>L10*Data!$J$39</f>
        <v>67.177816571999998</v>
      </c>
      <c r="N10" s="203">
        <f>P10*0.32</f>
        <v>47.392554912332407</v>
      </c>
      <c r="O10" s="67" t="s">
        <v>651</v>
      </c>
      <c r="P10" s="202">
        <f>M10/Data!$L$39</f>
        <v>148.10173410103877</v>
      </c>
    </row>
    <row r="11" spans="1:16" x14ac:dyDescent="0.3">
      <c r="A11" s="6" t="s">
        <v>645</v>
      </c>
      <c r="B11" s="397">
        <v>1</v>
      </c>
      <c r="C11" s="278">
        <f>148/2000</f>
        <v>7.3999999999999996E-2</v>
      </c>
      <c r="D11" s="34" t="s">
        <v>26</v>
      </c>
      <c r="E11" s="60">
        <f>C11*canola</f>
        <v>0</v>
      </c>
      <c r="F11" s="608">
        <v>600</v>
      </c>
      <c r="G11" s="114">
        <f>C11*F11</f>
        <v>44.4</v>
      </c>
      <c r="H11" s="109">
        <f>B11*G11*canola</f>
        <v>0</v>
      </c>
      <c r="K11" s="55" t="s">
        <v>642</v>
      </c>
      <c r="L11" s="55">
        <v>112</v>
      </c>
      <c r="M11" s="68">
        <f>L11*Data!$J$39</f>
        <v>45.324791904000001</v>
      </c>
      <c r="N11" s="203">
        <f>P11*0.21</f>
        <v>20.984052928050794</v>
      </c>
      <c r="O11" s="203">
        <f>SUM(N10:N11)</f>
        <v>68.376607840383201</v>
      </c>
      <c r="P11" s="202">
        <f>M11/Data!$L$39</f>
        <v>99.924061562146647</v>
      </c>
    </row>
    <row r="12" spans="1:16" x14ac:dyDescent="0.3">
      <c r="A12" s="6" t="s">
        <v>649</v>
      </c>
      <c r="B12" s="397">
        <v>1</v>
      </c>
      <c r="C12" s="359">
        <f>100/2000</f>
        <v>0.05</v>
      </c>
      <c r="D12" s="34" t="s">
        <v>26</v>
      </c>
      <c r="E12" s="60">
        <f>C12*canola</f>
        <v>0</v>
      </c>
      <c r="F12" s="608">
        <v>600</v>
      </c>
      <c r="G12" s="114">
        <f>C12*F12</f>
        <v>30</v>
      </c>
      <c r="H12" s="109">
        <f>B12*G12*canola</f>
        <v>0</v>
      </c>
      <c r="K12" s="55" t="s">
        <v>647</v>
      </c>
      <c r="L12" s="55">
        <v>20</v>
      </c>
      <c r="M12" s="68">
        <f>L12*Data!$J$39</f>
        <v>8.0937128400000002</v>
      </c>
      <c r="N12" s="88">
        <f>M12/Data!$L$39</f>
        <v>17.843582421811902</v>
      </c>
      <c r="O12" s="67" t="s">
        <v>652</v>
      </c>
      <c r="P12" s="203">
        <f>N12/0.2</f>
        <v>89.217912109059512</v>
      </c>
    </row>
    <row r="13" spans="1:16" x14ac:dyDescent="0.3">
      <c r="A13" s="6" t="s">
        <v>650</v>
      </c>
      <c r="B13" s="397">
        <v>1</v>
      </c>
      <c r="C13" s="359">
        <f>90/2000</f>
        <v>4.4999999999999998E-2</v>
      </c>
      <c r="D13" s="34" t="s">
        <v>26</v>
      </c>
      <c r="E13" s="60">
        <f>C13*canola</f>
        <v>0</v>
      </c>
      <c r="F13" s="608">
        <v>575</v>
      </c>
      <c r="G13" s="114">
        <f>C13*F13</f>
        <v>25.875</v>
      </c>
      <c r="H13" s="109">
        <f>B13*G13*canola</f>
        <v>0</v>
      </c>
      <c r="I13" s="108">
        <f>SUM(H11:H13)</f>
        <v>0</v>
      </c>
      <c r="K13" s="55" t="s">
        <v>648</v>
      </c>
      <c r="L13" s="55">
        <v>20</v>
      </c>
      <c r="M13" s="68">
        <f>L13*Data!$J$39</f>
        <v>8.0937128400000002</v>
      </c>
      <c r="N13" s="88">
        <f>M13/Data!$L$39</f>
        <v>17.843582421811902</v>
      </c>
      <c r="O13" s="203">
        <f>P12*0.2</f>
        <v>17.843582421811902</v>
      </c>
      <c r="P13" s="203">
        <f>N13/0.2</f>
        <v>89.217912109059512</v>
      </c>
    </row>
    <row r="14" spans="1:16" x14ac:dyDescent="0.3">
      <c r="A14" s="6" t="s">
        <v>2</v>
      </c>
      <c r="B14" s="397">
        <v>1</v>
      </c>
      <c r="C14" s="369">
        <f>limeapp</f>
        <v>0.2</v>
      </c>
      <c r="D14" s="34" t="s">
        <v>26</v>
      </c>
      <c r="E14" s="60">
        <f>C14*canola</f>
        <v>0</v>
      </c>
      <c r="F14" s="175">
        <f>lime</f>
        <v>38.260869565217391</v>
      </c>
      <c r="G14" s="114">
        <f>C14*F14</f>
        <v>7.6521739130434785</v>
      </c>
      <c r="H14" s="109">
        <f>B14*G14*canola</f>
        <v>0</v>
      </c>
      <c r="I14" s="52"/>
    </row>
    <row r="15" spans="1:16" x14ac:dyDescent="0.3">
      <c r="A15" s="3" t="s">
        <v>1476</v>
      </c>
      <c r="B15" s="3"/>
      <c r="C15" s="46"/>
      <c r="D15" s="34"/>
      <c r="E15" s="34"/>
      <c r="F15" s="104"/>
      <c r="G15" s="114"/>
      <c r="H15" s="109"/>
      <c r="K15" s="204" t="s">
        <v>653</v>
      </c>
    </row>
    <row r="16" spans="1:16" x14ac:dyDescent="0.3">
      <c r="A16" s="6" t="s">
        <v>127</v>
      </c>
      <c r="B16" s="397">
        <v>1</v>
      </c>
      <c r="C16" s="278">
        <v>1</v>
      </c>
      <c r="D16" s="34" t="s">
        <v>113</v>
      </c>
      <c r="E16" s="60">
        <f>C16*canola</f>
        <v>0</v>
      </c>
      <c r="F16" s="283">
        <f>5+(5*Data!$L$275)</f>
        <v>9.2009424436216776</v>
      </c>
      <c r="G16" s="114">
        <f>C16*F16</f>
        <v>9.2009424436216776</v>
      </c>
      <c r="H16" s="109">
        <f>B16*G16*canola</f>
        <v>0</v>
      </c>
    </row>
    <row r="17" spans="1:12" x14ac:dyDescent="0.3">
      <c r="A17" s="3" t="s">
        <v>14</v>
      </c>
      <c r="B17" s="3"/>
      <c r="C17" s="46"/>
      <c r="D17" s="34"/>
      <c r="E17" s="34"/>
      <c r="F17" s="104"/>
      <c r="G17" s="114"/>
      <c r="H17" s="109"/>
    </row>
    <row r="18" spans="1:12" x14ac:dyDescent="0.3">
      <c r="A18" s="22" t="s">
        <v>332</v>
      </c>
      <c r="B18" s="22"/>
      <c r="C18" s="46"/>
      <c r="D18" s="34"/>
      <c r="E18" s="34"/>
      <c r="F18" s="104"/>
      <c r="G18" s="114"/>
      <c r="H18" s="109"/>
    </row>
    <row r="19" spans="1:12" x14ac:dyDescent="0.3">
      <c r="A19" s="6" t="s">
        <v>484</v>
      </c>
      <c r="B19" s="397">
        <v>1</v>
      </c>
      <c r="C19" s="156">
        <f>Data!H580</f>
        <v>0.11764705882352941</v>
      </c>
      <c r="D19" s="34" t="s">
        <v>128</v>
      </c>
      <c r="E19" s="60">
        <f t="shared" ref="E19:E29" si="0">C19*canola</f>
        <v>0</v>
      </c>
      <c r="F19" s="167">
        <f t="shared" ref="F19:F29" si="1">_wage_</f>
        <v>12.29</v>
      </c>
      <c r="G19" s="114">
        <f>C19*F19</f>
        <v>1.4458823529411764</v>
      </c>
      <c r="H19" s="109">
        <f t="shared" ref="H19:H29" si="2">B19*G19*canola</f>
        <v>0</v>
      </c>
    </row>
    <row r="20" spans="1:12" x14ac:dyDescent="0.3">
      <c r="A20" s="6" t="s">
        <v>485</v>
      </c>
      <c r="B20" s="397">
        <v>1</v>
      </c>
      <c r="C20" s="156">
        <f>Data!H581</f>
        <v>8.1833060556464804E-2</v>
      </c>
      <c r="D20" s="34" t="s">
        <v>128</v>
      </c>
      <c r="E20" s="60">
        <f t="shared" si="0"/>
        <v>0</v>
      </c>
      <c r="F20" s="167">
        <f t="shared" si="1"/>
        <v>12.29</v>
      </c>
      <c r="G20" s="114">
        <f>C20*F20</f>
        <v>1.0057283142389524</v>
      </c>
      <c r="H20" s="109">
        <f t="shared" si="2"/>
        <v>0</v>
      </c>
      <c r="K20" s="55"/>
      <c r="L20" s="55"/>
    </row>
    <row r="21" spans="1:12" x14ac:dyDescent="0.3">
      <c r="A21" s="22" t="s">
        <v>315</v>
      </c>
      <c r="B21" s="397">
        <v>1</v>
      </c>
      <c r="C21" s="156">
        <f>Data!H582</f>
        <v>0.48</v>
      </c>
      <c r="D21" s="34" t="s">
        <v>128</v>
      </c>
      <c r="E21" s="60">
        <f t="shared" si="0"/>
        <v>0</v>
      </c>
      <c r="F21" s="167">
        <f t="shared" si="1"/>
        <v>12.29</v>
      </c>
      <c r="G21" s="114">
        <f t="shared" ref="G21:G29" si="3">C21*F21</f>
        <v>5.8991999999999996</v>
      </c>
      <c r="H21" s="109">
        <f t="shared" si="2"/>
        <v>0</v>
      </c>
      <c r="K21" s="55"/>
      <c r="L21" s="55"/>
    </row>
    <row r="22" spans="1:12" x14ac:dyDescent="0.3">
      <c r="A22" s="22" t="s">
        <v>581</v>
      </c>
      <c r="B22" s="397">
        <v>1</v>
      </c>
      <c r="C22" s="156">
        <f>Data!H583</f>
        <v>9.2929292929292931E-2</v>
      </c>
      <c r="D22" s="34" t="s">
        <v>128</v>
      </c>
      <c r="E22" s="60">
        <f t="shared" si="0"/>
        <v>0</v>
      </c>
      <c r="F22" s="167">
        <f t="shared" si="1"/>
        <v>12.29</v>
      </c>
      <c r="G22" s="114">
        <f t="shared" si="3"/>
        <v>1.1421010101010101</v>
      </c>
      <c r="H22" s="109">
        <f t="shared" si="2"/>
        <v>0</v>
      </c>
      <c r="K22" s="55"/>
      <c r="L22" s="55"/>
    </row>
    <row r="23" spans="1:12" x14ac:dyDescent="0.3">
      <c r="A23" s="22" t="s">
        <v>322</v>
      </c>
      <c r="B23" s="397">
        <v>1</v>
      </c>
      <c r="C23" s="273">
        <f>0</f>
        <v>0</v>
      </c>
      <c r="D23" s="34" t="s">
        <v>128</v>
      </c>
      <c r="E23" s="60">
        <f t="shared" si="0"/>
        <v>0</v>
      </c>
      <c r="F23" s="167">
        <f t="shared" si="1"/>
        <v>12.29</v>
      </c>
      <c r="G23" s="110">
        <f t="shared" si="3"/>
        <v>0</v>
      </c>
      <c r="H23" s="109">
        <f t="shared" si="2"/>
        <v>0</v>
      </c>
      <c r="K23" s="55"/>
      <c r="L23" s="55"/>
    </row>
    <row r="24" spans="1:12" x14ac:dyDescent="0.3">
      <c r="A24" s="22" t="s">
        <v>333</v>
      </c>
      <c r="B24" s="397">
        <v>1</v>
      </c>
      <c r="C24" s="156">
        <f>Data!H590</f>
        <v>9.3418583878132913E-2</v>
      </c>
      <c r="D24" s="34" t="s">
        <v>128</v>
      </c>
      <c r="E24" s="60">
        <f t="shared" si="0"/>
        <v>0</v>
      </c>
      <c r="F24" s="167">
        <f t="shared" si="1"/>
        <v>12.29</v>
      </c>
      <c r="G24" s="114">
        <f t="shared" si="3"/>
        <v>1.1481143958622535</v>
      </c>
      <c r="H24" s="109">
        <f t="shared" si="2"/>
        <v>0</v>
      </c>
    </row>
    <row r="25" spans="1:12" x14ac:dyDescent="0.3">
      <c r="A25" s="22" t="s">
        <v>573</v>
      </c>
      <c r="B25" s="397">
        <v>1</v>
      </c>
      <c r="C25" s="156">
        <f>Data!H596</f>
        <v>0.23600484348159867</v>
      </c>
      <c r="D25" s="34" t="s">
        <v>128</v>
      </c>
      <c r="E25" s="60">
        <f t="shared" si="0"/>
        <v>0</v>
      </c>
      <c r="F25" s="167">
        <f t="shared" si="1"/>
        <v>12.29</v>
      </c>
      <c r="G25" s="114">
        <f t="shared" si="3"/>
        <v>2.9004995263888476</v>
      </c>
      <c r="H25" s="109">
        <f t="shared" si="2"/>
        <v>0</v>
      </c>
    </row>
    <row r="26" spans="1:12" x14ac:dyDescent="0.3">
      <c r="A26" s="22" t="s">
        <v>304</v>
      </c>
      <c r="B26" s="397">
        <v>1</v>
      </c>
      <c r="C26" s="156">
        <f>Data!H599</f>
        <v>0.11851851851851852</v>
      </c>
      <c r="D26" s="34" t="s">
        <v>128</v>
      </c>
      <c r="E26" s="60">
        <f t="shared" si="0"/>
        <v>0</v>
      </c>
      <c r="F26" s="167">
        <f t="shared" si="1"/>
        <v>12.29</v>
      </c>
      <c r="G26" s="114">
        <f t="shared" si="3"/>
        <v>1.4565925925925924</v>
      </c>
      <c r="H26" s="109">
        <f t="shared" si="2"/>
        <v>0</v>
      </c>
      <c r="K26" s="55"/>
      <c r="L26" s="55"/>
    </row>
    <row r="27" spans="1:12" x14ac:dyDescent="0.3">
      <c r="A27" s="22" t="s">
        <v>335</v>
      </c>
      <c r="B27" s="397">
        <v>1</v>
      </c>
      <c r="C27" s="156">
        <f>Data!H614</f>
        <v>0.33333333333333331</v>
      </c>
      <c r="D27" s="34" t="s">
        <v>128</v>
      </c>
      <c r="E27" s="60">
        <f t="shared" si="0"/>
        <v>0</v>
      </c>
      <c r="F27" s="167">
        <f t="shared" si="1"/>
        <v>12.29</v>
      </c>
      <c r="G27" s="114">
        <f t="shared" si="3"/>
        <v>4.0966666666666658</v>
      </c>
      <c r="H27" s="109">
        <f t="shared" si="2"/>
        <v>0</v>
      </c>
      <c r="K27" s="55"/>
      <c r="L27" s="55"/>
    </row>
    <row r="28" spans="1:12" x14ac:dyDescent="0.3">
      <c r="A28" s="9" t="s">
        <v>1022</v>
      </c>
      <c r="B28" s="397">
        <v>0</v>
      </c>
      <c r="C28" s="47">
        <f>Data!$H$615*Data!$F$263</f>
        <v>0</v>
      </c>
      <c r="D28" s="48" t="s">
        <v>115</v>
      </c>
      <c r="E28" s="83">
        <f>C28*canola</f>
        <v>0</v>
      </c>
      <c r="F28" s="118">
        <f>_wage_</f>
        <v>12.29</v>
      </c>
      <c r="G28" s="465">
        <f>C28*F28</f>
        <v>0</v>
      </c>
      <c r="H28" s="123">
        <f>B28*G28*canola</f>
        <v>0</v>
      </c>
      <c r="K28" s="55"/>
      <c r="L28" s="55"/>
    </row>
    <row r="29" spans="1:12" x14ac:dyDescent="0.3">
      <c r="A29" s="22" t="s">
        <v>574</v>
      </c>
      <c r="B29" s="397">
        <v>0</v>
      </c>
      <c r="C29" s="156">
        <f>Data!H644</f>
        <v>0.12036247017561544</v>
      </c>
      <c r="D29" s="34" t="s">
        <v>128</v>
      </c>
      <c r="E29" s="60">
        <f t="shared" si="0"/>
        <v>0</v>
      </c>
      <c r="F29" s="167">
        <f t="shared" si="1"/>
        <v>12.29</v>
      </c>
      <c r="G29" s="114">
        <f t="shared" si="3"/>
        <v>1.4792547584583136</v>
      </c>
      <c r="H29" s="109">
        <f t="shared" si="2"/>
        <v>0</v>
      </c>
      <c r="K29" s="55"/>
      <c r="L29" s="55"/>
    </row>
    <row r="30" spans="1:12" x14ac:dyDescent="0.3">
      <c r="A30" s="9" t="s">
        <v>1022</v>
      </c>
      <c r="B30" s="405">
        <f>B29</f>
        <v>0</v>
      </c>
      <c r="C30" s="47">
        <f>Data!$H$645*Data!$F$263</f>
        <v>0</v>
      </c>
      <c r="D30" s="48" t="s">
        <v>115</v>
      </c>
      <c r="E30" s="83">
        <f>C30*canola</f>
        <v>0</v>
      </c>
      <c r="F30" s="118">
        <f>_wage_</f>
        <v>12.29</v>
      </c>
      <c r="G30" s="465">
        <f>C30*F30</f>
        <v>0</v>
      </c>
      <c r="H30" s="123">
        <f>B30*G30*canola</f>
        <v>0</v>
      </c>
      <c r="K30" s="55"/>
      <c r="L30" s="55"/>
    </row>
    <row r="31" spans="1:12" x14ac:dyDescent="0.3">
      <c r="A31" s="22" t="s">
        <v>337</v>
      </c>
      <c r="B31" s="22"/>
      <c r="C31" s="46"/>
      <c r="D31" s="34"/>
      <c r="E31" s="34"/>
      <c r="F31" s="90"/>
      <c r="G31" s="114"/>
      <c r="H31" s="109"/>
      <c r="K31" s="55"/>
      <c r="L31" s="55"/>
    </row>
    <row r="32" spans="1:12" x14ac:dyDescent="0.3">
      <c r="A32" s="6" t="s">
        <v>321</v>
      </c>
      <c r="B32" s="397">
        <v>1</v>
      </c>
      <c r="C32" s="278">
        <f>CnGOprC!C31*(WFB!F14/CnGBud!E4)*0</f>
        <v>0</v>
      </c>
      <c r="D32" s="34" t="s">
        <v>115</v>
      </c>
      <c r="E32" s="60">
        <f>C32*canola</f>
        <v>0</v>
      </c>
      <c r="F32" s="167">
        <f>_wage_</f>
        <v>12.29</v>
      </c>
      <c r="G32" s="114">
        <f>C32*F32</f>
        <v>0</v>
      </c>
      <c r="H32" s="110">
        <f>B32*G32*canola*G3</f>
        <v>0</v>
      </c>
      <c r="I32" s="108">
        <f>SUM(H19:H32)</f>
        <v>0</v>
      </c>
      <c r="K32" s="55"/>
      <c r="L32" s="55"/>
    </row>
    <row r="33" spans="1:8" x14ac:dyDescent="0.3">
      <c r="A33" s="3" t="s">
        <v>66</v>
      </c>
      <c r="B33" s="3"/>
      <c r="C33" s="46"/>
      <c r="D33" s="34"/>
      <c r="E33" s="34"/>
      <c r="F33" s="167"/>
      <c r="G33" s="114"/>
      <c r="H33" s="109"/>
    </row>
    <row r="34" spans="1:8" x14ac:dyDescent="0.3">
      <c r="A34" s="22" t="s">
        <v>332</v>
      </c>
      <c r="B34" s="22"/>
      <c r="C34" s="46"/>
      <c r="D34" s="34"/>
      <c r="E34" s="34"/>
      <c r="F34" s="167"/>
      <c r="G34" s="114"/>
      <c r="H34" s="109"/>
    </row>
    <row r="35" spans="1:8" x14ac:dyDescent="0.3">
      <c r="A35" s="6" t="s">
        <v>484</v>
      </c>
      <c r="B35" s="405">
        <f>B19</f>
        <v>1</v>
      </c>
      <c r="C35" s="156">
        <f>Data!R580</f>
        <v>0.64</v>
      </c>
      <c r="D35" s="34" t="s">
        <v>117</v>
      </c>
      <c r="E35" s="60">
        <f t="shared" ref="E35:E45" si="4">C35*canola</f>
        <v>0</v>
      </c>
      <c r="F35" s="167">
        <f t="shared" ref="F35:F48" si="5">diesel_fuel</f>
        <v>2.56</v>
      </c>
      <c r="G35" s="114">
        <f>C35*F35</f>
        <v>1.6384000000000001</v>
      </c>
      <c r="H35" s="109">
        <f t="shared" ref="H35:H45" si="6">B35*G35*canola</f>
        <v>0</v>
      </c>
    </row>
    <row r="36" spans="1:8" x14ac:dyDescent="0.3">
      <c r="A36" s="6" t="s">
        <v>485</v>
      </c>
      <c r="B36" s="405">
        <f t="shared" ref="B36:B43" si="7">B20</f>
        <v>1</v>
      </c>
      <c r="C36" s="156">
        <f>Data!R581</f>
        <v>0.74</v>
      </c>
      <c r="D36" s="34" t="s">
        <v>117</v>
      </c>
      <c r="E36" s="60">
        <f t="shared" si="4"/>
        <v>0</v>
      </c>
      <c r="F36" s="167">
        <f t="shared" si="5"/>
        <v>2.56</v>
      </c>
      <c r="G36" s="114">
        <f>C36*F36</f>
        <v>1.8944000000000001</v>
      </c>
      <c r="H36" s="109">
        <f t="shared" si="6"/>
        <v>0</v>
      </c>
    </row>
    <row r="37" spans="1:8" x14ac:dyDescent="0.3">
      <c r="A37" s="22" t="s">
        <v>315</v>
      </c>
      <c r="B37" s="405">
        <f t="shared" si="7"/>
        <v>1</v>
      </c>
      <c r="C37" s="156">
        <f>Data!R582</f>
        <v>0.2</v>
      </c>
      <c r="D37" s="34" t="s">
        <v>117</v>
      </c>
      <c r="E37" s="60">
        <f t="shared" si="4"/>
        <v>0</v>
      </c>
      <c r="F37" s="167">
        <f t="shared" si="5"/>
        <v>2.56</v>
      </c>
      <c r="G37" s="114">
        <f t="shared" ref="G37:G45" si="8">C37*F37</f>
        <v>0.51200000000000001</v>
      </c>
      <c r="H37" s="109">
        <f t="shared" si="6"/>
        <v>0</v>
      </c>
    </row>
    <row r="38" spans="1:8" x14ac:dyDescent="0.3">
      <c r="A38" s="22" t="s">
        <v>581</v>
      </c>
      <c r="B38" s="405">
        <f t="shared" si="7"/>
        <v>1</v>
      </c>
      <c r="C38" s="156">
        <f>Data!R583</f>
        <v>0.13183670241332501</v>
      </c>
      <c r="D38" s="34" t="s">
        <v>117</v>
      </c>
      <c r="E38" s="60">
        <f t="shared" si="4"/>
        <v>0</v>
      </c>
      <c r="F38" s="167">
        <f t="shared" si="5"/>
        <v>2.56</v>
      </c>
      <c r="G38" s="114">
        <f t="shared" si="8"/>
        <v>0.33750195817811202</v>
      </c>
      <c r="H38" s="109">
        <f t="shared" si="6"/>
        <v>0</v>
      </c>
    </row>
    <row r="39" spans="1:8" x14ac:dyDescent="0.3">
      <c r="A39" s="22" t="s">
        <v>322</v>
      </c>
      <c r="B39" s="405">
        <f t="shared" si="7"/>
        <v>1</v>
      </c>
      <c r="C39" s="273">
        <f>0</f>
        <v>0</v>
      </c>
      <c r="D39" s="34" t="s">
        <v>117</v>
      </c>
      <c r="E39" s="60">
        <f t="shared" si="4"/>
        <v>0</v>
      </c>
      <c r="F39" s="167">
        <f t="shared" si="5"/>
        <v>2.56</v>
      </c>
      <c r="G39" s="110">
        <f t="shared" si="8"/>
        <v>0</v>
      </c>
      <c r="H39" s="109">
        <f t="shared" si="6"/>
        <v>0</v>
      </c>
    </row>
    <row r="40" spans="1:8" x14ac:dyDescent="0.3">
      <c r="A40" s="22" t="s">
        <v>333</v>
      </c>
      <c r="B40" s="405">
        <f t="shared" si="7"/>
        <v>1</v>
      </c>
      <c r="C40" s="156">
        <f>Data!R590</f>
        <v>0.83039215686274503</v>
      </c>
      <c r="D40" s="34" t="s">
        <v>117</v>
      </c>
      <c r="E40" s="60">
        <f t="shared" si="4"/>
        <v>0</v>
      </c>
      <c r="F40" s="167">
        <f t="shared" si="5"/>
        <v>2.56</v>
      </c>
      <c r="G40" s="114">
        <f t="shared" si="8"/>
        <v>2.1258039215686275</v>
      </c>
      <c r="H40" s="109">
        <f t="shared" si="6"/>
        <v>0</v>
      </c>
    </row>
    <row r="41" spans="1:8" x14ac:dyDescent="0.3">
      <c r="A41" s="22" t="s">
        <v>573</v>
      </c>
      <c r="B41" s="405">
        <f t="shared" si="7"/>
        <v>1</v>
      </c>
      <c r="C41" s="156">
        <f>Data!R596</f>
        <v>0.81044692577148292</v>
      </c>
      <c r="D41" s="34" t="s">
        <v>117</v>
      </c>
      <c r="E41" s="60">
        <f t="shared" si="4"/>
        <v>0</v>
      </c>
      <c r="F41" s="167">
        <f t="shared" si="5"/>
        <v>2.56</v>
      </c>
      <c r="G41" s="114">
        <f t="shared" si="8"/>
        <v>2.0747441299749965</v>
      </c>
      <c r="H41" s="109">
        <f t="shared" si="6"/>
        <v>0</v>
      </c>
    </row>
    <row r="42" spans="1:8" x14ac:dyDescent="0.3">
      <c r="A42" s="22" t="s">
        <v>304</v>
      </c>
      <c r="B42" s="405">
        <f t="shared" si="7"/>
        <v>1</v>
      </c>
      <c r="C42" s="156">
        <f>Data!R599</f>
        <v>0.11981642612033799</v>
      </c>
      <c r="D42" s="34" t="s">
        <v>117</v>
      </c>
      <c r="E42" s="60">
        <f t="shared" si="4"/>
        <v>0</v>
      </c>
      <c r="F42" s="167">
        <f t="shared" si="5"/>
        <v>2.56</v>
      </c>
      <c r="G42" s="114">
        <f t="shared" si="8"/>
        <v>0.30673005086806526</v>
      </c>
      <c r="H42" s="109">
        <f t="shared" si="6"/>
        <v>0</v>
      </c>
    </row>
    <row r="43" spans="1:8" x14ac:dyDescent="0.3">
      <c r="A43" s="22" t="s">
        <v>335</v>
      </c>
      <c r="B43" s="405">
        <f t="shared" si="7"/>
        <v>1</v>
      </c>
      <c r="C43" s="156">
        <f>Data!R614</f>
        <v>2</v>
      </c>
      <c r="D43" s="34" t="s">
        <v>117</v>
      </c>
      <c r="E43" s="60">
        <f t="shared" si="4"/>
        <v>0</v>
      </c>
      <c r="F43" s="167">
        <f t="shared" si="5"/>
        <v>2.56</v>
      </c>
      <c r="G43" s="114">
        <f t="shared" si="8"/>
        <v>5.12</v>
      </c>
      <c r="H43" s="109">
        <f t="shared" si="6"/>
        <v>0</v>
      </c>
    </row>
    <row r="44" spans="1:8" x14ac:dyDescent="0.3">
      <c r="A44" s="9" t="s">
        <v>1022</v>
      </c>
      <c r="B44" s="405">
        <f>B28</f>
        <v>0</v>
      </c>
      <c r="C44" s="47">
        <f>Data!$R$615*Data!$F$263</f>
        <v>0</v>
      </c>
      <c r="D44" s="48" t="s">
        <v>117</v>
      </c>
      <c r="E44" s="83">
        <f>C44*canola</f>
        <v>0</v>
      </c>
      <c r="F44" s="118">
        <f>diesel_fuel</f>
        <v>2.56</v>
      </c>
      <c r="G44" s="465">
        <f>C44*F44</f>
        <v>0</v>
      </c>
      <c r="H44" s="123">
        <f>B44*G44*canola</f>
        <v>0</v>
      </c>
    </row>
    <row r="45" spans="1:8" x14ac:dyDescent="0.3">
      <c r="A45" s="22" t="s">
        <v>574</v>
      </c>
      <c r="B45" s="405">
        <f>B29</f>
        <v>0</v>
      </c>
      <c r="C45" s="156">
        <f>Data!R644</f>
        <v>0.18508181377122596</v>
      </c>
      <c r="D45" s="34" t="s">
        <v>117</v>
      </c>
      <c r="E45" s="60">
        <f t="shared" si="4"/>
        <v>0</v>
      </c>
      <c r="F45" s="167">
        <f t="shared" si="5"/>
        <v>2.56</v>
      </c>
      <c r="G45" s="114">
        <f t="shared" si="8"/>
        <v>0.47380944325433844</v>
      </c>
      <c r="H45" s="109">
        <f t="shared" si="6"/>
        <v>0</v>
      </c>
    </row>
    <row r="46" spans="1:8" x14ac:dyDescent="0.3">
      <c r="A46" s="9" t="s">
        <v>1022</v>
      </c>
      <c r="B46" s="405">
        <f>B30</f>
        <v>0</v>
      </c>
      <c r="C46" s="47">
        <f>Data!$R$645*Data!$F$263</f>
        <v>0</v>
      </c>
      <c r="D46" s="48" t="s">
        <v>117</v>
      </c>
      <c r="E46" s="83">
        <f>C46*canola</f>
        <v>0</v>
      </c>
      <c r="F46" s="118">
        <f>diesel_fuel</f>
        <v>2.56</v>
      </c>
      <c r="G46" s="465">
        <f>C46*F46</f>
        <v>0</v>
      </c>
      <c r="H46" s="123">
        <f>B46*G46*canola</f>
        <v>0</v>
      </c>
    </row>
    <row r="47" spans="1:8" x14ac:dyDescent="0.3">
      <c r="A47" s="22" t="s">
        <v>337</v>
      </c>
      <c r="B47" s="60"/>
      <c r="C47" s="60"/>
      <c r="D47" s="34"/>
      <c r="E47" s="34"/>
      <c r="F47" s="167"/>
      <c r="G47" s="114"/>
      <c r="H47" s="109"/>
    </row>
    <row r="48" spans="1:8" x14ac:dyDescent="0.3">
      <c r="A48" s="6" t="s">
        <v>314</v>
      </c>
      <c r="B48" s="397">
        <v>1</v>
      </c>
      <c r="C48" s="278">
        <f>CnGOprC!C47*(WFB!F14/CnGBud!E4)*0</f>
        <v>0</v>
      </c>
      <c r="D48" s="34" t="s">
        <v>116</v>
      </c>
      <c r="E48" s="60">
        <f>C48*canola</f>
        <v>0</v>
      </c>
      <c r="F48" s="167">
        <f t="shared" si="5"/>
        <v>2.56</v>
      </c>
      <c r="G48" s="114">
        <f>C48*F48</f>
        <v>0</v>
      </c>
      <c r="H48" s="110">
        <f>B48*G48*canola*G3</f>
        <v>0</v>
      </c>
    </row>
    <row r="49" spans="1:21" x14ac:dyDescent="0.3">
      <c r="A49" s="3" t="s">
        <v>20</v>
      </c>
      <c r="B49" s="397">
        <v>1</v>
      </c>
      <c r="C49" s="46" t="s">
        <v>45</v>
      </c>
      <c r="D49" s="34" t="s">
        <v>45</v>
      </c>
      <c r="E49" s="34" t="s">
        <v>45</v>
      </c>
      <c r="F49" s="55" t="s">
        <v>45</v>
      </c>
      <c r="G49" s="114" t="e">
        <f>H49/canola</f>
        <v>#DIV/0!</v>
      </c>
      <c r="H49" s="109">
        <f>B49*lube*SUM(H34:H48)</f>
        <v>0</v>
      </c>
      <c r="I49" s="108">
        <f>SUM(H35:H49)</f>
        <v>0</v>
      </c>
      <c r="K49" s="55"/>
      <c r="L49" s="24"/>
      <c r="M49" s="82"/>
    </row>
    <row r="50" spans="1:21" x14ac:dyDescent="0.3">
      <c r="A50" s="3" t="s">
        <v>67</v>
      </c>
      <c r="B50" s="397">
        <v>1</v>
      </c>
      <c r="C50" s="46" t="s">
        <v>45</v>
      </c>
      <c r="D50" s="34" t="s">
        <v>45</v>
      </c>
      <c r="E50" s="34" t="s">
        <v>45</v>
      </c>
      <c r="F50" s="55" t="s">
        <v>45</v>
      </c>
      <c r="G50" s="114" t="e">
        <f>H50/canola</f>
        <v>#DIV/0!</v>
      </c>
      <c r="H50" s="109">
        <f>B50*CanOwnC!J50*Data!D23</f>
        <v>0</v>
      </c>
      <c r="K50" s="55"/>
      <c r="L50" s="81"/>
      <c r="M50" s="81"/>
    </row>
    <row r="51" spans="1:21" x14ac:dyDescent="0.3">
      <c r="A51" s="3"/>
      <c r="B51" s="397">
        <v>1</v>
      </c>
      <c r="C51" s="46" t="s">
        <v>45</v>
      </c>
      <c r="D51" s="34" t="s">
        <v>45</v>
      </c>
      <c r="E51" s="34" t="s">
        <v>45</v>
      </c>
      <c r="F51" s="55" t="s">
        <v>45</v>
      </c>
      <c r="G51" s="272">
        <f>0</f>
        <v>0</v>
      </c>
      <c r="H51" s="109">
        <f>B51*G51*canola</f>
        <v>0</v>
      </c>
      <c r="L51" s="27"/>
      <c r="M51" s="27"/>
    </row>
    <row r="52" spans="1:21" x14ac:dyDescent="0.3">
      <c r="A52" s="3" t="s">
        <v>170</v>
      </c>
      <c r="B52" s="397">
        <v>1</v>
      </c>
      <c r="C52" s="46" t="s">
        <v>45</v>
      </c>
      <c r="D52" s="34" t="s">
        <v>45</v>
      </c>
      <c r="E52" s="34" t="s">
        <v>45</v>
      </c>
      <c r="F52" s="55" t="s">
        <v>45</v>
      </c>
      <c r="G52" s="114">
        <f>supplies</f>
        <v>0</v>
      </c>
      <c r="H52" s="109">
        <f>B52*G52*canola</f>
        <v>0</v>
      </c>
      <c r="L52" s="81"/>
      <c r="M52" s="81"/>
    </row>
    <row r="53" spans="1:21" x14ac:dyDescent="0.3">
      <c r="A53" s="3" t="s">
        <v>75</v>
      </c>
      <c r="B53" s="397">
        <v>1</v>
      </c>
      <c r="C53" s="46" t="s">
        <v>45</v>
      </c>
      <c r="D53" s="34" t="s">
        <v>45</v>
      </c>
      <c r="E53" s="34" t="s">
        <v>45</v>
      </c>
      <c r="F53" s="55" t="s">
        <v>45</v>
      </c>
      <c r="G53" s="114">
        <f>cropins</f>
        <v>3</v>
      </c>
      <c r="H53" s="109">
        <f>B53*G53*canola</f>
        <v>0</v>
      </c>
      <c r="K53" s="55"/>
      <c r="L53" s="81"/>
      <c r="M53" s="81"/>
    </row>
    <row r="54" spans="1:21" x14ac:dyDescent="0.3">
      <c r="A54" s="3"/>
      <c r="B54" s="397">
        <v>1</v>
      </c>
      <c r="C54" s="46" t="s">
        <v>45</v>
      </c>
      <c r="D54" s="46" t="s">
        <v>45</v>
      </c>
      <c r="E54" s="34" t="s">
        <v>45</v>
      </c>
      <c r="F54" s="55" t="s">
        <v>45</v>
      </c>
      <c r="G54" s="272">
        <f>0</f>
        <v>0</v>
      </c>
      <c r="H54" s="109">
        <f>B54*G54*canola</f>
        <v>0</v>
      </c>
      <c r="K54" s="55"/>
    </row>
    <row r="55" spans="1:21" x14ac:dyDescent="0.3">
      <c r="A55" s="69" t="s">
        <v>173</v>
      </c>
      <c r="B55" s="69"/>
      <c r="C55" s="46"/>
      <c r="D55" s="34"/>
      <c r="E55" s="34"/>
      <c r="F55" s="114"/>
      <c r="G55" s="114"/>
      <c r="H55" s="109"/>
      <c r="L55" s="24"/>
      <c r="M55" s="24"/>
    </row>
    <row r="56" spans="1:21" x14ac:dyDescent="0.3">
      <c r="A56" s="70" t="s">
        <v>175</v>
      </c>
      <c r="B56" s="397">
        <v>1</v>
      </c>
      <c r="C56" s="46" t="s">
        <v>45</v>
      </c>
      <c r="D56" s="34" t="s">
        <v>45</v>
      </c>
      <c r="E56" s="34" t="s">
        <v>45</v>
      </c>
      <c r="F56" s="55" t="s">
        <v>45</v>
      </c>
      <c r="G56" s="676">
        <f>Data!$F$69</f>
        <v>12</v>
      </c>
      <c r="H56" s="109">
        <f>B56*G56*canola</f>
        <v>0</v>
      </c>
    </row>
    <row r="57" spans="1:21" x14ac:dyDescent="0.3">
      <c r="A57" s="70" t="s">
        <v>176</v>
      </c>
      <c r="B57" s="397">
        <v>1</v>
      </c>
      <c r="C57" s="46" t="s">
        <v>45</v>
      </c>
      <c r="D57" s="34" t="s">
        <v>296</v>
      </c>
      <c r="E57" s="34" t="s">
        <v>45</v>
      </c>
      <c r="F57" s="55" t="s">
        <v>45</v>
      </c>
      <c r="G57" s="272">
        <v>0</v>
      </c>
      <c r="H57" s="109">
        <f>B57*G57*canola</f>
        <v>0</v>
      </c>
      <c r="L57" s="4" t="s">
        <v>1077</v>
      </c>
    </row>
    <row r="58" spans="1:21" x14ac:dyDescent="0.3">
      <c r="A58" s="70" t="s">
        <v>177</v>
      </c>
      <c r="B58" s="70"/>
      <c r="C58" s="46"/>
      <c r="D58" s="34"/>
      <c r="E58" s="34"/>
      <c r="F58" s="55"/>
      <c r="G58" s="114"/>
      <c r="H58" s="110"/>
      <c r="J58" s="407">
        <v>30000</v>
      </c>
      <c r="K58" s="17" t="s">
        <v>220</v>
      </c>
      <c r="L58" s="17">
        <f>J58/2000</f>
        <v>15</v>
      </c>
      <c r="M58" s="17" t="s">
        <v>26</v>
      </c>
      <c r="N58" s="242">
        <v>500</v>
      </c>
      <c r="O58" s="17" t="s">
        <v>931</v>
      </c>
      <c r="P58" s="93" t="s">
        <v>944</v>
      </c>
      <c r="Q58" s="93"/>
      <c r="S58" s="588">
        <f>N58*Data!$K$68</f>
        <v>25000</v>
      </c>
      <c r="T58" s="17" t="s">
        <v>220</v>
      </c>
      <c r="U58" s="589">
        <f>S58/J58</f>
        <v>0.83333333333333337</v>
      </c>
    </row>
    <row r="59" spans="1:21" x14ac:dyDescent="0.3">
      <c r="A59" s="22" t="s">
        <v>174</v>
      </c>
      <c r="B59" s="397">
        <v>1</v>
      </c>
      <c r="C59" s="34" t="s">
        <v>45</v>
      </c>
      <c r="D59" s="34" t="s">
        <v>81</v>
      </c>
      <c r="E59" s="34" t="s">
        <v>45</v>
      </c>
      <c r="F59" s="110">
        <f>Data!D61</f>
        <v>50</v>
      </c>
      <c r="G59" s="110" t="e">
        <f>H59/canola</f>
        <v>#DIV/0!</v>
      </c>
      <c r="H59" s="110">
        <f>B59*F59*canola*Data!E57*Data!D23</f>
        <v>0</v>
      </c>
      <c r="J59" s="407">
        <v>60000</v>
      </c>
      <c r="K59" s="17" t="s">
        <v>220</v>
      </c>
      <c r="L59" s="17">
        <f>J59/2000</f>
        <v>30</v>
      </c>
      <c r="M59" s="17" t="s">
        <v>26</v>
      </c>
      <c r="N59" s="242">
        <v>1000</v>
      </c>
      <c r="O59" s="17" t="s">
        <v>931</v>
      </c>
      <c r="P59" s="93" t="s">
        <v>945</v>
      </c>
      <c r="Q59" s="93"/>
      <c r="S59" s="588">
        <f>N59*Data!$K$68</f>
        <v>50000</v>
      </c>
      <c r="T59" s="17" t="s">
        <v>220</v>
      </c>
      <c r="U59" s="589">
        <f>S59/J59</f>
        <v>0.83333333333333337</v>
      </c>
    </row>
    <row r="60" spans="1:21" x14ac:dyDescent="0.3">
      <c r="A60" s="22" t="s">
        <v>224</v>
      </c>
      <c r="B60" s="397">
        <v>1</v>
      </c>
      <c r="C60" s="34" t="s">
        <v>45</v>
      </c>
      <c r="D60" s="34" t="s">
        <v>225</v>
      </c>
      <c r="E60" s="34" t="s">
        <v>45</v>
      </c>
      <c r="F60" s="55" t="s">
        <v>45</v>
      </c>
      <c r="G60" s="272">
        <v>0</v>
      </c>
      <c r="H60" s="109">
        <f>B60*G60*canola</f>
        <v>0</v>
      </c>
      <c r="I60" s="40"/>
    </row>
    <row r="61" spans="1:21" x14ac:dyDescent="0.3">
      <c r="A61" s="70" t="s">
        <v>178</v>
      </c>
      <c r="Q61" s="216" t="s">
        <v>933</v>
      </c>
    </row>
    <row r="62" spans="1:21" x14ac:dyDescent="0.3">
      <c r="A62" s="22" t="s">
        <v>938</v>
      </c>
      <c r="H62" s="98"/>
      <c r="J62" s="67" t="s">
        <v>932</v>
      </c>
      <c r="K62" s="216" t="s">
        <v>946</v>
      </c>
      <c r="L62" s="89" t="s">
        <v>765</v>
      </c>
      <c r="M62" s="89"/>
      <c r="N62" s="89" t="s">
        <v>765</v>
      </c>
      <c r="O62" s="89"/>
      <c r="P62" s="216" t="s">
        <v>763</v>
      </c>
      <c r="Q62" s="216" t="s">
        <v>764</v>
      </c>
      <c r="R62" s="216" t="s">
        <v>119</v>
      </c>
    </row>
    <row r="63" spans="1:21" x14ac:dyDescent="0.3">
      <c r="A63" s="22" t="s">
        <v>939</v>
      </c>
      <c r="B63" s="397">
        <v>1</v>
      </c>
      <c r="C63" s="34" t="s">
        <v>45</v>
      </c>
      <c r="D63" s="34" t="s">
        <v>45</v>
      </c>
      <c r="E63" s="46" t="s">
        <v>45</v>
      </c>
      <c r="F63" s="68" t="s">
        <v>45</v>
      </c>
      <c r="G63" s="114">
        <f>L63*L70</f>
        <v>0</v>
      </c>
      <c r="H63" s="110">
        <f>B63*G63*canola</f>
        <v>0</v>
      </c>
      <c r="J63" s="55" t="s">
        <v>762</v>
      </c>
      <c r="K63" s="247">
        <v>1</v>
      </c>
      <c r="L63" s="168">
        <f>K63*(R63*diesel_fuel)*(Data!$H$263/$L$58)</f>
        <v>1.1733333333333336</v>
      </c>
      <c r="M63" s="22" t="s">
        <v>254</v>
      </c>
      <c r="N63" s="168">
        <f>(R63*diesel_fuel)</f>
        <v>23.466666666666669</v>
      </c>
      <c r="O63" s="22" t="s">
        <v>935</v>
      </c>
      <c r="P63" s="247">
        <v>55</v>
      </c>
      <c r="Q63" s="247">
        <v>5</v>
      </c>
      <c r="R63" s="46">
        <f>(P63/Q63)*U58</f>
        <v>9.1666666666666679</v>
      </c>
    </row>
    <row r="64" spans="1:21" x14ac:dyDescent="0.3">
      <c r="A64" s="9" t="s">
        <v>1022</v>
      </c>
      <c r="B64" s="405">
        <f>B63</f>
        <v>1</v>
      </c>
      <c r="C64" s="47" t="s">
        <v>45</v>
      </c>
      <c r="D64" s="47" t="s">
        <v>45</v>
      </c>
      <c r="E64" s="47" t="s">
        <v>45</v>
      </c>
      <c r="F64" s="590" t="s">
        <v>45</v>
      </c>
      <c r="G64" s="465">
        <f>G63*Data!$F$263</f>
        <v>0</v>
      </c>
      <c r="H64" s="123">
        <f>B64*G64*canola</f>
        <v>0</v>
      </c>
      <c r="Q64" s="216" t="s">
        <v>933</v>
      </c>
    </row>
    <row r="65" spans="1:18" x14ac:dyDescent="0.3">
      <c r="A65" s="22" t="s">
        <v>942</v>
      </c>
      <c r="B65" s="34"/>
      <c r="C65" s="34"/>
      <c r="D65" s="34"/>
      <c r="E65" s="46"/>
      <c r="F65" s="68"/>
      <c r="G65" s="114"/>
      <c r="H65" s="110"/>
      <c r="J65" s="67" t="s">
        <v>934</v>
      </c>
      <c r="K65" s="216" t="s">
        <v>946</v>
      </c>
      <c r="L65" s="89" t="s">
        <v>765</v>
      </c>
      <c r="M65" s="89"/>
      <c r="N65" s="89" t="s">
        <v>765</v>
      </c>
      <c r="O65" s="89"/>
      <c r="P65" s="216" t="s">
        <v>763</v>
      </c>
      <c r="Q65" s="216" t="s">
        <v>764</v>
      </c>
      <c r="R65" s="216" t="s">
        <v>119</v>
      </c>
    </row>
    <row r="66" spans="1:18" x14ac:dyDescent="0.3">
      <c r="A66" s="22" t="s">
        <v>939</v>
      </c>
      <c r="B66" s="397">
        <v>1</v>
      </c>
      <c r="C66" s="34" t="s">
        <v>45</v>
      </c>
      <c r="D66" s="34" t="s">
        <v>45</v>
      </c>
      <c r="E66" s="46" t="s">
        <v>45</v>
      </c>
      <c r="F66" s="68" t="s">
        <v>45</v>
      </c>
      <c r="G66" s="114">
        <f>L66*M70</f>
        <v>3.5093333333333336</v>
      </c>
      <c r="H66" s="110">
        <f t="shared" ref="H66:H73" si="9">B66*G66*canola</f>
        <v>0</v>
      </c>
      <c r="J66" s="55" t="s">
        <v>762</v>
      </c>
      <c r="K66" s="247">
        <v>1</v>
      </c>
      <c r="L66" s="168">
        <f>K66*(R66*diesel_fuel)*(Data!$H$263/$L$59)</f>
        <v>3.5093333333333336</v>
      </c>
      <c r="M66" s="22" t="s">
        <v>254</v>
      </c>
      <c r="N66" s="168">
        <f>(R66*diesel_fuel)</f>
        <v>140.37333333333333</v>
      </c>
      <c r="O66" s="22" t="s">
        <v>935</v>
      </c>
      <c r="P66" s="247">
        <v>329</v>
      </c>
      <c r="Q66" s="247">
        <v>5</v>
      </c>
      <c r="R66" s="46">
        <f>(P66/Q66)*U59</f>
        <v>54.833333333333336</v>
      </c>
    </row>
    <row r="67" spans="1:18" x14ac:dyDescent="0.3">
      <c r="A67" s="9" t="s">
        <v>1022</v>
      </c>
      <c r="B67" s="405">
        <f>B66</f>
        <v>1</v>
      </c>
      <c r="C67" s="47" t="s">
        <v>45</v>
      </c>
      <c r="D67" s="47" t="s">
        <v>45</v>
      </c>
      <c r="E67" s="47" t="s">
        <v>45</v>
      </c>
      <c r="F67" s="590" t="s">
        <v>45</v>
      </c>
      <c r="G67" s="465">
        <f>G66*Data!$F$263</f>
        <v>0</v>
      </c>
      <c r="H67" s="123">
        <f t="shared" si="9"/>
        <v>0</v>
      </c>
      <c r="J67" s="89"/>
      <c r="K67" s="89"/>
      <c r="L67" s="89"/>
      <c r="M67" s="216"/>
      <c r="N67" s="216"/>
      <c r="O67" s="216"/>
    </row>
    <row r="68" spans="1:18" x14ac:dyDescent="0.3">
      <c r="A68" s="70" t="s">
        <v>179</v>
      </c>
      <c r="B68" s="405"/>
      <c r="C68" s="47"/>
      <c r="D68" s="47"/>
      <c r="E68" s="47"/>
      <c r="F68" s="590"/>
      <c r="G68" s="465"/>
      <c r="H68" s="123"/>
      <c r="J68" s="89"/>
      <c r="K68" s="89"/>
      <c r="L68" s="89"/>
      <c r="M68" s="216"/>
      <c r="N68" s="216"/>
      <c r="O68" s="216"/>
    </row>
    <row r="69" spans="1:18" x14ac:dyDescent="0.3">
      <c r="A69" s="22" t="s">
        <v>957</v>
      </c>
      <c r="B69" s="397">
        <v>1</v>
      </c>
      <c r="C69" s="46" t="s">
        <v>45</v>
      </c>
      <c r="D69" s="34" t="s">
        <v>45</v>
      </c>
      <c r="E69" s="34" t="s">
        <v>45</v>
      </c>
      <c r="F69" s="55" t="s">
        <v>45</v>
      </c>
      <c r="G69" s="250">
        <f>0</f>
        <v>0</v>
      </c>
      <c r="H69" s="109">
        <f t="shared" si="9"/>
        <v>0</v>
      </c>
      <c r="K69" s="67" t="s">
        <v>947</v>
      </c>
      <c r="L69" s="67" t="s">
        <v>932</v>
      </c>
      <c r="M69" s="67" t="s">
        <v>934</v>
      </c>
      <c r="N69" s="67" t="s">
        <v>76</v>
      </c>
    </row>
    <row r="70" spans="1:18" x14ac:dyDescent="0.3">
      <c r="A70" s="9" t="s">
        <v>247</v>
      </c>
      <c r="B70" s="405">
        <f>B69</f>
        <v>1</v>
      </c>
      <c r="C70" s="47" t="s">
        <v>45</v>
      </c>
      <c r="D70" s="48" t="s">
        <v>45</v>
      </c>
      <c r="E70" s="48" t="s">
        <v>45</v>
      </c>
      <c r="F70" s="118" t="s">
        <v>45</v>
      </c>
      <c r="G70" s="465">
        <f>(G69*Data!$F$263)</f>
        <v>0</v>
      </c>
      <c r="H70" s="123">
        <f t="shared" si="9"/>
        <v>0</v>
      </c>
      <c r="K70" s="34" t="s">
        <v>762</v>
      </c>
      <c r="L70" s="408">
        <v>0</v>
      </c>
      <c r="M70" s="408">
        <v>1</v>
      </c>
      <c r="N70" s="77">
        <f>SUM(L70:M70)</f>
        <v>1</v>
      </c>
    </row>
    <row r="71" spans="1:18" x14ac:dyDescent="0.3">
      <c r="A71" s="70" t="s">
        <v>180</v>
      </c>
      <c r="B71" s="397">
        <v>1</v>
      </c>
      <c r="C71" s="46" t="s">
        <v>45</v>
      </c>
      <c r="D71" s="34" t="s">
        <v>45</v>
      </c>
      <c r="E71" s="34" t="s">
        <v>45</v>
      </c>
      <c r="F71" s="55" t="s">
        <v>45</v>
      </c>
      <c r="G71" s="114">
        <f>othexp</f>
        <v>0</v>
      </c>
      <c r="H71" s="109">
        <f t="shared" si="9"/>
        <v>0</v>
      </c>
    </row>
    <row r="72" spans="1:18" x14ac:dyDescent="0.3">
      <c r="A72" s="22" t="s">
        <v>181</v>
      </c>
      <c r="B72" s="397">
        <v>1</v>
      </c>
      <c r="C72" s="46" t="s">
        <v>45</v>
      </c>
      <c r="D72" s="34" t="s">
        <v>45</v>
      </c>
      <c r="E72" s="34" t="s">
        <v>45</v>
      </c>
      <c r="F72" s="55" t="s">
        <v>45</v>
      </c>
      <c r="G72" s="272">
        <f>0</f>
        <v>0</v>
      </c>
      <c r="H72" s="109">
        <f t="shared" si="9"/>
        <v>0</v>
      </c>
    </row>
    <row r="73" spans="1:18" x14ac:dyDescent="0.3">
      <c r="A73" s="3" t="s">
        <v>226</v>
      </c>
      <c r="B73" s="397">
        <v>1</v>
      </c>
      <c r="C73" s="46" t="s">
        <v>45</v>
      </c>
      <c r="D73" s="75" t="s">
        <v>45</v>
      </c>
      <c r="E73" s="34" t="s">
        <v>45</v>
      </c>
      <c r="F73" s="55" t="s">
        <v>45</v>
      </c>
      <c r="G73" s="272">
        <f>0</f>
        <v>0</v>
      </c>
      <c r="H73" s="109">
        <f t="shared" si="9"/>
        <v>0</v>
      </c>
    </row>
    <row r="74" spans="1:18" x14ac:dyDescent="0.3">
      <c r="A74" s="3" t="s">
        <v>73</v>
      </c>
      <c r="B74" s="3"/>
      <c r="F74" s="114"/>
      <c r="G74" s="119" t="e">
        <f>SUM(G8:G73)</f>
        <v>#DIV/0!</v>
      </c>
      <c r="H74" s="111">
        <f>SUM(H8:H73)</f>
        <v>0</v>
      </c>
    </row>
    <row r="75" spans="1:18" x14ac:dyDescent="0.3">
      <c r="F75" s="114"/>
      <c r="G75" s="114"/>
      <c r="H75" s="109"/>
    </row>
    <row r="76" spans="1:18" ht="39" x14ac:dyDescent="0.3">
      <c r="A76" s="3" t="s">
        <v>69</v>
      </c>
      <c r="B76" s="3"/>
      <c r="C76" s="25" t="s">
        <v>70</v>
      </c>
      <c r="D76" s="25" t="s">
        <v>71</v>
      </c>
      <c r="E76" s="25"/>
      <c r="F76" s="114"/>
      <c r="G76" s="120" t="s">
        <v>1292</v>
      </c>
      <c r="H76" s="126" t="s">
        <v>72</v>
      </c>
    </row>
    <row r="77" spans="1:18" x14ac:dyDescent="0.3">
      <c r="A77" s="3"/>
      <c r="B77" s="3"/>
      <c r="C77" s="35">
        <f>_int_oper_</f>
        <v>4.7341710603787002E-2</v>
      </c>
      <c r="D77" s="34">
        <f>Data!$B$48</f>
        <v>7</v>
      </c>
      <c r="E77" s="34"/>
      <c r="F77" s="114"/>
      <c r="G77" s="104" t="e">
        <f>H77/canola</f>
        <v>#DIV/0!</v>
      </c>
      <c r="H77" s="109">
        <f>C77*(D77/12)*(H74)</f>
        <v>0</v>
      </c>
    </row>
    <row r="78" spans="1:18" x14ac:dyDescent="0.3">
      <c r="F78" s="114"/>
      <c r="G78" s="103"/>
      <c r="H78" s="127"/>
    </row>
    <row r="79" spans="1:18" ht="14" thickBot="1" x14ac:dyDescent="0.4">
      <c r="A79" s="1" t="s">
        <v>74</v>
      </c>
      <c r="B79" s="1"/>
      <c r="F79" s="114"/>
      <c r="G79" s="121" t="e">
        <f>G74+G77</f>
        <v>#DIV/0!</v>
      </c>
      <c r="H79" s="128">
        <f>H74+H77</f>
        <v>0</v>
      </c>
    </row>
    <row r="80" spans="1:18" ht="13.5" thickTop="1" x14ac:dyDescent="0.3">
      <c r="F80" s="34"/>
      <c r="G80" s="34"/>
      <c r="H80" s="49"/>
    </row>
    <row r="81" spans="6:8" x14ac:dyDescent="0.3">
      <c r="F81" s="34"/>
      <c r="G81" s="34"/>
      <c r="H81" s="49"/>
    </row>
    <row r="82" spans="6:8" x14ac:dyDescent="0.3">
      <c r="F82" s="34"/>
      <c r="G82" s="34"/>
      <c r="H82" s="49"/>
    </row>
    <row r="83" spans="6:8" x14ac:dyDescent="0.3">
      <c r="F83" s="34"/>
      <c r="G83" s="34"/>
      <c r="H83" s="49"/>
    </row>
    <row r="84" spans="6:8" x14ac:dyDescent="0.3">
      <c r="F84" s="34"/>
      <c r="G84" s="34"/>
      <c r="H84" s="49"/>
    </row>
    <row r="85" spans="6:8" x14ac:dyDescent="0.3">
      <c r="F85" s="34"/>
      <c r="G85" s="34"/>
      <c r="H85" s="49"/>
    </row>
    <row r="86" spans="6:8" x14ac:dyDescent="0.3">
      <c r="F86" s="34"/>
      <c r="G86" s="34"/>
      <c r="H86" s="49"/>
    </row>
    <row r="87" spans="6:8" x14ac:dyDescent="0.3">
      <c r="F87" s="34"/>
      <c r="G87" s="34"/>
      <c r="H87" s="34"/>
    </row>
    <row r="88" spans="6:8" x14ac:dyDescent="0.3">
      <c r="F88" s="34"/>
      <c r="G88" s="34"/>
      <c r="H88" s="34"/>
    </row>
    <row r="89" spans="6:8" x14ac:dyDescent="0.3">
      <c r="F89" s="34"/>
      <c r="G89" s="34"/>
      <c r="H89" s="34"/>
    </row>
    <row r="91" spans="6:8" x14ac:dyDescent="0.3">
      <c r="F91" s="34"/>
      <c r="G91" s="34"/>
      <c r="H91" s="34"/>
    </row>
    <row r="92" spans="6:8" x14ac:dyDescent="0.3">
      <c r="F92" s="34"/>
      <c r="G92" s="34"/>
      <c r="H92" s="34"/>
    </row>
    <row r="93" spans="6:8" x14ac:dyDescent="0.3">
      <c r="F93" s="34"/>
      <c r="G93" s="34"/>
      <c r="H93" s="34"/>
    </row>
    <row r="94" spans="6:8" x14ac:dyDescent="0.3">
      <c r="F94" s="34"/>
      <c r="G94" s="34"/>
      <c r="H94" s="34"/>
    </row>
    <row r="95" spans="6:8" x14ac:dyDescent="0.3">
      <c r="F95" s="34"/>
      <c r="G95" s="34"/>
      <c r="H95" s="34"/>
    </row>
    <row r="96" spans="6:8" x14ac:dyDescent="0.3">
      <c r="F96" s="34"/>
      <c r="G96" s="34"/>
      <c r="H96" s="34"/>
    </row>
    <row r="97" spans="6:8" x14ac:dyDescent="0.3">
      <c r="F97" s="34"/>
      <c r="G97" s="34"/>
      <c r="H97" s="34"/>
    </row>
    <row r="98" spans="6:8" x14ac:dyDescent="0.3">
      <c r="F98" s="34"/>
      <c r="G98" s="34"/>
      <c r="H98" s="34"/>
    </row>
    <row r="99" spans="6:8" x14ac:dyDescent="0.3">
      <c r="F99" s="34"/>
      <c r="G99" s="34"/>
      <c r="H99" s="34"/>
    </row>
    <row r="100" spans="6:8" x14ac:dyDescent="0.3">
      <c r="F100" s="34"/>
      <c r="G100" s="34"/>
      <c r="H100" s="34"/>
    </row>
    <row r="101" spans="6:8" x14ac:dyDescent="0.3">
      <c r="F101" s="34"/>
      <c r="G101" s="34"/>
      <c r="H101" s="34"/>
    </row>
    <row r="102" spans="6:8" x14ac:dyDescent="0.3">
      <c r="F102" s="34"/>
      <c r="G102" s="34"/>
      <c r="H102" s="34"/>
    </row>
    <row r="103" spans="6:8" x14ac:dyDescent="0.3">
      <c r="F103" s="34"/>
      <c r="G103" s="34"/>
      <c r="H103" s="34"/>
    </row>
    <row r="104" spans="6:8" x14ac:dyDescent="0.3">
      <c r="F104" s="34"/>
      <c r="G104" s="34"/>
      <c r="H104" s="34"/>
    </row>
    <row r="105" spans="6:8" x14ac:dyDescent="0.3">
      <c r="F105" s="34"/>
      <c r="G105" s="34"/>
      <c r="H105" s="34"/>
    </row>
    <row r="106" spans="6:8" x14ac:dyDescent="0.3">
      <c r="F106" s="34"/>
      <c r="G106" s="34"/>
      <c r="H106" s="34"/>
    </row>
    <row r="107" spans="6:8" x14ac:dyDescent="0.3">
      <c r="F107" s="34"/>
      <c r="G107" s="34"/>
      <c r="H107" s="34"/>
    </row>
    <row r="108" spans="6:8" x14ac:dyDescent="0.3">
      <c r="F108" s="34"/>
      <c r="G108" s="34"/>
      <c r="H108" s="34"/>
    </row>
    <row r="109" spans="6:8" x14ac:dyDescent="0.3">
      <c r="F109" s="34"/>
      <c r="G109" s="34"/>
      <c r="H109" s="34"/>
    </row>
    <row r="110" spans="6:8" x14ac:dyDescent="0.3">
      <c r="F110" s="34"/>
      <c r="G110" s="34"/>
      <c r="H110" s="34"/>
    </row>
    <row r="111" spans="6:8" x14ac:dyDescent="0.3">
      <c r="F111" s="34"/>
      <c r="G111" s="34"/>
      <c r="H111" s="34"/>
    </row>
    <row r="112" spans="6:8" x14ac:dyDescent="0.3">
      <c r="F112" s="34"/>
      <c r="G112" s="34"/>
      <c r="H112" s="34"/>
    </row>
    <row r="113" spans="6:8" x14ac:dyDescent="0.3">
      <c r="F113" s="34"/>
      <c r="G113" s="34"/>
      <c r="H113" s="34"/>
    </row>
    <row r="114" spans="6:8" x14ac:dyDescent="0.3">
      <c r="F114" s="34"/>
      <c r="G114" s="34"/>
      <c r="H114" s="34"/>
    </row>
    <row r="115" spans="6:8" x14ac:dyDescent="0.3">
      <c r="F115" s="34"/>
      <c r="G115" s="34"/>
      <c r="H115" s="34"/>
    </row>
    <row r="116" spans="6:8" x14ac:dyDescent="0.3">
      <c r="F116" s="34"/>
      <c r="G116" s="34"/>
      <c r="H116" s="34"/>
    </row>
    <row r="117" spans="6:8" x14ac:dyDescent="0.3">
      <c r="F117" s="34"/>
      <c r="G117" s="34"/>
      <c r="H117" s="34"/>
    </row>
    <row r="118" spans="6:8" x14ac:dyDescent="0.3">
      <c r="F118" s="34"/>
      <c r="G118" s="34"/>
      <c r="H118" s="34"/>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row>
    <row r="581" spans="6:8" x14ac:dyDescent="0.3">
      <c r="F581" s="34"/>
    </row>
    <row r="582" spans="6:8" x14ac:dyDescent="0.3">
      <c r="F582" s="34"/>
    </row>
    <row r="583" spans="6:8" x14ac:dyDescent="0.3">
      <c r="F583" s="34"/>
    </row>
    <row r="584" spans="6:8" x14ac:dyDescent="0.3">
      <c r="F584" s="34"/>
    </row>
    <row r="585" spans="6:8" x14ac:dyDescent="0.3">
      <c r="F585" s="34"/>
    </row>
    <row r="586" spans="6:8" x14ac:dyDescent="0.3">
      <c r="F586" s="34"/>
    </row>
    <row r="587" spans="6:8" x14ac:dyDescent="0.3">
      <c r="F587" s="34"/>
    </row>
    <row r="588" spans="6:8" x14ac:dyDescent="0.3">
      <c r="F588" s="34"/>
    </row>
    <row r="589" spans="6:8" x14ac:dyDescent="0.3">
      <c r="F589" s="34"/>
    </row>
    <row r="590" spans="6:8" x14ac:dyDescent="0.3">
      <c r="F590" s="34"/>
    </row>
    <row r="591" spans="6:8" x14ac:dyDescent="0.3">
      <c r="F591" s="34"/>
    </row>
    <row r="592" spans="6:8" x14ac:dyDescent="0.3">
      <c r="F592" s="34"/>
    </row>
    <row r="593" spans="6:6" x14ac:dyDescent="0.3">
      <c r="F593" s="34"/>
    </row>
    <row r="594" spans="6:6" x14ac:dyDescent="0.3">
      <c r="F594" s="34"/>
    </row>
    <row r="595" spans="6:6" x14ac:dyDescent="0.3">
      <c r="F595" s="34"/>
    </row>
    <row r="596" spans="6:6" x14ac:dyDescent="0.3">
      <c r="F596" s="34"/>
    </row>
    <row r="597" spans="6:6" x14ac:dyDescent="0.3">
      <c r="F597" s="34"/>
    </row>
    <row r="598" spans="6:6" x14ac:dyDescent="0.3">
      <c r="F598" s="34"/>
    </row>
    <row r="599" spans="6:6" x14ac:dyDescent="0.3">
      <c r="F599" s="34"/>
    </row>
    <row r="600" spans="6:6" x14ac:dyDescent="0.3">
      <c r="F600" s="34"/>
    </row>
    <row r="601" spans="6:6" x14ac:dyDescent="0.3">
      <c r="F601" s="34"/>
    </row>
  </sheetData>
  <phoneticPr fontId="16" type="noConversion"/>
  <hyperlinks>
    <hyperlink ref="K15" r:id="rId1"/>
  </hyperlinks>
  <pageMargins left="0.7" right="0.7" top="0.75" bottom="0.75" header="0.3" footer="0.3"/>
  <pageSetup orientation="portrait" horizontalDpi="4294967294" verticalDpi="0"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7"/>
  <sheetViews>
    <sheetView workbookViewId="0">
      <pane ySplit="6" topLeftCell="A30" activePane="bottomLeft" state="frozen"/>
      <selection pane="bottomLeft" activeCell="C38" sqref="C38"/>
    </sheetView>
  </sheetViews>
  <sheetFormatPr defaultColWidth="9.08984375" defaultRowHeight="13" x14ac:dyDescent="0.3"/>
  <cols>
    <col min="1" max="1" width="50.54296875" style="27" customWidth="1"/>
    <col min="2" max="2" width="8.6328125" style="27" customWidth="1"/>
    <col min="3" max="3" width="9.6328125" style="17" customWidth="1"/>
    <col min="4" max="5" width="8.6328125" style="17" customWidth="1"/>
    <col min="6"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23" x14ac:dyDescent="0.3">
      <c r="A1" s="61" t="s">
        <v>146</v>
      </c>
      <c r="B1" s="17" t="str">
        <f>model</f>
        <v>ME Grain &amp; Pulse</v>
      </c>
    </row>
    <row r="4" spans="1:23" x14ac:dyDescent="0.3">
      <c r="A4" s="16" t="s">
        <v>557</v>
      </c>
      <c r="B4" s="8" t="s">
        <v>92</v>
      </c>
      <c r="C4" s="65">
        <f>canola</f>
        <v>0</v>
      </c>
      <c r="D4" s="4" t="s">
        <v>93</v>
      </c>
    </row>
    <row r="5" spans="1:23" x14ac:dyDescent="0.3">
      <c r="H5" s="28"/>
    </row>
    <row r="6" spans="1:23"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23" x14ac:dyDescent="0.3">
      <c r="A7" s="13"/>
      <c r="B7" s="29"/>
      <c r="C7" s="30"/>
      <c r="D7" s="31"/>
      <c r="E7" s="31"/>
      <c r="F7" s="18"/>
      <c r="G7" s="18"/>
      <c r="H7" s="32"/>
      <c r="I7" s="31"/>
      <c r="J7" s="31"/>
      <c r="K7" s="31"/>
      <c r="L7" s="31"/>
      <c r="M7" s="31"/>
    </row>
    <row r="8" spans="1:23" x14ac:dyDescent="0.3">
      <c r="A8" s="14" t="s">
        <v>3</v>
      </c>
      <c r="D8" s="110"/>
      <c r="E8" s="110"/>
      <c r="F8" s="110"/>
    </row>
    <row r="9" spans="1:23" x14ac:dyDescent="0.3">
      <c r="A9" s="6" t="str">
        <f>Data!A285</f>
        <v>Large tractor (160 hp) - MEDIUM SIZE</v>
      </c>
      <c r="B9" s="33">
        <f>Data!B285</f>
        <v>1</v>
      </c>
      <c r="C9" s="34" t="str">
        <f>Data!C285</f>
        <v>tractor</v>
      </c>
      <c r="D9" s="109">
        <f>Data!D292*Data!H23</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row>
    <row r="10" spans="1:23" x14ac:dyDescent="0.3">
      <c r="B10" s="33"/>
      <c r="C10" s="34"/>
      <c r="D10" s="109"/>
      <c r="E10" s="109"/>
      <c r="F10" s="109"/>
      <c r="G10" s="34"/>
      <c r="H10" s="109"/>
      <c r="I10" s="35"/>
      <c r="J10" s="109"/>
      <c r="K10" s="35"/>
      <c r="L10" s="109"/>
      <c r="M10" s="109"/>
      <c r="N10" s="32"/>
      <c r="O10" s="34"/>
      <c r="P10" s="34"/>
      <c r="Q10" s="34"/>
      <c r="R10" s="34"/>
      <c r="S10" s="34"/>
      <c r="T10" s="34"/>
      <c r="U10" s="34"/>
      <c r="V10" s="34"/>
      <c r="W10" s="34"/>
    </row>
    <row r="11" spans="1:23" x14ac:dyDescent="0.3">
      <c r="A11" s="14" t="s">
        <v>386</v>
      </c>
      <c r="D11" s="110"/>
      <c r="E11" s="110"/>
      <c r="F11" s="109"/>
      <c r="H11" s="109"/>
      <c r="J11" s="110"/>
      <c r="L11" s="110"/>
      <c r="M11" s="109"/>
    </row>
    <row r="12" spans="1:23" x14ac:dyDescent="0.3">
      <c r="A12" s="6" t="str">
        <f>Data!A297</f>
        <v>Bulk Body Truck(s) - SMALL SIZE</v>
      </c>
      <c r="B12" s="33">
        <f>Data!B297</f>
        <v>0</v>
      </c>
      <c r="C12" s="34" t="str">
        <f>Data!C297</f>
        <v>truck</v>
      </c>
      <c r="D12" s="109">
        <f>Data!D297*Data!J23</f>
        <v>0</v>
      </c>
      <c r="E12" s="109">
        <f>D12*B12</f>
        <v>0</v>
      </c>
      <c r="F12" s="109">
        <f>Data!I297*E12</f>
        <v>0</v>
      </c>
      <c r="G12" s="60">
        <f>Data!F297</f>
        <v>40</v>
      </c>
      <c r="H12" s="109">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row>
    <row r="13" spans="1:23" x14ac:dyDescent="0.3">
      <c r="B13" s="33"/>
      <c r="C13" s="34"/>
      <c r="D13" s="109"/>
      <c r="E13" s="109"/>
      <c r="F13" s="109"/>
      <c r="G13" s="34"/>
      <c r="H13" s="109"/>
      <c r="I13" s="35"/>
      <c r="J13" s="109"/>
      <c r="K13" s="35"/>
      <c r="L13" s="32"/>
      <c r="M13" s="32"/>
      <c r="N13" s="32"/>
      <c r="O13" s="34"/>
      <c r="P13" s="34"/>
      <c r="Q13" s="34"/>
      <c r="R13" s="34"/>
      <c r="S13" s="34"/>
      <c r="T13" s="34"/>
      <c r="U13" s="34"/>
      <c r="V13" s="34"/>
      <c r="W13" s="34"/>
    </row>
    <row r="14" spans="1:23" x14ac:dyDescent="0.3">
      <c r="A14" s="14" t="s">
        <v>6</v>
      </c>
      <c r="B14" s="33"/>
      <c r="C14" s="34"/>
      <c r="D14" s="109"/>
      <c r="E14" s="109"/>
      <c r="F14" s="109"/>
      <c r="G14" s="34"/>
      <c r="H14" s="109"/>
      <c r="I14" s="35"/>
      <c r="J14" s="109"/>
      <c r="K14" s="35"/>
      <c r="L14" s="109"/>
      <c r="M14" s="109"/>
      <c r="N14" s="34"/>
      <c r="O14" s="34"/>
      <c r="P14" s="34"/>
      <c r="Q14" s="34"/>
      <c r="R14" s="34"/>
      <c r="S14" s="34"/>
      <c r="T14" s="34"/>
      <c r="U14" s="34"/>
      <c r="V14" s="34"/>
      <c r="W14" s="34"/>
    </row>
    <row r="15" spans="1:23" x14ac:dyDescent="0.3">
      <c r="A15" s="6" t="str">
        <f>Data!A313</f>
        <v>Chisel Plow (15 ft) - SMALL SIZE</v>
      </c>
      <c r="B15" s="33">
        <f>Data!B313</f>
        <v>0</v>
      </c>
      <c r="C15" s="34" t="str">
        <f>Data!C313</f>
        <v>chisel plow</v>
      </c>
      <c r="D15" s="109">
        <f>Data!D313*Data!P23</f>
        <v>0</v>
      </c>
      <c r="E15" s="109">
        <f>D15*B15</f>
        <v>0</v>
      </c>
      <c r="F15" s="109">
        <f>Data!I313*E15</f>
        <v>0</v>
      </c>
      <c r="G15" s="60">
        <f>Data!F313</f>
        <v>40</v>
      </c>
      <c r="H15" s="109">
        <f>(E15*(_int_inv_*(1+_int_inv_)^G15)/((1+_int_inv_)^G15-1))-(F15*_int_inv_/((1+_int_inv_)^G15-1))</f>
        <v>0</v>
      </c>
      <c r="I15" s="35">
        <f>Data!H313</f>
        <v>2.433684210526316E-2</v>
      </c>
      <c r="J15" s="109">
        <f>E15*I15</f>
        <v>0</v>
      </c>
      <c r="K15" s="36">
        <f>_tax_ins_</f>
        <v>6.7999999999999996E-3</v>
      </c>
      <c r="L15" s="109">
        <f>E15*K15</f>
        <v>0</v>
      </c>
      <c r="M15" s="109">
        <f>H15+J15+L15</f>
        <v>0</v>
      </c>
      <c r="N15" s="34"/>
      <c r="O15" s="34"/>
      <c r="P15" s="34"/>
      <c r="Q15" s="34"/>
      <c r="R15" s="34"/>
    </row>
    <row r="16" spans="1:23" x14ac:dyDescent="0.3">
      <c r="A16" s="6" t="str">
        <f>Data!A316</f>
        <v>Disk Harrow (12 ft) - SMALL SIZE</v>
      </c>
      <c r="B16" s="33">
        <f>Data!B316</f>
        <v>0</v>
      </c>
      <c r="C16" s="34" t="str">
        <f>Data!C316</f>
        <v>disk harrow</v>
      </c>
      <c r="D16" s="109">
        <f>Data!D316*Data!P23</f>
        <v>0</v>
      </c>
      <c r="E16" s="109">
        <f>D16*B16</f>
        <v>0</v>
      </c>
      <c r="F16" s="109">
        <f>Data!I316*E16</f>
        <v>0</v>
      </c>
      <c r="G16" s="60">
        <f>Data!F316</f>
        <v>50</v>
      </c>
      <c r="H16" s="109">
        <f>(E16*(_int_inv_*(1+_int_inv_)^G16)/((1+_int_inv_)^G16-1))-(F16*_int_inv_/((1+_int_inv_)^G16-1))</f>
        <v>0</v>
      </c>
      <c r="I16" s="35">
        <f>Data!H316</f>
        <v>2.2825263157894737E-2</v>
      </c>
      <c r="J16" s="109">
        <f>E16*I16</f>
        <v>0</v>
      </c>
      <c r="K16" s="36">
        <f>_tax_ins_</f>
        <v>6.7999999999999996E-3</v>
      </c>
      <c r="L16" s="109">
        <f>E16*K16</f>
        <v>0</v>
      </c>
      <c r="M16" s="109">
        <f>H16+J16+L16</f>
        <v>0</v>
      </c>
    </row>
    <row r="17" spans="1:23" ht="13.25" customHeight="1" x14ac:dyDescent="0.3">
      <c r="A17" s="6" t="str">
        <f>Data!A319</f>
        <v>Soil Conditioner/Field Cultivator (18 ft) - SMALL SIZE</v>
      </c>
      <c r="B17" s="33">
        <f>Data!B319</f>
        <v>0</v>
      </c>
      <c r="C17" s="34" t="str">
        <f>Data!C319</f>
        <v>condit.</v>
      </c>
      <c r="D17" s="109">
        <f>Data!D319*Data!P23</f>
        <v>0</v>
      </c>
      <c r="E17" s="109">
        <f>D17*B17</f>
        <v>0</v>
      </c>
      <c r="F17" s="109">
        <f>Data!I319*E17</f>
        <v>0</v>
      </c>
      <c r="G17" s="60">
        <f>Data!F319</f>
        <v>40</v>
      </c>
      <c r="H17" s="109">
        <f>(E17*(_int_inv_*(1+_int_inv_)^G17)/((1+_int_inv_)^G17-1))-(F17*_int_inv_/((1+_int_inv_)^G17-1))</f>
        <v>0</v>
      </c>
      <c r="I17" s="35">
        <f>Data!H319</f>
        <v>3.245E-2</v>
      </c>
      <c r="J17" s="109">
        <f>E17*I17</f>
        <v>0</v>
      </c>
      <c r="K17" s="36">
        <f>_tax_ins_</f>
        <v>6.7999999999999996E-3</v>
      </c>
      <c r="L17" s="109">
        <f>E17*K17</f>
        <v>0</v>
      </c>
      <c r="M17" s="109">
        <f>H17+J17+L17</f>
        <v>0</v>
      </c>
    </row>
    <row r="18" spans="1:23" x14ac:dyDescent="0.3">
      <c r="B18" s="33"/>
      <c r="C18" s="34"/>
      <c r="D18" s="109"/>
      <c r="E18" s="109"/>
      <c r="F18" s="109" t="s">
        <v>124</v>
      </c>
      <c r="G18" s="34"/>
      <c r="H18" s="109"/>
      <c r="I18" s="35"/>
      <c r="J18" s="109"/>
      <c r="K18" s="36"/>
      <c r="L18" s="109"/>
      <c r="M18" s="109"/>
      <c r="N18" s="34"/>
      <c r="O18" s="34"/>
      <c r="P18" s="34"/>
      <c r="Q18" s="34"/>
      <c r="R18" s="34"/>
      <c r="S18" s="34"/>
      <c r="T18" s="34"/>
      <c r="U18" s="34"/>
      <c r="V18" s="34"/>
      <c r="W18" s="34"/>
    </row>
    <row r="19" spans="1:23" x14ac:dyDescent="0.3">
      <c r="A19" s="14" t="s">
        <v>4</v>
      </c>
      <c r="B19" s="33"/>
      <c r="C19" s="34"/>
      <c r="D19" s="109"/>
      <c r="E19" s="109"/>
      <c r="F19" s="109"/>
      <c r="G19" s="34"/>
      <c r="H19" s="109"/>
      <c r="I19" s="35"/>
      <c r="J19" s="109"/>
      <c r="K19" s="35"/>
      <c r="L19" s="32"/>
      <c r="M19" s="32"/>
      <c r="N19" s="34"/>
      <c r="O19" s="34"/>
      <c r="P19" s="34"/>
      <c r="Q19" s="34"/>
      <c r="R19" s="34"/>
      <c r="S19" s="34"/>
      <c r="T19" s="34"/>
      <c r="U19" s="34"/>
      <c r="V19" s="34"/>
      <c r="W19" s="34"/>
    </row>
    <row r="20" spans="1:23" x14ac:dyDescent="0.3">
      <c r="A20" s="6" t="str">
        <f>Data!A334</f>
        <v xml:space="preserve">Fertilizer Spreader </v>
      </c>
      <c r="B20" s="247">
        <v>1</v>
      </c>
      <c r="C20" s="34" t="str">
        <f>Data!C334</f>
        <v>fert.spread</v>
      </c>
      <c r="D20" s="109">
        <f>Data!D334*Data!N23</f>
        <v>0</v>
      </c>
      <c r="E20" s="109">
        <f>D20*B20</f>
        <v>0</v>
      </c>
      <c r="F20" s="109">
        <f>Data!I334*E20</f>
        <v>0</v>
      </c>
      <c r="G20" s="60">
        <f>Data!F334</f>
        <v>10</v>
      </c>
      <c r="H20" s="109">
        <f>(E20*(_int_inv_*(1+_int_inv_)^G20)/((1+_int_inv_)^G20-1))-(F20*_int_inv_/((1+_int_inv_)^G20-1))</f>
        <v>0</v>
      </c>
      <c r="I20" s="35">
        <f>Data!H334</f>
        <v>4.4999999999999998E-2</v>
      </c>
      <c r="J20" s="104">
        <f>E20*I20</f>
        <v>0</v>
      </c>
      <c r="K20" s="36">
        <f>_tax_ins_</f>
        <v>6.7999999999999996E-3</v>
      </c>
      <c r="L20" s="104">
        <f>E20*K20</f>
        <v>0</v>
      </c>
      <c r="M20" s="109">
        <f>H20+J20+L20</f>
        <v>0</v>
      </c>
    </row>
    <row r="21" spans="1:23" x14ac:dyDescent="0.3">
      <c r="A21" s="6" t="str">
        <f>Data!A347</f>
        <v>Seeder (Brillion)</v>
      </c>
      <c r="B21" s="247">
        <v>1</v>
      </c>
      <c r="C21" s="34" t="str">
        <f>Data!C347</f>
        <v>seeder</v>
      </c>
      <c r="D21" s="109">
        <f>Data!D347*Data!D24*Data!AV23</f>
        <v>0</v>
      </c>
      <c r="E21" s="109">
        <f>D21*B21</f>
        <v>0</v>
      </c>
      <c r="F21" s="109">
        <f>Data!I347*E21</f>
        <v>0</v>
      </c>
      <c r="G21" s="90">
        <f>Data!F348</f>
        <v>10</v>
      </c>
      <c r="H21" s="109">
        <f>(E21*(_int_inv_*(1+_int_inv_)^G21)/((1+_int_inv_)^G21-1))-(F21*_int_inv_/((1+_int_inv_)^G21-1))</f>
        <v>0</v>
      </c>
      <c r="I21" s="162">
        <f>Data!H348</f>
        <v>4.4999999999999998E-2</v>
      </c>
      <c r="J21" s="109">
        <f>E21*I21</f>
        <v>0</v>
      </c>
      <c r="K21" s="36">
        <f>_tax_ins_</f>
        <v>6.7999999999999996E-3</v>
      </c>
      <c r="L21" s="109">
        <f>E21*K21</f>
        <v>0</v>
      </c>
      <c r="M21" s="109">
        <f>H21+J21+L21</f>
        <v>0</v>
      </c>
      <c r="N21" s="34"/>
      <c r="O21" s="34"/>
      <c r="P21" s="34"/>
      <c r="Q21" s="34"/>
      <c r="R21" s="34"/>
      <c r="S21" s="34"/>
      <c r="T21" s="34"/>
      <c r="U21" s="34"/>
      <c r="V21" s="34"/>
      <c r="W21" s="34"/>
    </row>
    <row r="22" spans="1:23" x14ac:dyDescent="0.3">
      <c r="B22" s="33"/>
      <c r="C22" s="34"/>
      <c r="D22" s="109"/>
      <c r="E22" s="109"/>
      <c r="F22" s="109"/>
      <c r="G22" s="34"/>
      <c r="H22" s="109"/>
      <c r="I22" s="35"/>
      <c r="J22" s="109"/>
      <c r="K22" s="35"/>
      <c r="L22" s="109"/>
      <c r="M22" s="109"/>
      <c r="N22" s="34"/>
      <c r="O22" s="34"/>
      <c r="P22" s="34"/>
      <c r="Q22" s="34"/>
      <c r="R22" s="34"/>
      <c r="S22" s="34"/>
      <c r="T22" s="34"/>
      <c r="U22" s="34"/>
      <c r="V22" s="34"/>
      <c r="W22" s="34"/>
    </row>
    <row r="23" spans="1:23" x14ac:dyDescent="0.3">
      <c r="A23" s="14" t="s">
        <v>7</v>
      </c>
      <c r="B23" s="33"/>
      <c r="C23" s="34"/>
      <c r="D23" s="109"/>
      <c r="E23" s="109"/>
      <c r="F23" s="109"/>
      <c r="G23" s="34"/>
      <c r="H23" s="109"/>
      <c r="I23" s="35"/>
      <c r="J23" s="109"/>
      <c r="K23" s="36"/>
      <c r="L23" s="109"/>
      <c r="M23" s="109"/>
      <c r="N23" s="34"/>
      <c r="O23" s="34"/>
      <c r="P23" s="34"/>
      <c r="Q23" s="34"/>
      <c r="R23" s="34"/>
      <c r="S23" s="34"/>
      <c r="T23" s="34"/>
      <c r="U23" s="34"/>
      <c r="V23" s="34"/>
      <c r="W23" s="34"/>
    </row>
    <row r="24" spans="1:23" ht="12.75" customHeight="1" x14ac:dyDescent="0.3">
      <c r="A24" s="6" t="str">
        <f>Data!A353</f>
        <v>Sprayer (Tractor Mounted Boom, 50 ft) - SMALL SIZE</v>
      </c>
      <c r="B24" s="247">
        <v>1</v>
      </c>
      <c r="C24" s="34" t="str">
        <f>Data!C353</f>
        <v>sprayer</v>
      </c>
      <c r="D24" s="109">
        <f>Data!D353*Data!P23</f>
        <v>0</v>
      </c>
      <c r="E24" s="109">
        <f>D24*B24</f>
        <v>0</v>
      </c>
      <c r="F24" s="109">
        <f>Data!I353*E24</f>
        <v>0</v>
      </c>
      <c r="G24" s="60">
        <f>Data!F353</f>
        <v>50</v>
      </c>
      <c r="H24" s="109">
        <f>(E24*(_int_inv_*(1+_int_inv_)^G24)/((1+_int_inv_)^G24-1))-(F24*_int_inv_/((1+_int_inv_)^G24-1))</f>
        <v>0</v>
      </c>
      <c r="I24" s="35">
        <f>Data!H353</f>
        <v>4.4999999999999998E-2</v>
      </c>
      <c r="J24" s="109">
        <f>E24*I24</f>
        <v>0</v>
      </c>
      <c r="K24" s="36">
        <f>_tax_ins_</f>
        <v>6.7999999999999996E-3</v>
      </c>
      <c r="L24" s="109">
        <f>E24*K24</f>
        <v>0</v>
      </c>
      <c r="M24" s="109">
        <f>H24+J24+L24</f>
        <v>0</v>
      </c>
      <c r="N24" s="34"/>
      <c r="O24" s="34"/>
      <c r="P24" s="34"/>
      <c r="Q24" s="34"/>
      <c r="R24" s="34"/>
    </row>
    <row r="25" spans="1:23" x14ac:dyDescent="0.3">
      <c r="B25" s="33"/>
      <c r="C25" s="34"/>
      <c r="D25" s="109"/>
      <c r="E25" s="109"/>
      <c r="F25" s="109"/>
      <c r="G25" s="34"/>
      <c r="H25" s="109"/>
      <c r="I25" s="35"/>
      <c r="J25" s="109"/>
      <c r="K25" s="36"/>
      <c r="L25" s="109"/>
      <c r="M25" s="109"/>
      <c r="N25" s="34"/>
      <c r="O25" s="34"/>
      <c r="P25" s="34"/>
      <c r="Q25" s="34"/>
      <c r="R25" s="34"/>
      <c r="S25" s="34"/>
      <c r="T25" s="34"/>
      <c r="U25" s="34"/>
      <c r="V25" s="34"/>
      <c r="W25" s="34"/>
    </row>
    <row r="26" spans="1:23" x14ac:dyDescent="0.3">
      <c r="A26" s="14" t="s">
        <v>9</v>
      </c>
      <c r="B26" s="33"/>
      <c r="C26" s="34"/>
      <c r="D26" s="109"/>
      <c r="E26" s="109"/>
      <c r="F26" s="109"/>
      <c r="G26" s="34"/>
      <c r="H26" s="109"/>
      <c r="I26" s="35"/>
      <c r="J26" s="109"/>
      <c r="K26" s="36"/>
      <c r="L26" s="109"/>
      <c r="M26" s="109"/>
      <c r="N26" s="34"/>
      <c r="O26" s="34"/>
      <c r="P26" s="34"/>
      <c r="Q26" s="34"/>
      <c r="R26" s="34"/>
      <c r="S26" s="34"/>
      <c r="T26" s="34"/>
      <c r="U26" s="34"/>
      <c r="V26" s="34"/>
      <c r="W26" s="34"/>
    </row>
    <row r="27" spans="1:23" x14ac:dyDescent="0.3">
      <c r="A27" s="6" t="str">
        <f>Data!A381</f>
        <v>Combine (IHC) - SMALL SIZE</v>
      </c>
      <c r="B27" s="33">
        <f>Data!B381</f>
        <v>0</v>
      </c>
      <c r="C27" s="34" t="str">
        <f>Data!C381</f>
        <v>combine</v>
      </c>
      <c r="D27" s="109">
        <f>Data!D381*Data!AH23</f>
        <v>0</v>
      </c>
      <c r="E27" s="109">
        <f>D27*B27</f>
        <v>0</v>
      </c>
      <c r="F27" s="109">
        <f>Data!I381*E27</f>
        <v>0</v>
      </c>
      <c r="G27" s="60">
        <f>Data!F381</f>
        <v>50</v>
      </c>
      <c r="H27" s="109">
        <f>(E27*(_int_inv_*(1+_int_inv_)^G27)/((1+_int_inv_)^G27-1))-(F27*_int_inv_/((1+_int_inv_)^G27-1))</f>
        <v>0</v>
      </c>
      <c r="I27" s="35">
        <f>Data!H381</f>
        <v>2.8219081272084806E-2</v>
      </c>
      <c r="J27" s="109">
        <f>E27*I27</f>
        <v>0</v>
      </c>
      <c r="K27" s="36">
        <f>_tax_ins_</f>
        <v>6.7999999999999996E-3</v>
      </c>
      <c r="L27" s="109">
        <f>E27*K27</f>
        <v>0</v>
      </c>
      <c r="M27" s="109">
        <f>H27+J27+L27</f>
        <v>0</v>
      </c>
      <c r="N27" s="34"/>
      <c r="O27" s="34"/>
      <c r="P27" s="34"/>
      <c r="Q27" s="34"/>
      <c r="R27" s="34"/>
      <c r="S27" s="34"/>
      <c r="T27" s="34"/>
      <c r="U27" s="34"/>
      <c r="V27" s="34"/>
      <c r="W27" s="34"/>
    </row>
    <row r="28" spans="1:23" ht="13.25" customHeight="1" x14ac:dyDescent="0.3">
      <c r="A28" s="6" t="str">
        <f>Data!A385</f>
        <v xml:space="preserve">     Combine small grain head (15 ft) - SMALL SIZE</v>
      </c>
      <c r="B28" s="33">
        <f>Data!B385</f>
        <v>0</v>
      </c>
      <c r="C28" s="34" t="str">
        <f>Data!C385</f>
        <v>sm.gr.hd.</v>
      </c>
      <c r="D28" s="109">
        <f>Data!D385*Data!AJ23</f>
        <v>0</v>
      </c>
      <c r="E28" s="109">
        <f>D28*B28</f>
        <v>0</v>
      </c>
      <c r="F28" s="109">
        <f>Data!I385*E28</f>
        <v>0</v>
      </c>
      <c r="G28" s="60">
        <f>Data!F385</f>
        <v>50</v>
      </c>
      <c r="H28" s="109">
        <f>(E28*(_int_inv_*(1+_int_inv_)^G28)/((1+_int_inv_)^G28-1))-(F28*_int_inv_/((1+_int_inv_)^G28-1))</f>
        <v>0</v>
      </c>
      <c r="I28" s="35">
        <f>Data!H385</f>
        <v>2.6278604651162791E-2</v>
      </c>
      <c r="J28" s="109">
        <f>E28*I28</f>
        <v>0</v>
      </c>
      <c r="K28" s="36">
        <f>_tax_ins_</f>
        <v>6.7999999999999996E-3</v>
      </c>
      <c r="L28" s="109">
        <f>E28*K28</f>
        <v>0</v>
      </c>
      <c r="M28" s="109">
        <f>H28+J28+L28</f>
        <v>0</v>
      </c>
      <c r="N28" s="34"/>
      <c r="O28" s="34"/>
      <c r="P28" s="34"/>
      <c r="Q28" s="34"/>
      <c r="R28" s="34"/>
      <c r="S28" s="34"/>
      <c r="T28" s="34"/>
      <c r="U28" s="34"/>
      <c r="V28" s="34"/>
    </row>
    <row r="29" spans="1:23" x14ac:dyDescent="0.3">
      <c r="A29" s="6"/>
      <c r="B29" s="33"/>
      <c r="C29" s="34"/>
      <c r="D29" s="109"/>
      <c r="E29" s="109"/>
      <c r="F29" s="109"/>
      <c r="G29" s="34"/>
      <c r="H29" s="109"/>
      <c r="I29" s="35"/>
      <c r="J29" s="109"/>
      <c r="K29" s="36"/>
      <c r="L29" s="109"/>
      <c r="M29" s="109"/>
      <c r="N29" s="34"/>
      <c r="O29" s="34"/>
      <c r="P29" s="34"/>
      <c r="Q29" s="34"/>
      <c r="R29" s="34"/>
      <c r="S29" s="34"/>
      <c r="T29" s="34"/>
      <c r="U29" s="34"/>
      <c r="V29" s="34"/>
      <c r="W29" s="34"/>
    </row>
    <row r="30" spans="1:23" x14ac:dyDescent="0.3">
      <c r="A30" s="14" t="s">
        <v>357</v>
      </c>
      <c r="B30" s="33"/>
      <c r="C30" s="34"/>
      <c r="D30" s="109"/>
      <c r="E30" s="109"/>
      <c r="F30" s="109"/>
      <c r="G30" s="34"/>
      <c r="H30" s="109"/>
      <c r="I30" s="35"/>
      <c r="J30" s="109"/>
      <c r="K30" s="36"/>
      <c r="L30" s="109"/>
      <c r="M30" s="109"/>
    </row>
    <row r="31" spans="1:23" x14ac:dyDescent="0.3">
      <c r="A31" s="6" t="str">
        <f>Data!A395</f>
        <v>Fuel Tanks - SMALL SIZE</v>
      </c>
      <c r="B31" s="33">
        <f>Data!B395</f>
        <v>0</v>
      </c>
      <c r="C31" s="34" t="str">
        <f>Data!C395</f>
        <v>fuel tank</v>
      </c>
      <c r="D31" s="109">
        <f>Data!D395*Data!H23</f>
        <v>0</v>
      </c>
      <c r="E31" s="109">
        <f>D31*B31</f>
        <v>0</v>
      </c>
      <c r="F31" s="109">
        <f>Data!I395*E31</f>
        <v>0</v>
      </c>
      <c r="G31" s="60">
        <f>Data!F395</f>
        <v>50</v>
      </c>
      <c r="H31" s="109">
        <f>(E31*(_int_inv_*(1+_int_inv_)^G31)/((1+_int_inv_)^G31-1))-(F31*_int_inv_/((1+_int_inv_)^G31-1))</f>
        <v>0</v>
      </c>
      <c r="I31" s="35">
        <f>Data!H395</f>
        <v>0.02</v>
      </c>
      <c r="J31" s="104">
        <f>E31*I31</f>
        <v>0</v>
      </c>
      <c r="K31" s="36">
        <f>_tax_ins_</f>
        <v>6.7999999999999996E-3</v>
      </c>
      <c r="L31" s="104">
        <f>E31*K31</f>
        <v>0</v>
      </c>
      <c r="M31" s="109">
        <f>H31+J31+L31</f>
        <v>0</v>
      </c>
    </row>
    <row r="32" spans="1:23" x14ac:dyDescent="0.3">
      <c r="A32" s="6" t="str">
        <f>Data!A396</f>
        <v>Shop Tools - SMALL SIZE</v>
      </c>
      <c r="B32" s="33">
        <f>Data!B396</f>
        <v>0</v>
      </c>
      <c r="C32" s="34" t="str">
        <f>Data!C396</f>
        <v>shop tools</v>
      </c>
      <c r="D32" s="109">
        <f>Data!D396*Data!H23</f>
        <v>0</v>
      </c>
      <c r="E32" s="109">
        <f>D32*B32</f>
        <v>0</v>
      </c>
      <c r="F32" s="109">
        <f>Data!I396*E32</f>
        <v>0</v>
      </c>
      <c r="G32" s="60">
        <f>Data!F396</f>
        <v>50</v>
      </c>
      <c r="H32" s="109">
        <f>(E32*(_int_inv_*(1+_int_inv_)^G32)/((1+_int_inv_)^G32-1))-(F32*_int_inv_/((1+_int_inv_)^G32-1))</f>
        <v>0</v>
      </c>
      <c r="I32" s="35">
        <f>Data!H396</f>
        <v>0.02</v>
      </c>
      <c r="J32" s="109">
        <f>E32*I32</f>
        <v>0</v>
      </c>
      <c r="K32" s="36">
        <f>_tax_ins_</f>
        <v>6.7999999999999996E-3</v>
      </c>
      <c r="L32" s="104">
        <f>E32*K32</f>
        <v>0</v>
      </c>
      <c r="M32" s="109">
        <f>H32+J32+L32</f>
        <v>0</v>
      </c>
    </row>
    <row r="33" spans="1:23" x14ac:dyDescent="0.3">
      <c r="A33" s="6"/>
      <c r="B33" s="33"/>
      <c r="C33" s="34"/>
      <c r="D33" s="109"/>
      <c r="E33" s="109"/>
      <c r="F33" s="109"/>
      <c r="G33" s="34"/>
      <c r="H33" s="109"/>
      <c r="I33" s="35"/>
      <c r="J33" s="109"/>
      <c r="K33" s="36"/>
      <c r="L33" s="109"/>
      <c r="M33" s="109"/>
      <c r="N33" s="34"/>
      <c r="O33" s="34"/>
      <c r="P33" s="34"/>
      <c r="Q33" s="34"/>
      <c r="R33" s="34"/>
      <c r="S33" s="34"/>
      <c r="T33" s="34"/>
      <c r="U33" s="34"/>
      <c r="V33" s="34"/>
      <c r="W33" s="34"/>
    </row>
    <row r="34" spans="1:23" x14ac:dyDescent="0.3">
      <c r="A34" s="14" t="s">
        <v>237</v>
      </c>
      <c r="B34" s="33"/>
      <c r="C34" s="350">
        <v>0</v>
      </c>
      <c r="D34" s="351" t="s">
        <v>949</v>
      </c>
      <c r="E34" s="352"/>
      <c r="F34" s="352"/>
      <c r="G34" s="354"/>
      <c r="H34" s="352"/>
      <c r="I34" s="360"/>
      <c r="J34" s="409"/>
      <c r="K34" s="36"/>
      <c r="L34" s="109"/>
      <c r="M34" s="109"/>
      <c r="N34" s="34"/>
      <c r="O34" s="34"/>
      <c r="P34" s="34"/>
      <c r="Q34" s="34"/>
      <c r="R34" s="34"/>
      <c r="S34" s="34"/>
      <c r="T34" s="34"/>
      <c r="U34" s="34"/>
      <c r="V34" s="34"/>
      <c r="W34" s="34"/>
    </row>
    <row r="35" spans="1:23" x14ac:dyDescent="0.3">
      <c r="A35" s="6" t="str">
        <f>Data!A423</f>
        <v>Grain Auger(s) - SMALL SIZE</v>
      </c>
      <c r="B35" s="163">
        <f>Data!B423</f>
        <v>0</v>
      </c>
      <c r="C35" s="34" t="str">
        <f>Data!C423</f>
        <v>auger</v>
      </c>
      <c r="D35" s="109">
        <f>Data!D423*Data!D23</f>
        <v>0</v>
      </c>
      <c r="E35" s="109">
        <f>D35*B35</f>
        <v>0</v>
      </c>
      <c r="F35" s="109">
        <f>Data!I423*E35</f>
        <v>0</v>
      </c>
      <c r="G35" s="60">
        <f>Data!F423</f>
        <v>50</v>
      </c>
      <c r="H35" s="109">
        <f>(E35*(_int_inv_*(1+_int_inv_)^G35)/((1+_int_inv_)^G35-1))-(F35*_int_inv_/((1+_int_inv_)^G35-1))</f>
        <v>0</v>
      </c>
      <c r="I35" s="35">
        <f>Data!H423</f>
        <v>0.02</v>
      </c>
      <c r="J35" s="109">
        <f>E35*I35</f>
        <v>0</v>
      </c>
      <c r="K35" s="36">
        <f>_tax_ins_</f>
        <v>6.7999999999999996E-3</v>
      </c>
      <c r="L35" s="109">
        <f>E35*K35</f>
        <v>0</v>
      </c>
      <c r="M35" s="109">
        <f>H35+J35+L35</f>
        <v>0</v>
      </c>
      <c r="N35" s="34"/>
      <c r="O35" s="34"/>
      <c r="P35" s="34"/>
      <c r="Q35" s="34"/>
      <c r="R35" s="34"/>
      <c r="S35" s="34"/>
      <c r="T35" s="34"/>
      <c r="U35" s="34"/>
      <c r="V35" s="34"/>
      <c r="W35" s="34"/>
    </row>
    <row r="36" spans="1:23" x14ac:dyDescent="0.3">
      <c r="A36" s="6" t="str">
        <f>Data!A491</f>
        <v>Grain Bin (Canola)</v>
      </c>
      <c r="B36" s="163">
        <f>Data!B446</f>
        <v>0</v>
      </c>
      <c r="C36" s="34" t="str">
        <f>Data!C491</f>
        <v>crop storage</v>
      </c>
      <c r="D36" s="109">
        <f>Data!D491*Data!D23*C34</f>
        <v>0</v>
      </c>
      <c r="E36" s="109">
        <f>D36*B36</f>
        <v>0</v>
      </c>
      <c r="F36" s="109">
        <f>Data!I491*E36</f>
        <v>0</v>
      </c>
      <c r="G36" s="60">
        <f>Data!F446</f>
        <v>5</v>
      </c>
      <c r="H36" s="109">
        <f>(E36*(_int_inv_*(1+_int_inv_)^G36)/((1+_int_inv_)^G36-1))-(F36*_int_inv_/((1+_int_inv_)^G36-1))</f>
        <v>0</v>
      </c>
      <c r="I36" s="35">
        <f>Data!H446</f>
        <v>0</v>
      </c>
      <c r="J36" s="109">
        <f>E36*I36</f>
        <v>0</v>
      </c>
      <c r="K36" s="36">
        <f>_tax_ins_</f>
        <v>6.7999999999999996E-3</v>
      </c>
      <c r="L36" s="109">
        <f>E36*K36</f>
        <v>0</v>
      </c>
      <c r="M36" s="109">
        <f>H36+J36+L36</f>
        <v>0</v>
      </c>
      <c r="N36" s="34"/>
      <c r="O36" s="34"/>
      <c r="P36" s="34"/>
      <c r="Q36" s="34"/>
      <c r="R36" s="34"/>
      <c r="S36" s="34"/>
      <c r="T36" s="34"/>
      <c r="U36" s="34"/>
      <c r="V36" s="34"/>
      <c r="W36" s="34"/>
    </row>
    <row r="37" spans="1:23" x14ac:dyDescent="0.3">
      <c r="A37" s="6"/>
      <c r="B37" s="33"/>
      <c r="C37" s="34"/>
      <c r="D37" s="109"/>
      <c r="E37" s="109"/>
      <c r="F37" s="109"/>
      <c r="G37" s="34"/>
      <c r="H37" s="109"/>
      <c r="I37" s="35"/>
      <c r="J37" s="109"/>
      <c r="K37" s="36"/>
      <c r="L37" s="109"/>
      <c r="M37" s="109"/>
      <c r="N37" s="34"/>
      <c r="O37" s="34"/>
      <c r="P37" s="34"/>
      <c r="Q37" s="34"/>
      <c r="R37" s="34"/>
      <c r="S37" s="34"/>
      <c r="T37" s="34"/>
      <c r="U37" s="34"/>
      <c r="V37" s="34"/>
      <c r="W37" s="34"/>
    </row>
    <row r="38" spans="1:23" x14ac:dyDescent="0.3">
      <c r="A38" s="14" t="s">
        <v>12</v>
      </c>
      <c r="B38" s="84">
        <f>Data!B113</f>
        <v>0</v>
      </c>
      <c r="C38" s="868" t="str">
        <f>Data!H51</f>
        <v>acre(s)</v>
      </c>
      <c r="D38" s="109">
        <f>Data!F61</f>
        <v>1000</v>
      </c>
      <c r="E38" s="109">
        <f>D38*B38</f>
        <v>0</v>
      </c>
      <c r="F38" s="864" t="s">
        <v>45</v>
      </c>
      <c r="G38" s="865" t="s">
        <v>45</v>
      </c>
      <c r="H38" s="109">
        <f>E38*_int_inv_</f>
        <v>0</v>
      </c>
      <c r="I38" s="35">
        <f>Data!H61</f>
        <v>0.01</v>
      </c>
      <c r="J38" s="109">
        <f>E38*I38</f>
        <v>0</v>
      </c>
      <c r="K38" s="36">
        <f>_tax_ins_</f>
        <v>6.7999999999999996E-3</v>
      </c>
      <c r="L38" s="109">
        <f>E38*K38</f>
        <v>0</v>
      </c>
      <c r="M38" s="109">
        <f>H38+J38+L38</f>
        <v>0</v>
      </c>
      <c r="N38" s="34"/>
      <c r="O38" s="34"/>
      <c r="P38" s="34"/>
      <c r="Q38" s="34"/>
      <c r="R38" s="34"/>
      <c r="S38" s="34"/>
      <c r="T38" s="34"/>
      <c r="U38" s="34"/>
      <c r="V38" s="34"/>
      <c r="W38" s="34"/>
    </row>
    <row r="39" spans="1:23" x14ac:dyDescent="0.3">
      <c r="B39" s="33"/>
      <c r="C39" s="34"/>
      <c r="D39" s="109"/>
      <c r="E39" s="109"/>
      <c r="F39" s="109"/>
      <c r="G39" s="38"/>
      <c r="H39" s="109"/>
      <c r="I39" s="35"/>
      <c r="J39" s="109"/>
      <c r="K39" s="36"/>
      <c r="L39" s="109"/>
      <c r="M39" s="109"/>
      <c r="N39" s="34"/>
      <c r="O39" s="34"/>
      <c r="P39" s="34"/>
      <c r="Q39" s="34"/>
      <c r="R39" s="34"/>
      <c r="S39" s="34"/>
      <c r="T39" s="34"/>
      <c r="U39" s="34"/>
      <c r="V39" s="34"/>
      <c r="W39" s="34"/>
    </row>
    <row r="40" spans="1:23" x14ac:dyDescent="0.3">
      <c r="A40" s="14" t="s">
        <v>1229</v>
      </c>
      <c r="B40" s="33"/>
      <c r="C40" s="34"/>
      <c r="D40" s="109"/>
      <c r="E40" s="109"/>
      <c r="F40" s="109"/>
      <c r="G40" s="34"/>
      <c r="H40" s="109"/>
      <c r="I40" s="35"/>
      <c r="J40" s="109"/>
      <c r="K40" s="36"/>
      <c r="L40" s="110"/>
      <c r="M40" s="109"/>
      <c r="N40" s="34"/>
      <c r="O40" s="34"/>
      <c r="P40" s="34"/>
      <c r="Q40" s="34"/>
      <c r="R40" s="34"/>
      <c r="S40" s="34"/>
      <c r="T40" s="34"/>
      <c r="U40" s="34"/>
      <c r="V40" s="34"/>
      <c r="W40" s="34"/>
    </row>
    <row r="41" spans="1:23" x14ac:dyDescent="0.3">
      <c r="A41" s="6" t="str">
        <f>Data!A495</f>
        <v>Shop/Loading Shed - SMALL SIZE</v>
      </c>
      <c r="B41" s="33">
        <f>Data!B495</f>
        <v>0</v>
      </c>
      <c r="C41" s="34" t="str">
        <f>Data!C495</f>
        <v>building</v>
      </c>
      <c r="D41" s="109">
        <f>Data!D495*Data!H23</f>
        <v>0</v>
      </c>
      <c r="E41" s="109">
        <f>D41*B41</f>
        <v>0</v>
      </c>
      <c r="F41" s="109">
        <f>Data!I495*E41</f>
        <v>0</v>
      </c>
      <c r="G41" s="34">
        <f>Data!F495</f>
        <v>33</v>
      </c>
      <c r="H41" s="109">
        <f>(E41*(_int_inv_*(1+_int_inv_)^G41)/((1+_int_inv_)^G41-1))-(F41*_int_inv_/((1+_int_inv_)^G41-1))</f>
        <v>0</v>
      </c>
      <c r="I41" s="35">
        <f>Data!H495</f>
        <v>0.01</v>
      </c>
      <c r="J41" s="109">
        <f>E41*I41</f>
        <v>0</v>
      </c>
      <c r="K41" s="36">
        <f>_tax_ins_</f>
        <v>6.7999999999999996E-3</v>
      </c>
      <c r="L41" s="109">
        <f>E41*K41</f>
        <v>0</v>
      </c>
      <c r="M41" s="109">
        <f>H41+J41+L41</f>
        <v>0</v>
      </c>
    </row>
    <row r="42" spans="1:23" x14ac:dyDescent="0.3">
      <c r="A42" s="6"/>
      <c r="B42" s="33"/>
      <c r="C42" s="34"/>
      <c r="D42" s="109"/>
      <c r="E42" s="109"/>
      <c r="F42" s="109"/>
      <c r="G42" s="34"/>
      <c r="H42" s="109"/>
      <c r="I42" s="35"/>
      <c r="J42" s="109"/>
      <c r="K42" s="36"/>
      <c r="L42" s="109"/>
      <c r="M42" s="109"/>
      <c r="N42" s="34"/>
      <c r="O42" s="34"/>
      <c r="P42" s="34"/>
      <c r="Q42" s="34"/>
      <c r="R42" s="34"/>
    </row>
    <row r="43" spans="1:23" ht="12.75" customHeight="1" x14ac:dyDescent="0.3">
      <c r="A43" s="14" t="s">
        <v>514</v>
      </c>
      <c r="B43" s="351" t="s">
        <v>516</v>
      </c>
      <c r="C43" s="351"/>
      <c r="D43" s="351"/>
      <c r="E43" s="351"/>
      <c r="F43" s="351"/>
      <c r="G43" s="351"/>
      <c r="H43" s="351"/>
      <c r="I43" s="351"/>
      <c r="J43" s="109"/>
      <c r="K43" s="36"/>
      <c r="L43" s="109"/>
      <c r="M43" s="109"/>
      <c r="N43" s="34"/>
      <c r="O43" s="34"/>
      <c r="P43" s="34"/>
      <c r="Q43" s="34"/>
      <c r="R43" s="34"/>
      <c r="S43" s="34"/>
      <c r="T43" s="34"/>
      <c r="U43" s="34"/>
      <c r="V43" s="34"/>
    </row>
    <row r="44" spans="1:23" ht="12.75" customHeight="1" x14ac:dyDescent="0.3">
      <c r="A44" s="14" t="s">
        <v>515</v>
      </c>
      <c r="B44" s="351" t="s">
        <v>517</v>
      </c>
      <c r="C44" s="351"/>
      <c r="D44" s="351"/>
      <c r="E44" s="351"/>
      <c r="F44" s="351"/>
      <c r="G44" s="351"/>
      <c r="H44" s="351"/>
      <c r="I44" s="351"/>
      <c r="J44" s="109"/>
      <c r="K44" s="36"/>
      <c r="L44" s="109"/>
      <c r="M44" s="109"/>
      <c r="N44" s="34"/>
      <c r="O44" s="34"/>
      <c r="P44" s="34"/>
      <c r="Q44" s="34"/>
      <c r="R44" s="34"/>
      <c r="S44" s="34"/>
      <c r="T44" s="34"/>
      <c r="U44" s="34"/>
      <c r="V44" s="34"/>
    </row>
    <row r="45" spans="1:23" x14ac:dyDescent="0.3">
      <c r="A45" s="6"/>
      <c r="B45" s="33"/>
      <c r="C45" s="34"/>
      <c r="D45" s="109"/>
      <c r="E45" s="109"/>
      <c r="F45" s="109"/>
      <c r="G45" s="34"/>
      <c r="H45" s="109"/>
      <c r="I45" s="35"/>
      <c r="J45" s="109"/>
      <c r="K45" s="36"/>
      <c r="L45" s="109"/>
      <c r="M45" s="109"/>
      <c r="N45" s="34"/>
      <c r="O45" s="34"/>
      <c r="P45" s="34"/>
      <c r="Q45" s="34"/>
      <c r="R45" s="34"/>
    </row>
    <row r="46" spans="1:23" x14ac:dyDescent="0.3">
      <c r="A46" s="14" t="s">
        <v>19</v>
      </c>
      <c r="B46" s="865" t="s">
        <v>45</v>
      </c>
      <c r="C46" s="864" t="s">
        <v>45</v>
      </c>
      <c r="D46" s="864" t="s">
        <v>45</v>
      </c>
      <c r="E46" s="864" t="s">
        <v>45</v>
      </c>
      <c r="F46" s="864" t="s">
        <v>45</v>
      </c>
      <c r="G46" s="865" t="s">
        <v>45</v>
      </c>
      <c r="H46" s="864" t="s">
        <v>45</v>
      </c>
      <c r="I46" s="865" t="s">
        <v>45</v>
      </c>
      <c r="J46" s="864" t="s">
        <v>45</v>
      </c>
      <c r="K46" s="865" t="s">
        <v>45</v>
      </c>
      <c r="L46" s="864" t="s">
        <v>45</v>
      </c>
      <c r="M46" s="864" t="s">
        <v>45</v>
      </c>
      <c r="N46" s="34"/>
      <c r="O46" s="34"/>
      <c r="P46" s="34"/>
      <c r="Q46" s="34"/>
      <c r="R46" s="34"/>
      <c r="S46" s="34"/>
      <c r="T46" s="34"/>
      <c r="U46" s="34"/>
      <c r="V46" s="34"/>
      <c r="W46" s="34"/>
    </row>
    <row r="47" spans="1:23" x14ac:dyDescent="0.3">
      <c r="A47" s="14"/>
      <c r="B47" s="33"/>
      <c r="C47" s="34"/>
      <c r="D47" s="109"/>
      <c r="E47" s="109"/>
      <c r="F47" s="109"/>
      <c r="G47" s="34"/>
      <c r="H47" s="109"/>
      <c r="I47" s="35"/>
      <c r="J47" s="109"/>
      <c r="K47" s="35"/>
      <c r="L47" s="110"/>
      <c r="M47" s="109"/>
      <c r="N47" s="34"/>
      <c r="O47" s="34"/>
      <c r="P47" s="34"/>
      <c r="Q47" s="34"/>
      <c r="R47" s="34"/>
      <c r="S47" s="34"/>
      <c r="T47" s="34"/>
      <c r="U47" s="34"/>
      <c r="V47" s="34"/>
      <c r="W47" s="34"/>
    </row>
    <row r="48" spans="1:23" x14ac:dyDescent="0.3">
      <c r="A48" s="14" t="s">
        <v>64</v>
      </c>
      <c r="B48" s="865" t="s">
        <v>45</v>
      </c>
      <c r="C48" s="864" t="s">
        <v>45</v>
      </c>
      <c r="D48" s="866">
        <v>0</v>
      </c>
      <c r="E48" s="866">
        <v>0</v>
      </c>
      <c r="F48" s="866">
        <v>0</v>
      </c>
      <c r="G48" s="247">
        <v>1</v>
      </c>
      <c r="H48" s="109">
        <f>(E48*(_int_inv_*(1+_int_inv_)^G48)/((1+_int_inv_)^G48-1))-(F48*_int_inv_/((1+_int_inv_)^G48-1))</f>
        <v>0</v>
      </c>
      <c r="I48" s="251">
        <v>0.01</v>
      </c>
      <c r="J48" s="109">
        <f>E48*I48</f>
        <v>0</v>
      </c>
      <c r="K48" s="36">
        <f>_tax_ins_</f>
        <v>6.7999999999999996E-3</v>
      </c>
      <c r="L48" s="109">
        <f>E48*K48</f>
        <v>0</v>
      </c>
      <c r="M48" s="109">
        <f>H48+J48+L48</f>
        <v>0</v>
      </c>
      <c r="N48" s="34"/>
      <c r="O48" s="34"/>
      <c r="P48" s="34"/>
      <c r="Q48" s="34"/>
      <c r="R48" s="34"/>
      <c r="S48" s="34"/>
      <c r="T48" s="34"/>
      <c r="U48" s="34"/>
      <c r="V48" s="34"/>
      <c r="W48" s="34"/>
    </row>
    <row r="49" spans="1:23" x14ac:dyDescent="0.3">
      <c r="B49" s="33"/>
      <c r="C49" s="34"/>
      <c r="D49" s="109"/>
      <c r="E49" s="109"/>
      <c r="F49" s="109"/>
      <c r="G49" s="34"/>
      <c r="H49" s="109"/>
      <c r="I49" s="35"/>
      <c r="J49" s="110"/>
      <c r="K49" s="35"/>
      <c r="L49" s="110"/>
      <c r="M49" s="109"/>
      <c r="N49" s="34"/>
      <c r="O49" s="34"/>
      <c r="P49" s="34"/>
      <c r="Q49" s="34"/>
      <c r="R49" s="34"/>
      <c r="S49" s="34"/>
      <c r="T49" s="34"/>
      <c r="U49" s="34"/>
      <c r="V49" s="34"/>
      <c r="W49" s="34"/>
    </row>
    <row r="50" spans="1:23" ht="13.5" x14ac:dyDescent="0.35">
      <c r="A50" s="1" t="s">
        <v>68</v>
      </c>
      <c r="B50" s="33"/>
      <c r="C50" s="34"/>
      <c r="D50" s="109"/>
      <c r="E50" s="109">
        <f>SUM(E7:E48)</f>
        <v>0</v>
      </c>
      <c r="F50" s="109">
        <f>SUM(F7:F48)</f>
        <v>0</v>
      </c>
      <c r="G50" s="34"/>
      <c r="H50" s="109">
        <f>SUM(H7:H48)</f>
        <v>0</v>
      </c>
      <c r="I50" s="35"/>
      <c r="J50" s="109">
        <f>SUM(J7:J48)</f>
        <v>0</v>
      </c>
      <c r="K50" s="35"/>
      <c r="L50" s="109">
        <f>SUM(L7:L48)</f>
        <v>0</v>
      </c>
      <c r="M50" s="109">
        <f>SUM(M7:M48)</f>
        <v>0</v>
      </c>
      <c r="N50" s="34"/>
      <c r="O50" s="34"/>
      <c r="P50" s="34"/>
      <c r="Q50" s="34"/>
      <c r="R50" s="34"/>
      <c r="S50" s="34"/>
      <c r="T50" s="34"/>
      <c r="U50" s="34"/>
      <c r="V50" s="34"/>
      <c r="W50" s="34"/>
    </row>
    <row r="51" spans="1:23" x14ac:dyDescent="0.3">
      <c r="B51" s="33"/>
      <c r="C51" s="34"/>
      <c r="D51" s="109"/>
      <c r="E51" s="109"/>
      <c r="F51" s="109"/>
      <c r="G51" s="34"/>
      <c r="H51" s="112"/>
      <c r="I51" s="35"/>
      <c r="J51" s="34"/>
      <c r="K51" s="35"/>
      <c r="L51" s="110"/>
      <c r="M51" s="109"/>
      <c r="N51" s="34"/>
      <c r="O51" s="34"/>
      <c r="P51" s="34"/>
      <c r="Q51" s="34"/>
      <c r="R51" s="34"/>
      <c r="S51" s="34"/>
      <c r="T51" s="34"/>
      <c r="U51" s="34"/>
      <c r="V51" s="34"/>
      <c r="W51" s="34"/>
    </row>
    <row r="52" spans="1:23" x14ac:dyDescent="0.3">
      <c r="B52" s="33"/>
      <c r="C52" s="34"/>
      <c r="D52" s="109"/>
      <c r="E52" s="109"/>
      <c r="F52" s="109"/>
      <c r="G52" s="34"/>
      <c r="H52" s="32"/>
      <c r="I52" s="35"/>
      <c r="J52" s="34"/>
      <c r="K52" s="35"/>
      <c r="L52" s="110"/>
      <c r="M52" s="109"/>
      <c r="N52" s="34"/>
      <c r="O52" s="34"/>
      <c r="P52" s="34"/>
      <c r="Q52" s="34"/>
      <c r="R52" s="34"/>
      <c r="S52" s="34"/>
      <c r="T52" s="34"/>
      <c r="U52" s="34"/>
      <c r="V52" s="34"/>
      <c r="W52" s="34"/>
    </row>
    <row r="53" spans="1:23" x14ac:dyDescent="0.3">
      <c r="B53" s="33"/>
      <c r="C53" s="34"/>
      <c r="D53" s="134" t="s">
        <v>136</v>
      </c>
      <c r="E53" s="109"/>
      <c r="F53" s="109"/>
      <c r="G53" s="34"/>
      <c r="H53" s="32"/>
      <c r="I53" s="35"/>
      <c r="J53" s="34"/>
      <c r="K53" s="35"/>
      <c r="L53" s="34"/>
      <c r="M53" s="32"/>
      <c r="N53" s="34"/>
      <c r="O53" s="34"/>
      <c r="P53" s="34"/>
      <c r="Q53" s="34"/>
      <c r="R53" s="34"/>
      <c r="S53" s="34"/>
      <c r="T53" s="34"/>
      <c r="U53" s="34"/>
      <c r="V53" s="34"/>
      <c r="W53" s="34"/>
    </row>
    <row r="54" spans="1:23" x14ac:dyDescent="0.3">
      <c r="B54" s="33"/>
      <c r="C54" s="34"/>
      <c r="D54" s="110" t="s">
        <v>614</v>
      </c>
      <c r="E54" s="109">
        <f>SUM(E7:E37)</f>
        <v>0</v>
      </c>
      <c r="F54" s="109"/>
      <c r="G54" s="34"/>
      <c r="H54" s="32"/>
      <c r="I54" s="35"/>
      <c r="J54" s="34"/>
      <c r="K54" s="35"/>
      <c r="L54" s="34"/>
      <c r="M54" s="32"/>
      <c r="N54" s="34"/>
      <c r="O54" s="34"/>
      <c r="P54" s="34"/>
      <c r="Q54" s="34"/>
      <c r="R54" s="34"/>
      <c r="S54" s="34"/>
      <c r="T54" s="34"/>
      <c r="U54" s="34"/>
      <c r="V54" s="34"/>
      <c r="W54" s="34"/>
    </row>
    <row r="55" spans="1:23" x14ac:dyDescent="0.3">
      <c r="B55" s="33"/>
      <c r="C55" s="34"/>
      <c r="D55" s="110" t="s">
        <v>615</v>
      </c>
      <c r="E55" s="109">
        <f>SUM(E38:E39)</f>
        <v>0</v>
      </c>
      <c r="F55" s="109"/>
      <c r="G55" s="34"/>
      <c r="H55" s="32"/>
      <c r="I55" s="35"/>
      <c r="J55" s="34"/>
      <c r="K55" s="35"/>
      <c r="L55" s="34"/>
      <c r="M55" s="32"/>
      <c r="N55" s="34"/>
      <c r="O55" s="34"/>
      <c r="P55" s="34"/>
      <c r="Q55" s="34"/>
      <c r="R55" s="34"/>
      <c r="S55" s="34"/>
      <c r="T55" s="34"/>
      <c r="U55" s="34"/>
      <c r="V55" s="34"/>
      <c r="W55" s="34"/>
    </row>
    <row r="56" spans="1:23" x14ac:dyDescent="0.3">
      <c r="B56" s="33"/>
      <c r="C56" s="34"/>
      <c r="D56" s="127" t="s">
        <v>616</v>
      </c>
      <c r="E56" s="111">
        <f>SUM(E41:E42)</f>
        <v>0</v>
      </c>
      <c r="F56" s="109"/>
      <c r="G56" s="34"/>
      <c r="H56" s="32"/>
      <c r="I56" s="34"/>
      <c r="J56" s="34"/>
      <c r="K56" s="35"/>
      <c r="L56" s="34"/>
      <c r="M56" s="32"/>
      <c r="N56" s="34"/>
      <c r="O56" s="34"/>
      <c r="P56" s="34"/>
      <c r="Q56" s="34"/>
      <c r="R56" s="34"/>
      <c r="S56" s="34"/>
      <c r="T56" s="34"/>
      <c r="U56" s="34"/>
      <c r="V56" s="34"/>
      <c r="W56" s="34"/>
    </row>
    <row r="57" spans="1:23" x14ac:dyDescent="0.3">
      <c r="B57" s="33"/>
      <c r="C57" s="34"/>
      <c r="D57" s="135" t="s">
        <v>617</v>
      </c>
      <c r="E57" s="109">
        <f>SUM(E54:E56)</f>
        <v>0</v>
      </c>
      <c r="F57" s="109"/>
      <c r="G57" s="34"/>
      <c r="H57" s="32"/>
      <c r="I57" s="34"/>
      <c r="J57" s="34"/>
      <c r="K57" s="35"/>
      <c r="L57" s="34"/>
      <c r="M57" s="32"/>
      <c r="N57" s="34"/>
      <c r="O57" s="34"/>
      <c r="P57" s="34"/>
      <c r="Q57" s="34"/>
      <c r="R57" s="34"/>
      <c r="S57" s="34"/>
      <c r="T57" s="34"/>
      <c r="U57" s="34"/>
      <c r="V57" s="34"/>
      <c r="W57" s="34"/>
    </row>
    <row r="58" spans="1:23" x14ac:dyDescent="0.3">
      <c r="B58" s="33"/>
      <c r="C58" s="34"/>
      <c r="D58" s="32"/>
      <c r="E58" s="32"/>
      <c r="F58" s="32"/>
      <c r="G58" s="34"/>
      <c r="H58" s="32"/>
      <c r="I58" s="34"/>
      <c r="J58" s="34"/>
      <c r="K58" s="35"/>
      <c r="L58" s="34"/>
      <c r="M58" s="32"/>
      <c r="N58" s="34"/>
      <c r="O58" s="34"/>
      <c r="P58" s="34"/>
      <c r="Q58" s="34"/>
      <c r="R58" s="34"/>
      <c r="S58" s="34"/>
      <c r="T58" s="34"/>
      <c r="U58" s="34"/>
      <c r="V58" s="34"/>
      <c r="W58" s="34"/>
    </row>
    <row r="59" spans="1:23" x14ac:dyDescent="0.3">
      <c r="B59" s="33"/>
      <c r="C59" s="34"/>
      <c r="D59" s="32"/>
      <c r="E59" s="32"/>
      <c r="F59" s="32"/>
      <c r="G59" s="34"/>
      <c r="H59" s="32"/>
      <c r="I59" s="34"/>
      <c r="J59" s="34"/>
      <c r="K59" s="35"/>
      <c r="L59" s="34"/>
      <c r="M59" s="32"/>
      <c r="N59" s="34"/>
      <c r="O59" s="34"/>
      <c r="P59" s="34"/>
      <c r="Q59" s="34"/>
      <c r="R59" s="34"/>
      <c r="S59" s="34"/>
      <c r="T59" s="34"/>
      <c r="U59" s="34"/>
      <c r="V59" s="34"/>
      <c r="W59" s="34"/>
    </row>
    <row r="60" spans="1:23" x14ac:dyDescent="0.3">
      <c r="B60" s="33"/>
      <c r="C60" s="34"/>
      <c r="D60" s="32"/>
      <c r="E60" s="32"/>
      <c r="F60" s="32"/>
      <c r="G60" s="34"/>
      <c r="H60" s="32"/>
      <c r="I60" s="34"/>
      <c r="J60" s="34"/>
      <c r="K60" s="35"/>
      <c r="L60" s="34"/>
      <c r="M60" s="32"/>
      <c r="N60" s="34"/>
      <c r="O60" s="34"/>
      <c r="P60" s="34"/>
      <c r="Q60" s="34"/>
      <c r="R60" s="34"/>
      <c r="S60" s="34"/>
      <c r="T60" s="34"/>
      <c r="U60" s="34"/>
      <c r="V60" s="34"/>
      <c r="W60" s="34"/>
    </row>
    <row r="61" spans="1:23" x14ac:dyDescent="0.3">
      <c r="B61" s="33"/>
      <c r="C61" s="34"/>
      <c r="D61" s="32"/>
      <c r="E61" s="32"/>
      <c r="F61" s="32"/>
      <c r="G61" s="34"/>
      <c r="H61" s="32"/>
      <c r="I61" s="34"/>
      <c r="J61" s="34"/>
      <c r="K61" s="35"/>
      <c r="L61" s="34"/>
      <c r="M61" s="32"/>
      <c r="N61" s="34"/>
      <c r="O61" s="34"/>
      <c r="P61" s="34"/>
      <c r="Q61" s="34"/>
      <c r="R61" s="34"/>
      <c r="S61" s="34"/>
      <c r="T61" s="34"/>
      <c r="U61" s="34"/>
      <c r="V61" s="34"/>
      <c r="W61" s="34"/>
    </row>
    <row r="62" spans="1:23" x14ac:dyDescent="0.3">
      <c r="B62" s="33"/>
      <c r="C62" s="34"/>
      <c r="D62" s="32"/>
      <c r="E62" s="32"/>
      <c r="F62" s="32"/>
      <c r="G62" s="34"/>
      <c r="H62" s="32"/>
      <c r="I62" s="34"/>
      <c r="J62" s="34"/>
      <c r="K62" s="35"/>
      <c r="L62" s="34"/>
      <c r="M62" s="32"/>
      <c r="N62" s="34"/>
      <c r="O62" s="34"/>
      <c r="P62" s="34"/>
      <c r="Q62" s="34"/>
      <c r="R62" s="34"/>
      <c r="S62" s="34"/>
      <c r="T62" s="34"/>
      <c r="U62" s="34"/>
      <c r="V62" s="34"/>
      <c r="W62" s="34"/>
    </row>
    <row r="63" spans="1:23" x14ac:dyDescent="0.3">
      <c r="B63" s="33"/>
      <c r="C63" s="34"/>
      <c r="D63" s="32"/>
      <c r="E63" s="32"/>
      <c r="F63" s="32"/>
      <c r="G63" s="34"/>
      <c r="H63" s="32"/>
      <c r="I63" s="34"/>
      <c r="J63" s="34"/>
      <c r="K63" s="35"/>
      <c r="L63" s="34"/>
      <c r="M63" s="32"/>
      <c r="N63" s="34"/>
      <c r="O63" s="34"/>
      <c r="P63" s="34"/>
      <c r="Q63" s="34"/>
      <c r="R63" s="34"/>
      <c r="S63" s="34"/>
      <c r="T63" s="34"/>
      <c r="U63" s="34"/>
      <c r="V63" s="34"/>
      <c r="W63" s="34"/>
    </row>
    <row r="64" spans="1:23" x14ac:dyDescent="0.3">
      <c r="B64" s="33"/>
      <c r="C64" s="34"/>
      <c r="D64" s="32"/>
      <c r="E64" s="32"/>
      <c r="F64" s="32"/>
      <c r="G64" s="34"/>
      <c r="H64" s="32"/>
      <c r="I64" s="34"/>
      <c r="J64" s="34"/>
      <c r="K64" s="35"/>
      <c r="L64" s="34"/>
      <c r="M64" s="32"/>
      <c r="N64" s="34"/>
      <c r="O64" s="34"/>
      <c r="P64" s="34"/>
      <c r="Q64" s="34"/>
      <c r="R64" s="34"/>
      <c r="S64" s="34"/>
      <c r="T64" s="34"/>
      <c r="U64" s="34"/>
      <c r="V64" s="34"/>
      <c r="W64" s="34"/>
    </row>
    <row r="65" spans="2:23" x14ac:dyDescent="0.3">
      <c r="B65" s="33"/>
      <c r="C65" s="34"/>
      <c r="D65" s="32"/>
      <c r="E65" s="32"/>
      <c r="F65" s="32"/>
      <c r="G65" s="34"/>
      <c r="H65" s="32"/>
      <c r="I65" s="34"/>
      <c r="J65" s="34"/>
      <c r="K65" s="35"/>
      <c r="L65" s="34"/>
      <c r="M65" s="32"/>
      <c r="N65" s="34"/>
      <c r="O65" s="34"/>
      <c r="P65" s="34"/>
      <c r="Q65" s="34"/>
      <c r="R65" s="34"/>
      <c r="S65" s="34"/>
      <c r="T65" s="34"/>
      <c r="U65" s="34"/>
      <c r="V65" s="34"/>
      <c r="W65" s="34"/>
    </row>
    <row r="66" spans="2:23" x14ac:dyDescent="0.3">
      <c r="B66" s="33"/>
      <c r="C66" s="34"/>
      <c r="D66" s="32"/>
      <c r="E66" s="32"/>
      <c r="F66" s="32"/>
      <c r="G66" s="34"/>
      <c r="H66" s="32"/>
      <c r="I66" s="34"/>
      <c r="J66" s="34"/>
      <c r="K66" s="35"/>
      <c r="L66" s="34"/>
      <c r="M66" s="32"/>
      <c r="N66" s="34"/>
      <c r="O66" s="34"/>
      <c r="P66" s="34"/>
      <c r="Q66" s="34"/>
      <c r="R66" s="34"/>
      <c r="S66" s="34"/>
      <c r="T66" s="34"/>
      <c r="U66" s="34"/>
      <c r="V66" s="34"/>
      <c r="W66" s="34"/>
    </row>
    <row r="67" spans="2:23" x14ac:dyDescent="0.3">
      <c r="B67" s="33"/>
      <c r="C67" s="34"/>
      <c r="D67" s="32"/>
      <c r="E67" s="32"/>
      <c r="F67" s="32"/>
      <c r="G67" s="34"/>
      <c r="H67" s="32"/>
      <c r="I67" s="34"/>
      <c r="J67" s="34"/>
      <c r="K67" s="35"/>
      <c r="L67" s="34"/>
      <c r="M67" s="32"/>
      <c r="N67" s="34"/>
      <c r="O67" s="34"/>
      <c r="P67" s="34"/>
      <c r="Q67" s="34"/>
      <c r="R67" s="34"/>
      <c r="S67" s="34"/>
      <c r="T67" s="34"/>
      <c r="U67" s="34"/>
      <c r="V67" s="34"/>
      <c r="W67" s="34"/>
    </row>
    <row r="68" spans="2:23" x14ac:dyDescent="0.3">
      <c r="B68" s="33"/>
      <c r="C68" s="34"/>
      <c r="D68" s="32"/>
      <c r="E68" s="32"/>
      <c r="F68" s="32"/>
      <c r="G68" s="34"/>
      <c r="H68" s="32"/>
      <c r="I68" s="34"/>
      <c r="J68" s="34"/>
      <c r="K68" s="35"/>
      <c r="L68" s="34"/>
      <c r="M68" s="32"/>
      <c r="N68" s="34"/>
      <c r="O68" s="34"/>
      <c r="P68" s="34"/>
      <c r="Q68" s="34"/>
      <c r="R68" s="34"/>
      <c r="S68" s="34"/>
      <c r="T68" s="34"/>
      <c r="U68" s="34"/>
      <c r="V68" s="34"/>
      <c r="W68" s="34"/>
    </row>
    <row r="69" spans="2:23" x14ac:dyDescent="0.3">
      <c r="B69" s="33"/>
      <c r="C69" s="34"/>
      <c r="D69" s="32"/>
      <c r="E69" s="32"/>
      <c r="F69" s="32"/>
      <c r="G69" s="34"/>
      <c r="H69" s="32"/>
      <c r="I69" s="34"/>
      <c r="J69" s="34"/>
      <c r="K69" s="35"/>
      <c r="L69" s="34"/>
      <c r="M69" s="32"/>
      <c r="N69" s="34"/>
      <c r="O69" s="34"/>
      <c r="P69" s="34"/>
      <c r="Q69" s="34"/>
      <c r="R69" s="34"/>
      <c r="S69" s="34"/>
      <c r="T69" s="34"/>
      <c r="U69" s="34"/>
      <c r="V69" s="34"/>
      <c r="W69" s="34"/>
    </row>
    <row r="70" spans="2:23" x14ac:dyDescent="0.3">
      <c r="B70" s="33"/>
      <c r="C70" s="34"/>
      <c r="D70" s="32"/>
      <c r="E70" s="32"/>
      <c r="F70" s="32"/>
      <c r="G70" s="34"/>
      <c r="H70" s="32"/>
      <c r="I70" s="34"/>
      <c r="J70" s="34"/>
      <c r="K70" s="35"/>
      <c r="L70" s="34"/>
      <c r="M70" s="32"/>
      <c r="N70" s="34"/>
      <c r="O70" s="34"/>
      <c r="P70" s="34"/>
      <c r="Q70" s="34"/>
      <c r="R70" s="34"/>
      <c r="S70" s="34"/>
      <c r="T70" s="34"/>
      <c r="U70" s="34"/>
      <c r="V70" s="34"/>
      <c r="W70" s="34"/>
    </row>
    <row r="71" spans="2:23" x14ac:dyDescent="0.3">
      <c r="B71" s="33"/>
      <c r="C71" s="34"/>
      <c r="D71" s="32"/>
      <c r="E71" s="32"/>
      <c r="F71" s="32"/>
      <c r="G71" s="34"/>
      <c r="H71" s="32"/>
      <c r="I71" s="34"/>
      <c r="J71" s="34"/>
      <c r="K71" s="35"/>
      <c r="L71" s="34"/>
      <c r="M71" s="32"/>
      <c r="N71" s="34"/>
      <c r="O71" s="34"/>
      <c r="P71" s="34"/>
      <c r="Q71" s="34"/>
      <c r="R71" s="34"/>
      <c r="S71" s="34"/>
      <c r="T71" s="34"/>
      <c r="U71" s="34"/>
      <c r="V71" s="34"/>
      <c r="W71" s="34"/>
    </row>
    <row r="72" spans="2:23" x14ac:dyDescent="0.3">
      <c r="B72" s="33"/>
      <c r="C72" s="34"/>
      <c r="D72" s="32"/>
      <c r="E72" s="32"/>
      <c r="F72" s="32"/>
      <c r="G72" s="34"/>
      <c r="H72" s="32"/>
      <c r="I72" s="34"/>
      <c r="J72" s="34"/>
      <c r="K72" s="35"/>
      <c r="L72" s="34"/>
      <c r="M72" s="32"/>
      <c r="N72" s="34"/>
      <c r="O72" s="34"/>
      <c r="P72" s="34"/>
      <c r="Q72" s="34"/>
      <c r="R72" s="34"/>
      <c r="S72" s="34"/>
      <c r="T72" s="34"/>
      <c r="U72" s="34"/>
      <c r="V72" s="34"/>
      <c r="W72" s="34"/>
    </row>
    <row r="73" spans="2:23" x14ac:dyDescent="0.3">
      <c r="B73" s="33"/>
      <c r="C73" s="34"/>
      <c r="D73" s="32"/>
      <c r="E73" s="32"/>
      <c r="F73" s="32"/>
      <c r="G73" s="34"/>
      <c r="H73" s="32"/>
      <c r="I73" s="34"/>
      <c r="J73" s="34"/>
      <c r="K73" s="35"/>
      <c r="L73" s="34"/>
      <c r="M73" s="32"/>
      <c r="N73" s="34"/>
      <c r="O73" s="34"/>
      <c r="P73" s="34"/>
      <c r="Q73" s="34"/>
      <c r="R73" s="34"/>
      <c r="S73" s="34"/>
      <c r="T73" s="34"/>
      <c r="U73" s="34"/>
      <c r="V73" s="34"/>
      <c r="W73" s="34"/>
    </row>
    <row r="74" spans="2:23" x14ac:dyDescent="0.3">
      <c r="B74" s="33"/>
      <c r="C74" s="34"/>
      <c r="D74" s="32"/>
      <c r="E74" s="32"/>
      <c r="F74" s="32"/>
      <c r="G74" s="34"/>
      <c r="H74" s="32"/>
      <c r="I74" s="34"/>
      <c r="J74" s="34"/>
      <c r="K74" s="35"/>
      <c r="L74" s="34"/>
      <c r="M74" s="32"/>
      <c r="N74" s="34"/>
      <c r="O74" s="34"/>
      <c r="P74" s="34"/>
      <c r="Q74" s="34"/>
      <c r="R74" s="34"/>
      <c r="S74" s="34"/>
      <c r="T74" s="34"/>
      <c r="U74" s="34"/>
      <c r="V74" s="34"/>
      <c r="W74" s="34"/>
    </row>
    <row r="75" spans="2:23" x14ac:dyDescent="0.3">
      <c r="B75" s="33"/>
      <c r="C75" s="34"/>
      <c r="D75" s="32"/>
      <c r="E75" s="32"/>
      <c r="F75" s="32"/>
      <c r="G75" s="34"/>
      <c r="H75" s="32"/>
      <c r="I75" s="34"/>
      <c r="J75" s="34"/>
      <c r="K75" s="35"/>
      <c r="L75" s="34"/>
      <c r="M75" s="32"/>
      <c r="N75" s="34"/>
      <c r="O75" s="34"/>
      <c r="P75" s="34"/>
      <c r="Q75" s="34"/>
      <c r="R75" s="34"/>
      <c r="S75" s="34"/>
      <c r="T75" s="34"/>
      <c r="U75" s="34"/>
      <c r="V75" s="34"/>
      <c r="W75" s="34"/>
    </row>
    <row r="76" spans="2:23" x14ac:dyDescent="0.3">
      <c r="B76" s="33"/>
      <c r="C76" s="34"/>
      <c r="D76" s="32"/>
      <c r="E76" s="32"/>
      <c r="F76" s="32"/>
      <c r="G76" s="34"/>
      <c r="H76" s="32"/>
      <c r="I76" s="34"/>
      <c r="J76" s="34"/>
      <c r="K76" s="35"/>
      <c r="L76" s="34"/>
      <c r="M76" s="32"/>
      <c r="N76" s="34"/>
      <c r="O76" s="34"/>
      <c r="P76" s="34"/>
      <c r="Q76" s="34"/>
      <c r="R76" s="34"/>
      <c r="S76" s="34"/>
      <c r="T76" s="34"/>
      <c r="U76" s="34"/>
      <c r="V76" s="34"/>
      <c r="W76" s="34"/>
    </row>
    <row r="77" spans="2:23" x14ac:dyDescent="0.3">
      <c r="B77" s="33"/>
      <c r="C77" s="34"/>
      <c r="D77" s="32"/>
      <c r="E77" s="32"/>
      <c r="F77" s="32"/>
      <c r="G77" s="34"/>
      <c r="H77" s="32"/>
      <c r="I77" s="34"/>
      <c r="J77" s="34"/>
      <c r="K77" s="35"/>
      <c r="L77" s="34"/>
      <c r="M77" s="32"/>
      <c r="N77" s="34"/>
      <c r="O77" s="34"/>
      <c r="P77" s="34"/>
      <c r="Q77" s="34"/>
      <c r="R77" s="34"/>
      <c r="S77" s="34"/>
      <c r="T77" s="34"/>
      <c r="U77" s="34"/>
      <c r="V77" s="34"/>
      <c r="W77" s="34"/>
    </row>
    <row r="78" spans="2:23" x14ac:dyDescent="0.3">
      <c r="B78" s="33"/>
      <c r="C78" s="34"/>
      <c r="D78" s="32"/>
      <c r="E78" s="32"/>
      <c r="F78" s="32"/>
      <c r="G78" s="34"/>
      <c r="H78" s="32"/>
      <c r="I78" s="34"/>
      <c r="J78" s="34"/>
      <c r="K78" s="35"/>
      <c r="L78" s="34"/>
      <c r="M78" s="32"/>
      <c r="N78" s="34"/>
      <c r="O78" s="34"/>
      <c r="P78" s="34"/>
      <c r="Q78" s="34"/>
      <c r="R78" s="34"/>
      <c r="S78" s="34"/>
      <c r="T78" s="34"/>
      <c r="U78" s="34"/>
      <c r="V78" s="34"/>
      <c r="W78" s="34"/>
    </row>
    <row r="79" spans="2:23" x14ac:dyDescent="0.3">
      <c r="B79" s="33"/>
      <c r="C79" s="34"/>
      <c r="D79" s="32"/>
      <c r="E79" s="32"/>
      <c r="F79" s="32"/>
      <c r="G79" s="34"/>
      <c r="H79" s="32"/>
      <c r="I79" s="34"/>
      <c r="J79" s="34"/>
      <c r="K79" s="35"/>
      <c r="L79" s="34"/>
      <c r="M79" s="32"/>
      <c r="N79" s="34"/>
      <c r="O79" s="34"/>
      <c r="P79" s="34"/>
      <c r="Q79" s="34"/>
      <c r="R79" s="34"/>
      <c r="S79" s="34"/>
      <c r="T79" s="34"/>
      <c r="U79" s="34"/>
      <c r="V79" s="34"/>
      <c r="W79" s="34"/>
    </row>
    <row r="80" spans="2:23" x14ac:dyDescent="0.3">
      <c r="B80" s="33"/>
      <c r="C80" s="34"/>
      <c r="D80" s="32"/>
      <c r="E80" s="32"/>
      <c r="F80" s="32"/>
      <c r="G80" s="34"/>
      <c r="H80" s="32"/>
      <c r="I80" s="34"/>
      <c r="J80" s="34"/>
      <c r="K80" s="35"/>
      <c r="L80" s="34"/>
      <c r="M80" s="32"/>
      <c r="N80" s="34"/>
      <c r="O80" s="34"/>
      <c r="P80" s="34"/>
      <c r="Q80" s="34"/>
      <c r="R80" s="34"/>
      <c r="S80" s="34"/>
      <c r="T80" s="34"/>
      <c r="U80" s="34"/>
      <c r="V80" s="34"/>
      <c r="W80" s="34"/>
    </row>
    <row r="81" spans="2:23" x14ac:dyDescent="0.3">
      <c r="B81" s="33"/>
      <c r="C81" s="34"/>
      <c r="D81" s="32"/>
      <c r="E81" s="32"/>
      <c r="F81" s="32"/>
      <c r="G81" s="34"/>
      <c r="H81" s="32"/>
      <c r="I81" s="34"/>
      <c r="J81" s="34"/>
      <c r="K81" s="35"/>
      <c r="L81" s="34"/>
      <c r="M81" s="32"/>
      <c r="N81" s="34"/>
      <c r="O81" s="34"/>
      <c r="P81" s="34"/>
      <c r="Q81" s="34"/>
      <c r="R81" s="34"/>
      <c r="S81" s="34"/>
      <c r="T81" s="34"/>
      <c r="U81" s="34"/>
      <c r="V81" s="34"/>
      <c r="W81" s="34"/>
    </row>
    <row r="82" spans="2:23" x14ac:dyDescent="0.3">
      <c r="B82" s="33"/>
      <c r="C82" s="34"/>
      <c r="D82" s="32"/>
      <c r="E82" s="32"/>
      <c r="F82" s="32"/>
      <c r="G82" s="34"/>
      <c r="H82" s="32"/>
      <c r="I82" s="34"/>
      <c r="J82" s="34"/>
      <c r="K82" s="35"/>
      <c r="L82" s="34"/>
      <c r="M82" s="32"/>
      <c r="N82" s="34"/>
      <c r="O82" s="34"/>
      <c r="P82" s="34"/>
      <c r="Q82" s="34"/>
      <c r="R82" s="34"/>
      <c r="S82" s="34"/>
      <c r="T82" s="34"/>
      <c r="U82" s="34"/>
      <c r="V82" s="34"/>
      <c r="W82" s="34"/>
    </row>
    <row r="83" spans="2:23" x14ac:dyDescent="0.3">
      <c r="B83" s="33"/>
      <c r="C83" s="34"/>
      <c r="D83" s="39"/>
      <c r="E83" s="39"/>
      <c r="F83" s="39"/>
      <c r="G83" s="34"/>
      <c r="H83" s="32"/>
      <c r="I83" s="34"/>
      <c r="J83" s="34"/>
      <c r="K83" s="35"/>
      <c r="L83" s="34"/>
      <c r="M83" s="32"/>
      <c r="N83" s="34"/>
      <c r="O83" s="34"/>
      <c r="P83" s="34"/>
      <c r="Q83" s="34"/>
      <c r="R83" s="34"/>
      <c r="S83" s="34"/>
      <c r="T83" s="34"/>
      <c r="U83" s="34"/>
      <c r="V83" s="34"/>
      <c r="W83" s="34"/>
    </row>
    <row r="84" spans="2:23" x14ac:dyDescent="0.3">
      <c r="B84" s="33"/>
      <c r="C84" s="34"/>
      <c r="D84" s="39"/>
      <c r="E84" s="39"/>
      <c r="F84" s="39"/>
      <c r="G84" s="34"/>
      <c r="H84" s="32"/>
      <c r="I84" s="34"/>
      <c r="J84" s="34"/>
      <c r="K84" s="35"/>
      <c r="L84" s="34"/>
      <c r="M84" s="32"/>
      <c r="N84" s="34"/>
      <c r="O84" s="34"/>
      <c r="P84" s="34"/>
      <c r="Q84" s="34"/>
      <c r="R84" s="34"/>
      <c r="S84" s="34"/>
      <c r="T84" s="34"/>
      <c r="U84" s="34"/>
      <c r="V84" s="34"/>
      <c r="W84" s="34"/>
    </row>
    <row r="85" spans="2:23" x14ac:dyDescent="0.3">
      <c r="B85" s="33"/>
      <c r="C85" s="34"/>
      <c r="D85" s="39"/>
      <c r="E85" s="39"/>
      <c r="F85" s="39"/>
      <c r="G85" s="34"/>
      <c r="H85" s="32"/>
      <c r="I85" s="34"/>
      <c r="J85" s="34"/>
      <c r="K85" s="35"/>
      <c r="L85" s="34"/>
      <c r="M85" s="32"/>
      <c r="N85" s="34"/>
      <c r="O85" s="34"/>
      <c r="P85" s="34"/>
      <c r="Q85" s="34"/>
      <c r="R85" s="34"/>
      <c r="S85" s="34"/>
      <c r="T85" s="34"/>
      <c r="U85" s="34"/>
      <c r="V85" s="34"/>
      <c r="W85" s="34"/>
    </row>
    <row r="86" spans="2:23" x14ac:dyDescent="0.3">
      <c r="B86" s="33"/>
      <c r="C86" s="34"/>
      <c r="D86" s="39"/>
      <c r="E86" s="39"/>
      <c r="F86" s="39"/>
      <c r="G86" s="34"/>
      <c r="H86" s="32"/>
      <c r="I86" s="34"/>
      <c r="J86" s="34"/>
      <c r="K86" s="35"/>
      <c r="L86" s="34"/>
      <c r="M86" s="32"/>
      <c r="N86" s="34"/>
      <c r="O86" s="34"/>
      <c r="P86" s="34"/>
      <c r="Q86" s="34"/>
      <c r="R86" s="34"/>
      <c r="S86" s="34"/>
      <c r="T86" s="34"/>
      <c r="U86" s="34"/>
      <c r="V86" s="34"/>
      <c r="W86" s="34"/>
    </row>
    <row r="87" spans="2:23" x14ac:dyDescent="0.3">
      <c r="B87" s="33"/>
      <c r="C87" s="34"/>
      <c r="D87" s="39"/>
      <c r="E87" s="39"/>
      <c r="F87" s="39"/>
      <c r="G87" s="34"/>
      <c r="H87" s="32"/>
      <c r="I87" s="34"/>
      <c r="J87" s="34"/>
      <c r="K87" s="35"/>
      <c r="L87" s="34"/>
      <c r="M87" s="32"/>
      <c r="N87" s="34"/>
      <c r="O87" s="34"/>
      <c r="P87" s="34"/>
      <c r="Q87" s="34"/>
      <c r="R87" s="34"/>
      <c r="S87" s="34"/>
      <c r="T87" s="34"/>
      <c r="U87" s="34"/>
      <c r="V87" s="34"/>
      <c r="W87" s="34"/>
    </row>
    <row r="88" spans="2:23" x14ac:dyDescent="0.3">
      <c r="B88" s="33"/>
      <c r="C88" s="34"/>
      <c r="D88" s="39"/>
      <c r="E88" s="39"/>
      <c r="F88" s="39"/>
      <c r="G88" s="34"/>
      <c r="H88" s="32"/>
      <c r="I88" s="34"/>
      <c r="J88" s="34"/>
      <c r="K88" s="35"/>
      <c r="L88" s="34"/>
      <c r="M88" s="32"/>
      <c r="N88" s="34"/>
      <c r="O88" s="34"/>
      <c r="P88" s="34"/>
      <c r="Q88" s="34"/>
      <c r="R88" s="34"/>
      <c r="S88" s="34"/>
      <c r="T88" s="34"/>
      <c r="U88" s="34"/>
      <c r="V88" s="34"/>
      <c r="W88" s="34"/>
    </row>
    <row r="89" spans="2:23" x14ac:dyDescent="0.3">
      <c r="B89" s="33"/>
      <c r="C89" s="34"/>
      <c r="D89" s="39"/>
      <c r="E89" s="39"/>
      <c r="F89" s="39"/>
      <c r="G89" s="34"/>
      <c r="H89" s="32"/>
      <c r="I89" s="34"/>
      <c r="J89" s="34"/>
      <c r="K89" s="35"/>
      <c r="L89" s="34"/>
      <c r="M89" s="32"/>
      <c r="N89" s="34"/>
      <c r="O89" s="34"/>
      <c r="P89" s="34"/>
      <c r="Q89" s="34"/>
      <c r="R89" s="34"/>
      <c r="S89" s="34"/>
      <c r="T89" s="34"/>
      <c r="U89" s="34"/>
      <c r="V89" s="34"/>
      <c r="W89" s="34"/>
    </row>
    <row r="90" spans="2:23" x14ac:dyDescent="0.3">
      <c r="B90" s="33"/>
      <c r="C90" s="34"/>
      <c r="D90" s="39"/>
      <c r="E90" s="39"/>
      <c r="F90" s="39"/>
      <c r="G90" s="34"/>
      <c r="H90" s="32"/>
      <c r="I90" s="34"/>
      <c r="J90" s="34"/>
      <c r="K90" s="35"/>
      <c r="L90" s="34"/>
      <c r="M90" s="32"/>
      <c r="N90" s="34"/>
      <c r="O90" s="34"/>
      <c r="P90" s="34"/>
      <c r="Q90" s="34"/>
      <c r="R90" s="34"/>
      <c r="S90" s="34"/>
      <c r="T90" s="34"/>
      <c r="U90" s="34"/>
      <c r="V90" s="34"/>
      <c r="W90" s="34"/>
    </row>
    <row r="91" spans="2:23" x14ac:dyDescent="0.3">
      <c r="B91" s="33"/>
      <c r="C91" s="34"/>
      <c r="D91" s="39"/>
      <c r="E91" s="39"/>
      <c r="F91" s="39"/>
      <c r="G91" s="34"/>
      <c r="H91" s="32"/>
      <c r="I91" s="34"/>
      <c r="J91" s="34"/>
      <c r="K91" s="35"/>
      <c r="L91" s="34"/>
      <c r="M91" s="32"/>
      <c r="N91" s="34"/>
      <c r="O91" s="34"/>
      <c r="P91" s="34"/>
      <c r="Q91" s="34"/>
      <c r="R91" s="34"/>
      <c r="S91" s="34"/>
      <c r="T91" s="34"/>
      <c r="U91" s="34"/>
      <c r="V91" s="34"/>
      <c r="W91" s="34"/>
    </row>
    <row r="92" spans="2:23" x14ac:dyDescent="0.3">
      <c r="B92" s="33"/>
      <c r="C92" s="34"/>
      <c r="D92" s="39"/>
      <c r="E92" s="39"/>
      <c r="F92" s="39"/>
      <c r="G92" s="34"/>
      <c r="H92" s="32"/>
      <c r="I92" s="34"/>
      <c r="J92" s="34"/>
      <c r="K92" s="35"/>
      <c r="L92" s="34"/>
      <c r="M92" s="32"/>
      <c r="N92" s="34"/>
      <c r="O92" s="34"/>
      <c r="P92" s="34"/>
      <c r="Q92" s="34"/>
      <c r="R92" s="34"/>
      <c r="S92" s="34"/>
      <c r="T92" s="34"/>
      <c r="U92" s="34"/>
      <c r="V92" s="34"/>
      <c r="W92" s="34"/>
    </row>
    <row r="93" spans="2:23" x14ac:dyDescent="0.3">
      <c r="B93" s="33"/>
      <c r="C93" s="34"/>
      <c r="D93" s="39"/>
      <c r="E93" s="39"/>
      <c r="F93" s="39"/>
      <c r="G93" s="34"/>
      <c r="H93" s="32"/>
      <c r="I93" s="34"/>
      <c r="J93" s="34"/>
      <c r="K93" s="35"/>
      <c r="L93" s="34"/>
      <c r="M93" s="32"/>
      <c r="N93" s="34"/>
      <c r="O93" s="34"/>
      <c r="P93" s="34"/>
      <c r="Q93" s="34"/>
      <c r="R93" s="34"/>
      <c r="S93" s="34"/>
      <c r="T93" s="34"/>
      <c r="U93" s="34"/>
      <c r="V93" s="34"/>
      <c r="W93" s="34"/>
    </row>
    <row r="94" spans="2:23" x14ac:dyDescent="0.3">
      <c r="B94" s="33"/>
      <c r="C94" s="34"/>
      <c r="D94" s="39"/>
      <c r="E94" s="39"/>
      <c r="F94" s="39"/>
      <c r="G94" s="34"/>
      <c r="H94" s="32"/>
      <c r="I94" s="34"/>
      <c r="J94" s="34"/>
      <c r="K94" s="35"/>
      <c r="L94" s="34"/>
      <c r="M94" s="32"/>
      <c r="N94" s="34"/>
      <c r="O94" s="34"/>
      <c r="P94" s="34"/>
      <c r="Q94" s="34"/>
      <c r="R94" s="34"/>
      <c r="S94" s="34"/>
      <c r="T94" s="34"/>
      <c r="U94" s="34"/>
      <c r="V94" s="34"/>
      <c r="W94" s="34"/>
    </row>
    <row r="95" spans="2:23" x14ac:dyDescent="0.3">
      <c r="B95" s="33"/>
      <c r="C95" s="34"/>
      <c r="D95" s="39"/>
      <c r="E95" s="39"/>
      <c r="F95" s="39"/>
      <c r="G95" s="34"/>
      <c r="H95" s="32"/>
      <c r="I95" s="34"/>
      <c r="J95" s="34"/>
      <c r="K95" s="35"/>
      <c r="L95" s="34"/>
      <c r="M95" s="32"/>
      <c r="N95" s="34"/>
      <c r="O95" s="34"/>
      <c r="P95" s="34"/>
      <c r="Q95" s="34"/>
      <c r="R95" s="34"/>
      <c r="S95" s="34"/>
      <c r="T95" s="34"/>
      <c r="U95" s="34"/>
      <c r="V95" s="34"/>
      <c r="W95" s="34"/>
    </row>
    <row r="96" spans="2:23" x14ac:dyDescent="0.3">
      <c r="B96" s="33"/>
      <c r="C96" s="34"/>
      <c r="D96" s="39"/>
      <c r="E96" s="39"/>
      <c r="F96" s="39"/>
      <c r="G96" s="34"/>
      <c r="H96" s="32"/>
      <c r="I96" s="34"/>
      <c r="J96" s="34"/>
      <c r="K96" s="35"/>
      <c r="L96" s="34"/>
      <c r="M96" s="32"/>
      <c r="N96" s="34"/>
      <c r="O96" s="34"/>
      <c r="P96" s="34"/>
      <c r="Q96" s="34"/>
      <c r="R96" s="34"/>
      <c r="S96" s="34"/>
      <c r="T96" s="34"/>
      <c r="U96" s="34"/>
      <c r="V96" s="34"/>
      <c r="W96" s="34"/>
    </row>
    <row r="97" spans="2:23" x14ac:dyDescent="0.3">
      <c r="B97" s="33"/>
      <c r="C97" s="34"/>
      <c r="D97" s="39"/>
      <c r="E97" s="39"/>
      <c r="F97" s="39"/>
      <c r="G97" s="34"/>
      <c r="H97" s="32"/>
      <c r="I97" s="34"/>
      <c r="J97" s="34"/>
      <c r="K97" s="35"/>
      <c r="L97" s="34"/>
      <c r="M97" s="32"/>
      <c r="N97" s="34"/>
      <c r="O97" s="34"/>
      <c r="P97" s="34"/>
      <c r="Q97" s="34"/>
      <c r="R97" s="34"/>
      <c r="S97" s="34"/>
      <c r="T97" s="34"/>
      <c r="U97" s="34"/>
      <c r="V97" s="34"/>
      <c r="W97" s="34"/>
    </row>
    <row r="98" spans="2:23" x14ac:dyDescent="0.3">
      <c r="B98" s="33"/>
      <c r="C98" s="34"/>
      <c r="D98" s="39"/>
      <c r="E98" s="39"/>
      <c r="F98" s="39"/>
      <c r="G98" s="34"/>
      <c r="H98" s="32"/>
      <c r="I98" s="34"/>
      <c r="J98" s="34"/>
      <c r="K98" s="35"/>
      <c r="L98" s="34"/>
      <c r="M98" s="32"/>
      <c r="N98" s="34"/>
      <c r="O98" s="34"/>
      <c r="P98" s="34"/>
      <c r="Q98" s="34"/>
      <c r="R98" s="34"/>
      <c r="S98" s="34"/>
      <c r="T98" s="34"/>
      <c r="U98" s="34"/>
      <c r="V98" s="34"/>
      <c r="W98" s="34"/>
    </row>
    <row r="99" spans="2:23" x14ac:dyDescent="0.3">
      <c r="B99" s="33"/>
      <c r="C99" s="34"/>
      <c r="D99" s="39"/>
      <c r="E99" s="39"/>
      <c r="F99" s="39"/>
      <c r="G99" s="34"/>
      <c r="H99" s="32"/>
      <c r="I99" s="34"/>
      <c r="J99" s="34"/>
      <c r="K99" s="35"/>
      <c r="L99" s="34"/>
      <c r="M99" s="32"/>
      <c r="N99" s="34"/>
      <c r="O99" s="34"/>
      <c r="P99" s="34"/>
      <c r="Q99" s="34"/>
      <c r="R99" s="34"/>
      <c r="S99" s="34"/>
      <c r="T99" s="34"/>
      <c r="U99" s="34"/>
      <c r="V99" s="34"/>
      <c r="W99" s="34"/>
    </row>
    <row r="100" spans="2:23" x14ac:dyDescent="0.3">
      <c r="B100" s="33"/>
      <c r="C100" s="34"/>
      <c r="D100" s="39"/>
      <c r="E100" s="39"/>
      <c r="F100" s="39"/>
      <c r="G100" s="34"/>
      <c r="H100" s="32"/>
      <c r="I100" s="34"/>
      <c r="J100" s="34"/>
      <c r="K100" s="35"/>
      <c r="L100" s="34"/>
      <c r="M100" s="32"/>
      <c r="N100" s="34"/>
      <c r="O100" s="34"/>
      <c r="P100" s="34"/>
      <c r="Q100" s="34"/>
      <c r="R100" s="34"/>
      <c r="S100" s="34"/>
      <c r="T100" s="34"/>
      <c r="U100" s="34"/>
      <c r="V100" s="34"/>
      <c r="W100" s="34"/>
    </row>
    <row r="101" spans="2:23" x14ac:dyDescent="0.3">
      <c r="B101" s="33"/>
      <c r="C101" s="34"/>
      <c r="D101" s="39"/>
      <c r="E101" s="39"/>
      <c r="F101" s="39"/>
      <c r="G101" s="34"/>
      <c r="H101" s="32"/>
      <c r="I101" s="34"/>
      <c r="J101" s="34"/>
      <c r="K101" s="35"/>
      <c r="L101" s="34"/>
      <c r="M101" s="32"/>
      <c r="N101" s="34"/>
      <c r="O101" s="34"/>
      <c r="P101" s="34"/>
      <c r="Q101" s="34"/>
      <c r="R101" s="34"/>
      <c r="S101" s="34"/>
      <c r="T101" s="34"/>
      <c r="U101" s="34"/>
      <c r="V101" s="34"/>
      <c r="W101" s="34"/>
    </row>
    <row r="102" spans="2:23" x14ac:dyDescent="0.3">
      <c r="B102" s="33"/>
      <c r="C102" s="34"/>
      <c r="D102" s="39"/>
      <c r="E102" s="39"/>
      <c r="F102" s="39"/>
      <c r="G102" s="34"/>
      <c r="H102" s="32"/>
      <c r="I102" s="34"/>
      <c r="J102" s="34"/>
      <c r="K102" s="35"/>
      <c r="L102" s="34"/>
      <c r="M102" s="32"/>
      <c r="N102" s="34"/>
      <c r="O102" s="34"/>
      <c r="P102" s="34"/>
      <c r="Q102" s="34"/>
      <c r="R102" s="34"/>
      <c r="S102" s="34"/>
      <c r="T102" s="34"/>
      <c r="U102" s="34"/>
      <c r="V102" s="34"/>
      <c r="W102" s="34"/>
    </row>
    <row r="103" spans="2:23" x14ac:dyDescent="0.3">
      <c r="B103" s="33"/>
      <c r="C103" s="34"/>
      <c r="D103" s="39"/>
      <c r="E103" s="39"/>
      <c r="F103" s="39"/>
      <c r="G103" s="34"/>
      <c r="H103" s="32"/>
      <c r="I103" s="34"/>
      <c r="J103" s="34"/>
      <c r="K103" s="35"/>
      <c r="L103" s="34"/>
      <c r="M103" s="32"/>
      <c r="N103" s="34"/>
      <c r="O103" s="34"/>
      <c r="P103" s="34"/>
      <c r="Q103" s="34"/>
      <c r="R103" s="34"/>
      <c r="S103" s="34"/>
      <c r="T103" s="34"/>
      <c r="U103" s="34"/>
      <c r="V103" s="34"/>
      <c r="W103" s="34"/>
    </row>
    <row r="104" spans="2:23" x14ac:dyDescent="0.3">
      <c r="B104" s="33"/>
      <c r="C104" s="34"/>
      <c r="D104" s="39"/>
      <c r="E104" s="39"/>
      <c r="F104" s="39"/>
      <c r="G104" s="34"/>
      <c r="H104" s="32"/>
      <c r="I104" s="34"/>
      <c r="J104" s="34"/>
      <c r="K104" s="35"/>
      <c r="L104" s="34"/>
      <c r="M104" s="32"/>
      <c r="N104" s="34"/>
      <c r="O104" s="34"/>
      <c r="P104" s="34"/>
      <c r="Q104" s="34"/>
      <c r="R104" s="34"/>
      <c r="S104" s="34"/>
      <c r="T104" s="34"/>
      <c r="U104" s="34"/>
      <c r="V104" s="34"/>
      <c r="W104" s="34"/>
    </row>
    <row r="105" spans="2:23" x14ac:dyDescent="0.3">
      <c r="B105" s="33"/>
      <c r="C105" s="34"/>
      <c r="D105" s="39"/>
      <c r="E105" s="39"/>
      <c r="F105" s="39"/>
      <c r="G105" s="34"/>
      <c r="H105" s="32"/>
      <c r="I105" s="34"/>
      <c r="J105" s="34"/>
      <c r="K105" s="35"/>
      <c r="L105" s="34"/>
      <c r="M105" s="32"/>
      <c r="N105" s="34"/>
      <c r="O105" s="34"/>
      <c r="P105" s="34"/>
      <c r="Q105" s="34"/>
      <c r="R105" s="34"/>
      <c r="S105" s="34"/>
      <c r="T105" s="34"/>
      <c r="U105" s="34"/>
      <c r="V105" s="34"/>
      <c r="W105" s="34"/>
    </row>
    <row r="106" spans="2:23" x14ac:dyDescent="0.3">
      <c r="B106" s="33"/>
      <c r="C106" s="34"/>
      <c r="D106" s="39"/>
      <c r="E106" s="39"/>
      <c r="F106" s="39"/>
      <c r="G106" s="34"/>
      <c r="H106" s="32"/>
      <c r="I106" s="34"/>
      <c r="J106" s="34"/>
      <c r="K106" s="35"/>
      <c r="L106" s="34"/>
      <c r="M106" s="32"/>
      <c r="N106" s="34"/>
      <c r="O106" s="34"/>
      <c r="P106" s="34"/>
      <c r="Q106" s="34"/>
      <c r="R106" s="34"/>
      <c r="S106" s="34"/>
      <c r="T106" s="34"/>
      <c r="U106" s="34"/>
      <c r="V106" s="34"/>
      <c r="W106" s="34"/>
    </row>
    <row r="107" spans="2:23" x14ac:dyDescent="0.3">
      <c r="B107" s="33"/>
      <c r="C107" s="34"/>
      <c r="D107" s="39"/>
      <c r="E107" s="39"/>
      <c r="F107" s="39"/>
      <c r="G107" s="34"/>
      <c r="H107" s="32"/>
      <c r="I107" s="34"/>
      <c r="J107" s="34"/>
      <c r="K107" s="35"/>
      <c r="L107" s="34"/>
      <c r="M107" s="32"/>
      <c r="N107" s="34"/>
      <c r="O107" s="34"/>
      <c r="P107" s="34"/>
      <c r="Q107" s="34"/>
      <c r="R107" s="34"/>
      <c r="S107" s="34"/>
      <c r="T107" s="34"/>
      <c r="U107" s="34"/>
      <c r="V107" s="34"/>
      <c r="W107" s="34"/>
    </row>
    <row r="108" spans="2:23" x14ac:dyDescent="0.3">
      <c r="B108" s="33"/>
      <c r="C108" s="34"/>
      <c r="D108" s="39"/>
      <c r="E108" s="39"/>
      <c r="F108" s="39"/>
      <c r="G108" s="34"/>
      <c r="H108" s="32"/>
      <c r="I108" s="34"/>
      <c r="J108" s="34"/>
      <c r="K108" s="35"/>
      <c r="L108" s="34"/>
      <c r="M108" s="32"/>
      <c r="N108" s="34"/>
      <c r="O108" s="34"/>
      <c r="P108" s="34"/>
      <c r="Q108" s="34"/>
      <c r="R108" s="34"/>
      <c r="S108" s="34"/>
      <c r="T108" s="34"/>
      <c r="U108" s="34"/>
      <c r="V108" s="34"/>
      <c r="W108" s="34"/>
    </row>
    <row r="109" spans="2:23" x14ac:dyDescent="0.3">
      <c r="B109" s="33"/>
      <c r="C109" s="34"/>
      <c r="D109" s="39"/>
      <c r="E109" s="39"/>
      <c r="F109" s="39"/>
      <c r="G109" s="34"/>
      <c r="H109" s="32"/>
      <c r="I109" s="34"/>
      <c r="J109" s="34"/>
      <c r="K109" s="35"/>
      <c r="L109" s="34"/>
      <c r="M109" s="32"/>
      <c r="N109" s="34"/>
      <c r="O109" s="34"/>
      <c r="P109" s="34"/>
      <c r="Q109" s="34"/>
      <c r="R109" s="34"/>
      <c r="S109" s="34"/>
      <c r="T109" s="34"/>
      <c r="U109" s="34"/>
      <c r="V109" s="34"/>
      <c r="W109" s="34"/>
    </row>
    <row r="110" spans="2:23" x14ac:dyDescent="0.3">
      <c r="B110" s="33"/>
      <c r="C110" s="34"/>
      <c r="D110" s="39"/>
      <c r="E110" s="39"/>
      <c r="F110" s="39"/>
      <c r="G110" s="34"/>
      <c r="H110" s="32"/>
      <c r="I110" s="34"/>
      <c r="J110" s="34"/>
      <c r="K110" s="35"/>
      <c r="L110" s="34"/>
      <c r="M110" s="32"/>
      <c r="N110" s="34"/>
      <c r="O110" s="34"/>
      <c r="P110" s="34"/>
      <c r="Q110" s="34"/>
      <c r="R110" s="34"/>
      <c r="S110" s="34"/>
      <c r="T110" s="34"/>
      <c r="U110" s="34"/>
      <c r="V110" s="34"/>
      <c r="W110" s="34"/>
    </row>
    <row r="111" spans="2:23" x14ac:dyDescent="0.3">
      <c r="B111" s="33"/>
      <c r="C111" s="34"/>
      <c r="D111" s="39"/>
      <c r="E111" s="39"/>
      <c r="F111" s="39"/>
      <c r="G111" s="34"/>
      <c r="H111" s="32"/>
      <c r="I111" s="34"/>
      <c r="J111" s="34"/>
      <c r="K111" s="35"/>
      <c r="L111" s="34"/>
      <c r="M111" s="32"/>
      <c r="N111" s="34"/>
      <c r="O111" s="34"/>
      <c r="P111" s="34"/>
      <c r="Q111" s="34"/>
      <c r="R111" s="34"/>
      <c r="S111" s="34"/>
      <c r="T111" s="34"/>
      <c r="U111" s="34"/>
      <c r="V111" s="34"/>
      <c r="W111" s="34"/>
    </row>
    <row r="112" spans="2:23" x14ac:dyDescent="0.3">
      <c r="B112" s="33"/>
      <c r="C112" s="34"/>
      <c r="D112" s="39"/>
      <c r="E112" s="39"/>
      <c r="F112" s="39"/>
      <c r="G112" s="34"/>
      <c r="H112" s="32"/>
      <c r="I112" s="34"/>
      <c r="J112" s="34"/>
      <c r="K112" s="35"/>
      <c r="L112" s="34"/>
      <c r="M112" s="32"/>
      <c r="N112" s="34"/>
      <c r="O112" s="34"/>
      <c r="P112" s="34"/>
      <c r="Q112" s="34"/>
      <c r="R112" s="34"/>
      <c r="S112" s="34"/>
      <c r="T112" s="34"/>
      <c r="U112" s="34"/>
      <c r="V112" s="34"/>
      <c r="W112" s="34"/>
    </row>
    <row r="113" spans="2:23" x14ac:dyDescent="0.3">
      <c r="B113" s="33"/>
      <c r="C113" s="34"/>
      <c r="D113" s="39"/>
      <c r="E113" s="39"/>
      <c r="F113" s="39"/>
      <c r="G113" s="34"/>
      <c r="H113" s="32"/>
      <c r="I113" s="34"/>
      <c r="J113" s="34"/>
      <c r="K113" s="35"/>
      <c r="L113" s="34"/>
      <c r="M113" s="32"/>
      <c r="N113" s="34"/>
      <c r="O113" s="34"/>
      <c r="P113" s="34"/>
      <c r="Q113" s="34"/>
      <c r="R113" s="34"/>
      <c r="S113" s="34"/>
      <c r="T113" s="34"/>
      <c r="U113" s="34"/>
      <c r="V113" s="34"/>
      <c r="W113" s="34"/>
    </row>
    <row r="114" spans="2:23" x14ac:dyDescent="0.3">
      <c r="B114" s="33"/>
      <c r="C114" s="34"/>
      <c r="D114" s="39"/>
      <c r="E114" s="39"/>
      <c r="F114" s="39"/>
      <c r="G114" s="34"/>
      <c r="H114" s="32"/>
      <c r="I114" s="34"/>
      <c r="J114" s="34"/>
      <c r="K114" s="35"/>
      <c r="L114" s="34"/>
      <c r="M114" s="32"/>
      <c r="N114" s="34"/>
      <c r="O114" s="34"/>
      <c r="P114" s="34"/>
      <c r="Q114" s="34"/>
      <c r="R114" s="34"/>
      <c r="S114" s="34"/>
      <c r="T114" s="34"/>
      <c r="U114" s="34"/>
      <c r="V114" s="34"/>
      <c r="W114" s="34"/>
    </row>
    <row r="115" spans="2:23" x14ac:dyDescent="0.3">
      <c r="B115" s="33"/>
      <c r="C115" s="34"/>
      <c r="D115" s="39"/>
      <c r="E115" s="39"/>
      <c r="F115" s="39"/>
      <c r="G115" s="34"/>
      <c r="H115" s="32"/>
      <c r="I115" s="34"/>
      <c r="J115" s="34"/>
      <c r="K115" s="35"/>
      <c r="L115" s="34"/>
      <c r="M115" s="32"/>
      <c r="N115" s="34"/>
      <c r="O115" s="34"/>
      <c r="P115" s="34"/>
      <c r="Q115" s="34"/>
      <c r="R115" s="34"/>
      <c r="S115" s="34"/>
      <c r="T115" s="34"/>
      <c r="U115" s="34"/>
      <c r="V115" s="34"/>
      <c r="W115" s="34"/>
    </row>
    <row r="116" spans="2:23" x14ac:dyDescent="0.3">
      <c r="B116" s="33"/>
      <c r="C116" s="34"/>
      <c r="D116" s="39"/>
      <c r="E116" s="39"/>
      <c r="F116" s="39"/>
      <c r="G116" s="34"/>
      <c r="H116" s="32"/>
      <c r="I116" s="34"/>
      <c r="J116" s="34"/>
      <c r="K116" s="35"/>
      <c r="L116" s="34"/>
      <c r="M116" s="32"/>
      <c r="N116" s="34"/>
      <c r="O116" s="34"/>
      <c r="P116" s="34"/>
      <c r="Q116" s="34"/>
      <c r="R116" s="34"/>
      <c r="S116" s="34"/>
      <c r="T116" s="34"/>
      <c r="U116" s="34"/>
      <c r="V116" s="34"/>
      <c r="W116" s="34"/>
    </row>
    <row r="117" spans="2:23" x14ac:dyDescent="0.3">
      <c r="B117" s="33"/>
      <c r="C117" s="34"/>
      <c r="D117" s="39"/>
      <c r="E117" s="39"/>
      <c r="F117" s="39"/>
      <c r="G117" s="34"/>
      <c r="H117" s="32"/>
      <c r="I117" s="34"/>
      <c r="J117" s="34"/>
      <c r="K117" s="35"/>
      <c r="L117" s="34"/>
      <c r="M117" s="32"/>
      <c r="N117" s="34"/>
      <c r="O117" s="34"/>
      <c r="P117" s="34"/>
      <c r="Q117" s="34"/>
      <c r="R117" s="34"/>
      <c r="S117" s="34"/>
      <c r="T117" s="34"/>
      <c r="U117" s="34"/>
      <c r="V117" s="34"/>
      <c r="W117" s="34"/>
    </row>
    <row r="118" spans="2:23" x14ac:dyDescent="0.3">
      <c r="B118" s="33"/>
      <c r="C118" s="34"/>
      <c r="D118" s="39"/>
      <c r="E118" s="39"/>
      <c r="F118" s="39"/>
      <c r="G118" s="34"/>
      <c r="H118" s="32"/>
      <c r="I118" s="34"/>
      <c r="J118" s="34"/>
      <c r="K118" s="35"/>
      <c r="L118" s="34"/>
      <c r="M118" s="32"/>
      <c r="N118" s="34"/>
      <c r="O118" s="34"/>
      <c r="P118" s="34"/>
      <c r="Q118" s="34"/>
      <c r="R118" s="34"/>
      <c r="S118" s="34"/>
      <c r="T118" s="34"/>
      <c r="U118" s="34"/>
      <c r="V118" s="34"/>
      <c r="W118" s="34"/>
    </row>
    <row r="119" spans="2:23" x14ac:dyDescent="0.3">
      <c r="B119" s="33"/>
      <c r="C119" s="34"/>
      <c r="D119" s="39"/>
      <c r="E119" s="39"/>
      <c r="F119" s="39"/>
      <c r="G119" s="34"/>
      <c r="H119" s="32"/>
      <c r="I119" s="34"/>
      <c r="J119" s="34"/>
      <c r="K119" s="35"/>
      <c r="L119" s="34"/>
      <c r="M119" s="32"/>
      <c r="N119" s="34"/>
      <c r="O119" s="34"/>
      <c r="P119" s="34"/>
      <c r="Q119" s="34"/>
      <c r="R119" s="34"/>
      <c r="S119" s="34"/>
      <c r="T119" s="34"/>
      <c r="U119" s="34"/>
      <c r="V119" s="34"/>
      <c r="W119" s="34"/>
    </row>
    <row r="120" spans="2:23" x14ac:dyDescent="0.3">
      <c r="B120" s="33"/>
      <c r="C120" s="34"/>
      <c r="D120" s="39"/>
      <c r="E120" s="39"/>
      <c r="F120" s="39"/>
      <c r="G120" s="34"/>
      <c r="H120" s="32"/>
      <c r="I120" s="34"/>
      <c r="J120" s="34"/>
      <c r="K120" s="35"/>
      <c r="L120" s="34"/>
      <c r="M120" s="32"/>
      <c r="N120" s="34"/>
      <c r="O120" s="34"/>
      <c r="P120" s="34"/>
      <c r="Q120" s="34"/>
      <c r="R120" s="34"/>
      <c r="S120" s="34"/>
      <c r="T120" s="34"/>
      <c r="U120" s="34"/>
      <c r="V120" s="34"/>
      <c r="W120" s="34"/>
    </row>
    <row r="121" spans="2:23" x14ac:dyDescent="0.3">
      <c r="B121" s="33"/>
      <c r="C121" s="34"/>
      <c r="D121" s="39"/>
      <c r="E121" s="39"/>
      <c r="F121" s="39"/>
      <c r="G121" s="34"/>
      <c r="H121" s="32"/>
      <c r="I121" s="34"/>
      <c r="J121" s="34"/>
      <c r="K121" s="35"/>
      <c r="L121" s="34"/>
      <c r="M121" s="32"/>
      <c r="N121" s="34"/>
      <c r="O121" s="34"/>
      <c r="P121" s="34"/>
      <c r="Q121" s="34"/>
      <c r="R121" s="34"/>
      <c r="S121" s="34"/>
      <c r="T121" s="34"/>
      <c r="U121" s="34"/>
      <c r="V121" s="34"/>
      <c r="W121" s="34"/>
    </row>
    <row r="122" spans="2:23" x14ac:dyDescent="0.3">
      <c r="B122" s="33"/>
      <c r="C122" s="34"/>
      <c r="D122" s="39"/>
      <c r="E122" s="39"/>
      <c r="F122" s="39"/>
      <c r="G122" s="34"/>
      <c r="H122" s="32"/>
      <c r="I122" s="34"/>
      <c r="J122" s="34"/>
      <c r="K122" s="35"/>
      <c r="L122" s="34"/>
      <c r="M122" s="32"/>
      <c r="N122" s="34"/>
      <c r="O122" s="34"/>
      <c r="P122" s="34"/>
      <c r="Q122" s="34"/>
      <c r="R122" s="34"/>
      <c r="S122" s="34"/>
      <c r="T122" s="34"/>
      <c r="U122" s="34"/>
      <c r="V122" s="34"/>
      <c r="W122" s="34"/>
    </row>
    <row r="123" spans="2:23" x14ac:dyDescent="0.3">
      <c r="B123" s="33"/>
      <c r="C123" s="34"/>
      <c r="D123" s="39"/>
      <c r="E123" s="39"/>
      <c r="F123" s="39"/>
      <c r="G123" s="34"/>
      <c r="H123" s="32"/>
      <c r="I123" s="34"/>
      <c r="J123" s="34"/>
      <c r="K123" s="35"/>
      <c r="L123" s="34"/>
      <c r="M123" s="32"/>
      <c r="N123" s="34"/>
      <c r="O123" s="34"/>
      <c r="P123" s="34"/>
      <c r="Q123" s="34"/>
      <c r="R123" s="34"/>
      <c r="S123" s="34"/>
      <c r="T123" s="34"/>
      <c r="U123" s="34"/>
      <c r="V123" s="34"/>
      <c r="W123" s="34"/>
    </row>
    <row r="124" spans="2:23" x14ac:dyDescent="0.3">
      <c r="B124" s="33"/>
      <c r="C124" s="34"/>
      <c r="D124" s="39"/>
      <c r="E124" s="39"/>
      <c r="F124" s="39"/>
      <c r="G124" s="34"/>
      <c r="H124" s="32"/>
      <c r="I124" s="34"/>
      <c r="J124" s="34"/>
      <c r="K124" s="35"/>
      <c r="L124" s="34"/>
      <c r="M124" s="32"/>
      <c r="N124" s="34"/>
      <c r="O124" s="34"/>
      <c r="P124" s="34"/>
      <c r="Q124" s="34"/>
      <c r="R124" s="34"/>
      <c r="S124" s="34"/>
      <c r="T124" s="34"/>
      <c r="U124" s="34"/>
      <c r="V124" s="34"/>
      <c r="W124" s="34"/>
    </row>
    <row r="125" spans="2:23" x14ac:dyDescent="0.3">
      <c r="B125" s="33"/>
      <c r="C125" s="34"/>
      <c r="D125" s="39"/>
      <c r="E125" s="39"/>
      <c r="F125" s="39"/>
      <c r="G125" s="34"/>
      <c r="H125" s="32"/>
      <c r="I125" s="34"/>
      <c r="J125" s="34"/>
      <c r="K125" s="35"/>
      <c r="L125" s="34"/>
      <c r="M125" s="32"/>
      <c r="N125" s="34"/>
      <c r="O125" s="34"/>
      <c r="P125" s="34"/>
      <c r="Q125" s="34"/>
      <c r="R125" s="34"/>
      <c r="S125" s="34"/>
      <c r="T125" s="34"/>
      <c r="U125" s="34"/>
      <c r="V125" s="34"/>
      <c r="W125" s="34"/>
    </row>
    <row r="126" spans="2:23" x14ac:dyDescent="0.3">
      <c r="B126" s="33"/>
      <c r="C126" s="34"/>
      <c r="D126" s="39"/>
      <c r="E126" s="39"/>
      <c r="F126" s="39"/>
      <c r="G126" s="34"/>
      <c r="H126" s="32"/>
      <c r="I126" s="34"/>
      <c r="J126" s="34"/>
      <c r="K126" s="35"/>
      <c r="L126" s="34"/>
      <c r="M126" s="32"/>
      <c r="N126" s="34"/>
      <c r="O126" s="34"/>
      <c r="P126" s="34"/>
      <c r="Q126" s="34"/>
      <c r="R126" s="34"/>
      <c r="S126" s="34"/>
      <c r="T126" s="34"/>
      <c r="U126" s="34"/>
      <c r="V126" s="34"/>
      <c r="W126" s="34"/>
    </row>
    <row r="127" spans="2:23" x14ac:dyDescent="0.3">
      <c r="B127" s="33"/>
      <c r="C127" s="34"/>
      <c r="D127" s="39"/>
      <c r="E127" s="39"/>
      <c r="F127" s="39"/>
      <c r="G127" s="34"/>
      <c r="H127" s="32"/>
      <c r="I127" s="34"/>
      <c r="J127" s="34"/>
      <c r="K127" s="35"/>
      <c r="L127" s="34"/>
      <c r="M127" s="32"/>
      <c r="N127" s="34"/>
      <c r="O127" s="34"/>
      <c r="P127" s="34"/>
      <c r="Q127" s="34"/>
      <c r="R127" s="34"/>
      <c r="S127" s="34"/>
      <c r="T127" s="34"/>
      <c r="U127" s="34"/>
      <c r="V127" s="34"/>
      <c r="W127" s="34"/>
    </row>
    <row r="128" spans="2:23" x14ac:dyDescent="0.3">
      <c r="B128" s="33"/>
      <c r="C128" s="34"/>
      <c r="D128" s="39"/>
      <c r="E128" s="39"/>
      <c r="F128" s="39"/>
      <c r="G128" s="34"/>
      <c r="H128" s="32"/>
      <c r="I128" s="34"/>
      <c r="J128" s="34"/>
      <c r="K128" s="35"/>
      <c r="L128" s="34"/>
      <c r="M128" s="32"/>
      <c r="N128" s="34"/>
      <c r="O128" s="34"/>
      <c r="P128" s="34"/>
      <c r="Q128" s="34"/>
      <c r="R128" s="34"/>
      <c r="S128" s="34"/>
      <c r="T128" s="34"/>
      <c r="U128" s="34"/>
      <c r="V128" s="34"/>
      <c r="W128" s="34"/>
    </row>
    <row r="129" spans="2:23" x14ac:dyDescent="0.3">
      <c r="B129" s="33"/>
      <c r="C129" s="34"/>
      <c r="D129" s="39"/>
      <c r="E129" s="39"/>
      <c r="F129" s="39"/>
      <c r="G129" s="34"/>
      <c r="H129" s="32"/>
      <c r="I129" s="34"/>
      <c r="J129" s="34"/>
      <c r="K129" s="35"/>
      <c r="L129" s="34"/>
      <c r="M129" s="32"/>
      <c r="N129" s="34"/>
      <c r="O129" s="34"/>
      <c r="P129" s="34"/>
      <c r="Q129" s="34"/>
      <c r="R129" s="34"/>
      <c r="S129" s="34"/>
      <c r="T129" s="34"/>
      <c r="U129" s="34"/>
      <c r="V129" s="34"/>
      <c r="W129" s="34"/>
    </row>
    <row r="130" spans="2:23" x14ac:dyDescent="0.3">
      <c r="B130" s="33"/>
      <c r="C130" s="34"/>
      <c r="D130" s="39"/>
      <c r="E130" s="39"/>
      <c r="F130" s="39"/>
      <c r="G130" s="34"/>
      <c r="H130" s="32"/>
      <c r="I130" s="34"/>
      <c r="J130" s="34"/>
      <c r="K130" s="35"/>
      <c r="L130" s="34"/>
      <c r="M130" s="32"/>
      <c r="N130" s="34"/>
      <c r="O130" s="34"/>
      <c r="P130" s="34"/>
      <c r="Q130" s="34"/>
      <c r="R130" s="34"/>
      <c r="S130" s="34"/>
      <c r="T130" s="34"/>
      <c r="U130" s="34"/>
      <c r="V130" s="34"/>
      <c r="W130" s="34"/>
    </row>
    <row r="131" spans="2:23" x14ac:dyDescent="0.3">
      <c r="B131" s="33"/>
      <c r="C131" s="34"/>
      <c r="D131" s="39"/>
      <c r="E131" s="39"/>
      <c r="F131" s="39"/>
      <c r="G131" s="34"/>
      <c r="H131" s="32"/>
      <c r="I131" s="34"/>
      <c r="J131" s="34"/>
      <c r="K131" s="35"/>
      <c r="L131" s="34"/>
      <c r="M131" s="32"/>
      <c r="N131" s="34"/>
      <c r="O131" s="34"/>
      <c r="P131" s="34"/>
      <c r="Q131" s="34"/>
      <c r="R131" s="34"/>
      <c r="S131" s="34"/>
      <c r="T131" s="34"/>
      <c r="U131" s="34"/>
      <c r="V131" s="34"/>
      <c r="W131" s="34"/>
    </row>
    <row r="132" spans="2:23" x14ac:dyDescent="0.3">
      <c r="B132" s="33"/>
      <c r="C132" s="34"/>
      <c r="D132" s="39"/>
      <c r="E132" s="39"/>
      <c r="F132" s="39"/>
      <c r="G132" s="34"/>
      <c r="H132" s="32"/>
      <c r="I132" s="34"/>
      <c r="J132" s="34"/>
      <c r="K132" s="35"/>
      <c r="L132" s="34"/>
      <c r="M132" s="32"/>
      <c r="N132" s="34"/>
      <c r="O132" s="34"/>
      <c r="P132" s="34"/>
      <c r="Q132" s="34"/>
      <c r="R132" s="34"/>
      <c r="S132" s="34"/>
      <c r="T132" s="34"/>
      <c r="U132" s="34"/>
      <c r="V132" s="34"/>
      <c r="W132" s="34"/>
    </row>
    <row r="133" spans="2:23" x14ac:dyDescent="0.3">
      <c r="B133" s="33"/>
      <c r="C133" s="34"/>
      <c r="D133" s="39"/>
      <c r="E133" s="39"/>
      <c r="F133" s="39"/>
      <c r="G133" s="34"/>
      <c r="H133" s="32"/>
      <c r="I133" s="34"/>
      <c r="J133" s="34"/>
      <c r="K133" s="35"/>
      <c r="L133" s="34"/>
      <c r="M133" s="32"/>
      <c r="N133" s="34"/>
      <c r="O133" s="34"/>
      <c r="P133" s="34"/>
      <c r="Q133" s="34"/>
      <c r="R133" s="34"/>
      <c r="S133" s="34"/>
      <c r="T133" s="34"/>
      <c r="U133" s="34"/>
      <c r="V133" s="34"/>
      <c r="W133" s="34"/>
    </row>
    <row r="134" spans="2:23" x14ac:dyDescent="0.3">
      <c r="B134" s="33"/>
      <c r="C134" s="34"/>
      <c r="D134" s="39"/>
      <c r="E134" s="39"/>
      <c r="F134" s="39"/>
      <c r="G134" s="34"/>
      <c r="H134" s="32"/>
      <c r="I134" s="34"/>
      <c r="J134" s="34"/>
      <c r="K134" s="35"/>
      <c r="L134" s="34"/>
      <c r="M134" s="32"/>
      <c r="N134" s="34"/>
      <c r="O134" s="34"/>
      <c r="P134" s="34"/>
      <c r="Q134" s="34"/>
      <c r="R134" s="34"/>
      <c r="S134" s="34"/>
      <c r="T134" s="34"/>
      <c r="U134" s="34"/>
      <c r="V134" s="34"/>
      <c r="W134" s="34"/>
    </row>
    <row r="135" spans="2:23" x14ac:dyDescent="0.3">
      <c r="B135" s="33"/>
      <c r="C135" s="34"/>
      <c r="D135" s="39"/>
      <c r="E135" s="39"/>
      <c r="F135" s="39"/>
      <c r="G135" s="34"/>
      <c r="H135" s="32"/>
      <c r="I135" s="34"/>
      <c r="J135" s="34"/>
      <c r="K135" s="35"/>
      <c r="L135" s="34"/>
      <c r="M135" s="32"/>
      <c r="N135" s="34"/>
      <c r="O135" s="34"/>
      <c r="P135" s="34"/>
      <c r="Q135" s="34"/>
      <c r="R135" s="34"/>
      <c r="S135" s="34"/>
      <c r="T135" s="34"/>
      <c r="U135" s="34"/>
      <c r="V135" s="34"/>
      <c r="W135" s="34"/>
    </row>
    <row r="136" spans="2:23" x14ac:dyDescent="0.3">
      <c r="B136" s="33"/>
      <c r="C136" s="34"/>
      <c r="D136" s="39"/>
      <c r="E136" s="39"/>
      <c r="F136" s="39"/>
      <c r="G136" s="34"/>
      <c r="H136" s="32"/>
      <c r="I136" s="34"/>
      <c r="J136" s="34"/>
      <c r="K136" s="35"/>
      <c r="L136" s="34"/>
      <c r="M136" s="32"/>
      <c r="N136" s="34"/>
      <c r="O136" s="34"/>
      <c r="P136" s="34"/>
      <c r="Q136" s="34"/>
      <c r="R136" s="34"/>
      <c r="S136" s="34"/>
      <c r="T136" s="34"/>
      <c r="U136" s="34"/>
      <c r="V136" s="34"/>
      <c r="W136" s="34"/>
    </row>
    <row r="137" spans="2:23" x14ac:dyDescent="0.3">
      <c r="B137" s="33"/>
      <c r="C137" s="34"/>
      <c r="D137" s="39"/>
      <c r="E137" s="39"/>
      <c r="F137" s="39"/>
      <c r="G137" s="34"/>
      <c r="H137" s="32"/>
      <c r="I137" s="34"/>
      <c r="J137" s="34"/>
      <c r="K137" s="35"/>
      <c r="L137" s="34"/>
      <c r="M137" s="32"/>
      <c r="N137" s="34"/>
      <c r="O137" s="34"/>
      <c r="P137" s="34"/>
      <c r="Q137" s="34"/>
      <c r="R137" s="34"/>
      <c r="S137" s="34"/>
      <c r="T137" s="34"/>
      <c r="U137" s="34"/>
      <c r="V137" s="34"/>
      <c r="W137" s="34"/>
    </row>
    <row r="138" spans="2:23" x14ac:dyDescent="0.3">
      <c r="B138" s="33"/>
      <c r="C138" s="34"/>
      <c r="D138" s="39"/>
      <c r="E138" s="39"/>
      <c r="F138" s="39"/>
      <c r="G138" s="34"/>
      <c r="H138" s="32"/>
      <c r="I138" s="34"/>
      <c r="J138" s="34"/>
      <c r="K138" s="35"/>
      <c r="L138" s="34"/>
      <c r="M138" s="32"/>
      <c r="N138" s="34"/>
      <c r="O138" s="34"/>
      <c r="P138" s="34"/>
      <c r="Q138" s="34"/>
      <c r="R138" s="34"/>
      <c r="S138" s="34"/>
      <c r="T138" s="34"/>
      <c r="U138" s="34"/>
      <c r="V138" s="34"/>
      <c r="W138" s="34"/>
    </row>
    <row r="139" spans="2:23" x14ac:dyDescent="0.3">
      <c r="B139" s="33"/>
      <c r="C139" s="34"/>
      <c r="D139" s="39"/>
      <c r="E139" s="39"/>
      <c r="F139" s="39"/>
      <c r="G139" s="34"/>
      <c r="H139" s="32"/>
      <c r="I139" s="34"/>
      <c r="J139" s="34"/>
      <c r="K139" s="35"/>
      <c r="L139" s="34"/>
      <c r="M139" s="32"/>
      <c r="N139" s="34"/>
      <c r="O139" s="34"/>
      <c r="P139" s="34"/>
      <c r="Q139" s="34"/>
      <c r="R139" s="34"/>
      <c r="S139" s="34"/>
      <c r="T139" s="34"/>
      <c r="U139" s="34"/>
      <c r="V139" s="34"/>
      <c r="W139" s="34"/>
    </row>
    <row r="140" spans="2:23" x14ac:dyDescent="0.3">
      <c r="B140" s="33"/>
      <c r="C140" s="34"/>
      <c r="D140" s="39"/>
      <c r="E140" s="39"/>
      <c r="F140" s="39"/>
      <c r="G140" s="34"/>
      <c r="H140" s="32"/>
      <c r="I140" s="34"/>
      <c r="J140" s="34"/>
      <c r="K140" s="35"/>
      <c r="L140" s="34"/>
      <c r="M140" s="32"/>
      <c r="N140" s="34"/>
      <c r="O140" s="34"/>
      <c r="P140" s="34"/>
      <c r="Q140" s="34"/>
      <c r="R140" s="34"/>
      <c r="S140" s="34"/>
      <c r="T140" s="34"/>
      <c r="U140" s="34"/>
      <c r="V140" s="34"/>
      <c r="W140" s="34"/>
    </row>
    <row r="141" spans="2:23" x14ac:dyDescent="0.3">
      <c r="B141" s="33"/>
      <c r="C141" s="34"/>
      <c r="D141" s="39"/>
      <c r="E141" s="39"/>
      <c r="F141" s="39"/>
      <c r="G141" s="34"/>
      <c r="H141" s="32"/>
      <c r="I141" s="34"/>
      <c r="J141" s="34"/>
      <c r="K141" s="35"/>
      <c r="L141" s="34"/>
      <c r="M141" s="32"/>
      <c r="N141" s="34"/>
      <c r="O141" s="34"/>
      <c r="P141" s="34"/>
      <c r="Q141" s="34"/>
      <c r="R141" s="34"/>
      <c r="S141" s="34"/>
      <c r="T141" s="34"/>
      <c r="U141" s="34"/>
      <c r="V141" s="34"/>
      <c r="W141" s="34"/>
    </row>
    <row r="142" spans="2:23" x14ac:dyDescent="0.3">
      <c r="B142" s="33"/>
      <c r="C142" s="34"/>
      <c r="D142" s="39"/>
      <c r="E142" s="39"/>
      <c r="F142" s="39"/>
      <c r="G142" s="34"/>
      <c r="H142" s="32"/>
      <c r="I142" s="34"/>
      <c r="J142" s="34"/>
      <c r="K142" s="35"/>
      <c r="L142" s="34"/>
      <c r="M142" s="32"/>
      <c r="N142" s="34"/>
      <c r="O142" s="34"/>
      <c r="P142" s="34"/>
      <c r="Q142" s="34"/>
      <c r="R142" s="34"/>
      <c r="S142" s="34"/>
      <c r="T142" s="34"/>
      <c r="U142" s="34"/>
      <c r="V142" s="34"/>
      <c r="W142" s="34"/>
    </row>
    <row r="143" spans="2:23" x14ac:dyDescent="0.3">
      <c r="B143" s="33"/>
      <c r="C143" s="34"/>
      <c r="D143" s="39"/>
      <c r="E143" s="39"/>
      <c r="F143" s="39"/>
      <c r="G143" s="34"/>
      <c r="H143" s="32"/>
      <c r="I143" s="34"/>
      <c r="J143" s="34"/>
      <c r="K143" s="35"/>
      <c r="L143" s="34"/>
      <c r="M143" s="32"/>
      <c r="N143" s="34"/>
      <c r="O143" s="34"/>
      <c r="P143" s="34"/>
      <c r="Q143" s="34"/>
      <c r="R143" s="34"/>
      <c r="S143" s="34"/>
      <c r="T143" s="34"/>
      <c r="U143" s="34"/>
      <c r="V143" s="34"/>
      <c r="W143" s="34"/>
    </row>
    <row r="144" spans="2:23" x14ac:dyDescent="0.3">
      <c r="B144" s="33"/>
      <c r="C144" s="34"/>
      <c r="D144" s="39"/>
      <c r="E144" s="39"/>
      <c r="F144" s="39"/>
      <c r="G144" s="34"/>
      <c r="H144" s="32"/>
      <c r="I144" s="34"/>
      <c r="J144" s="34"/>
      <c r="K144" s="35"/>
      <c r="L144" s="34"/>
      <c r="M144" s="32"/>
      <c r="N144" s="34"/>
      <c r="O144" s="34"/>
      <c r="P144" s="34"/>
      <c r="Q144" s="34"/>
      <c r="R144" s="34"/>
      <c r="S144" s="34"/>
      <c r="T144" s="34"/>
      <c r="U144" s="34"/>
      <c r="V144" s="34"/>
      <c r="W144" s="34"/>
    </row>
    <row r="145" spans="2:23" x14ac:dyDescent="0.3">
      <c r="B145" s="33"/>
      <c r="C145" s="34"/>
      <c r="D145" s="39"/>
      <c r="E145" s="39"/>
      <c r="F145" s="39"/>
      <c r="G145" s="34"/>
      <c r="H145" s="32"/>
      <c r="I145" s="34"/>
      <c r="J145" s="34"/>
      <c r="K145" s="35"/>
      <c r="L145" s="34"/>
      <c r="M145" s="32"/>
      <c r="N145" s="34"/>
      <c r="O145" s="34"/>
      <c r="P145" s="34"/>
      <c r="Q145" s="34"/>
      <c r="R145" s="34"/>
      <c r="S145" s="34"/>
      <c r="T145" s="34"/>
      <c r="U145" s="34"/>
      <c r="V145" s="34"/>
      <c r="W145" s="34"/>
    </row>
    <row r="146" spans="2:23" x14ac:dyDescent="0.3">
      <c r="B146" s="33"/>
      <c r="C146" s="34"/>
      <c r="D146" s="39"/>
      <c r="E146" s="39"/>
      <c r="F146" s="39"/>
      <c r="G146" s="34"/>
      <c r="H146" s="32"/>
      <c r="I146" s="34"/>
      <c r="J146" s="34"/>
      <c r="K146" s="35"/>
      <c r="L146" s="34"/>
      <c r="M146" s="32"/>
      <c r="N146" s="34"/>
      <c r="O146" s="34"/>
      <c r="P146" s="34"/>
      <c r="Q146" s="34"/>
      <c r="R146" s="34"/>
      <c r="S146" s="34"/>
      <c r="T146" s="34"/>
      <c r="U146" s="34"/>
      <c r="V146" s="34"/>
      <c r="W146" s="34"/>
    </row>
    <row r="147" spans="2:23" x14ac:dyDescent="0.3">
      <c r="B147" s="33"/>
      <c r="C147" s="34"/>
      <c r="D147" s="39"/>
      <c r="E147" s="39"/>
      <c r="F147" s="39"/>
      <c r="G147" s="34"/>
      <c r="H147" s="32"/>
      <c r="I147" s="34"/>
      <c r="J147" s="34"/>
      <c r="K147" s="35"/>
      <c r="L147" s="34"/>
      <c r="M147" s="32"/>
      <c r="N147" s="34"/>
      <c r="O147" s="34"/>
      <c r="P147" s="34"/>
      <c r="Q147" s="34"/>
      <c r="R147" s="34"/>
      <c r="S147" s="34"/>
      <c r="T147" s="34"/>
      <c r="U147" s="34"/>
      <c r="V147" s="34"/>
      <c r="W147" s="34"/>
    </row>
    <row r="148" spans="2:23" x14ac:dyDescent="0.3">
      <c r="B148" s="33"/>
      <c r="C148" s="34"/>
      <c r="D148" s="39"/>
      <c r="E148" s="39"/>
      <c r="F148" s="39"/>
      <c r="G148" s="34"/>
      <c r="H148" s="32"/>
      <c r="I148" s="34"/>
      <c r="J148" s="34"/>
      <c r="K148" s="35"/>
      <c r="L148" s="34"/>
      <c r="M148" s="32"/>
      <c r="N148" s="34"/>
      <c r="O148" s="34"/>
      <c r="P148" s="34"/>
      <c r="Q148" s="34"/>
      <c r="R148" s="34"/>
      <c r="S148" s="34"/>
      <c r="T148" s="34"/>
      <c r="U148" s="34"/>
      <c r="V148" s="34"/>
      <c r="W148" s="34"/>
    </row>
    <row r="149" spans="2:23" x14ac:dyDescent="0.3">
      <c r="B149" s="33"/>
      <c r="C149" s="34"/>
      <c r="D149" s="39"/>
      <c r="E149" s="39"/>
      <c r="F149" s="39"/>
      <c r="G149" s="34"/>
      <c r="H149" s="32"/>
      <c r="I149" s="34"/>
      <c r="J149" s="34"/>
      <c r="K149" s="35"/>
      <c r="L149" s="34"/>
      <c r="M149" s="32"/>
      <c r="N149" s="34"/>
      <c r="O149" s="34"/>
      <c r="P149" s="34"/>
      <c r="Q149" s="34"/>
      <c r="R149" s="34"/>
      <c r="S149" s="34"/>
      <c r="T149" s="34"/>
      <c r="U149" s="34"/>
      <c r="V149" s="34"/>
      <c r="W149" s="34"/>
    </row>
    <row r="150" spans="2:23" x14ac:dyDescent="0.3">
      <c r="B150" s="33"/>
      <c r="C150" s="34"/>
      <c r="D150" s="39"/>
      <c r="E150" s="39"/>
      <c r="F150" s="39"/>
      <c r="G150" s="34"/>
      <c r="H150" s="32"/>
      <c r="I150" s="34"/>
      <c r="J150" s="34"/>
      <c r="K150" s="35"/>
      <c r="L150" s="34"/>
      <c r="M150" s="32"/>
      <c r="N150" s="34"/>
      <c r="O150" s="34"/>
      <c r="P150" s="34"/>
      <c r="Q150" s="34"/>
      <c r="R150" s="34"/>
      <c r="S150" s="34"/>
      <c r="T150" s="34"/>
      <c r="U150" s="34"/>
      <c r="V150" s="34"/>
      <c r="W150" s="34"/>
    </row>
    <row r="151" spans="2:23" x14ac:dyDescent="0.3">
      <c r="B151" s="33"/>
      <c r="C151" s="34"/>
      <c r="D151" s="39"/>
      <c r="E151" s="39"/>
      <c r="F151" s="39"/>
      <c r="G151" s="34"/>
      <c r="H151" s="32"/>
      <c r="I151" s="34"/>
      <c r="J151" s="34"/>
      <c r="K151" s="35"/>
      <c r="L151" s="34"/>
      <c r="M151" s="32"/>
      <c r="N151" s="34"/>
      <c r="O151" s="34"/>
      <c r="P151" s="34"/>
      <c r="Q151" s="34"/>
      <c r="R151" s="34"/>
      <c r="S151" s="34"/>
      <c r="T151" s="34"/>
      <c r="U151" s="34"/>
      <c r="V151" s="34"/>
      <c r="W151" s="34"/>
    </row>
    <row r="152" spans="2:23" x14ac:dyDescent="0.3">
      <c r="B152" s="33"/>
      <c r="C152" s="34"/>
      <c r="D152" s="39"/>
      <c r="E152" s="39"/>
      <c r="F152" s="39"/>
      <c r="G152" s="34"/>
      <c r="H152" s="32"/>
      <c r="I152" s="34"/>
      <c r="J152" s="34"/>
      <c r="K152" s="35"/>
      <c r="L152" s="34"/>
      <c r="M152" s="32"/>
      <c r="N152" s="34"/>
      <c r="O152" s="34"/>
      <c r="P152" s="34"/>
      <c r="Q152" s="34"/>
      <c r="R152" s="34"/>
      <c r="S152" s="34"/>
      <c r="T152" s="34"/>
      <c r="U152" s="34"/>
      <c r="V152" s="34"/>
      <c r="W152" s="34"/>
    </row>
    <row r="153" spans="2:23" x14ac:dyDescent="0.3">
      <c r="B153" s="33"/>
      <c r="C153" s="34"/>
      <c r="D153" s="39"/>
      <c r="E153" s="39"/>
      <c r="F153" s="39"/>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4"/>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4"/>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4"/>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4"/>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4"/>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4"/>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4"/>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4"/>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4"/>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4"/>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4"/>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4"/>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4"/>
      <c r="I200" s="34"/>
      <c r="J200" s="34"/>
      <c r="K200" s="35"/>
      <c r="L200" s="34"/>
      <c r="M200" s="32"/>
      <c r="N200" s="34"/>
      <c r="O200" s="34"/>
      <c r="P200" s="34"/>
      <c r="Q200" s="34"/>
      <c r="R200" s="34"/>
      <c r="S200" s="34"/>
      <c r="T200" s="34"/>
      <c r="U200" s="34"/>
      <c r="V200" s="34"/>
      <c r="W200" s="34"/>
    </row>
    <row r="201" spans="2:23" x14ac:dyDescent="0.3">
      <c r="B201" s="33"/>
      <c r="C201" s="34"/>
      <c r="D201" s="34"/>
      <c r="E201" s="34"/>
      <c r="F201" s="34"/>
      <c r="G201" s="34"/>
      <c r="H201" s="34"/>
      <c r="I201" s="34"/>
      <c r="J201" s="34"/>
      <c r="K201" s="35"/>
      <c r="L201" s="34"/>
      <c r="M201" s="32"/>
      <c r="N201" s="34"/>
      <c r="O201" s="34"/>
      <c r="P201" s="34"/>
      <c r="Q201" s="34"/>
      <c r="R201" s="34"/>
      <c r="S201" s="34"/>
      <c r="T201" s="34"/>
      <c r="U201" s="34"/>
      <c r="V201" s="34"/>
      <c r="W201" s="34"/>
    </row>
    <row r="202" spans="2:23" x14ac:dyDescent="0.3">
      <c r="B202" s="33"/>
      <c r="C202" s="34"/>
      <c r="D202" s="34"/>
      <c r="E202" s="34"/>
      <c r="F202" s="34"/>
      <c r="G202" s="34"/>
      <c r="H202" s="34"/>
      <c r="I202" s="34"/>
      <c r="J202" s="34"/>
      <c r="K202" s="35"/>
      <c r="L202" s="34"/>
      <c r="M202" s="32"/>
      <c r="N202" s="34"/>
      <c r="O202" s="34"/>
      <c r="P202" s="34"/>
      <c r="Q202" s="34"/>
      <c r="R202" s="34"/>
      <c r="S202" s="34"/>
      <c r="T202" s="34"/>
      <c r="U202" s="34"/>
      <c r="V202" s="34"/>
      <c r="W202" s="34"/>
    </row>
    <row r="203" spans="2:23" x14ac:dyDescent="0.3">
      <c r="B203" s="33"/>
      <c r="C203" s="34"/>
      <c r="D203" s="34"/>
      <c r="E203" s="34"/>
      <c r="F203" s="34"/>
      <c r="G203" s="34"/>
      <c r="H203" s="34"/>
      <c r="I203" s="34"/>
      <c r="J203" s="34"/>
      <c r="K203" s="35"/>
      <c r="L203" s="34"/>
      <c r="M203" s="32"/>
      <c r="N203" s="34"/>
      <c r="O203" s="34"/>
      <c r="P203" s="34"/>
      <c r="Q203" s="34"/>
      <c r="R203" s="34"/>
      <c r="S203" s="34"/>
      <c r="T203" s="34"/>
      <c r="U203" s="34"/>
      <c r="V203" s="34"/>
      <c r="W203" s="34"/>
    </row>
    <row r="204" spans="2:23" x14ac:dyDescent="0.3">
      <c r="B204" s="33"/>
      <c r="C204" s="34"/>
      <c r="D204" s="34"/>
      <c r="E204" s="34"/>
      <c r="F204" s="34"/>
      <c r="G204" s="34"/>
      <c r="H204" s="34"/>
      <c r="I204" s="34"/>
      <c r="J204" s="34"/>
      <c r="K204" s="35"/>
      <c r="L204" s="34"/>
      <c r="M204" s="32"/>
      <c r="N204" s="34"/>
      <c r="O204" s="34"/>
      <c r="P204" s="34"/>
      <c r="Q204" s="34"/>
      <c r="R204" s="34"/>
      <c r="S204" s="34"/>
      <c r="T204" s="34"/>
      <c r="U204" s="34"/>
      <c r="V204" s="34"/>
      <c r="W204" s="34"/>
    </row>
    <row r="205" spans="2:23" x14ac:dyDescent="0.3">
      <c r="B205" s="33"/>
      <c r="C205" s="34"/>
      <c r="D205" s="34"/>
      <c r="E205" s="34"/>
      <c r="F205" s="34"/>
      <c r="G205" s="34"/>
      <c r="H205" s="34"/>
      <c r="I205" s="34"/>
      <c r="J205" s="34"/>
      <c r="K205" s="35"/>
      <c r="L205" s="34"/>
      <c r="M205" s="32"/>
      <c r="N205" s="34"/>
      <c r="O205" s="34"/>
      <c r="P205" s="34"/>
      <c r="Q205" s="34"/>
      <c r="R205" s="34"/>
      <c r="S205" s="34"/>
      <c r="T205" s="34"/>
      <c r="U205" s="34"/>
      <c r="V205" s="34"/>
      <c r="W205" s="34"/>
    </row>
    <row r="206" spans="2:23" x14ac:dyDescent="0.3">
      <c r="B206" s="33"/>
      <c r="C206" s="34"/>
      <c r="D206" s="34"/>
      <c r="E206" s="34"/>
      <c r="F206" s="34"/>
      <c r="G206" s="34"/>
      <c r="H206" s="34"/>
      <c r="I206" s="34"/>
      <c r="J206" s="34"/>
      <c r="K206" s="35"/>
      <c r="L206" s="34"/>
      <c r="M206" s="32"/>
      <c r="N206" s="34"/>
      <c r="O206" s="34"/>
      <c r="P206" s="34"/>
      <c r="Q206" s="34"/>
      <c r="R206" s="34"/>
      <c r="S206" s="34"/>
      <c r="T206" s="34"/>
      <c r="U206" s="34"/>
      <c r="V206" s="34"/>
      <c r="W206" s="34"/>
    </row>
    <row r="207" spans="2:23" x14ac:dyDescent="0.3">
      <c r="B207" s="33"/>
      <c r="C207" s="34"/>
      <c r="D207" s="34"/>
      <c r="E207" s="34"/>
      <c r="F207" s="34"/>
      <c r="G207" s="34"/>
      <c r="H207" s="34"/>
      <c r="I207" s="34"/>
      <c r="J207" s="34"/>
      <c r="K207" s="35"/>
      <c r="L207" s="34"/>
      <c r="M207" s="32"/>
      <c r="N207" s="34"/>
      <c r="O207" s="34"/>
      <c r="P207" s="34"/>
      <c r="Q207" s="34"/>
      <c r="R207" s="34"/>
      <c r="S207" s="34"/>
      <c r="T207" s="34"/>
      <c r="U207" s="34"/>
      <c r="V207" s="34"/>
      <c r="W207" s="34"/>
    </row>
    <row r="208" spans="2:23" x14ac:dyDescent="0.3">
      <c r="B208" s="33"/>
      <c r="C208" s="34"/>
      <c r="D208" s="34"/>
      <c r="E208" s="34"/>
      <c r="F208" s="34"/>
      <c r="G208" s="34"/>
      <c r="H208" s="34"/>
      <c r="I208" s="34"/>
      <c r="J208" s="34"/>
      <c r="K208" s="35"/>
      <c r="L208" s="34"/>
      <c r="M208" s="32"/>
      <c r="N208" s="34"/>
      <c r="O208" s="34"/>
      <c r="P208" s="34"/>
      <c r="Q208" s="34"/>
      <c r="R208" s="34"/>
      <c r="S208" s="34"/>
      <c r="T208" s="34"/>
      <c r="U208" s="34"/>
      <c r="V208" s="34"/>
      <c r="W208" s="34"/>
    </row>
    <row r="209" spans="2:23" x14ac:dyDescent="0.3">
      <c r="B209" s="33"/>
      <c r="C209" s="34"/>
      <c r="D209" s="34"/>
      <c r="E209" s="34"/>
      <c r="F209" s="34"/>
      <c r="G209" s="34"/>
      <c r="H209" s="34"/>
      <c r="I209" s="34"/>
      <c r="J209" s="34"/>
      <c r="K209" s="35"/>
      <c r="L209" s="34"/>
      <c r="M209" s="32"/>
      <c r="N209" s="34"/>
      <c r="O209" s="34"/>
      <c r="P209" s="34"/>
      <c r="Q209" s="34"/>
      <c r="R209" s="34"/>
      <c r="S209" s="34"/>
      <c r="T209" s="34"/>
      <c r="U209" s="34"/>
      <c r="V209" s="34"/>
      <c r="W209" s="34"/>
    </row>
    <row r="210" spans="2:23" x14ac:dyDescent="0.3">
      <c r="B210" s="33"/>
      <c r="C210" s="34"/>
      <c r="D210" s="34"/>
      <c r="E210" s="34"/>
      <c r="F210" s="34"/>
      <c r="G210" s="34"/>
      <c r="H210" s="34"/>
      <c r="I210" s="34"/>
      <c r="J210" s="34"/>
      <c r="K210" s="35"/>
      <c r="L210" s="34"/>
      <c r="M210" s="32"/>
      <c r="N210" s="34"/>
      <c r="O210" s="34"/>
      <c r="P210" s="34"/>
      <c r="Q210" s="34"/>
      <c r="R210" s="34"/>
      <c r="S210" s="34"/>
      <c r="T210" s="34"/>
      <c r="U210" s="34"/>
      <c r="V210" s="34"/>
      <c r="W210" s="34"/>
    </row>
    <row r="211" spans="2:23" x14ac:dyDescent="0.3">
      <c r="B211" s="33"/>
      <c r="C211" s="34"/>
      <c r="D211" s="34"/>
      <c r="E211" s="34"/>
      <c r="F211" s="34"/>
      <c r="G211" s="34"/>
      <c r="H211" s="34"/>
      <c r="I211" s="34"/>
      <c r="J211" s="34"/>
      <c r="K211" s="35"/>
      <c r="L211" s="34"/>
      <c r="M211" s="32"/>
      <c r="N211" s="34"/>
      <c r="O211" s="34"/>
      <c r="P211" s="34"/>
      <c r="Q211" s="34"/>
      <c r="R211" s="34"/>
      <c r="S211" s="34"/>
      <c r="T211" s="34"/>
      <c r="U211" s="34"/>
      <c r="V211" s="34"/>
      <c r="W211" s="34"/>
    </row>
    <row r="212" spans="2:23" x14ac:dyDescent="0.3">
      <c r="B212" s="33"/>
      <c r="C212" s="34"/>
      <c r="D212" s="34"/>
      <c r="E212" s="34"/>
      <c r="F212" s="34"/>
      <c r="G212" s="34"/>
      <c r="H212" s="34"/>
      <c r="I212" s="34"/>
      <c r="J212" s="34"/>
      <c r="K212" s="35"/>
      <c r="L212" s="34"/>
      <c r="M212" s="32"/>
      <c r="N212" s="34"/>
      <c r="O212" s="34"/>
      <c r="P212" s="34"/>
      <c r="Q212" s="34"/>
      <c r="R212" s="34"/>
      <c r="S212" s="34"/>
      <c r="T212" s="34"/>
      <c r="U212" s="34"/>
      <c r="V212" s="34"/>
      <c r="W212" s="34"/>
    </row>
    <row r="213" spans="2:23" x14ac:dyDescent="0.3">
      <c r="B213" s="33"/>
      <c r="C213" s="34"/>
      <c r="D213" s="34"/>
      <c r="E213" s="34"/>
      <c r="F213" s="34"/>
      <c r="G213" s="34"/>
      <c r="H213" s="34"/>
      <c r="I213" s="34"/>
      <c r="J213" s="34"/>
      <c r="K213" s="35"/>
      <c r="L213" s="34"/>
      <c r="M213" s="32"/>
      <c r="N213" s="34"/>
      <c r="O213" s="34"/>
      <c r="P213" s="34"/>
      <c r="Q213" s="34"/>
      <c r="R213" s="34"/>
      <c r="S213" s="34"/>
      <c r="T213" s="34"/>
      <c r="U213" s="34"/>
      <c r="V213" s="34"/>
      <c r="W213" s="34"/>
    </row>
    <row r="214" spans="2:23" x14ac:dyDescent="0.3">
      <c r="B214" s="33"/>
      <c r="C214" s="34"/>
      <c r="D214" s="34"/>
      <c r="E214" s="34"/>
      <c r="F214" s="34"/>
      <c r="G214" s="34"/>
      <c r="H214" s="34"/>
      <c r="I214" s="34"/>
      <c r="J214" s="34"/>
      <c r="K214" s="35"/>
      <c r="L214" s="34"/>
      <c r="M214" s="32"/>
      <c r="N214" s="34"/>
      <c r="O214" s="34"/>
      <c r="P214" s="34"/>
      <c r="Q214" s="34"/>
      <c r="R214" s="34"/>
      <c r="S214" s="34"/>
      <c r="T214" s="34"/>
      <c r="U214" s="34"/>
      <c r="V214" s="34"/>
      <c r="W214" s="34"/>
    </row>
    <row r="215" spans="2:23" x14ac:dyDescent="0.3">
      <c r="B215" s="33"/>
      <c r="C215" s="34"/>
      <c r="D215" s="34"/>
      <c r="E215" s="34"/>
      <c r="F215" s="34"/>
      <c r="G215" s="34"/>
      <c r="H215" s="34"/>
      <c r="I215" s="34"/>
      <c r="J215" s="34"/>
      <c r="K215" s="35"/>
      <c r="L215" s="34"/>
      <c r="M215" s="32"/>
      <c r="N215" s="34"/>
      <c r="O215" s="34"/>
      <c r="P215" s="34"/>
      <c r="Q215" s="34"/>
      <c r="R215" s="34"/>
      <c r="S215" s="34"/>
      <c r="T215" s="34"/>
      <c r="U215" s="34"/>
      <c r="V215" s="34"/>
      <c r="W215" s="34"/>
    </row>
    <row r="216" spans="2:23" x14ac:dyDescent="0.3">
      <c r="B216" s="33"/>
      <c r="C216" s="34"/>
      <c r="D216" s="34"/>
      <c r="E216" s="34"/>
      <c r="F216" s="34"/>
      <c r="G216" s="34"/>
      <c r="H216" s="34"/>
      <c r="I216" s="34"/>
      <c r="J216" s="34"/>
      <c r="K216" s="35"/>
      <c r="L216" s="34"/>
      <c r="M216" s="32"/>
      <c r="N216" s="34"/>
      <c r="O216" s="34"/>
      <c r="P216" s="34"/>
      <c r="Q216" s="34"/>
      <c r="R216" s="34"/>
      <c r="S216" s="34"/>
      <c r="T216" s="34"/>
      <c r="U216" s="34"/>
      <c r="V216" s="34"/>
      <c r="W216" s="34"/>
    </row>
    <row r="217" spans="2:23" x14ac:dyDescent="0.3">
      <c r="B217" s="33"/>
      <c r="C217" s="34"/>
      <c r="D217" s="34"/>
      <c r="E217" s="34"/>
      <c r="F217" s="34"/>
      <c r="G217" s="34"/>
      <c r="H217" s="34"/>
      <c r="I217" s="34"/>
      <c r="J217" s="34"/>
      <c r="K217" s="35"/>
      <c r="L217" s="34"/>
      <c r="M217" s="32"/>
      <c r="N217" s="34"/>
      <c r="O217" s="34"/>
      <c r="P217" s="34"/>
      <c r="Q217" s="34"/>
      <c r="R217" s="34"/>
      <c r="S217" s="34"/>
      <c r="T217" s="34"/>
      <c r="U217" s="34"/>
      <c r="V217" s="34"/>
      <c r="W217" s="34"/>
    </row>
    <row r="218" spans="2:23" x14ac:dyDescent="0.3">
      <c r="B218" s="33"/>
      <c r="C218" s="34"/>
      <c r="D218" s="34"/>
      <c r="E218" s="34"/>
      <c r="F218" s="34"/>
      <c r="G218" s="34"/>
      <c r="H218" s="34"/>
      <c r="I218" s="34"/>
      <c r="J218" s="34"/>
      <c r="K218" s="35"/>
      <c r="L218" s="34"/>
      <c r="M218" s="32"/>
      <c r="N218" s="34"/>
      <c r="O218" s="34"/>
      <c r="P218" s="34"/>
      <c r="Q218" s="34"/>
      <c r="R218" s="34"/>
      <c r="S218" s="34"/>
      <c r="T218" s="34"/>
      <c r="U218" s="34"/>
      <c r="V218" s="34"/>
      <c r="W218" s="34"/>
    </row>
    <row r="219" spans="2:23" x14ac:dyDescent="0.3">
      <c r="B219" s="33"/>
      <c r="C219" s="34"/>
      <c r="D219" s="34"/>
      <c r="E219" s="34"/>
      <c r="F219" s="34"/>
      <c r="G219" s="34"/>
      <c r="H219" s="34"/>
      <c r="I219" s="34"/>
      <c r="J219" s="34"/>
      <c r="K219" s="35"/>
      <c r="L219" s="34"/>
      <c r="M219" s="32"/>
      <c r="N219" s="34"/>
      <c r="O219" s="34"/>
      <c r="P219" s="34"/>
      <c r="Q219" s="34"/>
      <c r="R219" s="34"/>
      <c r="S219" s="34"/>
      <c r="T219" s="34"/>
      <c r="U219" s="34"/>
      <c r="V219" s="34"/>
      <c r="W219" s="34"/>
    </row>
    <row r="220" spans="2:23" x14ac:dyDescent="0.3">
      <c r="B220" s="33"/>
      <c r="C220" s="34"/>
      <c r="D220" s="34"/>
      <c r="E220" s="34"/>
      <c r="F220" s="34"/>
      <c r="G220" s="34"/>
      <c r="H220" s="34"/>
      <c r="I220" s="34"/>
      <c r="J220" s="34"/>
      <c r="K220" s="35"/>
      <c r="L220" s="34"/>
      <c r="M220" s="32"/>
      <c r="N220" s="34"/>
      <c r="O220" s="34"/>
      <c r="P220" s="34"/>
      <c r="Q220" s="34"/>
      <c r="R220" s="34"/>
      <c r="S220" s="34"/>
      <c r="T220" s="34"/>
      <c r="U220" s="34"/>
      <c r="V220" s="34"/>
      <c r="W220" s="34"/>
    </row>
    <row r="221" spans="2:23" x14ac:dyDescent="0.3">
      <c r="B221" s="33"/>
      <c r="C221" s="34"/>
      <c r="D221" s="34"/>
      <c r="E221" s="34"/>
      <c r="F221" s="34"/>
      <c r="G221" s="34"/>
      <c r="H221" s="34"/>
      <c r="I221" s="34"/>
      <c r="J221" s="34"/>
      <c r="K221" s="35"/>
      <c r="L221" s="34"/>
      <c r="M221" s="32"/>
      <c r="N221" s="34"/>
      <c r="O221" s="34"/>
      <c r="P221" s="34"/>
      <c r="Q221" s="34"/>
      <c r="R221" s="34"/>
      <c r="S221" s="34"/>
      <c r="T221" s="34"/>
      <c r="U221" s="34"/>
      <c r="V221" s="34"/>
      <c r="W221" s="34"/>
    </row>
    <row r="222" spans="2:23" x14ac:dyDescent="0.3">
      <c r="B222" s="33"/>
      <c r="C222" s="34"/>
      <c r="D222" s="34"/>
      <c r="E222" s="34"/>
      <c r="F222" s="34"/>
      <c r="G222" s="34"/>
      <c r="H222" s="34"/>
      <c r="I222" s="34"/>
      <c r="J222" s="34"/>
      <c r="K222" s="35"/>
      <c r="L222" s="34"/>
      <c r="M222" s="32"/>
      <c r="N222" s="34"/>
      <c r="O222" s="34"/>
      <c r="P222" s="34"/>
      <c r="Q222" s="34"/>
      <c r="R222" s="34"/>
      <c r="S222" s="34"/>
      <c r="T222" s="34"/>
      <c r="U222" s="34"/>
      <c r="V222" s="34"/>
      <c r="W222" s="34"/>
    </row>
    <row r="223" spans="2:23" x14ac:dyDescent="0.3">
      <c r="B223" s="33"/>
      <c r="C223" s="34"/>
      <c r="D223" s="34"/>
      <c r="E223" s="34"/>
      <c r="F223" s="34"/>
      <c r="G223" s="34"/>
      <c r="H223" s="34"/>
      <c r="I223" s="34"/>
      <c r="J223" s="34"/>
      <c r="K223" s="35"/>
      <c r="L223" s="34"/>
      <c r="M223" s="32"/>
      <c r="N223" s="34"/>
      <c r="O223" s="34"/>
      <c r="P223" s="34"/>
      <c r="Q223" s="34"/>
      <c r="R223" s="34"/>
      <c r="S223" s="34"/>
      <c r="T223" s="34"/>
      <c r="U223" s="34"/>
      <c r="V223" s="34"/>
      <c r="W223" s="34"/>
    </row>
    <row r="224" spans="2:23" x14ac:dyDescent="0.3">
      <c r="B224" s="33"/>
      <c r="C224" s="34"/>
      <c r="D224" s="34"/>
      <c r="E224" s="34"/>
      <c r="F224" s="34"/>
      <c r="G224" s="34"/>
      <c r="H224" s="34"/>
      <c r="I224" s="34"/>
      <c r="J224" s="34"/>
      <c r="K224" s="35"/>
      <c r="L224" s="34"/>
      <c r="M224" s="32"/>
      <c r="N224" s="34"/>
      <c r="O224" s="34"/>
      <c r="P224" s="34"/>
      <c r="Q224" s="34"/>
      <c r="R224" s="34"/>
      <c r="S224" s="34"/>
      <c r="T224" s="34"/>
      <c r="U224" s="34"/>
      <c r="V224" s="34"/>
      <c r="W224" s="34"/>
    </row>
    <row r="225" spans="2:23" x14ac:dyDescent="0.3">
      <c r="B225" s="33"/>
      <c r="C225" s="34"/>
      <c r="D225" s="34"/>
      <c r="E225" s="34"/>
      <c r="F225" s="34"/>
      <c r="G225" s="34"/>
      <c r="H225" s="34"/>
      <c r="I225" s="34"/>
      <c r="J225" s="34"/>
      <c r="K225" s="35"/>
      <c r="L225" s="34"/>
      <c r="M225" s="32"/>
      <c r="N225" s="34"/>
      <c r="O225" s="34"/>
      <c r="P225" s="34"/>
      <c r="Q225" s="34"/>
      <c r="R225" s="34"/>
      <c r="S225" s="34"/>
      <c r="T225" s="34"/>
      <c r="U225" s="34"/>
      <c r="V225" s="34"/>
      <c r="W225" s="34"/>
    </row>
    <row r="226" spans="2:23" x14ac:dyDescent="0.3">
      <c r="B226" s="33"/>
      <c r="C226" s="34"/>
      <c r="D226" s="34"/>
      <c r="E226" s="34"/>
      <c r="F226" s="34"/>
      <c r="G226" s="34"/>
      <c r="H226" s="34"/>
      <c r="I226" s="34"/>
      <c r="J226" s="34"/>
      <c r="K226" s="35"/>
      <c r="L226" s="34"/>
      <c r="M226" s="32"/>
      <c r="N226" s="34"/>
      <c r="O226" s="34"/>
      <c r="P226" s="34"/>
      <c r="Q226" s="34"/>
      <c r="R226" s="34"/>
      <c r="S226" s="34"/>
      <c r="T226" s="34"/>
      <c r="U226" s="34"/>
      <c r="V226" s="34"/>
      <c r="W226" s="34"/>
    </row>
    <row r="227" spans="2:23" x14ac:dyDescent="0.3">
      <c r="B227" s="33"/>
      <c r="C227" s="34"/>
      <c r="D227" s="34"/>
      <c r="E227" s="34"/>
      <c r="F227" s="34"/>
      <c r="G227" s="34"/>
      <c r="H227" s="34"/>
      <c r="I227" s="34"/>
      <c r="J227" s="34"/>
      <c r="K227" s="35"/>
      <c r="L227" s="34"/>
      <c r="M227" s="32"/>
      <c r="N227" s="34"/>
      <c r="O227" s="34"/>
      <c r="P227" s="34"/>
      <c r="Q227" s="34"/>
      <c r="R227" s="34"/>
      <c r="S227" s="34"/>
      <c r="T227" s="34"/>
      <c r="U227" s="34"/>
      <c r="V227" s="34"/>
      <c r="W227" s="34"/>
    </row>
    <row r="228" spans="2:23" x14ac:dyDescent="0.3">
      <c r="B228" s="33"/>
      <c r="C228" s="34"/>
      <c r="D228" s="34"/>
      <c r="E228" s="34"/>
      <c r="F228" s="34"/>
      <c r="G228" s="34"/>
      <c r="H228" s="34"/>
      <c r="I228" s="34"/>
      <c r="J228" s="34"/>
      <c r="K228" s="35"/>
      <c r="L228" s="34"/>
      <c r="M228" s="32"/>
      <c r="N228" s="34"/>
      <c r="O228" s="34"/>
      <c r="P228" s="34"/>
      <c r="Q228" s="34"/>
      <c r="R228" s="34"/>
      <c r="S228" s="34"/>
      <c r="T228" s="34"/>
      <c r="U228" s="34"/>
      <c r="V228" s="34"/>
      <c r="W228" s="34"/>
    </row>
    <row r="229" spans="2:23" x14ac:dyDescent="0.3">
      <c r="B229" s="33"/>
      <c r="C229" s="34"/>
      <c r="D229" s="34"/>
      <c r="E229" s="34"/>
      <c r="F229" s="34"/>
      <c r="G229" s="34"/>
      <c r="H229" s="34"/>
      <c r="I229" s="34"/>
      <c r="J229" s="34"/>
      <c r="K229" s="35"/>
      <c r="L229" s="34"/>
      <c r="M229" s="32"/>
      <c r="N229" s="34"/>
      <c r="O229" s="34"/>
      <c r="P229" s="34"/>
      <c r="Q229" s="34"/>
      <c r="R229" s="34"/>
      <c r="S229" s="34"/>
      <c r="T229" s="34"/>
      <c r="U229" s="34"/>
      <c r="V229" s="34"/>
      <c r="W229" s="34"/>
    </row>
    <row r="230" spans="2:23" x14ac:dyDescent="0.3">
      <c r="B230" s="33"/>
      <c r="C230" s="34"/>
      <c r="D230" s="34"/>
      <c r="E230" s="34"/>
      <c r="F230" s="34"/>
      <c r="G230" s="34"/>
      <c r="H230" s="34"/>
      <c r="I230" s="34"/>
      <c r="J230" s="34"/>
      <c r="K230" s="35"/>
      <c r="L230" s="34"/>
      <c r="M230" s="32"/>
      <c r="N230" s="34"/>
      <c r="O230" s="34"/>
      <c r="P230" s="34"/>
      <c r="Q230" s="34"/>
      <c r="R230" s="34"/>
      <c r="S230" s="34"/>
      <c r="T230" s="34"/>
      <c r="U230" s="34"/>
      <c r="V230" s="34"/>
      <c r="W230" s="34"/>
    </row>
    <row r="231" spans="2:23" x14ac:dyDescent="0.3">
      <c r="B231" s="33"/>
      <c r="C231" s="34"/>
      <c r="D231" s="34"/>
      <c r="E231" s="34"/>
      <c r="F231" s="34"/>
      <c r="G231" s="34"/>
      <c r="H231" s="34"/>
      <c r="I231" s="34"/>
      <c r="J231" s="34"/>
      <c r="K231" s="35"/>
      <c r="L231" s="34"/>
      <c r="M231" s="32"/>
      <c r="N231" s="34"/>
      <c r="O231" s="34"/>
      <c r="P231" s="34"/>
      <c r="Q231" s="34"/>
      <c r="R231" s="34"/>
      <c r="S231" s="34"/>
      <c r="T231" s="34"/>
      <c r="U231" s="34"/>
      <c r="V231" s="34"/>
      <c r="W231" s="34"/>
    </row>
    <row r="232" spans="2:23" x14ac:dyDescent="0.3">
      <c r="B232" s="33"/>
      <c r="C232" s="34"/>
      <c r="D232" s="34"/>
      <c r="E232" s="34"/>
      <c r="F232" s="34"/>
      <c r="G232" s="34"/>
      <c r="H232" s="34"/>
      <c r="I232" s="34"/>
      <c r="J232" s="34"/>
      <c r="K232" s="35"/>
      <c r="L232" s="34"/>
      <c r="M232" s="32"/>
      <c r="N232" s="34"/>
      <c r="O232" s="34"/>
      <c r="P232" s="34"/>
      <c r="Q232" s="34"/>
      <c r="R232" s="34"/>
      <c r="S232" s="34"/>
      <c r="T232" s="34"/>
      <c r="U232" s="34"/>
      <c r="V232" s="34"/>
      <c r="W232" s="34"/>
    </row>
    <row r="233" spans="2:23" x14ac:dyDescent="0.3">
      <c r="B233" s="33"/>
      <c r="C233" s="34"/>
      <c r="D233" s="34"/>
      <c r="E233" s="34"/>
      <c r="F233" s="34"/>
      <c r="G233" s="34"/>
      <c r="H233" s="34"/>
      <c r="I233" s="34"/>
      <c r="J233" s="34"/>
      <c r="K233" s="35"/>
      <c r="L233" s="34"/>
      <c r="M233" s="32"/>
      <c r="N233" s="34"/>
      <c r="O233" s="34"/>
      <c r="P233" s="34"/>
      <c r="Q233" s="34"/>
      <c r="R233" s="34"/>
      <c r="S233" s="34"/>
      <c r="T233" s="34"/>
      <c r="U233" s="34"/>
      <c r="V233" s="34"/>
      <c r="W233" s="34"/>
    </row>
    <row r="234" spans="2:23" x14ac:dyDescent="0.3">
      <c r="B234" s="33"/>
      <c r="C234" s="34"/>
      <c r="D234" s="34"/>
      <c r="E234" s="34"/>
      <c r="F234" s="34"/>
      <c r="G234" s="34"/>
      <c r="H234" s="34"/>
      <c r="I234" s="34"/>
      <c r="J234" s="34"/>
      <c r="K234" s="35"/>
      <c r="L234" s="34"/>
      <c r="M234" s="32"/>
      <c r="N234" s="34"/>
      <c r="O234" s="34"/>
      <c r="P234" s="34"/>
      <c r="Q234" s="34"/>
      <c r="R234" s="34"/>
      <c r="S234" s="34"/>
      <c r="T234" s="34"/>
      <c r="U234" s="34"/>
      <c r="V234" s="34"/>
      <c r="W234" s="34"/>
    </row>
    <row r="235" spans="2:23" x14ac:dyDescent="0.3">
      <c r="B235" s="33"/>
      <c r="C235" s="34"/>
      <c r="D235" s="34"/>
      <c r="E235" s="34"/>
      <c r="F235" s="34"/>
      <c r="G235" s="34"/>
      <c r="H235" s="34"/>
      <c r="I235" s="34"/>
      <c r="J235" s="34"/>
      <c r="K235" s="35"/>
      <c r="L235" s="34"/>
      <c r="M235" s="32"/>
      <c r="N235" s="34"/>
      <c r="O235" s="34"/>
      <c r="P235" s="34"/>
      <c r="Q235" s="34"/>
      <c r="R235" s="34"/>
      <c r="S235" s="34"/>
      <c r="T235" s="34"/>
      <c r="U235" s="34"/>
      <c r="V235" s="34"/>
      <c r="W235" s="34"/>
    </row>
    <row r="236" spans="2:23" x14ac:dyDescent="0.3">
      <c r="B236" s="33"/>
      <c r="C236" s="34"/>
      <c r="D236" s="34"/>
      <c r="E236" s="34"/>
      <c r="F236" s="34"/>
      <c r="G236" s="34"/>
      <c r="H236" s="34"/>
      <c r="I236" s="34"/>
      <c r="J236" s="34"/>
      <c r="K236" s="35"/>
      <c r="L236" s="34"/>
      <c r="M236" s="32"/>
      <c r="N236" s="34"/>
      <c r="O236" s="34"/>
      <c r="P236" s="34"/>
      <c r="Q236" s="34"/>
      <c r="R236" s="34"/>
      <c r="S236" s="34"/>
      <c r="T236" s="34"/>
      <c r="U236" s="34"/>
      <c r="V236" s="34"/>
      <c r="W236" s="34"/>
    </row>
    <row r="237" spans="2:23" x14ac:dyDescent="0.3">
      <c r="B237" s="33"/>
      <c r="C237" s="34"/>
      <c r="D237" s="34"/>
      <c r="E237" s="34"/>
      <c r="F237" s="34"/>
      <c r="G237" s="34"/>
      <c r="H237" s="34"/>
      <c r="I237" s="34"/>
      <c r="J237" s="34"/>
      <c r="K237" s="35"/>
      <c r="L237" s="34"/>
      <c r="M237" s="32"/>
      <c r="N237" s="34"/>
      <c r="O237" s="34"/>
      <c r="P237" s="34"/>
      <c r="Q237" s="34"/>
      <c r="R237" s="34"/>
      <c r="S237" s="34"/>
      <c r="T237" s="34"/>
      <c r="U237" s="34"/>
      <c r="V237" s="34"/>
      <c r="W237" s="34"/>
    </row>
    <row r="238" spans="2:23" x14ac:dyDescent="0.3">
      <c r="B238" s="33"/>
      <c r="C238" s="34"/>
      <c r="D238" s="34"/>
      <c r="E238" s="34"/>
      <c r="F238" s="34"/>
      <c r="G238" s="34"/>
      <c r="H238" s="34"/>
      <c r="I238" s="34"/>
      <c r="J238" s="34"/>
      <c r="K238" s="35"/>
      <c r="L238" s="34"/>
      <c r="M238" s="32"/>
      <c r="N238" s="34"/>
      <c r="O238" s="34"/>
      <c r="P238" s="34"/>
      <c r="Q238" s="34"/>
      <c r="R238" s="34"/>
      <c r="S238" s="34"/>
      <c r="T238" s="34"/>
      <c r="U238" s="34"/>
      <c r="V238" s="34"/>
      <c r="W238" s="34"/>
    </row>
    <row r="239" spans="2:23" x14ac:dyDescent="0.3">
      <c r="B239" s="33"/>
      <c r="C239" s="34"/>
      <c r="D239" s="34"/>
      <c r="E239" s="34"/>
      <c r="F239" s="34"/>
      <c r="G239" s="34"/>
      <c r="H239" s="34"/>
      <c r="I239" s="34"/>
      <c r="J239" s="34"/>
      <c r="K239" s="35"/>
      <c r="L239" s="34"/>
      <c r="M239" s="32"/>
      <c r="N239" s="34"/>
      <c r="O239" s="34"/>
      <c r="P239" s="34"/>
      <c r="Q239" s="34"/>
      <c r="R239" s="34"/>
      <c r="S239" s="34"/>
      <c r="T239" s="34"/>
      <c r="U239" s="34"/>
      <c r="V239" s="34"/>
      <c r="W239" s="34"/>
    </row>
    <row r="240" spans="2:23" x14ac:dyDescent="0.3">
      <c r="B240" s="33"/>
      <c r="C240" s="34"/>
      <c r="D240" s="34"/>
      <c r="E240" s="34"/>
      <c r="F240" s="34"/>
      <c r="G240" s="34"/>
      <c r="H240" s="34"/>
      <c r="I240" s="34"/>
      <c r="J240" s="34"/>
      <c r="K240" s="35"/>
      <c r="L240" s="34"/>
      <c r="M240" s="32"/>
      <c r="N240" s="34"/>
      <c r="O240" s="34"/>
      <c r="P240" s="34"/>
      <c r="Q240" s="34"/>
      <c r="R240" s="34"/>
      <c r="S240" s="34"/>
      <c r="T240" s="34"/>
      <c r="U240" s="34"/>
      <c r="V240" s="34"/>
      <c r="W240" s="34"/>
    </row>
    <row r="241" spans="2:23" x14ac:dyDescent="0.3">
      <c r="B241" s="33"/>
      <c r="C241" s="34"/>
      <c r="D241" s="34"/>
      <c r="E241" s="34"/>
      <c r="F241" s="34"/>
      <c r="G241" s="34"/>
      <c r="H241" s="34"/>
      <c r="I241" s="34"/>
      <c r="J241" s="34"/>
      <c r="K241" s="35"/>
      <c r="L241" s="34"/>
      <c r="M241" s="32"/>
      <c r="N241" s="34"/>
      <c r="O241" s="34"/>
      <c r="P241" s="34"/>
      <c r="Q241" s="34"/>
      <c r="R241" s="34"/>
      <c r="S241" s="34"/>
      <c r="T241" s="34"/>
      <c r="U241" s="34"/>
      <c r="V241" s="34"/>
      <c r="W241" s="34"/>
    </row>
    <row r="242" spans="2:23" x14ac:dyDescent="0.3">
      <c r="B242" s="33"/>
      <c r="C242" s="34"/>
      <c r="D242" s="34"/>
      <c r="E242" s="34"/>
      <c r="F242" s="34"/>
      <c r="G242" s="34"/>
      <c r="H242" s="34"/>
      <c r="I242" s="34"/>
      <c r="J242" s="34"/>
      <c r="K242" s="35"/>
      <c r="L242" s="34"/>
      <c r="M242" s="32"/>
      <c r="N242" s="34"/>
      <c r="O242" s="34"/>
      <c r="P242" s="34"/>
      <c r="Q242" s="34"/>
      <c r="R242" s="34"/>
      <c r="S242" s="34"/>
      <c r="T242" s="34"/>
      <c r="U242" s="34"/>
      <c r="V242" s="34"/>
      <c r="W242" s="34"/>
    </row>
    <row r="243" spans="2:23" x14ac:dyDescent="0.3">
      <c r="B243" s="33"/>
      <c r="C243" s="34"/>
      <c r="D243" s="34"/>
      <c r="E243" s="34"/>
      <c r="F243" s="34"/>
      <c r="G243" s="34"/>
      <c r="H243" s="34"/>
      <c r="I243" s="34"/>
      <c r="J243" s="34"/>
      <c r="K243" s="35"/>
      <c r="L243" s="34"/>
      <c r="M243" s="32"/>
      <c r="N243" s="34"/>
      <c r="O243" s="34"/>
      <c r="P243" s="34"/>
      <c r="Q243" s="34"/>
      <c r="R243" s="34"/>
      <c r="S243" s="34"/>
      <c r="T243" s="34"/>
      <c r="U243" s="34"/>
      <c r="V243" s="34"/>
      <c r="W243" s="34"/>
    </row>
    <row r="244" spans="2:23" x14ac:dyDescent="0.3">
      <c r="B244" s="33"/>
      <c r="C244" s="34"/>
      <c r="D244" s="34"/>
      <c r="E244" s="34"/>
      <c r="F244" s="34"/>
      <c r="G244" s="34"/>
      <c r="H244" s="34"/>
      <c r="I244" s="34"/>
      <c r="J244" s="34"/>
      <c r="K244" s="35"/>
      <c r="L244" s="34"/>
      <c r="M244" s="32"/>
      <c r="N244" s="34"/>
      <c r="O244" s="34"/>
      <c r="P244" s="34"/>
      <c r="Q244" s="34"/>
      <c r="R244" s="34"/>
      <c r="S244" s="34"/>
      <c r="T244" s="34"/>
      <c r="U244" s="34"/>
      <c r="V244" s="34"/>
      <c r="W244" s="34"/>
    </row>
    <row r="245" spans="2:23" x14ac:dyDescent="0.3">
      <c r="B245" s="33"/>
      <c r="C245" s="34"/>
      <c r="D245" s="34"/>
      <c r="E245" s="34"/>
      <c r="F245" s="34"/>
      <c r="G245" s="34"/>
      <c r="H245" s="34"/>
      <c r="I245" s="34"/>
      <c r="J245" s="34"/>
      <c r="K245" s="35"/>
      <c r="L245" s="34"/>
      <c r="M245" s="32"/>
      <c r="N245" s="34"/>
      <c r="O245" s="34"/>
      <c r="P245" s="34"/>
      <c r="Q245" s="34"/>
      <c r="R245" s="34"/>
      <c r="S245" s="34"/>
      <c r="T245" s="34"/>
      <c r="U245" s="34"/>
      <c r="V245" s="34"/>
      <c r="W245" s="34"/>
    </row>
    <row r="246" spans="2:23" x14ac:dyDescent="0.3">
      <c r="B246" s="33"/>
      <c r="C246" s="34"/>
      <c r="D246" s="34"/>
      <c r="E246" s="34"/>
      <c r="F246" s="34"/>
      <c r="G246" s="34"/>
      <c r="H246" s="34"/>
      <c r="I246" s="34"/>
      <c r="J246" s="34"/>
      <c r="K246" s="35"/>
      <c r="L246" s="34"/>
      <c r="M246" s="32"/>
      <c r="N246" s="34"/>
      <c r="O246" s="34"/>
      <c r="P246" s="34"/>
      <c r="Q246" s="34"/>
      <c r="R246" s="34"/>
      <c r="S246" s="34"/>
      <c r="T246" s="34"/>
      <c r="U246" s="34"/>
      <c r="V246" s="34"/>
      <c r="W246" s="34"/>
    </row>
    <row r="247" spans="2:23" x14ac:dyDescent="0.3">
      <c r="B247" s="33"/>
      <c r="C247" s="34"/>
      <c r="D247" s="34"/>
      <c r="E247" s="34"/>
      <c r="F247" s="34"/>
      <c r="G247" s="34"/>
      <c r="H247" s="34"/>
      <c r="I247" s="34"/>
      <c r="J247" s="34"/>
      <c r="K247" s="35"/>
      <c r="L247" s="34"/>
      <c r="M247" s="32"/>
      <c r="N247" s="34"/>
      <c r="O247" s="34"/>
      <c r="P247" s="34"/>
      <c r="Q247" s="34"/>
      <c r="R247" s="34"/>
      <c r="S247" s="34"/>
      <c r="T247" s="34"/>
      <c r="U247" s="34"/>
      <c r="V247" s="34"/>
      <c r="W247" s="34"/>
    </row>
    <row r="248" spans="2:23" x14ac:dyDescent="0.3">
      <c r="B248" s="33"/>
      <c r="C248" s="34"/>
      <c r="D248" s="34"/>
      <c r="E248" s="34"/>
      <c r="F248" s="34"/>
      <c r="G248" s="34"/>
      <c r="H248" s="34"/>
      <c r="I248" s="34"/>
      <c r="J248" s="34"/>
      <c r="K248" s="35"/>
      <c r="L248" s="34"/>
      <c r="M248" s="32"/>
      <c r="N248" s="34"/>
      <c r="O248" s="34"/>
      <c r="P248" s="34"/>
      <c r="Q248" s="34"/>
      <c r="R248" s="34"/>
      <c r="S248" s="34"/>
      <c r="T248" s="34"/>
      <c r="U248" s="34"/>
      <c r="V248" s="34"/>
      <c r="W248" s="34"/>
    </row>
    <row r="249" spans="2:23" x14ac:dyDescent="0.3">
      <c r="B249" s="33"/>
      <c r="C249" s="34"/>
      <c r="D249" s="34"/>
      <c r="E249" s="34"/>
      <c r="F249" s="34"/>
      <c r="G249" s="34"/>
      <c r="H249" s="34"/>
      <c r="I249" s="34"/>
      <c r="J249" s="34"/>
      <c r="K249" s="35"/>
      <c r="L249" s="34"/>
      <c r="M249" s="32"/>
      <c r="N249" s="34"/>
      <c r="O249" s="34"/>
      <c r="P249" s="34"/>
      <c r="Q249" s="34"/>
      <c r="R249" s="34"/>
      <c r="S249" s="34"/>
      <c r="T249" s="34"/>
      <c r="U249" s="34"/>
      <c r="V249" s="34"/>
      <c r="W249" s="34"/>
    </row>
    <row r="250" spans="2:23" x14ac:dyDescent="0.3">
      <c r="B250" s="33"/>
      <c r="C250" s="34"/>
      <c r="D250" s="34"/>
      <c r="E250" s="34"/>
      <c r="F250" s="34"/>
      <c r="G250" s="34"/>
      <c r="H250" s="34"/>
      <c r="I250" s="34"/>
      <c r="J250" s="34"/>
      <c r="K250" s="35"/>
      <c r="L250" s="34"/>
      <c r="M250" s="32"/>
      <c r="N250" s="34"/>
      <c r="O250" s="34"/>
      <c r="P250" s="34"/>
      <c r="Q250" s="34"/>
      <c r="R250" s="34"/>
      <c r="S250" s="34"/>
      <c r="T250" s="34"/>
      <c r="U250" s="34"/>
      <c r="V250" s="34"/>
      <c r="W250" s="34"/>
    </row>
    <row r="251" spans="2:23" x14ac:dyDescent="0.3">
      <c r="B251" s="33"/>
      <c r="C251" s="34"/>
      <c r="D251" s="34"/>
      <c r="E251" s="34"/>
      <c r="F251" s="34"/>
      <c r="G251" s="34"/>
      <c r="H251" s="34"/>
      <c r="I251" s="34"/>
      <c r="J251" s="34"/>
      <c r="K251" s="35"/>
      <c r="L251" s="34"/>
      <c r="M251" s="32"/>
      <c r="N251" s="34"/>
      <c r="O251" s="34"/>
      <c r="P251" s="34"/>
      <c r="Q251" s="34"/>
      <c r="R251" s="34"/>
      <c r="S251" s="34"/>
      <c r="T251" s="34"/>
      <c r="U251" s="34"/>
      <c r="V251" s="34"/>
      <c r="W251" s="34"/>
    </row>
    <row r="252" spans="2:23" x14ac:dyDescent="0.3">
      <c r="B252" s="33"/>
      <c r="C252" s="34"/>
      <c r="D252" s="34"/>
      <c r="E252" s="34"/>
      <c r="F252" s="34"/>
      <c r="G252" s="34"/>
      <c r="H252" s="34"/>
      <c r="I252" s="34"/>
      <c r="J252" s="34"/>
      <c r="K252" s="35"/>
      <c r="L252" s="34"/>
      <c r="M252" s="32"/>
      <c r="N252" s="34"/>
      <c r="O252" s="34"/>
      <c r="P252" s="34"/>
      <c r="Q252" s="34"/>
      <c r="R252" s="34"/>
      <c r="S252" s="34"/>
      <c r="T252" s="34"/>
      <c r="U252" s="34"/>
      <c r="V252" s="34"/>
      <c r="W252" s="34"/>
    </row>
    <row r="253" spans="2:23" x14ac:dyDescent="0.3">
      <c r="B253" s="33"/>
      <c r="C253" s="34"/>
      <c r="D253" s="34"/>
      <c r="E253" s="34"/>
      <c r="F253" s="34"/>
      <c r="G253" s="34"/>
      <c r="H253" s="34"/>
      <c r="I253" s="34"/>
      <c r="J253" s="34"/>
      <c r="K253" s="35"/>
      <c r="L253" s="34"/>
      <c r="M253" s="32"/>
      <c r="N253" s="34"/>
      <c r="O253" s="34"/>
      <c r="P253" s="34"/>
      <c r="Q253" s="34"/>
      <c r="R253" s="34"/>
      <c r="S253" s="34"/>
      <c r="T253" s="34"/>
      <c r="U253" s="34"/>
      <c r="V253" s="34"/>
      <c r="W253" s="34"/>
    </row>
    <row r="254" spans="2:23" x14ac:dyDescent="0.3">
      <c r="B254" s="33"/>
      <c r="C254" s="34"/>
      <c r="D254" s="34"/>
      <c r="E254" s="34"/>
      <c r="F254" s="34"/>
      <c r="G254" s="34"/>
      <c r="H254" s="34"/>
      <c r="I254" s="34"/>
      <c r="J254" s="34"/>
      <c r="K254" s="35"/>
      <c r="L254" s="34"/>
      <c r="M254" s="32"/>
      <c r="N254" s="34"/>
      <c r="O254" s="34"/>
      <c r="P254" s="34"/>
      <c r="Q254" s="34"/>
      <c r="R254" s="34"/>
      <c r="S254" s="34"/>
      <c r="T254" s="34"/>
      <c r="U254" s="34"/>
      <c r="V254" s="34"/>
      <c r="W254" s="34"/>
    </row>
    <row r="255" spans="2:23" x14ac:dyDescent="0.3">
      <c r="B255" s="33"/>
      <c r="C255" s="34"/>
      <c r="D255" s="34"/>
      <c r="E255" s="34"/>
      <c r="F255" s="34"/>
      <c r="G255" s="34"/>
      <c r="H255" s="34"/>
      <c r="I255" s="34"/>
      <c r="J255" s="34"/>
      <c r="K255" s="35"/>
      <c r="L255" s="34"/>
      <c r="M255" s="32"/>
      <c r="N255" s="34"/>
      <c r="O255" s="34"/>
      <c r="P255" s="34"/>
      <c r="Q255" s="34"/>
      <c r="R255" s="34"/>
      <c r="S255" s="34"/>
      <c r="T255" s="34"/>
      <c r="U255" s="34"/>
      <c r="V255" s="34"/>
      <c r="W255" s="34"/>
    </row>
    <row r="256" spans="2:23" x14ac:dyDescent="0.3">
      <c r="B256" s="33"/>
      <c r="C256" s="34"/>
      <c r="D256" s="34"/>
      <c r="E256" s="34"/>
      <c r="F256" s="34"/>
      <c r="G256" s="34"/>
      <c r="H256" s="34"/>
      <c r="I256" s="34"/>
      <c r="J256" s="34"/>
      <c r="K256" s="35"/>
      <c r="L256" s="34"/>
      <c r="M256" s="32"/>
      <c r="N256" s="34"/>
      <c r="O256" s="34"/>
      <c r="P256" s="34"/>
      <c r="Q256" s="34"/>
      <c r="R256" s="34"/>
      <c r="S256" s="34"/>
      <c r="T256" s="34"/>
      <c r="U256" s="34"/>
      <c r="V256" s="34"/>
      <c r="W256" s="34"/>
    </row>
    <row r="257" spans="2:23" x14ac:dyDescent="0.3">
      <c r="B257" s="33"/>
      <c r="C257" s="34"/>
      <c r="D257" s="34"/>
      <c r="E257" s="34"/>
      <c r="F257" s="34"/>
      <c r="G257" s="34"/>
      <c r="H257" s="34"/>
      <c r="I257" s="34"/>
      <c r="J257" s="34"/>
      <c r="K257" s="35"/>
      <c r="L257" s="34"/>
      <c r="M257" s="32"/>
      <c r="N257" s="34"/>
      <c r="O257" s="34"/>
      <c r="P257" s="34"/>
      <c r="Q257" s="34"/>
      <c r="R257" s="34"/>
      <c r="S257" s="34"/>
      <c r="T257" s="34"/>
      <c r="U257" s="34"/>
      <c r="V257" s="34"/>
      <c r="W257" s="34"/>
    </row>
    <row r="258" spans="2:23" x14ac:dyDescent="0.3">
      <c r="B258" s="33"/>
      <c r="C258" s="34"/>
      <c r="D258" s="34"/>
      <c r="E258" s="34"/>
      <c r="F258" s="34"/>
      <c r="G258" s="34"/>
      <c r="H258" s="34"/>
      <c r="I258" s="34"/>
      <c r="J258" s="34"/>
      <c r="K258" s="35"/>
      <c r="L258" s="34"/>
      <c r="M258" s="32"/>
      <c r="N258" s="34"/>
      <c r="O258" s="34"/>
      <c r="P258" s="34"/>
      <c r="Q258" s="34"/>
      <c r="R258" s="34"/>
      <c r="S258" s="34"/>
      <c r="T258" s="34"/>
      <c r="U258" s="34"/>
      <c r="V258" s="34"/>
      <c r="W258" s="34"/>
    </row>
    <row r="259" spans="2:23" x14ac:dyDescent="0.3">
      <c r="B259" s="33"/>
      <c r="C259" s="34"/>
      <c r="D259" s="34"/>
      <c r="E259" s="34"/>
      <c r="F259" s="34"/>
      <c r="G259" s="34"/>
      <c r="H259" s="34"/>
      <c r="I259" s="34"/>
      <c r="J259" s="34"/>
      <c r="K259" s="35"/>
      <c r="L259" s="34"/>
      <c r="M259" s="32"/>
      <c r="N259" s="34"/>
      <c r="O259" s="34"/>
      <c r="P259" s="34"/>
      <c r="Q259" s="34"/>
      <c r="R259" s="34"/>
      <c r="S259" s="34"/>
      <c r="T259" s="34"/>
      <c r="U259" s="34"/>
      <c r="V259" s="34"/>
      <c r="W259" s="34"/>
    </row>
    <row r="260" spans="2:23" x14ac:dyDescent="0.3">
      <c r="B260" s="33"/>
      <c r="C260" s="34"/>
      <c r="D260" s="34"/>
      <c r="E260" s="34"/>
      <c r="F260" s="34"/>
      <c r="G260" s="34"/>
      <c r="H260" s="34"/>
      <c r="I260" s="34"/>
      <c r="J260" s="34"/>
      <c r="K260" s="35"/>
      <c r="L260" s="34"/>
      <c r="M260" s="32"/>
      <c r="N260" s="34"/>
      <c r="O260" s="34"/>
      <c r="P260" s="34"/>
      <c r="Q260" s="34"/>
      <c r="R260" s="34"/>
      <c r="S260" s="34"/>
      <c r="T260" s="34"/>
      <c r="U260" s="34"/>
      <c r="V260" s="34"/>
      <c r="W260" s="34"/>
    </row>
    <row r="261" spans="2:23" x14ac:dyDescent="0.3">
      <c r="B261" s="33"/>
      <c r="C261" s="34"/>
      <c r="D261" s="34"/>
      <c r="E261" s="34"/>
      <c r="F261" s="34"/>
      <c r="G261" s="34"/>
      <c r="H261" s="34"/>
      <c r="I261" s="34"/>
      <c r="J261" s="34"/>
      <c r="K261" s="35"/>
      <c r="L261" s="34"/>
      <c r="M261" s="32"/>
      <c r="N261" s="34"/>
      <c r="O261" s="34"/>
      <c r="P261" s="34"/>
      <c r="Q261" s="34"/>
      <c r="R261" s="34"/>
      <c r="S261" s="34"/>
      <c r="T261" s="34"/>
      <c r="U261" s="34"/>
      <c r="V261" s="34"/>
      <c r="W261" s="34"/>
    </row>
    <row r="262" spans="2:23" x14ac:dyDescent="0.3">
      <c r="B262" s="33"/>
      <c r="C262" s="34"/>
      <c r="D262" s="34"/>
      <c r="E262" s="34"/>
      <c r="F262" s="34"/>
      <c r="G262" s="34"/>
      <c r="H262" s="34"/>
      <c r="I262" s="34"/>
      <c r="J262" s="34"/>
      <c r="K262" s="35"/>
      <c r="L262" s="34"/>
      <c r="M262" s="32"/>
      <c r="N262" s="34"/>
      <c r="O262" s="34"/>
      <c r="P262" s="34"/>
      <c r="Q262" s="34"/>
      <c r="R262" s="34"/>
      <c r="S262" s="34"/>
      <c r="T262" s="34"/>
      <c r="U262" s="34"/>
      <c r="V262" s="34"/>
      <c r="W262" s="34"/>
    </row>
    <row r="263" spans="2:23" x14ac:dyDescent="0.3">
      <c r="B263" s="33"/>
      <c r="C263" s="34"/>
      <c r="D263" s="34"/>
      <c r="E263" s="34"/>
      <c r="F263" s="34"/>
      <c r="G263" s="34"/>
      <c r="H263" s="34"/>
      <c r="I263" s="34"/>
      <c r="J263" s="34"/>
      <c r="K263" s="35"/>
      <c r="L263" s="34"/>
      <c r="M263" s="32"/>
      <c r="N263" s="34"/>
      <c r="O263" s="34"/>
      <c r="P263" s="34"/>
      <c r="Q263" s="34"/>
      <c r="R263" s="34"/>
      <c r="S263" s="34"/>
      <c r="T263" s="34"/>
      <c r="U263" s="34"/>
      <c r="V263" s="34"/>
      <c r="W263" s="34"/>
    </row>
    <row r="264" spans="2:23" x14ac:dyDescent="0.3">
      <c r="B264" s="33"/>
      <c r="C264" s="34"/>
      <c r="D264" s="34"/>
      <c r="E264" s="34"/>
      <c r="F264" s="34"/>
      <c r="G264" s="34"/>
      <c r="H264" s="34"/>
      <c r="I264" s="34"/>
      <c r="J264" s="34"/>
      <c r="K264" s="35"/>
      <c r="L264" s="34"/>
      <c r="M264" s="32"/>
      <c r="N264" s="34"/>
      <c r="O264" s="34"/>
      <c r="P264" s="34"/>
      <c r="Q264" s="34"/>
      <c r="R264" s="34"/>
      <c r="S264" s="34"/>
      <c r="T264" s="34"/>
      <c r="U264" s="34"/>
      <c r="V264" s="34"/>
      <c r="W264" s="34"/>
    </row>
    <row r="265" spans="2:23" x14ac:dyDescent="0.3">
      <c r="B265" s="33"/>
      <c r="C265" s="34"/>
      <c r="D265" s="34"/>
      <c r="E265" s="34"/>
      <c r="F265" s="34"/>
      <c r="G265" s="34"/>
      <c r="H265" s="34"/>
      <c r="I265" s="34"/>
      <c r="J265" s="34"/>
      <c r="K265" s="35"/>
      <c r="L265" s="34"/>
      <c r="M265" s="32"/>
      <c r="N265" s="34"/>
      <c r="O265" s="34"/>
      <c r="P265" s="34"/>
      <c r="Q265" s="34"/>
      <c r="R265" s="34"/>
      <c r="S265" s="34"/>
      <c r="T265" s="34"/>
      <c r="U265" s="34"/>
      <c r="V265" s="34"/>
      <c r="W265" s="34"/>
    </row>
    <row r="266" spans="2:23" x14ac:dyDescent="0.3">
      <c r="B266" s="33"/>
      <c r="C266" s="34"/>
      <c r="D266" s="34"/>
      <c r="E266" s="34"/>
      <c r="F266" s="34"/>
      <c r="G266" s="34"/>
      <c r="H266" s="34"/>
      <c r="I266" s="34"/>
      <c r="J266" s="34"/>
      <c r="K266" s="35"/>
      <c r="L266" s="34"/>
      <c r="M266" s="32"/>
      <c r="N266" s="34"/>
      <c r="O266" s="34"/>
      <c r="P266" s="34"/>
      <c r="Q266" s="34"/>
      <c r="R266" s="34"/>
      <c r="S266" s="34"/>
      <c r="T266" s="34"/>
      <c r="U266" s="34"/>
      <c r="V266" s="34"/>
      <c r="W266" s="34"/>
    </row>
    <row r="267" spans="2:23" x14ac:dyDescent="0.3">
      <c r="B267" s="33"/>
      <c r="C267" s="34"/>
      <c r="D267" s="34"/>
      <c r="E267" s="34"/>
      <c r="F267" s="34"/>
      <c r="G267" s="34"/>
      <c r="H267" s="34"/>
      <c r="I267" s="34"/>
      <c r="J267" s="34"/>
      <c r="K267" s="35"/>
      <c r="L267" s="34"/>
      <c r="M267" s="32"/>
      <c r="N267" s="34"/>
      <c r="O267" s="34"/>
      <c r="P267" s="34"/>
      <c r="Q267" s="34"/>
      <c r="R267" s="34"/>
      <c r="S267" s="34"/>
      <c r="T267" s="34"/>
      <c r="U267" s="34"/>
      <c r="V267" s="34"/>
      <c r="W267" s="34"/>
    </row>
    <row r="268" spans="2:23" x14ac:dyDescent="0.3">
      <c r="B268" s="33"/>
      <c r="C268" s="34"/>
      <c r="D268" s="34"/>
      <c r="E268" s="34"/>
      <c r="F268" s="34"/>
      <c r="G268" s="34"/>
      <c r="H268" s="34"/>
      <c r="I268" s="34"/>
      <c r="J268" s="34"/>
      <c r="K268" s="35"/>
      <c r="L268" s="34"/>
      <c r="M268" s="32"/>
      <c r="N268" s="34"/>
      <c r="O268" s="34"/>
      <c r="P268" s="34"/>
      <c r="Q268" s="34"/>
      <c r="R268" s="34"/>
      <c r="S268" s="34"/>
      <c r="T268" s="34"/>
      <c r="U268" s="34"/>
      <c r="V268" s="34"/>
      <c r="W268" s="34"/>
    </row>
    <row r="269" spans="2:23" x14ac:dyDescent="0.3">
      <c r="B269" s="33"/>
      <c r="C269" s="34"/>
      <c r="D269" s="34"/>
      <c r="E269" s="34"/>
      <c r="F269" s="34"/>
      <c r="G269" s="34"/>
      <c r="H269" s="34"/>
      <c r="I269" s="34"/>
      <c r="J269" s="34"/>
      <c r="K269" s="35"/>
      <c r="L269" s="34"/>
      <c r="M269" s="32"/>
      <c r="N269" s="34"/>
      <c r="O269" s="34"/>
      <c r="P269" s="34"/>
      <c r="Q269" s="34"/>
      <c r="R269" s="34"/>
      <c r="S269" s="34"/>
      <c r="T269" s="34"/>
      <c r="U269" s="34"/>
      <c r="V269" s="34"/>
      <c r="W269" s="34"/>
    </row>
    <row r="270" spans="2:23" x14ac:dyDescent="0.3">
      <c r="B270" s="33"/>
      <c r="C270" s="34"/>
      <c r="D270" s="34"/>
      <c r="E270" s="34"/>
      <c r="F270" s="34"/>
      <c r="G270" s="34"/>
      <c r="H270" s="34"/>
      <c r="I270" s="34"/>
      <c r="J270" s="34"/>
      <c r="K270" s="35"/>
      <c r="L270" s="34"/>
      <c r="M270" s="32"/>
      <c r="N270" s="34"/>
      <c r="O270" s="34"/>
      <c r="P270" s="34"/>
      <c r="Q270" s="34"/>
      <c r="R270" s="34"/>
      <c r="S270" s="34"/>
      <c r="T270" s="34"/>
      <c r="U270" s="34"/>
      <c r="V270" s="34"/>
      <c r="W270" s="34"/>
    </row>
    <row r="271" spans="2:23" x14ac:dyDescent="0.3">
      <c r="B271" s="33"/>
      <c r="C271" s="34"/>
      <c r="D271" s="34"/>
      <c r="E271" s="34"/>
      <c r="F271" s="34"/>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4"/>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4"/>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4"/>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4"/>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4"/>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4"/>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4"/>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4"/>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4"/>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4"/>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4"/>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4"/>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4"/>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4"/>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4"/>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4"/>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4"/>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4"/>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4"/>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4"/>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4"/>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4"/>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4"/>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4"/>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4"/>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4"/>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4"/>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4"/>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4"/>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4"/>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4"/>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4"/>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4"/>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4"/>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4"/>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4"/>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4"/>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4"/>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4"/>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4"/>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4"/>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4"/>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4"/>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4"/>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4"/>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4"/>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4"/>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4"/>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4"/>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4"/>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4"/>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4"/>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4"/>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4"/>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4"/>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4"/>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4"/>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4"/>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4"/>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4"/>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4"/>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4"/>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4"/>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4"/>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4"/>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4"/>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4"/>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4"/>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4"/>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4"/>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4"/>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K775" s="40"/>
    </row>
    <row r="776" spans="2:23" x14ac:dyDescent="0.3">
      <c r="K776" s="40"/>
    </row>
    <row r="777" spans="2:23" x14ac:dyDescent="0.3">
      <c r="K777" s="40"/>
    </row>
    <row r="778" spans="2:23" x14ac:dyDescent="0.3">
      <c r="K778" s="40"/>
    </row>
    <row r="779" spans="2:23" x14ac:dyDescent="0.3">
      <c r="K779" s="40"/>
    </row>
    <row r="780" spans="2:23" x14ac:dyDescent="0.3">
      <c r="K780" s="40"/>
    </row>
    <row r="781" spans="2:23" x14ac:dyDescent="0.3">
      <c r="K781" s="40"/>
    </row>
    <row r="782" spans="2:23" x14ac:dyDescent="0.3">
      <c r="K782" s="40"/>
    </row>
    <row r="783" spans="2:23" x14ac:dyDescent="0.3">
      <c r="K783" s="40"/>
    </row>
    <row r="784" spans="2:2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sheetData>
  <phoneticPr fontId="16"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zoomScaleNormal="100" workbookViewId="0">
      <selection activeCell="G10" sqref="G10"/>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9" s="975" customFormat="1" ht="52" customHeight="1" thickBot="1" x14ac:dyDescent="0.7">
      <c r="A1" s="1383" t="s">
        <v>1797</v>
      </c>
      <c r="B1" s="1384"/>
      <c r="C1" s="1384"/>
      <c r="D1" s="1384"/>
      <c r="E1" s="1384"/>
      <c r="F1" s="1384"/>
      <c r="G1" s="1384"/>
    </row>
    <row r="2" spans="1:9" ht="28" customHeight="1" thickTop="1" x14ac:dyDescent="0.35">
      <c r="A2" s="1385" t="s">
        <v>2178</v>
      </c>
      <c r="B2" s="1386"/>
      <c r="C2" s="1386"/>
      <c r="D2" s="1386"/>
      <c r="E2" s="1386"/>
      <c r="F2" s="1386"/>
      <c r="G2" s="1386"/>
    </row>
    <row r="3" spans="1:9" ht="71" customHeight="1" thickBot="1" x14ac:dyDescent="0.3">
      <c r="A3" s="1387" t="s">
        <v>2208</v>
      </c>
      <c r="B3" s="1388"/>
      <c r="C3" s="1388"/>
      <c r="D3" s="1388"/>
      <c r="E3" s="1388"/>
      <c r="F3" s="1388"/>
      <c r="G3" s="1388"/>
    </row>
    <row r="4" spans="1:9" ht="29" customHeight="1" thickBot="1" x14ac:dyDescent="0.35">
      <c r="A4" s="976" t="s">
        <v>230</v>
      </c>
      <c r="B4" s="977" t="s">
        <v>1732</v>
      </c>
      <c r="C4" s="977" t="s">
        <v>1733</v>
      </c>
      <c r="D4" s="977"/>
      <c r="E4" s="977" t="s">
        <v>1734</v>
      </c>
      <c r="F4" s="978"/>
      <c r="G4" s="979" t="s">
        <v>1735</v>
      </c>
    </row>
    <row r="5" spans="1:9" ht="13" customHeight="1" x14ac:dyDescent="0.3">
      <c r="A5" s="980" t="s">
        <v>1798</v>
      </c>
      <c r="B5" s="981">
        <f>FARM!D17</f>
        <v>0</v>
      </c>
      <c r="C5" s="982">
        <f>FARM!F17</f>
        <v>11.2</v>
      </c>
      <c r="D5" s="983" t="s">
        <v>1736</v>
      </c>
      <c r="E5" s="982">
        <f>B5*C5</f>
        <v>0</v>
      </c>
      <c r="F5" s="984"/>
      <c r="G5" s="985"/>
      <c r="I5" s="982"/>
    </row>
    <row r="6" spans="1:9" ht="13" customHeight="1" x14ac:dyDescent="0.3">
      <c r="A6" s="980" t="s">
        <v>2260</v>
      </c>
      <c r="B6" s="1365">
        <f>Straw!O11*SUM(Straw!Q11:R11)</f>
        <v>0</v>
      </c>
      <c r="C6" s="982">
        <f>Straw!D11</f>
        <v>40</v>
      </c>
      <c r="D6" s="983" t="s">
        <v>1736</v>
      </c>
      <c r="E6" s="982">
        <f>IF(Straw!C11="Both round &amp; square",(B6*C6*Straw!I11),(B6*C6))</f>
        <v>0</v>
      </c>
      <c r="F6" s="984"/>
      <c r="G6" s="989"/>
      <c r="I6" s="982"/>
    </row>
    <row r="7" spans="1:9" ht="13" customHeight="1" x14ac:dyDescent="0.3">
      <c r="A7" s="986" t="s">
        <v>1737</v>
      </c>
      <c r="B7" s="1069">
        <f>Straw!P11*SUM(Straw!R11:S11)</f>
        <v>0</v>
      </c>
      <c r="C7" s="1017">
        <f>Straw!F11</f>
        <v>5.0833333333333304</v>
      </c>
      <c r="D7" s="988" t="s">
        <v>1736</v>
      </c>
      <c r="E7" s="1017">
        <f>IF(Straw!C11="Both round &amp; square",(B7*C7*Straw!J11),(B7*C7))</f>
        <v>0</v>
      </c>
      <c r="F7" s="984"/>
      <c r="G7" s="989"/>
    </row>
    <row r="8" spans="1:9" ht="13" customHeight="1" x14ac:dyDescent="0.3">
      <c r="A8" s="990" t="s">
        <v>1738</v>
      </c>
      <c r="B8" s="991"/>
      <c r="C8" s="992"/>
      <c r="D8" s="993"/>
      <c r="E8" s="993">
        <f>SUM(E5:E7)</f>
        <v>0</v>
      </c>
      <c r="F8" s="984"/>
      <c r="G8" s="994"/>
    </row>
    <row r="9" spans="1:9" ht="13" customHeight="1" thickBot="1" x14ac:dyDescent="0.35">
      <c r="A9" s="995"/>
      <c r="B9" s="992"/>
      <c r="C9" s="992"/>
      <c r="D9" s="992"/>
      <c r="E9" s="992"/>
      <c r="F9" s="984"/>
      <c r="G9" s="989"/>
    </row>
    <row r="10" spans="1:9" ht="29" customHeight="1" thickBot="1" x14ac:dyDescent="0.35">
      <c r="A10" s="996" t="s">
        <v>1739</v>
      </c>
      <c r="B10" s="997" t="s">
        <v>1740</v>
      </c>
      <c r="C10" s="997" t="s">
        <v>1636</v>
      </c>
      <c r="D10" s="998"/>
      <c r="E10" s="998" t="s">
        <v>1741</v>
      </c>
      <c r="F10" s="984"/>
      <c r="G10" s="999" t="s">
        <v>1735</v>
      </c>
    </row>
    <row r="11" spans="1:9" ht="15" customHeight="1" x14ac:dyDescent="0.3">
      <c r="A11" s="1000" t="s">
        <v>1742</v>
      </c>
      <c r="B11" s="1001"/>
      <c r="C11" s="1001"/>
      <c r="D11" s="1001"/>
      <c r="E11" s="1001"/>
      <c r="F11" s="984"/>
      <c r="G11" s="989"/>
    </row>
    <row r="12" spans="1:9" ht="13" customHeight="1" x14ac:dyDescent="0.3">
      <c r="A12" s="1002" t="s">
        <v>1743</v>
      </c>
      <c r="B12" s="1070">
        <f>INPUT!$E$17</f>
        <v>120</v>
      </c>
      <c r="C12" s="982">
        <f>INPUT!$E$18</f>
        <v>0.56000000000000005</v>
      </c>
      <c r="D12" s="983" t="s">
        <v>1736</v>
      </c>
      <c r="E12" s="982">
        <f>B12*C12</f>
        <v>67.2</v>
      </c>
      <c r="F12" s="984"/>
      <c r="G12" s="985"/>
    </row>
    <row r="13" spans="1:9" ht="13" customHeight="1" x14ac:dyDescent="0.3">
      <c r="A13" s="1002" t="s">
        <v>1744</v>
      </c>
      <c r="B13" s="1004"/>
      <c r="C13" s="992"/>
      <c r="D13" s="983"/>
      <c r="E13" s="982"/>
      <c r="F13" s="984"/>
      <c r="G13" s="989"/>
    </row>
    <row r="14" spans="1:9" ht="13" customHeight="1" x14ac:dyDescent="0.3">
      <c r="A14" s="1005" t="s">
        <v>1745</v>
      </c>
      <c r="B14" s="1070">
        <f>INPUT!$E$32</f>
        <v>3</v>
      </c>
      <c r="C14" s="1004">
        <f>INPUT!$E$33</f>
        <v>35</v>
      </c>
      <c r="D14" s="983" t="s">
        <v>1736</v>
      </c>
      <c r="E14" s="982">
        <f>B14*C14</f>
        <v>105</v>
      </c>
      <c r="F14" s="984"/>
      <c r="G14" s="985"/>
    </row>
    <row r="15" spans="1:9" ht="13" customHeight="1" x14ac:dyDescent="0.3">
      <c r="A15" s="1005" t="s">
        <v>1746</v>
      </c>
      <c r="B15" s="1070">
        <f>INPUT!$E$38</f>
        <v>0</v>
      </c>
      <c r="C15" s="982">
        <f>INPUT!$E$39</f>
        <v>0.6</v>
      </c>
      <c r="D15" s="1372" t="s">
        <v>1736</v>
      </c>
      <c r="E15" s="1373">
        <f>B15*C15</f>
        <v>0</v>
      </c>
      <c r="F15" s="984"/>
      <c r="G15" s="985"/>
    </row>
    <row r="16" spans="1:9" ht="13" customHeight="1" x14ac:dyDescent="0.3">
      <c r="A16" s="1002" t="s">
        <v>1747</v>
      </c>
      <c r="B16" s="1003">
        <f>INPUT!$E$41*(INPUT!$E$43/INPUT!$E$44)</f>
        <v>0</v>
      </c>
      <c r="C16" s="1004">
        <f>OSI!$K$61</f>
        <v>75</v>
      </c>
      <c r="D16" s="1374" t="s">
        <v>1736</v>
      </c>
      <c r="E16" s="1017">
        <f>B16*C16</f>
        <v>0</v>
      </c>
      <c r="F16" s="984"/>
      <c r="G16" s="1007"/>
    </row>
    <row r="17" spans="1:7" ht="13" customHeight="1" x14ac:dyDescent="0.3">
      <c r="A17" s="1008" t="s">
        <v>1748</v>
      </c>
      <c r="B17" s="1067"/>
      <c r="C17" s="1068"/>
      <c r="D17" s="982"/>
      <c r="E17" s="982">
        <f>SUM(E12:E16)</f>
        <v>172.2</v>
      </c>
      <c r="F17" s="984"/>
      <c r="G17" s="985"/>
    </row>
    <row r="18" spans="1:7" ht="13" customHeight="1" x14ac:dyDescent="0.3">
      <c r="A18" s="1009" t="s">
        <v>1749</v>
      </c>
      <c r="B18" s="1004"/>
      <c r="C18" s="992"/>
      <c r="D18" s="982"/>
      <c r="E18" s="1004"/>
      <c r="F18" s="984"/>
      <c r="G18" s="989"/>
    </row>
    <row r="19" spans="1:7" ht="13" customHeight="1" x14ac:dyDescent="0.3">
      <c r="A19" s="1002" t="s">
        <v>1750</v>
      </c>
      <c r="B19" s="1004"/>
      <c r="C19" s="992"/>
      <c r="D19" s="982"/>
      <c r="E19" s="982" t="e">
        <f>Rb!D34</f>
        <v>#DIV/0!</v>
      </c>
      <c r="F19" s="984"/>
      <c r="G19" s="985"/>
    </row>
    <row r="20" spans="1:7" ht="13" customHeight="1" x14ac:dyDescent="0.3">
      <c r="A20" s="1002" t="s">
        <v>1751</v>
      </c>
      <c r="B20" s="1004"/>
      <c r="C20" s="992"/>
      <c r="D20" s="982"/>
      <c r="E20" s="982" t="e">
        <f>Rb!D35</f>
        <v>#DIV/0!</v>
      </c>
      <c r="F20" s="984"/>
      <c r="G20" s="985"/>
    </row>
    <row r="21" spans="1:7" ht="13" customHeight="1" x14ac:dyDescent="0.3">
      <c r="A21" s="1010" t="s">
        <v>1752</v>
      </c>
      <c r="B21" s="1004"/>
      <c r="C21" s="992"/>
      <c r="D21" s="982"/>
      <c r="E21" s="982" t="e">
        <f>Rb!D36</f>
        <v>#DIV/0!</v>
      </c>
      <c r="F21" s="984"/>
      <c r="G21" s="994"/>
    </row>
    <row r="22" spans="1:7" ht="13" customHeight="1" x14ac:dyDescent="0.3">
      <c r="A22" s="1002" t="s">
        <v>170</v>
      </c>
      <c r="B22" s="1004"/>
      <c r="C22" s="992"/>
      <c r="D22" s="982"/>
      <c r="E22" s="982" t="e">
        <f>Rb!D37</f>
        <v>#DIV/0!</v>
      </c>
      <c r="F22" s="984"/>
      <c r="G22" s="1011"/>
    </row>
    <row r="23" spans="1:7" ht="13" customHeight="1" x14ac:dyDescent="0.3">
      <c r="A23" s="1002" t="s">
        <v>1756</v>
      </c>
      <c r="B23" s="1004"/>
      <c r="C23" s="992"/>
      <c r="D23" s="982"/>
      <c r="E23" s="1373" t="e">
        <f>Rb!D38</f>
        <v>#DIV/0!</v>
      </c>
      <c r="F23" s="984"/>
      <c r="G23" s="1011"/>
    </row>
    <row r="24" spans="1:7" ht="13" customHeight="1" x14ac:dyDescent="0.3">
      <c r="A24" s="1002" t="s">
        <v>1753</v>
      </c>
      <c r="B24" s="1004"/>
      <c r="C24" s="992"/>
      <c r="D24" s="982"/>
      <c r="E24" s="1017" t="e">
        <f>Rb!D47</f>
        <v>#DIV/0!</v>
      </c>
      <c r="F24" s="984"/>
      <c r="G24" s="1007"/>
    </row>
    <row r="25" spans="1:7" ht="13" customHeight="1" x14ac:dyDescent="0.3">
      <c r="A25" s="1008" t="s">
        <v>1748</v>
      </c>
      <c r="B25" s="1381"/>
      <c r="C25" s="1382"/>
      <c r="D25" s="982"/>
      <c r="E25" s="982" t="e">
        <f>SUM(E19:E24)</f>
        <v>#DIV/0!</v>
      </c>
      <c r="F25" s="984"/>
      <c r="G25" s="989"/>
    </row>
    <row r="26" spans="1:7" ht="13" customHeight="1" x14ac:dyDescent="0.3">
      <c r="A26" s="1009" t="s">
        <v>1754</v>
      </c>
      <c r="B26" s="1004"/>
      <c r="C26" s="992"/>
      <c r="D26" s="982"/>
      <c r="E26" s="982"/>
      <c r="F26" s="984"/>
      <c r="G26" s="1011"/>
    </row>
    <row r="27" spans="1:7" ht="13" customHeight="1" x14ac:dyDescent="0.3">
      <c r="A27" s="1002" t="s">
        <v>1757</v>
      </c>
      <c r="B27" s="1004"/>
      <c r="C27" s="992"/>
      <c r="D27" s="982"/>
      <c r="E27" s="982" t="e">
        <f>Rb!D40</f>
        <v>#DIV/0!</v>
      </c>
      <c r="F27" s="984"/>
      <c r="G27" s="985"/>
    </row>
    <row r="28" spans="1:7" ht="13" customHeight="1" x14ac:dyDescent="0.3">
      <c r="A28" s="1002" t="s">
        <v>1792</v>
      </c>
      <c r="B28" s="1004"/>
      <c r="C28" s="992"/>
      <c r="D28" s="982"/>
      <c r="E28" s="982" t="e">
        <f>Rb!D41</f>
        <v>#DIV/0!</v>
      </c>
      <c r="F28" s="984"/>
      <c r="G28" s="985"/>
    </row>
    <row r="29" spans="1:7" ht="13" customHeight="1" x14ac:dyDescent="0.3">
      <c r="A29" s="1002" t="s">
        <v>1795</v>
      </c>
      <c r="B29" s="1004"/>
      <c r="C29" s="992"/>
      <c r="D29" s="982"/>
      <c r="E29" s="982" t="e">
        <f>Rb!D42</f>
        <v>#DIV/0!</v>
      </c>
      <c r="F29" s="984"/>
      <c r="G29" s="985"/>
    </row>
    <row r="30" spans="1:7" ht="13" customHeight="1" x14ac:dyDescent="0.3">
      <c r="A30" s="1002" t="s">
        <v>2261</v>
      </c>
      <c r="B30" s="1004"/>
      <c r="C30" s="992"/>
      <c r="D30" s="982"/>
      <c r="E30" s="982" t="e">
        <f>Rb!D43</f>
        <v>#DIV/0!</v>
      </c>
      <c r="F30" s="984"/>
      <c r="G30" s="985"/>
    </row>
    <row r="31" spans="1:7" ht="13" customHeight="1" x14ac:dyDescent="0.3">
      <c r="A31" s="1002" t="s">
        <v>1755</v>
      </c>
      <c r="B31" s="1004"/>
      <c r="C31" s="992"/>
      <c r="D31" s="982"/>
      <c r="E31" s="982" t="e">
        <f>Rb!D44</f>
        <v>#DIV/0!</v>
      </c>
      <c r="F31" s="984"/>
      <c r="G31" s="985"/>
    </row>
    <row r="32" spans="1:7" ht="13" customHeight="1" x14ac:dyDescent="0.3">
      <c r="A32" s="1002" t="s">
        <v>1758</v>
      </c>
      <c r="B32" s="1004"/>
      <c r="C32" s="992"/>
      <c r="D32" s="982"/>
      <c r="E32" s="982" t="e">
        <f>Rb!D45</f>
        <v>#DIV/0!</v>
      </c>
      <c r="F32" s="984"/>
      <c r="G32" s="985"/>
    </row>
    <row r="33" spans="1:7" ht="12.65" customHeight="1" x14ac:dyDescent="0.3">
      <c r="A33" s="1002" t="s">
        <v>2262</v>
      </c>
      <c r="B33" s="1004"/>
      <c r="C33" s="992"/>
      <c r="D33" s="982"/>
      <c r="E33" s="982" t="e">
        <f>Rb!D46</f>
        <v>#DIV/0!</v>
      </c>
      <c r="F33" s="984"/>
      <c r="G33" s="985"/>
    </row>
    <row r="34" spans="1:7" ht="13" customHeight="1" x14ac:dyDescent="0.3">
      <c r="A34" s="1002" t="s">
        <v>2075</v>
      </c>
      <c r="B34" s="1004"/>
      <c r="C34" s="992"/>
      <c r="D34" s="982"/>
      <c r="E34" s="982" t="e">
        <f>Rb!D47</f>
        <v>#DIV/0!</v>
      </c>
      <c r="F34" s="984"/>
      <c r="G34" s="985"/>
    </row>
    <row r="35" spans="1:7" ht="13" customHeight="1" x14ac:dyDescent="0.3">
      <c r="A35" s="1002" t="s">
        <v>1793</v>
      </c>
      <c r="B35" s="1004"/>
      <c r="C35" s="992"/>
      <c r="D35" s="982"/>
      <c r="E35" s="982" t="e">
        <f>Rb!D48</f>
        <v>#DIV/0!</v>
      </c>
      <c r="F35" s="984"/>
      <c r="G35" s="985"/>
    </row>
    <row r="36" spans="1:7" ht="13" customHeight="1" x14ac:dyDescent="0.3">
      <c r="A36" s="1002" t="s">
        <v>2263</v>
      </c>
      <c r="B36" s="1004"/>
      <c r="C36" s="992"/>
      <c r="D36" s="982"/>
      <c r="E36" s="982" t="e">
        <f>Rb!D49</f>
        <v>#DIV/0!</v>
      </c>
      <c r="F36" s="984"/>
      <c r="G36" s="985"/>
    </row>
    <row r="37" spans="1:7" ht="13" customHeight="1" x14ac:dyDescent="0.3">
      <c r="A37" s="1002" t="s">
        <v>1794</v>
      </c>
      <c r="B37" s="1004"/>
      <c r="C37" s="992"/>
      <c r="D37" s="982"/>
      <c r="E37" s="1373" t="e">
        <f>SUM(Rb!D50:D52)</f>
        <v>#DIV/0!</v>
      </c>
      <c r="F37" s="984"/>
      <c r="G37" s="985"/>
    </row>
    <row r="38" spans="1:7" ht="13" customHeight="1" x14ac:dyDescent="0.3">
      <c r="A38" s="1002" t="s">
        <v>1759</v>
      </c>
      <c r="B38" s="1004"/>
      <c r="C38" s="992"/>
      <c r="D38" s="982"/>
      <c r="E38" s="1017" t="e">
        <f>Rb!D54</f>
        <v>#DIV/0!</v>
      </c>
      <c r="F38" s="984"/>
      <c r="G38" s="1007"/>
    </row>
    <row r="39" spans="1:7" ht="13" customHeight="1" x14ac:dyDescent="0.3">
      <c r="A39" s="1008" t="s">
        <v>1748</v>
      </c>
      <c r="B39" s="1381"/>
      <c r="C39" s="1382"/>
      <c r="D39" s="982"/>
      <c r="E39" s="982" t="e">
        <f>SUM(E27:E38)</f>
        <v>#DIV/0!</v>
      </c>
      <c r="F39" s="984"/>
      <c r="G39" s="985"/>
    </row>
    <row r="40" spans="1:7" ht="13" customHeight="1" thickBot="1" x14ac:dyDescent="0.35">
      <c r="A40" s="1012" t="s">
        <v>1760</v>
      </c>
      <c r="B40" s="1013"/>
      <c r="C40" s="1014"/>
      <c r="D40" s="1014"/>
      <c r="E40" s="1015" t="e">
        <f>E17+E25+E39</f>
        <v>#DIV/0!</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82"/>
      <c r="E42" s="982" t="e">
        <f>SUM(Rb!D59:D71)</f>
        <v>#DIV/0!</v>
      </c>
      <c r="F42" s="984"/>
      <c r="G42" s="989"/>
    </row>
    <row r="43" spans="1:7" ht="13" customHeight="1" x14ac:dyDescent="0.3">
      <c r="A43" s="1002" t="s">
        <v>79</v>
      </c>
      <c r="B43" s="1004"/>
      <c r="C43" s="992"/>
      <c r="D43" s="992"/>
      <c r="E43" s="1017" t="e">
        <f>Rb!D72</f>
        <v>#DIV/0!</v>
      </c>
      <c r="F43" s="984"/>
      <c r="G43" s="1007"/>
    </row>
    <row r="44" spans="1:7" ht="13" customHeight="1" x14ac:dyDescent="0.3">
      <c r="A44" s="990" t="s">
        <v>1762</v>
      </c>
      <c r="B44" s="991"/>
      <c r="C44" s="992"/>
      <c r="D44" s="992"/>
      <c r="E44" s="993" t="e">
        <f>SUM(E42:E43)</f>
        <v>#DIV/0!</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1"/>
      <c r="E46" s="1021" t="e">
        <f>E40+E44</f>
        <v>#DIV/0!</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0</v>
      </c>
      <c r="D49" s="1227" t="e">
        <f>CONCATENATE(" -   $",ROUND(E46,2)," =")</f>
        <v>#DIV/0!</v>
      </c>
      <c r="E49" s="993" t="e">
        <f>E8-E40-E44</f>
        <v>#DIV/0!</v>
      </c>
      <c r="F49" s="984"/>
      <c r="G49" s="985"/>
    </row>
    <row r="50" spans="1:7" ht="13" customHeight="1" thickBot="1" x14ac:dyDescent="0.35">
      <c r="A50" s="1016" t="s">
        <v>1765</v>
      </c>
      <c r="B50" s="1013"/>
      <c r="C50" s="1319">
        <f>E8</f>
        <v>0</v>
      </c>
      <c r="D50" s="1228" t="e">
        <f>CONCATENATE("   -   $",ROUND(E40,2)," =")</f>
        <v>#DIV/0!</v>
      </c>
      <c r="E50" s="1015" t="e">
        <f>E8-E40</f>
        <v>#DIV/0!</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t="e">
        <f>E46</f>
        <v>#DIV/0!</v>
      </c>
      <c r="E53" s="982" t="e">
        <f>D53/$B$5</f>
        <v>#DIV/0!</v>
      </c>
      <c r="F53" s="984"/>
      <c r="G53" s="985"/>
    </row>
    <row r="54" spans="1:7" ht="13" customHeight="1" x14ac:dyDescent="0.3">
      <c r="A54" s="1002" t="s">
        <v>371</v>
      </c>
      <c r="B54" s="1027"/>
      <c r="C54" s="992"/>
      <c r="D54" s="982" t="e">
        <f>E40</f>
        <v>#DIV/0!</v>
      </c>
      <c r="E54" s="982" t="e">
        <f>D54/$B$5</f>
        <v>#DIV/0!</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1773</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1783</v>
      </c>
      <c r="F72" s="1050"/>
      <c r="G72" s="1051" t="s">
        <v>1735</v>
      </c>
    </row>
    <row r="73" spans="1:7" ht="12.75" customHeight="1" x14ac:dyDescent="0.3">
      <c r="A73" s="1053" t="s">
        <v>1784</v>
      </c>
      <c r="B73" s="982" t="e">
        <f>Rb!D127</f>
        <v>#DIV/0!</v>
      </c>
      <c r="C73" s="982" t="e">
        <f>Rb!D141</f>
        <v>#DIV/0!</v>
      </c>
      <c r="D73" s="982">
        <f>SUM(Rf!J56:J58)/200</f>
        <v>0</v>
      </c>
      <c r="E73" s="982" t="e">
        <f t="shared" ref="E73:E80" si="0">SUM(B73:D73)</f>
        <v>#DIV/0!</v>
      </c>
      <c r="F73" s="1054"/>
      <c r="G73" s="985"/>
    </row>
    <row r="74" spans="1:7" ht="12.75" customHeight="1" x14ac:dyDescent="0.3">
      <c r="A74" s="1053" t="s">
        <v>1429</v>
      </c>
      <c r="B74" s="982" t="e">
        <f>Rb!D128</f>
        <v>#DIV/0!</v>
      </c>
      <c r="C74" s="982" t="e">
        <f>Rb!D142</f>
        <v>#DIV/0!</v>
      </c>
      <c r="D74" s="982">
        <f>(SUM(Rf!J38:J40)/300)</f>
        <v>0</v>
      </c>
      <c r="E74" s="982" t="e">
        <f>SUM(B74:D74)</f>
        <v>#DIV/0!</v>
      </c>
      <c r="F74" s="1054"/>
      <c r="G74" s="985"/>
    </row>
    <row r="75" spans="1:7" ht="12.75" customHeight="1" x14ac:dyDescent="0.3">
      <c r="A75" s="1053" t="s">
        <v>1785</v>
      </c>
      <c r="B75" s="982" t="e">
        <f>Rb!D129</f>
        <v>#DIV/0!</v>
      </c>
      <c r="C75" s="982" t="e">
        <f>Rb!D143</f>
        <v>#DIV/0!</v>
      </c>
      <c r="D75" s="982">
        <f>SUM(Rf!J41:J43)/300</f>
        <v>0</v>
      </c>
      <c r="E75" s="982" t="e">
        <f t="shared" si="0"/>
        <v>#DIV/0!</v>
      </c>
      <c r="F75" s="1054"/>
      <c r="G75" s="985"/>
    </row>
    <row r="76" spans="1:7" ht="12.75" customHeight="1" x14ac:dyDescent="0.3">
      <c r="A76" s="1053" t="s">
        <v>1786</v>
      </c>
      <c r="B76" s="982" t="e">
        <f>Rb!D130</f>
        <v>#DIV/0!</v>
      </c>
      <c r="C76" s="982" t="e">
        <f>Rb!D144</f>
        <v>#DIV/0!</v>
      </c>
      <c r="D76" s="982">
        <f>SUM(Rf!J44:J46)/300</f>
        <v>0</v>
      </c>
      <c r="E76" s="982" t="e">
        <f t="shared" si="0"/>
        <v>#DIV/0!</v>
      </c>
      <c r="F76" s="1054"/>
      <c r="G76" s="985"/>
    </row>
    <row r="77" spans="1:7" ht="12.75" customHeight="1" x14ac:dyDescent="0.3">
      <c r="A77" s="1053" t="s">
        <v>1787</v>
      </c>
      <c r="B77" s="982" t="e">
        <f>Rb!D131</f>
        <v>#DIV/0!</v>
      </c>
      <c r="C77" s="982" t="e">
        <f>Rb!D145</f>
        <v>#DIV/0!</v>
      </c>
      <c r="D77" s="982">
        <f>SUM(Rf!J59:J61)/300</f>
        <v>0</v>
      </c>
      <c r="E77" s="982" t="e">
        <f t="shared" si="0"/>
        <v>#DIV/0!</v>
      </c>
      <c r="F77" s="1054"/>
      <c r="G77" s="985"/>
    </row>
    <row r="78" spans="1:7" ht="12.75" customHeight="1" x14ac:dyDescent="0.3">
      <c r="A78" s="1053" t="s">
        <v>1788</v>
      </c>
      <c r="B78" s="982" t="e">
        <f>Rb!D133</f>
        <v>#DIV/0!</v>
      </c>
      <c r="C78" s="982" t="e">
        <f>Rb!D147</f>
        <v>#DIV/0!</v>
      </c>
      <c r="D78" s="982">
        <f>(SUM(Rf!J69:J71)+SUM(Rf!J72:J74))/300</f>
        <v>0</v>
      </c>
      <c r="E78" s="982" t="e">
        <f t="shared" si="0"/>
        <v>#DIV/0!</v>
      </c>
      <c r="F78" s="1054"/>
      <c r="G78" s="985"/>
    </row>
    <row r="79" spans="1:7" ht="12.75" customHeight="1" x14ac:dyDescent="0.3">
      <c r="A79" s="1055" t="s">
        <v>1819</v>
      </c>
      <c r="B79" s="1017" t="e">
        <f>Rb!D134</f>
        <v>#DIV/0!</v>
      </c>
      <c r="C79" s="1017" t="e">
        <f>Rb!D148</f>
        <v>#DIV/0!</v>
      </c>
      <c r="D79" s="1017">
        <f>SUM(Rf!J26:J28)/300</f>
        <v>0</v>
      </c>
      <c r="E79" s="1017" t="e">
        <f t="shared" si="0"/>
        <v>#DIV/0!</v>
      </c>
      <c r="F79" s="1054"/>
      <c r="G79" s="1056"/>
    </row>
    <row r="80" spans="1:7" ht="12.75" customHeight="1" x14ac:dyDescent="0.3">
      <c r="A80" s="1057" t="s">
        <v>1789</v>
      </c>
      <c r="B80" s="1017" t="e">
        <f>SUM(B73:B79)</f>
        <v>#DIV/0!</v>
      </c>
      <c r="C80" s="1017" t="e">
        <f>SUM(C73:C79)</f>
        <v>#DIV/0!</v>
      </c>
      <c r="D80" s="1017">
        <f>SUM(D73:D79)</f>
        <v>0</v>
      </c>
      <c r="E80" s="1058" t="e">
        <f t="shared" si="0"/>
        <v>#DIV/0!</v>
      </c>
      <c r="F80" s="1059"/>
      <c r="G80" s="1060"/>
    </row>
    <row r="81" spans="1:7" ht="18" customHeight="1" x14ac:dyDescent="0.3">
      <c r="A81" s="1061" t="s">
        <v>1790</v>
      </c>
      <c r="B81" s="1062"/>
      <c r="C81" s="1062"/>
      <c r="D81" s="1062"/>
      <c r="E81" s="1063"/>
      <c r="F81" s="1040"/>
      <c r="G81" s="1040"/>
    </row>
    <row r="82" spans="1:7" ht="37.75" hidden="1" customHeight="1" x14ac:dyDescent="0.25">
      <c r="A82" s="1393"/>
      <c r="B82" s="1393"/>
      <c r="C82" s="1393"/>
      <c r="D82" s="1393"/>
      <c r="E82" s="1393"/>
      <c r="F82" s="1393"/>
      <c r="G82" s="1393"/>
    </row>
    <row r="83" spans="1:7" ht="13.75" customHeight="1" x14ac:dyDescent="0.25">
      <c r="A83" s="1064" t="s">
        <v>1791</v>
      </c>
      <c r="B83" s="1065"/>
      <c r="C83" s="995"/>
      <c r="D83" s="995"/>
      <c r="E83" s="995"/>
      <c r="F83" s="1040"/>
      <c r="G83" s="1040"/>
    </row>
    <row r="84" spans="1:7" ht="16.75" customHeight="1" x14ac:dyDescent="0.25">
      <c r="A84" s="1071" t="s">
        <v>1796</v>
      </c>
      <c r="B84" s="995"/>
      <c r="C84" s="995"/>
      <c r="D84" s="995"/>
      <c r="E84" s="995"/>
      <c r="F84" s="1040"/>
      <c r="G84" s="1040"/>
    </row>
    <row r="85" spans="1:7" ht="24" customHeight="1" x14ac:dyDescent="0.25"/>
    <row r="86" spans="1:7" ht="16.75" customHeight="1" x14ac:dyDescent="0.25">
      <c r="F86"/>
      <c r="G86"/>
    </row>
    <row r="87" spans="1:7" ht="13.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6.75" customHeight="1" x14ac:dyDescent="0.25">
      <c r="F97"/>
      <c r="G97"/>
    </row>
    <row r="98" spans="6:7" ht="13.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row r="107" spans="6:7" ht="13.75" customHeight="1" x14ac:dyDescent="0.25"/>
  </sheetData>
  <sheetProtection algorithmName="SHA-512" hashValue="S853ZiS9GlRpngcIBp4/2c+AbF3qhD+ACnl6AC/OqlObz7HwcQ4LGa2UfKJvpfUHxaHZ3Lk6wESg7XR2F+xpow==" saltValue="onqZHHTsRSAGX30bjV0IKg==" spinCount="100000" sheet="1" objects="1" scenarios="1"/>
  <mergeCells count="14">
    <mergeCell ref="A71:E71"/>
    <mergeCell ref="A82:G82"/>
    <mergeCell ref="A62:G62"/>
    <mergeCell ref="A64:G64"/>
    <mergeCell ref="A65:G65"/>
    <mergeCell ref="A66:G66"/>
    <mergeCell ref="A68:G68"/>
    <mergeCell ref="A69:G69"/>
    <mergeCell ref="A61:G61"/>
    <mergeCell ref="A1:G1"/>
    <mergeCell ref="A2:G2"/>
    <mergeCell ref="A3:G3"/>
    <mergeCell ref="B25:C25"/>
    <mergeCell ref="B39:C39"/>
  </mergeCells>
  <pageMargins left="0.7" right="0.7" top="0.75" bottom="0.75" header="0.3" footer="0.3"/>
  <pageSetup scale="84" orientation="portrait" r:id="rId1"/>
  <rowBreaks count="1" manualBreakCount="1">
    <brk id="57" max="16383" man="1"/>
  </rowBreaks>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A18" sqref="A18"/>
    </sheetView>
  </sheetViews>
  <sheetFormatPr defaultColWidth="9.08984375" defaultRowHeight="13" x14ac:dyDescent="0.3"/>
  <cols>
    <col min="1" max="1" width="41.81640625" style="17" customWidth="1"/>
    <col min="2" max="2" width="10.81640625" style="50" customWidth="1"/>
    <col min="3" max="3" width="7.81640625" style="50" customWidth="1"/>
    <col min="4" max="4" width="10.81640625" style="50" customWidth="1"/>
    <col min="5" max="5" width="7.81640625" style="17" customWidth="1"/>
    <col min="6" max="6" width="10.81640625" style="17" customWidth="1"/>
    <col min="7" max="7" width="9.08984375" style="17"/>
    <col min="8" max="8" width="10.81640625" style="17" customWidth="1"/>
    <col min="9" max="9" width="7.81640625" style="17" customWidth="1"/>
    <col min="10" max="10" width="10.81640625" style="17" customWidth="1"/>
    <col min="11" max="11" width="7.81640625" style="17" customWidth="1"/>
    <col min="12" max="12" width="10.81640625" style="17" customWidth="1"/>
    <col min="13" max="16384" width="9.08984375" style="17"/>
  </cols>
  <sheetData>
    <row r="1" spans="1:6" x14ac:dyDescent="0.3">
      <c r="A1" s="61" t="s">
        <v>146</v>
      </c>
      <c r="B1" s="50" t="str">
        <f>model</f>
        <v>ME Grain &amp; Pulse</v>
      </c>
    </row>
    <row r="3" spans="1:6" x14ac:dyDescent="0.3">
      <c r="A3" s="7" t="s">
        <v>558</v>
      </c>
      <c r="B3" s="55" t="s">
        <v>92</v>
      </c>
      <c r="C3" s="54">
        <f>canola</f>
        <v>0</v>
      </c>
      <c r="D3" s="17" t="s">
        <v>93</v>
      </c>
    </row>
    <row r="4" spans="1:6" x14ac:dyDescent="0.3">
      <c r="A4" s="8"/>
      <c r="B4" s="55" t="s">
        <v>232</v>
      </c>
      <c r="C4" s="54">
        <f>Data!B263</f>
        <v>15</v>
      </c>
      <c r="D4" s="17" t="s">
        <v>233</v>
      </c>
      <c r="E4" s="54">
        <f>C4*100</f>
        <v>1500</v>
      </c>
      <c r="F4" s="17" t="s">
        <v>246</v>
      </c>
    </row>
    <row r="5" spans="1:6" x14ac:dyDescent="0.3">
      <c r="B5" s="55" t="s">
        <v>284</v>
      </c>
      <c r="C5" s="112">
        <f>Data!B260</f>
        <v>28</v>
      </c>
      <c r="D5" s="17" t="s">
        <v>285</v>
      </c>
    </row>
    <row r="6" spans="1:6" x14ac:dyDescent="0.3">
      <c r="B6" s="55"/>
      <c r="C6" s="54"/>
      <c r="D6" s="17"/>
    </row>
    <row r="7" spans="1:6" ht="15.5" x14ac:dyDescent="0.35">
      <c r="A7" s="751" t="s">
        <v>558</v>
      </c>
      <c r="B7" s="697" t="s">
        <v>76</v>
      </c>
      <c r="C7" s="697"/>
      <c r="D7" s="697" t="s">
        <v>77</v>
      </c>
      <c r="E7" s="698"/>
      <c r="F7" s="697" t="s">
        <v>231</v>
      </c>
    </row>
    <row r="8" spans="1:6" ht="15.5" x14ac:dyDescent="0.35">
      <c r="A8" s="699" t="s">
        <v>362</v>
      </c>
      <c r="B8" s="759">
        <f>C3</f>
        <v>0</v>
      </c>
      <c r="C8" s="701"/>
      <c r="D8" s="702" t="s">
        <v>363</v>
      </c>
      <c r="E8" s="703"/>
      <c r="F8" s="702" t="s">
        <v>363</v>
      </c>
    </row>
    <row r="9" spans="1:6" ht="15.5" x14ac:dyDescent="0.35">
      <c r="A9" s="699" t="s">
        <v>803</v>
      </c>
      <c r="B9" s="759">
        <f>C3*C4</f>
        <v>0</v>
      </c>
      <c r="C9" s="701"/>
      <c r="D9" s="760">
        <f>C4</f>
        <v>15</v>
      </c>
      <c r="E9" s="703"/>
      <c r="F9" s="702" t="s">
        <v>363</v>
      </c>
    </row>
    <row r="10" spans="1:6" ht="15.65" customHeight="1" x14ac:dyDescent="0.35">
      <c r="A10" s="699" t="s">
        <v>905</v>
      </c>
      <c r="B10" s="702" t="s">
        <v>363</v>
      </c>
      <c r="C10" s="716"/>
      <c r="D10" s="702" t="s">
        <v>363</v>
      </c>
      <c r="E10" s="752"/>
      <c r="F10" s="715">
        <f>C5</f>
        <v>28</v>
      </c>
    </row>
    <row r="11" spans="1:6" ht="15.5" x14ac:dyDescent="0.35">
      <c r="A11" s="699"/>
      <c r="B11" s="706"/>
      <c r="C11" s="706"/>
      <c r="D11" s="707"/>
      <c r="E11" s="708"/>
      <c r="F11" s="707"/>
    </row>
    <row r="12" spans="1:6" ht="15" x14ac:dyDescent="0.3">
      <c r="A12" s="709" t="s">
        <v>230</v>
      </c>
      <c r="B12" s="710">
        <f>C4*C5*canola</f>
        <v>0</v>
      </c>
      <c r="C12" s="711"/>
      <c r="D12" s="712" t="e">
        <f>B12/canola</f>
        <v>#DIV/0!</v>
      </c>
      <c r="E12" s="713"/>
      <c r="F12" s="712" t="e">
        <f>B12/($E$4*canola)</f>
        <v>#DIV/0!</v>
      </c>
    </row>
    <row r="13" spans="1:6" ht="15.5" x14ac:dyDescent="0.35">
      <c r="A13" s="699"/>
      <c r="B13" s="721"/>
      <c r="C13" s="722"/>
      <c r="D13" s="717"/>
      <c r="E13" s="718"/>
      <c r="F13" s="717"/>
    </row>
    <row r="14" spans="1:6" ht="15.5" x14ac:dyDescent="0.35">
      <c r="A14" s="709" t="s">
        <v>365</v>
      </c>
      <c r="B14" s="715"/>
      <c r="C14" s="716"/>
      <c r="D14" s="717"/>
      <c r="E14" s="718"/>
      <c r="F14" s="717"/>
    </row>
    <row r="15" spans="1:6" ht="15.5" x14ac:dyDescent="0.35">
      <c r="A15" s="714" t="s">
        <v>13</v>
      </c>
      <c r="B15" s="715">
        <f>SUM(CanOprC!H9:H10)</f>
        <v>0</v>
      </c>
      <c r="C15" s="716"/>
      <c r="D15" s="717" t="e">
        <f t="shared" ref="D15:D25" si="0">B15/canola</f>
        <v>#DIV/0!</v>
      </c>
      <c r="E15" s="718"/>
      <c r="F15" s="717" t="e">
        <f t="shared" ref="F15:F25" si="1">B15/($E$4*canola)</f>
        <v>#DIV/0!</v>
      </c>
    </row>
    <row r="16" spans="1:6" ht="15.5" x14ac:dyDescent="0.35">
      <c r="A16" s="714" t="s">
        <v>1</v>
      </c>
      <c r="B16" s="715">
        <f>SUM(CanOprC!H11:H12)</f>
        <v>0</v>
      </c>
      <c r="C16" s="716"/>
      <c r="D16" s="717" t="e">
        <f t="shared" si="0"/>
        <v>#DIV/0!</v>
      </c>
      <c r="E16" s="718"/>
      <c r="F16" s="717" t="e">
        <f t="shared" si="1"/>
        <v>#DIV/0!</v>
      </c>
    </row>
    <row r="17" spans="1:6" ht="15.5" x14ac:dyDescent="0.35">
      <c r="A17" s="714" t="s">
        <v>2</v>
      </c>
      <c r="B17" s="715">
        <f>CanOprC!H14</f>
        <v>0</v>
      </c>
      <c r="C17" s="716"/>
      <c r="D17" s="717" t="e">
        <f t="shared" si="0"/>
        <v>#DIV/0!</v>
      </c>
      <c r="E17" s="718"/>
      <c r="F17" s="717" t="e">
        <f t="shared" si="1"/>
        <v>#DIV/0!</v>
      </c>
    </row>
    <row r="18" spans="1:6" ht="15.5" x14ac:dyDescent="0.35">
      <c r="A18" s="714" t="s">
        <v>1476</v>
      </c>
      <c r="B18" s="699"/>
      <c r="C18" s="699"/>
      <c r="D18" s="699"/>
      <c r="E18" s="699"/>
      <c r="F18" s="699"/>
    </row>
    <row r="19" spans="1:6" ht="15.5" x14ac:dyDescent="0.35">
      <c r="A19" s="714" t="s">
        <v>1119</v>
      </c>
      <c r="B19" s="745">
        <f>SUM(CanOprC!H15:H16)</f>
        <v>0</v>
      </c>
      <c r="C19" s="746"/>
      <c r="D19" s="754" t="e">
        <f>B19/canola</f>
        <v>#DIV/0!</v>
      </c>
      <c r="E19" s="720"/>
      <c r="F19" s="754" t="e">
        <f>B19/($E$4*canola)</f>
        <v>#DIV/0!</v>
      </c>
    </row>
    <row r="20" spans="1:6" ht="15.5" x14ac:dyDescent="0.35">
      <c r="A20" s="714" t="s">
        <v>1120</v>
      </c>
      <c r="B20" s="745">
        <v>0</v>
      </c>
      <c r="C20" s="746"/>
      <c r="D20" s="755" t="e">
        <f>B20/canola</f>
        <v>#DIV/0!</v>
      </c>
      <c r="E20" s="720"/>
      <c r="F20" s="755" t="e">
        <f>B20/($E$4*canola)</f>
        <v>#DIV/0!</v>
      </c>
    </row>
    <row r="21" spans="1:6" ht="15.5" x14ac:dyDescent="0.35">
      <c r="A21" s="714" t="s">
        <v>14</v>
      </c>
      <c r="B21" s="715">
        <f>SUM(CanOprC!H18:H32)</f>
        <v>0</v>
      </c>
      <c r="C21" s="716"/>
      <c r="D21" s="717" t="e">
        <f t="shared" si="0"/>
        <v>#DIV/0!</v>
      </c>
      <c r="E21" s="718"/>
      <c r="F21" s="717" t="e">
        <f t="shared" si="1"/>
        <v>#DIV/0!</v>
      </c>
    </row>
    <row r="22" spans="1:6" ht="15.5" x14ac:dyDescent="0.35">
      <c r="A22" s="714" t="s">
        <v>169</v>
      </c>
      <c r="B22" s="715">
        <f>SUM(CanOprC!H34:H49)</f>
        <v>0</v>
      </c>
      <c r="C22" s="716"/>
      <c r="D22" s="717" t="e">
        <f t="shared" si="0"/>
        <v>#DIV/0!</v>
      </c>
      <c r="E22" s="718"/>
      <c r="F22" s="717" t="e">
        <f t="shared" si="1"/>
        <v>#DIV/0!</v>
      </c>
    </row>
    <row r="23" spans="1:6" ht="15.5" x14ac:dyDescent="0.35">
      <c r="A23" s="714" t="s">
        <v>78</v>
      </c>
      <c r="B23" s="715">
        <f>SUM(CanOprC!H50:H51)</f>
        <v>0</v>
      </c>
      <c r="C23" s="716"/>
      <c r="D23" s="717" t="e">
        <f t="shared" si="0"/>
        <v>#DIV/0!</v>
      </c>
      <c r="E23" s="718"/>
      <c r="F23" s="717" t="e">
        <f t="shared" si="1"/>
        <v>#DIV/0!</v>
      </c>
    </row>
    <row r="24" spans="1:6" ht="15.5" x14ac:dyDescent="0.35">
      <c r="A24" s="714" t="s">
        <v>170</v>
      </c>
      <c r="B24" s="732">
        <f>CanOprC!H52</f>
        <v>0</v>
      </c>
      <c r="C24" s="733"/>
      <c r="D24" s="719" t="e">
        <f t="shared" si="0"/>
        <v>#DIV/0!</v>
      </c>
      <c r="E24" s="720"/>
      <c r="F24" s="719" t="e">
        <f t="shared" si="1"/>
        <v>#DIV/0!</v>
      </c>
    </row>
    <row r="25" spans="1:6" ht="15.5" x14ac:dyDescent="0.35">
      <c r="A25" s="714" t="s">
        <v>171</v>
      </c>
      <c r="B25" s="732">
        <f>SUM(CanOprC!H53:H54)</f>
        <v>0</v>
      </c>
      <c r="C25" s="733"/>
      <c r="D25" s="717" t="e">
        <f t="shared" si="0"/>
        <v>#DIV/0!</v>
      </c>
      <c r="E25" s="718"/>
      <c r="F25" s="785" t="e">
        <f t="shared" si="1"/>
        <v>#DIV/0!</v>
      </c>
    </row>
    <row r="26" spans="1:6" ht="15.5" x14ac:dyDescent="0.35">
      <c r="A26" s="714" t="s">
        <v>172</v>
      </c>
      <c r="B26" s="732"/>
      <c r="C26" s="733"/>
      <c r="D26" s="717"/>
      <c r="E26" s="718"/>
      <c r="F26" s="717"/>
    </row>
    <row r="27" spans="1:6" ht="15.5" x14ac:dyDescent="0.35">
      <c r="A27" s="734" t="s">
        <v>439</v>
      </c>
      <c r="B27" s="732">
        <f>CanOprC!H56</f>
        <v>0</v>
      </c>
      <c r="C27" s="733"/>
      <c r="D27" s="717" t="e">
        <f t="shared" ref="D27:D33" si="2">B27/canola</f>
        <v>#DIV/0!</v>
      </c>
      <c r="E27" s="718"/>
      <c r="F27" s="717" t="e">
        <f t="shared" ref="F27:F33" si="3">B27/($E$4*canola)</f>
        <v>#DIV/0!</v>
      </c>
    </row>
    <row r="28" spans="1:6" ht="15.5" x14ac:dyDescent="0.35">
      <c r="A28" s="734" t="s">
        <v>440</v>
      </c>
      <c r="B28" s="732">
        <f>CanOprC!H57</f>
        <v>0</v>
      </c>
      <c r="C28" s="733"/>
      <c r="D28" s="719" t="e">
        <f t="shared" si="2"/>
        <v>#DIV/0!</v>
      </c>
      <c r="E28" s="720"/>
      <c r="F28" s="719" t="e">
        <f t="shared" si="3"/>
        <v>#DIV/0!</v>
      </c>
    </row>
    <row r="29" spans="1:6" ht="15.5" x14ac:dyDescent="0.35">
      <c r="A29" s="734" t="s">
        <v>441</v>
      </c>
      <c r="B29" s="732">
        <f>SUM(CanOprC!H59:H61)</f>
        <v>0</v>
      </c>
      <c r="C29" s="733"/>
      <c r="D29" s="717" t="e">
        <f t="shared" si="2"/>
        <v>#DIV/0!</v>
      </c>
      <c r="E29" s="720"/>
      <c r="F29" s="717" t="e">
        <f t="shared" si="3"/>
        <v>#DIV/0!</v>
      </c>
    </row>
    <row r="30" spans="1:6" ht="15.5" x14ac:dyDescent="0.35">
      <c r="A30" s="734" t="s">
        <v>442</v>
      </c>
      <c r="B30" s="732">
        <f>SUM(CanOprC!H62:H66)</f>
        <v>0</v>
      </c>
      <c r="C30" s="733"/>
      <c r="D30" s="717" t="e">
        <f t="shared" si="2"/>
        <v>#DIV/0!</v>
      </c>
      <c r="E30" s="718"/>
      <c r="F30" s="785" t="e">
        <f t="shared" si="3"/>
        <v>#DIV/0!</v>
      </c>
    </row>
    <row r="31" spans="1:6" ht="15.5" x14ac:dyDescent="0.35">
      <c r="A31" s="716" t="s">
        <v>382</v>
      </c>
      <c r="B31" s="732">
        <f>CanOprC!H69</f>
        <v>0</v>
      </c>
      <c r="C31" s="733"/>
      <c r="D31" s="719" t="e">
        <f t="shared" si="2"/>
        <v>#DIV/0!</v>
      </c>
      <c r="E31" s="720"/>
      <c r="F31" s="719" t="e">
        <f t="shared" si="3"/>
        <v>#DIV/0!</v>
      </c>
    </row>
    <row r="32" spans="1:6" ht="15.5" x14ac:dyDescent="0.35">
      <c r="A32" s="734" t="s">
        <v>443</v>
      </c>
      <c r="B32" s="732">
        <f>SUM(CanOprC!H71:H73)</f>
        <v>0</v>
      </c>
      <c r="C32" s="733"/>
      <c r="D32" s="719" t="e">
        <f t="shared" si="2"/>
        <v>#DIV/0!</v>
      </c>
      <c r="E32" s="720"/>
      <c r="F32" s="719" t="e">
        <f t="shared" si="3"/>
        <v>#DIV/0!</v>
      </c>
    </row>
    <row r="33" spans="1:12" ht="15.5" x14ac:dyDescent="0.35">
      <c r="A33" s="714" t="s">
        <v>69</v>
      </c>
      <c r="B33" s="732">
        <f>CanOprC!H77</f>
        <v>0</v>
      </c>
      <c r="C33" s="733"/>
      <c r="D33" s="717" t="e">
        <f t="shared" si="2"/>
        <v>#DIV/0!</v>
      </c>
      <c r="E33" s="718"/>
      <c r="F33" s="785" t="e">
        <f t="shared" si="3"/>
        <v>#DIV/0!</v>
      </c>
    </row>
    <row r="34" spans="1:12" ht="15" x14ac:dyDescent="0.3">
      <c r="A34" s="709" t="s">
        <v>366</v>
      </c>
      <c r="B34" s="735">
        <f>SUM(B15:B33)</f>
        <v>0</v>
      </c>
      <c r="C34" s="736"/>
      <c r="D34" s="737" t="e">
        <f>SUM(D15:D33)</f>
        <v>#DIV/0!</v>
      </c>
      <c r="E34" s="737"/>
      <c r="F34" s="737" t="e">
        <f>SUM(F15:F33)</f>
        <v>#DIV/0!</v>
      </c>
    </row>
    <row r="35" spans="1:12" ht="15.5" x14ac:dyDescent="0.35">
      <c r="A35" s="738"/>
      <c r="B35" s="732"/>
      <c r="C35" s="733"/>
      <c r="D35" s="739"/>
      <c r="E35" s="740"/>
      <c r="F35" s="740"/>
    </row>
    <row r="36" spans="1:12" ht="15.5" x14ac:dyDescent="0.35">
      <c r="A36" s="709" t="s">
        <v>367</v>
      </c>
      <c r="B36" s="732"/>
      <c r="C36" s="733"/>
      <c r="D36" s="739"/>
      <c r="E36" s="740"/>
      <c r="F36" s="740"/>
    </row>
    <row r="37" spans="1:12" ht="15.5" x14ac:dyDescent="0.35">
      <c r="A37" s="714" t="s">
        <v>29</v>
      </c>
      <c r="B37" s="732"/>
      <c r="C37" s="733"/>
      <c r="D37" s="717"/>
      <c r="E37" s="740"/>
      <c r="F37" s="717"/>
      <c r="H37" s="764" t="s">
        <v>29</v>
      </c>
    </row>
    <row r="38" spans="1:12" ht="15.5" x14ac:dyDescent="0.35">
      <c r="A38" s="734" t="s">
        <v>1240</v>
      </c>
      <c r="B38" s="732">
        <f>SUM(CanOwnC!H8:H10)</f>
        <v>0</v>
      </c>
      <c r="C38" s="733"/>
      <c r="D38" s="717" t="e">
        <f t="shared" ref="D38:D50" si="4">B38/canola</f>
        <v>#DIV/0!</v>
      </c>
      <c r="E38" s="740"/>
      <c r="F38" s="717" t="e">
        <f t="shared" ref="F38:F50" si="5">B38/($E$4*canola)</f>
        <v>#DIV/0!</v>
      </c>
      <c r="H38" s="697" t="s">
        <v>76</v>
      </c>
      <c r="I38" s="697"/>
      <c r="J38" s="697" t="s">
        <v>77</v>
      </c>
      <c r="K38" s="698"/>
      <c r="L38" s="697" t="s">
        <v>231</v>
      </c>
    </row>
    <row r="39" spans="1:12" ht="15.5" x14ac:dyDescent="0.35">
      <c r="A39" s="734" t="s">
        <v>1241</v>
      </c>
      <c r="B39" s="732">
        <f>SUM(CanOwnC!H11:H13)</f>
        <v>0</v>
      </c>
      <c r="C39" s="733"/>
      <c r="D39" s="717" t="e">
        <f t="shared" si="4"/>
        <v>#DIV/0!</v>
      </c>
      <c r="E39" s="740"/>
      <c r="F39" s="785" t="e">
        <f t="shared" si="5"/>
        <v>#DIV/0!</v>
      </c>
      <c r="H39" s="763">
        <f>SUM(B38:B49)</f>
        <v>0</v>
      </c>
      <c r="J39" s="756" t="e">
        <f>SUM(D38:D49)</f>
        <v>#DIV/0!</v>
      </c>
      <c r="L39" s="756" t="e">
        <f>SUM(F38:F49)</f>
        <v>#DIV/0!</v>
      </c>
    </row>
    <row r="40" spans="1:12" ht="15.5" x14ac:dyDescent="0.35">
      <c r="A40" s="734" t="s">
        <v>1243</v>
      </c>
      <c r="B40" s="732">
        <f>SUM(CanOwnC!H14:H18)</f>
        <v>0</v>
      </c>
      <c r="C40" s="733"/>
      <c r="D40" s="717" t="e">
        <f t="shared" si="4"/>
        <v>#DIV/0!</v>
      </c>
      <c r="E40" s="740"/>
      <c r="F40" s="785" t="e">
        <f t="shared" si="5"/>
        <v>#DIV/0!</v>
      </c>
    </row>
    <row r="41" spans="1:12" ht="15.5" x14ac:dyDescent="0.35">
      <c r="A41" s="734" t="s">
        <v>1242</v>
      </c>
      <c r="B41" s="732">
        <f>SUM(CanOwnC!H19:H22)</f>
        <v>0</v>
      </c>
      <c r="C41" s="733"/>
      <c r="D41" s="717" t="e">
        <f t="shared" si="4"/>
        <v>#DIV/0!</v>
      </c>
      <c r="E41" s="740"/>
      <c r="F41" s="785" t="e">
        <f t="shared" si="5"/>
        <v>#DIV/0!</v>
      </c>
    </row>
    <row r="42" spans="1:12" ht="15.5" x14ac:dyDescent="0.35">
      <c r="A42" s="734" t="s">
        <v>1244</v>
      </c>
      <c r="B42" s="732">
        <f>SUM(CanOwnC!H23:H25)</f>
        <v>0</v>
      </c>
      <c r="C42" s="733"/>
      <c r="D42" s="717" t="e">
        <f t="shared" si="4"/>
        <v>#DIV/0!</v>
      </c>
      <c r="E42" s="740"/>
      <c r="F42" s="785" t="e">
        <f t="shared" si="5"/>
        <v>#DIV/0!</v>
      </c>
    </row>
    <row r="43" spans="1:12" ht="15.5" x14ac:dyDescent="0.35">
      <c r="A43" s="734" t="s">
        <v>1245</v>
      </c>
      <c r="B43" s="732">
        <f>0</f>
        <v>0</v>
      </c>
      <c r="C43" s="733"/>
      <c r="D43" s="719" t="e">
        <f t="shared" si="4"/>
        <v>#DIV/0!</v>
      </c>
      <c r="E43" s="786"/>
      <c r="F43" s="719" t="e">
        <f t="shared" si="5"/>
        <v>#DIV/0!</v>
      </c>
    </row>
    <row r="44" spans="1:12" ht="15.5" x14ac:dyDescent="0.35">
      <c r="A44" s="734" t="s">
        <v>1246</v>
      </c>
      <c r="B44" s="732">
        <f>SUM(CanOwnC!H26:H29)</f>
        <v>0</v>
      </c>
      <c r="C44" s="733"/>
      <c r="D44" s="717" t="e">
        <f t="shared" si="4"/>
        <v>#DIV/0!</v>
      </c>
      <c r="E44" s="740"/>
      <c r="F44" s="717" t="e">
        <f t="shared" si="5"/>
        <v>#DIV/0!</v>
      </c>
    </row>
    <row r="45" spans="1:12" ht="15.5" x14ac:dyDescent="0.35">
      <c r="A45" s="734" t="s">
        <v>1247</v>
      </c>
      <c r="B45" s="732">
        <f>SUM(CanOwnC!H30:H33)</f>
        <v>0</v>
      </c>
      <c r="C45" s="733"/>
      <c r="D45" s="717" t="e">
        <f t="shared" si="4"/>
        <v>#DIV/0!</v>
      </c>
      <c r="E45" s="740"/>
      <c r="F45" s="787" t="e">
        <f t="shared" si="5"/>
        <v>#DIV/0!</v>
      </c>
    </row>
    <row r="46" spans="1:12" ht="15.5" x14ac:dyDescent="0.35">
      <c r="A46" s="734" t="s">
        <v>1250</v>
      </c>
      <c r="B46" s="732">
        <f>SUM(CanOwnC!H34:H37)</f>
        <v>0</v>
      </c>
      <c r="C46" s="733"/>
      <c r="D46" s="717" t="e">
        <f t="shared" si="4"/>
        <v>#DIV/0!</v>
      </c>
      <c r="E46" s="740"/>
      <c r="F46" s="785" t="e">
        <f t="shared" si="5"/>
        <v>#DIV/0!</v>
      </c>
    </row>
    <row r="47" spans="1:12" ht="15.5" x14ac:dyDescent="0.35">
      <c r="A47" s="734" t="s">
        <v>1304</v>
      </c>
      <c r="B47" s="732">
        <f>0</f>
        <v>0</v>
      </c>
      <c r="C47" s="733"/>
      <c r="D47" s="719" t="e">
        <f t="shared" si="4"/>
        <v>#DIV/0!</v>
      </c>
      <c r="E47" s="786"/>
      <c r="F47" s="719" t="e">
        <f t="shared" si="5"/>
        <v>#DIV/0!</v>
      </c>
    </row>
    <row r="48" spans="1:12" ht="15.5" x14ac:dyDescent="0.35">
      <c r="A48" s="734" t="s">
        <v>1248</v>
      </c>
      <c r="B48" s="732">
        <f>SUM(CanOwnC!H38:H39)</f>
        <v>0</v>
      </c>
      <c r="C48" s="733"/>
      <c r="D48" s="717" t="e">
        <f t="shared" si="4"/>
        <v>#DIV/0!</v>
      </c>
      <c r="E48" s="740"/>
      <c r="F48" s="717" t="e">
        <f t="shared" si="5"/>
        <v>#DIV/0!</v>
      </c>
    </row>
    <row r="49" spans="1:8" ht="15.5" x14ac:dyDescent="0.35">
      <c r="A49" s="734" t="s">
        <v>1249</v>
      </c>
      <c r="B49" s="732">
        <f>SUM(CanOwnC!H40:H42)</f>
        <v>0</v>
      </c>
      <c r="C49" s="733"/>
      <c r="D49" s="717" t="e">
        <f t="shared" si="4"/>
        <v>#DIV/0!</v>
      </c>
      <c r="E49" s="740"/>
      <c r="F49" s="785" t="e">
        <f t="shared" si="5"/>
        <v>#DIV/0!</v>
      </c>
    </row>
    <row r="50" spans="1:8" ht="15.5" x14ac:dyDescent="0.35">
      <c r="A50" s="714" t="s">
        <v>79</v>
      </c>
      <c r="B50" s="732">
        <f>CanOwnC!L50</f>
        <v>0</v>
      </c>
      <c r="C50" s="733"/>
      <c r="D50" s="717" t="e">
        <f t="shared" si="4"/>
        <v>#DIV/0!</v>
      </c>
      <c r="E50" s="740"/>
      <c r="F50" s="785" t="e">
        <f t="shared" si="5"/>
        <v>#DIV/0!</v>
      </c>
    </row>
    <row r="51" spans="1:8" ht="15" x14ac:dyDescent="0.3">
      <c r="A51" s="709" t="s">
        <v>368</v>
      </c>
      <c r="B51" s="735">
        <f>SUM(B37:B50)</f>
        <v>0</v>
      </c>
      <c r="C51" s="736"/>
      <c r="D51" s="737" t="e">
        <f>SUM(D37:D50)</f>
        <v>#DIV/0!</v>
      </c>
      <c r="E51" s="737"/>
      <c r="F51" s="737" t="e">
        <f>SUM(F37:F50)</f>
        <v>#DIV/0!</v>
      </c>
    </row>
    <row r="52" spans="1:8" ht="15.5" x14ac:dyDescent="0.35">
      <c r="A52" s="699"/>
      <c r="B52" s="735"/>
      <c r="C52" s="736"/>
      <c r="D52" s="737"/>
      <c r="E52" s="741"/>
      <c r="F52" s="741"/>
    </row>
    <row r="53" spans="1:8" ht="15" x14ac:dyDescent="0.3">
      <c r="A53" s="709" t="s">
        <v>80</v>
      </c>
      <c r="B53" s="735">
        <f>B51+B34</f>
        <v>0</v>
      </c>
      <c r="C53" s="736"/>
      <c r="D53" s="737" t="e">
        <f>D51+D34</f>
        <v>#DIV/0!</v>
      </c>
      <c r="E53" s="737"/>
      <c r="F53" s="737" t="e">
        <f>F51+F34</f>
        <v>#DIV/0!</v>
      </c>
      <c r="H53" s="52"/>
    </row>
    <row r="54" spans="1:8" ht="15.5" x14ac:dyDescent="0.35">
      <c r="A54" s="742"/>
      <c r="B54" s="735"/>
      <c r="C54" s="736"/>
      <c r="D54" s="737"/>
      <c r="E54" s="737"/>
      <c r="F54" s="737"/>
    </row>
    <row r="55" spans="1:8" ht="15" x14ac:dyDescent="0.3">
      <c r="A55" s="709" t="s">
        <v>355</v>
      </c>
      <c r="B55" s="710">
        <f>B12-B53</f>
        <v>0</v>
      </c>
      <c r="C55" s="736"/>
      <c r="D55" s="712" t="e">
        <f>D12-D53</f>
        <v>#DIV/0!</v>
      </c>
      <c r="E55" s="737"/>
      <c r="F55" s="712" t="e">
        <f>F12-F53</f>
        <v>#DIV/0!</v>
      </c>
    </row>
    <row r="56" spans="1:8" ht="15" x14ac:dyDescent="0.3">
      <c r="A56" s="709" t="s">
        <v>356</v>
      </c>
      <c r="B56" s="735">
        <f>B12-B34</f>
        <v>0</v>
      </c>
      <c r="C56" s="736"/>
      <c r="D56" s="737" t="e">
        <f>D12-D34</f>
        <v>#DIV/0!</v>
      </c>
      <c r="E56" s="737"/>
      <c r="F56" s="737" t="e">
        <f>F12-F34</f>
        <v>#DIV/0!</v>
      </c>
    </row>
    <row r="57" spans="1:8" ht="15.5" x14ac:dyDescent="0.35">
      <c r="A57" s="699"/>
      <c r="B57" s="743"/>
      <c r="C57" s="743"/>
      <c r="D57" s="702"/>
      <c r="E57" s="703"/>
      <c r="F57" s="703"/>
    </row>
    <row r="58" spans="1:8" ht="15.5" x14ac:dyDescent="0.35">
      <c r="A58" s="709" t="s">
        <v>234</v>
      </c>
      <c r="B58" s="743"/>
      <c r="C58" s="743"/>
      <c r="D58" s="702"/>
      <c r="E58" s="703"/>
      <c r="F58" s="703"/>
    </row>
    <row r="59" spans="1:8" ht="12.75" customHeight="1" x14ac:dyDescent="0.35">
      <c r="A59" s="744" t="s">
        <v>369</v>
      </c>
      <c r="B59" s="703" t="s">
        <v>76</v>
      </c>
      <c r="C59" s="743"/>
      <c r="D59" s="703" t="s">
        <v>393</v>
      </c>
      <c r="E59" s="703"/>
      <c r="F59" s="703" t="s">
        <v>394</v>
      </c>
    </row>
    <row r="60" spans="1:8" ht="15.5" x14ac:dyDescent="0.35">
      <c r="A60" s="714" t="s">
        <v>370</v>
      </c>
      <c r="B60" s="745">
        <f>B53</f>
        <v>0</v>
      </c>
      <c r="C60" s="743"/>
      <c r="D60" s="717" t="e">
        <f>$B$53/canola</f>
        <v>#DIV/0!</v>
      </c>
      <c r="E60" s="718"/>
      <c r="F60" s="717" t="e">
        <f>$B$53/($C$4*canola)</f>
        <v>#DIV/0!</v>
      </c>
    </row>
    <row r="61" spans="1:8" ht="15.5" x14ac:dyDescent="0.35">
      <c r="A61" s="714" t="s">
        <v>371</v>
      </c>
      <c r="B61" s="745">
        <f>B34</f>
        <v>0</v>
      </c>
      <c r="C61" s="743"/>
      <c r="D61" s="717" t="e">
        <f>$B$34/canola</f>
        <v>#DIV/0!</v>
      </c>
      <c r="E61" s="718"/>
      <c r="F61" s="717" t="e">
        <f>$B$34/($C$4*canola)</f>
        <v>#DIV/0!</v>
      </c>
    </row>
    <row r="62" spans="1:8" ht="15.5" x14ac:dyDescent="0.35">
      <c r="A62" s="714"/>
      <c r="B62" s="743"/>
      <c r="C62" s="743"/>
      <c r="D62" s="717"/>
      <c r="E62" s="718"/>
      <c r="F62" s="717"/>
    </row>
    <row r="63" spans="1:8" ht="15.5" x14ac:dyDescent="0.35">
      <c r="A63" s="744" t="s">
        <v>1099</v>
      </c>
      <c r="B63" s="703" t="s">
        <v>1100</v>
      </c>
      <c r="C63" s="743"/>
      <c r="D63" s="717"/>
      <c r="E63" s="718"/>
      <c r="F63" s="717"/>
    </row>
    <row r="64" spans="1:8" ht="15.5" x14ac:dyDescent="0.35">
      <c r="A64" s="714" t="s">
        <v>1101</v>
      </c>
      <c r="B64" s="746" t="e">
        <f>B55/SUM(CanOprC!E18:E33)</f>
        <v>#DIV/0!</v>
      </c>
      <c r="C64" s="743"/>
      <c r="D64" s="717"/>
      <c r="E64" s="718"/>
      <c r="F64" s="717"/>
    </row>
    <row r="65" spans="1:6" ht="15.5" x14ac:dyDescent="0.35">
      <c r="A65" s="714" t="s">
        <v>1102</v>
      </c>
      <c r="B65" s="746" t="e">
        <f>B56/SUM(CanOprC!E18:E33)</f>
        <v>#DIV/0!</v>
      </c>
      <c r="C65" s="743"/>
      <c r="D65" s="717"/>
      <c r="E65" s="718"/>
      <c r="F65" s="717"/>
    </row>
    <row r="66" spans="1:6" ht="15.5" x14ac:dyDescent="0.35">
      <c r="A66" s="747"/>
      <c r="B66" s="748"/>
      <c r="C66" s="748"/>
      <c r="D66" s="749"/>
      <c r="E66" s="750"/>
      <c r="F66" s="750"/>
    </row>
  </sheetData>
  <phoneticPr fontId="16" type="noConversion"/>
  <pageMargins left="0.7" right="0.7" top="0.75" bottom="0.75" header="0.3" footer="0.3"/>
  <pageSetup orientation="portrait" horizontalDpi="4294967294" verticalDpi="0"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18"/>
  <sheetViews>
    <sheetView workbookViewId="0">
      <pane ySplit="7" topLeftCell="A19" activePane="bottomLeft" state="frozen"/>
      <selection pane="bottomLeft" activeCell="A20" sqref="A20"/>
    </sheetView>
  </sheetViews>
  <sheetFormatPr defaultColWidth="9.08984375" defaultRowHeight="13" x14ac:dyDescent="0.3"/>
  <cols>
    <col min="1" max="1" width="39.6328125" style="17" customWidth="1"/>
    <col min="2" max="2" width="9.6328125" style="17" customWidth="1"/>
    <col min="3" max="3" width="13.6328125" style="17" customWidth="1"/>
    <col min="4" max="5" width="10.6328125" style="17" customWidth="1"/>
    <col min="6" max="6" width="12.6328125" style="17" customWidth="1"/>
    <col min="7" max="7" width="10.6328125" style="17" customWidth="1"/>
    <col min="8" max="8" width="13.6328125" style="17" customWidth="1"/>
    <col min="9" max="9" width="9.6328125" style="17" customWidth="1"/>
    <col min="10" max="10" width="12.6328125" style="17" customWidth="1"/>
    <col min="11" max="14" width="9.08984375" style="17"/>
    <col min="15" max="15" width="16.54296875" style="17" bestFit="1" customWidth="1"/>
    <col min="16" max="16384" width="9.08984375" style="17"/>
  </cols>
  <sheetData>
    <row r="1" spans="1:13" x14ac:dyDescent="0.3">
      <c r="A1" s="61" t="s">
        <v>146</v>
      </c>
      <c r="B1" s="17" t="str">
        <f>model</f>
        <v>ME Grain &amp; Pulse</v>
      </c>
      <c r="H1" s="55" t="s">
        <v>666</v>
      </c>
      <c r="I1" s="204" t="s">
        <v>661</v>
      </c>
    </row>
    <row r="2" spans="1:13" x14ac:dyDescent="0.3">
      <c r="H2" s="55" t="s">
        <v>680</v>
      </c>
      <c r="I2" s="204" t="s">
        <v>679</v>
      </c>
    </row>
    <row r="3" spans="1:13" x14ac:dyDescent="0.3">
      <c r="B3" s="4"/>
      <c r="H3" s="55" t="s">
        <v>680</v>
      </c>
      <c r="I3" s="204" t="s">
        <v>681</v>
      </c>
    </row>
    <row r="4" spans="1:13" x14ac:dyDescent="0.3">
      <c r="A4" s="7" t="s">
        <v>559</v>
      </c>
      <c r="B4" s="8" t="s">
        <v>92</v>
      </c>
      <c r="C4" s="65">
        <f>broccoli</f>
        <v>0</v>
      </c>
      <c r="D4" s="4" t="s">
        <v>93</v>
      </c>
      <c r="H4" s="55" t="s">
        <v>665</v>
      </c>
      <c r="I4" s="204" t="s">
        <v>662</v>
      </c>
    </row>
    <row r="5" spans="1:13" x14ac:dyDescent="0.3">
      <c r="H5" s="55" t="s">
        <v>672</v>
      </c>
      <c r="I5" s="204" t="s">
        <v>664</v>
      </c>
    </row>
    <row r="6" spans="1:13" ht="13.5" x14ac:dyDescent="0.35">
      <c r="A6" s="5" t="s">
        <v>0</v>
      </c>
      <c r="H6" s="55" t="s">
        <v>673</v>
      </c>
      <c r="I6" s="204" t="s">
        <v>663</v>
      </c>
    </row>
    <row r="7" spans="1:13" s="27" customFormat="1" ht="26" x14ac:dyDescent="0.3">
      <c r="A7" s="41"/>
      <c r="B7" s="391" t="s">
        <v>919</v>
      </c>
      <c r="C7" s="42" t="s">
        <v>21</v>
      </c>
      <c r="D7" s="42" t="s">
        <v>22</v>
      </c>
      <c r="E7" s="227" t="s">
        <v>900</v>
      </c>
      <c r="F7" s="42" t="s">
        <v>23</v>
      </c>
      <c r="G7" s="42" t="s">
        <v>24</v>
      </c>
      <c r="H7" s="42" t="s">
        <v>65</v>
      </c>
    </row>
    <row r="8" spans="1:13" x14ac:dyDescent="0.3">
      <c r="A8" s="3" t="s">
        <v>13</v>
      </c>
      <c r="B8" s="3"/>
      <c r="L8" s="55" t="s">
        <v>646</v>
      </c>
      <c r="M8" s="55" t="s">
        <v>1</v>
      </c>
    </row>
    <row r="9" spans="1:13" x14ac:dyDescent="0.3">
      <c r="A9" s="6" t="s">
        <v>524</v>
      </c>
      <c r="B9" s="397">
        <v>1</v>
      </c>
      <c r="C9" s="278">
        <v>1.5</v>
      </c>
      <c r="D9" s="34" t="s">
        <v>126</v>
      </c>
      <c r="E9" s="60">
        <f>C9*broccoli</f>
        <v>0</v>
      </c>
      <c r="F9" s="283">
        <f>150/C9</f>
        <v>100</v>
      </c>
      <c r="G9" s="114">
        <f>C9*F9</f>
        <v>150</v>
      </c>
      <c r="H9" s="109">
        <f>B9*G9*broccoli</f>
        <v>0</v>
      </c>
      <c r="L9" s="55" t="s">
        <v>246</v>
      </c>
      <c r="M9" s="55" t="s">
        <v>246</v>
      </c>
    </row>
    <row r="10" spans="1:13" x14ac:dyDescent="0.3">
      <c r="A10" s="3" t="s">
        <v>1</v>
      </c>
      <c r="B10" s="3"/>
      <c r="C10" s="46"/>
      <c r="D10" s="34"/>
      <c r="E10" s="34"/>
      <c r="F10" s="104"/>
      <c r="G10" s="114"/>
      <c r="H10" s="109"/>
      <c r="K10" s="55" t="s">
        <v>669</v>
      </c>
      <c r="L10" s="26">
        <v>70</v>
      </c>
      <c r="M10" s="202">
        <f>L10/0.07</f>
        <v>999.99999999999989</v>
      </c>
    </row>
    <row r="11" spans="1:13" x14ac:dyDescent="0.3">
      <c r="A11" s="6" t="s">
        <v>670</v>
      </c>
      <c r="B11" s="397">
        <v>1</v>
      </c>
      <c r="C11" s="278">
        <f>1000/2000</f>
        <v>0.5</v>
      </c>
      <c r="D11" s="34" t="s">
        <v>26</v>
      </c>
      <c r="E11" s="60">
        <f>C11*broccoli</f>
        <v>0</v>
      </c>
      <c r="F11" s="608">
        <v>575</v>
      </c>
      <c r="G11" s="114">
        <f>C11*F11</f>
        <v>287.5</v>
      </c>
      <c r="H11" s="109">
        <f>B11*G11*broccoli</f>
        <v>0</v>
      </c>
      <c r="K11" s="55" t="s">
        <v>668</v>
      </c>
      <c r="L11" s="26">
        <v>100</v>
      </c>
      <c r="M11" s="202">
        <f>L11/0.1</f>
        <v>1000</v>
      </c>
    </row>
    <row r="12" spans="1:13" x14ac:dyDescent="0.3">
      <c r="A12" s="6" t="s">
        <v>671</v>
      </c>
      <c r="B12" s="397">
        <v>1</v>
      </c>
      <c r="C12" s="278">
        <f>75/2000</f>
        <v>3.7499999999999999E-2</v>
      </c>
      <c r="D12" s="34" t="s">
        <v>26</v>
      </c>
      <c r="E12" s="60">
        <f>C12*broccoli</f>
        <v>0</v>
      </c>
      <c r="F12" s="608">
        <v>575</v>
      </c>
      <c r="G12" s="114">
        <f>C12*F12</f>
        <v>21.5625</v>
      </c>
      <c r="H12" s="109">
        <f>B12*G12*broccoli</f>
        <v>0</v>
      </c>
      <c r="I12" s="108">
        <f>SUM(H11:H12)</f>
        <v>0</v>
      </c>
      <c r="K12" s="55" t="s">
        <v>667</v>
      </c>
      <c r="L12" s="202">
        <v>100</v>
      </c>
      <c r="M12" s="202">
        <f>L12/0.1</f>
        <v>1000</v>
      </c>
    </row>
    <row r="13" spans="1:13" x14ac:dyDescent="0.3">
      <c r="A13" s="6" t="s">
        <v>2</v>
      </c>
      <c r="B13" s="397">
        <v>1</v>
      </c>
      <c r="C13" s="369">
        <f>limeapp</f>
        <v>0.2</v>
      </c>
      <c r="D13" s="34" t="s">
        <v>26</v>
      </c>
      <c r="E13" s="60">
        <f>C13*broccoli</f>
        <v>0</v>
      </c>
      <c r="F13" s="175">
        <f>lime</f>
        <v>38.260869565217391</v>
      </c>
      <c r="G13" s="114">
        <f>C13*F13</f>
        <v>7.6521739130434785</v>
      </c>
      <c r="H13" s="109">
        <f>B13*G13*broccoli</f>
        <v>0</v>
      </c>
      <c r="I13" s="52"/>
    </row>
    <row r="14" spans="1:13" x14ac:dyDescent="0.3">
      <c r="A14" s="3" t="s">
        <v>1476</v>
      </c>
      <c r="B14" s="3"/>
      <c r="C14" s="46"/>
      <c r="D14" s="34"/>
      <c r="E14" s="34"/>
      <c r="F14" s="104"/>
      <c r="G14" s="114"/>
      <c r="H14" s="109"/>
      <c r="I14" s="98">
        <f>SUM(G11:G12)</f>
        <v>309.0625</v>
      </c>
    </row>
    <row r="15" spans="1:13" x14ac:dyDescent="0.3">
      <c r="A15" s="6" t="s">
        <v>17</v>
      </c>
      <c r="B15" s="397">
        <v>1</v>
      </c>
      <c r="C15" s="278">
        <v>2.2000000000000002</v>
      </c>
      <c r="D15" s="34" t="s">
        <v>113</v>
      </c>
      <c r="E15" s="60">
        <f>C15*broccoli</f>
        <v>0</v>
      </c>
      <c r="F15" s="283">
        <f>5+(5*Data!$L$275)</f>
        <v>9.2009424436216776</v>
      </c>
      <c r="G15" s="114">
        <f>C15*F15</f>
        <v>20.242073375967692</v>
      </c>
      <c r="H15" s="109">
        <f>B15*G15*broccoli</f>
        <v>0</v>
      </c>
    </row>
    <row r="16" spans="1:13" x14ac:dyDescent="0.3">
      <c r="A16" s="6" t="s">
        <v>16</v>
      </c>
      <c r="B16" s="6"/>
      <c r="C16" s="46"/>
      <c r="D16" s="34"/>
      <c r="E16" s="34"/>
      <c r="F16" s="104"/>
      <c r="G16" s="114"/>
      <c r="H16" s="109"/>
      <c r="I16" s="108"/>
      <c r="K16" s="7" t="s">
        <v>1089</v>
      </c>
    </row>
    <row r="17" spans="1:15" x14ac:dyDescent="0.3">
      <c r="A17" s="6" t="s">
        <v>674</v>
      </c>
      <c r="B17" s="397">
        <v>1</v>
      </c>
      <c r="C17" s="278">
        <v>3</v>
      </c>
      <c r="D17" s="34" t="s">
        <v>166</v>
      </c>
      <c r="E17" s="60">
        <f>C17*broccoli</f>
        <v>0</v>
      </c>
      <c r="F17" s="283">
        <f>5.7+(5.7*Data!$L$275)</f>
        <v>10.489074385728713</v>
      </c>
      <c r="G17" s="114">
        <f>C17*F17</f>
        <v>31.46722315718614</v>
      </c>
      <c r="H17" s="109">
        <f>B17*G17*broccoli</f>
        <v>0</v>
      </c>
      <c r="I17" s="108"/>
      <c r="K17" s="56" t="s">
        <v>1081</v>
      </c>
      <c r="L17" s="56" t="s">
        <v>1082</v>
      </c>
      <c r="M17" s="56" t="s">
        <v>1083</v>
      </c>
      <c r="N17" s="56" t="s">
        <v>1080</v>
      </c>
    </row>
    <row r="18" spans="1:15" x14ac:dyDescent="0.3">
      <c r="A18" s="6" t="s">
        <v>120</v>
      </c>
      <c r="B18" s="397">
        <v>1</v>
      </c>
      <c r="C18" s="278">
        <v>6</v>
      </c>
      <c r="D18" s="34" t="s">
        <v>114</v>
      </c>
      <c r="E18" s="60">
        <f>C18*broccoli</f>
        <v>0</v>
      </c>
      <c r="F18" s="283">
        <f>1.1+(1.1*Data!$L$275)</f>
        <v>2.0242073375967693</v>
      </c>
      <c r="G18" s="114">
        <f>C18*F18</f>
        <v>12.145244025580617</v>
      </c>
      <c r="H18" s="109">
        <f>B18*G18*broccoli</f>
        <v>0</v>
      </c>
      <c r="I18" s="108">
        <f>SUM(H17:H18)</f>
        <v>0</v>
      </c>
      <c r="K18" s="594">
        <v>1300000</v>
      </c>
      <c r="L18" s="594">
        <v>1500000</v>
      </c>
      <c r="M18" s="594">
        <f>K18*N18</f>
        <v>29900000</v>
      </c>
      <c r="N18" s="17">
        <v>23</v>
      </c>
    </row>
    <row r="19" spans="1:15" x14ac:dyDescent="0.3">
      <c r="A19" s="3" t="s">
        <v>14</v>
      </c>
      <c r="B19" s="3"/>
      <c r="C19" s="46"/>
      <c r="D19" s="34"/>
      <c r="E19" s="34"/>
      <c r="F19" s="104"/>
      <c r="G19" s="114"/>
      <c r="H19" s="109"/>
      <c r="M19" s="594">
        <f>L18*N19</f>
        <v>39000000</v>
      </c>
      <c r="N19" s="17">
        <v>26</v>
      </c>
    </row>
    <row r="20" spans="1:15" x14ac:dyDescent="0.3">
      <c r="A20" s="22" t="s">
        <v>332</v>
      </c>
      <c r="B20" s="22"/>
      <c r="C20" s="46"/>
      <c r="D20" s="34"/>
      <c r="E20" s="34"/>
      <c r="F20" s="104"/>
      <c r="G20" s="114"/>
      <c r="H20" s="109"/>
      <c r="K20" s="56" t="s">
        <v>1084</v>
      </c>
      <c r="L20" s="56" t="s">
        <v>1085</v>
      </c>
    </row>
    <row r="21" spans="1:15" x14ac:dyDescent="0.3">
      <c r="A21" s="6" t="s">
        <v>484</v>
      </c>
      <c r="B21" s="397">
        <v>1</v>
      </c>
      <c r="C21" s="156">
        <f>Data!H580</f>
        <v>0.11764705882352941</v>
      </c>
      <c r="D21" s="34" t="s">
        <v>128</v>
      </c>
      <c r="E21" s="60">
        <f t="shared" ref="E21:E37" si="0">C21*broccoli</f>
        <v>0</v>
      </c>
      <c r="F21" s="167">
        <f t="shared" ref="F21:F37" si="1">_wage_</f>
        <v>12.29</v>
      </c>
      <c r="G21" s="114">
        <f>C21*F21</f>
        <v>1.4458823529411764</v>
      </c>
      <c r="H21" s="109">
        <f t="shared" ref="H21:H37" si="2">B21*G21*broccoli</f>
        <v>0</v>
      </c>
      <c r="K21" s="594">
        <v>3500</v>
      </c>
      <c r="L21" s="594">
        <v>4000</v>
      </c>
      <c r="O21" s="594"/>
    </row>
    <row r="22" spans="1:15" x14ac:dyDescent="0.3">
      <c r="A22" s="6" t="s">
        <v>485</v>
      </c>
      <c r="B22" s="397">
        <v>1</v>
      </c>
      <c r="C22" s="156">
        <f>Data!H581</f>
        <v>8.1833060556464804E-2</v>
      </c>
      <c r="D22" s="34" t="s">
        <v>128</v>
      </c>
      <c r="E22" s="60">
        <f t="shared" si="0"/>
        <v>0</v>
      </c>
      <c r="F22" s="167">
        <f t="shared" si="1"/>
        <v>12.29</v>
      </c>
      <c r="G22" s="114">
        <f>C22*F22</f>
        <v>1.0057283142389524</v>
      </c>
      <c r="H22" s="109">
        <f t="shared" si="2"/>
        <v>0</v>
      </c>
    </row>
    <row r="23" spans="1:15" x14ac:dyDescent="0.3">
      <c r="A23" s="22" t="s">
        <v>315</v>
      </c>
      <c r="B23" s="397">
        <v>1</v>
      </c>
      <c r="C23" s="156">
        <f>Data!H582</f>
        <v>0.48</v>
      </c>
      <c r="D23" s="34" t="s">
        <v>128</v>
      </c>
      <c r="E23" s="60">
        <f t="shared" si="0"/>
        <v>0</v>
      </c>
      <c r="F23" s="167">
        <f t="shared" si="1"/>
        <v>12.29</v>
      </c>
      <c r="G23" s="114">
        <f t="shared" ref="G23:G37" si="3">C23*F23</f>
        <v>5.8991999999999996</v>
      </c>
      <c r="H23" s="109">
        <f t="shared" si="2"/>
        <v>0</v>
      </c>
      <c r="K23" s="56" t="s">
        <v>1087</v>
      </c>
      <c r="M23" s="56" t="s">
        <v>246</v>
      </c>
    </row>
    <row r="24" spans="1:15" x14ac:dyDescent="0.3">
      <c r="A24" s="22" t="s">
        <v>581</v>
      </c>
      <c r="B24" s="397">
        <v>1</v>
      </c>
      <c r="C24" s="156">
        <f>Data!H583</f>
        <v>9.2929292929292931E-2</v>
      </c>
      <c r="D24" s="34" t="s">
        <v>128</v>
      </c>
      <c r="E24" s="60">
        <f t="shared" si="0"/>
        <v>0</v>
      </c>
      <c r="F24" s="167">
        <f t="shared" si="1"/>
        <v>12.29</v>
      </c>
      <c r="G24" s="114">
        <f t="shared" si="3"/>
        <v>1.1421010101010101</v>
      </c>
      <c r="H24" s="109">
        <f t="shared" si="2"/>
        <v>0</v>
      </c>
      <c r="K24" s="26">
        <f>K18/L21</f>
        <v>325</v>
      </c>
      <c r="M24" s="594">
        <f>M18/L21</f>
        <v>7475</v>
      </c>
    </row>
    <row r="25" spans="1:15" x14ac:dyDescent="0.3">
      <c r="A25" s="22" t="s">
        <v>322</v>
      </c>
      <c r="B25" s="397">
        <v>1</v>
      </c>
      <c r="C25" s="273">
        <f>0</f>
        <v>0</v>
      </c>
      <c r="D25" s="34" t="s">
        <v>128</v>
      </c>
      <c r="E25" s="60">
        <f t="shared" si="0"/>
        <v>0</v>
      </c>
      <c r="F25" s="167">
        <f t="shared" si="1"/>
        <v>12.29</v>
      </c>
      <c r="G25" s="110">
        <f t="shared" si="3"/>
        <v>0</v>
      </c>
      <c r="H25" s="109">
        <f t="shared" si="2"/>
        <v>0</v>
      </c>
      <c r="J25" s="26"/>
      <c r="K25" s="26">
        <f>K18/K21</f>
        <v>371.42857142857144</v>
      </c>
      <c r="M25" s="594">
        <f>M18/K21</f>
        <v>8542.8571428571431</v>
      </c>
    </row>
    <row r="26" spans="1:15" x14ac:dyDescent="0.3">
      <c r="A26" s="22" t="s">
        <v>333</v>
      </c>
      <c r="B26" s="397">
        <v>1</v>
      </c>
      <c r="C26" s="156">
        <f>Data!H590</f>
        <v>9.3418583878132913E-2</v>
      </c>
      <c r="D26" s="34" t="s">
        <v>128</v>
      </c>
      <c r="E26" s="60">
        <f t="shared" si="0"/>
        <v>0</v>
      </c>
      <c r="F26" s="167">
        <f t="shared" si="1"/>
        <v>12.29</v>
      </c>
      <c r="G26" s="114">
        <f t="shared" si="3"/>
        <v>1.1481143958622535</v>
      </c>
      <c r="H26" s="109">
        <f t="shared" si="2"/>
        <v>0</v>
      </c>
      <c r="K26" s="26">
        <f>L18/L21</f>
        <v>375</v>
      </c>
      <c r="M26" s="594">
        <f>M19/L21</f>
        <v>9750</v>
      </c>
    </row>
    <row r="27" spans="1:15" x14ac:dyDescent="0.3">
      <c r="A27" s="22" t="s">
        <v>586</v>
      </c>
      <c r="B27" s="397">
        <v>1</v>
      </c>
      <c r="C27" s="156">
        <f>Data!H597</f>
        <v>0.23600484348159867</v>
      </c>
      <c r="D27" s="34" t="s">
        <v>128</v>
      </c>
      <c r="E27" s="60">
        <f t="shared" si="0"/>
        <v>0</v>
      </c>
      <c r="F27" s="167">
        <f t="shared" si="1"/>
        <v>12.29</v>
      </c>
      <c r="G27" s="114">
        <f t="shared" si="3"/>
        <v>2.9004995263888476</v>
      </c>
      <c r="H27" s="109">
        <f t="shared" si="2"/>
        <v>0</v>
      </c>
      <c r="K27" s="76">
        <f>L18/K21</f>
        <v>428.57142857142856</v>
      </c>
      <c r="M27" s="597">
        <f>M19/K21</f>
        <v>11142.857142857143</v>
      </c>
    </row>
    <row r="28" spans="1:15" x14ac:dyDescent="0.3">
      <c r="A28" s="22" t="s">
        <v>304</v>
      </c>
      <c r="B28" s="397">
        <v>1</v>
      </c>
      <c r="C28" s="156">
        <f>Data!H599</f>
        <v>0.11851851851851852</v>
      </c>
      <c r="D28" s="34" t="s">
        <v>128</v>
      </c>
      <c r="E28" s="60">
        <f t="shared" si="0"/>
        <v>0</v>
      </c>
      <c r="F28" s="167">
        <f t="shared" si="1"/>
        <v>12.29</v>
      </c>
      <c r="G28" s="114">
        <f t="shared" si="3"/>
        <v>1.4565925925925924</v>
      </c>
      <c r="H28" s="109">
        <f t="shared" si="2"/>
        <v>0</v>
      </c>
      <c r="K28" s="596">
        <f>AVERAGE(K24:K27)</f>
        <v>375</v>
      </c>
      <c r="M28" s="595">
        <f>AVERAGE(M24:M27)</f>
        <v>9227.6785714285725</v>
      </c>
      <c r="N28" s="24">
        <v>9227.6785714285725</v>
      </c>
      <c r="O28" s="24">
        <f>N28/100</f>
        <v>92.276785714285722</v>
      </c>
    </row>
    <row r="29" spans="1:15" x14ac:dyDescent="0.3">
      <c r="A29" s="22" t="s">
        <v>676</v>
      </c>
      <c r="B29" s="397">
        <v>1</v>
      </c>
      <c r="C29" s="156">
        <f>Data!H603</f>
        <v>0.16453496713314075</v>
      </c>
      <c r="D29" s="34" t="s">
        <v>128</v>
      </c>
      <c r="E29" s="60">
        <f t="shared" si="0"/>
        <v>0</v>
      </c>
      <c r="F29" s="167">
        <f t="shared" si="1"/>
        <v>12.29</v>
      </c>
      <c r="G29" s="114">
        <f>C29*F29</f>
        <v>2.0221347460662997</v>
      </c>
      <c r="H29" s="109">
        <f t="shared" si="2"/>
        <v>0</v>
      </c>
    </row>
    <row r="30" spans="1:15" x14ac:dyDescent="0.3">
      <c r="A30" s="22" t="s">
        <v>678</v>
      </c>
      <c r="B30" s="397">
        <v>1</v>
      </c>
      <c r="C30" s="156">
        <f>Data!H602</f>
        <v>14</v>
      </c>
      <c r="D30" s="34" t="s">
        <v>128</v>
      </c>
      <c r="E30" s="60">
        <f t="shared" si="0"/>
        <v>0</v>
      </c>
      <c r="F30" s="283">
        <v>11</v>
      </c>
      <c r="G30" s="114">
        <f>C30*F30</f>
        <v>154</v>
      </c>
      <c r="H30" s="109">
        <f t="shared" si="2"/>
        <v>0</v>
      </c>
      <c r="K30" s="594">
        <v>300</v>
      </c>
      <c r="L30" s="17" t="s">
        <v>1086</v>
      </c>
    </row>
    <row r="31" spans="1:15" x14ac:dyDescent="0.3">
      <c r="A31" s="22" t="s">
        <v>1090</v>
      </c>
      <c r="B31" s="397">
        <v>1</v>
      </c>
      <c r="C31" s="156">
        <f>Data!H618</f>
        <v>90</v>
      </c>
      <c r="D31" s="34" t="s">
        <v>128</v>
      </c>
      <c r="E31" s="60">
        <f t="shared" si="0"/>
        <v>0</v>
      </c>
      <c r="F31" s="283">
        <v>11</v>
      </c>
      <c r="G31" s="114">
        <f t="shared" si="3"/>
        <v>990</v>
      </c>
      <c r="H31" s="109">
        <f t="shared" si="2"/>
        <v>0</v>
      </c>
      <c r="K31" s="598">
        <f>K30*(AVERAGE(N18:N19))</f>
        <v>7350</v>
      </c>
      <c r="L31" s="17" t="s">
        <v>1088</v>
      </c>
    </row>
    <row r="32" spans="1:15" x14ac:dyDescent="0.3">
      <c r="A32" s="9" t="s">
        <v>1022</v>
      </c>
      <c r="B32" s="405">
        <f>B31</f>
        <v>1</v>
      </c>
      <c r="C32" s="47">
        <f>Data!$H$619*Data!$F$268</f>
        <v>0</v>
      </c>
      <c r="D32" s="48" t="s">
        <v>115</v>
      </c>
      <c r="E32" s="83">
        <f>C32*broccoli</f>
        <v>0</v>
      </c>
      <c r="F32" s="118">
        <f>F31</f>
        <v>11</v>
      </c>
      <c r="G32" s="465">
        <f>C32*F32</f>
        <v>0</v>
      </c>
      <c r="H32" s="123">
        <f>B32*G32*broccoli</f>
        <v>0</v>
      </c>
      <c r="K32" s="55"/>
      <c r="L32" s="55"/>
    </row>
    <row r="33" spans="1:12" x14ac:dyDescent="0.3">
      <c r="A33" s="22" t="s">
        <v>579</v>
      </c>
      <c r="B33" s="397">
        <v>1</v>
      </c>
      <c r="C33" s="156">
        <f>Data!H620</f>
        <v>3</v>
      </c>
      <c r="D33" s="34" t="s">
        <v>128</v>
      </c>
      <c r="E33" s="60">
        <f t="shared" si="0"/>
        <v>0</v>
      </c>
      <c r="F33" s="167">
        <f t="shared" si="1"/>
        <v>12.29</v>
      </c>
      <c r="G33" s="114">
        <f>C33*F33</f>
        <v>36.869999999999997</v>
      </c>
      <c r="H33" s="109">
        <f t="shared" si="2"/>
        <v>0</v>
      </c>
      <c r="K33" s="55"/>
      <c r="L33" s="55"/>
    </row>
    <row r="34" spans="1:12" x14ac:dyDescent="0.3">
      <c r="A34" s="9" t="s">
        <v>1022</v>
      </c>
      <c r="B34" s="405">
        <f>B33</f>
        <v>1</v>
      </c>
      <c r="C34" s="47">
        <f>Data!$H$621*Data!$F$268</f>
        <v>0</v>
      </c>
      <c r="D34" s="48" t="s">
        <v>115</v>
      </c>
      <c r="E34" s="83">
        <f>C34*broccoli</f>
        <v>0</v>
      </c>
      <c r="F34" s="118">
        <f>F33</f>
        <v>12.29</v>
      </c>
      <c r="G34" s="465">
        <f>C34*F34</f>
        <v>0</v>
      </c>
      <c r="H34" s="123">
        <f>B34*G34*broccoli</f>
        <v>0</v>
      </c>
      <c r="K34" s="55"/>
      <c r="L34" s="55"/>
    </row>
    <row r="35" spans="1:12" x14ac:dyDescent="0.3">
      <c r="A35" s="22" t="s">
        <v>578</v>
      </c>
      <c r="B35" s="397">
        <v>1</v>
      </c>
      <c r="C35" s="156">
        <f>Data!H646</f>
        <v>0.12036247017561544</v>
      </c>
      <c r="D35" s="34" t="s">
        <v>128</v>
      </c>
      <c r="E35" s="60">
        <f t="shared" si="0"/>
        <v>0</v>
      </c>
      <c r="F35" s="167">
        <f t="shared" si="1"/>
        <v>12.29</v>
      </c>
      <c r="G35" s="114">
        <f t="shared" si="3"/>
        <v>1.4792547584583136</v>
      </c>
      <c r="H35" s="109">
        <f t="shared" si="2"/>
        <v>0</v>
      </c>
      <c r="K35" s="55"/>
      <c r="L35" s="55"/>
    </row>
    <row r="36" spans="1:12" x14ac:dyDescent="0.3">
      <c r="A36" s="9" t="s">
        <v>1022</v>
      </c>
      <c r="B36" s="405">
        <f>B35</f>
        <v>1</v>
      </c>
      <c r="C36" s="47">
        <f>Data!$H$647*Data!$F$268</f>
        <v>0</v>
      </c>
      <c r="D36" s="48" t="s">
        <v>115</v>
      </c>
      <c r="E36" s="83">
        <f>C36*broccoli</f>
        <v>0</v>
      </c>
      <c r="F36" s="118">
        <f>F35</f>
        <v>12.29</v>
      </c>
      <c r="G36" s="465">
        <f>C36*F36</f>
        <v>0</v>
      </c>
      <c r="H36" s="123">
        <f>B36*G36*broccoli</f>
        <v>0</v>
      </c>
      <c r="K36" s="55"/>
      <c r="L36" s="55"/>
    </row>
    <row r="37" spans="1:12" x14ac:dyDescent="0.3">
      <c r="A37" s="22" t="s">
        <v>675</v>
      </c>
      <c r="B37" s="397">
        <v>1</v>
      </c>
      <c r="C37" s="156">
        <f>Data!H700</f>
        <v>0.23567119155354399</v>
      </c>
      <c r="D37" s="34" t="s">
        <v>128</v>
      </c>
      <c r="E37" s="60">
        <f t="shared" si="0"/>
        <v>0</v>
      </c>
      <c r="F37" s="167">
        <f t="shared" si="1"/>
        <v>12.29</v>
      </c>
      <c r="G37" s="114">
        <f t="shared" si="3"/>
        <v>2.8963989441930553</v>
      </c>
      <c r="H37" s="109">
        <f t="shared" si="2"/>
        <v>0</v>
      </c>
      <c r="K37" s="55"/>
      <c r="L37" s="55"/>
    </row>
    <row r="38" spans="1:12" x14ac:dyDescent="0.3">
      <c r="A38" s="22" t="s">
        <v>337</v>
      </c>
      <c r="B38" s="22"/>
      <c r="C38" s="46"/>
      <c r="D38" s="34"/>
      <c r="E38" s="34"/>
      <c r="F38" s="90"/>
      <c r="G38" s="114"/>
      <c r="H38" s="109"/>
      <c r="K38" s="55"/>
      <c r="L38" s="55"/>
    </row>
    <row r="39" spans="1:12" x14ac:dyDescent="0.3">
      <c r="A39" s="6" t="s">
        <v>321</v>
      </c>
      <c r="B39" s="397">
        <v>1</v>
      </c>
      <c r="C39" s="278">
        <v>0</v>
      </c>
      <c r="D39" s="34" t="s">
        <v>115</v>
      </c>
      <c r="E39" s="60">
        <f>C39*broccoli</f>
        <v>0</v>
      </c>
      <c r="F39" s="167">
        <f>_wage_</f>
        <v>12.29</v>
      </c>
      <c r="G39" s="114">
        <f>C39*F39</f>
        <v>0</v>
      </c>
      <c r="H39" s="109">
        <f>B39*G39*broccoli</f>
        <v>0</v>
      </c>
      <c r="I39" s="108">
        <f>SUM(H21:H39)</f>
        <v>0</v>
      </c>
      <c r="K39" s="55"/>
      <c r="L39" s="55"/>
    </row>
    <row r="40" spans="1:12" x14ac:dyDescent="0.3">
      <c r="A40" s="3" t="s">
        <v>66</v>
      </c>
      <c r="B40" s="3"/>
      <c r="C40" s="46"/>
      <c r="D40" s="34"/>
      <c r="E40" s="34"/>
      <c r="F40" s="167"/>
      <c r="G40" s="114"/>
      <c r="H40" s="109"/>
    </row>
    <row r="41" spans="1:12" x14ac:dyDescent="0.3">
      <c r="A41" s="22" t="s">
        <v>332</v>
      </c>
      <c r="B41" s="22"/>
      <c r="C41" s="46"/>
      <c r="D41" s="34"/>
      <c r="E41" s="34"/>
      <c r="F41" s="167"/>
      <c r="G41" s="114"/>
      <c r="H41" s="109"/>
    </row>
    <row r="42" spans="1:12" x14ac:dyDescent="0.3">
      <c r="A42" s="6" t="s">
        <v>484</v>
      </c>
      <c r="B42" s="405">
        <f t="shared" ref="B42:B58" si="4">B21</f>
        <v>1</v>
      </c>
      <c r="C42" s="156">
        <f>Data!R580</f>
        <v>0.64</v>
      </c>
      <c r="D42" s="34" t="s">
        <v>117</v>
      </c>
      <c r="E42" s="60">
        <f t="shared" ref="E42:E58" si="5">C42*broccoli</f>
        <v>0</v>
      </c>
      <c r="F42" s="167">
        <f t="shared" ref="F42:F60" si="6">diesel_fuel</f>
        <v>2.56</v>
      </c>
      <c r="G42" s="114">
        <f>C42*F42</f>
        <v>1.6384000000000001</v>
      </c>
      <c r="H42" s="109">
        <f t="shared" ref="H42:H58" si="7">B42*G42*broccoli</f>
        <v>0</v>
      </c>
    </row>
    <row r="43" spans="1:12" x14ac:dyDescent="0.3">
      <c r="A43" s="6" t="s">
        <v>485</v>
      </c>
      <c r="B43" s="405">
        <f t="shared" si="4"/>
        <v>1</v>
      </c>
      <c r="C43" s="156">
        <f>Data!R581</f>
        <v>0.74</v>
      </c>
      <c r="D43" s="34" t="s">
        <v>117</v>
      </c>
      <c r="E43" s="60">
        <f t="shared" si="5"/>
        <v>0</v>
      </c>
      <c r="F43" s="167">
        <f t="shared" si="6"/>
        <v>2.56</v>
      </c>
      <c r="G43" s="114">
        <f>C43*F43</f>
        <v>1.8944000000000001</v>
      </c>
      <c r="H43" s="109">
        <f t="shared" si="7"/>
        <v>0</v>
      </c>
    </row>
    <row r="44" spans="1:12" x14ac:dyDescent="0.3">
      <c r="A44" s="22" t="s">
        <v>315</v>
      </c>
      <c r="B44" s="405">
        <f t="shared" si="4"/>
        <v>1</v>
      </c>
      <c r="C44" s="156">
        <f>Data!R582</f>
        <v>0.2</v>
      </c>
      <c r="D44" s="34" t="s">
        <v>117</v>
      </c>
      <c r="E44" s="60">
        <f t="shared" si="5"/>
        <v>0</v>
      </c>
      <c r="F44" s="167">
        <f t="shared" si="6"/>
        <v>2.56</v>
      </c>
      <c r="G44" s="114">
        <f t="shared" ref="G44:G58" si="8">C44*F44</f>
        <v>0.51200000000000001</v>
      </c>
      <c r="H44" s="109">
        <f t="shared" si="7"/>
        <v>0</v>
      </c>
    </row>
    <row r="45" spans="1:12" x14ac:dyDescent="0.3">
      <c r="A45" s="22" t="s">
        <v>581</v>
      </c>
      <c r="B45" s="405">
        <f t="shared" si="4"/>
        <v>1</v>
      </c>
      <c r="C45" s="156">
        <f>Data!R583</f>
        <v>0.13183670241332501</v>
      </c>
      <c r="D45" s="34" t="s">
        <v>117</v>
      </c>
      <c r="E45" s="60">
        <f t="shared" si="5"/>
        <v>0</v>
      </c>
      <c r="F45" s="167">
        <f t="shared" si="6"/>
        <v>2.56</v>
      </c>
      <c r="G45" s="114">
        <f t="shared" si="8"/>
        <v>0.33750195817811202</v>
      </c>
      <c r="H45" s="109">
        <f t="shared" si="7"/>
        <v>0</v>
      </c>
    </row>
    <row r="46" spans="1:12" x14ac:dyDescent="0.3">
      <c r="A46" s="22" t="s">
        <v>322</v>
      </c>
      <c r="B46" s="405">
        <f t="shared" si="4"/>
        <v>1</v>
      </c>
      <c r="C46" s="273">
        <f>0</f>
        <v>0</v>
      </c>
      <c r="D46" s="34" t="s">
        <v>117</v>
      </c>
      <c r="E46" s="60">
        <f t="shared" si="5"/>
        <v>0</v>
      </c>
      <c r="F46" s="167">
        <f t="shared" si="6"/>
        <v>2.56</v>
      </c>
      <c r="G46" s="110">
        <f t="shared" si="8"/>
        <v>0</v>
      </c>
      <c r="H46" s="109">
        <f t="shared" si="7"/>
        <v>0</v>
      </c>
    </row>
    <row r="47" spans="1:12" x14ac:dyDescent="0.3">
      <c r="A47" s="22" t="s">
        <v>333</v>
      </c>
      <c r="B47" s="405">
        <f t="shared" si="4"/>
        <v>1</v>
      </c>
      <c r="C47" s="156">
        <f>Data!R590</f>
        <v>0.83039215686274503</v>
      </c>
      <c r="D47" s="34" t="s">
        <v>117</v>
      </c>
      <c r="E47" s="60">
        <f t="shared" si="5"/>
        <v>0</v>
      </c>
      <c r="F47" s="167">
        <f t="shared" si="6"/>
        <v>2.56</v>
      </c>
      <c r="G47" s="114">
        <f t="shared" si="8"/>
        <v>2.1258039215686275</v>
      </c>
      <c r="H47" s="109">
        <f t="shared" si="7"/>
        <v>0</v>
      </c>
    </row>
    <row r="48" spans="1:12" x14ac:dyDescent="0.3">
      <c r="A48" s="22" t="s">
        <v>586</v>
      </c>
      <c r="B48" s="405">
        <f t="shared" si="4"/>
        <v>1</v>
      </c>
      <c r="C48" s="156">
        <f>Data!R597</f>
        <v>0.81044692577148292</v>
      </c>
      <c r="D48" s="34" t="s">
        <v>117</v>
      </c>
      <c r="E48" s="60">
        <f t="shared" si="5"/>
        <v>0</v>
      </c>
      <c r="F48" s="167">
        <f t="shared" si="6"/>
        <v>2.56</v>
      </c>
      <c r="G48" s="114">
        <f t="shared" si="8"/>
        <v>2.0747441299749965</v>
      </c>
      <c r="H48" s="109">
        <f t="shared" si="7"/>
        <v>0</v>
      </c>
    </row>
    <row r="49" spans="1:13" x14ac:dyDescent="0.3">
      <c r="A49" s="22" t="s">
        <v>304</v>
      </c>
      <c r="B49" s="405">
        <f t="shared" si="4"/>
        <v>1</v>
      </c>
      <c r="C49" s="156">
        <f>Data!R599</f>
        <v>0.11981642612033799</v>
      </c>
      <c r="D49" s="34" t="s">
        <v>117</v>
      </c>
      <c r="E49" s="60">
        <f t="shared" si="5"/>
        <v>0</v>
      </c>
      <c r="F49" s="167">
        <f t="shared" si="6"/>
        <v>2.56</v>
      </c>
      <c r="G49" s="114">
        <f t="shared" si="8"/>
        <v>0.30673005086806526</v>
      </c>
      <c r="H49" s="109">
        <f t="shared" si="7"/>
        <v>0</v>
      </c>
    </row>
    <row r="50" spans="1:13" x14ac:dyDescent="0.3">
      <c r="A50" s="22" t="s">
        <v>676</v>
      </c>
      <c r="B50" s="405">
        <f t="shared" si="4"/>
        <v>1</v>
      </c>
      <c r="C50" s="156">
        <f>Data!R603</f>
        <v>0.11981642612033799</v>
      </c>
      <c r="D50" s="34" t="s">
        <v>117</v>
      </c>
      <c r="E50" s="60">
        <f t="shared" si="5"/>
        <v>0</v>
      </c>
      <c r="F50" s="167">
        <f t="shared" si="6"/>
        <v>2.56</v>
      </c>
      <c r="G50" s="114">
        <f>C50*F50</f>
        <v>0.30673005086806526</v>
      </c>
      <c r="H50" s="109">
        <f t="shared" si="7"/>
        <v>0</v>
      </c>
    </row>
    <row r="51" spans="1:13" x14ac:dyDescent="0.3">
      <c r="A51" s="22" t="s">
        <v>678</v>
      </c>
      <c r="B51" s="405">
        <f t="shared" si="4"/>
        <v>1</v>
      </c>
      <c r="C51" s="156">
        <f>Data!R602</f>
        <v>0.01</v>
      </c>
      <c r="D51" s="34" t="s">
        <v>117</v>
      </c>
      <c r="E51" s="60">
        <f t="shared" si="5"/>
        <v>0</v>
      </c>
      <c r="F51" s="167">
        <f t="shared" si="6"/>
        <v>2.56</v>
      </c>
      <c r="G51" s="114">
        <f>C51*F51</f>
        <v>2.5600000000000001E-2</v>
      </c>
      <c r="H51" s="109">
        <f t="shared" si="7"/>
        <v>0</v>
      </c>
    </row>
    <row r="52" spans="1:13" x14ac:dyDescent="0.3">
      <c r="A52" s="22" t="s">
        <v>677</v>
      </c>
      <c r="B52" s="405">
        <f t="shared" si="4"/>
        <v>1</v>
      </c>
      <c r="C52" s="156">
        <f>Data!R618</f>
        <v>0.01</v>
      </c>
      <c r="D52" s="34" t="s">
        <v>117</v>
      </c>
      <c r="E52" s="60">
        <f t="shared" si="5"/>
        <v>0</v>
      </c>
      <c r="F52" s="167">
        <f t="shared" si="6"/>
        <v>2.56</v>
      </c>
      <c r="G52" s="114">
        <f>C52*F52</f>
        <v>2.5600000000000001E-2</v>
      </c>
      <c r="H52" s="109">
        <f t="shared" si="7"/>
        <v>0</v>
      </c>
    </row>
    <row r="53" spans="1:13" x14ac:dyDescent="0.3">
      <c r="A53" s="9" t="s">
        <v>1022</v>
      </c>
      <c r="B53" s="405">
        <f t="shared" si="4"/>
        <v>1</v>
      </c>
      <c r="C53" s="593">
        <f>Data!$R$619*Data!$F$268</f>
        <v>0</v>
      </c>
      <c r="D53" s="48" t="s">
        <v>117</v>
      </c>
      <c r="E53" s="83">
        <f>C53*broccoli</f>
        <v>0</v>
      </c>
      <c r="F53" s="118">
        <f>diesel_fuel</f>
        <v>2.56</v>
      </c>
      <c r="G53" s="465">
        <f>C53*F53</f>
        <v>0</v>
      </c>
      <c r="H53" s="123">
        <f>B53*G53*broccoli</f>
        <v>0</v>
      </c>
    </row>
    <row r="54" spans="1:13" x14ac:dyDescent="0.3">
      <c r="A54" s="22" t="s">
        <v>579</v>
      </c>
      <c r="B54" s="405">
        <f t="shared" si="4"/>
        <v>1</v>
      </c>
      <c r="C54" s="156">
        <f>Data!R620</f>
        <v>2.0342167721519</v>
      </c>
      <c r="D54" s="34" t="s">
        <v>117</v>
      </c>
      <c r="E54" s="60">
        <f t="shared" si="5"/>
        <v>0</v>
      </c>
      <c r="F54" s="167">
        <f t="shared" si="6"/>
        <v>2.56</v>
      </c>
      <c r="G54" s="114">
        <f t="shared" si="8"/>
        <v>5.2075949367088645</v>
      </c>
      <c r="H54" s="109">
        <f t="shared" si="7"/>
        <v>0</v>
      </c>
    </row>
    <row r="55" spans="1:13" x14ac:dyDescent="0.3">
      <c r="A55" s="9" t="s">
        <v>1022</v>
      </c>
      <c r="B55" s="405">
        <f t="shared" si="4"/>
        <v>1</v>
      </c>
      <c r="C55" s="47">
        <f>Data!$R$621*Data!$F$268</f>
        <v>0</v>
      </c>
      <c r="D55" s="48" t="s">
        <v>117</v>
      </c>
      <c r="E55" s="83">
        <f>C55*broccoli</f>
        <v>0</v>
      </c>
      <c r="F55" s="118">
        <f>diesel_fuel</f>
        <v>2.56</v>
      </c>
      <c r="G55" s="465">
        <f>C55*F55</f>
        <v>0</v>
      </c>
      <c r="H55" s="123">
        <f>B55*G55*broccoli</f>
        <v>0</v>
      </c>
    </row>
    <row r="56" spans="1:13" x14ac:dyDescent="0.3">
      <c r="A56" s="22" t="s">
        <v>578</v>
      </c>
      <c r="B56" s="405">
        <f t="shared" si="4"/>
        <v>1</v>
      </c>
      <c r="C56" s="156">
        <f>Data!R646</f>
        <v>4</v>
      </c>
      <c r="D56" s="34" t="s">
        <v>117</v>
      </c>
      <c r="E56" s="60">
        <f t="shared" si="5"/>
        <v>0</v>
      </c>
      <c r="F56" s="167">
        <f t="shared" si="6"/>
        <v>2.56</v>
      </c>
      <c r="G56" s="114">
        <f t="shared" si="8"/>
        <v>10.24</v>
      </c>
      <c r="H56" s="109">
        <f t="shared" si="7"/>
        <v>0</v>
      </c>
    </row>
    <row r="57" spans="1:13" x14ac:dyDescent="0.3">
      <c r="A57" s="9" t="s">
        <v>1022</v>
      </c>
      <c r="B57" s="405">
        <f t="shared" si="4"/>
        <v>1</v>
      </c>
      <c r="C57" s="47">
        <f>Data!$R$647*Data!$F$268</f>
        <v>0</v>
      </c>
      <c r="D57" s="48" t="s">
        <v>117</v>
      </c>
      <c r="E57" s="83">
        <f>C57*broccoli</f>
        <v>0</v>
      </c>
      <c r="F57" s="118">
        <f>diesel_fuel</f>
        <v>2.56</v>
      </c>
      <c r="G57" s="465">
        <f>C57*F57</f>
        <v>0</v>
      </c>
      <c r="H57" s="123">
        <f>B57*G57*broccoli</f>
        <v>0</v>
      </c>
    </row>
    <row r="58" spans="1:13" x14ac:dyDescent="0.3">
      <c r="A58" s="22" t="s">
        <v>675</v>
      </c>
      <c r="B58" s="405">
        <f t="shared" si="4"/>
        <v>1</v>
      </c>
      <c r="C58" s="156">
        <f>Data!R700</f>
        <v>0.25</v>
      </c>
      <c r="D58" s="34" t="s">
        <v>117</v>
      </c>
      <c r="E58" s="60">
        <f t="shared" si="5"/>
        <v>0</v>
      </c>
      <c r="F58" s="167">
        <f t="shared" si="6"/>
        <v>2.56</v>
      </c>
      <c r="G58" s="114">
        <f t="shared" si="8"/>
        <v>0.64</v>
      </c>
      <c r="H58" s="109">
        <f t="shared" si="7"/>
        <v>0</v>
      </c>
    </row>
    <row r="59" spans="1:13" x14ac:dyDescent="0.3">
      <c r="A59" s="22" t="s">
        <v>337</v>
      </c>
      <c r="B59" s="60"/>
      <c r="C59" s="60"/>
      <c r="D59" s="34"/>
      <c r="E59" s="34"/>
      <c r="F59" s="167"/>
      <c r="G59" s="114"/>
      <c r="H59" s="109"/>
    </row>
    <row r="60" spans="1:13" x14ac:dyDescent="0.3">
      <c r="A60" s="6" t="s">
        <v>314</v>
      </c>
      <c r="B60" s="397">
        <v>1</v>
      </c>
      <c r="C60" s="278">
        <v>0</v>
      </c>
      <c r="D60" s="34" t="s">
        <v>116</v>
      </c>
      <c r="E60" s="60">
        <f>C60*broccoli</f>
        <v>0</v>
      </c>
      <c r="F60" s="167">
        <f t="shared" si="6"/>
        <v>2.56</v>
      </c>
      <c r="G60" s="114">
        <f>C60*F60</f>
        <v>0</v>
      </c>
      <c r="H60" s="109">
        <f>B60*G60*broccoli</f>
        <v>0</v>
      </c>
    </row>
    <row r="61" spans="1:13" x14ac:dyDescent="0.3">
      <c r="A61" s="3" t="s">
        <v>20</v>
      </c>
      <c r="B61" s="397">
        <v>1</v>
      </c>
      <c r="C61" s="46" t="s">
        <v>45</v>
      </c>
      <c r="D61" s="34" t="s">
        <v>45</v>
      </c>
      <c r="E61" s="34" t="s">
        <v>45</v>
      </c>
      <c r="F61" s="55" t="s">
        <v>45</v>
      </c>
      <c r="G61" s="114" t="e">
        <f>H61/broccoli</f>
        <v>#DIV/0!</v>
      </c>
      <c r="H61" s="109">
        <f>B61*lube*SUM(H41:H60)</f>
        <v>0</v>
      </c>
      <c r="I61" s="108">
        <f>SUM(H42:H61)</f>
        <v>0</v>
      </c>
      <c r="K61" s="55"/>
      <c r="L61" s="24"/>
      <c r="M61" s="82"/>
    </row>
    <row r="62" spans="1:13" x14ac:dyDescent="0.3">
      <c r="A62" s="3" t="s">
        <v>67</v>
      </c>
      <c r="B62" s="397">
        <v>1</v>
      </c>
      <c r="C62" s="46" t="s">
        <v>45</v>
      </c>
      <c r="D62" s="34" t="s">
        <v>45</v>
      </c>
      <c r="E62" s="34" t="s">
        <v>45</v>
      </c>
      <c r="F62" s="55" t="s">
        <v>45</v>
      </c>
      <c r="G62" s="114" t="e">
        <f>H62/broccoli</f>
        <v>#DIV/0!</v>
      </c>
      <c r="H62" s="109">
        <f>B62*BrcOwnC!J54*Data!D24</f>
        <v>0</v>
      </c>
      <c r="K62" s="55"/>
      <c r="L62" s="81"/>
      <c r="M62" s="81"/>
    </row>
    <row r="63" spans="1:13" x14ac:dyDescent="0.3">
      <c r="A63" s="3"/>
      <c r="B63" s="397">
        <v>1</v>
      </c>
      <c r="C63" s="46" t="s">
        <v>45</v>
      </c>
      <c r="D63" s="34" t="s">
        <v>45</v>
      </c>
      <c r="E63" s="34" t="s">
        <v>45</v>
      </c>
      <c r="F63" s="55" t="s">
        <v>45</v>
      </c>
      <c r="G63" s="272">
        <f>0</f>
        <v>0</v>
      </c>
      <c r="H63" s="109">
        <f t="shared" ref="H63:H68" si="9">B63*G63*broccoli</f>
        <v>0</v>
      </c>
      <c r="I63" s="108">
        <f>SUM(H62:H63)</f>
        <v>0</v>
      </c>
      <c r="L63" s="27"/>
      <c r="M63" s="27"/>
    </row>
    <row r="64" spans="1:13" x14ac:dyDescent="0.3">
      <c r="A64" s="3" t="s">
        <v>170</v>
      </c>
      <c r="B64" s="397">
        <v>1</v>
      </c>
      <c r="C64" s="46" t="s">
        <v>45</v>
      </c>
      <c r="D64" s="34" t="s">
        <v>45</v>
      </c>
      <c r="E64" s="34" t="s">
        <v>45</v>
      </c>
      <c r="F64" s="55" t="s">
        <v>45</v>
      </c>
      <c r="G64" s="114">
        <v>0</v>
      </c>
      <c r="H64" s="109">
        <f t="shared" si="9"/>
        <v>0</v>
      </c>
      <c r="L64" s="81"/>
      <c r="M64" s="81"/>
    </row>
    <row r="65" spans="1:21" x14ac:dyDescent="0.3">
      <c r="A65" s="22" t="s">
        <v>1091</v>
      </c>
      <c r="B65" s="397">
        <v>1</v>
      </c>
      <c r="C65" s="46" t="s">
        <v>45</v>
      </c>
      <c r="D65" s="34" t="s">
        <v>45</v>
      </c>
      <c r="E65" s="34" t="s">
        <v>45</v>
      </c>
      <c r="F65" s="250">
        <v>0.5</v>
      </c>
      <c r="G65" s="114">
        <f>F65*K28</f>
        <v>187.5</v>
      </c>
      <c r="H65" s="109">
        <f t="shared" si="9"/>
        <v>0</v>
      </c>
      <c r="L65" s="81"/>
      <c r="M65" s="81"/>
    </row>
    <row r="66" spans="1:21" x14ac:dyDescent="0.3">
      <c r="A66" s="22" t="s">
        <v>1092</v>
      </c>
      <c r="B66" s="397">
        <v>1</v>
      </c>
      <c r="C66" s="46" t="s">
        <v>45</v>
      </c>
      <c r="D66" s="34" t="s">
        <v>45</v>
      </c>
      <c r="E66" s="34" t="s">
        <v>45</v>
      </c>
      <c r="F66" s="250">
        <v>0.05</v>
      </c>
      <c r="G66" s="114">
        <f>J66*F66*K28</f>
        <v>112.50000000000001</v>
      </c>
      <c r="H66" s="109">
        <f t="shared" si="9"/>
        <v>0</v>
      </c>
      <c r="I66" s="108">
        <f>SUM(H64:H66)</f>
        <v>0</v>
      </c>
      <c r="J66" s="407">
        <v>6</v>
      </c>
      <c r="K66" s="17" t="s">
        <v>1093</v>
      </c>
      <c r="L66" s="81"/>
      <c r="M66" s="81"/>
    </row>
    <row r="67" spans="1:21" x14ac:dyDescent="0.3">
      <c r="A67" s="3" t="s">
        <v>75</v>
      </c>
      <c r="B67" s="397">
        <v>1</v>
      </c>
      <c r="C67" s="46" t="s">
        <v>45</v>
      </c>
      <c r="D67" s="34" t="s">
        <v>45</v>
      </c>
      <c r="E67" s="34" t="s">
        <v>45</v>
      </c>
      <c r="F67" s="55" t="s">
        <v>45</v>
      </c>
      <c r="G67" s="114">
        <f>cropins</f>
        <v>3</v>
      </c>
      <c r="H67" s="109">
        <f t="shared" si="9"/>
        <v>0</v>
      </c>
      <c r="K67" s="55"/>
      <c r="L67" s="81"/>
      <c r="M67" s="81"/>
    </row>
    <row r="68" spans="1:21" x14ac:dyDescent="0.3">
      <c r="A68" s="3"/>
      <c r="B68" s="397">
        <v>1</v>
      </c>
      <c r="C68" s="46" t="s">
        <v>45</v>
      </c>
      <c r="D68" s="34" t="s">
        <v>45</v>
      </c>
      <c r="E68" s="34" t="s">
        <v>45</v>
      </c>
      <c r="F68" s="55" t="s">
        <v>45</v>
      </c>
      <c r="G68" s="272">
        <f>0</f>
        <v>0</v>
      </c>
      <c r="H68" s="109">
        <f t="shared" si="9"/>
        <v>0</v>
      </c>
      <c r="I68" s="108">
        <f>SUM(H67:H68)</f>
        <v>0</v>
      </c>
      <c r="K68" s="55"/>
    </row>
    <row r="69" spans="1:21" x14ac:dyDescent="0.3">
      <c r="A69" s="69" t="s">
        <v>173</v>
      </c>
      <c r="B69" s="69"/>
      <c r="C69" s="46"/>
      <c r="D69" s="34"/>
      <c r="E69" s="34"/>
      <c r="F69" s="114"/>
      <c r="G69" s="114"/>
      <c r="H69" s="109"/>
      <c r="L69" s="24"/>
      <c r="M69" s="24"/>
    </row>
    <row r="70" spans="1:21" x14ac:dyDescent="0.3">
      <c r="A70" s="70" t="s">
        <v>175</v>
      </c>
      <c r="B70" s="397">
        <v>1</v>
      </c>
      <c r="C70" s="46" t="s">
        <v>45</v>
      </c>
      <c r="D70" s="34" t="s">
        <v>45</v>
      </c>
      <c r="E70" s="34" t="s">
        <v>45</v>
      </c>
      <c r="F70" s="55" t="s">
        <v>45</v>
      </c>
      <c r="G70" s="676">
        <f>Data!$F$69</f>
        <v>12</v>
      </c>
      <c r="H70" s="109">
        <f>B70*G70*broccoli</f>
        <v>0</v>
      </c>
    </row>
    <row r="71" spans="1:21" x14ac:dyDescent="0.3">
      <c r="A71" s="70" t="s">
        <v>176</v>
      </c>
      <c r="B71" s="397">
        <v>1</v>
      </c>
      <c r="C71" s="46" t="s">
        <v>45</v>
      </c>
      <c r="D71" s="34" t="s">
        <v>45</v>
      </c>
      <c r="E71" s="34" t="s">
        <v>45</v>
      </c>
      <c r="F71" s="55" t="s">
        <v>45</v>
      </c>
      <c r="G71" s="272">
        <f>0</f>
        <v>0</v>
      </c>
      <c r="H71" s="109">
        <f>B71*G71*broccoli</f>
        <v>0</v>
      </c>
      <c r="L71" s="4" t="s">
        <v>1077</v>
      </c>
    </row>
    <row r="72" spans="1:21" x14ac:dyDescent="0.3">
      <c r="A72" s="70" t="s">
        <v>177</v>
      </c>
      <c r="B72" s="70"/>
      <c r="C72" s="46"/>
      <c r="D72" s="34"/>
      <c r="E72" s="34"/>
      <c r="F72" s="114"/>
      <c r="G72" s="114"/>
      <c r="H72" s="110"/>
      <c r="J72" s="407">
        <v>30000</v>
      </c>
      <c r="K72" s="17" t="s">
        <v>220</v>
      </c>
      <c r="L72" s="17">
        <f>J72/2000</f>
        <v>15</v>
      </c>
      <c r="M72" s="17" t="s">
        <v>26</v>
      </c>
      <c r="N72" s="242">
        <v>500</v>
      </c>
      <c r="O72" s="17" t="s">
        <v>931</v>
      </c>
      <c r="P72" s="93" t="s">
        <v>944</v>
      </c>
      <c r="Q72" s="93"/>
      <c r="S72" s="588">
        <f>N72*Data!$K$68*0</f>
        <v>0</v>
      </c>
      <c r="T72" s="17" t="s">
        <v>220</v>
      </c>
      <c r="U72" s="589">
        <f>S72/J72</f>
        <v>0</v>
      </c>
    </row>
    <row r="73" spans="1:21" x14ac:dyDescent="0.3">
      <c r="A73" s="22" t="s">
        <v>174</v>
      </c>
      <c r="B73" s="397">
        <v>1</v>
      </c>
      <c r="C73" s="34" t="s">
        <v>45</v>
      </c>
      <c r="D73" s="34" t="s">
        <v>81</v>
      </c>
      <c r="E73" s="34" t="s">
        <v>45</v>
      </c>
      <c r="F73" s="110">
        <f>Data!D61</f>
        <v>50</v>
      </c>
      <c r="G73" s="114" t="e">
        <f>H73/broccoli</f>
        <v>#DIV/0!</v>
      </c>
      <c r="H73" s="110">
        <f>B73*F73*broccoli*Data!E57*Data!D24</f>
        <v>0</v>
      </c>
      <c r="J73" s="407">
        <v>60000</v>
      </c>
      <c r="K73" s="17" t="s">
        <v>220</v>
      </c>
      <c r="L73" s="17">
        <f>J73/2000</f>
        <v>30</v>
      </c>
      <c r="M73" s="17" t="s">
        <v>26</v>
      </c>
      <c r="N73" s="242">
        <v>1000</v>
      </c>
      <c r="O73" s="17" t="s">
        <v>931</v>
      </c>
      <c r="P73" s="93" t="s">
        <v>945</v>
      </c>
      <c r="Q73" s="93"/>
      <c r="S73" s="588">
        <f>2000*24.5</f>
        <v>49000</v>
      </c>
      <c r="T73" s="17" t="s">
        <v>220</v>
      </c>
      <c r="U73" s="589">
        <f>S73/J73</f>
        <v>0.81666666666666665</v>
      </c>
    </row>
    <row r="74" spans="1:21" x14ac:dyDescent="0.3">
      <c r="A74" s="22" t="s">
        <v>224</v>
      </c>
      <c r="B74" s="397">
        <v>1</v>
      </c>
      <c r="C74" s="34" t="s">
        <v>45</v>
      </c>
      <c r="D74" s="34" t="s">
        <v>225</v>
      </c>
      <c r="E74" s="34" t="s">
        <v>45</v>
      </c>
      <c r="F74" s="55" t="s">
        <v>45</v>
      </c>
      <c r="G74" s="272">
        <v>0</v>
      </c>
      <c r="H74" s="109">
        <f>B74*G74*broccoli</f>
        <v>0</v>
      </c>
      <c r="I74" s="108">
        <f>SUM(H73:H74)</f>
        <v>0</v>
      </c>
    </row>
    <row r="75" spans="1:21" x14ac:dyDescent="0.3">
      <c r="A75" s="70" t="s">
        <v>178</v>
      </c>
      <c r="H75" s="98"/>
      <c r="I75" s="50"/>
      <c r="Q75" s="216" t="s">
        <v>933</v>
      </c>
    </row>
    <row r="76" spans="1:21" x14ac:dyDescent="0.3">
      <c r="A76" s="22" t="s">
        <v>938</v>
      </c>
      <c r="H76" s="98"/>
      <c r="I76" s="50"/>
      <c r="J76" s="67" t="s">
        <v>932</v>
      </c>
      <c r="K76" s="216" t="s">
        <v>946</v>
      </c>
      <c r="L76" s="89" t="s">
        <v>765</v>
      </c>
      <c r="M76" s="89"/>
      <c r="N76" s="89" t="s">
        <v>765</v>
      </c>
      <c r="O76" s="89"/>
      <c r="P76" s="216" t="s">
        <v>763</v>
      </c>
      <c r="Q76" s="216" t="s">
        <v>764</v>
      </c>
      <c r="R76" s="216" t="s">
        <v>119</v>
      </c>
    </row>
    <row r="77" spans="1:21" x14ac:dyDescent="0.3">
      <c r="A77" s="22" t="s">
        <v>1079</v>
      </c>
      <c r="B77" s="397">
        <v>1</v>
      </c>
      <c r="C77" s="34" t="s">
        <v>45</v>
      </c>
      <c r="D77" s="34" t="s">
        <v>45</v>
      </c>
      <c r="E77" s="46" t="s">
        <v>45</v>
      </c>
      <c r="F77" s="68" t="s">
        <v>45</v>
      </c>
      <c r="G77" s="114">
        <f>L77*L83</f>
        <v>0</v>
      </c>
      <c r="H77" s="110">
        <f>B77*G77*broccoli</f>
        <v>0</v>
      </c>
      <c r="I77" s="50"/>
      <c r="J77" s="55" t="s">
        <v>524</v>
      </c>
      <c r="K77" s="247">
        <v>1</v>
      </c>
      <c r="L77" s="168">
        <f>K77*(R77*diesel_fuel)*(Data!$H$268/$L$72)</f>
        <v>0</v>
      </c>
      <c r="M77" s="22" t="s">
        <v>254</v>
      </c>
      <c r="N77" s="168">
        <f>(R77*diesel_fuel)</f>
        <v>0</v>
      </c>
      <c r="O77" s="22" t="s">
        <v>935</v>
      </c>
      <c r="P77" s="247">
        <v>0</v>
      </c>
      <c r="Q77" s="247">
        <v>5</v>
      </c>
      <c r="R77" s="46">
        <f>P77/Q77</f>
        <v>0</v>
      </c>
    </row>
    <row r="78" spans="1:21" x14ac:dyDescent="0.3">
      <c r="A78" s="9" t="s">
        <v>1022</v>
      </c>
      <c r="B78" s="405">
        <f>B77</f>
        <v>1</v>
      </c>
      <c r="C78" s="47" t="s">
        <v>45</v>
      </c>
      <c r="D78" s="47" t="s">
        <v>45</v>
      </c>
      <c r="E78" s="47" t="s">
        <v>45</v>
      </c>
      <c r="F78" s="590" t="s">
        <v>45</v>
      </c>
      <c r="G78" s="465">
        <f>G77*Data!$F$268</f>
        <v>0</v>
      </c>
      <c r="H78" s="123">
        <f>B78*G78*broccoli</f>
        <v>0</v>
      </c>
      <c r="I78" s="50"/>
      <c r="Q78" s="216" t="s">
        <v>933</v>
      </c>
    </row>
    <row r="79" spans="1:21" x14ac:dyDescent="0.3">
      <c r="A79" s="22" t="s">
        <v>942</v>
      </c>
      <c r="B79" s="34"/>
      <c r="C79" s="34"/>
      <c r="D79" s="34"/>
      <c r="E79" s="46"/>
      <c r="F79" s="68"/>
      <c r="G79" s="114"/>
      <c r="H79" s="110"/>
      <c r="I79" s="50"/>
      <c r="J79" s="67" t="s">
        <v>934</v>
      </c>
      <c r="K79" s="216" t="s">
        <v>946</v>
      </c>
      <c r="L79" s="89" t="s">
        <v>765</v>
      </c>
      <c r="M79" s="89"/>
      <c r="N79" s="89" t="s">
        <v>765</v>
      </c>
      <c r="O79" s="89"/>
      <c r="P79" s="216" t="s">
        <v>763</v>
      </c>
      <c r="Q79" s="216" t="s">
        <v>764</v>
      </c>
      <c r="R79" s="216" t="s">
        <v>119</v>
      </c>
    </row>
    <row r="80" spans="1:21" x14ac:dyDescent="0.3">
      <c r="A80" s="22" t="s">
        <v>1079</v>
      </c>
      <c r="B80" s="397">
        <v>1</v>
      </c>
      <c r="C80" s="34" t="s">
        <v>45</v>
      </c>
      <c r="D80" s="34" t="s">
        <v>45</v>
      </c>
      <c r="E80" s="46" t="s">
        <v>45</v>
      </c>
      <c r="F80" s="68" t="s">
        <v>45</v>
      </c>
      <c r="G80" s="114">
        <f>L80*M83</f>
        <v>64.306666666666658</v>
      </c>
      <c r="H80" s="110">
        <f t="shared" ref="H80:H86" si="10">B80*G80*broccoli</f>
        <v>0</v>
      </c>
      <c r="I80" s="50"/>
      <c r="J80" s="55" t="s">
        <v>524</v>
      </c>
      <c r="K80" s="247">
        <v>1</v>
      </c>
      <c r="L80" s="168">
        <f>K80*(R80*diesel_fuel)*(Data!$H$268/$L$73)</f>
        <v>64.306666666666658</v>
      </c>
      <c r="M80" s="22" t="s">
        <v>254</v>
      </c>
      <c r="N80" s="168">
        <f>(R80*diesel_fuel)</f>
        <v>418.13333333333338</v>
      </c>
      <c r="O80" s="22" t="s">
        <v>935</v>
      </c>
      <c r="P80" s="247">
        <v>1000</v>
      </c>
      <c r="Q80" s="247">
        <v>5</v>
      </c>
      <c r="R80" s="46">
        <f>(P80/Q80)*U73</f>
        <v>163.33333333333334</v>
      </c>
    </row>
    <row r="81" spans="1:15" x14ac:dyDescent="0.3">
      <c r="A81" s="9" t="s">
        <v>1022</v>
      </c>
      <c r="B81" s="405">
        <f>B80</f>
        <v>1</v>
      </c>
      <c r="C81" s="47" t="s">
        <v>45</v>
      </c>
      <c r="D81" s="47" t="s">
        <v>45</v>
      </c>
      <c r="E81" s="47" t="s">
        <v>45</v>
      </c>
      <c r="F81" s="590" t="s">
        <v>45</v>
      </c>
      <c r="G81" s="465">
        <f>G80*Data!$F$268</f>
        <v>0</v>
      </c>
      <c r="H81" s="123">
        <f t="shared" si="10"/>
        <v>0</v>
      </c>
      <c r="I81" s="108">
        <f>SUM(H77:H81)</f>
        <v>0</v>
      </c>
      <c r="J81" s="89"/>
      <c r="K81" s="89"/>
      <c r="L81" s="89"/>
      <c r="M81" s="216"/>
      <c r="N81" s="216"/>
      <c r="O81" s="216"/>
    </row>
    <row r="82" spans="1:15" x14ac:dyDescent="0.3">
      <c r="A82" s="70" t="s">
        <v>179</v>
      </c>
      <c r="B82" s="397">
        <v>1</v>
      </c>
      <c r="C82" s="46" t="s">
        <v>45</v>
      </c>
      <c r="D82" s="34" t="s">
        <v>45</v>
      </c>
      <c r="E82" s="34" t="s">
        <v>45</v>
      </c>
      <c r="F82" s="55" t="s">
        <v>45</v>
      </c>
      <c r="G82" s="272">
        <f>0</f>
        <v>0</v>
      </c>
      <c r="H82" s="109">
        <f t="shared" si="10"/>
        <v>0</v>
      </c>
      <c r="K82" s="67" t="s">
        <v>947</v>
      </c>
      <c r="L82" s="67" t="s">
        <v>932</v>
      </c>
      <c r="M82" s="67" t="s">
        <v>934</v>
      </c>
      <c r="N82" s="67" t="s">
        <v>76</v>
      </c>
    </row>
    <row r="83" spans="1:15" x14ac:dyDescent="0.3">
      <c r="A83" s="9" t="s">
        <v>247</v>
      </c>
      <c r="B83" s="405">
        <f>B82</f>
        <v>1</v>
      </c>
      <c r="C83" s="47" t="s">
        <v>45</v>
      </c>
      <c r="D83" s="48" t="s">
        <v>45</v>
      </c>
      <c r="E83" s="48" t="s">
        <v>45</v>
      </c>
      <c r="F83" s="118" t="s">
        <v>45</v>
      </c>
      <c r="G83" s="465">
        <f>(G82*Data!$F$268)</f>
        <v>0</v>
      </c>
      <c r="H83" s="123">
        <f t="shared" si="10"/>
        <v>0</v>
      </c>
      <c r="I83" s="108">
        <f>SUM(H82:H83)</f>
        <v>0</v>
      </c>
      <c r="K83" s="34" t="s">
        <v>762</v>
      </c>
      <c r="L83" s="408">
        <v>0</v>
      </c>
      <c r="M83" s="408">
        <v>1</v>
      </c>
      <c r="N83" s="77">
        <f>SUM(L83:M83)</f>
        <v>1</v>
      </c>
    </row>
    <row r="84" spans="1:15" x14ac:dyDescent="0.3">
      <c r="A84" s="70" t="s">
        <v>180</v>
      </c>
      <c r="B84" s="397">
        <v>1</v>
      </c>
      <c r="C84" s="46" t="s">
        <v>45</v>
      </c>
      <c r="D84" s="34" t="s">
        <v>45</v>
      </c>
      <c r="E84" s="34" t="s">
        <v>45</v>
      </c>
      <c r="F84" s="55" t="s">
        <v>45</v>
      </c>
      <c r="G84" s="114">
        <f>othexp</f>
        <v>0</v>
      </c>
      <c r="H84" s="109">
        <f t="shared" si="10"/>
        <v>0</v>
      </c>
    </row>
    <row r="85" spans="1:15" x14ac:dyDescent="0.3">
      <c r="A85" s="22" t="s">
        <v>181</v>
      </c>
      <c r="B85" s="397">
        <v>1</v>
      </c>
      <c r="C85" s="46" t="s">
        <v>45</v>
      </c>
      <c r="D85" s="34" t="s">
        <v>45</v>
      </c>
      <c r="E85" s="34" t="s">
        <v>45</v>
      </c>
      <c r="F85" s="55" t="s">
        <v>45</v>
      </c>
      <c r="G85" s="272">
        <f>0</f>
        <v>0</v>
      </c>
      <c r="H85" s="109">
        <f t="shared" si="10"/>
        <v>0</v>
      </c>
      <c r="I85" s="108">
        <f>SUM(H84:H85)</f>
        <v>0</v>
      </c>
    </row>
    <row r="86" spans="1:15" x14ac:dyDescent="0.3">
      <c r="A86" s="3" t="s">
        <v>226</v>
      </c>
      <c r="B86" s="397">
        <v>1</v>
      </c>
      <c r="C86" s="46" t="s">
        <v>45</v>
      </c>
      <c r="D86" s="75" t="s">
        <v>45</v>
      </c>
      <c r="E86" s="34" t="s">
        <v>45</v>
      </c>
      <c r="F86" s="55" t="s">
        <v>45</v>
      </c>
      <c r="G86" s="272">
        <f>0</f>
        <v>0</v>
      </c>
      <c r="H86" s="109">
        <f t="shared" si="10"/>
        <v>0</v>
      </c>
    </row>
    <row r="87" spans="1:15" x14ac:dyDescent="0.3">
      <c r="A87" s="3" t="s">
        <v>73</v>
      </c>
      <c r="B87" s="3"/>
      <c r="F87" s="114"/>
      <c r="G87" s="119" t="e">
        <f>SUM(G8:G86)</f>
        <v>#DIV/0!</v>
      </c>
      <c r="H87" s="111">
        <f>SUM(H8:H86)</f>
        <v>0</v>
      </c>
    </row>
    <row r="88" spans="1:15" x14ac:dyDescent="0.3">
      <c r="F88" s="114"/>
      <c r="G88" s="114"/>
      <c r="H88" s="109"/>
    </row>
    <row r="89" spans="1:15" ht="39" x14ac:dyDescent="0.3">
      <c r="A89" s="3" t="s">
        <v>69</v>
      </c>
      <c r="B89" s="3"/>
      <c r="C89" s="25" t="s">
        <v>70</v>
      </c>
      <c r="D89" s="25" t="s">
        <v>71</v>
      </c>
      <c r="E89" s="25"/>
      <c r="F89" s="114"/>
      <c r="G89" s="120" t="s">
        <v>1292</v>
      </c>
      <c r="H89" s="126" t="s">
        <v>72</v>
      </c>
    </row>
    <row r="90" spans="1:15" x14ac:dyDescent="0.3">
      <c r="A90" s="3"/>
      <c r="B90" s="3"/>
      <c r="C90" s="35">
        <f>_int_oper_</f>
        <v>4.7341710603787002E-2</v>
      </c>
      <c r="D90" s="34">
        <f>Data!$B$48</f>
        <v>7</v>
      </c>
      <c r="E90" s="34"/>
      <c r="F90" s="114"/>
      <c r="G90" s="104" t="e">
        <f>H90/broccoli</f>
        <v>#DIV/0!</v>
      </c>
      <c r="H90" s="109">
        <f>C90*(D90/12)*(H87)</f>
        <v>0</v>
      </c>
    </row>
    <row r="91" spans="1:15" x14ac:dyDescent="0.3">
      <c r="F91" s="114"/>
      <c r="G91" s="103"/>
      <c r="H91" s="127"/>
    </row>
    <row r="92" spans="1:15" ht="14" thickBot="1" x14ac:dyDescent="0.4">
      <c r="A92" s="1" t="s">
        <v>74</v>
      </c>
      <c r="B92" s="1"/>
      <c r="F92" s="114"/>
      <c r="G92" s="121" t="e">
        <f>G87+G90</f>
        <v>#DIV/0!</v>
      </c>
      <c r="H92" s="128">
        <f>H87+H90</f>
        <v>0</v>
      </c>
    </row>
    <row r="93" spans="1:15" ht="13.5" thickTop="1" x14ac:dyDescent="0.3">
      <c r="F93" s="34"/>
      <c r="G93" s="34"/>
      <c r="H93" s="49"/>
    </row>
    <row r="94" spans="1:15" x14ac:dyDescent="0.3">
      <c r="F94" s="34"/>
      <c r="G94" s="34"/>
      <c r="H94" s="49"/>
    </row>
    <row r="95" spans="1:15" x14ac:dyDescent="0.3">
      <c r="F95" s="34"/>
      <c r="G95" s="34"/>
      <c r="H95" s="49"/>
    </row>
    <row r="96" spans="1:15" x14ac:dyDescent="0.3">
      <c r="F96" s="34"/>
      <c r="G96" s="34"/>
      <c r="H96" s="49"/>
    </row>
    <row r="98" spans="6:8" x14ac:dyDescent="0.3">
      <c r="F98" s="34"/>
      <c r="G98" s="34"/>
      <c r="H98" s="49"/>
    </row>
    <row r="99" spans="6:8" x14ac:dyDescent="0.3">
      <c r="F99" s="34"/>
      <c r="G99" s="34"/>
      <c r="H99" s="49"/>
    </row>
    <row r="100" spans="6:8" x14ac:dyDescent="0.3">
      <c r="F100" s="34"/>
      <c r="G100" s="34"/>
      <c r="H100" s="49"/>
    </row>
    <row r="101" spans="6:8" x14ac:dyDescent="0.3">
      <c r="F101" s="34"/>
      <c r="G101" s="34"/>
      <c r="H101" s="49"/>
    </row>
    <row r="102" spans="6:8" x14ac:dyDescent="0.3">
      <c r="F102" s="34"/>
      <c r="G102" s="34"/>
      <c r="H102" s="49"/>
    </row>
    <row r="103" spans="6:8" x14ac:dyDescent="0.3">
      <c r="F103" s="34"/>
      <c r="G103" s="34"/>
      <c r="H103" s="34"/>
    </row>
    <row r="104" spans="6:8" x14ac:dyDescent="0.3">
      <c r="F104" s="34"/>
      <c r="G104" s="34"/>
      <c r="H104" s="34"/>
    </row>
    <row r="105" spans="6:8" x14ac:dyDescent="0.3">
      <c r="F105" s="34"/>
      <c r="G105" s="34"/>
      <c r="H105" s="34"/>
    </row>
    <row r="106" spans="6:8" x14ac:dyDescent="0.3">
      <c r="F106" s="34"/>
      <c r="G106" s="34"/>
      <c r="H106" s="34"/>
    </row>
    <row r="108" spans="6:8" x14ac:dyDescent="0.3">
      <c r="F108" s="34"/>
      <c r="G108" s="34"/>
      <c r="H108" s="34"/>
    </row>
    <row r="109" spans="6:8" x14ac:dyDescent="0.3">
      <c r="F109" s="34"/>
      <c r="G109" s="34"/>
      <c r="H109" s="34"/>
    </row>
    <row r="110" spans="6:8" x14ac:dyDescent="0.3">
      <c r="F110" s="34"/>
      <c r="G110" s="34"/>
      <c r="H110" s="34"/>
    </row>
    <row r="111" spans="6:8" x14ac:dyDescent="0.3">
      <c r="F111" s="34"/>
      <c r="G111" s="34"/>
      <c r="H111" s="34"/>
    </row>
    <row r="112" spans="6:8" x14ac:dyDescent="0.3">
      <c r="F112" s="34"/>
      <c r="G112" s="34"/>
      <c r="H112" s="34"/>
    </row>
    <row r="113" spans="6:8" x14ac:dyDescent="0.3">
      <c r="F113" s="34"/>
      <c r="G113" s="34"/>
      <c r="H113" s="34"/>
    </row>
    <row r="114" spans="6:8" x14ac:dyDescent="0.3">
      <c r="F114" s="34"/>
      <c r="G114" s="34"/>
      <c r="H114" s="34"/>
    </row>
    <row r="115" spans="6:8" x14ac:dyDescent="0.3">
      <c r="F115" s="34"/>
      <c r="G115" s="34"/>
      <c r="H115" s="34"/>
    </row>
    <row r="116" spans="6:8" x14ac:dyDescent="0.3">
      <c r="F116" s="34"/>
      <c r="G116" s="34"/>
      <c r="H116" s="34"/>
    </row>
    <row r="117" spans="6:8" x14ac:dyDescent="0.3">
      <c r="F117" s="34"/>
      <c r="G117" s="34"/>
      <c r="H117" s="34"/>
    </row>
    <row r="118" spans="6:8" x14ac:dyDescent="0.3">
      <c r="F118" s="34"/>
      <c r="G118" s="34"/>
      <c r="H118" s="34"/>
    </row>
    <row r="119" spans="6:8" x14ac:dyDescent="0.3">
      <c r="F119" s="34"/>
      <c r="G119" s="34"/>
      <c r="H119" s="34"/>
    </row>
    <row r="120" spans="6:8" x14ac:dyDescent="0.3">
      <c r="F120" s="34"/>
      <c r="G120" s="34"/>
      <c r="H120" s="34"/>
    </row>
    <row r="121" spans="6:8" x14ac:dyDescent="0.3">
      <c r="F121" s="34"/>
      <c r="G121" s="34"/>
      <c r="H121" s="34"/>
    </row>
    <row r="122" spans="6:8" x14ac:dyDescent="0.3">
      <c r="F122" s="34"/>
      <c r="G122" s="34"/>
      <c r="H122" s="34"/>
    </row>
    <row r="123" spans="6:8" x14ac:dyDescent="0.3">
      <c r="F123" s="34"/>
      <c r="G123" s="34"/>
      <c r="H123" s="34"/>
    </row>
    <row r="124" spans="6:8" x14ac:dyDescent="0.3">
      <c r="F124" s="34"/>
      <c r="G124" s="34"/>
      <c r="H124" s="34"/>
    </row>
    <row r="125" spans="6:8" x14ac:dyDescent="0.3">
      <c r="F125" s="34"/>
      <c r="G125" s="34"/>
      <c r="H125" s="34"/>
    </row>
    <row r="126" spans="6:8" x14ac:dyDescent="0.3">
      <c r="F126" s="34"/>
      <c r="G126" s="34"/>
      <c r="H126" s="34"/>
    </row>
    <row r="127" spans="6:8" x14ac:dyDescent="0.3">
      <c r="F127" s="34"/>
      <c r="G127" s="34"/>
      <c r="H127" s="34"/>
    </row>
    <row r="128" spans="6:8" x14ac:dyDescent="0.3">
      <c r="F128" s="34"/>
      <c r="G128" s="34"/>
      <c r="H128" s="34"/>
    </row>
    <row r="129" spans="6:8" x14ac:dyDescent="0.3">
      <c r="F129" s="34"/>
      <c r="G129" s="34"/>
      <c r="H129" s="34"/>
    </row>
    <row r="130" spans="6:8" x14ac:dyDescent="0.3">
      <c r="F130" s="34"/>
      <c r="G130" s="34"/>
      <c r="H130" s="34"/>
    </row>
    <row r="131" spans="6:8" x14ac:dyDescent="0.3">
      <c r="F131" s="34"/>
      <c r="G131" s="34"/>
      <c r="H131" s="34"/>
    </row>
    <row r="132" spans="6:8" x14ac:dyDescent="0.3">
      <c r="F132" s="34"/>
      <c r="G132" s="34"/>
      <c r="H132" s="34"/>
    </row>
    <row r="133" spans="6:8" x14ac:dyDescent="0.3">
      <c r="F133" s="34"/>
      <c r="G133" s="34"/>
      <c r="H133" s="34"/>
    </row>
    <row r="134" spans="6:8" x14ac:dyDescent="0.3">
      <c r="F134" s="34"/>
      <c r="G134" s="34"/>
      <c r="H134" s="34"/>
    </row>
    <row r="135" spans="6:8" x14ac:dyDescent="0.3">
      <c r="F135" s="34"/>
      <c r="G135" s="34"/>
      <c r="H135" s="34"/>
    </row>
    <row r="136" spans="6:8" x14ac:dyDescent="0.3">
      <c r="F136" s="34"/>
      <c r="G136" s="34"/>
      <c r="H136" s="34"/>
    </row>
    <row r="137" spans="6:8" x14ac:dyDescent="0.3">
      <c r="F137" s="34"/>
      <c r="G137" s="34"/>
      <c r="H137" s="34"/>
    </row>
    <row r="138" spans="6:8" x14ac:dyDescent="0.3">
      <c r="F138" s="34"/>
      <c r="G138" s="34"/>
      <c r="H138" s="34"/>
    </row>
    <row r="139" spans="6:8" x14ac:dyDescent="0.3">
      <c r="F139" s="34"/>
      <c r="G139" s="34"/>
      <c r="H139" s="34"/>
    </row>
    <row r="140" spans="6:8" x14ac:dyDescent="0.3">
      <c r="F140" s="34"/>
      <c r="G140" s="34"/>
      <c r="H140" s="34"/>
    </row>
    <row r="141" spans="6:8" x14ac:dyDescent="0.3">
      <c r="F141" s="34"/>
      <c r="G141" s="34"/>
      <c r="H141" s="34"/>
    </row>
    <row r="142" spans="6:8" x14ac:dyDescent="0.3">
      <c r="F142" s="34"/>
      <c r="G142" s="34"/>
      <c r="H142" s="34"/>
    </row>
    <row r="143" spans="6:8" x14ac:dyDescent="0.3">
      <c r="F143" s="34"/>
      <c r="G143" s="34"/>
      <c r="H143" s="34"/>
    </row>
    <row r="144" spans="6:8" x14ac:dyDescent="0.3">
      <c r="F144" s="34"/>
      <c r="G144" s="34"/>
      <c r="H144" s="34"/>
    </row>
    <row r="145" spans="6:8" x14ac:dyDescent="0.3">
      <c r="F145" s="34"/>
      <c r="G145" s="34"/>
      <c r="H145" s="34"/>
    </row>
    <row r="146" spans="6:8" x14ac:dyDescent="0.3">
      <c r="F146" s="34"/>
      <c r="G146" s="34"/>
      <c r="H146" s="34"/>
    </row>
    <row r="147" spans="6:8" x14ac:dyDescent="0.3">
      <c r="F147" s="34"/>
      <c r="G147" s="34"/>
      <c r="H147" s="34"/>
    </row>
    <row r="148" spans="6:8" x14ac:dyDescent="0.3">
      <c r="F148" s="34"/>
      <c r="G148" s="34"/>
      <c r="H148" s="34"/>
    </row>
    <row r="149" spans="6:8" x14ac:dyDescent="0.3">
      <c r="F149" s="34"/>
      <c r="G149" s="34"/>
      <c r="H149" s="34"/>
    </row>
    <row r="150" spans="6:8" x14ac:dyDescent="0.3">
      <c r="F150" s="34"/>
      <c r="G150" s="34"/>
      <c r="H150" s="34"/>
    </row>
    <row r="151" spans="6:8" x14ac:dyDescent="0.3">
      <c r="F151" s="34"/>
      <c r="G151" s="34"/>
      <c r="H151" s="34"/>
    </row>
    <row r="152" spans="6:8" x14ac:dyDescent="0.3">
      <c r="F152" s="34"/>
      <c r="G152" s="34"/>
      <c r="H152" s="34"/>
    </row>
    <row r="153" spans="6:8" x14ac:dyDescent="0.3">
      <c r="F153" s="34"/>
      <c r="G153" s="34"/>
      <c r="H153" s="34"/>
    </row>
    <row r="154" spans="6:8" x14ac:dyDescent="0.3">
      <c r="F154" s="34"/>
      <c r="G154" s="34"/>
      <c r="H154" s="34"/>
    </row>
    <row r="155" spans="6:8" x14ac:dyDescent="0.3">
      <c r="F155" s="34"/>
      <c r="G155" s="34"/>
      <c r="H155" s="34"/>
    </row>
    <row r="156" spans="6:8" x14ac:dyDescent="0.3">
      <c r="F156" s="34"/>
      <c r="G156" s="34"/>
      <c r="H156" s="34"/>
    </row>
    <row r="157" spans="6:8" x14ac:dyDescent="0.3">
      <c r="F157" s="34"/>
      <c r="G157" s="34"/>
      <c r="H157" s="34"/>
    </row>
    <row r="158" spans="6:8" x14ac:dyDescent="0.3">
      <c r="F158" s="34"/>
      <c r="G158" s="34"/>
      <c r="H158" s="34"/>
    </row>
    <row r="159" spans="6:8" x14ac:dyDescent="0.3">
      <c r="F159" s="34"/>
      <c r="G159" s="34"/>
      <c r="H159" s="34"/>
    </row>
    <row r="160" spans="6:8" x14ac:dyDescent="0.3">
      <c r="F160" s="34"/>
      <c r="G160" s="34"/>
      <c r="H160" s="34"/>
    </row>
    <row r="161" spans="6:8" x14ac:dyDescent="0.3">
      <c r="F161" s="34"/>
      <c r="G161" s="34"/>
      <c r="H161" s="34"/>
    </row>
    <row r="162" spans="6:8" x14ac:dyDescent="0.3">
      <c r="F162" s="34"/>
      <c r="G162" s="34"/>
      <c r="H162" s="34"/>
    </row>
    <row r="163" spans="6:8" x14ac:dyDescent="0.3">
      <c r="F163" s="34"/>
      <c r="G163" s="34"/>
      <c r="H163" s="34"/>
    </row>
    <row r="164" spans="6:8" x14ac:dyDescent="0.3">
      <c r="F164" s="34"/>
      <c r="G164" s="34"/>
      <c r="H164" s="34"/>
    </row>
    <row r="165" spans="6:8" x14ac:dyDescent="0.3">
      <c r="F165" s="34"/>
      <c r="G165" s="34"/>
      <c r="H165" s="34"/>
    </row>
    <row r="166" spans="6:8" x14ac:dyDescent="0.3">
      <c r="F166" s="34"/>
      <c r="G166" s="34"/>
      <c r="H166" s="34"/>
    </row>
    <row r="167" spans="6:8" x14ac:dyDescent="0.3">
      <c r="F167" s="34"/>
      <c r="G167" s="34"/>
      <c r="H167" s="34"/>
    </row>
    <row r="168" spans="6:8" x14ac:dyDescent="0.3">
      <c r="F168" s="34"/>
      <c r="G168" s="34"/>
      <c r="H168" s="34"/>
    </row>
    <row r="169" spans="6:8" x14ac:dyDescent="0.3">
      <c r="F169" s="34"/>
      <c r="G169" s="34"/>
      <c r="H169" s="34"/>
    </row>
    <row r="170" spans="6:8" x14ac:dyDescent="0.3">
      <c r="F170" s="34"/>
      <c r="G170" s="34"/>
      <c r="H170" s="34"/>
    </row>
    <row r="171" spans="6:8" x14ac:dyDescent="0.3">
      <c r="F171" s="34"/>
      <c r="G171" s="34"/>
      <c r="H171" s="34"/>
    </row>
    <row r="172" spans="6:8" x14ac:dyDescent="0.3">
      <c r="F172" s="34"/>
      <c r="G172" s="34"/>
      <c r="H172" s="34"/>
    </row>
    <row r="173" spans="6:8" x14ac:dyDescent="0.3">
      <c r="F173" s="34"/>
      <c r="G173" s="34"/>
      <c r="H173" s="34"/>
    </row>
    <row r="174" spans="6:8" x14ac:dyDescent="0.3">
      <c r="F174" s="34"/>
      <c r="G174" s="34"/>
      <c r="H174" s="34"/>
    </row>
    <row r="175" spans="6:8" x14ac:dyDescent="0.3">
      <c r="F175" s="34"/>
      <c r="G175" s="34"/>
      <c r="H175" s="34"/>
    </row>
    <row r="176" spans="6:8" x14ac:dyDescent="0.3">
      <c r="F176" s="34"/>
      <c r="G176" s="34"/>
      <c r="H176" s="34"/>
    </row>
    <row r="177" spans="6:8" x14ac:dyDescent="0.3">
      <c r="F177" s="34"/>
      <c r="G177" s="34"/>
      <c r="H177" s="34"/>
    </row>
    <row r="178" spans="6:8" x14ac:dyDescent="0.3">
      <c r="F178" s="34"/>
      <c r="G178" s="34"/>
      <c r="H178" s="34"/>
    </row>
    <row r="179" spans="6:8" x14ac:dyDescent="0.3">
      <c r="F179" s="34"/>
      <c r="G179" s="34"/>
      <c r="H179" s="34"/>
    </row>
    <row r="180" spans="6:8" x14ac:dyDescent="0.3">
      <c r="F180" s="34"/>
      <c r="G180" s="34"/>
      <c r="H180" s="34"/>
    </row>
    <row r="181" spans="6:8" x14ac:dyDescent="0.3">
      <c r="F181" s="34"/>
      <c r="G181" s="34"/>
      <c r="H181" s="34"/>
    </row>
    <row r="182" spans="6:8" x14ac:dyDescent="0.3">
      <c r="F182" s="34"/>
      <c r="G182" s="34"/>
      <c r="H182" s="34"/>
    </row>
    <row r="183" spans="6:8" x14ac:dyDescent="0.3">
      <c r="F183" s="34"/>
      <c r="G183" s="34"/>
      <c r="H183" s="34"/>
    </row>
    <row r="184" spans="6:8" x14ac:dyDescent="0.3">
      <c r="F184" s="34"/>
      <c r="G184" s="34"/>
      <c r="H184" s="34"/>
    </row>
    <row r="185" spans="6:8" x14ac:dyDescent="0.3">
      <c r="F185" s="34"/>
      <c r="G185" s="34"/>
      <c r="H185" s="34"/>
    </row>
    <row r="186" spans="6:8" x14ac:dyDescent="0.3">
      <c r="F186" s="34"/>
      <c r="G186" s="34"/>
      <c r="H186" s="34"/>
    </row>
    <row r="187" spans="6:8" x14ac:dyDescent="0.3">
      <c r="F187" s="34"/>
      <c r="G187" s="34"/>
      <c r="H187" s="34"/>
    </row>
    <row r="188" spans="6:8" x14ac:dyDescent="0.3">
      <c r="F188" s="34"/>
      <c r="G188" s="34"/>
      <c r="H188" s="34"/>
    </row>
    <row r="189" spans="6:8" x14ac:dyDescent="0.3">
      <c r="F189" s="34"/>
      <c r="G189" s="34"/>
      <c r="H189" s="34"/>
    </row>
    <row r="190" spans="6:8" x14ac:dyDescent="0.3">
      <c r="F190" s="34"/>
      <c r="G190" s="34"/>
      <c r="H190" s="34"/>
    </row>
    <row r="191" spans="6:8" x14ac:dyDescent="0.3">
      <c r="F191" s="34"/>
      <c r="G191" s="34"/>
      <c r="H191" s="34"/>
    </row>
    <row r="192" spans="6:8" x14ac:dyDescent="0.3">
      <c r="F192" s="34"/>
      <c r="G192" s="34"/>
      <c r="H192" s="34"/>
    </row>
    <row r="193" spans="6:8" x14ac:dyDescent="0.3">
      <c r="F193" s="34"/>
      <c r="G193" s="34"/>
      <c r="H193" s="34"/>
    </row>
    <row r="194" spans="6:8" x14ac:dyDescent="0.3">
      <c r="F194" s="34"/>
      <c r="G194" s="34"/>
      <c r="H194" s="34"/>
    </row>
    <row r="195" spans="6:8" x14ac:dyDescent="0.3">
      <c r="F195" s="34"/>
      <c r="G195" s="34"/>
      <c r="H195" s="34"/>
    </row>
    <row r="196" spans="6:8" x14ac:dyDescent="0.3">
      <c r="F196" s="34"/>
      <c r="G196" s="34"/>
      <c r="H196" s="34"/>
    </row>
    <row r="197" spans="6:8" x14ac:dyDescent="0.3">
      <c r="F197" s="34"/>
      <c r="G197" s="34"/>
      <c r="H197" s="34"/>
    </row>
    <row r="198" spans="6:8" x14ac:dyDescent="0.3">
      <c r="F198" s="34"/>
      <c r="G198" s="34"/>
      <c r="H198" s="34"/>
    </row>
    <row r="199" spans="6:8" x14ac:dyDescent="0.3">
      <c r="F199" s="34"/>
      <c r="G199" s="34"/>
      <c r="H199" s="34"/>
    </row>
    <row r="200" spans="6:8" x14ac:dyDescent="0.3">
      <c r="F200" s="34"/>
      <c r="G200" s="34"/>
      <c r="H200" s="34"/>
    </row>
    <row r="201" spans="6:8" x14ac:dyDescent="0.3">
      <c r="F201" s="34"/>
      <c r="G201" s="34"/>
      <c r="H201" s="34"/>
    </row>
    <row r="202" spans="6:8" x14ac:dyDescent="0.3">
      <c r="F202" s="34"/>
      <c r="G202" s="34"/>
      <c r="H202" s="34"/>
    </row>
    <row r="203" spans="6:8" x14ac:dyDescent="0.3">
      <c r="F203" s="34"/>
      <c r="G203" s="34"/>
      <c r="H203" s="34"/>
    </row>
    <row r="204" spans="6:8" x14ac:dyDescent="0.3">
      <c r="F204" s="34"/>
      <c r="G204" s="34"/>
      <c r="H204" s="34"/>
    </row>
    <row r="205" spans="6:8" x14ac:dyDescent="0.3">
      <c r="F205" s="34"/>
      <c r="G205" s="34"/>
      <c r="H205" s="34"/>
    </row>
    <row r="206" spans="6:8" x14ac:dyDescent="0.3">
      <c r="F206" s="34"/>
      <c r="G206" s="34"/>
      <c r="H206" s="34"/>
    </row>
    <row r="207" spans="6:8" x14ac:dyDescent="0.3">
      <c r="F207" s="34"/>
      <c r="G207" s="34"/>
      <c r="H207" s="34"/>
    </row>
    <row r="208" spans="6:8" x14ac:dyDescent="0.3">
      <c r="F208" s="34"/>
      <c r="G208" s="34"/>
      <c r="H208" s="34"/>
    </row>
    <row r="209" spans="6:8" x14ac:dyDescent="0.3">
      <c r="F209" s="34"/>
      <c r="G209" s="34"/>
      <c r="H209" s="34"/>
    </row>
    <row r="210" spans="6:8" x14ac:dyDescent="0.3">
      <c r="F210" s="34"/>
      <c r="G210" s="34"/>
      <c r="H210" s="34"/>
    </row>
    <row r="211" spans="6:8" x14ac:dyDescent="0.3">
      <c r="F211" s="34"/>
      <c r="G211" s="34"/>
      <c r="H211" s="34"/>
    </row>
    <row r="212" spans="6:8" x14ac:dyDescent="0.3">
      <c r="F212" s="34"/>
      <c r="G212" s="34"/>
      <c r="H212" s="34"/>
    </row>
    <row r="213" spans="6:8" x14ac:dyDescent="0.3">
      <c r="F213" s="34"/>
      <c r="G213" s="34"/>
      <c r="H213" s="34"/>
    </row>
    <row r="214" spans="6:8" x14ac:dyDescent="0.3">
      <c r="F214" s="34"/>
      <c r="G214" s="34"/>
      <c r="H214" s="34"/>
    </row>
    <row r="215" spans="6:8" x14ac:dyDescent="0.3">
      <c r="F215" s="34"/>
      <c r="G215" s="34"/>
      <c r="H215" s="34"/>
    </row>
    <row r="216" spans="6:8" x14ac:dyDescent="0.3">
      <c r="F216" s="34"/>
      <c r="G216" s="34"/>
      <c r="H216" s="34"/>
    </row>
    <row r="217" spans="6:8" x14ac:dyDescent="0.3">
      <c r="F217" s="34"/>
      <c r="G217" s="34"/>
      <c r="H217" s="34"/>
    </row>
    <row r="218" spans="6:8" x14ac:dyDescent="0.3">
      <c r="F218" s="34"/>
      <c r="G218" s="34"/>
      <c r="H218" s="34"/>
    </row>
    <row r="219" spans="6:8" x14ac:dyDescent="0.3">
      <c r="F219" s="34"/>
      <c r="G219" s="34"/>
      <c r="H219" s="34"/>
    </row>
    <row r="220" spans="6:8" x14ac:dyDescent="0.3">
      <c r="F220" s="34"/>
      <c r="G220" s="34"/>
      <c r="H220" s="34"/>
    </row>
    <row r="221" spans="6:8" x14ac:dyDescent="0.3">
      <c r="F221" s="34"/>
      <c r="G221" s="34"/>
      <c r="H221" s="34"/>
    </row>
    <row r="222" spans="6:8" x14ac:dyDescent="0.3">
      <c r="F222" s="34"/>
      <c r="G222" s="34"/>
      <c r="H222" s="34"/>
    </row>
    <row r="223" spans="6:8" x14ac:dyDescent="0.3">
      <c r="F223" s="34"/>
      <c r="G223" s="34"/>
      <c r="H223" s="34"/>
    </row>
    <row r="224" spans="6:8" x14ac:dyDescent="0.3">
      <c r="F224" s="34"/>
      <c r="G224" s="34"/>
      <c r="H224" s="34"/>
    </row>
    <row r="225" spans="6:8" x14ac:dyDescent="0.3">
      <c r="F225" s="34"/>
      <c r="G225" s="34"/>
      <c r="H225" s="34"/>
    </row>
    <row r="226" spans="6:8" x14ac:dyDescent="0.3">
      <c r="F226" s="34"/>
      <c r="G226" s="34"/>
      <c r="H226" s="34"/>
    </row>
    <row r="227" spans="6:8" x14ac:dyDescent="0.3">
      <c r="F227" s="34"/>
      <c r="G227" s="34"/>
      <c r="H227" s="34"/>
    </row>
    <row r="228" spans="6:8" x14ac:dyDescent="0.3">
      <c r="F228" s="34"/>
      <c r="G228" s="34"/>
      <c r="H228" s="34"/>
    </row>
    <row r="229" spans="6:8" x14ac:dyDescent="0.3">
      <c r="F229" s="34"/>
      <c r="G229" s="34"/>
      <c r="H229" s="34"/>
    </row>
    <row r="230" spans="6:8" x14ac:dyDescent="0.3">
      <c r="F230" s="34"/>
      <c r="G230" s="34"/>
      <c r="H230" s="34"/>
    </row>
    <row r="231" spans="6:8" x14ac:dyDescent="0.3">
      <c r="F231" s="34"/>
      <c r="G231" s="34"/>
      <c r="H231" s="34"/>
    </row>
    <row r="232" spans="6:8" x14ac:dyDescent="0.3">
      <c r="F232" s="34"/>
      <c r="G232" s="34"/>
      <c r="H232" s="34"/>
    </row>
    <row r="233" spans="6:8" x14ac:dyDescent="0.3">
      <c r="F233" s="34"/>
      <c r="G233" s="34"/>
      <c r="H233" s="34"/>
    </row>
    <row r="234" spans="6:8" x14ac:dyDescent="0.3">
      <c r="F234" s="34"/>
      <c r="G234" s="34"/>
      <c r="H234" s="34"/>
    </row>
    <row r="235" spans="6:8" x14ac:dyDescent="0.3">
      <c r="F235" s="34"/>
      <c r="G235" s="34"/>
      <c r="H235" s="34"/>
    </row>
    <row r="236" spans="6:8" x14ac:dyDescent="0.3">
      <c r="F236" s="34"/>
      <c r="G236" s="34"/>
      <c r="H236" s="34"/>
    </row>
    <row r="237" spans="6:8" x14ac:dyDescent="0.3">
      <c r="F237" s="34"/>
      <c r="G237" s="34"/>
      <c r="H237" s="34"/>
    </row>
    <row r="238" spans="6:8" x14ac:dyDescent="0.3">
      <c r="F238" s="34"/>
      <c r="G238" s="34"/>
      <c r="H238" s="34"/>
    </row>
    <row r="239" spans="6:8" x14ac:dyDescent="0.3">
      <c r="F239" s="34"/>
      <c r="G239" s="34"/>
      <c r="H239" s="34"/>
    </row>
    <row r="240" spans="6:8" x14ac:dyDescent="0.3">
      <c r="F240" s="34"/>
      <c r="G240" s="34"/>
      <c r="H240" s="34"/>
    </row>
    <row r="241" spans="6:8" x14ac:dyDescent="0.3">
      <c r="F241" s="34"/>
      <c r="G241" s="34"/>
      <c r="H241" s="34"/>
    </row>
    <row r="242" spans="6:8" x14ac:dyDescent="0.3">
      <c r="F242" s="34"/>
      <c r="G242" s="34"/>
      <c r="H242" s="34"/>
    </row>
    <row r="243" spans="6:8" x14ac:dyDescent="0.3">
      <c r="F243" s="34"/>
      <c r="G243" s="34"/>
      <c r="H243" s="34"/>
    </row>
    <row r="244" spans="6:8" x14ac:dyDescent="0.3">
      <c r="F244" s="34"/>
      <c r="G244" s="34"/>
      <c r="H244" s="34"/>
    </row>
    <row r="245" spans="6:8" x14ac:dyDescent="0.3">
      <c r="F245" s="34"/>
      <c r="G245" s="34"/>
      <c r="H245" s="34"/>
    </row>
    <row r="246" spans="6:8" x14ac:dyDescent="0.3">
      <c r="F246" s="34"/>
      <c r="G246" s="34"/>
      <c r="H246" s="34"/>
    </row>
    <row r="247" spans="6:8" x14ac:dyDescent="0.3">
      <c r="F247" s="34"/>
      <c r="G247" s="34"/>
      <c r="H247" s="34"/>
    </row>
    <row r="248" spans="6:8" x14ac:dyDescent="0.3">
      <c r="F248" s="34"/>
      <c r="G248" s="34"/>
      <c r="H248" s="34"/>
    </row>
    <row r="249" spans="6:8" x14ac:dyDescent="0.3">
      <c r="F249" s="34"/>
      <c r="G249" s="34"/>
      <c r="H249" s="34"/>
    </row>
    <row r="250" spans="6:8" x14ac:dyDescent="0.3">
      <c r="F250" s="34"/>
      <c r="G250" s="34"/>
      <c r="H250" s="34"/>
    </row>
    <row r="251" spans="6:8" x14ac:dyDescent="0.3">
      <c r="F251" s="34"/>
      <c r="G251" s="34"/>
      <c r="H251" s="34"/>
    </row>
    <row r="252" spans="6:8" x14ac:dyDescent="0.3">
      <c r="F252" s="34"/>
      <c r="G252" s="34"/>
      <c r="H252" s="34"/>
    </row>
    <row r="253" spans="6:8" x14ac:dyDescent="0.3">
      <c r="F253" s="34"/>
      <c r="G253" s="34"/>
      <c r="H253" s="34"/>
    </row>
    <row r="254" spans="6:8" x14ac:dyDescent="0.3">
      <c r="F254" s="34"/>
      <c r="G254" s="34"/>
      <c r="H254" s="34"/>
    </row>
    <row r="255" spans="6:8" x14ac:dyDescent="0.3">
      <c r="F255" s="34"/>
      <c r="G255" s="34"/>
      <c r="H255" s="34"/>
    </row>
    <row r="256" spans="6:8" x14ac:dyDescent="0.3">
      <c r="F256" s="34"/>
      <c r="G256" s="34"/>
      <c r="H256" s="34"/>
    </row>
    <row r="257" spans="6:8" x14ac:dyDescent="0.3">
      <c r="F257" s="34"/>
      <c r="G257" s="34"/>
      <c r="H257" s="34"/>
    </row>
    <row r="258" spans="6:8" x14ac:dyDescent="0.3">
      <c r="F258" s="34"/>
      <c r="G258" s="34"/>
      <c r="H258" s="34"/>
    </row>
    <row r="259" spans="6:8" x14ac:dyDescent="0.3">
      <c r="F259" s="34"/>
      <c r="G259" s="34"/>
      <c r="H259" s="34"/>
    </row>
    <row r="260" spans="6:8" x14ac:dyDescent="0.3">
      <c r="F260" s="34"/>
      <c r="G260" s="34"/>
      <c r="H260" s="34"/>
    </row>
    <row r="261" spans="6:8" x14ac:dyDescent="0.3">
      <c r="F261" s="34"/>
      <c r="G261" s="34"/>
      <c r="H261" s="34"/>
    </row>
    <row r="262" spans="6:8" x14ac:dyDescent="0.3">
      <c r="F262" s="34"/>
      <c r="G262" s="34"/>
      <c r="H262" s="34"/>
    </row>
    <row r="263" spans="6:8" x14ac:dyDescent="0.3">
      <c r="F263" s="34"/>
      <c r="G263" s="34"/>
      <c r="H263" s="34"/>
    </row>
    <row r="264" spans="6:8" x14ac:dyDescent="0.3">
      <c r="F264" s="34"/>
      <c r="G264" s="34"/>
      <c r="H264" s="34"/>
    </row>
    <row r="265" spans="6:8" x14ac:dyDescent="0.3">
      <c r="F265" s="34"/>
      <c r="G265" s="34"/>
      <c r="H265" s="34"/>
    </row>
    <row r="266" spans="6:8" x14ac:dyDescent="0.3">
      <c r="F266" s="34"/>
      <c r="G266" s="34"/>
      <c r="H266" s="34"/>
    </row>
    <row r="267" spans="6:8" x14ac:dyDescent="0.3">
      <c r="F267" s="34"/>
      <c r="G267" s="34"/>
      <c r="H267" s="34"/>
    </row>
    <row r="268" spans="6:8" x14ac:dyDescent="0.3">
      <c r="F268" s="34"/>
      <c r="G268" s="34"/>
      <c r="H268" s="34"/>
    </row>
    <row r="269" spans="6:8" x14ac:dyDescent="0.3">
      <c r="F269" s="34"/>
      <c r="G269" s="34"/>
      <c r="H269" s="34"/>
    </row>
    <row r="270" spans="6:8" x14ac:dyDescent="0.3">
      <c r="F270" s="34"/>
      <c r="G270" s="34"/>
      <c r="H270" s="34"/>
    </row>
    <row r="271" spans="6:8" x14ac:dyDescent="0.3">
      <c r="F271" s="34"/>
      <c r="G271" s="34"/>
      <c r="H271" s="34"/>
    </row>
    <row r="272" spans="6:8" x14ac:dyDescent="0.3">
      <c r="F272" s="34"/>
      <c r="G272" s="34"/>
      <c r="H272" s="34"/>
    </row>
    <row r="273" spans="6:8" x14ac:dyDescent="0.3">
      <c r="F273" s="34"/>
      <c r="G273" s="34"/>
      <c r="H273" s="34"/>
    </row>
    <row r="274" spans="6:8" x14ac:dyDescent="0.3">
      <c r="F274" s="34"/>
      <c r="G274" s="34"/>
      <c r="H274" s="34"/>
    </row>
    <row r="275" spans="6:8" x14ac:dyDescent="0.3">
      <c r="F275" s="34"/>
      <c r="G275" s="34"/>
      <c r="H275" s="34"/>
    </row>
    <row r="276" spans="6:8" x14ac:dyDescent="0.3">
      <c r="F276" s="34"/>
      <c r="G276" s="34"/>
      <c r="H276" s="34"/>
    </row>
    <row r="277" spans="6:8" x14ac:dyDescent="0.3">
      <c r="F277" s="34"/>
      <c r="G277" s="34"/>
      <c r="H277" s="34"/>
    </row>
    <row r="278" spans="6:8" x14ac:dyDescent="0.3">
      <c r="F278" s="34"/>
      <c r="G278" s="34"/>
      <c r="H278" s="34"/>
    </row>
    <row r="279" spans="6:8" x14ac:dyDescent="0.3">
      <c r="F279" s="34"/>
      <c r="G279" s="34"/>
      <c r="H279" s="34"/>
    </row>
    <row r="280" spans="6:8" x14ac:dyDescent="0.3">
      <c r="F280" s="34"/>
      <c r="G280" s="34"/>
      <c r="H280" s="34"/>
    </row>
    <row r="281" spans="6:8" x14ac:dyDescent="0.3">
      <c r="F281" s="34"/>
      <c r="G281" s="34"/>
      <c r="H281" s="34"/>
    </row>
    <row r="282" spans="6:8" x14ac:dyDescent="0.3">
      <c r="F282" s="34"/>
      <c r="G282" s="34"/>
      <c r="H282" s="34"/>
    </row>
    <row r="283" spans="6:8" x14ac:dyDescent="0.3">
      <c r="F283" s="34"/>
      <c r="G283" s="34"/>
      <c r="H283" s="34"/>
    </row>
    <row r="284" spans="6:8" x14ac:dyDescent="0.3">
      <c r="F284" s="34"/>
      <c r="G284" s="34"/>
      <c r="H284" s="34"/>
    </row>
    <row r="285" spans="6:8" x14ac:dyDescent="0.3">
      <c r="F285" s="34"/>
      <c r="G285" s="34"/>
      <c r="H285" s="34"/>
    </row>
    <row r="286" spans="6:8" x14ac:dyDescent="0.3">
      <c r="F286" s="34"/>
      <c r="G286" s="34"/>
      <c r="H286" s="34"/>
    </row>
    <row r="287" spans="6:8" x14ac:dyDescent="0.3">
      <c r="F287" s="34"/>
      <c r="G287" s="34"/>
      <c r="H287" s="34"/>
    </row>
    <row r="288" spans="6:8" x14ac:dyDescent="0.3">
      <c r="F288" s="34"/>
      <c r="G288" s="34"/>
      <c r="H288" s="34"/>
    </row>
    <row r="289" spans="6:8" x14ac:dyDescent="0.3">
      <c r="F289" s="34"/>
      <c r="G289" s="34"/>
      <c r="H289" s="34"/>
    </row>
    <row r="290" spans="6:8" x14ac:dyDescent="0.3">
      <c r="F290" s="34"/>
      <c r="G290" s="34"/>
      <c r="H290" s="34"/>
    </row>
    <row r="291" spans="6:8" x14ac:dyDescent="0.3">
      <c r="F291" s="34"/>
      <c r="G291" s="34"/>
      <c r="H291" s="34"/>
    </row>
    <row r="292" spans="6:8" x14ac:dyDescent="0.3">
      <c r="F292" s="34"/>
      <c r="G292" s="34"/>
      <c r="H292" s="34"/>
    </row>
    <row r="293" spans="6:8" x14ac:dyDescent="0.3">
      <c r="F293" s="34"/>
      <c r="G293" s="34"/>
      <c r="H293" s="34"/>
    </row>
    <row r="294" spans="6:8" x14ac:dyDescent="0.3">
      <c r="F294" s="34"/>
      <c r="G294" s="34"/>
      <c r="H294" s="34"/>
    </row>
    <row r="295" spans="6:8" x14ac:dyDescent="0.3">
      <c r="F295" s="34"/>
      <c r="G295" s="34"/>
      <c r="H295" s="34"/>
    </row>
    <row r="296" spans="6:8" x14ac:dyDescent="0.3">
      <c r="F296" s="34"/>
      <c r="G296" s="34"/>
      <c r="H296" s="34"/>
    </row>
    <row r="297" spans="6:8" x14ac:dyDescent="0.3">
      <c r="F297" s="34"/>
      <c r="G297" s="34"/>
      <c r="H297" s="34"/>
    </row>
    <row r="298" spans="6:8" x14ac:dyDescent="0.3">
      <c r="F298" s="34"/>
      <c r="G298" s="34"/>
      <c r="H298" s="34"/>
    </row>
    <row r="299" spans="6:8" x14ac:dyDescent="0.3">
      <c r="F299" s="34"/>
      <c r="G299" s="34"/>
      <c r="H299" s="34"/>
    </row>
    <row r="300" spans="6:8" x14ac:dyDescent="0.3">
      <c r="F300" s="34"/>
      <c r="G300" s="34"/>
      <c r="H300" s="34"/>
    </row>
    <row r="301" spans="6:8" x14ac:dyDescent="0.3">
      <c r="F301" s="34"/>
      <c r="G301" s="34"/>
      <c r="H301" s="34"/>
    </row>
    <row r="302" spans="6:8" x14ac:dyDescent="0.3">
      <c r="F302" s="34"/>
      <c r="G302" s="34"/>
      <c r="H302" s="34"/>
    </row>
    <row r="303" spans="6:8" x14ac:dyDescent="0.3">
      <c r="F303" s="34"/>
      <c r="G303" s="34"/>
      <c r="H303" s="34"/>
    </row>
    <row r="304" spans="6:8" x14ac:dyDescent="0.3">
      <c r="F304" s="34"/>
      <c r="G304" s="34"/>
      <c r="H304" s="34"/>
    </row>
    <row r="305" spans="6:8" x14ac:dyDescent="0.3">
      <c r="F305" s="34"/>
      <c r="G305" s="34"/>
      <c r="H305" s="34"/>
    </row>
    <row r="306" spans="6:8" x14ac:dyDescent="0.3">
      <c r="F306" s="34"/>
      <c r="G306" s="34"/>
      <c r="H306" s="34"/>
    </row>
    <row r="307" spans="6:8" x14ac:dyDescent="0.3">
      <c r="F307" s="34"/>
      <c r="G307" s="34"/>
      <c r="H307" s="34"/>
    </row>
    <row r="308" spans="6:8" x14ac:dyDescent="0.3">
      <c r="F308" s="34"/>
      <c r="G308" s="34"/>
      <c r="H308" s="34"/>
    </row>
    <row r="309" spans="6:8" x14ac:dyDescent="0.3">
      <c r="F309" s="34"/>
      <c r="G309" s="34"/>
      <c r="H309" s="34"/>
    </row>
    <row r="310" spans="6:8" x14ac:dyDescent="0.3">
      <c r="F310" s="34"/>
      <c r="G310" s="34"/>
      <c r="H310" s="34"/>
    </row>
    <row r="311" spans="6:8" x14ac:dyDescent="0.3">
      <c r="F311" s="34"/>
      <c r="G311" s="34"/>
      <c r="H311" s="34"/>
    </row>
    <row r="312" spans="6:8" x14ac:dyDescent="0.3">
      <c r="F312" s="34"/>
      <c r="G312" s="34"/>
      <c r="H312" s="34"/>
    </row>
    <row r="313" spans="6:8" x14ac:dyDescent="0.3">
      <c r="F313" s="34"/>
      <c r="G313" s="34"/>
      <c r="H313" s="34"/>
    </row>
    <row r="314" spans="6:8" x14ac:dyDescent="0.3">
      <c r="F314" s="34"/>
      <c r="G314" s="34"/>
      <c r="H314" s="34"/>
    </row>
    <row r="315" spans="6:8" x14ac:dyDescent="0.3">
      <c r="F315" s="34"/>
      <c r="G315" s="34"/>
      <c r="H315" s="34"/>
    </row>
    <row r="316" spans="6:8" x14ac:dyDescent="0.3">
      <c r="F316" s="34"/>
      <c r="G316" s="34"/>
      <c r="H316" s="34"/>
    </row>
    <row r="317" spans="6:8" x14ac:dyDescent="0.3">
      <c r="F317" s="34"/>
      <c r="G317" s="34"/>
      <c r="H317" s="34"/>
    </row>
    <row r="318" spans="6:8" x14ac:dyDescent="0.3">
      <c r="F318" s="34"/>
      <c r="G318" s="34"/>
      <c r="H318" s="34"/>
    </row>
    <row r="319" spans="6:8" x14ac:dyDescent="0.3">
      <c r="F319" s="34"/>
      <c r="G319" s="34"/>
      <c r="H319" s="34"/>
    </row>
    <row r="320" spans="6:8" x14ac:dyDescent="0.3">
      <c r="F320" s="34"/>
      <c r="G320" s="34"/>
      <c r="H320" s="34"/>
    </row>
    <row r="321" spans="6:8" x14ac:dyDescent="0.3">
      <c r="F321" s="34"/>
      <c r="G321" s="34"/>
      <c r="H321" s="34"/>
    </row>
    <row r="322" spans="6:8" x14ac:dyDescent="0.3">
      <c r="F322" s="34"/>
      <c r="G322" s="34"/>
      <c r="H322" s="34"/>
    </row>
    <row r="323" spans="6:8" x14ac:dyDescent="0.3">
      <c r="F323" s="34"/>
      <c r="G323" s="34"/>
      <c r="H323" s="34"/>
    </row>
    <row r="324" spans="6:8" x14ac:dyDescent="0.3">
      <c r="F324" s="34"/>
      <c r="G324" s="34"/>
      <c r="H324" s="34"/>
    </row>
    <row r="325" spans="6:8" x14ac:dyDescent="0.3">
      <c r="F325" s="34"/>
      <c r="G325" s="34"/>
      <c r="H325" s="34"/>
    </row>
    <row r="326" spans="6:8" x14ac:dyDescent="0.3">
      <c r="F326" s="34"/>
      <c r="G326" s="34"/>
      <c r="H326" s="34"/>
    </row>
    <row r="327" spans="6:8" x14ac:dyDescent="0.3">
      <c r="F327" s="34"/>
      <c r="G327" s="34"/>
      <c r="H327" s="34"/>
    </row>
    <row r="328" spans="6:8" x14ac:dyDescent="0.3">
      <c r="F328" s="34"/>
      <c r="G328" s="34"/>
      <c r="H328" s="34"/>
    </row>
    <row r="329" spans="6:8" x14ac:dyDescent="0.3">
      <c r="F329" s="34"/>
      <c r="G329" s="34"/>
      <c r="H329" s="34"/>
    </row>
    <row r="330" spans="6:8" x14ac:dyDescent="0.3">
      <c r="F330" s="34"/>
      <c r="G330" s="34"/>
      <c r="H330" s="34"/>
    </row>
    <row r="331" spans="6:8" x14ac:dyDescent="0.3">
      <c r="F331" s="34"/>
      <c r="G331" s="34"/>
      <c r="H331" s="34"/>
    </row>
    <row r="332" spans="6:8" x14ac:dyDescent="0.3">
      <c r="F332" s="34"/>
      <c r="G332" s="34"/>
      <c r="H332" s="34"/>
    </row>
    <row r="333" spans="6:8" x14ac:dyDescent="0.3">
      <c r="F333" s="34"/>
      <c r="G333" s="34"/>
      <c r="H333" s="34"/>
    </row>
    <row r="334" spans="6:8" x14ac:dyDescent="0.3">
      <c r="F334" s="34"/>
      <c r="G334" s="34"/>
      <c r="H334" s="34"/>
    </row>
    <row r="335" spans="6:8" x14ac:dyDescent="0.3">
      <c r="F335" s="34"/>
      <c r="G335" s="34"/>
      <c r="H335" s="34"/>
    </row>
    <row r="336" spans="6:8" x14ac:dyDescent="0.3">
      <c r="F336" s="34"/>
      <c r="G336" s="34"/>
      <c r="H336" s="34"/>
    </row>
    <row r="337" spans="6:8" x14ac:dyDescent="0.3">
      <c r="F337" s="34"/>
      <c r="G337" s="34"/>
      <c r="H337" s="34"/>
    </row>
    <row r="338" spans="6:8" x14ac:dyDescent="0.3">
      <c r="F338" s="34"/>
      <c r="G338" s="34"/>
      <c r="H338" s="34"/>
    </row>
    <row r="339" spans="6:8" x14ac:dyDescent="0.3">
      <c r="F339" s="34"/>
      <c r="G339" s="34"/>
      <c r="H339" s="34"/>
    </row>
    <row r="340" spans="6:8" x14ac:dyDescent="0.3">
      <c r="F340" s="34"/>
      <c r="G340" s="34"/>
      <c r="H340" s="34"/>
    </row>
    <row r="341" spans="6:8" x14ac:dyDescent="0.3">
      <c r="F341" s="34"/>
      <c r="G341" s="34"/>
      <c r="H341" s="34"/>
    </row>
    <row r="342" spans="6:8" x14ac:dyDescent="0.3">
      <c r="F342" s="34"/>
      <c r="G342" s="34"/>
      <c r="H342" s="34"/>
    </row>
    <row r="343" spans="6:8" x14ac:dyDescent="0.3">
      <c r="F343" s="34"/>
      <c r="G343" s="34"/>
      <c r="H343" s="34"/>
    </row>
    <row r="344" spans="6:8" x14ac:dyDescent="0.3">
      <c r="F344" s="34"/>
      <c r="G344" s="34"/>
      <c r="H344" s="34"/>
    </row>
    <row r="345" spans="6:8" x14ac:dyDescent="0.3">
      <c r="F345" s="34"/>
      <c r="G345" s="34"/>
      <c r="H345" s="34"/>
    </row>
    <row r="346" spans="6:8" x14ac:dyDescent="0.3">
      <c r="F346" s="34"/>
      <c r="G346" s="34"/>
      <c r="H346" s="34"/>
    </row>
    <row r="347" spans="6:8" x14ac:dyDescent="0.3">
      <c r="F347" s="34"/>
      <c r="G347" s="34"/>
      <c r="H347" s="34"/>
    </row>
    <row r="348" spans="6:8" x14ac:dyDescent="0.3">
      <c r="F348" s="34"/>
      <c r="G348" s="34"/>
      <c r="H348" s="34"/>
    </row>
    <row r="349" spans="6:8" x14ac:dyDescent="0.3">
      <c r="F349" s="34"/>
      <c r="G349" s="34"/>
      <c r="H349" s="34"/>
    </row>
    <row r="350" spans="6:8" x14ac:dyDescent="0.3">
      <c r="F350" s="34"/>
      <c r="G350" s="34"/>
      <c r="H350" s="34"/>
    </row>
    <row r="351" spans="6:8" x14ac:dyDescent="0.3">
      <c r="F351" s="34"/>
      <c r="G351" s="34"/>
      <c r="H351" s="34"/>
    </row>
    <row r="352" spans="6:8" x14ac:dyDescent="0.3">
      <c r="F352" s="34"/>
      <c r="G352" s="34"/>
      <c r="H352" s="34"/>
    </row>
    <row r="353" spans="6:8" x14ac:dyDescent="0.3">
      <c r="F353" s="34"/>
      <c r="G353" s="34"/>
      <c r="H353" s="34"/>
    </row>
    <row r="354" spans="6:8" x14ac:dyDescent="0.3">
      <c r="F354" s="34"/>
      <c r="G354" s="34"/>
      <c r="H354" s="34"/>
    </row>
    <row r="355" spans="6:8" x14ac:dyDescent="0.3">
      <c r="F355" s="34"/>
      <c r="G355" s="34"/>
      <c r="H355" s="34"/>
    </row>
    <row r="356" spans="6:8" x14ac:dyDescent="0.3">
      <c r="F356" s="34"/>
      <c r="G356" s="34"/>
      <c r="H356" s="34"/>
    </row>
    <row r="357" spans="6:8" x14ac:dyDescent="0.3">
      <c r="F357" s="34"/>
      <c r="G357" s="34"/>
      <c r="H357" s="34"/>
    </row>
    <row r="358" spans="6:8" x14ac:dyDescent="0.3">
      <c r="F358" s="34"/>
      <c r="G358" s="34"/>
      <c r="H358" s="34"/>
    </row>
    <row r="359" spans="6:8" x14ac:dyDescent="0.3">
      <c r="F359" s="34"/>
      <c r="G359" s="34"/>
      <c r="H359" s="34"/>
    </row>
    <row r="360" spans="6:8" x14ac:dyDescent="0.3">
      <c r="F360" s="34"/>
      <c r="G360" s="34"/>
      <c r="H360" s="34"/>
    </row>
    <row r="361" spans="6:8" x14ac:dyDescent="0.3">
      <c r="F361" s="34"/>
      <c r="G361" s="34"/>
      <c r="H361" s="34"/>
    </row>
    <row r="362" spans="6:8" x14ac:dyDescent="0.3">
      <c r="F362" s="34"/>
      <c r="G362" s="34"/>
      <c r="H362" s="34"/>
    </row>
    <row r="363" spans="6:8" x14ac:dyDescent="0.3">
      <c r="F363" s="34"/>
      <c r="G363" s="34"/>
      <c r="H363" s="34"/>
    </row>
    <row r="364" spans="6:8" x14ac:dyDescent="0.3">
      <c r="F364" s="34"/>
      <c r="G364" s="34"/>
      <c r="H364" s="34"/>
    </row>
    <row r="365" spans="6:8" x14ac:dyDescent="0.3">
      <c r="F365" s="34"/>
      <c r="G365" s="34"/>
      <c r="H365" s="34"/>
    </row>
    <row r="366" spans="6:8" x14ac:dyDescent="0.3">
      <c r="F366" s="34"/>
      <c r="G366" s="34"/>
      <c r="H366" s="34"/>
    </row>
    <row r="367" spans="6:8" x14ac:dyDescent="0.3">
      <c r="F367" s="34"/>
      <c r="G367" s="34"/>
      <c r="H367" s="34"/>
    </row>
    <row r="368" spans="6:8" x14ac:dyDescent="0.3">
      <c r="F368" s="34"/>
      <c r="G368" s="34"/>
      <c r="H368" s="34"/>
    </row>
    <row r="369" spans="6:8" x14ac:dyDescent="0.3">
      <c r="F369" s="34"/>
      <c r="G369" s="34"/>
      <c r="H369" s="34"/>
    </row>
    <row r="370" spans="6:8" x14ac:dyDescent="0.3">
      <c r="F370" s="34"/>
      <c r="G370" s="34"/>
      <c r="H370" s="34"/>
    </row>
    <row r="371" spans="6:8" x14ac:dyDescent="0.3">
      <c r="F371" s="34"/>
      <c r="G371" s="34"/>
      <c r="H371" s="34"/>
    </row>
    <row r="372" spans="6:8" x14ac:dyDescent="0.3">
      <c r="F372" s="34"/>
      <c r="G372" s="34"/>
      <c r="H372" s="34"/>
    </row>
    <row r="373" spans="6:8" x14ac:dyDescent="0.3">
      <c r="F373" s="34"/>
      <c r="G373" s="34"/>
      <c r="H373" s="34"/>
    </row>
    <row r="374" spans="6:8" x14ac:dyDescent="0.3">
      <c r="F374" s="34"/>
      <c r="G374" s="34"/>
      <c r="H374" s="34"/>
    </row>
    <row r="375" spans="6:8" x14ac:dyDescent="0.3">
      <c r="F375" s="34"/>
      <c r="G375" s="34"/>
      <c r="H375" s="34"/>
    </row>
    <row r="376" spans="6:8" x14ac:dyDescent="0.3">
      <c r="F376" s="34"/>
      <c r="G376" s="34"/>
      <c r="H376" s="34"/>
    </row>
    <row r="377" spans="6:8" x14ac:dyDescent="0.3">
      <c r="F377" s="34"/>
      <c r="G377" s="34"/>
      <c r="H377" s="34"/>
    </row>
    <row r="378" spans="6:8" x14ac:dyDescent="0.3">
      <c r="F378" s="34"/>
      <c r="G378" s="34"/>
      <c r="H378" s="34"/>
    </row>
    <row r="379" spans="6:8" x14ac:dyDescent="0.3">
      <c r="F379" s="34"/>
      <c r="G379" s="34"/>
      <c r="H379" s="34"/>
    </row>
    <row r="380" spans="6:8" x14ac:dyDescent="0.3">
      <c r="F380" s="34"/>
      <c r="G380" s="34"/>
      <c r="H380" s="34"/>
    </row>
    <row r="381" spans="6:8" x14ac:dyDescent="0.3">
      <c r="F381" s="34"/>
      <c r="G381" s="34"/>
      <c r="H381" s="34"/>
    </row>
    <row r="382" spans="6:8" x14ac:dyDescent="0.3">
      <c r="F382" s="34"/>
      <c r="G382" s="34"/>
      <c r="H382" s="34"/>
    </row>
    <row r="383" spans="6:8" x14ac:dyDescent="0.3">
      <c r="F383" s="34"/>
      <c r="G383" s="34"/>
      <c r="H383" s="34"/>
    </row>
    <row r="384" spans="6:8" x14ac:dyDescent="0.3">
      <c r="F384" s="34"/>
      <c r="G384" s="34"/>
      <c r="H384" s="34"/>
    </row>
    <row r="385" spans="6:8" x14ac:dyDescent="0.3">
      <c r="F385" s="34"/>
      <c r="G385" s="34"/>
      <c r="H385" s="34"/>
    </row>
    <row r="386" spans="6:8" x14ac:dyDescent="0.3">
      <c r="F386" s="34"/>
      <c r="G386" s="34"/>
      <c r="H386" s="34"/>
    </row>
    <row r="387" spans="6:8" x14ac:dyDescent="0.3">
      <c r="F387" s="34"/>
      <c r="G387" s="34"/>
      <c r="H387" s="34"/>
    </row>
    <row r="388" spans="6:8" x14ac:dyDescent="0.3">
      <c r="F388" s="34"/>
      <c r="G388" s="34"/>
      <c r="H388" s="34"/>
    </row>
    <row r="389" spans="6:8" x14ac:dyDescent="0.3">
      <c r="F389" s="34"/>
      <c r="G389" s="34"/>
      <c r="H389" s="34"/>
    </row>
    <row r="390" spans="6:8" x14ac:dyDescent="0.3">
      <c r="F390" s="34"/>
      <c r="G390" s="34"/>
      <c r="H390" s="34"/>
    </row>
    <row r="391" spans="6:8" x14ac:dyDescent="0.3">
      <c r="F391" s="34"/>
      <c r="G391" s="34"/>
      <c r="H391" s="34"/>
    </row>
    <row r="392" spans="6:8" x14ac:dyDescent="0.3">
      <c r="F392" s="34"/>
      <c r="G392" s="34"/>
      <c r="H392" s="34"/>
    </row>
    <row r="393" spans="6:8" x14ac:dyDescent="0.3">
      <c r="F393" s="34"/>
      <c r="G393" s="34"/>
      <c r="H393" s="34"/>
    </row>
    <row r="394" spans="6:8" x14ac:dyDescent="0.3">
      <c r="F394" s="34"/>
      <c r="G394" s="34"/>
      <c r="H394" s="34"/>
    </row>
    <row r="395" spans="6:8" x14ac:dyDescent="0.3">
      <c r="F395" s="34"/>
      <c r="G395" s="34"/>
      <c r="H395" s="34"/>
    </row>
    <row r="396" spans="6:8" x14ac:dyDescent="0.3">
      <c r="F396" s="34"/>
      <c r="G396" s="34"/>
      <c r="H396" s="34"/>
    </row>
    <row r="397" spans="6:8" x14ac:dyDescent="0.3">
      <c r="F397" s="34"/>
      <c r="G397" s="34"/>
      <c r="H397" s="34"/>
    </row>
    <row r="398" spans="6:8" x14ac:dyDescent="0.3">
      <c r="F398" s="34"/>
      <c r="G398" s="34"/>
      <c r="H398" s="34"/>
    </row>
    <row r="399" spans="6:8" x14ac:dyDescent="0.3">
      <c r="F399" s="34"/>
      <c r="G399" s="34"/>
      <c r="H399" s="34"/>
    </row>
    <row r="400" spans="6:8" x14ac:dyDescent="0.3">
      <c r="F400" s="34"/>
      <c r="G400" s="34"/>
      <c r="H400" s="34"/>
    </row>
    <row r="401" spans="6:8" x14ac:dyDescent="0.3">
      <c r="F401" s="34"/>
      <c r="G401" s="34"/>
      <c r="H401" s="34"/>
    </row>
    <row r="402" spans="6:8" x14ac:dyDescent="0.3">
      <c r="F402" s="34"/>
      <c r="G402" s="34"/>
      <c r="H402" s="34"/>
    </row>
    <row r="403" spans="6:8" x14ac:dyDescent="0.3">
      <c r="F403" s="34"/>
      <c r="G403" s="34"/>
      <c r="H403" s="34"/>
    </row>
    <row r="404" spans="6:8" x14ac:dyDescent="0.3">
      <c r="F404" s="34"/>
      <c r="G404" s="34"/>
      <c r="H404" s="34"/>
    </row>
    <row r="405" spans="6:8" x14ac:dyDescent="0.3">
      <c r="F405" s="34"/>
      <c r="G405" s="34"/>
      <c r="H405" s="34"/>
    </row>
    <row r="406" spans="6:8" x14ac:dyDescent="0.3">
      <c r="F406" s="34"/>
      <c r="G406" s="34"/>
      <c r="H406" s="34"/>
    </row>
    <row r="407" spans="6:8" x14ac:dyDescent="0.3">
      <c r="F407" s="34"/>
      <c r="G407" s="34"/>
      <c r="H407" s="34"/>
    </row>
    <row r="408" spans="6:8" x14ac:dyDescent="0.3">
      <c r="F408" s="34"/>
      <c r="G408" s="34"/>
      <c r="H408" s="34"/>
    </row>
    <row r="409" spans="6:8" x14ac:dyDescent="0.3">
      <c r="F409" s="34"/>
      <c r="G409" s="34"/>
      <c r="H409" s="34"/>
    </row>
    <row r="410" spans="6:8" x14ac:dyDescent="0.3">
      <c r="F410" s="34"/>
      <c r="G410" s="34"/>
      <c r="H410" s="34"/>
    </row>
    <row r="411" spans="6:8" x14ac:dyDescent="0.3">
      <c r="F411" s="34"/>
      <c r="G411" s="34"/>
      <c r="H411" s="34"/>
    </row>
    <row r="412" spans="6:8" x14ac:dyDescent="0.3">
      <c r="F412" s="34"/>
      <c r="G412" s="34"/>
      <c r="H412" s="34"/>
    </row>
    <row r="413" spans="6:8" x14ac:dyDescent="0.3">
      <c r="F413" s="34"/>
      <c r="G413" s="34"/>
      <c r="H413" s="34"/>
    </row>
    <row r="414" spans="6:8" x14ac:dyDescent="0.3">
      <c r="F414" s="34"/>
      <c r="G414" s="34"/>
      <c r="H414" s="34"/>
    </row>
    <row r="415" spans="6:8" x14ac:dyDescent="0.3">
      <c r="F415" s="34"/>
      <c r="G415" s="34"/>
      <c r="H415" s="34"/>
    </row>
    <row r="416" spans="6:8" x14ac:dyDescent="0.3">
      <c r="F416" s="34"/>
      <c r="G416" s="34"/>
      <c r="H416" s="34"/>
    </row>
    <row r="417" spans="6:8" x14ac:dyDescent="0.3">
      <c r="F417" s="34"/>
      <c r="G417" s="34"/>
      <c r="H417" s="34"/>
    </row>
    <row r="418" spans="6:8" x14ac:dyDescent="0.3">
      <c r="F418" s="34"/>
      <c r="G418" s="34"/>
      <c r="H418" s="34"/>
    </row>
    <row r="419" spans="6:8" x14ac:dyDescent="0.3">
      <c r="F419" s="34"/>
      <c r="G419" s="34"/>
      <c r="H419" s="34"/>
    </row>
    <row r="420" spans="6:8" x14ac:dyDescent="0.3">
      <c r="F420" s="34"/>
      <c r="G420" s="34"/>
      <c r="H420" s="34"/>
    </row>
    <row r="421" spans="6:8" x14ac:dyDescent="0.3">
      <c r="F421" s="34"/>
      <c r="G421" s="34"/>
      <c r="H421" s="34"/>
    </row>
    <row r="422" spans="6:8" x14ac:dyDescent="0.3">
      <c r="F422" s="34"/>
      <c r="G422" s="34"/>
      <c r="H422" s="34"/>
    </row>
    <row r="423" spans="6:8" x14ac:dyDescent="0.3">
      <c r="F423" s="34"/>
      <c r="G423" s="34"/>
      <c r="H423" s="34"/>
    </row>
    <row r="424" spans="6:8" x14ac:dyDescent="0.3">
      <c r="F424" s="34"/>
      <c r="G424" s="34"/>
      <c r="H424" s="34"/>
    </row>
    <row r="425" spans="6:8" x14ac:dyDescent="0.3">
      <c r="F425" s="34"/>
      <c r="G425" s="34"/>
      <c r="H425" s="34"/>
    </row>
    <row r="426" spans="6:8" x14ac:dyDescent="0.3">
      <c r="F426" s="34"/>
      <c r="G426" s="34"/>
      <c r="H426" s="34"/>
    </row>
    <row r="427" spans="6:8" x14ac:dyDescent="0.3">
      <c r="F427" s="34"/>
      <c r="G427" s="34"/>
      <c r="H427" s="34"/>
    </row>
    <row r="428" spans="6:8" x14ac:dyDescent="0.3">
      <c r="F428" s="34"/>
      <c r="G428" s="34"/>
      <c r="H428" s="34"/>
    </row>
    <row r="429" spans="6:8" x14ac:dyDescent="0.3">
      <c r="F429" s="34"/>
      <c r="G429" s="34"/>
      <c r="H429" s="34"/>
    </row>
    <row r="430" spans="6:8" x14ac:dyDescent="0.3">
      <c r="F430" s="34"/>
      <c r="G430" s="34"/>
      <c r="H430" s="34"/>
    </row>
    <row r="431" spans="6:8" x14ac:dyDescent="0.3">
      <c r="F431" s="34"/>
      <c r="G431" s="34"/>
      <c r="H431" s="34"/>
    </row>
    <row r="432" spans="6:8" x14ac:dyDescent="0.3">
      <c r="F432" s="34"/>
      <c r="G432" s="34"/>
      <c r="H432" s="34"/>
    </row>
    <row r="433" spans="6:8" x14ac:dyDescent="0.3">
      <c r="F433" s="34"/>
      <c r="G433" s="34"/>
      <c r="H433" s="34"/>
    </row>
    <row r="434" spans="6:8" x14ac:dyDescent="0.3">
      <c r="F434" s="34"/>
      <c r="G434" s="34"/>
      <c r="H434" s="34"/>
    </row>
    <row r="435" spans="6:8" x14ac:dyDescent="0.3">
      <c r="F435" s="34"/>
      <c r="G435" s="34"/>
      <c r="H435" s="34"/>
    </row>
    <row r="436" spans="6:8" x14ac:dyDescent="0.3">
      <c r="F436" s="34"/>
      <c r="G436" s="34"/>
      <c r="H436" s="34"/>
    </row>
    <row r="437" spans="6:8" x14ac:dyDescent="0.3">
      <c r="F437" s="34"/>
      <c r="G437" s="34"/>
      <c r="H437" s="34"/>
    </row>
    <row r="438" spans="6:8" x14ac:dyDescent="0.3">
      <c r="F438" s="34"/>
      <c r="G438" s="34"/>
      <c r="H438" s="34"/>
    </row>
    <row r="439" spans="6:8" x14ac:dyDescent="0.3">
      <c r="F439" s="34"/>
      <c r="G439" s="34"/>
      <c r="H439" s="34"/>
    </row>
    <row r="440" spans="6:8" x14ac:dyDescent="0.3">
      <c r="F440" s="34"/>
      <c r="G440" s="34"/>
      <c r="H440" s="34"/>
    </row>
    <row r="441" spans="6:8" x14ac:dyDescent="0.3">
      <c r="F441" s="34"/>
      <c r="G441" s="34"/>
      <c r="H441" s="34"/>
    </row>
    <row r="442" spans="6:8" x14ac:dyDescent="0.3">
      <c r="F442" s="34"/>
      <c r="G442" s="34"/>
      <c r="H442" s="34"/>
    </row>
    <row r="443" spans="6:8" x14ac:dyDescent="0.3">
      <c r="F443" s="34"/>
      <c r="G443" s="34"/>
      <c r="H443" s="34"/>
    </row>
    <row r="444" spans="6:8" x14ac:dyDescent="0.3">
      <c r="F444" s="34"/>
      <c r="G444" s="34"/>
      <c r="H444" s="34"/>
    </row>
    <row r="445" spans="6:8" x14ac:dyDescent="0.3">
      <c r="F445" s="34"/>
      <c r="G445" s="34"/>
      <c r="H445" s="34"/>
    </row>
    <row r="446" spans="6:8" x14ac:dyDescent="0.3">
      <c r="F446" s="34"/>
      <c r="G446" s="34"/>
      <c r="H446" s="34"/>
    </row>
    <row r="447" spans="6:8" x14ac:dyDescent="0.3">
      <c r="F447" s="34"/>
      <c r="G447" s="34"/>
      <c r="H447" s="34"/>
    </row>
    <row r="448" spans="6:8" x14ac:dyDescent="0.3">
      <c r="F448" s="34"/>
      <c r="G448" s="34"/>
      <c r="H448" s="34"/>
    </row>
    <row r="449" spans="6:8" x14ac:dyDescent="0.3">
      <c r="F449" s="34"/>
      <c r="G449" s="34"/>
      <c r="H449" s="34"/>
    </row>
    <row r="450" spans="6:8" x14ac:dyDescent="0.3">
      <c r="F450" s="34"/>
      <c r="G450" s="34"/>
      <c r="H450" s="34"/>
    </row>
    <row r="451" spans="6:8" x14ac:dyDescent="0.3">
      <c r="F451" s="34"/>
      <c r="G451" s="34"/>
      <c r="H451" s="34"/>
    </row>
    <row r="452" spans="6:8" x14ac:dyDescent="0.3">
      <c r="F452" s="34"/>
      <c r="G452" s="34"/>
      <c r="H452" s="34"/>
    </row>
    <row r="453" spans="6:8" x14ac:dyDescent="0.3">
      <c r="F453" s="34"/>
      <c r="G453" s="34"/>
      <c r="H453" s="34"/>
    </row>
    <row r="454" spans="6:8" x14ac:dyDescent="0.3">
      <c r="F454" s="34"/>
      <c r="G454" s="34"/>
      <c r="H454" s="34"/>
    </row>
    <row r="455" spans="6:8" x14ac:dyDescent="0.3">
      <c r="F455" s="34"/>
      <c r="G455" s="34"/>
      <c r="H455" s="34"/>
    </row>
    <row r="456" spans="6:8" x14ac:dyDescent="0.3">
      <c r="F456" s="34"/>
      <c r="G456" s="34"/>
      <c r="H456" s="34"/>
    </row>
    <row r="457" spans="6:8" x14ac:dyDescent="0.3">
      <c r="F457" s="34"/>
      <c r="G457" s="34"/>
      <c r="H457" s="34"/>
    </row>
    <row r="458" spans="6:8" x14ac:dyDescent="0.3">
      <c r="F458" s="34"/>
      <c r="G458" s="34"/>
      <c r="H458" s="34"/>
    </row>
    <row r="459" spans="6:8" x14ac:dyDescent="0.3">
      <c r="F459" s="34"/>
      <c r="G459" s="34"/>
      <c r="H459" s="34"/>
    </row>
    <row r="460" spans="6:8" x14ac:dyDescent="0.3">
      <c r="F460" s="34"/>
      <c r="G460" s="34"/>
      <c r="H460" s="34"/>
    </row>
    <row r="461" spans="6:8" x14ac:dyDescent="0.3">
      <c r="F461" s="34"/>
      <c r="G461" s="34"/>
      <c r="H461" s="34"/>
    </row>
    <row r="462" spans="6:8" x14ac:dyDescent="0.3">
      <c r="F462" s="34"/>
      <c r="G462" s="34"/>
      <c r="H462" s="34"/>
    </row>
    <row r="463" spans="6:8" x14ac:dyDescent="0.3">
      <c r="F463" s="34"/>
      <c r="G463" s="34"/>
      <c r="H463" s="34"/>
    </row>
    <row r="464" spans="6:8" x14ac:dyDescent="0.3">
      <c r="F464" s="34"/>
      <c r="G464" s="34"/>
      <c r="H464" s="34"/>
    </row>
    <row r="465" spans="6:8" x14ac:dyDescent="0.3">
      <c r="F465" s="34"/>
      <c r="G465" s="34"/>
      <c r="H465" s="34"/>
    </row>
    <row r="466" spans="6:8" x14ac:dyDescent="0.3">
      <c r="F466" s="34"/>
      <c r="G466" s="34"/>
      <c r="H466" s="34"/>
    </row>
    <row r="467" spans="6:8" x14ac:dyDescent="0.3">
      <c r="F467" s="34"/>
      <c r="G467" s="34"/>
      <c r="H467" s="34"/>
    </row>
    <row r="468" spans="6:8" x14ac:dyDescent="0.3">
      <c r="F468" s="34"/>
      <c r="G468" s="34"/>
      <c r="H468" s="34"/>
    </row>
    <row r="469" spans="6:8" x14ac:dyDescent="0.3">
      <c r="F469" s="34"/>
      <c r="G469" s="34"/>
      <c r="H469" s="34"/>
    </row>
    <row r="470" spans="6:8" x14ac:dyDescent="0.3">
      <c r="F470" s="34"/>
      <c r="G470" s="34"/>
      <c r="H470" s="34"/>
    </row>
    <row r="471" spans="6:8" x14ac:dyDescent="0.3">
      <c r="F471" s="34"/>
      <c r="G471" s="34"/>
      <c r="H471" s="34"/>
    </row>
    <row r="472" spans="6:8" x14ac:dyDescent="0.3">
      <c r="F472" s="34"/>
      <c r="G472" s="34"/>
      <c r="H472" s="34"/>
    </row>
    <row r="473" spans="6:8" x14ac:dyDescent="0.3">
      <c r="F473" s="34"/>
      <c r="G473" s="34"/>
      <c r="H473" s="34"/>
    </row>
    <row r="474" spans="6:8" x14ac:dyDescent="0.3">
      <c r="F474" s="34"/>
      <c r="G474" s="34"/>
      <c r="H474" s="34"/>
    </row>
    <row r="475" spans="6:8" x14ac:dyDescent="0.3">
      <c r="F475" s="34"/>
      <c r="G475" s="34"/>
      <c r="H475" s="34"/>
    </row>
    <row r="476" spans="6:8" x14ac:dyDescent="0.3">
      <c r="F476" s="34"/>
      <c r="G476" s="34"/>
      <c r="H476" s="34"/>
    </row>
    <row r="477" spans="6:8" x14ac:dyDescent="0.3">
      <c r="F477" s="34"/>
      <c r="G477" s="34"/>
      <c r="H477" s="34"/>
    </row>
    <row r="478" spans="6:8" x14ac:dyDescent="0.3">
      <c r="F478" s="34"/>
      <c r="G478" s="34"/>
      <c r="H478" s="34"/>
    </row>
    <row r="479" spans="6:8" x14ac:dyDescent="0.3">
      <c r="F479" s="34"/>
      <c r="G479" s="34"/>
      <c r="H479" s="34"/>
    </row>
    <row r="480" spans="6:8" x14ac:dyDescent="0.3">
      <c r="F480" s="34"/>
      <c r="G480" s="34"/>
      <c r="H480" s="34"/>
    </row>
    <row r="481" spans="6:8" x14ac:dyDescent="0.3">
      <c r="F481" s="34"/>
      <c r="G481" s="34"/>
      <c r="H481" s="34"/>
    </row>
    <row r="482" spans="6:8" x14ac:dyDescent="0.3">
      <c r="F482" s="34"/>
      <c r="G482" s="34"/>
      <c r="H482" s="34"/>
    </row>
    <row r="483" spans="6:8" x14ac:dyDescent="0.3">
      <c r="F483" s="34"/>
      <c r="G483" s="34"/>
      <c r="H483" s="34"/>
    </row>
    <row r="484" spans="6:8" x14ac:dyDescent="0.3">
      <c r="F484" s="34"/>
      <c r="G484" s="34"/>
      <c r="H484" s="34"/>
    </row>
    <row r="485" spans="6:8" x14ac:dyDescent="0.3">
      <c r="F485" s="34"/>
      <c r="G485" s="34"/>
      <c r="H485" s="34"/>
    </row>
    <row r="486" spans="6:8" x14ac:dyDescent="0.3">
      <c r="F486" s="34"/>
      <c r="G486" s="34"/>
      <c r="H486" s="34"/>
    </row>
    <row r="487" spans="6:8" x14ac:dyDescent="0.3">
      <c r="F487" s="34"/>
      <c r="G487" s="34"/>
      <c r="H487" s="34"/>
    </row>
    <row r="488" spans="6:8" x14ac:dyDescent="0.3">
      <c r="F488" s="34"/>
      <c r="G488" s="34"/>
      <c r="H488" s="34"/>
    </row>
    <row r="489" spans="6:8" x14ac:dyDescent="0.3">
      <c r="F489" s="34"/>
      <c r="G489" s="34"/>
      <c r="H489" s="34"/>
    </row>
    <row r="490" spans="6:8" x14ac:dyDescent="0.3">
      <c r="F490" s="34"/>
      <c r="G490" s="34"/>
      <c r="H490" s="34"/>
    </row>
    <row r="491" spans="6:8" x14ac:dyDescent="0.3">
      <c r="F491" s="34"/>
      <c r="G491" s="34"/>
      <c r="H491" s="34"/>
    </row>
    <row r="492" spans="6:8" x14ac:dyDescent="0.3">
      <c r="F492" s="34"/>
      <c r="G492" s="34"/>
      <c r="H492" s="34"/>
    </row>
    <row r="493" spans="6:8" x14ac:dyDescent="0.3">
      <c r="F493" s="34"/>
      <c r="G493" s="34"/>
      <c r="H493" s="34"/>
    </row>
    <row r="494" spans="6:8" x14ac:dyDescent="0.3">
      <c r="F494" s="34"/>
      <c r="G494" s="34"/>
      <c r="H494" s="34"/>
    </row>
    <row r="495" spans="6:8" x14ac:dyDescent="0.3">
      <c r="F495" s="34"/>
      <c r="G495" s="34"/>
      <c r="H495" s="34"/>
    </row>
    <row r="496" spans="6:8" x14ac:dyDescent="0.3">
      <c r="F496" s="34"/>
      <c r="G496" s="34"/>
      <c r="H496" s="34"/>
    </row>
    <row r="497" spans="6:8" x14ac:dyDescent="0.3">
      <c r="F497" s="34"/>
      <c r="G497" s="34"/>
      <c r="H497" s="34"/>
    </row>
    <row r="498" spans="6:8" x14ac:dyDescent="0.3">
      <c r="F498" s="34"/>
      <c r="G498" s="34"/>
      <c r="H498" s="34"/>
    </row>
    <row r="499" spans="6:8" x14ac:dyDescent="0.3">
      <c r="F499" s="34"/>
      <c r="G499" s="34"/>
      <c r="H499" s="34"/>
    </row>
    <row r="500" spans="6:8" x14ac:dyDescent="0.3">
      <c r="F500" s="34"/>
      <c r="G500" s="34"/>
      <c r="H500" s="34"/>
    </row>
    <row r="501" spans="6:8" x14ac:dyDescent="0.3">
      <c r="F501" s="34"/>
      <c r="G501" s="34"/>
      <c r="H501" s="34"/>
    </row>
    <row r="502" spans="6:8" x14ac:dyDescent="0.3">
      <c r="F502" s="34"/>
      <c r="G502" s="34"/>
      <c r="H502" s="34"/>
    </row>
    <row r="503" spans="6:8" x14ac:dyDescent="0.3">
      <c r="F503" s="34"/>
      <c r="G503" s="34"/>
      <c r="H503" s="34"/>
    </row>
    <row r="504" spans="6:8" x14ac:dyDescent="0.3">
      <c r="F504" s="34"/>
      <c r="G504" s="34"/>
      <c r="H504" s="34"/>
    </row>
    <row r="505" spans="6:8" x14ac:dyDescent="0.3">
      <c r="F505" s="34"/>
      <c r="G505" s="34"/>
      <c r="H505" s="34"/>
    </row>
    <row r="506" spans="6:8" x14ac:dyDescent="0.3">
      <c r="F506" s="34"/>
      <c r="G506" s="34"/>
      <c r="H506" s="34"/>
    </row>
    <row r="507" spans="6:8" x14ac:dyDescent="0.3">
      <c r="F507" s="34"/>
      <c r="G507" s="34"/>
      <c r="H507" s="34"/>
    </row>
    <row r="508" spans="6:8" x14ac:dyDescent="0.3">
      <c r="F508" s="34"/>
      <c r="G508" s="34"/>
      <c r="H508" s="34"/>
    </row>
    <row r="509" spans="6:8" x14ac:dyDescent="0.3">
      <c r="F509" s="34"/>
      <c r="G509" s="34"/>
      <c r="H509" s="34"/>
    </row>
    <row r="510" spans="6:8" x14ac:dyDescent="0.3">
      <c r="F510" s="34"/>
      <c r="G510" s="34"/>
      <c r="H510" s="34"/>
    </row>
    <row r="511" spans="6:8" x14ac:dyDescent="0.3">
      <c r="F511" s="34"/>
      <c r="G511" s="34"/>
      <c r="H511" s="34"/>
    </row>
    <row r="512" spans="6:8" x14ac:dyDescent="0.3">
      <c r="F512" s="34"/>
      <c r="G512" s="34"/>
      <c r="H512" s="34"/>
    </row>
    <row r="513" spans="6:8" x14ac:dyDescent="0.3">
      <c r="F513" s="34"/>
      <c r="G513" s="34"/>
      <c r="H513" s="34"/>
    </row>
    <row r="514" spans="6:8" x14ac:dyDescent="0.3">
      <c r="F514" s="34"/>
      <c r="G514" s="34"/>
      <c r="H514" s="34"/>
    </row>
    <row r="515" spans="6:8" x14ac:dyDescent="0.3">
      <c r="F515" s="34"/>
      <c r="G515" s="34"/>
      <c r="H515" s="34"/>
    </row>
    <row r="516" spans="6:8" x14ac:dyDescent="0.3">
      <c r="F516" s="34"/>
      <c r="G516" s="34"/>
      <c r="H516" s="34"/>
    </row>
    <row r="517" spans="6:8" x14ac:dyDescent="0.3">
      <c r="F517" s="34"/>
      <c r="G517" s="34"/>
      <c r="H517" s="34"/>
    </row>
    <row r="518" spans="6:8" x14ac:dyDescent="0.3">
      <c r="F518" s="34"/>
      <c r="G518" s="34"/>
      <c r="H518" s="34"/>
    </row>
    <row r="519" spans="6:8" x14ac:dyDescent="0.3">
      <c r="F519" s="34"/>
      <c r="G519" s="34"/>
      <c r="H519" s="34"/>
    </row>
    <row r="520" spans="6:8" x14ac:dyDescent="0.3">
      <c r="F520" s="34"/>
      <c r="G520" s="34"/>
      <c r="H520" s="34"/>
    </row>
    <row r="521" spans="6:8" x14ac:dyDescent="0.3">
      <c r="F521" s="34"/>
      <c r="G521" s="34"/>
      <c r="H521" s="34"/>
    </row>
    <row r="522" spans="6:8" x14ac:dyDescent="0.3">
      <c r="F522" s="34"/>
      <c r="G522" s="34"/>
      <c r="H522" s="34"/>
    </row>
    <row r="523" spans="6:8" x14ac:dyDescent="0.3">
      <c r="F523" s="34"/>
      <c r="G523" s="34"/>
      <c r="H523" s="34"/>
    </row>
    <row r="524" spans="6:8" x14ac:dyDescent="0.3">
      <c r="F524" s="34"/>
      <c r="G524" s="34"/>
      <c r="H524" s="34"/>
    </row>
    <row r="525" spans="6:8" x14ac:dyDescent="0.3">
      <c r="F525" s="34"/>
      <c r="G525" s="34"/>
      <c r="H525" s="34"/>
    </row>
    <row r="526" spans="6:8" x14ac:dyDescent="0.3">
      <c r="F526" s="34"/>
      <c r="G526" s="34"/>
      <c r="H526" s="34"/>
    </row>
    <row r="527" spans="6:8" x14ac:dyDescent="0.3">
      <c r="F527" s="34"/>
      <c r="G527" s="34"/>
      <c r="H527" s="34"/>
    </row>
    <row r="528" spans="6:8" x14ac:dyDescent="0.3">
      <c r="F528" s="34"/>
      <c r="G528" s="34"/>
      <c r="H528" s="34"/>
    </row>
    <row r="529" spans="6:8" x14ac:dyDescent="0.3">
      <c r="F529" s="34"/>
      <c r="G529" s="34"/>
      <c r="H529" s="34"/>
    </row>
    <row r="530" spans="6:8" x14ac:dyDescent="0.3">
      <c r="F530" s="34"/>
      <c r="G530" s="34"/>
      <c r="H530" s="34"/>
    </row>
    <row r="531" spans="6:8" x14ac:dyDescent="0.3">
      <c r="F531" s="34"/>
      <c r="G531" s="34"/>
      <c r="H531" s="34"/>
    </row>
    <row r="532" spans="6:8" x14ac:dyDescent="0.3">
      <c r="F532" s="34"/>
      <c r="G532" s="34"/>
      <c r="H532" s="34"/>
    </row>
    <row r="533" spans="6:8" x14ac:dyDescent="0.3">
      <c r="F533" s="34"/>
      <c r="G533" s="34"/>
      <c r="H533" s="34"/>
    </row>
    <row r="534" spans="6:8" x14ac:dyDescent="0.3">
      <c r="F534" s="34"/>
      <c r="G534" s="34"/>
      <c r="H534" s="34"/>
    </row>
    <row r="535" spans="6:8" x14ac:dyDescent="0.3">
      <c r="F535" s="34"/>
      <c r="G535" s="34"/>
      <c r="H535" s="34"/>
    </row>
    <row r="536" spans="6:8" x14ac:dyDescent="0.3">
      <c r="F536" s="34"/>
      <c r="G536" s="34"/>
      <c r="H536" s="34"/>
    </row>
    <row r="537" spans="6:8" x14ac:dyDescent="0.3">
      <c r="F537" s="34"/>
      <c r="G537" s="34"/>
      <c r="H537" s="34"/>
    </row>
    <row r="538" spans="6:8" x14ac:dyDescent="0.3">
      <c r="F538" s="34"/>
      <c r="G538" s="34"/>
      <c r="H538" s="34"/>
    </row>
    <row r="539" spans="6:8" x14ac:dyDescent="0.3">
      <c r="F539" s="34"/>
      <c r="G539" s="34"/>
      <c r="H539" s="34"/>
    </row>
    <row r="540" spans="6:8" x14ac:dyDescent="0.3">
      <c r="F540" s="34"/>
      <c r="G540" s="34"/>
      <c r="H540" s="34"/>
    </row>
    <row r="541" spans="6:8" x14ac:dyDescent="0.3">
      <c r="F541" s="34"/>
      <c r="G541" s="34"/>
      <c r="H541" s="34"/>
    </row>
    <row r="542" spans="6:8" x14ac:dyDescent="0.3">
      <c r="F542" s="34"/>
      <c r="G542" s="34"/>
      <c r="H542" s="34"/>
    </row>
    <row r="543" spans="6:8" x14ac:dyDescent="0.3">
      <c r="F543" s="34"/>
      <c r="G543" s="34"/>
      <c r="H543" s="34"/>
    </row>
    <row r="544" spans="6:8" x14ac:dyDescent="0.3">
      <c r="F544" s="34"/>
      <c r="G544" s="34"/>
      <c r="H544" s="34"/>
    </row>
    <row r="545" spans="6:8" x14ac:dyDescent="0.3">
      <c r="F545" s="34"/>
      <c r="G545" s="34"/>
      <c r="H545" s="34"/>
    </row>
    <row r="546" spans="6:8" x14ac:dyDescent="0.3">
      <c r="F546" s="34"/>
      <c r="G546" s="34"/>
      <c r="H546" s="34"/>
    </row>
    <row r="547" spans="6:8" x14ac:dyDescent="0.3">
      <c r="F547" s="34"/>
      <c r="G547" s="34"/>
      <c r="H547" s="34"/>
    </row>
    <row r="548" spans="6:8" x14ac:dyDescent="0.3">
      <c r="F548" s="34"/>
      <c r="G548" s="34"/>
      <c r="H548" s="34"/>
    </row>
    <row r="549" spans="6:8" x14ac:dyDescent="0.3">
      <c r="F549" s="34"/>
      <c r="G549" s="34"/>
      <c r="H549" s="34"/>
    </row>
    <row r="550" spans="6:8" x14ac:dyDescent="0.3">
      <c r="F550" s="34"/>
      <c r="G550" s="34"/>
      <c r="H550" s="34"/>
    </row>
    <row r="551" spans="6:8" x14ac:dyDescent="0.3">
      <c r="F551" s="34"/>
      <c r="G551" s="34"/>
      <c r="H551" s="34"/>
    </row>
    <row r="552" spans="6:8" x14ac:dyDescent="0.3">
      <c r="F552" s="34"/>
      <c r="G552" s="34"/>
      <c r="H552" s="34"/>
    </row>
    <row r="553" spans="6:8" x14ac:dyDescent="0.3">
      <c r="F553" s="34"/>
      <c r="G553" s="34"/>
      <c r="H553" s="34"/>
    </row>
    <row r="554" spans="6:8" x14ac:dyDescent="0.3">
      <c r="F554" s="34"/>
      <c r="G554" s="34"/>
      <c r="H554" s="34"/>
    </row>
    <row r="555" spans="6:8" x14ac:dyDescent="0.3">
      <c r="F555" s="34"/>
      <c r="G555" s="34"/>
      <c r="H555" s="34"/>
    </row>
    <row r="556" spans="6:8" x14ac:dyDescent="0.3">
      <c r="F556" s="34"/>
      <c r="G556" s="34"/>
      <c r="H556" s="34"/>
    </row>
    <row r="557" spans="6:8" x14ac:dyDescent="0.3">
      <c r="F557" s="34"/>
      <c r="G557" s="34"/>
      <c r="H557" s="34"/>
    </row>
    <row r="558" spans="6:8" x14ac:dyDescent="0.3">
      <c r="F558" s="34"/>
      <c r="G558" s="34"/>
      <c r="H558" s="34"/>
    </row>
    <row r="559" spans="6:8" x14ac:dyDescent="0.3">
      <c r="F559" s="34"/>
      <c r="G559" s="34"/>
      <c r="H559" s="34"/>
    </row>
    <row r="560" spans="6:8" x14ac:dyDescent="0.3">
      <c r="F560" s="34"/>
      <c r="G560" s="34"/>
      <c r="H560" s="34"/>
    </row>
    <row r="561" spans="6:8" x14ac:dyDescent="0.3">
      <c r="F561" s="34"/>
      <c r="G561" s="34"/>
      <c r="H561" s="34"/>
    </row>
    <row r="562" spans="6:8" x14ac:dyDescent="0.3">
      <c r="F562" s="34"/>
      <c r="G562" s="34"/>
      <c r="H562" s="34"/>
    </row>
    <row r="563" spans="6:8" x14ac:dyDescent="0.3">
      <c r="F563" s="34"/>
      <c r="G563" s="34"/>
      <c r="H563" s="34"/>
    </row>
    <row r="564" spans="6:8" x14ac:dyDescent="0.3">
      <c r="F564" s="34"/>
      <c r="G564" s="34"/>
      <c r="H564" s="34"/>
    </row>
    <row r="565" spans="6:8" x14ac:dyDescent="0.3">
      <c r="F565" s="34"/>
      <c r="G565" s="34"/>
      <c r="H565" s="34"/>
    </row>
    <row r="566" spans="6:8" x14ac:dyDescent="0.3">
      <c r="F566" s="34"/>
      <c r="G566" s="34"/>
      <c r="H566" s="34"/>
    </row>
    <row r="567" spans="6:8" x14ac:dyDescent="0.3">
      <c r="F567" s="34"/>
      <c r="G567" s="34"/>
      <c r="H567" s="34"/>
    </row>
    <row r="568" spans="6:8" x14ac:dyDescent="0.3">
      <c r="F568" s="34"/>
      <c r="G568" s="34"/>
      <c r="H568" s="34"/>
    </row>
    <row r="569" spans="6:8" x14ac:dyDescent="0.3">
      <c r="F569" s="34"/>
      <c r="G569" s="34"/>
      <c r="H569" s="34"/>
    </row>
    <row r="570" spans="6:8" x14ac:dyDescent="0.3">
      <c r="F570" s="34"/>
      <c r="G570" s="34"/>
      <c r="H570" s="34"/>
    </row>
    <row r="571" spans="6:8" x14ac:dyDescent="0.3">
      <c r="F571" s="34"/>
      <c r="G571" s="34"/>
      <c r="H571" s="34"/>
    </row>
    <row r="572" spans="6:8" x14ac:dyDescent="0.3">
      <c r="F572" s="34"/>
      <c r="G572" s="34"/>
      <c r="H572" s="34"/>
    </row>
    <row r="573" spans="6:8" x14ac:dyDescent="0.3">
      <c r="F573" s="34"/>
      <c r="G573" s="34"/>
      <c r="H573" s="34"/>
    </row>
    <row r="574" spans="6:8" x14ac:dyDescent="0.3">
      <c r="F574" s="34"/>
      <c r="G574" s="34"/>
      <c r="H574" s="34"/>
    </row>
    <row r="575" spans="6:8" x14ac:dyDescent="0.3">
      <c r="F575" s="34"/>
      <c r="G575" s="34"/>
      <c r="H575" s="34"/>
    </row>
    <row r="576" spans="6:8" x14ac:dyDescent="0.3">
      <c r="F576" s="34"/>
      <c r="G576" s="34"/>
      <c r="H576" s="34"/>
    </row>
    <row r="577" spans="6:8" x14ac:dyDescent="0.3">
      <c r="F577" s="34"/>
      <c r="G577" s="34"/>
      <c r="H577" s="34"/>
    </row>
    <row r="578" spans="6:8" x14ac:dyDescent="0.3">
      <c r="F578" s="34"/>
      <c r="G578" s="34"/>
      <c r="H578" s="34"/>
    </row>
    <row r="579" spans="6:8" x14ac:dyDescent="0.3">
      <c r="F579" s="34"/>
      <c r="G579" s="34"/>
      <c r="H579" s="34"/>
    </row>
    <row r="580" spans="6:8" x14ac:dyDescent="0.3">
      <c r="F580" s="34"/>
      <c r="G580" s="34"/>
      <c r="H580" s="34"/>
    </row>
    <row r="581" spans="6:8" x14ac:dyDescent="0.3">
      <c r="F581" s="34"/>
      <c r="G581" s="34"/>
      <c r="H581" s="34"/>
    </row>
    <row r="582" spans="6:8" x14ac:dyDescent="0.3">
      <c r="F582" s="34"/>
      <c r="G582" s="34"/>
      <c r="H582" s="34"/>
    </row>
    <row r="583" spans="6:8" x14ac:dyDescent="0.3">
      <c r="F583" s="34"/>
      <c r="G583" s="34"/>
      <c r="H583" s="34"/>
    </row>
    <row r="584" spans="6:8" x14ac:dyDescent="0.3">
      <c r="F584" s="34"/>
      <c r="G584" s="34"/>
      <c r="H584" s="34"/>
    </row>
    <row r="585" spans="6:8" x14ac:dyDescent="0.3">
      <c r="F585" s="34"/>
      <c r="G585" s="34"/>
      <c r="H585" s="34"/>
    </row>
    <row r="586" spans="6:8" x14ac:dyDescent="0.3">
      <c r="F586" s="34"/>
      <c r="G586" s="34"/>
      <c r="H586" s="34"/>
    </row>
    <row r="587" spans="6:8" x14ac:dyDescent="0.3">
      <c r="F587" s="34"/>
      <c r="G587" s="34"/>
      <c r="H587" s="34"/>
    </row>
    <row r="588" spans="6:8" x14ac:dyDescent="0.3">
      <c r="F588" s="34"/>
      <c r="G588" s="34"/>
      <c r="H588" s="34"/>
    </row>
    <row r="589" spans="6:8" x14ac:dyDescent="0.3">
      <c r="F589" s="34"/>
      <c r="G589" s="34"/>
      <c r="H589" s="34"/>
    </row>
    <row r="590" spans="6:8" x14ac:dyDescent="0.3">
      <c r="F590" s="34"/>
      <c r="G590" s="34"/>
      <c r="H590" s="34"/>
    </row>
    <row r="591" spans="6:8" x14ac:dyDescent="0.3">
      <c r="F591" s="34"/>
      <c r="G591" s="34"/>
      <c r="H591" s="34"/>
    </row>
    <row r="592" spans="6:8" x14ac:dyDescent="0.3">
      <c r="F592" s="34"/>
      <c r="G592" s="34"/>
      <c r="H592" s="34"/>
    </row>
    <row r="593" spans="6:8" x14ac:dyDescent="0.3">
      <c r="F593" s="34"/>
      <c r="G593" s="34"/>
      <c r="H593" s="34"/>
    </row>
    <row r="594" spans="6:8" x14ac:dyDescent="0.3">
      <c r="F594" s="34"/>
      <c r="G594" s="34"/>
      <c r="H594" s="34"/>
    </row>
    <row r="595" spans="6:8" x14ac:dyDescent="0.3">
      <c r="F595" s="34"/>
      <c r="G595" s="34"/>
      <c r="H595" s="34"/>
    </row>
    <row r="596" spans="6:8" x14ac:dyDescent="0.3">
      <c r="F596" s="34"/>
      <c r="G596" s="34"/>
      <c r="H596" s="34"/>
    </row>
    <row r="597" spans="6:8" x14ac:dyDescent="0.3">
      <c r="F597" s="34"/>
    </row>
    <row r="598" spans="6:8" x14ac:dyDescent="0.3">
      <c r="F598" s="34"/>
    </row>
    <row r="599" spans="6:8" x14ac:dyDescent="0.3">
      <c r="F599" s="34"/>
    </row>
    <row r="600" spans="6:8" x14ac:dyDescent="0.3">
      <c r="F600" s="34"/>
    </row>
    <row r="601" spans="6:8" x14ac:dyDescent="0.3">
      <c r="F601" s="34"/>
    </row>
    <row r="602" spans="6:8" x14ac:dyDescent="0.3">
      <c r="F602" s="34"/>
    </row>
    <row r="603" spans="6:8" x14ac:dyDescent="0.3">
      <c r="F603" s="34"/>
    </row>
    <row r="604" spans="6:8" x14ac:dyDescent="0.3">
      <c r="F604" s="34"/>
    </row>
    <row r="605" spans="6:8" x14ac:dyDescent="0.3">
      <c r="F605" s="34"/>
    </row>
    <row r="606" spans="6:8" x14ac:dyDescent="0.3">
      <c r="F606" s="34"/>
    </row>
    <row r="607" spans="6:8" x14ac:dyDescent="0.3">
      <c r="F607" s="34"/>
    </row>
    <row r="608" spans="6:8" x14ac:dyDescent="0.3">
      <c r="F608" s="34"/>
    </row>
    <row r="609" spans="6:6" x14ac:dyDescent="0.3">
      <c r="F609" s="34"/>
    </row>
    <row r="610" spans="6:6" x14ac:dyDescent="0.3">
      <c r="F610" s="34"/>
    </row>
    <row r="611" spans="6:6" x14ac:dyDescent="0.3">
      <c r="F611" s="34"/>
    </row>
    <row r="612" spans="6:6" x14ac:dyDescent="0.3">
      <c r="F612" s="34"/>
    </row>
    <row r="613" spans="6:6" x14ac:dyDescent="0.3">
      <c r="F613" s="34"/>
    </row>
    <row r="614" spans="6:6" x14ac:dyDescent="0.3">
      <c r="F614" s="34"/>
    </row>
    <row r="615" spans="6:6" x14ac:dyDescent="0.3">
      <c r="F615" s="34"/>
    </row>
    <row r="616" spans="6:6" x14ac:dyDescent="0.3">
      <c r="F616" s="34"/>
    </row>
    <row r="617" spans="6:6" x14ac:dyDescent="0.3">
      <c r="F617" s="34"/>
    </row>
    <row r="618" spans="6:6" x14ac:dyDescent="0.3">
      <c r="F618" s="34"/>
    </row>
  </sheetData>
  <phoneticPr fontId="16" type="noConversion"/>
  <hyperlinks>
    <hyperlink ref="I1" r:id="rId1"/>
    <hyperlink ref="I4" r:id="rId2"/>
    <hyperlink ref="I5" r:id="rId3"/>
    <hyperlink ref="I6" r:id="rId4"/>
    <hyperlink ref="I2" r:id="rId5"/>
    <hyperlink ref="I3" r:id="rId6"/>
  </hyperlinks>
  <pageMargins left="0.7" right="0.7" top="0.75" bottom="0.75" header="0.3" footer="0.3"/>
  <pageSetup orientation="portrait" horizontalDpi="1200" verticalDpi="1200" r:id="rId7"/>
  <legacyDrawing r:id="rId8"/>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161"/>
  <sheetViews>
    <sheetView workbookViewId="0">
      <pane ySplit="6" topLeftCell="A7" activePane="bottomLeft" state="frozen"/>
      <selection pane="bottomLeft" activeCell="A9" sqref="A9"/>
    </sheetView>
  </sheetViews>
  <sheetFormatPr defaultColWidth="9.08984375" defaultRowHeight="13" x14ac:dyDescent="0.3"/>
  <cols>
    <col min="1" max="1" width="50.81640625" style="27" customWidth="1"/>
    <col min="2" max="2" width="8.6328125" style="27" customWidth="1"/>
    <col min="3" max="3" width="9.6328125" style="17" customWidth="1"/>
    <col min="4" max="5" width="8.6328125" style="17" customWidth="1"/>
    <col min="6" max="7" width="7.6328125" style="17" customWidth="1"/>
    <col min="8" max="8" width="11.6328125" style="17" customWidth="1"/>
    <col min="9" max="10" width="11.90625" style="17" customWidth="1"/>
    <col min="11" max="11" width="9" style="17" bestFit="1" customWidth="1"/>
    <col min="12" max="13" width="9.6328125" style="17" customWidth="1"/>
    <col min="14" max="16384" width="9.08984375" style="17"/>
  </cols>
  <sheetData>
    <row r="1" spans="1:23" x14ac:dyDescent="0.3">
      <c r="A1" s="61" t="s">
        <v>146</v>
      </c>
      <c r="B1" s="17" t="str">
        <f>model</f>
        <v>ME Grain &amp; Pulse</v>
      </c>
    </row>
    <row r="4" spans="1:23" x14ac:dyDescent="0.3">
      <c r="A4" s="16" t="s">
        <v>560</v>
      </c>
      <c r="B4" s="8" t="s">
        <v>92</v>
      </c>
      <c r="C4" s="65">
        <f>broccoli</f>
        <v>0</v>
      </c>
      <c r="D4" s="4" t="s">
        <v>93</v>
      </c>
    </row>
    <row r="5" spans="1:23" x14ac:dyDescent="0.3">
      <c r="H5" s="28"/>
    </row>
    <row r="6" spans="1:23" s="27" customFormat="1" ht="40.5" customHeight="1" x14ac:dyDescent="0.3">
      <c r="A6" s="12" t="s">
        <v>63</v>
      </c>
      <c r="B6" s="15" t="s">
        <v>36</v>
      </c>
      <c r="C6" s="15" t="s">
        <v>22</v>
      </c>
      <c r="D6" s="15" t="s">
        <v>94</v>
      </c>
      <c r="E6" s="15" t="s">
        <v>95</v>
      </c>
      <c r="F6" s="15" t="s">
        <v>28</v>
      </c>
      <c r="G6" s="15" t="s">
        <v>38</v>
      </c>
      <c r="H6" s="15" t="s">
        <v>29</v>
      </c>
      <c r="I6" s="15" t="s">
        <v>30</v>
      </c>
      <c r="J6" s="15" t="s">
        <v>31</v>
      </c>
      <c r="K6" s="15" t="s">
        <v>32</v>
      </c>
      <c r="L6" s="15" t="s">
        <v>33</v>
      </c>
      <c r="M6" s="15" t="s">
        <v>34</v>
      </c>
      <c r="N6" s="11"/>
    </row>
    <row r="7" spans="1:23" x14ac:dyDescent="0.3">
      <c r="A7" s="13"/>
      <c r="B7" s="29"/>
      <c r="C7" s="30"/>
      <c r="D7" s="31"/>
      <c r="E7" s="31"/>
      <c r="F7" s="18"/>
      <c r="G7" s="18"/>
      <c r="H7" s="32"/>
      <c r="I7" s="31"/>
      <c r="J7" s="31"/>
      <c r="K7" s="31"/>
      <c r="L7" s="31"/>
      <c r="M7" s="31"/>
    </row>
    <row r="8" spans="1:23" x14ac:dyDescent="0.3">
      <c r="A8" s="14" t="s">
        <v>3</v>
      </c>
      <c r="D8" s="110"/>
      <c r="E8" s="110"/>
      <c r="F8" s="110"/>
    </row>
    <row r="9" spans="1:23" x14ac:dyDescent="0.3">
      <c r="A9" s="6" t="str">
        <f>Data!A285</f>
        <v>Large tractor (160 hp) - MEDIUM SIZE</v>
      </c>
      <c r="B9" s="33">
        <f>Data!B285</f>
        <v>1</v>
      </c>
      <c r="C9" s="34" t="str">
        <f>Data!C285</f>
        <v>tractor</v>
      </c>
      <c r="D9" s="109">
        <f>Data!D292*Data!H24</f>
        <v>0</v>
      </c>
      <c r="E9" s="109">
        <f>D9*B9</f>
        <v>0</v>
      </c>
      <c r="F9" s="109">
        <f>Data!I292*E9</f>
        <v>0</v>
      </c>
      <c r="G9" s="34">
        <f>Data!F292</f>
        <v>20</v>
      </c>
      <c r="H9" s="109">
        <f>(E9*(_int_inv_*(1+_int_inv_)^G9)/((1+_int_inv_)^G9-1))-(F9*_int_inv_/((1+_int_inv_)^G9-1))</f>
        <v>0</v>
      </c>
      <c r="I9" s="35">
        <f>Data!H292</f>
        <v>1.6659574468085105E-2</v>
      </c>
      <c r="J9" s="109">
        <f>E9*I9</f>
        <v>0</v>
      </c>
      <c r="K9" s="36">
        <f>_tax_ins_</f>
        <v>6.7999999999999996E-3</v>
      </c>
      <c r="L9" s="109">
        <f>E9*K9</f>
        <v>0</v>
      </c>
      <c r="M9" s="109">
        <f>H9+J9+L9</f>
        <v>0</v>
      </c>
      <c r="N9" s="34"/>
      <c r="O9" s="34"/>
      <c r="P9" s="34"/>
      <c r="Q9" s="34"/>
      <c r="R9" s="34"/>
    </row>
    <row r="10" spans="1:23" x14ac:dyDescent="0.3">
      <c r="B10" s="33"/>
      <c r="C10" s="34"/>
      <c r="D10" s="109"/>
      <c r="E10" s="109"/>
      <c r="F10" s="109"/>
      <c r="G10" s="34"/>
      <c r="H10" s="109"/>
      <c r="I10" s="35"/>
      <c r="J10" s="109"/>
      <c r="K10" s="35"/>
      <c r="L10" s="109"/>
      <c r="M10" s="109"/>
      <c r="N10" s="32"/>
      <c r="O10" s="34"/>
      <c r="P10" s="34"/>
      <c r="Q10" s="34"/>
      <c r="R10" s="34"/>
      <c r="S10" s="34"/>
      <c r="T10" s="34"/>
      <c r="U10" s="34"/>
      <c r="V10" s="34"/>
      <c r="W10" s="34"/>
    </row>
    <row r="11" spans="1:23" x14ac:dyDescent="0.3">
      <c r="A11" s="14" t="s">
        <v>386</v>
      </c>
      <c r="D11" s="110"/>
      <c r="E11" s="110"/>
      <c r="F11" s="109"/>
      <c r="H11" s="109"/>
      <c r="J11" s="110"/>
      <c r="L11" s="110"/>
      <c r="M11" s="109"/>
    </row>
    <row r="12" spans="1:23" x14ac:dyDescent="0.3">
      <c r="A12" s="6" t="str">
        <f>Data!A297</f>
        <v>Bulk Body Truck(s) - SMALL SIZE</v>
      </c>
      <c r="B12" s="33">
        <f>Data!B297</f>
        <v>0</v>
      </c>
      <c r="C12" s="34" t="str">
        <f>Data!C297</f>
        <v>truck</v>
      </c>
      <c r="D12" s="109">
        <f>Data!D297*Data!J24</f>
        <v>0</v>
      </c>
      <c r="E12" s="109">
        <f>D12*B12</f>
        <v>0</v>
      </c>
      <c r="F12" s="109">
        <f>Data!I297*E12</f>
        <v>0</v>
      </c>
      <c r="G12" s="60">
        <f>Data!F297</f>
        <v>40</v>
      </c>
      <c r="H12" s="109">
        <f>(E12*(_int_inv_*(1+_int_inv_)^G12)/((1+_int_inv_)^G12-1))-(F12*_int_inv_/((1+_int_inv_)^G12-1))</f>
        <v>0</v>
      </c>
      <c r="I12" s="35">
        <f>Data!H297</f>
        <v>0.02</v>
      </c>
      <c r="J12" s="109">
        <f>E12*I12</f>
        <v>0</v>
      </c>
      <c r="K12" s="36">
        <f>_tax_ins_</f>
        <v>6.7999999999999996E-3</v>
      </c>
      <c r="L12" s="109">
        <f>E12*K12</f>
        <v>0</v>
      </c>
      <c r="M12" s="109">
        <f>H12+J12+L12</f>
        <v>0</v>
      </c>
      <c r="N12" s="34"/>
      <c r="O12" s="34"/>
      <c r="P12" s="34"/>
      <c r="Q12" s="34"/>
      <c r="R12" s="34"/>
    </row>
    <row r="13" spans="1:23" x14ac:dyDescent="0.3">
      <c r="B13" s="33"/>
      <c r="C13" s="34"/>
      <c r="D13" s="109"/>
      <c r="E13" s="109"/>
      <c r="F13" s="109"/>
      <c r="G13" s="34"/>
      <c r="H13" s="109"/>
      <c r="I13" s="35"/>
      <c r="J13" s="109"/>
      <c r="K13" s="35"/>
      <c r="L13" s="32"/>
      <c r="M13" s="32"/>
      <c r="N13" s="32"/>
      <c r="O13" s="34"/>
      <c r="P13" s="34"/>
      <c r="Q13" s="34"/>
      <c r="R13" s="34"/>
      <c r="S13" s="34"/>
      <c r="T13" s="34"/>
      <c r="U13" s="34"/>
      <c r="V13" s="34"/>
      <c r="W13" s="34"/>
    </row>
    <row r="14" spans="1:23" x14ac:dyDescent="0.3">
      <c r="A14" s="14" t="s">
        <v>6</v>
      </c>
      <c r="B14" s="33"/>
      <c r="C14" s="34"/>
      <c r="D14" s="109"/>
      <c r="E14" s="109"/>
      <c r="F14" s="109"/>
      <c r="G14" s="34"/>
      <c r="H14" s="109"/>
      <c r="I14" s="35"/>
      <c r="J14" s="109"/>
      <c r="K14" s="35"/>
      <c r="L14" s="109"/>
      <c r="M14" s="109"/>
      <c r="N14" s="34"/>
      <c r="O14" s="34"/>
      <c r="P14" s="34"/>
      <c r="Q14" s="34"/>
      <c r="R14" s="34"/>
      <c r="S14" s="34"/>
      <c r="T14" s="34"/>
      <c r="U14" s="34"/>
      <c r="V14" s="34"/>
      <c r="W14" s="34"/>
    </row>
    <row r="15" spans="1:23" x14ac:dyDescent="0.3">
      <c r="A15" s="6" t="str">
        <f>Data!A313</f>
        <v>Chisel Plow (15 ft) - SMALL SIZE</v>
      </c>
      <c r="B15" s="33">
        <f>Data!B313</f>
        <v>0</v>
      </c>
      <c r="C15" s="34" t="str">
        <f>Data!C313</f>
        <v>chisel plow</v>
      </c>
      <c r="D15" s="109">
        <f>Data!D313*Data!P24</f>
        <v>0</v>
      </c>
      <c r="E15" s="109">
        <f>D15*B15</f>
        <v>0</v>
      </c>
      <c r="F15" s="109">
        <f>Data!I313*E15</f>
        <v>0</v>
      </c>
      <c r="G15" s="60">
        <f>Data!F313</f>
        <v>40</v>
      </c>
      <c r="H15" s="109">
        <f>(E15*(_int_inv_*(1+_int_inv_)^G15)/((1+_int_inv_)^G15-1))-(F15*_int_inv_/((1+_int_inv_)^G15-1))</f>
        <v>0</v>
      </c>
      <c r="I15" s="35">
        <f>Data!H313</f>
        <v>2.433684210526316E-2</v>
      </c>
      <c r="J15" s="109">
        <f>E15*I15</f>
        <v>0</v>
      </c>
      <c r="K15" s="36">
        <f>_tax_ins_</f>
        <v>6.7999999999999996E-3</v>
      </c>
      <c r="L15" s="109">
        <f>E15*K15</f>
        <v>0</v>
      </c>
      <c r="M15" s="109">
        <f>H15+J15+L15</f>
        <v>0</v>
      </c>
      <c r="N15" s="34"/>
      <c r="O15" s="34"/>
      <c r="P15" s="34"/>
      <c r="Q15" s="34"/>
      <c r="R15" s="34"/>
    </row>
    <row r="16" spans="1:23" x14ac:dyDescent="0.3">
      <c r="A16" s="6" t="str">
        <f>Data!A316</f>
        <v>Disk Harrow (12 ft) - SMALL SIZE</v>
      </c>
      <c r="B16" s="33">
        <f>Data!B316</f>
        <v>0</v>
      </c>
      <c r="C16" s="34" t="str">
        <f>Data!C316</f>
        <v>disk harrow</v>
      </c>
      <c r="D16" s="109">
        <f>Data!D316*Data!P24</f>
        <v>0</v>
      </c>
      <c r="E16" s="109">
        <f>D16*B16</f>
        <v>0</v>
      </c>
      <c r="F16" s="109">
        <f>Data!I316*E16</f>
        <v>0</v>
      </c>
      <c r="G16" s="60">
        <f>Data!F316</f>
        <v>50</v>
      </c>
      <c r="H16" s="109">
        <f>(E16*(_int_inv_*(1+_int_inv_)^G16)/((1+_int_inv_)^G16-1))-(F16*_int_inv_/((1+_int_inv_)^G16-1))</f>
        <v>0</v>
      </c>
      <c r="I16" s="35">
        <f>Data!H316</f>
        <v>2.2825263157894737E-2</v>
      </c>
      <c r="J16" s="109">
        <f>E16*I16</f>
        <v>0</v>
      </c>
      <c r="K16" s="36">
        <f>_tax_ins_</f>
        <v>6.7999999999999996E-3</v>
      </c>
      <c r="L16" s="109">
        <f>E16*K16</f>
        <v>0</v>
      </c>
      <c r="M16" s="109">
        <f>H16+J16+L16</f>
        <v>0</v>
      </c>
    </row>
    <row r="17" spans="1:32" ht="13.25" customHeight="1" x14ac:dyDescent="0.3">
      <c r="A17" s="6" t="str">
        <f>Data!A319</f>
        <v>Soil Conditioner/Field Cultivator (18 ft) - SMALL SIZE</v>
      </c>
      <c r="B17" s="33">
        <f>Data!B319</f>
        <v>0</v>
      </c>
      <c r="C17" s="34" t="str">
        <f>Data!C319</f>
        <v>condit.</v>
      </c>
      <c r="D17" s="109">
        <f>Data!D319*Data!P24</f>
        <v>0</v>
      </c>
      <c r="E17" s="109">
        <f>D17*B17</f>
        <v>0</v>
      </c>
      <c r="F17" s="109">
        <f>Data!I319*E17</f>
        <v>0</v>
      </c>
      <c r="G17" s="60">
        <f>Data!F319</f>
        <v>40</v>
      </c>
      <c r="H17" s="109">
        <f>(E17*(_int_inv_*(1+_int_inv_)^G17)/((1+_int_inv_)^G17-1))-(F17*_int_inv_/((1+_int_inv_)^G17-1))</f>
        <v>0</v>
      </c>
      <c r="I17" s="35">
        <f>Data!H319</f>
        <v>3.245E-2</v>
      </c>
      <c r="J17" s="109">
        <f>E17*I17</f>
        <v>0</v>
      </c>
      <c r="K17" s="36">
        <f>_tax_ins_</f>
        <v>6.7999999999999996E-3</v>
      </c>
      <c r="L17" s="109">
        <f>E17*K17</f>
        <v>0</v>
      </c>
      <c r="M17" s="109">
        <f>H17+J17+L17</f>
        <v>0</v>
      </c>
    </row>
    <row r="18" spans="1:32" x14ac:dyDescent="0.3">
      <c r="B18" s="33"/>
      <c r="C18" s="34"/>
      <c r="D18" s="109"/>
      <c r="E18" s="109"/>
      <c r="F18" s="109" t="s">
        <v>124</v>
      </c>
      <c r="G18" s="34"/>
      <c r="H18" s="109"/>
      <c r="I18" s="35"/>
      <c r="J18" s="109"/>
      <c r="K18" s="36"/>
      <c r="L18" s="109"/>
      <c r="M18" s="109"/>
      <c r="N18" s="34"/>
      <c r="O18" s="34"/>
      <c r="P18" s="34"/>
      <c r="Q18" s="34"/>
      <c r="R18" s="34"/>
      <c r="S18" s="34"/>
      <c r="T18" s="34"/>
      <c r="U18" s="34"/>
      <c r="V18" s="34"/>
      <c r="W18" s="34"/>
    </row>
    <row r="19" spans="1:32" x14ac:dyDescent="0.3">
      <c r="A19" s="14" t="s">
        <v>4</v>
      </c>
      <c r="B19" s="33"/>
      <c r="C19" s="34"/>
      <c r="D19" s="109"/>
      <c r="E19" s="109"/>
      <c r="F19" s="109"/>
      <c r="G19" s="34"/>
      <c r="H19" s="109"/>
      <c r="I19" s="35"/>
      <c r="J19" s="109"/>
      <c r="K19" s="35"/>
      <c r="L19" s="32"/>
      <c r="M19" s="32"/>
      <c r="N19" s="34"/>
      <c r="O19" s="34"/>
      <c r="P19" s="34"/>
      <c r="Q19" s="34"/>
      <c r="R19" s="34"/>
      <c r="S19" s="34"/>
      <c r="T19" s="34"/>
      <c r="U19" s="34"/>
      <c r="V19" s="34"/>
      <c r="W19" s="34"/>
    </row>
    <row r="20" spans="1:32" x14ac:dyDescent="0.3">
      <c r="A20" s="6" t="str">
        <f>Data!A334</f>
        <v xml:space="preserve">Fertilizer Spreader </v>
      </c>
      <c r="B20" s="247">
        <v>1</v>
      </c>
      <c r="C20" s="34" t="str">
        <f>Data!C334</f>
        <v>fert.spread</v>
      </c>
      <c r="D20" s="109">
        <f>Data!D334*Data!N24</f>
        <v>0</v>
      </c>
      <c r="E20" s="109">
        <f>D20*B20</f>
        <v>0</v>
      </c>
      <c r="F20" s="109">
        <f>Data!I334*E20</f>
        <v>0</v>
      </c>
      <c r="G20" s="60">
        <f>Data!F334</f>
        <v>10</v>
      </c>
      <c r="H20" s="109">
        <f>(E20*(_int_inv_*(1+_int_inv_)^G20)/((1+_int_inv_)^G20-1))-(F20*_int_inv_/((1+_int_inv_)^G20-1))</f>
        <v>0</v>
      </c>
      <c r="I20" s="35">
        <f>Data!H334</f>
        <v>4.4999999999999998E-2</v>
      </c>
      <c r="J20" s="104">
        <f>E20*I20</f>
        <v>0</v>
      </c>
      <c r="K20" s="36">
        <f>_tax_ins_</f>
        <v>6.7999999999999996E-3</v>
      </c>
      <c r="L20" s="104">
        <f>E20*K20</f>
        <v>0</v>
      </c>
      <c r="M20" s="109">
        <f>H20+J20+L20</f>
        <v>0</v>
      </c>
    </row>
    <row r="21" spans="1:32" x14ac:dyDescent="0.3">
      <c r="A21" s="6" t="str">
        <f>Data!A349</f>
        <v xml:space="preserve">Broccoli Planter </v>
      </c>
      <c r="B21" s="163">
        <f>Data!B349</f>
        <v>0</v>
      </c>
      <c r="C21" s="34" t="str">
        <f>Data!C349</f>
        <v>planter</v>
      </c>
      <c r="D21" s="109">
        <f>Data!D349*Data!D24</f>
        <v>0</v>
      </c>
      <c r="E21" s="109">
        <f>D21*B21</f>
        <v>0</v>
      </c>
      <c r="F21" s="109">
        <f>Data!I349*E21</f>
        <v>0</v>
      </c>
      <c r="G21" s="165">
        <f>Data!F349</f>
        <v>10</v>
      </c>
      <c r="H21" s="109">
        <f>(E21*(_int_inv_*(1+_int_inv_)^G21)/((1+_int_inv_)^G21-1))-(F21*_int_inv_/((1+_int_inv_)^G21-1))</f>
        <v>0</v>
      </c>
      <c r="I21" s="162">
        <f>Data!H349</f>
        <v>4.4999999999999998E-2</v>
      </c>
      <c r="J21" s="109">
        <f>E21*I21</f>
        <v>0</v>
      </c>
      <c r="K21" s="36">
        <f>_tax_ins_</f>
        <v>6.7999999999999996E-3</v>
      </c>
      <c r="L21" s="109">
        <f>E21*K21</f>
        <v>0</v>
      </c>
      <c r="M21" s="109">
        <f>H21+J21+L21</f>
        <v>0</v>
      </c>
      <c r="N21" s="34"/>
      <c r="O21" s="34"/>
      <c r="P21" s="34"/>
      <c r="Q21" s="34"/>
      <c r="R21" s="34"/>
      <c r="S21" s="34"/>
      <c r="T21" s="34"/>
      <c r="U21" s="34"/>
      <c r="V21" s="34"/>
      <c r="W21" s="34"/>
    </row>
    <row r="22" spans="1:32" x14ac:dyDescent="0.3">
      <c r="B22" s="33"/>
      <c r="C22" s="34"/>
      <c r="D22" s="109"/>
      <c r="E22" s="109"/>
      <c r="F22" s="109"/>
      <c r="G22" s="34"/>
      <c r="H22" s="109"/>
      <c r="I22" s="35"/>
      <c r="J22" s="109"/>
      <c r="K22" s="35"/>
      <c r="L22" s="109"/>
      <c r="M22" s="109"/>
      <c r="N22" s="34"/>
      <c r="O22" s="34"/>
      <c r="P22" s="34"/>
      <c r="Q22" s="34"/>
      <c r="R22" s="34"/>
      <c r="S22" s="34"/>
      <c r="T22" s="34"/>
      <c r="U22" s="34"/>
      <c r="V22" s="34"/>
      <c r="W22" s="34"/>
    </row>
    <row r="23" spans="1:32" x14ac:dyDescent="0.3">
      <c r="A23" s="14" t="s">
        <v>7</v>
      </c>
      <c r="B23" s="33"/>
      <c r="C23" s="34"/>
      <c r="D23" s="109"/>
      <c r="E23" s="109"/>
      <c r="F23" s="109"/>
      <c r="G23" s="34"/>
      <c r="H23" s="109"/>
      <c r="I23" s="35"/>
      <c r="J23" s="109"/>
      <c r="K23" s="36"/>
      <c r="L23" s="109"/>
      <c r="M23" s="109"/>
      <c r="N23" s="34"/>
      <c r="O23" s="34"/>
      <c r="P23" s="34"/>
      <c r="Q23" s="34"/>
      <c r="R23" s="34"/>
      <c r="S23" s="34"/>
      <c r="T23" s="34"/>
      <c r="U23" s="34"/>
      <c r="V23" s="34"/>
      <c r="W23" s="34"/>
    </row>
    <row r="24" spans="1:32" ht="12.75" customHeight="1" x14ac:dyDescent="0.3">
      <c r="A24" s="6" t="str">
        <f>Data!A353</f>
        <v>Sprayer (Tractor Mounted Boom, 50 ft) - SMALL SIZE</v>
      </c>
      <c r="B24" s="247">
        <v>1</v>
      </c>
      <c r="C24" s="34" t="str">
        <f>Data!C353</f>
        <v>sprayer</v>
      </c>
      <c r="D24" s="109">
        <f>Data!D353*Data!P24</f>
        <v>0</v>
      </c>
      <c r="E24" s="109">
        <f>D24*B24</f>
        <v>0</v>
      </c>
      <c r="F24" s="109">
        <f>Data!I353*E24</f>
        <v>0</v>
      </c>
      <c r="G24" s="60">
        <f>Data!F353</f>
        <v>50</v>
      </c>
      <c r="H24" s="109">
        <f>(E24*(_int_inv_*(1+_int_inv_)^G24)/((1+_int_inv_)^G24-1))-(F24*_int_inv_/((1+_int_inv_)^G24-1))</f>
        <v>0</v>
      </c>
      <c r="I24" s="35">
        <f>Data!H353</f>
        <v>4.4999999999999998E-2</v>
      </c>
      <c r="J24" s="109">
        <f>E24*I24</f>
        <v>0</v>
      </c>
      <c r="K24" s="36">
        <f>_tax_ins_</f>
        <v>6.7999999999999996E-3</v>
      </c>
      <c r="L24" s="109">
        <f>E24*K24</f>
        <v>0</v>
      </c>
      <c r="M24" s="109">
        <f>H24+J24+L24</f>
        <v>0</v>
      </c>
      <c r="N24" s="34"/>
      <c r="O24" s="34"/>
      <c r="P24" s="34"/>
      <c r="Q24" s="34"/>
      <c r="R24" s="34"/>
    </row>
    <row r="25" spans="1:32" x14ac:dyDescent="0.3">
      <c r="B25" s="33"/>
      <c r="C25" s="34"/>
      <c r="D25" s="109"/>
      <c r="E25" s="109"/>
      <c r="F25" s="109"/>
      <c r="G25" s="34"/>
      <c r="H25" s="109"/>
      <c r="I25" s="35"/>
      <c r="J25" s="109"/>
      <c r="K25" s="36"/>
      <c r="L25" s="109"/>
      <c r="M25" s="109"/>
      <c r="N25" s="34"/>
      <c r="O25" s="34"/>
      <c r="P25" s="34"/>
      <c r="Q25" s="34"/>
      <c r="R25" s="34"/>
      <c r="S25" s="34"/>
      <c r="T25" s="34"/>
      <c r="U25" s="34"/>
      <c r="V25" s="34"/>
      <c r="W25" s="34"/>
    </row>
    <row r="26" spans="1:32" x14ac:dyDescent="0.3">
      <c r="A26" s="14" t="s">
        <v>183</v>
      </c>
      <c r="B26" s="33"/>
      <c r="C26" s="34"/>
      <c r="D26" s="109"/>
      <c r="E26" s="109"/>
      <c r="F26" s="109"/>
      <c r="G26" s="34"/>
      <c r="H26" s="112"/>
      <c r="I26" s="35"/>
      <c r="J26" s="109"/>
      <c r="K26" s="36"/>
      <c r="L26" s="109"/>
      <c r="M26" s="109"/>
      <c r="N26" s="34"/>
      <c r="O26" s="34"/>
      <c r="P26" s="34"/>
      <c r="Q26" s="34"/>
      <c r="R26" s="34"/>
      <c r="S26" s="34"/>
      <c r="T26" s="34"/>
      <c r="U26" s="34"/>
      <c r="V26" s="34"/>
    </row>
    <row r="27" spans="1:32" x14ac:dyDescent="0.3">
      <c r="A27" s="6" t="str">
        <f>Data!A359</f>
        <v>Irrigation Travel Guns</v>
      </c>
      <c r="B27" s="163">
        <f>Data!B359</f>
        <v>0</v>
      </c>
      <c r="C27" s="34" t="str">
        <f>Data!C359</f>
        <v>irrig.travel</v>
      </c>
      <c r="D27" s="109">
        <f>Data!D359*Data!AX24</f>
        <v>0</v>
      </c>
      <c r="E27" s="109">
        <f>D27*B27*N27</f>
        <v>0</v>
      </c>
      <c r="F27" s="109">
        <f>Data!I359*E27*N27</f>
        <v>0</v>
      </c>
      <c r="G27" s="90">
        <f>Data!F359</f>
        <v>10</v>
      </c>
      <c r="H27" s="112">
        <f>(E27*(_int_inv_*(1+_int_inv_)^G27)/((1+_int_inv_)^G27-1))-(F27*_int_inv_/((1+_int_inv_)^G27-1))</f>
        <v>0</v>
      </c>
      <c r="I27" s="162">
        <f>Data!H359</f>
        <v>4.4999999999999998E-2</v>
      </c>
      <c r="J27" s="109">
        <f>E27*I27*N27</f>
        <v>0</v>
      </c>
      <c r="K27" s="36">
        <f>_tax_ins_</f>
        <v>6.7999999999999996E-3</v>
      </c>
      <c r="L27" s="109">
        <f>E27*K27*N27</f>
        <v>0</v>
      </c>
      <c r="M27" s="109">
        <f>H27+J27+L27</f>
        <v>0</v>
      </c>
      <c r="N27" s="247">
        <v>1</v>
      </c>
      <c r="O27" s="299" t="s">
        <v>167</v>
      </c>
      <c r="P27" s="34"/>
      <c r="Q27" s="34"/>
      <c r="R27" s="34"/>
      <c r="S27" s="34"/>
      <c r="T27" s="34"/>
      <c r="U27" s="34"/>
      <c r="V27" s="34"/>
      <c r="W27" s="34"/>
      <c r="X27" s="34"/>
      <c r="Y27" s="34"/>
      <c r="Z27" s="34"/>
      <c r="AA27" s="34"/>
      <c r="AB27" s="34"/>
      <c r="AC27" s="34"/>
      <c r="AD27" s="34"/>
      <c r="AE27" s="34"/>
      <c r="AF27" s="34"/>
    </row>
    <row r="28" spans="1:32" x14ac:dyDescent="0.3">
      <c r="A28" s="6" t="str">
        <f>Data!A360</f>
        <v>Irrigation Pumps</v>
      </c>
      <c r="B28" s="163">
        <f>Data!B360</f>
        <v>0</v>
      </c>
      <c r="C28" s="34" t="str">
        <f>Data!C360</f>
        <v>irrig.pumps</v>
      </c>
      <c r="D28" s="109">
        <f>Data!D360*Data!AX24</f>
        <v>0</v>
      </c>
      <c r="E28" s="109">
        <f>D28*B28*N28</f>
        <v>0</v>
      </c>
      <c r="F28" s="109">
        <f>Data!I360*E28*N28</f>
        <v>0</v>
      </c>
      <c r="G28" s="90">
        <f>Data!F360</f>
        <v>10</v>
      </c>
      <c r="H28" s="112">
        <f>(E28*(_int_inv_*(1+_int_inv_)^G28)/((1+_int_inv_)^G28-1))-(F28*_int_inv_/((1+_int_inv_)^G28-1))</f>
        <v>0</v>
      </c>
      <c r="I28" s="162">
        <f>Data!H360</f>
        <v>4.4999999999999998E-2</v>
      </c>
      <c r="J28" s="109">
        <f>E28*I28*N28</f>
        <v>0</v>
      </c>
      <c r="K28" s="36">
        <f>_tax_ins_</f>
        <v>6.7999999999999996E-3</v>
      </c>
      <c r="L28" s="109">
        <f>E28*K28*N28</f>
        <v>0</v>
      </c>
      <c r="M28" s="109">
        <f>H28+J28+L28</f>
        <v>0</v>
      </c>
      <c r="N28" s="247">
        <v>1</v>
      </c>
      <c r="O28" s="299" t="s">
        <v>167</v>
      </c>
      <c r="P28" s="34"/>
      <c r="Q28" s="34"/>
      <c r="R28" s="34"/>
      <c r="S28" s="34"/>
      <c r="T28" s="34"/>
      <c r="U28" s="34"/>
      <c r="V28" s="34"/>
      <c r="W28" s="34"/>
      <c r="X28" s="34"/>
      <c r="Y28" s="34"/>
      <c r="Z28" s="34"/>
      <c r="AA28" s="34"/>
      <c r="AB28" s="34"/>
      <c r="AC28" s="34"/>
      <c r="AD28" s="34"/>
      <c r="AE28" s="34"/>
      <c r="AF28" s="34"/>
    </row>
    <row r="29" spans="1:32" x14ac:dyDescent="0.3">
      <c r="A29" s="6" t="str">
        <f>Data!A361</f>
        <v>Irrigation Power Unit</v>
      </c>
      <c r="B29" s="163">
        <f>Data!B361</f>
        <v>0</v>
      </c>
      <c r="C29" s="34" t="str">
        <f>Data!C361</f>
        <v>irrig.power</v>
      </c>
      <c r="D29" s="109">
        <f>Data!D361*Data!AX24</f>
        <v>0</v>
      </c>
      <c r="E29" s="109">
        <f>D29*B29*N29</f>
        <v>0</v>
      </c>
      <c r="F29" s="109">
        <f>Data!I361*E29*N29</f>
        <v>0</v>
      </c>
      <c r="G29" s="90">
        <f>Data!F361</f>
        <v>10</v>
      </c>
      <c r="H29" s="112">
        <f>(E29*(_int_inv_*(1+_int_inv_)^G29)/((1+_int_inv_)^G29-1))-(F29*_int_inv_/((1+_int_inv_)^G29-1))</f>
        <v>0</v>
      </c>
      <c r="I29" s="162">
        <f>Data!H361</f>
        <v>4.4999999999999998E-2</v>
      </c>
      <c r="J29" s="109">
        <f>E29*I29*N29</f>
        <v>0</v>
      </c>
      <c r="K29" s="36">
        <f>_tax_ins_</f>
        <v>6.7999999999999996E-3</v>
      </c>
      <c r="L29" s="109">
        <f>E29*K29*N29</f>
        <v>0</v>
      </c>
      <c r="M29" s="109">
        <f>H29+J29+L29</f>
        <v>0</v>
      </c>
      <c r="N29" s="247">
        <v>1</v>
      </c>
      <c r="O29" s="299" t="s">
        <v>167</v>
      </c>
      <c r="P29" s="34"/>
      <c r="Q29" s="34"/>
      <c r="R29" s="34"/>
      <c r="S29" s="34"/>
      <c r="T29" s="34"/>
      <c r="U29" s="34"/>
      <c r="V29" s="34"/>
      <c r="W29" s="34"/>
      <c r="X29" s="34"/>
      <c r="Y29" s="34"/>
      <c r="Z29" s="34"/>
      <c r="AA29" s="34"/>
      <c r="AB29" s="34"/>
      <c r="AC29" s="34"/>
      <c r="AD29" s="34"/>
      <c r="AE29" s="34"/>
      <c r="AF29" s="34"/>
    </row>
    <row r="30" spans="1:32" x14ac:dyDescent="0.3">
      <c r="A30" s="6" t="str">
        <f>Data!A362</f>
        <v>Irrigation PTO Pump</v>
      </c>
      <c r="B30" s="163">
        <f>Data!B362</f>
        <v>0</v>
      </c>
      <c r="C30" s="34" t="str">
        <f>Data!C362</f>
        <v>irrig.pto</v>
      </c>
      <c r="D30" s="109">
        <f>Data!D362*Data!AX24</f>
        <v>0</v>
      </c>
      <c r="E30" s="109">
        <f>D30*B30*N30</f>
        <v>0</v>
      </c>
      <c r="F30" s="109">
        <f>Data!I362*E30*N30</f>
        <v>0</v>
      </c>
      <c r="G30" s="90">
        <f>Data!F362</f>
        <v>10</v>
      </c>
      <c r="H30" s="112">
        <f>(E30*(_int_inv_*(1+_int_inv_)^G30)/((1+_int_inv_)^G30-1))-(F30*_int_inv_/((1+_int_inv_)^G30-1))</f>
        <v>0</v>
      </c>
      <c r="I30" s="162">
        <f>Data!H362</f>
        <v>4.4999999999999998E-2</v>
      </c>
      <c r="J30" s="109">
        <f>E30*I30*N30</f>
        <v>0</v>
      </c>
      <c r="K30" s="36">
        <f>_tax_ins_</f>
        <v>6.7999999999999996E-3</v>
      </c>
      <c r="L30" s="109">
        <f>E30*K30*N30</f>
        <v>0</v>
      </c>
      <c r="M30" s="109">
        <f>H30+J30+L30</f>
        <v>0</v>
      </c>
      <c r="N30" s="247">
        <v>1</v>
      </c>
      <c r="O30" s="299" t="s">
        <v>167</v>
      </c>
      <c r="P30" s="34"/>
      <c r="Q30" s="34"/>
      <c r="R30" s="34"/>
      <c r="S30" s="34"/>
      <c r="T30" s="34"/>
      <c r="U30" s="34"/>
      <c r="V30" s="34"/>
      <c r="W30" s="34"/>
      <c r="X30" s="34"/>
      <c r="Y30" s="34"/>
      <c r="Z30" s="34"/>
      <c r="AA30" s="34"/>
      <c r="AB30" s="34"/>
      <c r="AC30" s="34"/>
      <c r="AD30" s="34"/>
      <c r="AE30" s="34"/>
      <c r="AF30" s="34"/>
    </row>
    <row r="31" spans="1:32" ht="12.75" customHeight="1" x14ac:dyDescent="0.3">
      <c r="A31" s="6" t="str">
        <f>Data!A363</f>
        <v xml:space="preserve">Irrigation Center Pivot </v>
      </c>
      <c r="B31" s="163">
        <f>Data!B363</f>
        <v>0</v>
      </c>
      <c r="C31" s="34" t="str">
        <f>Data!C363</f>
        <v>irrig.cp</v>
      </c>
      <c r="D31" s="109">
        <f>Data!D363*Data!AX24</f>
        <v>0</v>
      </c>
      <c r="E31" s="109">
        <f>D31*B31*N31</f>
        <v>0</v>
      </c>
      <c r="F31" s="109">
        <f>Data!I363*E31*N31</f>
        <v>0</v>
      </c>
      <c r="G31" s="90">
        <f>Data!F363</f>
        <v>10</v>
      </c>
      <c r="H31" s="112">
        <f>(E31*(_int_inv_*(1+_int_inv_)^G31)/((1+_int_inv_)^G31-1))-(F31*_int_inv_/((1+_int_inv_)^G31-1))</f>
        <v>0</v>
      </c>
      <c r="I31" s="162">
        <f>Data!H363</f>
        <v>4.4999999999999998E-2</v>
      </c>
      <c r="J31" s="109">
        <f>E31*I31*N31</f>
        <v>0</v>
      </c>
      <c r="K31" s="36">
        <f>_tax_ins_</f>
        <v>6.7999999999999996E-3</v>
      </c>
      <c r="L31" s="109">
        <f>E31*K31*N31</f>
        <v>0</v>
      </c>
      <c r="M31" s="109">
        <f>H31+J31+L31</f>
        <v>0</v>
      </c>
      <c r="N31" s="247">
        <v>1</v>
      </c>
      <c r="O31" s="299" t="s">
        <v>167</v>
      </c>
      <c r="P31" s="34"/>
      <c r="Q31" s="34"/>
      <c r="R31" s="34"/>
      <c r="S31" s="34"/>
      <c r="T31" s="34"/>
      <c r="U31" s="34"/>
      <c r="V31" s="34"/>
      <c r="W31" s="34"/>
    </row>
    <row r="32" spans="1:32" x14ac:dyDescent="0.3">
      <c r="B32" s="33"/>
      <c r="C32" s="34"/>
      <c r="D32" s="109"/>
      <c r="E32" s="109"/>
      <c r="F32" s="109"/>
      <c r="G32" s="34"/>
      <c r="H32" s="109"/>
      <c r="I32" s="35"/>
      <c r="J32" s="109"/>
      <c r="K32" s="36"/>
      <c r="L32" s="109"/>
      <c r="M32" s="109"/>
      <c r="N32" s="34"/>
      <c r="O32" s="34"/>
      <c r="P32" s="34"/>
      <c r="Q32" s="34"/>
      <c r="R32" s="34"/>
      <c r="S32" s="34"/>
      <c r="T32" s="34"/>
      <c r="U32" s="34"/>
      <c r="V32" s="34"/>
      <c r="W32" s="34"/>
    </row>
    <row r="33" spans="1:23" x14ac:dyDescent="0.3">
      <c r="A33" s="14" t="s">
        <v>9</v>
      </c>
      <c r="B33" s="33"/>
      <c r="C33" s="34"/>
      <c r="D33" s="109"/>
      <c r="E33" s="109"/>
      <c r="F33" s="109"/>
      <c r="G33" s="34"/>
      <c r="H33" s="109"/>
      <c r="I33" s="35"/>
      <c r="J33" s="109"/>
      <c r="K33" s="36"/>
      <c r="L33" s="109"/>
      <c r="M33" s="109"/>
      <c r="N33" s="34"/>
      <c r="O33" s="34"/>
      <c r="P33" s="34"/>
      <c r="Q33" s="34"/>
      <c r="R33" s="34"/>
      <c r="S33" s="34"/>
      <c r="T33" s="34"/>
      <c r="U33" s="34"/>
      <c r="V33" s="34"/>
      <c r="W33" s="34"/>
    </row>
    <row r="34" spans="1:23" x14ac:dyDescent="0.3">
      <c r="A34" s="6" t="str">
        <f>Data!A391</f>
        <v>Broccoli Harvester</v>
      </c>
      <c r="B34" s="33">
        <f>Data!B391</f>
        <v>0</v>
      </c>
      <c r="C34" s="34" t="str">
        <f>Data!C391</f>
        <v>harvester</v>
      </c>
      <c r="D34" s="109">
        <f>Data!D391*Data!D24</f>
        <v>0</v>
      </c>
      <c r="E34" s="109">
        <f>D34*B34</f>
        <v>0</v>
      </c>
      <c r="F34" s="109">
        <f>Data!I391*E34</f>
        <v>0</v>
      </c>
      <c r="G34" s="60">
        <f>Data!F391</f>
        <v>8</v>
      </c>
      <c r="H34" s="109">
        <f>(E34*(_int_inv_*(1+_int_inv_)^G34)/((1+_int_inv_)^G34-1))-(F34*_int_inv_/((1+_int_inv_)^G34-1))</f>
        <v>0</v>
      </c>
      <c r="I34" s="35">
        <f>Data!H391</f>
        <v>4.4999999999999998E-2</v>
      </c>
      <c r="J34" s="109">
        <f>E34*I34</f>
        <v>0</v>
      </c>
      <c r="K34" s="36">
        <f>_tax_ins_</f>
        <v>6.7999999999999996E-3</v>
      </c>
      <c r="L34" s="109">
        <f>E34*K34</f>
        <v>0</v>
      </c>
      <c r="M34" s="109">
        <f>H34+J34+L34</f>
        <v>0</v>
      </c>
      <c r="N34" s="34"/>
      <c r="O34" s="34"/>
      <c r="P34" s="34"/>
      <c r="Q34" s="34"/>
      <c r="R34" s="34"/>
      <c r="S34" s="34"/>
      <c r="T34" s="34"/>
      <c r="U34" s="34"/>
      <c r="V34" s="34"/>
      <c r="W34" s="34"/>
    </row>
    <row r="35" spans="1:23" x14ac:dyDescent="0.3">
      <c r="A35" s="6"/>
      <c r="B35" s="33"/>
      <c r="C35" s="34"/>
      <c r="D35" s="109"/>
      <c r="E35" s="109"/>
      <c r="F35" s="109"/>
      <c r="G35" s="34"/>
      <c r="H35" s="109"/>
      <c r="I35" s="35"/>
      <c r="J35" s="109"/>
      <c r="K35" s="36"/>
      <c r="L35" s="109"/>
      <c r="M35" s="109"/>
      <c r="N35" s="34"/>
      <c r="O35" s="34"/>
      <c r="P35" s="34"/>
      <c r="Q35" s="34"/>
      <c r="R35" s="34"/>
      <c r="S35" s="34"/>
      <c r="T35" s="34"/>
      <c r="U35" s="34"/>
      <c r="V35" s="34"/>
      <c r="W35" s="34"/>
    </row>
    <row r="36" spans="1:23" x14ac:dyDescent="0.3">
      <c r="A36" s="14" t="s">
        <v>357</v>
      </c>
      <c r="B36" s="33"/>
      <c r="C36" s="34"/>
      <c r="D36" s="109"/>
      <c r="E36" s="109"/>
      <c r="F36" s="109"/>
      <c r="G36" s="34"/>
      <c r="H36" s="109"/>
      <c r="I36" s="35"/>
      <c r="J36" s="109"/>
      <c r="K36" s="36"/>
      <c r="L36" s="109"/>
      <c r="M36" s="109"/>
    </row>
    <row r="37" spans="1:23" x14ac:dyDescent="0.3">
      <c r="A37" s="6" t="str">
        <f>Data!A395</f>
        <v>Fuel Tanks - SMALL SIZE</v>
      </c>
      <c r="B37" s="33">
        <f>Data!B395</f>
        <v>0</v>
      </c>
      <c r="C37" s="34" t="str">
        <f>Data!C395</f>
        <v>fuel tank</v>
      </c>
      <c r="D37" s="109">
        <f>Data!D395*Data!H24</f>
        <v>0</v>
      </c>
      <c r="E37" s="109">
        <f>D37*B37</f>
        <v>0</v>
      </c>
      <c r="F37" s="109">
        <f>Data!I395*E37</f>
        <v>0</v>
      </c>
      <c r="G37" s="60">
        <f>Data!F395</f>
        <v>50</v>
      </c>
      <c r="H37" s="109">
        <f>(E37*(_int_inv_*(1+_int_inv_)^G37)/((1+_int_inv_)^G37-1))-(F37*_int_inv_/((1+_int_inv_)^G37-1))</f>
        <v>0</v>
      </c>
      <c r="I37" s="35">
        <f>Data!H395</f>
        <v>0.02</v>
      </c>
      <c r="J37" s="104">
        <f>E37*I37</f>
        <v>0</v>
      </c>
      <c r="K37" s="36">
        <f>_tax_ins_</f>
        <v>6.7999999999999996E-3</v>
      </c>
      <c r="L37" s="104">
        <f>E37*K37</f>
        <v>0</v>
      </c>
      <c r="M37" s="109">
        <f>H37+J37+L37</f>
        <v>0</v>
      </c>
    </row>
    <row r="38" spans="1:23" x14ac:dyDescent="0.3">
      <c r="A38" s="6" t="str">
        <f>Data!A396</f>
        <v>Shop Tools - SMALL SIZE</v>
      </c>
      <c r="B38" s="33">
        <f>Data!B396</f>
        <v>0</v>
      </c>
      <c r="C38" s="34" t="str">
        <f>Data!C396</f>
        <v>shop tools</v>
      </c>
      <c r="D38" s="109">
        <f>Data!D396*Data!H24</f>
        <v>0</v>
      </c>
      <c r="E38" s="109">
        <f>D38*B38</f>
        <v>0</v>
      </c>
      <c r="F38" s="109">
        <f>Data!I396*E38</f>
        <v>0</v>
      </c>
      <c r="G38" s="60">
        <f>Data!F396</f>
        <v>50</v>
      </c>
      <c r="H38" s="109">
        <f>(E38*(_int_inv_*(1+_int_inv_)^G38)/((1+_int_inv_)^G38-1))-(F38*_int_inv_/((1+_int_inv_)^G38-1))</f>
        <v>0</v>
      </c>
      <c r="I38" s="35">
        <f>Data!H396</f>
        <v>0.02</v>
      </c>
      <c r="J38" s="109">
        <f>E38*I38</f>
        <v>0</v>
      </c>
      <c r="K38" s="36">
        <f>_tax_ins_</f>
        <v>6.7999999999999996E-3</v>
      </c>
      <c r="L38" s="104">
        <f>E38*K38</f>
        <v>0</v>
      </c>
      <c r="M38" s="109">
        <f>H38+J38+L38</f>
        <v>0</v>
      </c>
    </row>
    <row r="39" spans="1:23" x14ac:dyDescent="0.3">
      <c r="A39" s="6"/>
      <c r="B39" s="33"/>
      <c r="C39" s="34"/>
      <c r="D39" s="109"/>
      <c r="E39" s="109"/>
      <c r="F39" s="109"/>
      <c r="G39" s="34"/>
      <c r="H39" s="109"/>
      <c r="I39" s="35"/>
      <c r="J39" s="109"/>
      <c r="K39" s="36"/>
      <c r="L39" s="109"/>
      <c r="M39" s="109"/>
      <c r="N39" s="34"/>
      <c r="O39" s="34"/>
      <c r="P39" s="34"/>
      <c r="Q39" s="34"/>
      <c r="R39" s="34"/>
      <c r="S39" s="34"/>
      <c r="T39" s="34"/>
      <c r="U39" s="34"/>
      <c r="V39" s="34"/>
      <c r="W39" s="34"/>
    </row>
    <row r="40" spans="1:23" x14ac:dyDescent="0.3">
      <c r="A40" s="14" t="s">
        <v>237</v>
      </c>
      <c r="B40" s="33"/>
      <c r="C40" s="350">
        <v>0</v>
      </c>
      <c r="D40" s="351" t="s">
        <v>904</v>
      </c>
      <c r="E40" s="352"/>
      <c r="F40" s="355"/>
      <c r="G40" s="34"/>
      <c r="H40" s="109"/>
      <c r="I40" s="35"/>
      <c r="J40" s="109"/>
      <c r="K40" s="36"/>
      <c r="L40" s="109"/>
      <c r="M40" s="109"/>
      <c r="N40" s="34"/>
      <c r="O40" s="34"/>
      <c r="P40" s="34"/>
      <c r="Q40" s="34"/>
      <c r="R40" s="34"/>
      <c r="S40" s="34"/>
      <c r="T40" s="34"/>
      <c r="U40" s="34"/>
      <c r="V40" s="34"/>
      <c r="W40" s="34"/>
    </row>
    <row r="41" spans="1:23" x14ac:dyDescent="0.3">
      <c r="A41" s="6"/>
      <c r="B41" s="33"/>
      <c r="C41" s="34"/>
      <c r="D41" s="109"/>
      <c r="E41" s="109"/>
      <c r="F41" s="109"/>
      <c r="G41" s="34"/>
      <c r="H41" s="109"/>
      <c r="I41" s="35"/>
      <c r="J41" s="109"/>
      <c r="K41" s="36"/>
      <c r="L41" s="109"/>
      <c r="M41" s="109"/>
      <c r="N41" s="34"/>
      <c r="O41" s="34"/>
      <c r="P41" s="34"/>
      <c r="Q41" s="34"/>
      <c r="R41" s="34"/>
      <c r="S41" s="34"/>
      <c r="T41" s="34"/>
      <c r="U41" s="34"/>
      <c r="V41" s="34"/>
      <c r="W41" s="34"/>
    </row>
    <row r="42" spans="1:23" x14ac:dyDescent="0.3">
      <c r="A42" s="14" t="s">
        <v>12</v>
      </c>
      <c r="B42" s="84">
        <f>Data!B116</f>
        <v>0</v>
      </c>
      <c r="C42" s="868" t="str">
        <f>Data!H51</f>
        <v>acre(s)</v>
      </c>
      <c r="D42" s="109">
        <f>Data!F61</f>
        <v>1000</v>
      </c>
      <c r="E42" s="109">
        <f>D42*B42</f>
        <v>0</v>
      </c>
      <c r="F42" s="864" t="s">
        <v>45</v>
      </c>
      <c r="G42" s="865" t="s">
        <v>45</v>
      </c>
      <c r="H42" s="109">
        <f>E42*_int_inv_</f>
        <v>0</v>
      </c>
      <c r="I42" s="35">
        <f>Data!H61</f>
        <v>0.01</v>
      </c>
      <c r="J42" s="109">
        <f>E42*I42</f>
        <v>0</v>
      </c>
      <c r="K42" s="36">
        <f>_tax_ins_</f>
        <v>6.7999999999999996E-3</v>
      </c>
      <c r="L42" s="109">
        <f>E42*K42</f>
        <v>0</v>
      </c>
      <c r="M42" s="109">
        <f>H42+J42+L42</f>
        <v>0</v>
      </c>
      <c r="N42" s="34"/>
      <c r="O42" s="34"/>
      <c r="P42" s="34"/>
      <c r="Q42" s="34"/>
      <c r="R42" s="34"/>
      <c r="S42" s="34"/>
      <c r="T42" s="34"/>
      <c r="U42" s="34"/>
      <c r="V42" s="34"/>
      <c r="W42" s="34"/>
    </row>
    <row r="43" spans="1:23" x14ac:dyDescent="0.3">
      <c r="B43" s="33"/>
      <c r="C43" s="34"/>
      <c r="D43" s="109"/>
      <c r="E43" s="109"/>
      <c r="F43" s="109"/>
      <c r="G43" s="38"/>
      <c r="H43" s="109"/>
      <c r="I43" s="35"/>
      <c r="J43" s="109"/>
      <c r="K43" s="36"/>
      <c r="L43" s="109"/>
      <c r="M43" s="109"/>
      <c r="N43" s="34"/>
      <c r="O43" s="34"/>
      <c r="P43" s="34"/>
      <c r="Q43" s="34"/>
      <c r="R43" s="34"/>
      <c r="S43" s="34"/>
      <c r="T43" s="34"/>
      <c r="U43" s="34"/>
      <c r="V43" s="34"/>
      <c r="W43" s="34"/>
    </row>
    <row r="44" spans="1:23" x14ac:dyDescent="0.3">
      <c r="A44" s="14" t="s">
        <v>1229</v>
      </c>
      <c r="B44" s="33"/>
      <c r="C44" s="34"/>
      <c r="D44" s="109"/>
      <c r="E44" s="109"/>
      <c r="F44" s="109"/>
      <c r="G44" s="34"/>
      <c r="H44" s="109"/>
      <c r="I44" s="35"/>
      <c r="J44" s="109"/>
      <c r="K44" s="36"/>
      <c r="L44" s="110"/>
      <c r="M44" s="109"/>
      <c r="N44" s="34"/>
      <c r="O44" s="34"/>
      <c r="P44" s="34"/>
      <c r="Q44" s="34"/>
      <c r="R44" s="34"/>
      <c r="S44" s="34"/>
      <c r="T44" s="34"/>
      <c r="U44" s="34"/>
      <c r="V44" s="34"/>
      <c r="W44" s="34"/>
    </row>
    <row r="45" spans="1:23" x14ac:dyDescent="0.3">
      <c r="A45" s="6" t="str">
        <f>Data!A495</f>
        <v>Shop/Loading Shed - SMALL SIZE</v>
      </c>
      <c r="B45" s="33">
        <f>Data!B495</f>
        <v>0</v>
      </c>
      <c r="C45" s="34" t="str">
        <f>Data!C495</f>
        <v>building</v>
      </c>
      <c r="D45" s="109">
        <f>Data!D495*Data!H24</f>
        <v>0</v>
      </c>
      <c r="E45" s="109">
        <f>D45*B45</f>
        <v>0</v>
      </c>
      <c r="F45" s="109">
        <f>Data!I495*E45</f>
        <v>0</v>
      </c>
      <c r="G45" s="34">
        <f>Data!F495</f>
        <v>33</v>
      </c>
      <c r="H45" s="109">
        <f>(E45*(_int_inv_*(1+_int_inv_)^G45)/((1+_int_inv_)^G45-1))-(F45*_int_inv_/((1+_int_inv_)^G45-1))</f>
        <v>0</v>
      </c>
      <c r="I45" s="35">
        <f>Data!H495</f>
        <v>0.01</v>
      </c>
      <c r="J45" s="109">
        <f>E45*I45</f>
        <v>0</v>
      </c>
      <c r="K45" s="36">
        <f>_tax_ins_</f>
        <v>6.7999999999999996E-3</v>
      </c>
      <c r="L45" s="109">
        <f>E45*K45</f>
        <v>0</v>
      </c>
      <c r="M45" s="109">
        <f>H45+J45+L45</f>
        <v>0</v>
      </c>
    </row>
    <row r="46" spans="1:23" x14ac:dyDescent="0.3">
      <c r="A46" s="6"/>
      <c r="B46" s="33"/>
      <c r="C46" s="34"/>
      <c r="D46" s="109"/>
      <c r="E46" s="109"/>
      <c r="F46" s="109"/>
      <c r="G46" s="34"/>
      <c r="H46" s="109"/>
      <c r="I46" s="35"/>
      <c r="J46" s="109"/>
      <c r="K46" s="36"/>
      <c r="L46" s="109"/>
      <c r="M46" s="109"/>
      <c r="N46" s="34"/>
      <c r="O46" s="34"/>
      <c r="P46" s="34"/>
      <c r="Q46" s="34"/>
      <c r="R46" s="34"/>
    </row>
    <row r="47" spans="1:23" ht="12.75" customHeight="1" x14ac:dyDescent="0.3">
      <c r="A47" s="14" t="s">
        <v>514</v>
      </c>
      <c r="B47" s="351" t="s">
        <v>516</v>
      </c>
      <c r="C47" s="351"/>
      <c r="D47" s="351"/>
      <c r="E47" s="351"/>
      <c r="F47" s="351"/>
      <c r="G47" s="351"/>
      <c r="H47" s="351"/>
      <c r="I47" s="351"/>
      <c r="J47" s="109"/>
      <c r="K47" s="36"/>
      <c r="L47" s="109"/>
      <c r="M47" s="109"/>
      <c r="N47" s="34"/>
      <c r="O47" s="34"/>
      <c r="P47" s="34"/>
      <c r="Q47" s="34"/>
      <c r="R47" s="34"/>
      <c r="S47" s="34"/>
      <c r="T47" s="34"/>
      <c r="U47" s="34"/>
      <c r="V47" s="34"/>
    </row>
    <row r="48" spans="1:23" ht="12.75" customHeight="1" x14ac:dyDescent="0.3">
      <c r="A48" s="14" t="s">
        <v>515</v>
      </c>
      <c r="B48" s="351" t="s">
        <v>517</v>
      </c>
      <c r="C48" s="351"/>
      <c r="D48" s="351"/>
      <c r="E48" s="351"/>
      <c r="F48" s="351"/>
      <c r="G48" s="351"/>
      <c r="H48" s="351"/>
      <c r="I48" s="351"/>
      <c r="J48" s="109"/>
      <c r="K48" s="36"/>
      <c r="L48" s="109"/>
      <c r="M48" s="109"/>
      <c r="N48" s="34"/>
      <c r="O48" s="34"/>
      <c r="P48" s="34"/>
      <c r="Q48" s="34"/>
      <c r="R48" s="34"/>
      <c r="S48" s="34"/>
      <c r="T48" s="34"/>
      <c r="U48" s="34"/>
      <c r="V48" s="34"/>
    </row>
    <row r="49" spans="1:23" x14ac:dyDescent="0.3">
      <c r="A49" s="6"/>
      <c r="B49" s="33"/>
      <c r="C49" s="34"/>
      <c r="D49" s="109"/>
      <c r="E49" s="109"/>
      <c r="F49" s="109"/>
      <c r="G49" s="34"/>
      <c r="H49" s="109"/>
      <c r="I49" s="35"/>
      <c r="J49" s="109"/>
      <c r="K49" s="36"/>
      <c r="L49" s="109"/>
      <c r="M49" s="109"/>
      <c r="N49" s="34"/>
      <c r="O49" s="34"/>
      <c r="P49" s="34"/>
      <c r="Q49" s="34"/>
      <c r="R49" s="34"/>
    </row>
    <row r="50" spans="1:23" x14ac:dyDescent="0.3">
      <c r="A50" s="14" t="s">
        <v>19</v>
      </c>
      <c r="B50" s="865" t="s">
        <v>45</v>
      </c>
      <c r="C50" s="864" t="s">
        <v>45</v>
      </c>
      <c r="D50" s="864" t="s">
        <v>45</v>
      </c>
      <c r="E50" s="864" t="s">
        <v>45</v>
      </c>
      <c r="F50" s="864" t="s">
        <v>45</v>
      </c>
      <c r="G50" s="865" t="s">
        <v>45</v>
      </c>
      <c r="H50" s="864" t="s">
        <v>45</v>
      </c>
      <c r="I50" s="865" t="s">
        <v>45</v>
      </c>
      <c r="J50" s="864" t="s">
        <v>45</v>
      </c>
      <c r="K50" s="865" t="s">
        <v>45</v>
      </c>
      <c r="L50" s="864" t="s">
        <v>45</v>
      </c>
      <c r="M50" s="864" t="s">
        <v>45</v>
      </c>
      <c r="N50" s="34"/>
      <c r="O50" s="34"/>
      <c r="P50" s="34"/>
      <c r="Q50" s="34"/>
      <c r="R50" s="34"/>
      <c r="S50" s="34"/>
      <c r="T50" s="34"/>
      <c r="U50" s="34"/>
      <c r="V50" s="34"/>
      <c r="W50" s="34"/>
    </row>
    <row r="51" spans="1:23" x14ac:dyDescent="0.3">
      <c r="A51" s="14"/>
      <c r="B51" s="33"/>
      <c r="C51" s="34"/>
      <c r="D51" s="109"/>
      <c r="E51" s="109"/>
      <c r="F51" s="109"/>
      <c r="G51" s="34"/>
      <c r="H51" s="109"/>
      <c r="I51" s="35"/>
      <c r="J51" s="109"/>
      <c r="K51" s="35"/>
      <c r="L51" s="110"/>
      <c r="M51" s="109"/>
      <c r="N51" s="34"/>
      <c r="O51" s="34"/>
      <c r="P51" s="34"/>
      <c r="Q51" s="34"/>
      <c r="R51" s="34"/>
      <c r="S51" s="34"/>
      <c r="T51" s="34"/>
      <c r="U51" s="34"/>
      <c r="V51" s="34"/>
      <c r="W51" s="34"/>
    </row>
    <row r="52" spans="1:23" x14ac:dyDescent="0.3">
      <c r="A52" s="14" t="s">
        <v>64</v>
      </c>
      <c r="B52" s="865" t="s">
        <v>45</v>
      </c>
      <c r="C52" s="864" t="s">
        <v>45</v>
      </c>
      <c r="D52" s="866">
        <v>0</v>
      </c>
      <c r="E52" s="866">
        <v>0</v>
      </c>
      <c r="F52" s="866">
        <v>0</v>
      </c>
      <c r="G52" s="247">
        <v>1</v>
      </c>
      <c r="H52" s="109">
        <f>(E52*(_int_inv_*(1+_int_inv_)^G52)/((1+_int_inv_)^G52-1))-(F52*_int_inv_/((1+_int_inv_)^G52-1))</f>
        <v>0</v>
      </c>
      <c r="I52" s="251">
        <v>0.01</v>
      </c>
      <c r="J52" s="109">
        <f>E52*I52</f>
        <v>0</v>
      </c>
      <c r="K52" s="36">
        <f>_tax_ins_</f>
        <v>6.7999999999999996E-3</v>
      </c>
      <c r="L52" s="109">
        <f>E52*K52</f>
        <v>0</v>
      </c>
      <c r="M52" s="109">
        <f>H52+J52+L52</f>
        <v>0</v>
      </c>
      <c r="N52" s="34"/>
      <c r="O52" s="34"/>
      <c r="P52" s="34"/>
      <c r="Q52" s="34"/>
      <c r="R52" s="34"/>
      <c r="S52" s="34"/>
      <c r="T52" s="34"/>
      <c r="U52" s="34"/>
      <c r="V52" s="34"/>
      <c r="W52" s="34"/>
    </row>
    <row r="53" spans="1:23" x14ac:dyDescent="0.3">
      <c r="B53" s="33"/>
      <c r="C53" s="34"/>
      <c r="D53" s="109"/>
      <c r="E53" s="109"/>
      <c r="F53" s="109"/>
      <c r="G53" s="34"/>
      <c r="H53" s="109"/>
      <c r="I53" s="35"/>
      <c r="J53" s="110"/>
      <c r="K53" s="35"/>
      <c r="L53" s="110"/>
      <c r="M53" s="109"/>
      <c r="N53" s="34"/>
      <c r="O53" s="34"/>
      <c r="P53" s="34"/>
      <c r="Q53" s="34"/>
      <c r="R53" s="34"/>
      <c r="S53" s="34"/>
      <c r="T53" s="34"/>
      <c r="U53" s="34"/>
      <c r="V53" s="34"/>
      <c r="W53" s="34"/>
    </row>
    <row r="54" spans="1:23" ht="13.5" x14ac:dyDescent="0.35">
      <c r="A54" s="1" t="s">
        <v>68</v>
      </c>
      <c r="B54" s="33"/>
      <c r="C54" s="34"/>
      <c r="D54" s="109"/>
      <c r="E54" s="109">
        <f>SUM(E7:E52)</f>
        <v>0</v>
      </c>
      <c r="F54" s="109">
        <f>SUM(F7:F52)</f>
        <v>0</v>
      </c>
      <c r="G54" s="34"/>
      <c r="H54" s="109">
        <f>SUM(H7:H52)</f>
        <v>0</v>
      </c>
      <c r="I54" s="35"/>
      <c r="J54" s="109">
        <f>SUM(J7:J52)</f>
        <v>0</v>
      </c>
      <c r="K54" s="35"/>
      <c r="L54" s="109">
        <f>SUM(L7:L52)</f>
        <v>0</v>
      </c>
      <c r="M54" s="109">
        <f>SUM(M7:M52)</f>
        <v>0</v>
      </c>
      <c r="N54" s="34"/>
      <c r="O54" s="34"/>
      <c r="P54" s="34"/>
      <c r="Q54" s="34"/>
      <c r="R54" s="34"/>
      <c r="S54" s="34"/>
      <c r="T54" s="34"/>
      <c r="U54" s="34"/>
      <c r="V54" s="34"/>
      <c r="W54" s="34"/>
    </row>
    <row r="55" spans="1:23" x14ac:dyDescent="0.3">
      <c r="B55" s="33"/>
      <c r="C55" s="34"/>
      <c r="D55" s="109"/>
      <c r="E55" s="109"/>
      <c r="F55" s="109"/>
      <c r="G55" s="34"/>
      <c r="H55" s="112"/>
      <c r="I55" s="35"/>
      <c r="J55" s="34"/>
      <c r="K55" s="35"/>
      <c r="L55" s="110"/>
      <c r="M55" s="109"/>
      <c r="N55" s="34"/>
      <c r="O55" s="34"/>
      <c r="P55" s="34"/>
      <c r="Q55" s="34"/>
      <c r="R55" s="34"/>
      <c r="S55" s="34"/>
      <c r="T55" s="34"/>
      <c r="U55" s="34"/>
      <c r="V55" s="34"/>
      <c r="W55" s="34"/>
    </row>
    <row r="56" spans="1:23" x14ac:dyDescent="0.3">
      <c r="B56" s="33"/>
      <c r="C56" s="34"/>
      <c r="D56" s="109"/>
      <c r="E56" s="109"/>
      <c r="F56" s="109"/>
      <c r="G56" s="34"/>
      <c r="H56" s="32"/>
      <c r="I56" s="35"/>
      <c r="J56" s="34"/>
      <c r="K56" s="35"/>
      <c r="L56" s="110"/>
      <c r="M56" s="109"/>
      <c r="N56" s="34"/>
      <c r="O56" s="34"/>
      <c r="P56" s="34"/>
      <c r="Q56" s="34"/>
      <c r="R56" s="34"/>
      <c r="S56" s="34"/>
      <c r="T56" s="34"/>
      <c r="U56" s="34"/>
      <c r="V56" s="34"/>
      <c r="W56" s="34"/>
    </row>
    <row r="57" spans="1:23" x14ac:dyDescent="0.3">
      <c r="B57" s="33"/>
      <c r="C57" s="34"/>
      <c r="D57" s="134" t="s">
        <v>136</v>
      </c>
      <c r="E57" s="109"/>
      <c r="F57" s="109"/>
      <c r="G57" s="34"/>
      <c r="H57" s="32"/>
      <c r="I57" s="35"/>
      <c r="J57" s="34"/>
      <c r="K57" s="35"/>
      <c r="L57" s="34"/>
      <c r="M57" s="32"/>
      <c r="N57" s="34"/>
      <c r="O57" s="34"/>
      <c r="P57" s="34"/>
      <c r="Q57" s="34"/>
      <c r="R57" s="34"/>
      <c r="S57" s="34"/>
      <c r="T57" s="34"/>
      <c r="U57" s="34"/>
      <c r="V57" s="34"/>
      <c r="W57" s="34"/>
    </row>
    <row r="58" spans="1:23" x14ac:dyDescent="0.3">
      <c r="B58" s="33"/>
      <c r="C58" s="34"/>
      <c r="D58" s="110" t="s">
        <v>618</v>
      </c>
      <c r="E58" s="109">
        <f>SUM(E7:E41)</f>
        <v>0</v>
      </c>
      <c r="F58" s="109"/>
      <c r="G58" s="34"/>
      <c r="H58" s="32"/>
      <c r="I58" s="35"/>
      <c r="J58" s="34"/>
      <c r="K58" s="35"/>
      <c r="L58" s="34"/>
      <c r="M58" s="32"/>
      <c r="N58" s="34"/>
      <c r="O58" s="34"/>
      <c r="P58" s="34"/>
      <c r="Q58" s="34"/>
      <c r="R58" s="34"/>
      <c r="S58" s="34"/>
      <c r="T58" s="34"/>
      <c r="U58" s="34"/>
      <c r="V58" s="34"/>
      <c r="W58" s="34"/>
    </row>
    <row r="59" spans="1:23" x14ac:dyDescent="0.3">
      <c r="B59" s="33"/>
      <c r="C59" s="34"/>
      <c r="D59" s="110" t="s">
        <v>619</v>
      </c>
      <c r="E59" s="109">
        <f>SUM(E42:E43)</f>
        <v>0</v>
      </c>
      <c r="F59" s="109"/>
      <c r="G59" s="34"/>
      <c r="H59" s="32"/>
      <c r="I59" s="35"/>
      <c r="J59" s="34"/>
      <c r="K59" s="35"/>
      <c r="L59" s="34"/>
      <c r="M59" s="32"/>
      <c r="N59" s="34"/>
      <c r="O59" s="34"/>
      <c r="P59" s="34"/>
      <c r="Q59" s="34"/>
      <c r="R59" s="34"/>
      <c r="S59" s="34"/>
      <c r="T59" s="34"/>
      <c r="U59" s="34"/>
      <c r="V59" s="34"/>
      <c r="W59" s="34"/>
    </row>
    <row r="60" spans="1:23" x14ac:dyDescent="0.3">
      <c r="B60" s="33"/>
      <c r="C60" s="34"/>
      <c r="D60" s="127" t="s">
        <v>620</v>
      </c>
      <c r="E60" s="111">
        <f>SUM(E45:E46)</f>
        <v>0</v>
      </c>
      <c r="F60" s="109"/>
      <c r="G60" s="34"/>
      <c r="H60" s="32"/>
      <c r="I60" s="34"/>
      <c r="J60" s="34"/>
      <c r="K60" s="35"/>
      <c r="L60" s="34"/>
      <c r="M60" s="32"/>
      <c r="N60" s="34"/>
      <c r="O60" s="34"/>
      <c r="P60" s="34"/>
      <c r="Q60" s="34"/>
      <c r="R60" s="34"/>
      <c r="S60" s="34"/>
      <c r="T60" s="34"/>
      <c r="U60" s="34"/>
      <c r="V60" s="34"/>
      <c r="W60" s="34"/>
    </row>
    <row r="61" spans="1:23" x14ac:dyDescent="0.3">
      <c r="B61" s="33"/>
      <c r="C61" s="34"/>
      <c r="D61" s="135" t="s">
        <v>621</v>
      </c>
      <c r="E61" s="109">
        <f>SUM(E58:E60)</f>
        <v>0</v>
      </c>
      <c r="F61" s="109"/>
      <c r="G61" s="34"/>
      <c r="H61" s="32"/>
      <c r="I61" s="34"/>
      <c r="J61" s="34"/>
      <c r="K61" s="35"/>
      <c r="L61" s="34"/>
      <c r="M61" s="32"/>
      <c r="N61" s="34"/>
      <c r="O61" s="34"/>
      <c r="P61" s="34"/>
      <c r="Q61" s="34"/>
      <c r="R61" s="34"/>
      <c r="S61" s="34"/>
      <c r="T61" s="34"/>
      <c r="U61" s="34"/>
      <c r="V61" s="34"/>
      <c r="W61" s="34"/>
    </row>
    <row r="62" spans="1:23" x14ac:dyDescent="0.3">
      <c r="B62" s="33"/>
      <c r="C62" s="34"/>
      <c r="D62" s="32"/>
      <c r="E62" s="32"/>
      <c r="F62" s="32"/>
      <c r="G62" s="34"/>
      <c r="H62" s="32"/>
      <c r="I62" s="34"/>
      <c r="J62" s="34"/>
      <c r="K62" s="35"/>
      <c r="L62" s="34"/>
      <c r="M62" s="32"/>
      <c r="N62" s="34"/>
      <c r="O62" s="34"/>
      <c r="P62" s="34"/>
      <c r="Q62" s="34"/>
      <c r="R62" s="34"/>
      <c r="S62" s="34"/>
      <c r="T62" s="34"/>
      <c r="U62" s="34"/>
      <c r="V62" s="34"/>
      <c r="W62" s="34"/>
    </row>
    <row r="63" spans="1:23" x14ac:dyDescent="0.3">
      <c r="B63" s="33"/>
      <c r="C63" s="34"/>
      <c r="D63" s="32"/>
      <c r="E63" s="32"/>
      <c r="F63" s="32"/>
      <c r="G63" s="34"/>
      <c r="H63" s="32"/>
      <c r="I63" s="34"/>
      <c r="J63" s="34"/>
      <c r="K63" s="35"/>
      <c r="L63" s="34"/>
      <c r="M63" s="32"/>
      <c r="N63" s="34"/>
      <c r="O63" s="34"/>
      <c r="P63" s="34"/>
      <c r="Q63" s="34"/>
      <c r="R63" s="34"/>
      <c r="S63" s="34"/>
      <c r="T63" s="34"/>
      <c r="U63" s="34"/>
      <c r="V63" s="34"/>
      <c r="W63" s="34"/>
    </row>
    <row r="64" spans="1:23" x14ac:dyDescent="0.3">
      <c r="B64" s="33"/>
      <c r="C64" s="34"/>
      <c r="D64" s="32"/>
      <c r="E64" s="32"/>
      <c r="F64" s="32"/>
      <c r="G64" s="34"/>
      <c r="H64" s="32"/>
      <c r="I64" s="34"/>
      <c r="J64" s="34"/>
      <c r="K64" s="35"/>
      <c r="L64" s="34"/>
      <c r="M64" s="32"/>
      <c r="N64" s="34"/>
      <c r="O64" s="34"/>
      <c r="P64" s="34"/>
      <c r="Q64" s="34"/>
      <c r="R64" s="34"/>
      <c r="S64" s="34"/>
      <c r="T64" s="34"/>
      <c r="U64" s="34"/>
      <c r="V64" s="34"/>
      <c r="W64" s="34"/>
    </row>
    <row r="65" spans="2:23" x14ac:dyDescent="0.3">
      <c r="B65" s="33"/>
      <c r="C65" s="34"/>
      <c r="D65" s="32"/>
      <c r="E65" s="32"/>
      <c r="F65" s="32"/>
      <c r="G65" s="34"/>
      <c r="H65" s="32"/>
      <c r="I65" s="34"/>
      <c r="J65" s="34"/>
      <c r="K65" s="35"/>
      <c r="L65" s="34"/>
      <c r="M65" s="32"/>
      <c r="N65" s="34"/>
      <c r="O65" s="34"/>
      <c r="P65" s="34"/>
      <c r="Q65" s="34"/>
      <c r="R65" s="34"/>
      <c r="S65" s="34"/>
      <c r="T65" s="34"/>
      <c r="U65" s="34"/>
      <c r="V65" s="34"/>
      <c r="W65" s="34"/>
    </row>
    <row r="66" spans="2:23" x14ac:dyDescent="0.3">
      <c r="B66" s="33"/>
      <c r="C66" s="34"/>
      <c r="D66" s="32"/>
      <c r="E66" s="32"/>
      <c r="F66" s="32"/>
      <c r="G66" s="34"/>
      <c r="H66" s="32"/>
      <c r="I66" s="34"/>
      <c r="J66" s="34"/>
      <c r="K66" s="35"/>
      <c r="L66" s="34"/>
      <c r="M66" s="32"/>
      <c r="N66" s="34"/>
      <c r="O66" s="34"/>
      <c r="P66" s="34"/>
      <c r="Q66" s="34"/>
      <c r="R66" s="34"/>
      <c r="S66" s="34"/>
      <c r="T66" s="34"/>
      <c r="U66" s="34"/>
      <c r="V66" s="34"/>
      <c r="W66" s="34"/>
    </row>
    <row r="67" spans="2:23" x14ac:dyDescent="0.3">
      <c r="B67" s="33"/>
      <c r="C67" s="34"/>
      <c r="D67" s="32"/>
      <c r="E67" s="32"/>
      <c r="F67" s="32"/>
      <c r="G67" s="34"/>
      <c r="H67" s="32"/>
      <c r="I67" s="34"/>
      <c r="J67" s="34"/>
      <c r="K67" s="35"/>
      <c r="L67" s="34"/>
      <c r="M67" s="32"/>
      <c r="N67" s="34"/>
      <c r="O67" s="34"/>
      <c r="P67" s="34"/>
      <c r="Q67" s="34"/>
      <c r="R67" s="34"/>
      <c r="S67" s="34"/>
      <c r="T67" s="34"/>
      <c r="U67" s="34"/>
      <c r="V67" s="34"/>
      <c r="W67" s="34"/>
    </row>
    <row r="68" spans="2:23" x14ac:dyDescent="0.3">
      <c r="B68" s="33"/>
      <c r="C68" s="34"/>
      <c r="D68" s="32"/>
      <c r="E68" s="32"/>
      <c r="F68" s="32"/>
      <c r="G68" s="34"/>
      <c r="H68" s="32"/>
      <c r="I68" s="34"/>
      <c r="J68" s="34"/>
      <c r="K68" s="35"/>
      <c r="L68" s="34"/>
      <c r="M68" s="32"/>
      <c r="N68" s="34"/>
      <c r="O68" s="34"/>
      <c r="P68" s="34"/>
      <c r="Q68" s="34"/>
      <c r="R68" s="34"/>
      <c r="S68" s="34"/>
      <c r="T68" s="34"/>
      <c r="U68" s="34"/>
      <c r="V68" s="34"/>
      <c r="W68" s="34"/>
    </row>
    <row r="69" spans="2:23" x14ac:dyDescent="0.3">
      <c r="B69" s="33"/>
      <c r="C69" s="34"/>
      <c r="D69" s="32"/>
      <c r="E69" s="32"/>
      <c r="F69" s="32"/>
      <c r="G69" s="34"/>
      <c r="H69" s="32"/>
      <c r="I69" s="34"/>
      <c r="J69" s="34"/>
      <c r="K69" s="35"/>
      <c r="L69" s="34"/>
      <c r="M69" s="32"/>
      <c r="N69" s="34"/>
      <c r="O69" s="34"/>
      <c r="P69" s="34"/>
      <c r="Q69" s="34"/>
      <c r="R69" s="34"/>
      <c r="S69" s="34"/>
      <c r="T69" s="34"/>
      <c r="U69" s="34"/>
      <c r="V69" s="34"/>
      <c r="W69" s="34"/>
    </row>
    <row r="70" spans="2:23" x14ac:dyDescent="0.3">
      <c r="B70" s="33"/>
      <c r="C70" s="34"/>
      <c r="D70" s="32"/>
      <c r="E70" s="32"/>
      <c r="F70" s="32"/>
      <c r="G70" s="34"/>
      <c r="H70" s="32"/>
      <c r="I70" s="34"/>
      <c r="J70" s="34"/>
      <c r="K70" s="35"/>
      <c r="L70" s="34"/>
      <c r="M70" s="32"/>
      <c r="N70" s="34"/>
      <c r="O70" s="34"/>
      <c r="P70" s="34"/>
      <c r="Q70" s="34"/>
      <c r="R70" s="34"/>
      <c r="S70" s="34"/>
      <c r="T70" s="34"/>
      <c r="U70" s="34"/>
      <c r="V70" s="34"/>
      <c r="W70" s="34"/>
    </row>
    <row r="71" spans="2:23" x14ac:dyDescent="0.3">
      <c r="B71" s="33"/>
      <c r="C71" s="34"/>
      <c r="D71" s="32"/>
      <c r="E71" s="32"/>
      <c r="F71" s="32"/>
      <c r="G71" s="34"/>
      <c r="H71" s="32"/>
      <c r="I71" s="34"/>
      <c r="J71" s="34"/>
      <c r="K71" s="35"/>
      <c r="L71" s="34"/>
      <c r="M71" s="32"/>
      <c r="N71" s="34"/>
      <c r="O71" s="34"/>
      <c r="P71" s="34"/>
      <c r="Q71" s="34"/>
      <c r="R71" s="34"/>
      <c r="S71" s="34"/>
      <c r="T71" s="34"/>
      <c r="U71" s="34"/>
      <c r="V71" s="34"/>
      <c r="W71" s="34"/>
    </row>
    <row r="72" spans="2:23" x14ac:dyDescent="0.3">
      <c r="B72" s="33"/>
      <c r="C72" s="34"/>
      <c r="D72" s="32"/>
      <c r="E72" s="32"/>
      <c r="F72" s="32"/>
      <c r="G72" s="34"/>
      <c r="H72" s="32"/>
      <c r="I72" s="34"/>
      <c r="J72" s="34"/>
      <c r="K72" s="35"/>
      <c r="L72" s="34"/>
      <c r="M72" s="32"/>
      <c r="N72" s="34"/>
      <c r="O72" s="34"/>
      <c r="P72" s="34"/>
      <c r="Q72" s="34"/>
      <c r="R72" s="34"/>
      <c r="S72" s="34"/>
      <c r="T72" s="34"/>
      <c r="U72" s="34"/>
      <c r="V72" s="34"/>
      <c r="W72" s="34"/>
    </row>
    <row r="73" spans="2:23" x14ac:dyDescent="0.3">
      <c r="B73" s="33"/>
      <c r="C73" s="34"/>
      <c r="D73" s="32"/>
      <c r="E73" s="32"/>
      <c r="F73" s="32"/>
      <c r="G73" s="34"/>
      <c r="H73" s="32"/>
      <c r="I73" s="34"/>
      <c r="J73" s="34"/>
      <c r="K73" s="35"/>
      <c r="L73" s="34"/>
      <c r="M73" s="32"/>
      <c r="N73" s="34"/>
      <c r="O73" s="34"/>
      <c r="P73" s="34"/>
      <c r="Q73" s="34"/>
      <c r="R73" s="34"/>
      <c r="S73" s="34"/>
      <c r="T73" s="34"/>
      <c r="U73" s="34"/>
      <c r="V73" s="34"/>
      <c r="W73" s="34"/>
    </row>
    <row r="74" spans="2:23" x14ac:dyDescent="0.3">
      <c r="B74" s="33"/>
      <c r="C74" s="34"/>
      <c r="D74" s="32"/>
      <c r="E74" s="32"/>
      <c r="F74" s="32"/>
      <c r="G74" s="34"/>
      <c r="H74" s="32"/>
      <c r="I74" s="34"/>
      <c r="J74" s="34"/>
      <c r="K74" s="35"/>
      <c r="L74" s="34"/>
      <c r="M74" s="32"/>
      <c r="N74" s="34"/>
      <c r="O74" s="34"/>
      <c r="P74" s="34"/>
      <c r="Q74" s="34"/>
      <c r="R74" s="34"/>
      <c r="S74" s="34"/>
      <c r="T74" s="34"/>
      <c r="U74" s="34"/>
      <c r="V74" s="34"/>
      <c r="W74" s="34"/>
    </row>
    <row r="75" spans="2:23" x14ac:dyDescent="0.3">
      <c r="B75" s="33"/>
      <c r="C75" s="34"/>
      <c r="D75" s="32"/>
      <c r="E75" s="32"/>
      <c r="F75" s="32"/>
      <c r="G75" s="34"/>
      <c r="H75" s="32"/>
      <c r="I75" s="34"/>
      <c r="J75" s="34"/>
      <c r="K75" s="35"/>
      <c r="L75" s="34"/>
      <c r="M75" s="32"/>
      <c r="N75" s="34"/>
      <c r="O75" s="34"/>
      <c r="P75" s="34"/>
      <c r="Q75" s="34"/>
      <c r="R75" s="34"/>
      <c r="S75" s="34"/>
      <c r="T75" s="34"/>
      <c r="U75" s="34"/>
      <c r="V75" s="34"/>
      <c r="W75" s="34"/>
    </row>
    <row r="76" spans="2:23" x14ac:dyDescent="0.3">
      <c r="B76" s="33"/>
      <c r="C76" s="34"/>
      <c r="D76" s="32"/>
      <c r="E76" s="32"/>
      <c r="F76" s="32"/>
      <c r="G76" s="34"/>
      <c r="H76" s="32"/>
      <c r="I76" s="34"/>
      <c r="J76" s="34"/>
      <c r="K76" s="35"/>
      <c r="L76" s="34"/>
      <c r="M76" s="32"/>
      <c r="N76" s="34"/>
      <c r="O76" s="34"/>
      <c r="P76" s="34"/>
      <c r="Q76" s="34"/>
      <c r="R76" s="34"/>
      <c r="S76" s="34"/>
      <c r="T76" s="34"/>
      <c r="U76" s="34"/>
      <c r="V76" s="34"/>
      <c r="W76" s="34"/>
    </row>
    <row r="77" spans="2:23" x14ac:dyDescent="0.3">
      <c r="B77" s="33"/>
      <c r="C77" s="34"/>
      <c r="D77" s="32"/>
      <c r="E77" s="32"/>
      <c r="F77" s="32"/>
      <c r="G77" s="34"/>
      <c r="H77" s="32"/>
      <c r="I77" s="34"/>
      <c r="J77" s="34"/>
      <c r="K77" s="35"/>
      <c r="L77" s="34"/>
      <c r="M77" s="32"/>
      <c r="N77" s="34"/>
      <c r="O77" s="34"/>
      <c r="P77" s="34"/>
      <c r="Q77" s="34"/>
      <c r="R77" s="34"/>
      <c r="S77" s="34"/>
      <c r="T77" s="34"/>
      <c r="U77" s="34"/>
      <c r="V77" s="34"/>
      <c r="W77" s="34"/>
    </row>
    <row r="78" spans="2:23" x14ac:dyDescent="0.3">
      <c r="B78" s="33"/>
      <c r="C78" s="34"/>
      <c r="D78" s="32"/>
      <c r="E78" s="32"/>
      <c r="F78" s="32"/>
      <c r="G78" s="34"/>
      <c r="H78" s="32"/>
      <c r="I78" s="34"/>
      <c r="J78" s="34"/>
      <c r="K78" s="35"/>
      <c r="L78" s="34"/>
      <c r="M78" s="32"/>
      <c r="N78" s="34"/>
      <c r="O78" s="34"/>
      <c r="P78" s="34"/>
      <c r="Q78" s="34"/>
      <c r="R78" s="34"/>
      <c r="S78" s="34"/>
      <c r="T78" s="34"/>
      <c r="U78" s="34"/>
      <c r="V78" s="34"/>
      <c r="W78" s="34"/>
    </row>
    <row r="79" spans="2:23" x14ac:dyDescent="0.3">
      <c r="B79" s="33"/>
      <c r="C79" s="34"/>
      <c r="D79" s="32"/>
      <c r="E79" s="32"/>
      <c r="F79" s="32"/>
      <c r="G79" s="34"/>
      <c r="H79" s="32"/>
      <c r="I79" s="34"/>
      <c r="J79" s="34"/>
      <c r="K79" s="35"/>
      <c r="L79" s="34"/>
      <c r="M79" s="32"/>
      <c r="N79" s="34"/>
      <c r="O79" s="34"/>
      <c r="P79" s="34"/>
      <c r="Q79" s="34"/>
      <c r="R79" s="34"/>
      <c r="S79" s="34"/>
      <c r="T79" s="34"/>
      <c r="U79" s="34"/>
      <c r="V79" s="34"/>
      <c r="W79" s="34"/>
    </row>
    <row r="80" spans="2:23" x14ac:dyDescent="0.3">
      <c r="B80" s="33"/>
      <c r="C80" s="34"/>
      <c r="D80" s="32"/>
      <c r="E80" s="32"/>
      <c r="F80" s="32"/>
      <c r="G80" s="34"/>
      <c r="H80" s="32"/>
      <c r="I80" s="34"/>
      <c r="J80" s="34"/>
      <c r="K80" s="35"/>
      <c r="L80" s="34"/>
      <c r="M80" s="32"/>
      <c r="N80" s="34"/>
      <c r="O80" s="34"/>
      <c r="P80" s="34"/>
      <c r="Q80" s="34"/>
      <c r="R80" s="34"/>
      <c r="S80" s="34"/>
      <c r="T80" s="34"/>
      <c r="U80" s="34"/>
      <c r="V80" s="34"/>
      <c r="W80" s="34"/>
    </row>
    <row r="81" spans="2:23" x14ac:dyDescent="0.3">
      <c r="B81" s="33"/>
      <c r="C81" s="34"/>
      <c r="D81" s="32"/>
      <c r="E81" s="32"/>
      <c r="F81" s="32"/>
      <c r="G81" s="34"/>
      <c r="H81" s="32"/>
      <c r="I81" s="34"/>
      <c r="J81" s="34"/>
      <c r="K81" s="35"/>
      <c r="L81" s="34"/>
      <c r="M81" s="32"/>
      <c r="N81" s="34"/>
      <c r="O81" s="34"/>
      <c r="P81" s="34"/>
      <c r="Q81" s="34"/>
      <c r="R81" s="34"/>
      <c r="S81" s="34"/>
      <c r="T81" s="34"/>
      <c r="U81" s="34"/>
      <c r="V81" s="34"/>
      <c r="W81" s="34"/>
    </row>
    <row r="82" spans="2:23" x14ac:dyDescent="0.3">
      <c r="B82" s="33"/>
      <c r="C82" s="34"/>
      <c r="D82" s="32"/>
      <c r="E82" s="32"/>
      <c r="F82" s="32"/>
      <c r="G82" s="34"/>
      <c r="H82" s="32"/>
      <c r="I82" s="34"/>
      <c r="J82" s="34"/>
      <c r="K82" s="35"/>
      <c r="L82" s="34"/>
      <c r="M82" s="32"/>
      <c r="N82" s="34"/>
      <c r="O82" s="34"/>
      <c r="P82" s="34"/>
      <c r="Q82" s="34"/>
      <c r="R82" s="34"/>
      <c r="S82" s="34"/>
      <c r="T82" s="34"/>
      <c r="U82" s="34"/>
      <c r="V82" s="34"/>
      <c r="W82" s="34"/>
    </row>
    <row r="83" spans="2:23" x14ac:dyDescent="0.3">
      <c r="B83" s="33"/>
      <c r="C83" s="34"/>
      <c r="D83" s="32"/>
      <c r="E83" s="32"/>
      <c r="F83" s="32"/>
      <c r="G83" s="34"/>
      <c r="H83" s="32"/>
      <c r="I83" s="34"/>
      <c r="J83" s="34"/>
      <c r="K83" s="35"/>
      <c r="L83" s="34"/>
      <c r="M83" s="32"/>
      <c r="N83" s="34"/>
      <c r="O83" s="34"/>
      <c r="P83" s="34"/>
      <c r="Q83" s="34"/>
      <c r="R83" s="34"/>
      <c r="S83" s="34"/>
      <c r="T83" s="34"/>
      <c r="U83" s="34"/>
      <c r="V83" s="34"/>
      <c r="W83" s="34"/>
    </row>
    <row r="84" spans="2:23" x14ac:dyDescent="0.3">
      <c r="B84" s="33"/>
      <c r="C84" s="34"/>
      <c r="D84" s="32"/>
      <c r="E84" s="32"/>
      <c r="F84" s="32"/>
      <c r="G84" s="34"/>
      <c r="H84" s="32"/>
      <c r="I84" s="34"/>
      <c r="J84" s="34"/>
      <c r="K84" s="35"/>
      <c r="L84" s="34"/>
      <c r="M84" s="32"/>
      <c r="N84" s="34"/>
      <c r="O84" s="34"/>
      <c r="P84" s="34"/>
      <c r="Q84" s="34"/>
      <c r="R84" s="34"/>
      <c r="S84" s="34"/>
      <c r="T84" s="34"/>
      <c r="U84" s="34"/>
      <c r="V84" s="34"/>
      <c r="W84" s="34"/>
    </row>
    <row r="85" spans="2:23" x14ac:dyDescent="0.3">
      <c r="B85" s="33"/>
      <c r="C85" s="34"/>
      <c r="D85" s="32"/>
      <c r="E85" s="32"/>
      <c r="F85" s="32"/>
      <c r="G85" s="34"/>
      <c r="H85" s="32"/>
      <c r="I85" s="34"/>
      <c r="J85" s="34"/>
      <c r="K85" s="35"/>
      <c r="L85" s="34"/>
      <c r="M85" s="32"/>
      <c r="N85" s="34"/>
      <c r="O85" s="34"/>
      <c r="P85" s="34"/>
      <c r="Q85" s="34"/>
      <c r="R85" s="34"/>
      <c r="S85" s="34"/>
      <c r="T85" s="34"/>
      <c r="U85" s="34"/>
      <c r="V85" s="34"/>
      <c r="W85" s="34"/>
    </row>
    <row r="86" spans="2:23" x14ac:dyDescent="0.3">
      <c r="B86" s="33"/>
      <c r="C86" s="34"/>
      <c r="D86" s="32"/>
      <c r="E86" s="32"/>
      <c r="F86" s="32"/>
      <c r="G86" s="34"/>
      <c r="H86" s="32"/>
      <c r="I86" s="34"/>
      <c r="J86" s="34"/>
      <c r="K86" s="35"/>
      <c r="L86" s="34"/>
      <c r="M86" s="32"/>
      <c r="N86" s="34"/>
      <c r="O86" s="34"/>
      <c r="P86" s="34"/>
      <c r="Q86" s="34"/>
      <c r="R86" s="34"/>
      <c r="S86" s="34"/>
      <c r="T86" s="34"/>
      <c r="U86" s="34"/>
      <c r="V86" s="34"/>
      <c r="W86" s="34"/>
    </row>
    <row r="87" spans="2:23" x14ac:dyDescent="0.3">
      <c r="B87" s="33"/>
      <c r="C87" s="34"/>
      <c r="D87" s="39"/>
      <c r="E87" s="39"/>
      <c r="F87" s="39"/>
      <c r="G87" s="34"/>
      <c r="H87" s="32"/>
      <c r="I87" s="34"/>
      <c r="J87" s="34"/>
      <c r="K87" s="35"/>
      <c r="L87" s="34"/>
      <c r="M87" s="32"/>
      <c r="N87" s="34"/>
      <c r="O87" s="34"/>
      <c r="P87" s="34"/>
      <c r="Q87" s="34"/>
      <c r="R87" s="34"/>
      <c r="S87" s="34"/>
      <c r="T87" s="34"/>
      <c r="U87" s="34"/>
      <c r="V87" s="34"/>
      <c r="W87" s="34"/>
    </row>
    <row r="88" spans="2:23" x14ac:dyDescent="0.3">
      <c r="B88" s="33"/>
      <c r="C88" s="34"/>
      <c r="D88" s="39"/>
      <c r="E88" s="39"/>
      <c r="F88" s="39"/>
      <c r="G88" s="34"/>
      <c r="H88" s="32"/>
      <c r="I88" s="34"/>
      <c r="J88" s="34"/>
      <c r="K88" s="35"/>
      <c r="L88" s="34"/>
      <c r="M88" s="32"/>
      <c r="N88" s="34"/>
      <c r="O88" s="34"/>
      <c r="P88" s="34"/>
      <c r="Q88" s="34"/>
      <c r="R88" s="34"/>
      <c r="S88" s="34"/>
      <c r="T88" s="34"/>
      <c r="U88" s="34"/>
      <c r="V88" s="34"/>
      <c r="W88" s="34"/>
    </row>
    <row r="89" spans="2:23" x14ac:dyDescent="0.3">
      <c r="B89" s="33"/>
      <c r="C89" s="34"/>
      <c r="D89" s="39"/>
      <c r="E89" s="39"/>
      <c r="F89" s="39"/>
      <c r="G89" s="34"/>
      <c r="H89" s="32"/>
      <c r="I89" s="34"/>
      <c r="J89" s="34"/>
      <c r="K89" s="35"/>
      <c r="L89" s="34"/>
      <c r="M89" s="32"/>
      <c r="N89" s="34"/>
      <c r="O89" s="34"/>
      <c r="P89" s="34"/>
      <c r="Q89" s="34"/>
      <c r="R89" s="34"/>
      <c r="S89" s="34"/>
      <c r="T89" s="34"/>
      <c r="U89" s="34"/>
      <c r="V89" s="34"/>
      <c r="W89" s="34"/>
    </row>
    <row r="90" spans="2:23" x14ac:dyDescent="0.3">
      <c r="B90" s="33"/>
      <c r="C90" s="34"/>
      <c r="D90" s="39"/>
      <c r="E90" s="39"/>
      <c r="F90" s="39"/>
      <c r="G90" s="34"/>
      <c r="H90" s="32"/>
      <c r="I90" s="34"/>
      <c r="J90" s="34"/>
      <c r="K90" s="35"/>
      <c r="L90" s="34"/>
      <c r="M90" s="32"/>
      <c r="N90" s="34"/>
      <c r="O90" s="34"/>
      <c r="P90" s="34"/>
      <c r="Q90" s="34"/>
      <c r="R90" s="34"/>
      <c r="S90" s="34"/>
      <c r="T90" s="34"/>
      <c r="U90" s="34"/>
      <c r="V90" s="34"/>
      <c r="W90" s="34"/>
    </row>
    <row r="91" spans="2:23" x14ac:dyDescent="0.3">
      <c r="B91" s="33"/>
      <c r="C91" s="34"/>
      <c r="D91" s="39"/>
      <c r="E91" s="39"/>
      <c r="F91" s="39"/>
      <c r="G91" s="34"/>
      <c r="H91" s="32"/>
      <c r="I91" s="34"/>
      <c r="J91" s="34"/>
      <c r="K91" s="35"/>
      <c r="L91" s="34"/>
      <c r="M91" s="32"/>
      <c r="N91" s="34"/>
      <c r="O91" s="34"/>
      <c r="P91" s="34"/>
      <c r="Q91" s="34"/>
      <c r="R91" s="34"/>
      <c r="S91" s="34"/>
      <c r="T91" s="34"/>
      <c r="U91" s="34"/>
      <c r="V91" s="34"/>
      <c r="W91" s="34"/>
    </row>
    <row r="92" spans="2:23" x14ac:dyDescent="0.3">
      <c r="B92" s="33"/>
      <c r="C92" s="34"/>
      <c r="D92" s="39"/>
      <c r="E92" s="39"/>
      <c r="F92" s="39"/>
      <c r="G92" s="34"/>
      <c r="H92" s="32"/>
      <c r="I92" s="34"/>
      <c r="J92" s="34"/>
      <c r="K92" s="35"/>
      <c r="L92" s="34"/>
      <c r="M92" s="32"/>
      <c r="N92" s="34"/>
      <c r="O92" s="34"/>
      <c r="P92" s="34"/>
      <c r="Q92" s="34"/>
      <c r="R92" s="34"/>
      <c r="S92" s="34"/>
      <c r="T92" s="34"/>
      <c r="U92" s="34"/>
      <c r="V92" s="34"/>
      <c r="W92" s="34"/>
    </row>
    <row r="93" spans="2:23" x14ac:dyDescent="0.3">
      <c r="B93" s="33"/>
      <c r="C93" s="34"/>
      <c r="D93" s="39"/>
      <c r="E93" s="39"/>
      <c r="F93" s="39"/>
      <c r="G93" s="34"/>
      <c r="H93" s="32"/>
      <c r="I93" s="34"/>
      <c r="J93" s="34"/>
      <c r="K93" s="35"/>
      <c r="L93" s="34"/>
      <c r="M93" s="32"/>
      <c r="N93" s="34"/>
      <c r="O93" s="34"/>
      <c r="P93" s="34"/>
      <c r="Q93" s="34"/>
      <c r="R93" s="34"/>
      <c r="S93" s="34"/>
      <c r="T93" s="34"/>
      <c r="U93" s="34"/>
      <c r="V93" s="34"/>
      <c r="W93" s="34"/>
    </row>
    <row r="94" spans="2:23" x14ac:dyDescent="0.3">
      <c r="B94" s="33"/>
      <c r="C94" s="34"/>
      <c r="D94" s="39"/>
      <c r="E94" s="39"/>
      <c r="F94" s="39"/>
      <c r="G94" s="34"/>
      <c r="H94" s="32"/>
      <c r="I94" s="34"/>
      <c r="J94" s="34"/>
      <c r="K94" s="35"/>
      <c r="L94" s="34"/>
      <c r="M94" s="32"/>
      <c r="N94" s="34"/>
      <c r="O94" s="34"/>
      <c r="P94" s="34"/>
      <c r="Q94" s="34"/>
      <c r="R94" s="34"/>
      <c r="S94" s="34"/>
      <c r="T94" s="34"/>
      <c r="U94" s="34"/>
      <c r="V94" s="34"/>
      <c r="W94" s="34"/>
    </row>
    <row r="95" spans="2:23" x14ac:dyDescent="0.3">
      <c r="B95" s="33"/>
      <c r="C95" s="34"/>
      <c r="D95" s="39"/>
      <c r="E95" s="39"/>
      <c r="F95" s="39"/>
      <c r="G95" s="34"/>
      <c r="H95" s="32"/>
      <c r="I95" s="34"/>
      <c r="J95" s="34"/>
      <c r="K95" s="35"/>
      <c r="L95" s="34"/>
      <c r="M95" s="32"/>
      <c r="N95" s="34"/>
      <c r="O95" s="34"/>
      <c r="P95" s="34"/>
      <c r="Q95" s="34"/>
      <c r="R95" s="34"/>
      <c r="S95" s="34"/>
      <c r="T95" s="34"/>
      <c r="U95" s="34"/>
      <c r="V95" s="34"/>
      <c r="W95" s="34"/>
    </row>
    <row r="96" spans="2:23" x14ac:dyDescent="0.3">
      <c r="B96" s="33"/>
      <c r="C96" s="34"/>
      <c r="D96" s="39"/>
      <c r="E96" s="39"/>
      <c r="F96" s="39"/>
      <c r="G96" s="34"/>
      <c r="H96" s="32"/>
      <c r="I96" s="34"/>
      <c r="J96" s="34"/>
      <c r="K96" s="35"/>
      <c r="L96" s="34"/>
      <c r="M96" s="32"/>
      <c r="N96" s="34"/>
      <c r="O96" s="34"/>
      <c r="P96" s="34"/>
      <c r="Q96" s="34"/>
      <c r="R96" s="34"/>
      <c r="S96" s="34"/>
      <c r="T96" s="34"/>
      <c r="U96" s="34"/>
      <c r="V96" s="34"/>
      <c r="W96" s="34"/>
    </row>
    <row r="97" spans="2:23" x14ac:dyDescent="0.3">
      <c r="B97" s="33"/>
      <c r="C97" s="34"/>
      <c r="D97" s="39"/>
      <c r="E97" s="39"/>
      <c r="F97" s="39"/>
      <c r="G97" s="34"/>
      <c r="H97" s="32"/>
      <c r="I97" s="34"/>
      <c r="J97" s="34"/>
      <c r="K97" s="35"/>
      <c r="L97" s="34"/>
      <c r="M97" s="32"/>
      <c r="N97" s="34"/>
      <c r="O97" s="34"/>
      <c r="P97" s="34"/>
      <c r="Q97" s="34"/>
      <c r="R97" s="34"/>
      <c r="S97" s="34"/>
      <c r="T97" s="34"/>
      <c r="U97" s="34"/>
      <c r="V97" s="34"/>
      <c r="W97" s="34"/>
    </row>
    <row r="98" spans="2:23" x14ac:dyDescent="0.3">
      <c r="B98" s="33"/>
      <c r="C98" s="34"/>
      <c r="D98" s="39"/>
      <c r="E98" s="39"/>
      <c r="F98" s="39"/>
      <c r="G98" s="34"/>
      <c r="H98" s="32"/>
      <c r="I98" s="34"/>
      <c r="J98" s="34"/>
      <c r="K98" s="35"/>
      <c r="L98" s="34"/>
      <c r="M98" s="32"/>
      <c r="N98" s="34"/>
      <c r="O98" s="34"/>
      <c r="P98" s="34"/>
      <c r="Q98" s="34"/>
      <c r="R98" s="34"/>
      <c r="S98" s="34"/>
      <c r="T98" s="34"/>
      <c r="U98" s="34"/>
      <c r="V98" s="34"/>
      <c r="W98" s="34"/>
    </row>
    <row r="99" spans="2:23" x14ac:dyDescent="0.3">
      <c r="B99" s="33"/>
      <c r="C99" s="34"/>
      <c r="D99" s="39"/>
      <c r="E99" s="39"/>
      <c r="F99" s="39"/>
      <c r="G99" s="34"/>
      <c r="H99" s="32"/>
      <c r="I99" s="34"/>
      <c r="J99" s="34"/>
      <c r="K99" s="35"/>
      <c r="L99" s="34"/>
      <c r="M99" s="32"/>
      <c r="N99" s="34"/>
      <c r="O99" s="34"/>
      <c r="P99" s="34"/>
      <c r="Q99" s="34"/>
      <c r="R99" s="34"/>
      <c r="S99" s="34"/>
      <c r="T99" s="34"/>
      <c r="U99" s="34"/>
      <c r="V99" s="34"/>
      <c r="W99" s="34"/>
    </row>
    <row r="100" spans="2:23" x14ac:dyDescent="0.3">
      <c r="B100" s="33"/>
      <c r="C100" s="34"/>
      <c r="D100" s="39"/>
      <c r="E100" s="39"/>
      <c r="F100" s="39"/>
      <c r="G100" s="34"/>
      <c r="H100" s="32"/>
      <c r="I100" s="34"/>
      <c r="J100" s="34"/>
      <c r="K100" s="35"/>
      <c r="L100" s="34"/>
      <c r="M100" s="32"/>
      <c r="N100" s="34"/>
      <c r="O100" s="34"/>
      <c r="P100" s="34"/>
      <c r="Q100" s="34"/>
      <c r="R100" s="34"/>
      <c r="S100" s="34"/>
      <c r="T100" s="34"/>
      <c r="U100" s="34"/>
      <c r="V100" s="34"/>
      <c r="W100" s="34"/>
    </row>
    <row r="101" spans="2:23" x14ac:dyDescent="0.3">
      <c r="B101" s="33"/>
      <c r="C101" s="34"/>
      <c r="D101" s="39"/>
      <c r="E101" s="39"/>
      <c r="F101" s="39"/>
      <c r="G101" s="34"/>
      <c r="H101" s="32"/>
      <c r="I101" s="34"/>
      <c r="J101" s="34"/>
      <c r="K101" s="35"/>
      <c r="L101" s="34"/>
      <c r="M101" s="32"/>
      <c r="N101" s="34"/>
      <c r="O101" s="34"/>
      <c r="P101" s="34"/>
      <c r="Q101" s="34"/>
      <c r="R101" s="34"/>
      <c r="S101" s="34"/>
      <c r="T101" s="34"/>
      <c r="U101" s="34"/>
      <c r="V101" s="34"/>
      <c r="W101" s="34"/>
    </row>
    <row r="102" spans="2:23" x14ac:dyDescent="0.3">
      <c r="B102" s="33"/>
      <c r="C102" s="34"/>
      <c r="D102" s="39"/>
      <c r="E102" s="39"/>
      <c r="F102" s="39"/>
      <c r="G102" s="34"/>
      <c r="H102" s="32"/>
      <c r="I102" s="34"/>
      <c r="J102" s="34"/>
      <c r="K102" s="35"/>
      <c r="L102" s="34"/>
      <c r="M102" s="32"/>
      <c r="N102" s="34"/>
      <c r="O102" s="34"/>
      <c r="P102" s="34"/>
      <c r="Q102" s="34"/>
      <c r="R102" s="34"/>
      <c r="S102" s="34"/>
      <c r="T102" s="34"/>
      <c r="U102" s="34"/>
      <c r="V102" s="34"/>
      <c r="W102" s="34"/>
    </row>
    <row r="103" spans="2:23" x14ac:dyDescent="0.3">
      <c r="B103" s="33"/>
      <c r="C103" s="34"/>
      <c r="D103" s="39"/>
      <c r="E103" s="39"/>
      <c r="F103" s="39"/>
      <c r="G103" s="34"/>
      <c r="H103" s="32"/>
      <c r="I103" s="34"/>
      <c r="J103" s="34"/>
      <c r="K103" s="35"/>
      <c r="L103" s="34"/>
      <c r="M103" s="32"/>
      <c r="N103" s="34"/>
      <c r="O103" s="34"/>
      <c r="P103" s="34"/>
      <c r="Q103" s="34"/>
      <c r="R103" s="34"/>
      <c r="S103" s="34"/>
      <c r="T103" s="34"/>
      <c r="U103" s="34"/>
      <c r="V103" s="34"/>
      <c r="W103" s="34"/>
    </row>
    <row r="104" spans="2:23" x14ac:dyDescent="0.3">
      <c r="B104" s="33"/>
      <c r="C104" s="34"/>
      <c r="D104" s="39"/>
      <c r="E104" s="39"/>
      <c r="F104" s="39"/>
      <c r="G104" s="34"/>
      <c r="H104" s="32"/>
      <c r="I104" s="34"/>
      <c r="J104" s="34"/>
      <c r="K104" s="35"/>
      <c r="L104" s="34"/>
      <c r="M104" s="32"/>
      <c r="N104" s="34"/>
      <c r="O104" s="34"/>
      <c r="P104" s="34"/>
      <c r="Q104" s="34"/>
      <c r="R104" s="34"/>
      <c r="S104" s="34"/>
      <c r="T104" s="34"/>
      <c r="U104" s="34"/>
      <c r="V104" s="34"/>
      <c r="W104" s="34"/>
    </row>
    <row r="105" spans="2:23" x14ac:dyDescent="0.3">
      <c r="B105" s="33"/>
      <c r="C105" s="34"/>
      <c r="D105" s="39"/>
      <c r="E105" s="39"/>
      <c r="F105" s="39"/>
      <c r="G105" s="34"/>
      <c r="H105" s="32"/>
      <c r="I105" s="34"/>
      <c r="J105" s="34"/>
      <c r="K105" s="35"/>
      <c r="L105" s="34"/>
      <c r="M105" s="32"/>
      <c r="N105" s="34"/>
      <c r="O105" s="34"/>
      <c r="P105" s="34"/>
      <c r="Q105" s="34"/>
      <c r="R105" s="34"/>
      <c r="S105" s="34"/>
      <c r="T105" s="34"/>
      <c r="U105" s="34"/>
      <c r="V105" s="34"/>
      <c r="W105" s="34"/>
    </row>
    <row r="106" spans="2:23" x14ac:dyDescent="0.3">
      <c r="B106" s="33"/>
      <c r="C106" s="34"/>
      <c r="D106" s="39"/>
      <c r="E106" s="39"/>
      <c r="F106" s="39"/>
      <c r="G106" s="34"/>
      <c r="H106" s="32"/>
      <c r="I106" s="34"/>
      <c r="J106" s="34"/>
      <c r="K106" s="35"/>
      <c r="L106" s="34"/>
      <c r="M106" s="32"/>
      <c r="N106" s="34"/>
      <c r="O106" s="34"/>
      <c r="P106" s="34"/>
      <c r="Q106" s="34"/>
      <c r="R106" s="34"/>
      <c r="S106" s="34"/>
      <c r="T106" s="34"/>
      <c r="U106" s="34"/>
      <c r="V106" s="34"/>
      <c r="W106" s="34"/>
    </row>
    <row r="107" spans="2:23" x14ac:dyDescent="0.3">
      <c r="B107" s="33"/>
      <c r="C107" s="34"/>
      <c r="D107" s="39"/>
      <c r="E107" s="39"/>
      <c r="F107" s="39"/>
      <c r="G107" s="34"/>
      <c r="H107" s="32"/>
      <c r="I107" s="34"/>
      <c r="J107" s="34"/>
      <c r="K107" s="35"/>
      <c r="L107" s="34"/>
      <c r="M107" s="32"/>
      <c r="N107" s="34"/>
      <c r="O107" s="34"/>
      <c r="P107" s="34"/>
      <c r="Q107" s="34"/>
      <c r="R107" s="34"/>
      <c r="S107" s="34"/>
      <c r="T107" s="34"/>
      <c r="U107" s="34"/>
      <c r="V107" s="34"/>
      <c r="W107" s="34"/>
    </row>
    <row r="108" spans="2:23" x14ac:dyDescent="0.3">
      <c r="B108" s="33"/>
      <c r="C108" s="34"/>
      <c r="D108" s="39"/>
      <c r="E108" s="39"/>
      <c r="F108" s="39"/>
      <c r="G108" s="34"/>
      <c r="H108" s="32"/>
      <c r="I108" s="34"/>
      <c r="J108" s="34"/>
      <c r="K108" s="35"/>
      <c r="L108" s="34"/>
      <c r="M108" s="32"/>
      <c r="N108" s="34"/>
      <c r="O108" s="34"/>
      <c r="P108" s="34"/>
      <c r="Q108" s="34"/>
      <c r="R108" s="34"/>
      <c r="S108" s="34"/>
      <c r="T108" s="34"/>
      <c r="U108" s="34"/>
      <c r="V108" s="34"/>
      <c r="W108" s="34"/>
    </row>
    <row r="109" spans="2:23" x14ac:dyDescent="0.3">
      <c r="B109" s="33"/>
      <c r="C109" s="34"/>
      <c r="D109" s="39"/>
      <c r="E109" s="39"/>
      <c r="F109" s="39"/>
      <c r="G109" s="34"/>
      <c r="H109" s="32"/>
      <c r="I109" s="34"/>
      <c r="J109" s="34"/>
      <c r="K109" s="35"/>
      <c r="L109" s="34"/>
      <c r="M109" s="32"/>
      <c r="N109" s="34"/>
      <c r="O109" s="34"/>
      <c r="P109" s="34"/>
      <c r="Q109" s="34"/>
      <c r="R109" s="34"/>
      <c r="S109" s="34"/>
      <c r="T109" s="34"/>
      <c r="U109" s="34"/>
      <c r="V109" s="34"/>
      <c r="W109" s="34"/>
    </row>
    <row r="110" spans="2:23" x14ac:dyDescent="0.3">
      <c r="B110" s="33"/>
      <c r="C110" s="34"/>
      <c r="D110" s="39"/>
      <c r="E110" s="39"/>
      <c r="F110" s="39"/>
      <c r="G110" s="34"/>
      <c r="H110" s="32"/>
      <c r="I110" s="34"/>
      <c r="J110" s="34"/>
      <c r="K110" s="35"/>
      <c r="L110" s="34"/>
      <c r="M110" s="32"/>
      <c r="N110" s="34"/>
      <c r="O110" s="34"/>
      <c r="P110" s="34"/>
      <c r="Q110" s="34"/>
      <c r="R110" s="34"/>
      <c r="S110" s="34"/>
      <c r="T110" s="34"/>
      <c r="U110" s="34"/>
      <c r="V110" s="34"/>
      <c r="W110" s="34"/>
    </row>
    <row r="111" spans="2:23" x14ac:dyDescent="0.3">
      <c r="B111" s="33"/>
      <c r="C111" s="34"/>
      <c r="D111" s="39"/>
      <c r="E111" s="39"/>
      <c r="F111" s="39"/>
      <c r="G111" s="34"/>
      <c r="H111" s="32"/>
      <c r="I111" s="34"/>
      <c r="J111" s="34"/>
      <c r="K111" s="35"/>
      <c r="L111" s="34"/>
      <c r="M111" s="32"/>
      <c r="N111" s="34"/>
      <c r="O111" s="34"/>
      <c r="P111" s="34"/>
      <c r="Q111" s="34"/>
      <c r="R111" s="34"/>
      <c r="S111" s="34"/>
      <c r="T111" s="34"/>
      <c r="U111" s="34"/>
      <c r="V111" s="34"/>
      <c r="W111" s="34"/>
    </row>
    <row r="112" spans="2:23" x14ac:dyDescent="0.3">
      <c r="B112" s="33"/>
      <c r="C112" s="34"/>
      <c r="D112" s="39"/>
      <c r="E112" s="39"/>
      <c r="F112" s="39"/>
      <c r="G112" s="34"/>
      <c r="H112" s="32"/>
      <c r="I112" s="34"/>
      <c r="J112" s="34"/>
      <c r="K112" s="35"/>
      <c r="L112" s="34"/>
      <c r="M112" s="32"/>
      <c r="N112" s="34"/>
      <c r="O112" s="34"/>
      <c r="P112" s="34"/>
      <c r="Q112" s="34"/>
      <c r="R112" s="34"/>
      <c r="S112" s="34"/>
      <c r="T112" s="34"/>
      <c r="U112" s="34"/>
      <c r="V112" s="34"/>
      <c r="W112" s="34"/>
    </row>
    <row r="113" spans="2:23" x14ac:dyDescent="0.3">
      <c r="B113" s="33"/>
      <c r="C113" s="34"/>
      <c r="D113" s="39"/>
      <c r="E113" s="39"/>
      <c r="F113" s="39"/>
      <c r="G113" s="34"/>
      <c r="H113" s="32"/>
      <c r="I113" s="34"/>
      <c r="J113" s="34"/>
      <c r="K113" s="35"/>
      <c r="L113" s="34"/>
      <c r="M113" s="32"/>
      <c r="N113" s="34"/>
      <c r="O113" s="34"/>
      <c r="P113" s="34"/>
      <c r="Q113" s="34"/>
      <c r="R113" s="34"/>
      <c r="S113" s="34"/>
      <c r="T113" s="34"/>
      <c r="U113" s="34"/>
      <c r="V113" s="34"/>
      <c r="W113" s="34"/>
    </row>
    <row r="114" spans="2:23" x14ac:dyDescent="0.3">
      <c r="B114" s="33"/>
      <c r="C114" s="34"/>
      <c r="D114" s="39"/>
      <c r="E114" s="39"/>
      <c r="F114" s="39"/>
      <c r="G114" s="34"/>
      <c r="H114" s="32"/>
      <c r="I114" s="34"/>
      <c r="J114" s="34"/>
      <c r="K114" s="35"/>
      <c r="L114" s="34"/>
      <c r="M114" s="32"/>
      <c r="N114" s="34"/>
      <c r="O114" s="34"/>
      <c r="P114" s="34"/>
      <c r="Q114" s="34"/>
      <c r="R114" s="34"/>
      <c r="S114" s="34"/>
      <c r="T114" s="34"/>
      <c r="U114" s="34"/>
      <c r="V114" s="34"/>
      <c r="W114" s="34"/>
    </row>
    <row r="115" spans="2:23" x14ac:dyDescent="0.3">
      <c r="B115" s="33"/>
      <c r="C115" s="34"/>
      <c r="D115" s="39"/>
      <c r="E115" s="39"/>
      <c r="F115" s="39"/>
      <c r="G115" s="34"/>
      <c r="H115" s="32"/>
      <c r="I115" s="34"/>
      <c r="J115" s="34"/>
      <c r="K115" s="35"/>
      <c r="L115" s="34"/>
      <c r="M115" s="32"/>
      <c r="N115" s="34"/>
      <c r="O115" s="34"/>
      <c r="P115" s="34"/>
      <c r="Q115" s="34"/>
      <c r="R115" s="34"/>
      <c r="S115" s="34"/>
      <c r="T115" s="34"/>
      <c r="U115" s="34"/>
      <c r="V115" s="34"/>
      <c r="W115" s="34"/>
    </row>
    <row r="116" spans="2:23" x14ac:dyDescent="0.3">
      <c r="B116" s="33"/>
      <c r="C116" s="34"/>
      <c r="D116" s="39"/>
      <c r="E116" s="39"/>
      <c r="F116" s="39"/>
      <c r="G116" s="34"/>
      <c r="H116" s="32"/>
      <c r="I116" s="34"/>
      <c r="J116" s="34"/>
      <c r="K116" s="35"/>
      <c r="L116" s="34"/>
      <c r="M116" s="32"/>
      <c r="N116" s="34"/>
      <c r="O116" s="34"/>
      <c r="P116" s="34"/>
      <c r="Q116" s="34"/>
      <c r="R116" s="34"/>
      <c r="S116" s="34"/>
      <c r="T116" s="34"/>
      <c r="U116" s="34"/>
      <c r="V116" s="34"/>
      <c r="W116" s="34"/>
    </row>
    <row r="117" spans="2:23" x14ac:dyDescent="0.3">
      <c r="B117" s="33"/>
      <c r="C117" s="34"/>
      <c r="D117" s="39"/>
      <c r="E117" s="39"/>
      <c r="F117" s="39"/>
      <c r="G117" s="34"/>
      <c r="H117" s="32"/>
      <c r="I117" s="34"/>
      <c r="J117" s="34"/>
      <c r="K117" s="35"/>
      <c r="L117" s="34"/>
      <c r="M117" s="32"/>
      <c r="N117" s="34"/>
      <c r="O117" s="34"/>
      <c r="P117" s="34"/>
      <c r="Q117" s="34"/>
      <c r="R117" s="34"/>
      <c r="S117" s="34"/>
      <c r="T117" s="34"/>
      <c r="U117" s="34"/>
      <c r="V117" s="34"/>
      <c r="W117" s="34"/>
    </row>
    <row r="118" spans="2:23" x14ac:dyDescent="0.3">
      <c r="B118" s="33"/>
      <c r="C118" s="34"/>
      <c r="D118" s="39"/>
      <c r="E118" s="39"/>
      <c r="F118" s="39"/>
      <c r="G118" s="34"/>
      <c r="H118" s="32"/>
      <c r="I118" s="34"/>
      <c r="J118" s="34"/>
      <c r="K118" s="35"/>
      <c r="L118" s="34"/>
      <c r="M118" s="32"/>
      <c r="N118" s="34"/>
      <c r="O118" s="34"/>
      <c r="P118" s="34"/>
      <c r="Q118" s="34"/>
      <c r="R118" s="34"/>
      <c r="S118" s="34"/>
      <c r="T118" s="34"/>
      <c r="U118" s="34"/>
      <c r="V118" s="34"/>
      <c r="W118" s="34"/>
    </row>
    <row r="119" spans="2:23" x14ac:dyDescent="0.3">
      <c r="B119" s="33"/>
      <c r="C119" s="34"/>
      <c r="D119" s="39"/>
      <c r="E119" s="39"/>
      <c r="F119" s="39"/>
      <c r="G119" s="34"/>
      <c r="H119" s="32"/>
      <c r="I119" s="34"/>
      <c r="J119" s="34"/>
      <c r="K119" s="35"/>
      <c r="L119" s="34"/>
      <c r="M119" s="32"/>
      <c r="N119" s="34"/>
      <c r="O119" s="34"/>
      <c r="P119" s="34"/>
      <c r="Q119" s="34"/>
      <c r="R119" s="34"/>
      <c r="S119" s="34"/>
      <c r="T119" s="34"/>
      <c r="U119" s="34"/>
      <c r="V119" s="34"/>
      <c r="W119" s="34"/>
    </row>
    <row r="120" spans="2:23" x14ac:dyDescent="0.3">
      <c r="B120" s="33"/>
      <c r="C120" s="34"/>
      <c r="D120" s="39"/>
      <c r="E120" s="39"/>
      <c r="F120" s="39"/>
      <c r="G120" s="34"/>
      <c r="H120" s="32"/>
      <c r="I120" s="34"/>
      <c r="J120" s="34"/>
      <c r="K120" s="35"/>
      <c r="L120" s="34"/>
      <c r="M120" s="32"/>
      <c r="N120" s="34"/>
      <c r="O120" s="34"/>
      <c r="P120" s="34"/>
      <c r="Q120" s="34"/>
      <c r="R120" s="34"/>
      <c r="S120" s="34"/>
      <c r="T120" s="34"/>
      <c r="U120" s="34"/>
      <c r="V120" s="34"/>
      <c r="W120" s="34"/>
    </row>
    <row r="121" spans="2:23" x14ac:dyDescent="0.3">
      <c r="B121" s="33"/>
      <c r="C121" s="34"/>
      <c r="D121" s="39"/>
      <c r="E121" s="39"/>
      <c r="F121" s="39"/>
      <c r="G121" s="34"/>
      <c r="H121" s="32"/>
      <c r="I121" s="34"/>
      <c r="J121" s="34"/>
      <c r="K121" s="35"/>
      <c r="L121" s="34"/>
      <c r="M121" s="32"/>
      <c r="N121" s="34"/>
      <c r="O121" s="34"/>
      <c r="P121" s="34"/>
      <c r="Q121" s="34"/>
      <c r="R121" s="34"/>
      <c r="S121" s="34"/>
      <c r="T121" s="34"/>
      <c r="U121" s="34"/>
      <c r="V121" s="34"/>
      <c r="W121" s="34"/>
    </row>
    <row r="122" spans="2:23" x14ac:dyDescent="0.3">
      <c r="B122" s="33"/>
      <c r="C122" s="34"/>
      <c r="D122" s="39"/>
      <c r="E122" s="39"/>
      <c r="F122" s="39"/>
      <c r="G122" s="34"/>
      <c r="H122" s="32"/>
      <c r="I122" s="34"/>
      <c r="J122" s="34"/>
      <c r="K122" s="35"/>
      <c r="L122" s="34"/>
      <c r="M122" s="32"/>
      <c r="N122" s="34"/>
      <c r="O122" s="34"/>
      <c r="P122" s="34"/>
      <c r="Q122" s="34"/>
      <c r="R122" s="34"/>
      <c r="S122" s="34"/>
      <c r="T122" s="34"/>
      <c r="U122" s="34"/>
      <c r="V122" s="34"/>
      <c r="W122" s="34"/>
    </row>
    <row r="123" spans="2:23" x14ac:dyDescent="0.3">
      <c r="B123" s="33"/>
      <c r="C123" s="34"/>
      <c r="D123" s="39"/>
      <c r="E123" s="39"/>
      <c r="F123" s="39"/>
      <c r="G123" s="34"/>
      <c r="H123" s="32"/>
      <c r="I123" s="34"/>
      <c r="J123" s="34"/>
      <c r="K123" s="35"/>
      <c r="L123" s="34"/>
      <c r="M123" s="32"/>
      <c r="N123" s="34"/>
      <c r="O123" s="34"/>
      <c r="P123" s="34"/>
      <c r="Q123" s="34"/>
      <c r="R123" s="34"/>
      <c r="S123" s="34"/>
      <c r="T123" s="34"/>
      <c r="U123" s="34"/>
      <c r="V123" s="34"/>
      <c r="W123" s="34"/>
    </row>
    <row r="124" spans="2:23" x14ac:dyDescent="0.3">
      <c r="B124" s="33"/>
      <c r="C124" s="34"/>
      <c r="D124" s="39"/>
      <c r="E124" s="39"/>
      <c r="F124" s="39"/>
      <c r="G124" s="34"/>
      <c r="H124" s="32"/>
      <c r="I124" s="34"/>
      <c r="J124" s="34"/>
      <c r="K124" s="35"/>
      <c r="L124" s="34"/>
      <c r="M124" s="32"/>
      <c r="N124" s="34"/>
      <c r="O124" s="34"/>
      <c r="P124" s="34"/>
      <c r="Q124" s="34"/>
      <c r="R124" s="34"/>
      <c r="S124" s="34"/>
      <c r="T124" s="34"/>
      <c r="U124" s="34"/>
      <c r="V124" s="34"/>
      <c r="W124" s="34"/>
    </row>
    <row r="125" spans="2:23" x14ac:dyDescent="0.3">
      <c r="B125" s="33"/>
      <c r="C125" s="34"/>
      <c r="D125" s="39"/>
      <c r="E125" s="39"/>
      <c r="F125" s="39"/>
      <c r="G125" s="34"/>
      <c r="H125" s="32"/>
      <c r="I125" s="34"/>
      <c r="J125" s="34"/>
      <c r="K125" s="35"/>
      <c r="L125" s="34"/>
      <c r="M125" s="32"/>
      <c r="N125" s="34"/>
      <c r="O125" s="34"/>
      <c r="P125" s="34"/>
      <c r="Q125" s="34"/>
      <c r="R125" s="34"/>
      <c r="S125" s="34"/>
      <c r="T125" s="34"/>
      <c r="U125" s="34"/>
      <c r="V125" s="34"/>
      <c r="W125" s="34"/>
    </row>
    <row r="126" spans="2:23" x14ac:dyDescent="0.3">
      <c r="B126" s="33"/>
      <c r="C126" s="34"/>
      <c r="D126" s="39"/>
      <c r="E126" s="39"/>
      <c r="F126" s="39"/>
      <c r="G126" s="34"/>
      <c r="H126" s="32"/>
      <c r="I126" s="34"/>
      <c r="J126" s="34"/>
      <c r="K126" s="35"/>
      <c r="L126" s="34"/>
      <c r="M126" s="32"/>
      <c r="N126" s="34"/>
      <c r="O126" s="34"/>
      <c r="P126" s="34"/>
      <c r="Q126" s="34"/>
      <c r="R126" s="34"/>
      <c r="S126" s="34"/>
      <c r="T126" s="34"/>
      <c r="U126" s="34"/>
      <c r="V126" s="34"/>
      <c r="W126" s="34"/>
    </row>
    <row r="127" spans="2:23" x14ac:dyDescent="0.3">
      <c r="B127" s="33"/>
      <c r="C127" s="34"/>
      <c r="D127" s="39"/>
      <c r="E127" s="39"/>
      <c r="F127" s="39"/>
      <c r="G127" s="34"/>
      <c r="H127" s="32"/>
      <c r="I127" s="34"/>
      <c r="J127" s="34"/>
      <c r="K127" s="35"/>
      <c r="L127" s="34"/>
      <c r="M127" s="32"/>
      <c r="N127" s="34"/>
      <c r="O127" s="34"/>
      <c r="P127" s="34"/>
      <c r="Q127" s="34"/>
      <c r="R127" s="34"/>
      <c r="S127" s="34"/>
      <c r="T127" s="34"/>
      <c r="U127" s="34"/>
      <c r="V127" s="34"/>
      <c r="W127" s="34"/>
    </row>
    <row r="128" spans="2:23" x14ac:dyDescent="0.3">
      <c r="B128" s="33"/>
      <c r="C128" s="34"/>
      <c r="D128" s="39"/>
      <c r="E128" s="39"/>
      <c r="F128" s="39"/>
      <c r="G128" s="34"/>
      <c r="H128" s="32"/>
      <c r="I128" s="34"/>
      <c r="J128" s="34"/>
      <c r="K128" s="35"/>
      <c r="L128" s="34"/>
      <c r="M128" s="32"/>
      <c r="N128" s="34"/>
      <c r="O128" s="34"/>
      <c r="P128" s="34"/>
      <c r="Q128" s="34"/>
      <c r="R128" s="34"/>
      <c r="S128" s="34"/>
      <c r="T128" s="34"/>
      <c r="U128" s="34"/>
      <c r="V128" s="34"/>
      <c r="W128" s="34"/>
    </row>
    <row r="129" spans="2:23" x14ac:dyDescent="0.3">
      <c r="B129" s="33"/>
      <c r="C129" s="34"/>
      <c r="D129" s="39"/>
      <c r="E129" s="39"/>
      <c r="F129" s="39"/>
      <c r="G129" s="34"/>
      <c r="H129" s="32"/>
      <c r="I129" s="34"/>
      <c r="J129" s="34"/>
      <c r="K129" s="35"/>
      <c r="L129" s="34"/>
      <c r="M129" s="32"/>
      <c r="N129" s="34"/>
      <c r="O129" s="34"/>
      <c r="P129" s="34"/>
      <c r="Q129" s="34"/>
      <c r="R129" s="34"/>
      <c r="S129" s="34"/>
      <c r="T129" s="34"/>
      <c r="U129" s="34"/>
      <c r="V129" s="34"/>
      <c r="W129" s="34"/>
    </row>
    <row r="130" spans="2:23" x14ac:dyDescent="0.3">
      <c r="B130" s="33"/>
      <c r="C130" s="34"/>
      <c r="D130" s="39"/>
      <c r="E130" s="39"/>
      <c r="F130" s="39"/>
      <c r="G130" s="34"/>
      <c r="H130" s="32"/>
      <c r="I130" s="34"/>
      <c r="J130" s="34"/>
      <c r="K130" s="35"/>
      <c r="L130" s="34"/>
      <c r="M130" s="32"/>
      <c r="N130" s="34"/>
      <c r="O130" s="34"/>
      <c r="P130" s="34"/>
      <c r="Q130" s="34"/>
      <c r="R130" s="34"/>
      <c r="S130" s="34"/>
      <c r="T130" s="34"/>
      <c r="U130" s="34"/>
      <c r="V130" s="34"/>
      <c r="W130" s="34"/>
    </row>
    <row r="131" spans="2:23" x14ac:dyDescent="0.3">
      <c r="B131" s="33"/>
      <c r="C131" s="34"/>
      <c r="D131" s="39"/>
      <c r="E131" s="39"/>
      <c r="F131" s="39"/>
      <c r="G131" s="34"/>
      <c r="H131" s="32"/>
      <c r="I131" s="34"/>
      <c r="J131" s="34"/>
      <c r="K131" s="35"/>
      <c r="L131" s="34"/>
      <c r="M131" s="32"/>
      <c r="N131" s="34"/>
      <c r="O131" s="34"/>
      <c r="P131" s="34"/>
      <c r="Q131" s="34"/>
      <c r="R131" s="34"/>
      <c r="S131" s="34"/>
      <c r="T131" s="34"/>
      <c r="U131" s="34"/>
      <c r="V131" s="34"/>
      <c r="W131" s="34"/>
    </row>
    <row r="132" spans="2:23" x14ac:dyDescent="0.3">
      <c r="B132" s="33"/>
      <c r="C132" s="34"/>
      <c r="D132" s="39"/>
      <c r="E132" s="39"/>
      <c r="F132" s="39"/>
      <c r="G132" s="34"/>
      <c r="H132" s="32"/>
      <c r="I132" s="34"/>
      <c r="J132" s="34"/>
      <c r="K132" s="35"/>
      <c r="L132" s="34"/>
      <c r="M132" s="32"/>
      <c r="N132" s="34"/>
      <c r="O132" s="34"/>
      <c r="P132" s="34"/>
      <c r="Q132" s="34"/>
      <c r="R132" s="34"/>
      <c r="S132" s="34"/>
      <c r="T132" s="34"/>
      <c r="U132" s="34"/>
      <c r="V132" s="34"/>
      <c r="W132" s="34"/>
    </row>
    <row r="133" spans="2:23" x14ac:dyDescent="0.3">
      <c r="B133" s="33"/>
      <c r="C133" s="34"/>
      <c r="D133" s="39"/>
      <c r="E133" s="39"/>
      <c r="F133" s="39"/>
      <c r="G133" s="34"/>
      <c r="H133" s="32"/>
      <c r="I133" s="34"/>
      <c r="J133" s="34"/>
      <c r="K133" s="35"/>
      <c r="L133" s="34"/>
      <c r="M133" s="32"/>
      <c r="N133" s="34"/>
      <c r="O133" s="34"/>
      <c r="P133" s="34"/>
      <c r="Q133" s="34"/>
      <c r="R133" s="34"/>
      <c r="S133" s="34"/>
      <c r="T133" s="34"/>
      <c r="U133" s="34"/>
      <c r="V133" s="34"/>
      <c r="W133" s="34"/>
    </row>
    <row r="134" spans="2:23" x14ac:dyDescent="0.3">
      <c r="B134" s="33"/>
      <c r="C134" s="34"/>
      <c r="D134" s="39"/>
      <c r="E134" s="39"/>
      <c r="F134" s="39"/>
      <c r="G134" s="34"/>
      <c r="H134" s="32"/>
      <c r="I134" s="34"/>
      <c r="J134" s="34"/>
      <c r="K134" s="35"/>
      <c r="L134" s="34"/>
      <c r="M134" s="32"/>
      <c r="N134" s="34"/>
      <c r="O134" s="34"/>
      <c r="P134" s="34"/>
      <c r="Q134" s="34"/>
      <c r="R134" s="34"/>
      <c r="S134" s="34"/>
      <c r="T134" s="34"/>
      <c r="U134" s="34"/>
      <c r="V134" s="34"/>
      <c r="W134" s="34"/>
    </row>
    <row r="135" spans="2:23" x14ac:dyDescent="0.3">
      <c r="B135" s="33"/>
      <c r="C135" s="34"/>
      <c r="D135" s="39"/>
      <c r="E135" s="39"/>
      <c r="F135" s="39"/>
      <c r="G135" s="34"/>
      <c r="H135" s="32"/>
      <c r="I135" s="34"/>
      <c r="J135" s="34"/>
      <c r="K135" s="35"/>
      <c r="L135" s="34"/>
      <c r="M135" s="32"/>
      <c r="N135" s="34"/>
      <c r="O135" s="34"/>
      <c r="P135" s="34"/>
      <c r="Q135" s="34"/>
      <c r="R135" s="34"/>
      <c r="S135" s="34"/>
      <c r="T135" s="34"/>
      <c r="U135" s="34"/>
      <c r="V135" s="34"/>
      <c r="W135" s="34"/>
    </row>
    <row r="136" spans="2:23" x14ac:dyDescent="0.3">
      <c r="B136" s="33"/>
      <c r="C136" s="34"/>
      <c r="D136" s="39"/>
      <c r="E136" s="39"/>
      <c r="F136" s="39"/>
      <c r="G136" s="34"/>
      <c r="H136" s="32"/>
      <c r="I136" s="34"/>
      <c r="J136" s="34"/>
      <c r="K136" s="35"/>
      <c r="L136" s="34"/>
      <c r="M136" s="32"/>
      <c r="N136" s="34"/>
      <c r="O136" s="34"/>
      <c r="P136" s="34"/>
      <c r="Q136" s="34"/>
      <c r="R136" s="34"/>
      <c r="S136" s="34"/>
      <c r="T136" s="34"/>
      <c r="U136" s="34"/>
      <c r="V136" s="34"/>
      <c r="W136" s="34"/>
    </row>
    <row r="137" spans="2:23" x14ac:dyDescent="0.3">
      <c r="B137" s="33"/>
      <c r="C137" s="34"/>
      <c r="D137" s="39"/>
      <c r="E137" s="39"/>
      <c r="F137" s="39"/>
      <c r="G137" s="34"/>
      <c r="H137" s="32"/>
      <c r="I137" s="34"/>
      <c r="J137" s="34"/>
      <c r="K137" s="35"/>
      <c r="L137" s="34"/>
      <c r="M137" s="32"/>
      <c r="N137" s="34"/>
      <c r="O137" s="34"/>
      <c r="P137" s="34"/>
      <c r="Q137" s="34"/>
      <c r="R137" s="34"/>
      <c r="S137" s="34"/>
      <c r="T137" s="34"/>
      <c r="U137" s="34"/>
      <c r="V137" s="34"/>
      <c r="W137" s="34"/>
    </row>
    <row r="138" spans="2:23" x14ac:dyDescent="0.3">
      <c r="B138" s="33"/>
      <c r="C138" s="34"/>
      <c r="D138" s="39"/>
      <c r="E138" s="39"/>
      <c r="F138" s="39"/>
      <c r="G138" s="34"/>
      <c r="H138" s="32"/>
      <c r="I138" s="34"/>
      <c r="J138" s="34"/>
      <c r="K138" s="35"/>
      <c r="L138" s="34"/>
      <c r="M138" s="32"/>
      <c r="N138" s="34"/>
      <c r="O138" s="34"/>
      <c r="P138" s="34"/>
      <c r="Q138" s="34"/>
      <c r="R138" s="34"/>
      <c r="S138" s="34"/>
      <c r="T138" s="34"/>
      <c r="U138" s="34"/>
      <c r="V138" s="34"/>
      <c r="W138" s="34"/>
    </row>
    <row r="139" spans="2:23" x14ac:dyDescent="0.3">
      <c r="B139" s="33"/>
      <c r="C139" s="34"/>
      <c r="D139" s="39"/>
      <c r="E139" s="39"/>
      <c r="F139" s="39"/>
      <c r="G139" s="34"/>
      <c r="H139" s="32"/>
      <c r="I139" s="34"/>
      <c r="J139" s="34"/>
      <c r="K139" s="35"/>
      <c r="L139" s="34"/>
      <c r="M139" s="32"/>
      <c r="N139" s="34"/>
      <c r="O139" s="34"/>
      <c r="P139" s="34"/>
      <c r="Q139" s="34"/>
      <c r="R139" s="34"/>
      <c r="S139" s="34"/>
      <c r="T139" s="34"/>
      <c r="U139" s="34"/>
      <c r="V139" s="34"/>
      <c r="W139" s="34"/>
    </row>
    <row r="140" spans="2:23" x14ac:dyDescent="0.3">
      <c r="B140" s="33"/>
      <c r="C140" s="34"/>
      <c r="D140" s="39"/>
      <c r="E140" s="39"/>
      <c r="F140" s="39"/>
      <c r="G140" s="34"/>
      <c r="H140" s="32"/>
      <c r="I140" s="34"/>
      <c r="J140" s="34"/>
      <c r="K140" s="35"/>
      <c r="L140" s="34"/>
      <c r="M140" s="32"/>
      <c r="N140" s="34"/>
      <c r="O140" s="34"/>
      <c r="P140" s="34"/>
      <c r="Q140" s="34"/>
      <c r="R140" s="34"/>
      <c r="S140" s="34"/>
      <c r="T140" s="34"/>
      <c r="U140" s="34"/>
      <c r="V140" s="34"/>
      <c r="W140" s="34"/>
    </row>
    <row r="141" spans="2:23" x14ac:dyDescent="0.3">
      <c r="B141" s="33"/>
      <c r="C141" s="34"/>
      <c r="D141" s="39"/>
      <c r="E141" s="39"/>
      <c r="F141" s="39"/>
      <c r="G141" s="34"/>
      <c r="H141" s="32"/>
      <c r="I141" s="34"/>
      <c r="J141" s="34"/>
      <c r="K141" s="35"/>
      <c r="L141" s="34"/>
      <c r="M141" s="32"/>
      <c r="N141" s="34"/>
      <c r="O141" s="34"/>
      <c r="P141" s="34"/>
      <c r="Q141" s="34"/>
      <c r="R141" s="34"/>
      <c r="S141" s="34"/>
      <c r="T141" s="34"/>
      <c r="U141" s="34"/>
      <c r="V141" s="34"/>
      <c r="W141" s="34"/>
    </row>
    <row r="142" spans="2:23" x14ac:dyDescent="0.3">
      <c r="B142" s="33"/>
      <c r="C142" s="34"/>
      <c r="D142" s="39"/>
      <c r="E142" s="39"/>
      <c r="F142" s="39"/>
      <c r="G142" s="34"/>
      <c r="H142" s="32"/>
      <c r="I142" s="34"/>
      <c r="J142" s="34"/>
      <c r="K142" s="35"/>
      <c r="L142" s="34"/>
      <c r="M142" s="32"/>
      <c r="N142" s="34"/>
      <c r="O142" s="34"/>
      <c r="P142" s="34"/>
      <c r="Q142" s="34"/>
      <c r="R142" s="34"/>
      <c r="S142" s="34"/>
      <c r="T142" s="34"/>
      <c r="U142" s="34"/>
      <c r="V142" s="34"/>
      <c r="W142" s="34"/>
    </row>
    <row r="143" spans="2:23" x14ac:dyDescent="0.3">
      <c r="B143" s="33"/>
      <c r="C143" s="34"/>
      <c r="D143" s="39"/>
      <c r="E143" s="39"/>
      <c r="F143" s="39"/>
      <c r="G143" s="34"/>
      <c r="H143" s="32"/>
      <c r="I143" s="34"/>
      <c r="J143" s="34"/>
      <c r="K143" s="35"/>
      <c r="L143" s="34"/>
      <c r="M143" s="32"/>
      <c r="N143" s="34"/>
      <c r="O143" s="34"/>
      <c r="P143" s="34"/>
      <c r="Q143" s="34"/>
      <c r="R143" s="34"/>
      <c r="S143" s="34"/>
      <c r="T143" s="34"/>
      <c r="U143" s="34"/>
      <c r="V143" s="34"/>
      <c r="W143" s="34"/>
    </row>
    <row r="144" spans="2:23" x14ac:dyDescent="0.3">
      <c r="B144" s="33"/>
      <c r="C144" s="34"/>
      <c r="D144" s="39"/>
      <c r="E144" s="39"/>
      <c r="F144" s="39"/>
      <c r="G144" s="34"/>
      <c r="H144" s="32"/>
      <c r="I144" s="34"/>
      <c r="J144" s="34"/>
      <c r="K144" s="35"/>
      <c r="L144" s="34"/>
      <c r="M144" s="32"/>
      <c r="N144" s="34"/>
      <c r="O144" s="34"/>
      <c r="P144" s="34"/>
      <c r="Q144" s="34"/>
      <c r="R144" s="34"/>
      <c r="S144" s="34"/>
      <c r="T144" s="34"/>
      <c r="U144" s="34"/>
      <c r="V144" s="34"/>
      <c r="W144" s="34"/>
    </row>
    <row r="145" spans="2:23" x14ac:dyDescent="0.3">
      <c r="B145" s="33"/>
      <c r="C145" s="34"/>
      <c r="D145" s="39"/>
      <c r="E145" s="39"/>
      <c r="F145" s="39"/>
      <c r="G145" s="34"/>
      <c r="H145" s="32"/>
      <c r="I145" s="34"/>
      <c r="J145" s="34"/>
      <c r="K145" s="35"/>
      <c r="L145" s="34"/>
      <c r="M145" s="32"/>
      <c r="N145" s="34"/>
      <c r="O145" s="34"/>
      <c r="P145" s="34"/>
      <c r="Q145" s="34"/>
      <c r="R145" s="34"/>
      <c r="S145" s="34"/>
      <c r="T145" s="34"/>
      <c r="U145" s="34"/>
      <c r="V145" s="34"/>
      <c r="W145" s="34"/>
    </row>
    <row r="146" spans="2:23" x14ac:dyDescent="0.3">
      <c r="B146" s="33"/>
      <c r="C146" s="34"/>
      <c r="D146" s="39"/>
      <c r="E146" s="39"/>
      <c r="F146" s="39"/>
      <c r="G146" s="34"/>
      <c r="H146" s="32"/>
      <c r="I146" s="34"/>
      <c r="J146" s="34"/>
      <c r="K146" s="35"/>
      <c r="L146" s="34"/>
      <c r="M146" s="32"/>
      <c r="N146" s="34"/>
      <c r="O146" s="34"/>
      <c r="P146" s="34"/>
      <c r="Q146" s="34"/>
      <c r="R146" s="34"/>
      <c r="S146" s="34"/>
      <c r="T146" s="34"/>
      <c r="U146" s="34"/>
      <c r="V146" s="34"/>
      <c r="W146" s="34"/>
    </row>
    <row r="147" spans="2:23" x14ac:dyDescent="0.3">
      <c r="B147" s="33"/>
      <c r="C147" s="34"/>
      <c r="D147" s="39"/>
      <c r="E147" s="39"/>
      <c r="F147" s="39"/>
      <c r="G147" s="34"/>
      <c r="H147" s="32"/>
      <c r="I147" s="34"/>
      <c r="J147" s="34"/>
      <c r="K147" s="35"/>
      <c r="L147" s="34"/>
      <c r="M147" s="32"/>
      <c r="N147" s="34"/>
      <c r="O147" s="34"/>
      <c r="P147" s="34"/>
      <c r="Q147" s="34"/>
      <c r="R147" s="34"/>
      <c r="S147" s="34"/>
      <c r="T147" s="34"/>
      <c r="U147" s="34"/>
      <c r="V147" s="34"/>
      <c r="W147" s="34"/>
    </row>
    <row r="148" spans="2:23" x14ac:dyDescent="0.3">
      <c r="B148" s="33"/>
      <c r="C148" s="34"/>
      <c r="D148" s="39"/>
      <c r="E148" s="39"/>
      <c r="F148" s="39"/>
      <c r="G148" s="34"/>
      <c r="H148" s="32"/>
      <c r="I148" s="34"/>
      <c r="J148" s="34"/>
      <c r="K148" s="35"/>
      <c r="L148" s="34"/>
      <c r="M148" s="32"/>
      <c r="N148" s="34"/>
      <c r="O148" s="34"/>
      <c r="P148" s="34"/>
      <c r="Q148" s="34"/>
      <c r="R148" s="34"/>
      <c r="S148" s="34"/>
      <c r="T148" s="34"/>
      <c r="U148" s="34"/>
      <c r="V148" s="34"/>
      <c r="W148" s="34"/>
    </row>
    <row r="149" spans="2:23" x14ac:dyDescent="0.3">
      <c r="B149" s="33"/>
      <c r="C149" s="34"/>
      <c r="D149" s="39"/>
      <c r="E149" s="39"/>
      <c r="F149" s="39"/>
      <c r="G149" s="34"/>
      <c r="H149" s="32"/>
      <c r="I149" s="34"/>
      <c r="J149" s="34"/>
      <c r="K149" s="35"/>
      <c r="L149" s="34"/>
      <c r="M149" s="32"/>
      <c r="N149" s="34"/>
      <c r="O149" s="34"/>
      <c r="P149" s="34"/>
      <c r="Q149" s="34"/>
      <c r="R149" s="34"/>
      <c r="S149" s="34"/>
      <c r="T149" s="34"/>
      <c r="U149" s="34"/>
      <c r="V149" s="34"/>
      <c r="W149" s="34"/>
    </row>
    <row r="150" spans="2:23" x14ac:dyDescent="0.3">
      <c r="B150" s="33"/>
      <c r="C150" s="34"/>
      <c r="D150" s="39"/>
      <c r="E150" s="39"/>
      <c r="F150" s="39"/>
      <c r="G150" s="34"/>
      <c r="H150" s="32"/>
      <c r="I150" s="34"/>
      <c r="J150" s="34"/>
      <c r="K150" s="35"/>
      <c r="L150" s="34"/>
      <c r="M150" s="32"/>
      <c r="N150" s="34"/>
      <c r="O150" s="34"/>
      <c r="P150" s="34"/>
      <c r="Q150" s="34"/>
      <c r="R150" s="34"/>
      <c r="S150" s="34"/>
      <c r="T150" s="34"/>
      <c r="U150" s="34"/>
      <c r="V150" s="34"/>
      <c r="W150" s="34"/>
    </row>
    <row r="151" spans="2:23" x14ac:dyDescent="0.3">
      <c r="B151" s="33"/>
      <c r="C151" s="34"/>
      <c r="D151" s="39"/>
      <c r="E151" s="39"/>
      <c r="F151" s="39"/>
      <c r="G151" s="34"/>
      <c r="H151" s="32"/>
      <c r="I151" s="34"/>
      <c r="J151" s="34"/>
      <c r="K151" s="35"/>
      <c r="L151" s="34"/>
      <c r="M151" s="32"/>
      <c r="N151" s="34"/>
      <c r="O151" s="34"/>
      <c r="P151" s="34"/>
      <c r="Q151" s="34"/>
      <c r="R151" s="34"/>
      <c r="S151" s="34"/>
      <c r="T151" s="34"/>
      <c r="U151" s="34"/>
      <c r="V151" s="34"/>
      <c r="W151" s="34"/>
    </row>
    <row r="152" spans="2:23" x14ac:dyDescent="0.3">
      <c r="B152" s="33"/>
      <c r="C152" s="34"/>
      <c r="D152" s="39"/>
      <c r="E152" s="39"/>
      <c r="F152" s="39"/>
      <c r="G152" s="34"/>
      <c r="H152" s="32"/>
      <c r="I152" s="34"/>
      <c r="J152" s="34"/>
      <c r="K152" s="35"/>
      <c r="L152" s="34"/>
      <c r="M152" s="32"/>
      <c r="N152" s="34"/>
      <c r="O152" s="34"/>
      <c r="P152" s="34"/>
      <c r="Q152" s="34"/>
      <c r="R152" s="34"/>
      <c r="S152" s="34"/>
      <c r="T152" s="34"/>
      <c r="U152" s="34"/>
      <c r="V152" s="34"/>
      <c r="W152" s="34"/>
    </row>
    <row r="153" spans="2:23" x14ac:dyDescent="0.3">
      <c r="B153" s="33"/>
      <c r="C153" s="34"/>
      <c r="D153" s="39"/>
      <c r="E153" s="39"/>
      <c r="F153" s="39"/>
      <c r="G153" s="34"/>
      <c r="H153" s="32"/>
      <c r="I153" s="34"/>
      <c r="J153" s="34"/>
      <c r="K153" s="35"/>
      <c r="L153" s="34"/>
      <c r="M153" s="32"/>
      <c r="N153" s="34"/>
      <c r="O153" s="34"/>
      <c r="P153" s="34"/>
      <c r="Q153" s="34"/>
      <c r="R153" s="34"/>
      <c r="S153" s="34"/>
      <c r="T153" s="34"/>
      <c r="U153" s="34"/>
      <c r="V153" s="34"/>
      <c r="W153" s="34"/>
    </row>
    <row r="154" spans="2:23" x14ac:dyDescent="0.3">
      <c r="B154" s="33"/>
      <c r="C154" s="34"/>
      <c r="D154" s="39"/>
      <c r="E154" s="39"/>
      <c r="F154" s="39"/>
      <c r="G154" s="34"/>
      <c r="H154" s="32"/>
      <c r="I154" s="34"/>
      <c r="J154" s="34"/>
      <c r="K154" s="35"/>
      <c r="L154" s="34"/>
      <c r="M154" s="32"/>
      <c r="N154" s="34"/>
      <c r="O154" s="34"/>
      <c r="P154" s="34"/>
      <c r="Q154" s="34"/>
      <c r="R154" s="34"/>
      <c r="S154" s="34"/>
      <c r="T154" s="34"/>
      <c r="U154" s="34"/>
      <c r="V154" s="34"/>
      <c r="W154" s="34"/>
    </row>
    <row r="155" spans="2:23" x14ac:dyDescent="0.3">
      <c r="B155" s="33"/>
      <c r="C155" s="34"/>
      <c r="D155" s="39"/>
      <c r="E155" s="39"/>
      <c r="F155" s="39"/>
      <c r="G155" s="34"/>
      <c r="H155" s="32"/>
      <c r="I155" s="34"/>
      <c r="J155" s="34"/>
      <c r="K155" s="35"/>
      <c r="L155" s="34"/>
      <c r="M155" s="32"/>
      <c r="N155" s="34"/>
      <c r="O155" s="34"/>
      <c r="P155" s="34"/>
      <c r="Q155" s="34"/>
      <c r="R155" s="34"/>
      <c r="S155" s="34"/>
      <c r="T155" s="34"/>
      <c r="U155" s="34"/>
      <c r="V155" s="34"/>
      <c r="W155" s="34"/>
    </row>
    <row r="156" spans="2:23" x14ac:dyDescent="0.3">
      <c r="B156" s="33"/>
      <c r="C156" s="34"/>
      <c r="D156" s="39"/>
      <c r="E156" s="39"/>
      <c r="F156" s="39"/>
      <c r="G156" s="34"/>
      <c r="H156" s="32"/>
      <c r="I156" s="34"/>
      <c r="J156" s="34"/>
      <c r="K156" s="35"/>
      <c r="L156" s="34"/>
      <c r="M156" s="32"/>
      <c r="N156" s="34"/>
      <c r="O156" s="34"/>
      <c r="P156" s="34"/>
      <c r="Q156" s="34"/>
      <c r="R156" s="34"/>
      <c r="S156" s="34"/>
      <c r="T156" s="34"/>
      <c r="U156" s="34"/>
      <c r="V156" s="34"/>
      <c r="W156" s="34"/>
    </row>
    <row r="157" spans="2:23" x14ac:dyDescent="0.3">
      <c r="B157" s="33"/>
      <c r="C157" s="34"/>
      <c r="D157" s="39"/>
      <c r="E157" s="39"/>
      <c r="F157" s="39"/>
      <c r="G157" s="34"/>
      <c r="H157" s="32"/>
      <c r="I157" s="34"/>
      <c r="J157" s="34"/>
      <c r="K157" s="35"/>
      <c r="L157" s="34"/>
      <c r="M157" s="32"/>
      <c r="N157" s="34"/>
      <c r="O157" s="34"/>
      <c r="P157" s="34"/>
      <c r="Q157" s="34"/>
      <c r="R157" s="34"/>
      <c r="S157" s="34"/>
      <c r="T157" s="34"/>
      <c r="U157" s="34"/>
      <c r="V157" s="34"/>
      <c r="W157" s="34"/>
    </row>
    <row r="158" spans="2:23" x14ac:dyDescent="0.3">
      <c r="B158" s="33"/>
      <c r="C158" s="34"/>
      <c r="D158" s="39"/>
      <c r="E158" s="39"/>
      <c r="F158" s="39"/>
      <c r="G158" s="34"/>
      <c r="H158" s="32"/>
      <c r="I158" s="34"/>
      <c r="J158" s="34"/>
      <c r="K158" s="35"/>
      <c r="L158" s="34"/>
      <c r="M158" s="32"/>
      <c r="N158" s="34"/>
      <c r="O158" s="34"/>
      <c r="P158" s="34"/>
      <c r="Q158" s="34"/>
      <c r="R158" s="34"/>
      <c r="S158" s="34"/>
      <c r="T158" s="34"/>
      <c r="U158" s="34"/>
      <c r="V158" s="34"/>
      <c r="W158" s="34"/>
    </row>
    <row r="159" spans="2:23" x14ac:dyDescent="0.3">
      <c r="B159" s="33"/>
      <c r="C159" s="34"/>
      <c r="D159" s="39"/>
      <c r="E159" s="39"/>
      <c r="F159" s="39"/>
      <c r="G159" s="34"/>
      <c r="H159" s="32"/>
      <c r="I159" s="34"/>
      <c r="J159" s="34"/>
      <c r="K159" s="35"/>
      <c r="L159" s="34"/>
      <c r="M159" s="32"/>
      <c r="N159" s="34"/>
      <c r="O159" s="34"/>
      <c r="P159" s="34"/>
      <c r="Q159" s="34"/>
      <c r="R159" s="34"/>
      <c r="S159" s="34"/>
      <c r="T159" s="34"/>
      <c r="U159" s="34"/>
      <c r="V159" s="34"/>
      <c r="W159" s="34"/>
    </row>
    <row r="160" spans="2:23" x14ac:dyDescent="0.3">
      <c r="B160" s="33"/>
      <c r="C160" s="34"/>
      <c r="D160" s="39"/>
      <c r="E160" s="39"/>
      <c r="F160" s="39"/>
      <c r="G160" s="34"/>
      <c r="H160" s="32"/>
      <c r="I160" s="34"/>
      <c r="J160" s="34"/>
      <c r="K160" s="35"/>
      <c r="L160" s="34"/>
      <c r="M160" s="32"/>
      <c r="N160" s="34"/>
      <c r="O160" s="34"/>
      <c r="P160" s="34"/>
      <c r="Q160" s="34"/>
      <c r="R160" s="34"/>
      <c r="S160" s="34"/>
      <c r="T160" s="34"/>
      <c r="U160" s="34"/>
      <c r="V160" s="34"/>
      <c r="W160" s="34"/>
    </row>
    <row r="161" spans="2:23" x14ac:dyDescent="0.3">
      <c r="B161" s="33"/>
      <c r="C161" s="34"/>
      <c r="D161" s="39"/>
      <c r="E161" s="39"/>
      <c r="F161" s="39"/>
      <c r="G161" s="34"/>
      <c r="H161" s="32"/>
      <c r="I161" s="34"/>
      <c r="J161" s="34"/>
      <c r="K161" s="35"/>
      <c r="L161" s="34"/>
      <c r="M161" s="32"/>
      <c r="N161" s="34"/>
      <c r="O161" s="34"/>
      <c r="P161" s="34"/>
      <c r="Q161" s="34"/>
      <c r="R161" s="34"/>
      <c r="S161" s="34"/>
      <c r="T161" s="34"/>
      <c r="U161" s="34"/>
      <c r="V161" s="34"/>
      <c r="W161" s="34"/>
    </row>
    <row r="162" spans="2:23" x14ac:dyDescent="0.3">
      <c r="B162" s="33"/>
      <c r="C162" s="34"/>
      <c r="D162" s="39"/>
      <c r="E162" s="39"/>
      <c r="F162" s="39"/>
      <c r="G162" s="34"/>
      <c r="H162" s="32"/>
      <c r="I162" s="34"/>
      <c r="J162" s="34"/>
      <c r="K162" s="35"/>
      <c r="L162" s="34"/>
      <c r="M162" s="32"/>
      <c r="N162" s="34"/>
      <c r="O162" s="34"/>
      <c r="P162" s="34"/>
      <c r="Q162" s="34"/>
      <c r="R162" s="34"/>
      <c r="S162" s="34"/>
      <c r="T162" s="34"/>
      <c r="U162" s="34"/>
      <c r="V162" s="34"/>
      <c r="W162" s="34"/>
    </row>
    <row r="163" spans="2:23" x14ac:dyDescent="0.3">
      <c r="B163" s="33"/>
      <c r="C163" s="34"/>
      <c r="D163" s="39"/>
      <c r="E163" s="39"/>
      <c r="F163" s="39"/>
      <c r="G163" s="34"/>
      <c r="H163" s="32"/>
      <c r="I163" s="34"/>
      <c r="J163" s="34"/>
      <c r="K163" s="35"/>
      <c r="L163" s="34"/>
      <c r="M163" s="32"/>
      <c r="N163" s="34"/>
      <c r="O163" s="34"/>
      <c r="P163" s="34"/>
      <c r="Q163" s="34"/>
      <c r="R163" s="34"/>
      <c r="S163" s="34"/>
      <c r="T163" s="34"/>
      <c r="U163" s="34"/>
      <c r="V163" s="34"/>
      <c r="W163" s="34"/>
    </row>
    <row r="164" spans="2:23" x14ac:dyDescent="0.3">
      <c r="B164" s="33"/>
      <c r="C164" s="34"/>
      <c r="D164" s="39"/>
      <c r="E164" s="39"/>
      <c r="F164" s="39"/>
      <c r="G164" s="34"/>
      <c r="H164" s="32"/>
      <c r="I164" s="34"/>
      <c r="J164" s="34"/>
      <c r="K164" s="35"/>
      <c r="L164" s="34"/>
      <c r="M164" s="32"/>
      <c r="N164" s="34"/>
      <c r="O164" s="34"/>
      <c r="P164" s="34"/>
      <c r="Q164" s="34"/>
      <c r="R164" s="34"/>
      <c r="S164" s="34"/>
      <c r="T164" s="34"/>
      <c r="U164" s="34"/>
      <c r="V164" s="34"/>
      <c r="W164" s="34"/>
    </row>
    <row r="165" spans="2:23" x14ac:dyDescent="0.3">
      <c r="B165" s="33"/>
      <c r="C165" s="34"/>
      <c r="D165" s="39"/>
      <c r="E165" s="39"/>
      <c r="F165" s="39"/>
      <c r="G165" s="34"/>
      <c r="H165" s="32"/>
      <c r="I165" s="34"/>
      <c r="J165" s="34"/>
      <c r="K165" s="35"/>
      <c r="L165" s="34"/>
      <c r="M165" s="32"/>
      <c r="N165" s="34"/>
      <c r="O165" s="34"/>
      <c r="P165" s="34"/>
      <c r="Q165" s="34"/>
      <c r="R165" s="34"/>
      <c r="S165" s="34"/>
      <c r="T165" s="34"/>
      <c r="U165" s="34"/>
      <c r="V165" s="34"/>
      <c r="W165" s="34"/>
    </row>
    <row r="166" spans="2:23" x14ac:dyDescent="0.3">
      <c r="B166" s="33"/>
      <c r="C166" s="34"/>
      <c r="D166" s="39"/>
      <c r="E166" s="39"/>
      <c r="F166" s="39"/>
      <c r="G166" s="34"/>
      <c r="H166" s="32"/>
      <c r="I166" s="34"/>
      <c r="J166" s="34"/>
      <c r="K166" s="35"/>
      <c r="L166" s="34"/>
      <c r="M166" s="32"/>
      <c r="N166" s="34"/>
      <c r="O166" s="34"/>
      <c r="P166" s="34"/>
      <c r="Q166" s="34"/>
      <c r="R166" s="34"/>
      <c r="S166" s="34"/>
      <c r="T166" s="34"/>
      <c r="U166" s="34"/>
      <c r="V166" s="34"/>
      <c r="W166" s="34"/>
    </row>
    <row r="167" spans="2:23" x14ac:dyDescent="0.3">
      <c r="B167" s="33"/>
      <c r="C167" s="34"/>
      <c r="D167" s="39"/>
      <c r="E167" s="39"/>
      <c r="F167" s="39"/>
      <c r="G167" s="34"/>
      <c r="H167" s="32"/>
      <c r="I167" s="34"/>
      <c r="J167" s="34"/>
      <c r="K167" s="35"/>
      <c r="L167" s="34"/>
      <c r="M167" s="32"/>
      <c r="N167" s="34"/>
      <c r="O167" s="34"/>
      <c r="P167" s="34"/>
      <c r="Q167" s="34"/>
      <c r="R167" s="34"/>
      <c r="S167" s="34"/>
      <c r="T167" s="34"/>
      <c r="U167" s="34"/>
      <c r="V167" s="34"/>
      <c r="W167" s="34"/>
    </row>
    <row r="168" spans="2:23" x14ac:dyDescent="0.3">
      <c r="B168" s="33"/>
      <c r="C168" s="34"/>
      <c r="D168" s="39"/>
      <c r="E168" s="39"/>
      <c r="F168" s="39"/>
      <c r="G168" s="34"/>
      <c r="H168" s="32"/>
      <c r="I168" s="34"/>
      <c r="J168" s="34"/>
      <c r="K168" s="35"/>
      <c r="L168" s="34"/>
      <c r="M168" s="32"/>
      <c r="N168" s="34"/>
      <c r="O168" s="34"/>
      <c r="P168" s="34"/>
      <c r="Q168" s="34"/>
      <c r="R168" s="34"/>
      <c r="S168" s="34"/>
      <c r="T168" s="34"/>
      <c r="U168" s="34"/>
      <c r="V168" s="34"/>
      <c r="W168" s="34"/>
    </row>
    <row r="169" spans="2:23" x14ac:dyDescent="0.3">
      <c r="B169" s="33"/>
      <c r="C169" s="34"/>
      <c r="D169" s="39"/>
      <c r="E169" s="39"/>
      <c r="F169" s="39"/>
      <c r="G169" s="34"/>
      <c r="H169" s="32"/>
      <c r="I169" s="34"/>
      <c r="J169" s="34"/>
      <c r="K169" s="35"/>
      <c r="L169" s="34"/>
      <c r="M169" s="32"/>
      <c r="N169" s="34"/>
      <c r="O169" s="34"/>
      <c r="P169" s="34"/>
      <c r="Q169" s="34"/>
      <c r="R169" s="34"/>
      <c r="S169" s="34"/>
      <c r="T169" s="34"/>
      <c r="U169" s="34"/>
      <c r="V169" s="34"/>
      <c r="W169" s="34"/>
    </row>
    <row r="170" spans="2:23" x14ac:dyDescent="0.3">
      <c r="B170" s="33"/>
      <c r="C170" s="34"/>
      <c r="D170" s="39"/>
      <c r="E170" s="39"/>
      <c r="F170" s="39"/>
      <c r="G170" s="34"/>
      <c r="H170" s="32"/>
      <c r="I170" s="34"/>
      <c r="J170" s="34"/>
      <c r="K170" s="35"/>
      <c r="L170" s="34"/>
      <c r="M170" s="32"/>
      <c r="N170" s="34"/>
      <c r="O170" s="34"/>
      <c r="P170" s="34"/>
      <c r="Q170" s="34"/>
      <c r="R170" s="34"/>
      <c r="S170" s="34"/>
      <c r="T170" s="34"/>
      <c r="U170" s="34"/>
      <c r="V170" s="34"/>
      <c r="W170" s="34"/>
    </row>
    <row r="171" spans="2:23" x14ac:dyDescent="0.3">
      <c r="B171" s="33"/>
      <c r="C171" s="34"/>
      <c r="D171" s="39"/>
      <c r="E171" s="39"/>
      <c r="F171" s="39"/>
      <c r="G171" s="34"/>
      <c r="H171" s="32"/>
      <c r="I171" s="34"/>
      <c r="J171" s="34"/>
      <c r="K171" s="35"/>
      <c r="L171" s="34"/>
      <c r="M171" s="32"/>
      <c r="N171" s="34"/>
      <c r="O171" s="34"/>
      <c r="P171" s="34"/>
      <c r="Q171" s="34"/>
      <c r="R171" s="34"/>
      <c r="S171" s="34"/>
      <c r="T171" s="34"/>
      <c r="U171" s="34"/>
      <c r="V171" s="34"/>
      <c r="W171" s="34"/>
    </row>
    <row r="172" spans="2:23" x14ac:dyDescent="0.3">
      <c r="B172" s="33"/>
      <c r="C172" s="34"/>
      <c r="D172" s="39"/>
      <c r="E172" s="39"/>
      <c r="F172" s="39"/>
      <c r="G172" s="34"/>
      <c r="H172" s="32"/>
      <c r="I172" s="34"/>
      <c r="J172" s="34"/>
      <c r="K172" s="35"/>
      <c r="L172" s="34"/>
      <c r="M172" s="32"/>
      <c r="N172" s="34"/>
      <c r="O172" s="34"/>
      <c r="P172" s="34"/>
      <c r="Q172" s="34"/>
      <c r="R172" s="34"/>
      <c r="S172" s="34"/>
      <c r="T172" s="34"/>
      <c r="U172" s="34"/>
      <c r="V172" s="34"/>
      <c r="W172" s="34"/>
    </row>
    <row r="173" spans="2:23" x14ac:dyDescent="0.3">
      <c r="B173" s="33"/>
      <c r="C173" s="34"/>
      <c r="D173" s="39"/>
      <c r="E173" s="39"/>
      <c r="F173" s="39"/>
      <c r="G173" s="34"/>
      <c r="H173" s="32"/>
      <c r="I173" s="34"/>
      <c r="J173" s="34"/>
      <c r="K173" s="35"/>
      <c r="L173" s="34"/>
      <c r="M173" s="32"/>
      <c r="N173" s="34"/>
      <c r="O173" s="34"/>
      <c r="P173" s="34"/>
      <c r="Q173" s="34"/>
      <c r="R173" s="34"/>
      <c r="S173" s="34"/>
      <c r="T173" s="34"/>
      <c r="U173" s="34"/>
      <c r="V173" s="34"/>
      <c r="W173" s="34"/>
    </row>
    <row r="174" spans="2:23" x14ac:dyDescent="0.3">
      <c r="B174" s="33"/>
      <c r="C174" s="34"/>
      <c r="D174" s="39"/>
      <c r="E174" s="39"/>
      <c r="F174" s="39"/>
      <c r="G174" s="34"/>
      <c r="H174" s="32"/>
      <c r="I174" s="34"/>
      <c r="J174" s="34"/>
      <c r="K174" s="35"/>
      <c r="L174" s="34"/>
      <c r="M174" s="32"/>
      <c r="N174" s="34"/>
      <c r="O174" s="34"/>
      <c r="P174" s="34"/>
      <c r="Q174" s="34"/>
      <c r="R174" s="34"/>
      <c r="S174" s="34"/>
      <c r="T174" s="34"/>
      <c r="U174" s="34"/>
      <c r="V174" s="34"/>
      <c r="W174" s="34"/>
    </row>
    <row r="175" spans="2:23" x14ac:dyDescent="0.3">
      <c r="B175" s="33"/>
      <c r="C175" s="34"/>
      <c r="D175" s="39"/>
      <c r="E175" s="39"/>
      <c r="F175" s="39"/>
      <c r="G175" s="34"/>
      <c r="H175" s="32"/>
      <c r="I175" s="34"/>
      <c r="J175" s="34"/>
      <c r="K175" s="35"/>
      <c r="L175" s="34"/>
      <c r="M175" s="32"/>
      <c r="N175" s="34"/>
      <c r="O175" s="34"/>
      <c r="P175" s="34"/>
      <c r="Q175" s="34"/>
      <c r="R175" s="34"/>
      <c r="S175" s="34"/>
      <c r="T175" s="34"/>
      <c r="U175" s="34"/>
      <c r="V175" s="34"/>
      <c r="W175" s="34"/>
    </row>
    <row r="176" spans="2:23" x14ac:dyDescent="0.3">
      <c r="B176" s="33"/>
      <c r="C176" s="34"/>
      <c r="D176" s="39"/>
      <c r="E176" s="39"/>
      <c r="F176" s="39"/>
      <c r="G176" s="34"/>
      <c r="H176" s="32"/>
      <c r="I176" s="34"/>
      <c r="J176" s="34"/>
      <c r="K176" s="35"/>
      <c r="L176" s="34"/>
      <c r="M176" s="32"/>
      <c r="N176" s="34"/>
      <c r="O176" s="34"/>
      <c r="P176" s="34"/>
      <c r="Q176" s="34"/>
      <c r="R176" s="34"/>
      <c r="S176" s="34"/>
      <c r="T176" s="34"/>
      <c r="U176" s="34"/>
      <c r="V176" s="34"/>
      <c r="W176" s="34"/>
    </row>
    <row r="177" spans="2:23" x14ac:dyDescent="0.3">
      <c r="B177" s="33"/>
      <c r="C177" s="34"/>
      <c r="D177" s="39"/>
      <c r="E177" s="39"/>
      <c r="F177" s="39"/>
      <c r="G177" s="34"/>
      <c r="H177" s="32"/>
      <c r="I177" s="34"/>
      <c r="J177" s="34"/>
      <c r="K177" s="35"/>
      <c r="L177" s="34"/>
      <c r="M177" s="32"/>
      <c r="N177" s="34"/>
      <c r="O177" s="34"/>
      <c r="P177" s="34"/>
      <c r="Q177" s="34"/>
      <c r="R177" s="34"/>
      <c r="S177" s="34"/>
      <c r="T177" s="34"/>
      <c r="U177" s="34"/>
      <c r="V177" s="34"/>
      <c r="W177" s="34"/>
    </row>
    <row r="178" spans="2:23" x14ac:dyDescent="0.3">
      <c r="B178" s="33"/>
      <c r="C178" s="34"/>
      <c r="D178" s="39"/>
      <c r="E178" s="39"/>
      <c r="F178" s="39"/>
      <c r="G178" s="34"/>
      <c r="H178" s="32"/>
      <c r="I178" s="34"/>
      <c r="J178" s="34"/>
      <c r="K178" s="35"/>
      <c r="L178" s="34"/>
      <c r="M178" s="32"/>
      <c r="N178" s="34"/>
      <c r="O178" s="34"/>
      <c r="P178" s="34"/>
      <c r="Q178" s="34"/>
      <c r="R178" s="34"/>
      <c r="S178" s="34"/>
      <c r="T178" s="34"/>
      <c r="U178" s="34"/>
      <c r="V178" s="34"/>
      <c r="W178" s="34"/>
    </row>
    <row r="179" spans="2:23" x14ac:dyDescent="0.3">
      <c r="B179" s="33"/>
      <c r="C179" s="34"/>
      <c r="D179" s="39"/>
      <c r="E179" s="39"/>
      <c r="F179" s="39"/>
      <c r="G179" s="34"/>
      <c r="H179" s="32"/>
      <c r="I179" s="34"/>
      <c r="J179" s="34"/>
      <c r="K179" s="35"/>
      <c r="L179" s="34"/>
      <c r="M179" s="32"/>
      <c r="N179" s="34"/>
      <c r="O179" s="34"/>
      <c r="P179" s="34"/>
      <c r="Q179" s="34"/>
      <c r="R179" s="34"/>
      <c r="S179" s="34"/>
      <c r="T179" s="34"/>
      <c r="U179" s="34"/>
      <c r="V179" s="34"/>
      <c r="W179" s="34"/>
    </row>
    <row r="180" spans="2:23" x14ac:dyDescent="0.3">
      <c r="B180" s="33"/>
      <c r="C180" s="34"/>
      <c r="D180" s="39"/>
      <c r="E180" s="39"/>
      <c r="F180" s="39"/>
      <c r="G180" s="34"/>
      <c r="H180" s="32"/>
      <c r="I180" s="34"/>
      <c r="J180" s="34"/>
      <c r="K180" s="35"/>
      <c r="L180" s="34"/>
      <c r="M180" s="32"/>
      <c r="N180" s="34"/>
      <c r="O180" s="34"/>
      <c r="P180" s="34"/>
      <c r="Q180" s="34"/>
      <c r="R180" s="34"/>
      <c r="S180" s="34"/>
      <c r="T180" s="34"/>
      <c r="U180" s="34"/>
      <c r="V180" s="34"/>
      <c r="W180" s="34"/>
    </row>
    <row r="181" spans="2:23" x14ac:dyDescent="0.3">
      <c r="B181" s="33"/>
      <c r="C181" s="34"/>
      <c r="D181" s="39"/>
      <c r="E181" s="39"/>
      <c r="F181" s="39"/>
      <c r="G181" s="34"/>
      <c r="H181" s="32"/>
      <c r="I181" s="34"/>
      <c r="J181" s="34"/>
      <c r="K181" s="35"/>
      <c r="L181" s="34"/>
      <c r="M181" s="32"/>
      <c r="N181" s="34"/>
      <c r="O181" s="34"/>
      <c r="P181" s="34"/>
      <c r="Q181" s="34"/>
      <c r="R181" s="34"/>
      <c r="S181" s="34"/>
      <c r="T181" s="34"/>
      <c r="U181" s="34"/>
      <c r="V181" s="34"/>
      <c r="W181" s="34"/>
    </row>
    <row r="182" spans="2:23" x14ac:dyDescent="0.3">
      <c r="B182" s="33"/>
      <c r="C182" s="34"/>
      <c r="D182" s="39"/>
      <c r="E182" s="39"/>
      <c r="F182" s="39"/>
      <c r="G182" s="34"/>
      <c r="H182" s="32"/>
      <c r="I182" s="34"/>
      <c r="J182" s="34"/>
      <c r="K182" s="35"/>
      <c r="L182" s="34"/>
      <c r="M182" s="32"/>
      <c r="N182" s="34"/>
      <c r="O182" s="34"/>
      <c r="P182" s="34"/>
      <c r="Q182" s="34"/>
      <c r="R182" s="34"/>
      <c r="S182" s="34"/>
      <c r="T182" s="34"/>
      <c r="U182" s="34"/>
      <c r="V182" s="34"/>
      <c r="W182" s="34"/>
    </row>
    <row r="183" spans="2:23" x14ac:dyDescent="0.3">
      <c r="B183" s="33"/>
      <c r="C183" s="34"/>
      <c r="D183" s="39"/>
      <c r="E183" s="39"/>
      <c r="F183" s="39"/>
      <c r="G183" s="34"/>
      <c r="H183" s="32"/>
      <c r="I183" s="34"/>
      <c r="J183" s="34"/>
      <c r="K183" s="35"/>
      <c r="L183" s="34"/>
      <c r="M183" s="32"/>
      <c r="N183" s="34"/>
      <c r="O183" s="34"/>
      <c r="P183" s="34"/>
      <c r="Q183" s="34"/>
      <c r="R183" s="34"/>
      <c r="S183" s="34"/>
      <c r="T183" s="34"/>
      <c r="U183" s="34"/>
      <c r="V183" s="34"/>
      <c r="W183" s="34"/>
    </row>
    <row r="184" spans="2:23" x14ac:dyDescent="0.3">
      <c r="B184" s="33"/>
      <c r="C184" s="34"/>
      <c r="D184" s="39"/>
      <c r="E184" s="39"/>
      <c r="F184" s="39"/>
      <c r="G184" s="34"/>
      <c r="H184" s="32"/>
      <c r="I184" s="34"/>
      <c r="J184" s="34"/>
      <c r="K184" s="35"/>
      <c r="L184" s="34"/>
      <c r="M184" s="32"/>
      <c r="N184" s="34"/>
      <c r="O184" s="34"/>
      <c r="P184" s="34"/>
      <c r="Q184" s="34"/>
      <c r="R184" s="34"/>
      <c r="S184" s="34"/>
      <c r="T184" s="34"/>
      <c r="U184" s="34"/>
      <c r="V184" s="34"/>
      <c r="W184" s="34"/>
    </row>
    <row r="185" spans="2:23" x14ac:dyDescent="0.3">
      <c r="B185" s="33"/>
      <c r="C185" s="34"/>
      <c r="D185" s="39"/>
      <c r="E185" s="39"/>
      <c r="F185" s="39"/>
      <c r="G185" s="34"/>
      <c r="H185" s="32"/>
      <c r="I185" s="34"/>
      <c r="J185" s="34"/>
      <c r="K185" s="35"/>
      <c r="L185" s="34"/>
      <c r="M185" s="32"/>
      <c r="N185" s="34"/>
      <c r="O185" s="34"/>
      <c r="P185" s="34"/>
      <c r="Q185" s="34"/>
      <c r="R185" s="34"/>
      <c r="S185" s="34"/>
      <c r="T185" s="34"/>
      <c r="U185" s="34"/>
      <c r="V185" s="34"/>
      <c r="W185" s="34"/>
    </row>
    <row r="186" spans="2:23" x14ac:dyDescent="0.3">
      <c r="B186" s="33"/>
      <c r="C186" s="34"/>
      <c r="D186" s="39"/>
      <c r="E186" s="39"/>
      <c r="F186" s="39"/>
      <c r="G186" s="34"/>
      <c r="H186" s="32"/>
      <c r="I186" s="34"/>
      <c r="J186" s="34"/>
      <c r="K186" s="35"/>
      <c r="L186" s="34"/>
      <c r="M186" s="32"/>
      <c r="N186" s="34"/>
      <c r="O186" s="34"/>
      <c r="P186" s="34"/>
      <c r="Q186" s="34"/>
      <c r="R186" s="34"/>
      <c r="S186" s="34"/>
      <c r="T186" s="34"/>
      <c r="U186" s="34"/>
      <c r="V186" s="34"/>
      <c r="W186" s="34"/>
    </row>
    <row r="187" spans="2:23" x14ac:dyDescent="0.3">
      <c r="B187" s="33"/>
      <c r="C187" s="34"/>
      <c r="D187" s="39"/>
      <c r="E187" s="39"/>
      <c r="F187" s="39"/>
      <c r="G187" s="34"/>
      <c r="H187" s="32"/>
      <c r="I187" s="34"/>
      <c r="J187" s="34"/>
      <c r="K187" s="35"/>
      <c r="L187" s="34"/>
      <c r="M187" s="32"/>
      <c r="N187" s="34"/>
      <c r="O187" s="34"/>
      <c r="P187" s="34"/>
      <c r="Q187" s="34"/>
      <c r="R187" s="34"/>
      <c r="S187" s="34"/>
      <c r="T187" s="34"/>
      <c r="U187" s="34"/>
      <c r="V187" s="34"/>
      <c r="W187" s="34"/>
    </row>
    <row r="188" spans="2:23" x14ac:dyDescent="0.3">
      <c r="B188" s="33"/>
      <c r="C188" s="34"/>
      <c r="D188" s="39"/>
      <c r="E188" s="39"/>
      <c r="F188" s="39"/>
      <c r="G188" s="34"/>
      <c r="H188" s="32"/>
      <c r="I188" s="34"/>
      <c r="J188" s="34"/>
      <c r="K188" s="35"/>
      <c r="L188" s="34"/>
      <c r="M188" s="32"/>
      <c r="N188" s="34"/>
      <c r="O188" s="34"/>
      <c r="P188" s="34"/>
      <c r="Q188" s="34"/>
      <c r="R188" s="34"/>
      <c r="S188" s="34"/>
      <c r="T188" s="34"/>
      <c r="U188" s="34"/>
      <c r="V188" s="34"/>
      <c r="W188" s="34"/>
    </row>
    <row r="189" spans="2:23" x14ac:dyDescent="0.3">
      <c r="B189" s="33"/>
      <c r="C189" s="34"/>
      <c r="D189" s="39"/>
      <c r="E189" s="39"/>
      <c r="F189" s="39"/>
      <c r="G189" s="34"/>
      <c r="H189" s="32"/>
      <c r="I189" s="34"/>
      <c r="J189" s="34"/>
      <c r="K189" s="35"/>
      <c r="L189" s="34"/>
      <c r="M189" s="32"/>
      <c r="N189" s="34"/>
      <c r="O189" s="34"/>
      <c r="P189" s="34"/>
      <c r="Q189" s="34"/>
      <c r="R189" s="34"/>
      <c r="S189" s="34"/>
      <c r="T189" s="34"/>
      <c r="U189" s="34"/>
      <c r="V189" s="34"/>
      <c r="W189" s="34"/>
    </row>
    <row r="190" spans="2:23" x14ac:dyDescent="0.3">
      <c r="B190" s="33"/>
      <c r="C190" s="34"/>
      <c r="D190" s="39"/>
      <c r="E190" s="39"/>
      <c r="F190" s="39"/>
      <c r="G190" s="34"/>
      <c r="H190" s="32"/>
      <c r="I190" s="34"/>
      <c r="J190" s="34"/>
      <c r="K190" s="35"/>
      <c r="L190" s="34"/>
      <c r="M190" s="32"/>
      <c r="N190" s="34"/>
      <c r="O190" s="34"/>
      <c r="P190" s="34"/>
      <c r="Q190" s="34"/>
      <c r="R190" s="34"/>
      <c r="S190" s="34"/>
      <c r="T190" s="34"/>
      <c r="U190" s="34"/>
      <c r="V190" s="34"/>
      <c r="W190" s="34"/>
    </row>
    <row r="191" spans="2:23" x14ac:dyDescent="0.3">
      <c r="B191" s="33"/>
      <c r="C191" s="34"/>
      <c r="D191" s="39"/>
      <c r="E191" s="39"/>
      <c r="F191" s="39"/>
      <c r="G191" s="34"/>
      <c r="H191" s="32"/>
      <c r="I191" s="34"/>
      <c r="J191" s="34"/>
      <c r="K191" s="35"/>
      <c r="L191" s="34"/>
      <c r="M191" s="32"/>
      <c r="N191" s="34"/>
      <c r="O191" s="34"/>
      <c r="P191" s="34"/>
      <c r="Q191" s="34"/>
      <c r="R191" s="34"/>
      <c r="S191" s="34"/>
      <c r="T191" s="34"/>
      <c r="U191" s="34"/>
      <c r="V191" s="34"/>
      <c r="W191" s="34"/>
    </row>
    <row r="192" spans="2:23" x14ac:dyDescent="0.3">
      <c r="B192" s="33"/>
      <c r="C192" s="34"/>
      <c r="D192" s="39"/>
      <c r="E192" s="39"/>
      <c r="F192" s="39"/>
      <c r="G192" s="34"/>
      <c r="H192" s="34"/>
      <c r="I192" s="34"/>
      <c r="J192" s="34"/>
      <c r="K192" s="35"/>
      <c r="L192" s="34"/>
      <c r="M192" s="32"/>
      <c r="N192" s="34"/>
      <c r="O192" s="34"/>
      <c r="P192" s="34"/>
      <c r="Q192" s="34"/>
      <c r="R192" s="34"/>
      <c r="S192" s="34"/>
      <c r="T192" s="34"/>
      <c r="U192" s="34"/>
      <c r="V192" s="34"/>
      <c r="W192" s="34"/>
    </row>
    <row r="193" spans="2:23" x14ac:dyDescent="0.3">
      <c r="B193" s="33"/>
      <c r="C193" s="34"/>
      <c r="D193" s="39"/>
      <c r="E193" s="39"/>
      <c r="F193" s="39"/>
      <c r="G193" s="34"/>
      <c r="H193" s="34"/>
      <c r="I193" s="34"/>
      <c r="J193" s="34"/>
      <c r="K193" s="35"/>
      <c r="L193" s="34"/>
      <c r="M193" s="32"/>
      <c r="N193" s="34"/>
      <c r="O193" s="34"/>
      <c r="P193" s="34"/>
      <c r="Q193" s="34"/>
      <c r="R193" s="34"/>
      <c r="S193" s="34"/>
      <c r="T193" s="34"/>
      <c r="U193" s="34"/>
      <c r="V193" s="34"/>
      <c r="W193" s="34"/>
    </row>
    <row r="194" spans="2:23" x14ac:dyDescent="0.3">
      <c r="B194" s="33"/>
      <c r="C194" s="34"/>
      <c r="D194" s="39"/>
      <c r="E194" s="39"/>
      <c r="F194" s="39"/>
      <c r="G194" s="34"/>
      <c r="H194" s="34"/>
      <c r="I194" s="34"/>
      <c r="J194" s="34"/>
      <c r="K194" s="35"/>
      <c r="L194" s="34"/>
      <c r="M194" s="32"/>
      <c r="N194" s="34"/>
      <c r="O194" s="34"/>
      <c r="P194" s="34"/>
      <c r="Q194" s="34"/>
      <c r="R194" s="34"/>
      <c r="S194" s="34"/>
      <c r="T194" s="34"/>
      <c r="U194" s="34"/>
      <c r="V194" s="34"/>
      <c r="W194" s="34"/>
    </row>
    <row r="195" spans="2:23" x14ac:dyDescent="0.3">
      <c r="B195" s="33"/>
      <c r="C195" s="34"/>
      <c r="D195" s="39"/>
      <c r="E195" s="39"/>
      <c r="F195" s="39"/>
      <c r="G195" s="34"/>
      <c r="H195" s="34"/>
      <c r="I195" s="34"/>
      <c r="J195" s="34"/>
      <c r="K195" s="35"/>
      <c r="L195" s="34"/>
      <c r="M195" s="32"/>
      <c r="N195" s="34"/>
      <c r="O195" s="34"/>
      <c r="P195" s="34"/>
      <c r="Q195" s="34"/>
      <c r="R195" s="34"/>
      <c r="S195" s="34"/>
      <c r="T195" s="34"/>
      <c r="U195" s="34"/>
      <c r="V195" s="34"/>
      <c r="W195" s="34"/>
    </row>
    <row r="196" spans="2:23" x14ac:dyDescent="0.3">
      <c r="B196" s="33"/>
      <c r="C196" s="34"/>
      <c r="D196" s="39"/>
      <c r="E196" s="39"/>
      <c r="F196" s="39"/>
      <c r="G196" s="34"/>
      <c r="H196" s="34"/>
      <c r="I196" s="34"/>
      <c r="J196" s="34"/>
      <c r="K196" s="35"/>
      <c r="L196" s="34"/>
      <c r="M196" s="32"/>
      <c r="N196" s="34"/>
      <c r="O196" s="34"/>
      <c r="P196" s="34"/>
      <c r="Q196" s="34"/>
      <c r="R196" s="34"/>
      <c r="S196" s="34"/>
      <c r="T196" s="34"/>
      <c r="U196" s="34"/>
      <c r="V196" s="34"/>
      <c r="W196" s="34"/>
    </row>
    <row r="197" spans="2:23" x14ac:dyDescent="0.3">
      <c r="B197" s="33"/>
      <c r="C197" s="34"/>
      <c r="D197" s="39"/>
      <c r="E197" s="39"/>
      <c r="F197" s="39"/>
      <c r="G197" s="34"/>
      <c r="H197" s="34"/>
      <c r="I197" s="34"/>
      <c r="J197" s="34"/>
      <c r="K197" s="35"/>
      <c r="L197" s="34"/>
      <c r="M197" s="32"/>
      <c r="N197" s="34"/>
      <c r="O197" s="34"/>
      <c r="P197" s="34"/>
      <c r="Q197" s="34"/>
      <c r="R197" s="34"/>
      <c r="S197" s="34"/>
      <c r="T197" s="34"/>
      <c r="U197" s="34"/>
      <c r="V197" s="34"/>
      <c r="W197" s="34"/>
    </row>
    <row r="198" spans="2:23" x14ac:dyDescent="0.3">
      <c r="B198" s="33"/>
      <c r="C198" s="34"/>
      <c r="D198" s="39"/>
      <c r="E198" s="39"/>
      <c r="F198" s="39"/>
      <c r="G198" s="34"/>
      <c r="H198" s="34"/>
      <c r="I198" s="34"/>
      <c r="J198" s="34"/>
      <c r="K198" s="35"/>
      <c r="L198" s="34"/>
      <c r="M198" s="32"/>
      <c r="N198" s="34"/>
      <c r="O198" s="34"/>
      <c r="P198" s="34"/>
      <c r="Q198" s="34"/>
      <c r="R198" s="34"/>
      <c r="S198" s="34"/>
      <c r="T198" s="34"/>
      <c r="U198" s="34"/>
      <c r="V198" s="34"/>
      <c r="W198" s="34"/>
    </row>
    <row r="199" spans="2:23" x14ac:dyDescent="0.3">
      <c r="B199" s="33"/>
      <c r="C199" s="34"/>
      <c r="D199" s="39"/>
      <c r="E199" s="39"/>
      <c r="F199" s="39"/>
      <c r="G199" s="34"/>
      <c r="H199" s="34"/>
      <c r="I199" s="34"/>
      <c r="J199" s="34"/>
      <c r="K199" s="35"/>
      <c r="L199" s="34"/>
      <c r="M199" s="32"/>
      <c r="N199" s="34"/>
      <c r="O199" s="34"/>
      <c r="P199" s="34"/>
      <c r="Q199" s="34"/>
      <c r="R199" s="34"/>
      <c r="S199" s="34"/>
      <c r="T199" s="34"/>
      <c r="U199" s="34"/>
      <c r="V199" s="34"/>
      <c r="W199" s="34"/>
    </row>
    <row r="200" spans="2:23" x14ac:dyDescent="0.3">
      <c r="B200" s="33"/>
      <c r="C200" s="34"/>
      <c r="D200" s="39"/>
      <c r="E200" s="39"/>
      <c r="F200" s="39"/>
      <c r="G200" s="34"/>
      <c r="H200" s="34"/>
      <c r="I200" s="34"/>
      <c r="J200" s="34"/>
      <c r="K200" s="35"/>
      <c r="L200" s="34"/>
      <c r="M200" s="32"/>
      <c r="N200" s="34"/>
      <c r="O200" s="34"/>
      <c r="P200" s="34"/>
      <c r="Q200" s="34"/>
      <c r="R200" s="34"/>
      <c r="S200" s="34"/>
      <c r="T200" s="34"/>
      <c r="U200" s="34"/>
      <c r="V200" s="34"/>
      <c r="W200" s="34"/>
    </row>
    <row r="201" spans="2:23" x14ac:dyDescent="0.3">
      <c r="B201" s="33"/>
      <c r="C201" s="34"/>
      <c r="D201" s="39"/>
      <c r="E201" s="39"/>
      <c r="F201" s="39"/>
      <c r="G201" s="34"/>
      <c r="H201" s="34"/>
      <c r="I201" s="34"/>
      <c r="J201" s="34"/>
      <c r="K201" s="35"/>
      <c r="L201" s="34"/>
      <c r="M201" s="32"/>
      <c r="N201" s="34"/>
      <c r="O201" s="34"/>
      <c r="P201" s="34"/>
      <c r="Q201" s="34"/>
      <c r="R201" s="34"/>
      <c r="S201" s="34"/>
      <c r="T201" s="34"/>
      <c r="U201" s="34"/>
      <c r="V201" s="34"/>
      <c r="W201" s="34"/>
    </row>
    <row r="202" spans="2:23" x14ac:dyDescent="0.3">
      <c r="B202" s="33"/>
      <c r="C202" s="34"/>
      <c r="D202" s="39"/>
      <c r="E202" s="39"/>
      <c r="F202" s="39"/>
      <c r="G202" s="34"/>
      <c r="H202" s="34"/>
      <c r="I202" s="34"/>
      <c r="J202" s="34"/>
      <c r="K202" s="35"/>
      <c r="L202" s="34"/>
      <c r="M202" s="32"/>
      <c r="N202" s="34"/>
      <c r="O202" s="34"/>
      <c r="P202" s="34"/>
      <c r="Q202" s="34"/>
      <c r="R202" s="34"/>
      <c r="S202" s="34"/>
      <c r="T202" s="34"/>
      <c r="U202" s="34"/>
      <c r="V202" s="34"/>
      <c r="W202" s="34"/>
    </row>
    <row r="203" spans="2:23" x14ac:dyDescent="0.3">
      <c r="B203" s="33"/>
      <c r="C203" s="34"/>
      <c r="D203" s="39"/>
      <c r="E203" s="39"/>
      <c r="F203" s="39"/>
      <c r="G203" s="34"/>
      <c r="H203" s="34"/>
      <c r="I203" s="34"/>
      <c r="J203" s="34"/>
      <c r="K203" s="35"/>
      <c r="L203" s="34"/>
      <c r="M203" s="32"/>
      <c r="N203" s="34"/>
      <c r="O203" s="34"/>
      <c r="P203" s="34"/>
      <c r="Q203" s="34"/>
      <c r="R203" s="34"/>
      <c r="S203" s="34"/>
      <c r="T203" s="34"/>
      <c r="U203" s="34"/>
      <c r="V203" s="34"/>
      <c r="W203" s="34"/>
    </row>
    <row r="204" spans="2:23" x14ac:dyDescent="0.3">
      <c r="B204" s="33"/>
      <c r="C204" s="34"/>
      <c r="D204" s="39"/>
      <c r="E204" s="39"/>
      <c r="F204" s="39"/>
      <c r="G204" s="34"/>
      <c r="H204" s="34"/>
      <c r="I204" s="34"/>
      <c r="J204" s="34"/>
      <c r="K204" s="35"/>
      <c r="L204" s="34"/>
      <c r="M204" s="32"/>
      <c r="N204" s="34"/>
      <c r="O204" s="34"/>
      <c r="P204" s="34"/>
      <c r="Q204" s="34"/>
      <c r="R204" s="34"/>
      <c r="S204" s="34"/>
      <c r="T204" s="34"/>
      <c r="U204" s="34"/>
      <c r="V204" s="34"/>
      <c r="W204" s="34"/>
    </row>
    <row r="205" spans="2:23" x14ac:dyDescent="0.3">
      <c r="B205" s="33"/>
      <c r="C205" s="34"/>
      <c r="D205" s="34"/>
      <c r="E205" s="34"/>
      <c r="F205" s="34"/>
      <c r="G205" s="34"/>
      <c r="H205" s="34"/>
      <c r="I205" s="34"/>
      <c r="J205" s="34"/>
      <c r="K205" s="35"/>
      <c r="L205" s="34"/>
      <c r="M205" s="32"/>
      <c r="N205" s="34"/>
      <c r="O205" s="34"/>
      <c r="P205" s="34"/>
      <c r="Q205" s="34"/>
      <c r="R205" s="34"/>
      <c r="S205" s="34"/>
      <c r="T205" s="34"/>
      <c r="U205" s="34"/>
      <c r="V205" s="34"/>
      <c r="W205" s="34"/>
    </row>
    <row r="206" spans="2:23" x14ac:dyDescent="0.3">
      <c r="B206" s="33"/>
      <c r="C206" s="34"/>
      <c r="D206" s="34"/>
      <c r="E206" s="34"/>
      <c r="F206" s="34"/>
      <c r="G206" s="34"/>
      <c r="H206" s="34"/>
      <c r="I206" s="34"/>
      <c r="J206" s="34"/>
      <c r="K206" s="35"/>
      <c r="L206" s="34"/>
      <c r="M206" s="32"/>
      <c r="N206" s="34"/>
      <c r="O206" s="34"/>
      <c r="P206" s="34"/>
      <c r="Q206" s="34"/>
      <c r="R206" s="34"/>
      <c r="S206" s="34"/>
      <c r="T206" s="34"/>
      <c r="U206" s="34"/>
      <c r="V206" s="34"/>
      <c r="W206" s="34"/>
    </row>
    <row r="207" spans="2:23" x14ac:dyDescent="0.3">
      <c r="B207" s="33"/>
      <c r="C207" s="34"/>
      <c r="D207" s="34"/>
      <c r="E207" s="34"/>
      <c r="F207" s="34"/>
      <c r="G207" s="34"/>
      <c r="H207" s="34"/>
      <c r="I207" s="34"/>
      <c r="J207" s="34"/>
      <c r="K207" s="35"/>
      <c r="L207" s="34"/>
      <c r="M207" s="32"/>
      <c r="N207" s="34"/>
      <c r="O207" s="34"/>
      <c r="P207" s="34"/>
      <c r="Q207" s="34"/>
      <c r="R207" s="34"/>
      <c r="S207" s="34"/>
      <c r="T207" s="34"/>
      <c r="U207" s="34"/>
      <c r="V207" s="34"/>
      <c r="W207" s="34"/>
    </row>
    <row r="208" spans="2:23" x14ac:dyDescent="0.3">
      <c r="B208" s="33"/>
      <c r="C208" s="34"/>
      <c r="D208" s="34"/>
      <c r="E208" s="34"/>
      <c r="F208" s="34"/>
      <c r="G208" s="34"/>
      <c r="H208" s="34"/>
      <c r="I208" s="34"/>
      <c r="J208" s="34"/>
      <c r="K208" s="35"/>
      <c r="L208" s="34"/>
      <c r="M208" s="32"/>
      <c r="N208" s="34"/>
      <c r="O208" s="34"/>
      <c r="P208" s="34"/>
      <c r="Q208" s="34"/>
      <c r="R208" s="34"/>
      <c r="S208" s="34"/>
      <c r="T208" s="34"/>
      <c r="U208" s="34"/>
      <c r="V208" s="34"/>
      <c r="W208" s="34"/>
    </row>
    <row r="209" spans="2:23" x14ac:dyDescent="0.3">
      <c r="B209" s="33"/>
      <c r="C209" s="34"/>
      <c r="D209" s="34"/>
      <c r="E209" s="34"/>
      <c r="F209" s="34"/>
      <c r="G209" s="34"/>
      <c r="H209" s="34"/>
      <c r="I209" s="34"/>
      <c r="J209" s="34"/>
      <c r="K209" s="35"/>
      <c r="L209" s="34"/>
      <c r="M209" s="32"/>
      <c r="N209" s="34"/>
      <c r="O209" s="34"/>
      <c r="P209" s="34"/>
      <c r="Q209" s="34"/>
      <c r="R209" s="34"/>
      <c r="S209" s="34"/>
      <c r="T209" s="34"/>
      <c r="U209" s="34"/>
      <c r="V209" s="34"/>
      <c r="W209" s="34"/>
    </row>
    <row r="210" spans="2:23" x14ac:dyDescent="0.3">
      <c r="B210" s="33"/>
      <c r="C210" s="34"/>
      <c r="D210" s="34"/>
      <c r="E210" s="34"/>
      <c r="F210" s="34"/>
      <c r="G210" s="34"/>
      <c r="H210" s="34"/>
      <c r="I210" s="34"/>
      <c r="J210" s="34"/>
      <c r="K210" s="35"/>
      <c r="L210" s="34"/>
      <c r="M210" s="32"/>
      <c r="N210" s="34"/>
      <c r="O210" s="34"/>
      <c r="P210" s="34"/>
      <c r="Q210" s="34"/>
      <c r="R210" s="34"/>
      <c r="S210" s="34"/>
      <c r="T210" s="34"/>
      <c r="U210" s="34"/>
      <c r="V210" s="34"/>
      <c r="W210" s="34"/>
    </row>
    <row r="211" spans="2:23" x14ac:dyDescent="0.3">
      <c r="B211" s="33"/>
      <c r="C211" s="34"/>
      <c r="D211" s="34"/>
      <c r="E211" s="34"/>
      <c r="F211" s="34"/>
      <c r="G211" s="34"/>
      <c r="H211" s="34"/>
      <c r="I211" s="34"/>
      <c r="J211" s="34"/>
      <c r="K211" s="35"/>
      <c r="L211" s="34"/>
      <c r="M211" s="32"/>
      <c r="N211" s="34"/>
      <c r="O211" s="34"/>
      <c r="P211" s="34"/>
      <c r="Q211" s="34"/>
      <c r="R211" s="34"/>
      <c r="S211" s="34"/>
      <c r="T211" s="34"/>
      <c r="U211" s="34"/>
      <c r="V211" s="34"/>
      <c r="W211" s="34"/>
    </row>
    <row r="212" spans="2:23" x14ac:dyDescent="0.3">
      <c r="B212" s="33"/>
      <c r="C212" s="34"/>
      <c r="D212" s="34"/>
      <c r="E212" s="34"/>
      <c r="F212" s="34"/>
      <c r="G212" s="34"/>
      <c r="H212" s="34"/>
      <c r="I212" s="34"/>
      <c r="J212" s="34"/>
      <c r="K212" s="35"/>
      <c r="L212" s="34"/>
      <c r="M212" s="32"/>
      <c r="N212" s="34"/>
      <c r="O212" s="34"/>
      <c r="P212" s="34"/>
      <c r="Q212" s="34"/>
      <c r="R212" s="34"/>
      <c r="S212" s="34"/>
      <c r="T212" s="34"/>
      <c r="U212" s="34"/>
      <c r="V212" s="34"/>
      <c r="W212" s="34"/>
    </row>
    <row r="213" spans="2:23" x14ac:dyDescent="0.3">
      <c r="B213" s="33"/>
      <c r="C213" s="34"/>
      <c r="D213" s="34"/>
      <c r="E213" s="34"/>
      <c r="F213" s="34"/>
      <c r="G213" s="34"/>
      <c r="H213" s="34"/>
      <c r="I213" s="34"/>
      <c r="J213" s="34"/>
      <c r="K213" s="35"/>
      <c r="L213" s="34"/>
      <c r="M213" s="32"/>
      <c r="N213" s="34"/>
      <c r="O213" s="34"/>
      <c r="P213" s="34"/>
      <c r="Q213" s="34"/>
      <c r="R213" s="34"/>
      <c r="S213" s="34"/>
      <c r="T213" s="34"/>
      <c r="U213" s="34"/>
      <c r="V213" s="34"/>
      <c r="W213" s="34"/>
    </row>
    <row r="214" spans="2:23" x14ac:dyDescent="0.3">
      <c r="B214" s="33"/>
      <c r="C214" s="34"/>
      <c r="D214" s="34"/>
      <c r="E214" s="34"/>
      <c r="F214" s="34"/>
      <c r="G214" s="34"/>
      <c r="H214" s="34"/>
      <c r="I214" s="34"/>
      <c r="J214" s="34"/>
      <c r="K214" s="35"/>
      <c r="L214" s="34"/>
      <c r="M214" s="32"/>
      <c r="N214" s="34"/>
      <c r="O214" s="34"/>
      <c r="P214" s="34"/>
      <c r="Q214" s="34"/>
      <c r="R214" s="34"/>
      <c r="S214" s="34"/>
      <c r="T214" s="34"/>
      <c r="U214" s="34"/>
      <c r="V214" s="34"/>
      <c r="W214" s="34"/>
    </row>
    <row r="215" spans="2:23" x14ac:dyDescent="0.3">
      <c r="B215" s="33"/>
      <c r="C215" s="34"/>
      <c r="D215" s="34"/>
      <c r="E215" s="34"/>
      <c r="F215" s="34"/>
      <c r="G215" s="34"/>
      <c r="H215" s="34"/>
      <c r="I215" s="34"/>
      <c r="J215" s="34"/>
      <c r="K215" s="35"/>
      <c r="L215" s="34"/>
      <c r="M215" s="32"/>
      <c r="N215" s="34"/>
      <c r="O215" s="34"/>
      <c r="P215" s="34"/>
      <c r="Q215" s="34"/>
      <c r="R215" s="34"/>
      <c r="S215" s="34"/>
      <c r="T215" s="34"/>
      <c r="U215" s="34"/>
      <c r="V215" s="34"/>
      <c r="W215" s="34"/>
    </row>
    <row r="216" spans="2:23" x14ac:dyDescent="0.3">
      <c r="B216" s="33"/>
      <c r="C216" s="34"/>
      <c r="D216" s="34"/>
      <c r="E216" s="34"/>
      <c r="F216" s="34"/>
      <c r="G216" s="34"/>
      <c r="H216" s="34"/>
      <c r="I216" s="34"/>
      <c r="J216" s="34"/>
      <c r="K216" s="35"/>
      <c r="L216" s="34"/>
      <c r="M216" s="32"/>
      <c r="N216" s="34"/>
      <c r="O216" s="34"/>
      <c r="P216" s="34"/>
      <c r="Q216" s="34"/>
      <c r="R216" s="34"/>
      <c r="S216" s="34"/>
      <c r="T216" s="34"/>
      <c r="U216" s="34"/>
      <c r="V216" s="34"/>
      <c r="W216" s="34"/>
    </row>
    <row r="217" spans="2:23" x14ac:dyDescent="0.3">
      <c r="B217" s="33"/>
      <c r="C217" s="34"/>
      <c r="D217" s="34"/>
      <c r="E217" s="34"/>
      <c r="F217" s="34"/>
      <c r="G217" s="34"/>
      <c r="H217" s="34"/>
      <c r="I217" s="34"/>
      <c r="J217" s="34"/>
      <c r="K217" s="35"/>
      <c r="L217" s="34"/>
      <c r="M217" s="32"/>
      <c r="N217" s="34"/>
      <c r="O217" s="34"/>
      <c r="P217" s="34"/>
      <c r="Q217" s="34"/>
      <c r="R217" s="34"/>
      <c r="S217" s="34"/>
      <c r="T217" s="34"/>
      <c r="U217" s="34"/>
      <c r="V217" s="34"/>
      <c r="W217" s="34"/>
    </row>
    <row r="218" spans="2:23" x14ac:dyDescent="0.3">
      <c r="B218" s="33"/>
      <c r="C218" s="34"/>
      <c r="D218" s="34"/>
      <c r="E218" s="34"/>
      <c r="F218" s="34"/>
      <c r="G218" s="34"/>
      <c r="H218" s="34"/>
      <c r="I218" s="34"/>
      <c r="J218" s="34"/>
      <c r="K218" s="35"/>
      <c r="L218" s="34"/>
      <c r="M218" s="32"/>
      <c r="N218" s="34"/>
      <c r="O218" s="34"/>
      <c r="P218" s="34"/>
      <c r="Q218" s="34"/>
      <c r="R218" s="34"/>
      <c r="S218" s="34"/>
      <c r="T218" s="34"/>
      <c r="U218" s="34"/>
      <c r="V218" s="34"/>
      <c r="W218" s="34"/>
    </row>
    <row r="219" spans="2:23" x14ac:dyDescent="0.3">
      <c r="B219" s="33"/>
      <c r="C219" s="34"/>
      <c r="D219" s="34"/>
      <c r="E219" s="34"/>
      <c r="F219" s="34"/>
      <c r="G219" s="34"/>
      <c r="H219" s="34"/>
      <c r="I219" s="34"/>
      <c r="J219" s="34"/>
      <c r="K219" s="35"/>
      <c r="L219" s="34"/>
      <c r="M219" s="32"/>
      <c r="N219" s="34"/>
      <c r="O219" s="34"/>
      <c r="P219" s="34"/>
      <c r="Q219" s="34"/>
      <c r="R219" s="34"/>
      <c r="S219" s="34"/>
      <c r="T219" s="34"/>
      <c r="U219" s="34"/>
      <c r="V219" s="34"/>
      <c r="W219" s="34"/>
    </row>
    <row r="220" spans="2:23" x14ac:dyDescent="0.3">
      <c r="B220" s="33"/>
      <c r="C220" s="34"/>
      <c r="D220" s="34"/>
      <c r="E220" s="34"/>
      <c r="F220" s="34"/>
      <c r="G220" s="34"/>
      <c r="H220" s="34"/>
      <c r="I220" s="34"/>
      <c r="J220" s="34"/>
      <c r="K220" s="35"/>
      <c r="L220" s="34"/>
      <c r="M220" s="32"/>
      <c r="N220" s="34"/>
      <c r="O220" s="34"/>
      <c r="P220" s="34"/>
      <c r="Q220" s="34"/>
      <c r="R220" s="34"/>
      <c r="S220" s="34"/>
      <c r="T220" s="34"/>
      <c r="U220" s="34"/>
      <c r="V220" s="34"/>
      <c r="W220" s="34"/>
    </row>
    <row r="221" spans="2:23" x14ac:dyDescent="0.3">
      <c r="B221" s="33"/>
      <c r="C221" s="34"/>
      <c r="D221" s="34"/>
      <c r="E221" s="34"/>
      <c r="F221" s="34"/>
      <c r="G221" s="34"/>
      <c r="H221" s="34"/>
      <c r="I221" s="34"/>
      <c r="J221" s="34"/>
      <c r="K221" s="35"/>
      <c r="L221" s="34"/>
      <c r="M221" s="32"/>
      <c r="N221" s="34"/>
      <c r="O221" s="34"/>
      <c r="P221" s="34"/>
      <c r="Q221" s="34"/>
      <c r="R221" s="34"/>
      <c r="S221" s="34"/>
      <c r="T221" s="34"/>
      <c r="U221" s="34"/>
      <c r="V221" s="34"/>
      <c r="W221" s="34"/>
    </row>
    <row r="222" spans="2:23" x14ac:dyDescent="0.3">
      <c r="B222" s="33"/>
      <c r="C222" s="34"/>
      <c r="D222" s="34"/>
      <c r="E222" s="34"/>
      <c r="F222" s="34"/>
      <c r="G222" s="34"/>
      <c r="H222" s="34"/>
      <c r="I222" s="34"/>
      <c r="J222" s="34"/>
      <c r="K222" s="35"/>
      <c r="L222" s="34"/>
      <c r="M222" s="32"/>
      <c r="N222" s="34"/>
      <c r="O222" s="34"/>
      <c r="P222" s="34"/>
      <c r="Q222" s="34"/>
      <c r="R222" s="34"/>
      <c r="S222" s="34"/>
      <c r="T222" s="34"/>
      <c r="U222" s="34"/>
      <c r="V222" s="34"/>
      <c r="W222" s="34"/>
    </row>
    <row r="223" spans="2:23" x14ac:dyDescent="0.3">
      <c r="B223" s="33"/>
      <c r="C223" s="34"/>
      <c r="D223" s="34"/>
      <c r="E223" s="34"/>
      <c r="F223" s="34"/>
      <c r="G223" s="34"/>
      <c r="H223" s="34"/>
      <c r="I223" s="34"/>
      <c r="J223" s="34"/>
      <c r="K223" s="35"/>
      <c r="L223" s="34"/>
      <c r="M223" s="32"/>
      <c r="N223" s="34"/>
      <c r="O223" s="34"/>
      <c r="P223" s="34"/>
      <c r="Q223" s="34"/>
      <c r="R223" s="34"/>
      <c r="S223" s="34"/>
      <c r="T223" s="34"/>
      <c r="U223" s="34"/>
      <c r="V223" s="34"/>
      <c r="W223" s="34"/>
    </row>
    <row r="224" spans="2:23" x14ac:dyDescent="0.3">
      <c r="B224" s="33"/>
      <c r="C224" s="34"/>
      <c r="D224" s="34"/>
      <c r="E224" s="34"/>
      <c r="F224" s="34"/>
      <c r="G224" s="34"/>
      <c r="H224" s="34"/>
      <c r="I224" s="34"/>
      <c r="J224" s="34"/>
      <c r="K224" s="35"/>
      <c r="L224" s="34"/>
      <c r="M224" s="32"/>
      <c r="N224" s="34"/>
      <c r="O224" s="34"/>
      <c r="P224" s="34"/>
      <c r="Q224" s="34"/>
      <c r="R224" s="34"/>
      <c r="S224" s="34"/>
      <c r="T224" s="34"/>
      <c r="U224" s="34"/>
      <c r="V224" s="34"/>
      <c r="W224" s="34"/>
    </row>
    <row r="225" spans="2:23" x14ac:dyDescent="0.3">
      <c r="B225" s="33"/>
      <c r="C225" s="34"/>
      <c r="D225" s="34"/>
      <c r="E225" s="34"/>
      <c r="F225" s="34"/>
      <c r="G225" s="34"/>
      <c r="H225" s="34"/>
      <c r="I225" s="34"/>
      <c r="J225" s="34"/>
      <c r="K225" s="35"/>
      <c r="L225" s="34"/>
      <c r="M225" s="32"/>
      <c r="N225" s="34"/>
      <c r="O225" s="34"/>
      <c r="P225" s="34"/>
      <c r="Q225" s="34"/>
      <c r="R225" s="34"/>
      <c r="S225" s="34"/>
      <c r="T225" s="34"/>
      <c r="U225" s="34"/>
      <c r="V225" s="34"/>
      <c r="W225" s="34"/>
    </row>
    <row r="226" spans="2:23" x14ac:dyDescent="0.3">
      <c r="B226" s="33"/>
      <c r="C226" s="34"/>
      <c r="D226" s="34"/>
      <c r="E226" s="34"/>
      <c r="F226" s="34"/>
      <c r="G226" s="34"/>
      <c r="H226" s="34"/>
      <c r="I226" s="34"/>
      <c r="J226" s="34"/>
      <c r="K226" s="35"/>
      <c r="L226" s="34"/>
      <c r="M226" s="32"/>
      <c r="N226" s="34"/>
      <c r="O226" s="34"/>
      <c r="P226" s="34"/>
      <c r="Q226" s="34"/>
      <c r="R226" s="34"/>
      <c r="S226" s="34"/>
      <c r="T226" s="34"/>
      <c r="U226" s="34"/>
      <c r="V226" s="34"/>
      <c r="W226" s="34"/>
    </row>
    <row r="227" spans="2:23" x14ac:dyDescent="0.3">
      <c r="B227" s="33"/>
      <c r="C227" s="34"/>
      <c r="D227" s="34"/>
      <c r="E227" s="34"/>
      <c r="F227" s="34"/>
      <c r="G227" s="34"/>
      <c r="H227" s="34"/>
      <c r="I227" s="34"/>
      <c r="J227" s="34"/>
      <c r="K227" s="35"/>
      <c r="L227" s="34"/>
      <c r="M227" s="32"/>
      <c r="N227" s="34"/>
      <c r="O227" s="34"/>
      <c r="P227" s="34"/>
      <c r="Q227" s="34"/>
      <c r="R227" s="34"/>
      <c r="S227" s="34"/>
      <c r="T227" s="34"/>
      <c r="U227" s="34"/>
      <c r="V227" s="34"/>
      <c r="W227" s="34"/>
    </row>
    <row r="228" spans="2:23" x14ac:dyDescent="0.3">
      <c r="B228" s="33"/>
      <c r="C228" s="34"/>
      <c r="D228" s="34"/>
      <c r="E228" s="34"/>
      <c r="F228" s="34"/>
      <c r="G228" s="34"/>
      <c r="H228" s="34"/>
      <c r="I228" s="34"/>
      <c r="J228" s="34"/>
      <c r="K228" s="35"/>
      <c r="L228" s="34"/>
      <c r="M228" s="32"/>
      <c r="N228" s="34"/>
      <c r="O228" s="34"/>
      <c r="P228" s="34"/>
      <c r="Q228" s="34"/>
      <c r="R228" s="34"/>
      <c r="S228" s="34"/>
      <c r="T228" s="34"/>
      <c r="U228" s="34"/>
      <c r="V228" s="34"/>
      <c r="W228" s="34"/>
    </row>
    <row r="229" spans="2:23" x14ac:dyDescent="0.3">
      <c r="B229" s="33"/>
      <c r="C229" s="34"/>
      <c r="D229" s="34"/>
      <c r="E229" s="34"/>
      <c r="F229" s="34"/>
      <c r="G229" s="34"/>
      <c r="H229" s="34"/>
      <c r="I229" s="34"/>
      <c r="J229" s="34"/>
      <c r="K229" s="35"/>
      <c r="L229" s="34"/>
      <c r="M229" s="32"/>
      <c r="N229" s="34"/>
      <c r="O229" s="34"/>
      <c r="P229" s="34"/>
      <c r="Q229" s="34"/>
      <c r="R229" s="34"/>
      <c r="S229" s="34"/>
      <c r="T229" s="34"/>
      <c r="U229" s="34"/>
      <c r="V229" s="34"/>
      <c r="W229" s="34"/>
    </row>
    <row r="230" spans="2:23" x14ac:dyDescent="0.3">
      <c r="B230" s="33"/>
      <c r="C230" s="34"/>
      <c r="D230" s="34"/>
      <c r="E230" s="34"/>
      <c r="F230" s="34"/>
      <c r="G230" s="34"/>
      <c r="H230" s="34"/>
      <c r="I230" s="34"/>
      <c r="J230" s="34"/>
      <c r="K230" s="35"/>
      <c r="L230" s="34"/>
      <c r="M230" s="32"/>
      <c r="N230" s="34"/>
      <c r="O230" s="34"/>
      <c r="P230" s="34"/>
      <c r="Q230" s="34"/>
      <c r="R230" s="34"/>
      <c r="S230" s="34"/>
      <c r="T230" s="34"/>
      <c r="U230" s="34"/>
      <c r="V230" s="34"/>
      <c r="W230" s="34"/>
    </row>
    <row r="231" spans="2:23" x14ac:dyDescent="0.3">
      <c r="B231" s="33"/>
      <c r="C231" s="34"/>
      <c r="D231" s="34"/>
      <c r="E231" s="34"/>
      <c r="F231" s="34"/>
      <c r="G231" s="34"/>
      <c r="H231" s="34"/>
      <c r="I231" s="34"/>
      <c r="J231" s="34"/>
      <c r="K231" s="35"/>
      <c r="L231" s="34"/>
      <c r="M231" s="32"/>
      <c r="N231" s="34"/>
      <c r="O231" s="34"/>
      <c r="P231" s="34"/>
      <c r="Q231" s="34"/>
      <c r="R231" s="34"/>
      <c r="S231" s="34"/>
      <c r="T231" s="34"/>
      <c r="U231" s="34"/>
      <c r="V231" s="34"/>
      <c r="W231" s="34"/>
    </row>
    <row r="232" spans="2:23" x14ac:dyDescent="0.3">
      <c r="B232" s="33"/>
      <c r="C232" s="34"/>
      <c r="D232" s="34"/>
      <c r="E232" s="34"/>
      <c r="F232" s="34"/>
      <c r="G232" s="34"/>
      <c r="H232" s="34"/>
      <c r="I232" s="34"/>
      <c r="J232" s="34"/>
      <c r="K232" s="35"/>
      <c r="L232" s="34"/>
      <c r="M232" s="32"/>
      <c r="N232" s="34"/>
      <c r="O232" s="34"/>
      <c r="P232" s="34"/>
      <c r="Q232" s="34"/>
      <c r="R232" s="34"/>
      <c r="S232" s="34"/>
      <c r="T232" s="34"/>
      <c r="U232" s="34"/>
      <c r="V232" s="34"/>
      <c r="W232" s="34"/>
    </row>
    <row r="233" spans="2:23" x14ac:dyDescent="0.3">
      <c r="B233" s="33"/>
      <c r="C233" s="34"/>
      <c r="D233" s="34"/>
      <c r="E233" s="34"/>
      <c r="F233" s="34"/>
      <c r="G233" s="34"/>
      <c r="H233" s="34"/>
      <c r="I233" s="34"/>
      <c r="J233" s="34"/>
      <c r="K233" s="35"/>
      <c r="L233" s="34"/>
      <c r="M233" s="32"/>
      <c r="N233" s="34"/>
      <c r="O233" s="34"/>
      <c r="P233" s="34"/>
      <c r="Q233" s="34"/>
      <c r="R233" s="34"/>
      <c r="S233" s="34"/>
      <c r="T233" s="34"/>
      <c r="U233" s="34"/>
      <c r="V233" s="34"/>
      <c r="W233" s="34"/>
    </row>
    <row r="234" spans="2:23" x14ac:dyDescent="0.3">
      <c r="B234" s="33"/>
      <c r="C234" s="34"/>
      <c r="D234" s="34"/>
      <c r="E234" s="34"/>
      <c r="F234" s="34"/>
      <c r="G234" s="34"/>
      <c r="H234" s="34"/>
      <c r="I234" s="34"/>
      <c r="J234" s="34"/>
      <c r="K234" s="35"/>
      <c r="L234" s="34"/>
      <c r="M234" s="32"/>
      <c r="N234" s="34"/>
      <c r="O234" s="34"/>
      <c r="P234" s="34"/>
      <c r="Q234" s="34"/>
      <c r="R234" s="34"/>
      <c r="S234" s="34"/>
      <c r="T234" s="34"/>
      <c r="U234" s="34"/>
      <c r="V234" s="34"/>
      <c r="W234" s="34"/>
    </row>
    <row r="235" spans="2:23" x14ac:dyDescent="0.3">
      <c r="B235" s="33"/>
      <c r="C235" s="34"/>
      <c r="D235" s="34"/>
      <c r="E235" s="34"/>
      <c r="F235" s="34"/>
      <c r="G235" s="34"/>
      <c r="H235" s="34"/>
      <c r="I235" s="34"/>
      <c r="J235" s="34"/>
      <c r="K235" s="35"/>
      <c r="L235" s="34"/>
      <c r="M235" s="32"/>
      <c r="N235" s="34"/>
      <c r="O235" s="34"/>
      <c r="P235" s="34"/>
      <c r="Q235" s="34"/>
      <c r="R235" s="34"/>
      <c r="S235" s="34"/>
      <c r="T235" s="34"/>
      <c r="U235" s="34"/>
      <c r="V235" s="34"/>
      <c r="W235" s="34"/>
    </row>
    <row r="236" spans="2:23" x14ac:dyDescent="0.3">
      <c r="B236" s="33"/>
      <c r="C236" s="34"/>
      <c r="D236" s="34"/>
      <c r="E236" s="34"/>
      <c r="F236" s="34"/>
      <c r="G236" s="34"/>
      <c r="H236" s="34"/>
      <c r="I236" s="34"/>
      <c r="J236" s="34"/>
      <c r="K236" s="35"/>
      <c r="L236" s="34"/>
      <c r="M236" s="32"/>
      <c r="N236" s="34"/>
      <c r="O236" s="34"/>
      <c r="P236" s="34"/>
      <c r="Q236" s="34"/>
      <c r="R236" s="34"/>
      <c r="S236" s="34"/>
      <c r="T236" s="34"/>
      <c r="U236" s="34"/>
      <c r="V236" s="34"/>
      <c r="W236" s="34"/>
    </row>
    <row r="237" spans="2:23" x14ac:dyDescent="0.3">
      <c r="B237" s="33"/>
      <c r="C237" s="34"/>
      <c r="D237" s="34"/>
      <c r="E237" s="34"/>
      <c r="F237" s="34"/>
      <c r="G237" s="34"/>
      <c r="H237" s="34"/>
      <c r="I237" s="34"/>
      <c r="J237" s="34"/>
      <c r="K237" s="35"/>
      <c r="L237" s="34"/>
      <c r="M237" s="32"/>
      <c r="N237" s="34"/>
      <c r="O237" s="34"/>
      <c r="P237" s="34"/>
      <c r="Q237" s="34"/>
      <c r="R237" s="34"/>
      <c r="S237" s="34"/>
      <c r="T237" s="34"/>
      <c r="U237" s="34"/>
      <c r="V237" s="34"/>
      <c r="W237" s="34"/>
    </row>
    <row r="238" spans="2:23" x14ac:dyDescent="0.3">
      <c r="B238" s="33"/>
      <c r="C238" s="34"/>
      <c r="D238" s="34"/>
      <c r="E238" s="34"/>
      <c r="F238" s="34"/>
      <c r="G238" s="34"/>
      <c r="H238" s="34"/>
      <c r="I238" s="34"/>
      <c r="J238" s="34"/>
      <c r="K238" s="35"/>
      <c r="L238" s="34"/>
      <c r="M238" s="32"/>
      <c r="N238" s="34"/>
      <c r="O238" s="34"/>
      <c r="P238" s="34"/>
      <c r="Q238" s="34"/>
      <c r="R238" s="34"/>
      <c r="S238" s="34"/>
      <c r="T238" s="34"/>
      <c r="U238" s="34"/>
      <c r="V238" s="34"/>
      <c r="W238" s="34"/>
    </row>
    <row r="239" spans="2:23" x14ac:dyDescent="0.3">
      <c r="B239" s="33"/>
      <c r="C239" s="34"/>
      <c r="D239" s="34"/>
      <c r="E239" s="34"/>
      <c r="F239" s="34"/>
      <c r="G239" s="34"/>
      <c r="H239" s="34"/>
      <c r="I239" s="34"/>
      <c r="J239" s="34"/>
      <c r="K239" s="35"/>
      <c r="L239" s="34"/>
      <c r="M239" s="32"/>
      <c r="N239" s="34"/>
      <c r="O239" s="34"/>
      <c r="P239" s="34"/>
      <c r="Q239" s="34"/>
      <c r="R239" s="34"/>
      <c r="S239" s="34"/>
      <c r="T239" s="34"/>
      <c r="U239" s="34"/>
      <c r="V239" s="34"/>
      <c r="W239" s="34"/>
    </row>
    <row r="240" spans="2:23" x14ac:dyDescent="0.3">
      <c r="B240" s="33"/>
      <c r="C240" s="34"/>
      <c r="D240" s="34"/>
      <c r="E240" s="34"/>
      <c r="F240" s="34"/>
      <c r="G240" s="34"/>
      <c r="H240" s="34"/>
      <c r="I240" s="34"/>
      <c r="J240" s="34"/>
      <c r="K240" s="35"/>
      <c r="L240" s="34"/>
      <c r="M240" s="32"/>
      <c r="N240" s="34"/>
      <c r="O240" s="34"/>
      <c r="P240" s="34"/>
      <c r="Q240" s="34"/>
      <c r="R240" s="34"/>
      <c r="S240" s="34"/>
      <c r="T240" s="34"/>
      <c r="U240" s="34"/>
      <c r="V240" s="34"/>
      <c r="W240" s="34"/>
    </row>
    <row r="241" spans="2:23" x14ac:dyDescent="0.3">
      <c r="B241" s="33"/>
      <c r="C241" s="34"/>
      <c r="D241" s="34"/>
      <c r="E241" s="34"/>
      <c r="F241" s="34"/>
      <c r="G241" s="34"/>
      <c r="H241" s="34"/>
      <c r="I241" s="34"/>
      <c r="J241" s="34"/>
      <c r="K241" s="35"/>
      <c r="L241" s="34"/>
      <c r="M241" s="32"/>
      <c r="N241" s="34"/>
      <c r="O241" s="34"/>
      <c r="P241" s="34"/>
      <c r="Q241" s="34"/>
      <c r="R241" s="34"/>
      <c r="S241" s="34"/>
      <c r="T241" s="34"/>
      <c r="U241" s="34"/>
      <c r="V241" s="34"/>
      <c r="W241" s="34"/>
    </row>
    <row r="242" spans="2:23" x14ac:dyDescent="0.3">
      <c r="B242" s="33"/>
      <c r="C242" s="34"/>
      <c r="D242" s="34"/>
      <c r="E242" s="34"/>
      <c r="F242" s="34"/>
      <c r="G242" s="34"/>
      <c r="H242" s="34"/>
      <c r="I242" s="34"/>
      <c r="J242" s="34"/>
      <c r="K242" s="35"/>
      <c r="L242" s="34"/>
      <c r="M242" s="32"/>
      <c r="N242" s="34"/>
      <c r="O242" s="34"/>
      <c r="P242" s="34"/>
      <c r="Q242" s="34"/>
      <c r="R242" s="34"/>
      <c r="S242" s="34"/>
      <c r="T242" s="34"/>
      <c r="U242" s="34"/>
      <c r="V242" s="34"/>
      <c r="W242" s="34"/>
    </row>
    <row r="243" spans="2:23" x14ac:dyDescent="0.3">
      <c r="B243" s="33"/>
      <c r="C243" s="34"/>
      <c r="D243" s="34"/>
      <c r="E243" s="34"/>
      <c r="F243" s="34"/>
      <c r="G243" s="34"/>
      <c r="H243" s="34"/>
      <c r="I243" s="34"/>
      <c r="J243" s="34"/>
      <c r="K243" s="35"/>
      <c r="L243" s="34"/>
      <c r="M243" s="32"/>
      <c r="N243" s="34"/>
      <c r="O243" s="34"/>
      <c r="P243" s="34"/>
      <c r="Q243" s="34"/>
      <c r="R243" s="34"/>
      <c r="S243" s="34"/>
      <c r="T243" s="34"/>
      <c r="U243" s="34"/>
      <c r="V243" s="34"/>
      <c r="W243" s="34"/>
    </row>
    <row r="244" spans="2:23" x14ac:dyDescent="0.3">
      <c r="B244" s="33"/>
      <c r="C244" s="34"/>
      <c r="D244" s="34"/>
      <c r="E244" s="34"/>
      <c r="F244" s="34"/>
      <c r="G244" s="34"/>
      <c r="H244" s="34"/>
      <c r="I244" s="34"/>
      <c r="J244" s="34"/>
      <c r="K244" s="35"/>
      <c r="L244" s="34"/>
      <c r="M244" s="32"/>
      <c r="N244" s="34"/>
      <c r="O244" s="34"/>
      <c r="P244" s="34"/>
      <c r="Q244" s="34"/>
      <c r="R244" s="34"/>
      <c r="S244" s="34"/>
      <c r="T244" s="34"/>
      <c r="U244" s="34"/>
      <c r="V244" s="34"/>
      <c r="W244" s="34"/>
    </row>
    <row r="245" spans="2:23" x14ac:dyDescent="0.3">
      <c r="B245" s="33"/>
      <c r="C245" s="34"/>
      <c r="D245" s="34"/>
      <c r="E245" s="34"/>
      <c r="F245" s="34"/>
      <c r="G245" s="34"/>
      <c r="H245" s="34"/>
      <c r="I245" s="34"/>
      <c r="J245" s="34"/>
      <c r="K245" s="35"/>
      <c r="L245" s="34"/>
      <c r="M245" s="32"/>
      <c r="N245" s="34"/>
      <c r="O245" s="34"/>
      <c r="P245" s="34"/>
      <c r="Q245" s="34"/>
      <c r="R245" s="34"/>
      <c r="S245" s="34"/>
      <c r="T245" s="34"/>
      <c r="U245" s="34"/>
      <c r="V245" s="34"/>
      <c r="W245" s="34"/>
    </row>
    <row r="246" spans="2:23" x14ac:dyDescent="0.3">
      <c r="B246" s="33"/>
      <c r="C246" s="34"/>
      <c r="D246" s="34"/>
      <c r="E246" s="34"/>
      <c r="F246" s="34"/>
      <c r="G246" s="34"/>
      <c r="H246" s="34"/>
      <c r="I246" s="34"/>
      <c r="J246" s="34"/>
      <c r="K246" s="35"/>
      <c r="L246" s="34"/>
      <c r="M246" s="32"/>
      <c r="N246" s="34"/>
      <c r="O246" s="34"/>
      <c r="P246" s="34"/>
      <c r="Q246" s="34"/>
      <c r="R246" s="34"/>
      <c r="S246" s="34"/>
      <c r="T246" s="34"/>
      <c r="U246" s="34"/>
      <c r="V246" s="34"/>
      <c r="W246" s="34"/>
    </row>
    <row r="247" spans="2:23" x14ac:dyDescent="0.3">
      <c r="B247" s="33"/>
      <c r="C247" s="34"/>
      <c r="D247" s="34"/>
      <c r="E247" s="34"/>
      <c r="F247" s="34"/>
      <c r="G247" s="34"/>
      <c r="H247" s="34"/>
      <c r="I247" s="34"/>
      <c r="J247" s="34"/>
      <c r="K247" s="35"/>
      <c r="L247" s="34"/>
      <c r="M247" s="32"/>
      <c r="N247" s="34"/>
      <c r="O247" s="34"/>
      <c r="P247" s="34"/>
      <c r="Q247" s="34"/>
      <c r="R247" s="34"/>
      <c r="S247" s="34"/>
      <c r="T247" s="34"/>
      <c r="U247" s="34"/>
      <c r="V247" s="34"/>
      <c r="W247" s="34"/>
    </row>
    <row r="248" spans="2:23" x14ac:dyDescent="0.3">
      <c r="B248" s="33"/>
      <c r="C248" s="34"/>
      <c r="D248" s="34"/>
      <c r="E248" s="34"/>
      <c r="F248" s="34"/>
      <c r="G248" s="34"/>
      <c r="H248" s="34"/>
      <c r="I248" s="34"/>
      <c r="J248" s="34"/>
      <c r="K248" s="35"/>
      <c r="L248" s="34"/>
      <c r="M248" s="32"/>
      <c r="N248" s="34"/>
      <c r="O248" s="34"/>
      <c r="P248" s="34"/>
      <c r="Q248" s="34"/>
      <c r="R248" s="34"/>
      <c r="S248" s="34"/>
      <c r="T248" s="34"/>
      <c r="U248" s="34"/>
      <c r="V248" s="34"/>
      <c r="W248" s="34"/>
    </row>
    <row r="249" spans="2:23" x14ac:dyDescent="0.3">
      <c r="B249" s="33"/>
      <c r="C249" s="34"/>
      <c r="D249" s="34"/>
      <c r="E249" s="34"/>
      <c r="F249" s="34"/>
      <c r="G249" s="34"/>
      <c r="H249" s="34"/>
      <c r="I249" s="34"/>
      <c r="J249" s="34"/>
      <c r="K249" s="35"/>
      <c r="L249" s="34"/>
      <c r="M249" s="32"/>
      <c r="N249" s="34"/>
      <c r="O249" s="34"/>
      <c r="P249" s="34"/>
      <c r="Q249" s="34"/>
      <c r="R249" s="34"/>
      <c r="S249" s="34"/>
      <c r="T249" s="34"/>
      <c r="U249" s="34"/>
      <c r="V249" s="34"/>
      <c r="W249" s="34"/>
    </row>
    <row r="250" spans="2:23" x14ac:dyDescent="0.3">
      <c r="B250" s="33"/>
      <c r="C250" s="34"/>
      <c r="D250" s="34"/>
      <c r="E250" s="34"/>
      <c r="F250" s="34"/>
      <c r="G250" s="34"/>
      <c r="H250" s="34"/>
      <c r="I250" s="34"/>
      <c r="J250" s="34"/>
      <c r="K250" s="35"/>
      <c r="L250" s="34"/>
      <c r="M250" s="32"/>
      <c r="N250" s="34"/>
      <c r="O250" s="34"/>
      <c r="P250" s="34"/>
      <c r="Q250" s="34"/>
      <c r="R250" s="34"/>
      <c r="S250" s="34"/>
      <c r="T250" s="34"/>
      <c r="U250" s="34"/>
      <c r="V250" s="34"/>
      <c r="W250" s="34"/>
    </row>
    <row r="251" spans="2:23" x14ac:dyDescent="0.3">
      <c r="B251" s="33"/>
      <c r="C251" s="34"/>
      <c r="D251" s="34"/>
      <c r="E251" s="34"/>
      <c r="F251" s="34"/>
      <c r="G251" s="34"/>
      <c r="H251" s="34"/>
      <c r="I251" s="34"/>
      <c r="J251" s="34"/>
      <c r="K251" s="35"/>
      <c r="L251" s="34"/>
      <c r="M251" s="32"/>
      <c r="N251" s="34"/>
      <c r="O251" s="34"/>
      <c r="P251" s="34"/>
      <c r="Q251" s="34"/>
      <c r="R251" s="34"/>
      <c r="S251" s="34"/>
      <c r="T251" s="34"/>
      <c r="U251" s="34"/>
      <c r="V251" s="34"/>
      <c r="W251" s="34"/>
    </row>
    <row r="252" spans="2:23" x14ac:dyDescent="0.3">
      <c r="B252" s="33"/>
      <c r="C252" s="34"/>
      <c r="D252" s="34"/>
      <c r="E252" s="34"/>
      <c r="F252" s="34"/>
      <c r="G252" s="34"/>
      <c r="H252" s="34"/>
      <c r="I252" s="34"/>
      <c r="J252" s="34"/>
      <c r="K252" s="35"/>
      <c r="L252" s="34"/>
      <c r="M252" s="32"/>
      <c r="N252" s="34"/>
      <c r="O252" s="34"/>
      <c r="P252" s="34"/>
      <c r="Q252" s="34"/>
      <c r="R252" s="34"/>
      <c r="S252" s="34"/>
      <c r="T252" s="34"/>
      <c r="U252" s="34"/>
      <c r="V252" s="34"/>
      <c r="W252" s="34"/>
    </row>
    <row r="253" spans="2:23" x14ac:dyDescent="0.3">
      <c r="B253" s="33"/>
      <c r="C253" s="34"/>
      <c r="D253" s="34"/>
      <c r="E253" s="34"/>
      <c r="F253" s="34"/>
      <c r="G253" s="34"/>
      <c r="H253" s="34"/>
      <c r="I253" s="34"/>
      <c r="J253" s="34"/>
      <c r="K253" s="35"/>
      <c r="L253" s="34"/>
      <c r="M253" s="32"/>
      <c r="N253" s="34"/>
      <c r="O253" s="34"/>
      <c r="P253" s="34"/>
      <c r="Q253" s="34"/>
      <c r="R253" s="34"/>
      <c r="S253" s="34"/>
      <c r="T253" s="34"/>
      <c r="U253" s="34"/>
      <c r="V253" s="34"/>
      <c r="W253" s="34"/>
    </row>
    <row r="254" spans="2:23" x14ac:dyDescent="0.3">
      <c r="B254" s="33"/>
      <c r="C254" s="34"/>
      <c r="D254" s="34"/>
      <c r="E254" s="34"/>
      <c r="F254" s="34"/>
      <c r="G254" s="34"/>
      <c r="H254" s="34"/>
      <c r="I254" s="34"/>
      <c r="J254" s="34"/>
      <c r="K254" s="35"/>
      <c r="L254" s="34"/>
      <c r="M254" s="32"/>
      <c r="N254" s="34"/>
      <c r="O254" s="34"/>
      <c r="P254" s="34"/>
      <c r="Q254" s="34"/>
      <c r="R254" s="34"/>
      <c r="S254" s="34"/>
      <c r="T254" s="34"/>
      <c r="U254" s="34"/>
      <c r="V254" s="34"/>
      <c r="W254" s="34"/>
    </row>
    <row r="255" spans="2:23" x14ac:dyDescent="0.3">
      <c r="B255" s="33"/>
      <c r="C255" s="34"/>
      <c r="D255" s="34"/>
      <c r="E255" s="34"/>
      <c r="F255" s="34"/>
      <c r="G255" s="34"/>
      <c r="H255" s="34"/>
      <c r="I255" s="34"/>
      <c r="J255" s="34"/>
      <c r="K255" s="35"/>
      <c r="L255" s="34"/>
      <c r="M255" s="32"/>
      <c r="N255" s="34"/>
      <c r="O255" s="34"/>
      <c r="P255" s="34"/>
      <c r="Q255" s="34"/>
      <c r="R255" s="34"/>
      <c r="S255" s="34"/>
      <c r="T255" s="34"/>
      <c r="U255" s="34"/>
      <c r="V255" s="34"/>
      <c r="W255" s="34"/>
    </row>
    <row r="256" spans="2:23" x14ac:dyDescent="0.3">
      <c r="B256" s="33"/>
      <c r="C256" s="34"/>
      <c r="D256" s="34"/>
      <c r="E256" s="34"/>
      <c r="F256" s="34"/>
      <c r="G256" s="34"/>
      <c r="H256" s="34"/>
      <c r="I256" s="34"/>
      <c r="J256" s="34"/>
      <c r="K256" s="35"/>
      <c r="L256" s="34"/>
      <c r="M256" s="32"/>
      <c r="N256" s="34"/>
      <c r="O256" s="34"/>
      <c r="P256" s="34"/>
      <c r="Q256" s="34"/>
      <c r="R256" s="34"/>
      <c r="S256" s="34"/>
      <c r="T256" s="34"/>
      <c r="U256" s="34"/>
      <c r="V256" s="34"/>
      <c r="W256" s="34"/>
    </row>
    <row r="257" spans="2:23" x14ac:dyDescent="0.3">
      <c r="B257" s="33"/>
      <c r="C257" s="34"/>
      <c r="D257" s="34"/>
      <c r="E257" s="34"/>
      <c r="F257" s="34"/>
      <c r="G257" s="34"/>
      <c r="H257" s="34"/>
      <c r="I257" s="34"/>
      <c r="J257" s="34"/>
      <c r="K257" s="35"/>
      <c r="L257" s="34"/>
      <c r="M257" s="32"/>
      <c r="N257" s="34"/>
      <c r="O257" s="34"/>
      <c r="P257" s="34"/>
      <c r="Q257" s="34"/>
      <c r="R257" s="34"/>
      <c r="S257" s="34"/>
      <c r="T257" s="34"/>
      <c r="U257" s="34"/>
      <c r="V257" s="34"/>
      <c r="W257" s="34"/>
    </row>
    <row r="258" spans="2:23" x14ac:dyDescent="0.3">
      <c r="B258" s="33"/>
      <c r="C258" s="34"/>
      <c r="D258" s="34"/>
      <c r="E258" s="34"/>
      <c r="F258" s="34"/>
      <c r="G258" s="34"/>
      <c r="H258" s="34"/>
      <c r="I258" s="34"/>
      <c r="J258" s="34"/>
      <c r="K258" s="35"/>
      <c r="L258" s="34"/>
      <c r="M258" s="32"/>
      <c r="N258" s="34"/>
      <c r="O258" s="34"/>
      <c r="P258" s="34"/>
      <c r="Q258" s="34"/>
      <c r="R258" s="34"/>
      <c r="S258" s="34"/>
      <c r="T258" s="34"/>
      <c r="U258" s="34"/>
      <c r="V258" s="34"/>
      <c r="W258" s="34"/>
    </row>
    <row r="259" spans="2:23" x14ac:dyDescent="0.3">
      <c r="B259" s="33"/>
      <c r="C259" s="34"/>
      <c r="D259" s="34"/>
      <c r="E259" s="34"/>
      <c r="F259" s="34"/>
      <c r="G259" s="34"/>
      <c r="H259" s="34"/>
      <c r="I259" s="34"/>
      <c r="J259" s="34"/>
      <c r="K259" s="35"/>
      <c r="L259" s="34"/>
      <c r="M259" s="32"/>
      <c r="N259" s="34"/>
      <c r="O259" s="34"/>
      <c r="P259" s="34"/>
      <c r="Q259" s="34"/>
      <c r="R259" s="34"/>
      <c r="S259" s="34"/>
      <c r="T259" s="34"/>
      <c r="U259" s="34"/>
      <c r="V259" s="34"/>
      <c r="W259" s="34"/>
    </row>
    <row r="260" spans="2:23" x14ac:dyDescent="0.3">
      <c r="B260" s="33"/>
      <c r="C260" s="34"/>
      <c r="D260" s="34"/>
      <c r="E260" s="34"/>
      <c r="F260" s="34"/>
      <c r="G260" s="34"/>
      <c r="H260" s="34"/>
      <c r="I260" s="34"/>
      <c r="J260" s="34"/>
      <c r="K260" s="35"/>
      <c r="L260" s="34"/>
      <c r="M260" s="32"/>
      <c r="N260" s="34"/>
      <c r="O260" s="34"/>
      <c r="P260" s="34"/>
      <c r="Q260" s="34"/>
      <c r="R260" s="34"/>
      <c r="S260" s="34"/>
      <c r="T260" s="34"/>
      <c r="U260" s="34"/>
      <c r="V260" s="34"/>
      <c r="W260" s="34"/>
    </row>
    <row r="261" spans="2:23" x14ac:dyDescent="0.3">
      <c r="B261" s="33"/>
      <c r="C261" s="34"/>
      <c r="D261" s="34"/>
      <c r="E261" s="34"/>
      <c r="F261" s="34"/>
      <c r="G261" s="34"/>
      <c r="H261" s="34"/>
      <c r="I261" s="34"/>
      <c r="J261" s="34"/>
      <c r="K261" s="35"/>
      <c r="L261" s="34"/>
      <c r="M261" s="32"/>
      <c r="N261" s="34"/>
      <c r="O261" s="34"/>
      <c r="P261" s="34"/>
      <c r="Q261" s="34"/>
      <c r="R261" s="34"/>
      <c r="S261" s="34"/>
      <c r="T261" s="34"/>
      <c r="U261" s="34"/>
      <c r="V261" s="34"/>
      <c r="W261" s="34"/>
    </row>
    <row r="262" spans="2:23" x14ac:dyDescent="0.3">
      <c r="B262" s="33"/>
      <c r="C262" s="34"/>
      <c r="D262" s="34"/>
      <c r="E262" s="34"/>
      <c r="F262" s="34"/>
      <c r="G262" s="34"/>
      <c r="H262" s="34"/>
      <c r="I262" s="34"/>
      <c r="J262" s="34"/>
      <c r="K262" s="35"/>
      <c r="L262" s="34"/>
      <c r="M262" s="32"/>
      <c r="N262" s="34"/>
      <c r="O262" s="34"/>
      <c r="P262" s="34"/>
      <c r="Q262" s="34"/>
      <c r="R262" s="34"/>
      <c r="S262" s="34"/>
      <c r="T262" s="34"/>
      <c r="U262" s="34"/>
      <c r="V262" s="34"/>
      <c r="W262" s="34"/>
    </row>
    <row r="263" spans="2:23" x14ac:dyDescent="0.3">
      <c r="B263" s="33"/>
      <c r="C263" s="34"/>
      <c r="D263" s="34"/>
      <c r="E263" s="34"/>
      <c r="F263" s="34"/>
      <c r="G263" s="34"/>
      <c r="H263" s="34"/>
      <c r="I263" s="34"/>
      <c r="J263" s="34"/>
      <c r="K263" s="35"/>
      <c r="L263" s="34"/>
      <c r="M263" s="32"/>
      <c r="N263" s="34"/>
      <c r="O263" s="34"/>
      <c r="P263" s="34"/>
      <c r="Q263" s="34"/>
      <c r="R263" s="34"/>
      <c r="S263" s="34"/>
      <c r="T263" s="34"/>
      <c r="U263" s="34"/>
      <c r="V263" s="34"/>
      <c r="W263" s="34"/>
    </row>
    <row r="264" spans="2:23" x14ac:dyDescent="0.3">
      <c r="B264" s="33"/>
      <c r="C264" s="34"/>
      <c r="D264" s="34"/>
      <c r="E264" s="34"/>
      <c r="F264" s="34"/>
      <c r="G264" s="34"/>
      <c r="H264" s="34"/>
      <c r="I264" s="34"/>
      <c r="J264" s="34"/>
      <c r="K264" s="35"/>
      <c r="L264" s="34"/>
      <c r="M264" s="32"/>
      <c r="N264" s="34"/>
      <c r="O264" s="34"/>
      <c r="P264" s="34"/>
      <c r="Q264" s="34"/>
      <c r="R264" s="34"/>
      <c r="S264" s="34"/>
      <c r="T264" s="34"/>
      <c r="U264" s="34"/>
      <c r="V264" s="34"/>
      <c r="W264" s="34"/>
    </row>
    <row r="265" spans="2:23" x14ac:dyDescent="0.3">
      <c r="B265" s="33"/>
      <c r="C265" s="34"/>
      <c r="D265" s="34"/>
      <c r="E265" s="34"/>
      <c r="F265" s="34"/>
      <c r="G265" s="34"/>
      <c r="H265" s="34"/>
      <c r="I265" s="34"/>
      <c r="J265" s="34"/>
      <c r="K265" s="35"/>
      <c r="L265" s="34"/>
      <c r="M265" s="32"/>
      <c r="N265" s="34"/>
      <c r="O265" s="34"/>
      <c r="P265" s="34"/>
      <c r="Q265" s="34"/>
      <c r="R265" s="34"/>
      <c r="S265" s="34"/>
      <c r="T265" s="34"/>
      <c r="U265" s="34"/>
      <c r="V265" s="34"/>
      <c r="W265" s="34"/>
    </row>
    <row r="266" spans="2:23" x14ac:dyDescent="0.3">
      <c r="B266" s="33"/>
      <c r="C266" s="34"/>
      <c r="D266" s="34"/>
      <c r="E266" s="34"/>
      <c r="F266" s="34"/>
      <c r="G266" s="34"/>
      <c r="H266" s="34"/>
      <c r="I266" s="34"/>
      <c r="J266" s="34"/>
      <c r="K266" s="35"/>
      <c r="L266" s="34"/>
      <c r="M266" s="32"/>
      <c r="N266" s="34"/>
      <c r="O266" s="34"/>
      <c r="P266" s="34"/>
      <c r="Q266" s="34"/>
      <c r="R266" s="34"/>
      <c r="S266" s="34"/>
      <c r="T266" s="34"/>
      <c r="U266" s="34"/>
      <c r="V266" s="34"/>
      <c r="W266" s="34"/>
    </row>
    <row r="267" spans="2:23" x14ac:dyDescent="0.3">
      <c r="B267" s="33"/>
      <c r="C267" s="34"/>
      <c r="D267" s="34"/>
      <c r="E267" s="34"/>
      <c r="F267" s="34"/>
      <c r="G267" s="34"/>
      <c r="H267" s="34"/>
      <c r="I267" s="34"/>
      <c r="J267" s="34"/>
      <c r="K267" s="35"/>
      <c r="L267" s="34"/>
      <c r="M267" s="32"/>
      <c r="N267" s="34"/>
      <c r="O267" s="34"/>
      <c r="P267" s="34"/>
      <c r="Q267" s="34"/>
      <c r="R267" s="34"/>
      <c r="S267" s="34"/>
      <c r="T267" s="34"/>
      <c r="U267" s="34"/>
      <c r="V267" s="34"/>
      <c r="W267" s="34"/>
    </row>
    <row r="268" spans="2:23" x14ac:dyDescent="0.3">
      <c r="B268" s="33"/>
      <c r="C268" s="34"/>
      <c r="D268" s="34"/>
      <c r="E268" s="34"/>
      <c r="F268" s="34"/>
      <c r="G268" s="34"/>
      <c r="H268" s="34"/>
      <c r="I268" s="34"/>
      <c r="J268" s="34"/>
      <c r="K268" s="35"/>
      <c r="L268" s="34"/>
      <c r="M268" s="32"/>
      <c r="N268" s="34"/>
      <c r="O268" s="34"/>
      <c r="P268" s="34"/>
      <c r="Q268" s="34"/>
      <c r="R268" s="34"/>
      <c r="S268" s="34"/>
      <c r="T268" s="34"/>
      <c r="U268" s="34"/>
      <c r="V268" s="34"/>
      <c r="W268" s="34"/>
    </row>
    <row r="269" spans="2:23" x14ac:dyDescent="0.3">
      <c r="B269" s="33"/>
      <c r="C269" s="34"/>
      <c r="D269" s="34"/>
      <c r="E269" s="34"/>
      <c r="F269" s="34"/>
      <c r="G269" s="34"/>
      <c r="H269" s="34"/>
      <c r="I269" s="34"/>
      <c r="J269" s="34"/>
      <c r="K269" s="35"/>
      <c r="L269" s="34"/>
      <c r="M269" s="32"/>
      <c r="N269" s="34"/>
      <c r="O269" s="34"/>
      <c r="P269" s="34"/>
      <c r="Q269" s="34"/>
      <c r="R269" s="34"/>
      <c r="S269" s="34"/>
      <c r="T269" s="34"/>
      <c r="U269" s="34"/>
      <c r="V269" s="34"/>
      <c r="W269" s="34"/>
    </row>
    <row r="270" spans="2:23" x14ac:dyDescent="0.3">
      <c r="B270" s="33"/>
      <c r="C270" s="34"/>
      <c r="D270" s="34"/>
      <c r="E270" s="34"/>
      <c r="F270" s="34"/>
      <c r="G270" s="34"/>
      <c r="H270" s="34"/>
      <c r="I270" s="34"/>
      <c r="J270" s="34"/>
      <c r="K270" s="35"/>
      <c r="L270" s="34"/>
      <c r="M270" s="32"/>
      <c r="N270" s="34"/>
      <c r="O270" s="34"/>
      <c r="P270" s="34"/>
      <c r="Q270" s="34"/>
      <c r="R270" s="34"/>
      <c r="S270" s="34"/>
      <c r="T270" s="34"/>
      <c r="U270" s="34"/>
      <c r="V270" s="34"/>
      <c r="W270" s="34"/>
    </row>
    <row r="271" spans="2:23" x14ac:dyDescent="0.3">
      <c r="B271" s="33"/>
      <c r="C271" s="34"/>
      <c r="D271" s="34"/>
      <c r="E271" s="34"/>
      <c r="F271" s="34"/>
      <c r="G271" s="34"/>
      <c r="H271" s="34"/>
      <c r="I271" s="34"/>
      <c r="J271" s="34"/>
      <c r="K271" s="35"/>
      <c r="L271" s="34"/>
      <c r="M271" s="32"/>
      <c r="N271" s="34"/>
      <c r="O271" s="34"/>
      <c r="P271" s="34"/>
      <c r="Q271" s="34"/>
      <c r="R271" s="34"/>
      <c r="S271" s="34"/>
      <c r="T271" s="34"/>
      <c r="U271" s="34"/>
      <c r="V271" s="34"/>
      <c r="W271" s="34"/>
    </row>
    <row r="272" spans="2:23" x14ac:dyDescent="0.3">
      <c r="B272" s="33"/>
      <c r="C272" s="34"/>
      <c r="D272" s="34"/>
      <c r="E272" s="34"/>
      <c r="F272" s="34"/>
      <c r="G272" s="34"/>
      <c r="H272" s="34"/>
      <c r="I272" s="34"/>
      <c r="J272" s="34"/>
      <c r="K272" s="35"/>
      <c r="L272" s="34"/>
      <c r="M272" s="32"/>
      <c r="N272" s="34"/>
      <c r="O272" s="34"/>
      <c r="P272" s="34"/>
      <c r="Q272" s="34"/>
      <c r="R272" s="34"/>
      <c r="S272" s="34"/>
      <c r="T272" s="34"/>
      <c r="U272" s="34"/>
      <c r="V272" s="34"/>
      <c r="W272" s="34"/>
    </row>
    <row r="273" spans="2:23" x14ac:dyDescent="0.3">
      <c r="B273" s="33"/>
      <c r="C273" s="34"/>
      <c r="D273" s="34"/>
      <c r="E273" s="34"/>
      <c r="F273" s="34"/>
      <c r="G273" s="34"/>
      <c r="H273" s="34"/>
      <c r="I273" s="34"/>
      <c r="J273" s="34"/>
      <c r="K273" s="35"/>
      <c r="L273" s="34"/>
      <c r="M273" s="32"/>
      <c r="N273" s="34"/>
      <c r="O273" s="34"/>
      <c r="P273" s="34"/>
      <c r="Q273" s="34"/>
      <c r="R273" s="34"/>
      <c r="S273" s="34"/>
      <c r="T273" s="34"/>
      <c r="U273" s="34"/>
      <c r="V273" s="34"/>
      <c r="W273" s="34"/>
    </row>
    <row r="274" spans="2:23" x14ac:dyDescent="0.3">
      <c r="B274" s="33"/>
      <c r="C274" s="34"/>
      <c r="D274" s="34"/>
      <c r="E274" s="34"/>
      <c r="F274" s="34"/>
      <c r="G274" s="34"/>
      <c r="H274" s="34"/>
      <c r="I274" s="34"/>
      <c r="J274" s="34"/>
      <c r="K274" s="35"/>
      <c r="L274" s="34"/>
      <c r="M274" s="32"/>
      <c r="N274" s="34"/>
      <c r="O274" s="34"/>
      <c r="P274" s="34"/>
      <c r="Q274" s="34"/>
      <c r="R274" s="34"/>
      <c r="S274" s="34"/>
      <c r="T274" s="34"/>
      <c r="U274" s="34"/>
      <c r="V274" s="34"/>
      <c r="W274" s="34"/>
    </row>
    <row r="275" spans="2:23" x14ac:dyDescent="0.3">
      <c r="B275" s="33"/>
      <c r="C275" s="34"/>
      <c r="D275" s="34"/>
      <c r="E275" s="34"/>
      <c r="F275" s="34"/>
      <c r="G275" s="34"/>
      <c r="H275" s="34"/>
      <c r="I275" s="34"/>
      <c r="J275" s="34"/>
      <c r="K275" s="35"/>
      <c r="L275" s="34"/>
      <c r="M275" s="32"/>
      <c r="N275" s="34"/>
      <c r="O275" s="34"/>
      <c r="P275" s="34"/>
      <c r="Q275" s="34"/>
      <c r="R275" s="34"/>
      <c r="S275" s="34"/>
      <c r="T275" s="34"/>
      <c r="U275" s="34"/>
      <c r="V275" s="34"/>
      <c r="W275" s="34"/>
    </row>
    <row r="276" spans="2:23" x14ac:dyDescent="0.3">
      <c r="B276" s="33"/>
      <c r="C276" s="34"/>
      <c r="D276" s="34"/>
      <c r="E276" s="34"/>
      <c r="F276" s="34"/>
      <c r="G276" s="34"/>
      <c r="H276" s="34"/>
      <c r="I276" s="34"/>
      <c r="J276" s="34"/>
      <c r="K276" s="35"/>
      <c r="L276" s="34"/>
      <c r="M276" s="32"/>
      <c r="N276" s="34"/>
      <c r="O276" s="34"/>
      <c r="P276" s="34"/>
      <c r="Q276" s="34"/>
      <c r="R276" s="34"/>
      <c r="S276" s="34"/>
      <c r="T276" s="34"/>
      <c r="U276" s="34"/>
      <c r="V276" s="34"/>
      <c r="W276" s="34"/>
    </row>
    <row r="277" spans="2:23" x14ac:dyDescent="0.3">
      <c r="B277" s="33"/>
      <c r="C277" s="34"/>
      <c r="D277" s="34"/>
      <c r="E277" s="34"/>
      <c r="F277" s="34"/>
      <c r="G277" s="34"/>
      <c r="H277" s="34"/>
      <c r="I277" s="34"/>
      <c r="J277" s="34"/>
      <c r="K277" s="35"/>
      <c r="L277" s="34"/>
      <c r="M277" s="32"/>
      <c r="N277" s="34"/>
      <c r="O277" s="34"/>
      <c r="P277" s="34"/>
      <c r="Q277" s="34"/>
      <c r="R277" s="34"/>
      <c r="S277" s="34"/>
      <c r="T277" s="34"/>
      <c r="U277" s="34"/>
      <c r="V277" s="34"/>
      <c r="W277" s="34"/>
    </row>
    <row r="278" spans="2:23" x14ac:dyDescent="0.3">
      <c r="B278" s="33"/>
      <c r="C278" s="34"/>
      <c r="D278" s="34"/>
      <c r="E278" s="34"/>
      <c r="F278" s="34"/>
      <c r="G278" s="34"/>
      <c r="H278" s="34"/>
      <c r="I278" s="34"/>
      <c r="J278" s="34"/>
      <c r="K278" s="35"/>
      <c r="L278" s="34"/>
      <c r="M278" s="32"/>
      <c r="N278" s="34"/>
      <c r="O278" s="34"/>
      <c r="P278" s="34"/>
      <c r="Q278" s="34"/>
      <c r="R278" s="34"/>
      <c r="S278" s="34"/>
      <c r="T278" s="34"/>
      <c r="U278" s="34"/>
      <c r="V278" s="34"/>
      <c r="W278" s="34"/>
    </row>
    <row r="279" spans="2:23" x14ac:dyDescent="0.3">
      <c r="B279" s="33"/>
      <c r="C279" s="34"/>
      <c r="D279" s="34"/>
      <c r="E279" s="34"/>
      <c r="F279" s="34"/>
      <c r="G279" s="34"/>
      <c r="H279" s="34"/>
      <c r="I279" s="34"/>
      <c r="J279" s="34"/>
      <c r="K279" s="35"/>
      <c r="L279" s="34"/>
      <c r="M279" s="32"/>
      <c r="N279" s="34"/>
      <c r="O279" s="34"/>
      <c r="P279" s="34"/>
      <c r="Q279" s="34"/>
      <c r="R279" s="34"/>
      <c r="S279" s="34"/>
      <c r="T279" s="34"/>
      <c r="U279" s="34"/>
      <c r="V279" s="34"/>
      <c r="W279" s="34"/>
    </row>
    <row r="280" spans="2:23" x14ac:dyDescent="0.3">
      <c r="B280" s="33"/>
      <c r="C280" s="34"/>
      <c r="D280" s="34"/>
      <c r="E280" s="34"/>
      <c r="F280" s="34"/>
      <c r="G280" s="34"/>
      <c r="H280" s="34"/>
      <c r="I280" s="34"/>
      <c r="J280" s="34"/>
      <c r="K280" s="35"/>
      <c r="L280" s="34"/>
      <c r="M280" s="32"/>
      <c r="N280" s="34"/>
      <c r="O280" s="34"/>
      <c r="P280" s="34"/>
      <c r="Q280" s="34"/>
      <c r="R280" s="34"/>
      <c r="S280" s="34"/>
      <c r="T280" s="34"/>
      <c r="U280" s="34"/>
      <c r="V280" s="34"/>
      <c r="W280" s="34"/>
    </row>
    <row r="281" spans="2:23" x14ac:dyDescent="0.3">
      <c r="B281" s="33"/>
      <c r="C281" s="34"/>
      <c r="D281" s="34"/>
      <c r="E281" s="34"/>
      <c r="F281" s="34"/>
      <c r="G281" s="34"/>
      <c r="H281" s="34"/>
      <c r="I281" s="34"/>
      <c r="J281" s="34"/>
      <c r="K281" s="35"/>
      <c r="L281" s="34"/>
      <c r="M281" s="32"/>
      <c r="N281" s="34"/>
      <c r="O281" s="34"/>
      <c r="P281" s="34"/>
      <c r="Q281" s="34"/>
      <c r="R281" s="34"/>
      <c r="S281" s="34"/>
      <c r="T281" s="34"/>
      <c r="U281" s="34"/>
      <c r="V281" s="34"/>
      <c r="W281" s="34"/>
    </row>
    <row r="282" spans="2:23" x14ac:dyDescent="0.3">
      <c r="B282" s="33"/>
      <c r="C282" s="34"/>
      <c r="D282" s="34"/>
      <c r="E282" s="34"/>
      <c r="F282" s="34"/>
      <c r="G282" s="34"/>
      <c r="H282" s="34"/>
      <c r="I282" s="34"/>
      <c r="J282" s="34"/>
      <c r="K282" s="35"/>
      <c r="L282" s="34"/>
      <c r="M282" s="32"/>
      <c r="N282" s="34"/>
      <c r="O282" s="34"/>
      <c r="P282" s="34"/>
      <c r="Q282" s="34"/>
      <c r="R282" s="34"/>
      <c r="S282" s="34"/>
      <c r="T282" s="34"/>
      <c r="U282" s="34"/>
      <c r="V282" s="34"/>
      <c r="W282" s="34"/>
    </row>
    <row r="283" spans="2:23" x14ac:dyDescent="0.3">
      <c r="B283" s="33"/>
      <c r="C283" s="34"/>
      <c r="D283" s="34"/>
      <c r="E283" s="34"/>
      <c r="F283" s="34"/>
      <c r="G283" s="34"/>
      <c r="H283" s="34"/>
      <c r="I283" s="34"/>
      <c r="J283" s="34"/>
      <c r="K283" s="35"/>
      <c r="L283" s="34"/>
      <c r="M283" s="32"/>
      <c r="N283" s="34"/>
      <c r="O283" s="34"/>
      <c r="P283" s="34"/>
      <c r="Q283" s="34"/>
      <c r="R283" s="34"/>
      <c r="S283" s="34"/>
      <c r="T283" s="34"/>
      <c r="U283" s="34"/>
      <c r="V283" s="34"/>
      <c r="W283" s="34"/>
    </row>
    <row r="284" spans="2:23" x14ac:dyDescent="0.3">
      <c r="B284" s="33"/>
      <c r="C284" s="34"/>
      <c r="D284" s="34"/>
      <c r="E284" s="34"/>
      <c r="F284" s="34"/>
      <c r="G284" s="34"/>
      <c r="H284" s="34"/>
      <c r="I284" s="34"/>
      <c r="J284" s="34"/>
      <c r="K284" s="35"/>
      <c r="L284" s="34"/>
      <c r="M284" s="32"/>
      <c r="N284" s="34"/>
      <c r="O284" s="34"/>
      <c r="P284" s="34"/>
      <c r="Q284" s="34"/>
      <c r="R284" s="34"/>
      <c r="S284" s="34"/>
      <c r="T284" s="34"/>
      <c r="U284" s="34"/>
      <c r="V284" s="34"/>
      <c r="W284" s="34"/>
    </row>
    <row r="285" spans="2:23" x14ac:dyDescent="0.3">
      <c r="B285" s="33"/>
      <c r="C285" s="34"/>
      <c r="D285" s="34"/>
      <c r="E285" s="34"/>
      <c r="F285" s="34"/>
      <c r="G285" s="34"/>
      <c r="H285" s="34"/>
      <c r="I285" s="34"/>
      <c r="J285" s="34"/>
      <c r="K285" s="35"/>
      <c r="L285" s="34"/>
      <c r="M285" s="32"/>
      <c r="N285" s="34"/>
      <c r="O285" s="34"/>
      <c r="P285" s="34"/>
      <c r="Q285" s="34"/>
      <c r="R285" s="34"/>
      <c r="S285" s="34"/>
      <c r="T285" s="34"/>
      <c r="U285" s="34"/>
      <c r="V285" s="34"/>
      <c r="W285" s="34"/>
    </row>
    <row r="286" spans="2:23" x14ac:dyDescent="0.3">
      <c r="B286" s="33"/>
      <c r="C286" s="34"/>
      <c r="D286" s="34"/>
      <c r="E286" s="34"/>
      <c r="F286" s="34"/>
      <c r="G286" s="34"/>
      <c r="H286" s="34"/>
      <c r="I286" s="34"/>
      <c r="J286" s="34"/>
      <c r="K286" s="35"/>
      <c r="L286" s="34"/>
      <c r="M286" s="32"/>
      <c r="N286" s="34"/>
      <c r="O286" s="34"/>
      <c r="P286" s="34"/>
      <c r="Q286" s="34"/>
      <c r="R286" s="34"/>
      <c r="S286" s="34"/>
      <c r="T286" s="34"/>
      <c r="U286" s="34"/>
      <c r="V286" s="34"/>
      <c r="W286" s="34"/>
    </row>
    <row r="287" spans="2:23" x14ac:dyDescent="0.3">
      <c r="B287" s="33"/>
      <c r="C287" s="34"/>
      <c r="D287" s="34"/>
      <c r="E287" s="34"/>
      <c r="F287" s="34"/>
      <c r="G287" s="34"/>
      <c r="H287" s="34"/>
      <c r="I287" s="34"/>
      <c r="J287" s="34"/>
      <c r="K287" s="35"/>
      <c r="L287" s="34"/>
      <c r="M287" s="32"/>
      <c r="N287" s="34"/>
      <c r="O287" s="34"/>
      <c r="P287" s="34"/>
      <c r="Q287" s="34"/>
      <c r="R287" s="34"/>
      <c r="S287" s="34"/>
      <c r="T287" s="34"/>
      <c r="U287" s="34"/>
      <c r="V287" s="34"/>
      <c r="W287" s="34"/>
    </row>
    <row r="288" spans="2:23" x14ac:dyDescent="0.3">
      <c r="B288" s="33"/>
      <c r="C288" s="34"/>
      <c r="D288" s="34"/>
      <c r="E288" s="34"/>
      <c r="F288" s="34"/>
      <c r="G288" s="34"/>
      <c r="H288" s="34"/>
      <c r="I288" s="34"/>
      <c r="J288" s="34"/>
      <c r="K288" s="35"/>
      <c r="L288" s="34"/>
      <c r="M288" s="32"/>
      <c r="N288" s="34"/>
      <c r="O288" s="34"/>
      <c r="P288" s="34"/>
      <c r="Q288" s="34"/>
      <c r="R288" s="34"/>
      <c r="S288" s="34"/>
      <c r="T288" s="34"/>
      <c r="U288" s="34"/>
      <c r="V288" s="34"/>
      <c r="W288" s="34"/>
    </row>
    <row r="289" spans="2:23" x14ac:dyDescent="0.3">
      <c r="B289" s="33"/>
      <c r="C289" s="34"/>
      <c r="D289" s="34"/>
      <c r="E289" s="34"/>
      <c r="F289" s="34"/>
      <c r="G289" s="34"/>
      <c r="H289" s="34"/>
      <c r="I289" s="34"/>
      <c r="J289" s="34"/>
      <c r="K289" s="35"/>
      <c r="L289" s="34"/>
      <c r="M289" s="32"/>
      <c r="N289" s="34"/>
      <c r="O289" s="34"/>
      <c r="P289" s="34"/>
      <c r="Q289" s="34"/>
      <c r="R289" s="34"/>
      <c r="S289" s="34"/>
      <c r="T289" s="34"/>
      <c r="U289" s="34"/>
      <c r="V289" s="34"/>
      <c r="W289" s="34"/>
    </row>
    <row r="290" spans="2:23" x14ac:dyDescent="0.3">
      <c r="B290" s="33"/>
      <c r="C290" s="34"/>
      <c r="D290" s="34"/>
      <c r="E290" s="34"/>
      <c r="F290" s="34"/>
      <c r="G290" s="34"/>
      <c r="H290" s="34"/>
      <c r="I290" s="34"/>
      <c r="J290" s="34"/>
      <c r="K290" s="35"/>
      <c r="L290" s="34"/>
      <c r="M290" s="32"/>
      <c r="N290" s="34"/>
      <c r="O290" s="34"/>
      <c r="P290" s="34"/>
      <c r="Q290" s="34"/>
      <c r="R290" s="34"/>
      <c r="S290" s="34"/>
      <c r="T290" s="34"/>
      <c r="U290" s="34"/>
      <c r="V290" s="34"/>
      <c r="W290" s="34"/>
    </row>
    <row r="291" spans="2:23" x14ac:dyDescent="0.3">
      <c r="B291" s="33"/>
      <c r="C291" s="34"/>
      <c r="D291" s="34"/>
      <c r="E291" s="34"/>
      <c r="F291" s="34"/>
      <c r="G291" s="34"/>
      <c r="H291" s="34"/>
      <c r="I291" s="34"/>
      <c r="J291" s="34"/>
      <c r="K291" s="35"/>
      <c r="L291" s="34"/>
      <c r="M291" s="32"/>
      <c r="N291" s="34"/>
      <c r="O291" s="34"/>
      <c r="P291" s="34"/>
      <c r="Q291" s="34"/>
      <c r="R291" s="34"/>
      <c r="S291" s="34"/>
      <c r="T291" s="34"/>
      <c r="U291" s="34"/>
      <c r="V291" s="34"/>
      <c r="W291" s="34"/>
    </row>
    <row r="292" spans="2:23" x14ac:dyDescent="0.3">
      <c r="B292" s="33"/>
      <c r="C292" s="34"/>
      <c r="D292" s="34"/>
      <c r="E292" s="34"/>
      <c r="F292" s="34"/>
      <c r="G292" s="34"/>
      <c r="H292" s="34"/>
      <c r="I292" s="34"/>
      <c r="J292" s="34"/>
      <c r="K292" s="35"/>
      <c r="L292" s="34"/>
      <c r="M292" s="32"/>
      <c r="N292" s="34"/>
      <c r="O292" s="34"/>
      <c r="P292" s="34"/>
      <c r="Q292" s="34"/>
      <c r="R292" s="34"/>
      <c r="S292" s="34"/>
      <c r="T292" s="34"/>
      <c r="U292" s="34"/>
      <c r="V292" s="34"/>
      <c r="W292" s="34"/>
    </row>
    <row r="293" spans="2:23" x14ac:dyDescent="0.3">
      <c r="B293" s="33"/>
      <c r="C293" s="34"/>
      <c r="D293" s="34"/>
      <c r="E293" s="34"/>
      <c r="F293" s="34"/>
      <c r="G293" s="34"/>
      <c r="H293" s="34"/>
      <c r="I293" s="34"/>
      <c r="J293" s="34"/>
      <c r="K293" s="35"/>
      <c r="L293" s="34"/>
      <c r="M293" s="32"/>
      <c r="N293" s="34"/>
      <c r="O293" s="34"/>
      <c r="P293" s="34"/>
      <c r="Q293" s="34"/>
      <c r="R293" s="34"/>
      <c r="S293" s="34"/>
      <c r="T293" s="34"/>
      <c r="U293" s="34"/>
      <c r="V293" s="34"/>
      <c r="W293" s="34"/>
    </row>
    <row r="294" spans="2:23" x14ac:dyDescent="0.3">
      <c r="B294" s="33"/>
      <c r="C294" s="34"/>
      <c r="D294" s="34"/>
      <c r="E294" s="34"/>
      <c r="F294" s="34"/>
      <c r="G294" s="34"/>
      <c r="H294" s="34"/>
      <c r="I294" s="34"/>
      <c r="J294" s="34"/>
      <c r="K294" s="35"/>
      <c r="L294" s="34"/>
      <c r="M294" s="32"/>
      <c r="N294" s="34"/>
      <c r="O294" s="34"/>
      <c r="P294" s="34"/>
      <c r="Q294" s="34"/>
      <c r="R294" s="34"/>
      <c r="S294" s="34"/>
      <c r="T294" s="34"/>
      <c r="U294" s="34"/>
      <c r="V294" s="34"/>
      <c r="W294" s="34"/>
    </row>
    <row r="295" spans="2:23" x14ac:dyDescent="0.3">
      <c r="B295" s="33"/>
      <c r="C295" s="34"/>
      <c r="D295" s="34"/>
      <c r="E295" s="34"/>
      <c r="F295" s="34"/>
      <c r="G295" s="34"/>
      <c r="H295" s="34"/>
      <c r="I295" s="34"/>
      <c r="J295" s="34"/>
      <c r="K295" s="35"/>
      <c r="L295" s="34"/>
      <c r="M295" s="32"/>
      <c r="N295" s="34"/>
      <c r="O295" s="34"/>
      <c r="P295" s="34"/>
      <c r="Q295" s="34"/>
      <c r="R295" s="34"/>
      <c r="S295" s="34"/>
      <c r="T295" s="34"/>
      <c r="U295" s="34"/>
      <c r="V295" s="34"/>
      <c r="W295" s="34"/>
    </row>
    <row r="296" spans="2:23" x14ac:dyDescent="0.3">
      <c r="B296" s="33"/>
      <c r="C296" s="34"/>
      <c r="D296" s="34"/>
      <c r="E296" s="34"/>
      <c r="F296" s="34"/>
      <c r="G296" s="34"/>
      <c r="H296" s="34"/>
      <c r="I296" s="34"/>
      <c r="J296" s="34"/>
      <c r="K296" s="35"/>
      <c r="L296" s="34"/>
      <c r="M296" s="32"/>
      <c r="N296" s="34"/>
      <c r="O296" s="34"/>
      <c r="P296" s="34"/>
      <c r="Q296" s="34"/>
      <c r="R296" s="34"/>
      <c r="S296" s="34"/>
      <c r="T296" s="34"/>
      <c r="U296" s="34"/>
      <c r="V296" s="34"/>
      <c r="W296" s="34"/>
    </row>
    <row r="297" spans="2:23" x14ac:dyDescent="0.3">
      <c r="B297" s="33"/>
      <c r="C297" s="34"/>
      <c r="D297" s="34"/>
      <c r="E297" s="34"/>
      <c r="F297" s="34"/>
      <c r="G297" s="34"/>
      <c r="H297" s="34"/>
      <c r="I297" s="34"/>
      <c r="J297" s="34"/>
      <c r="K297" s="35"/>
      <c r="L297" s="34"/>
      <c r="M297" s="32"/>
      <c r="N297" s="34"/>
      <c r="O297" s="34"/>
      <c r="P297" s="34"/>
      <c r="Q297" s="34"/>
      <c r="R297" s="34"/>
      <c r="S297" s="34"/>
      <c r="T297" s="34"/>
      <c r="U297" s="34"/>
      <c r="V297" s="34"/>
      <c r="W297" s="34"/>
    </row>
    <row r="298" spans="2:23" x14ac:dyDescent="0.3">
      <c r="B298" s="33"/>
      <c r="C298" s="34"/>
      <c r="D298" s="34"/>
      <c r="E298" s="34"/>
      <c r="F298" s="34"/>
      <c r="G298" s="34"/>
      <c r="H298" s="34"/>
      <c r="I298" s="34"/>
      <c r="J298" s="34"/>
      <c r="K298" s="35"/>
      <c r="L298" s="34"/>
      <c r="M298" s="32"/>
      <c r="N298" s="34"/>
      <c r="O298" s="34"/>
      <c r="P298" s="34"/>
      <c r="Q298" s="34"/>
      <c r="R298" s="34"/>
      <c r="S298" s="34"/>
      <c r="T298" s="34"/>
      <c r="U298" s="34"/>
      <c r="V298" s="34"/>
      <c r="W298" s="34"/>
    </row>
    <row r="299" spans="2:23" x14ac:dyDescent="0.3">
      <c r="B299" s="33"/>
      <c r="C299" s="34"/>
      <c r="D299" s="34"/>
      <c r="E299" s="34"/>
      <c r="F299" s="34"/>
      <c r="G299" s="34"/>
      <c r="H299" s="34"/>
      <c r="I299" s="34"/>
      <c r="J299" s="34"/>
      <c r="K299" s="35"/>
      <c r="L299" s="34"/>
      <c r="M299" s="32"/>
      <c r="N299" s="34"/>
      <c r="O299" s="34"/>
      <c r="P299" s="34"/>
      <c r="Q299" s="34"/>
      <c r="R299" s="34"/>
      <c r="S299" s="34"/>
      <c r="T299" s="34"/>
      <c r="U299" s="34"/>
      <c r="V299" s="34"/>
      <c r="W299" s="34"/>
    </row>
    <row r="300" spans="2:23" x14ac:dyDescent="0.3">
      <c r="B300" s="33"/>
      <c r="C300" s="34"/>
      <c r="D300" s="34"/>
      <c r="E300" s="34"/>
      <c r="F300" s="34"/>
      <c r="G300" s="34"/>
      <c r="H300" s="34"/>
      <c r="I300" s="34"/>
      <c r="J300" s="34"/>
      <c r="K300" s="35"/>
      <c r="L300" s="34"/>
      <c r="M300" s="32"/>
      <c r="N300" s="34"/>
      <c r="O300" s="34"/>
      <c r="P300" s="34"/>
      <c r="Q300" s="34"/>
      <c r="R300" s="34"/>
      <c r="S300" s="34"/>
      <c r="T300" s="34"/>
      <c r="U300" s="34"/>
      <c r="V300" s="34"/>
      <c r="W300" s="34"/>
    </row>
    <row r="301" spans="2:23" x14ac:dyDescent="0.3">
      <c r="B301" s="33"/>
      <c r="C301" s="34"/>
      <c r="D301" s="34"/>
      <c r="E301" s="34"/>
      <c r="F301" s="34"/>
      <c r="G301" s="34"/>
      <c r="H301" s="34"/>
      <c r="I301" s="34"/>
      <c r="J301" s="34"/>
      <c r="K301" s="35"/>
      <c r="L301" s="34"/>
      <c r="M301" s="32"/>
      <c r="N301" s="34"/>
      <c r="O301" s="34"/>
      <c r="P301" s="34"/>
      <c r="Q301" s="34"/>
      <c r="R301" s="34"/>
      <c r="S301" s="34"/>
      <c r="T301" s="34"/>
      <c r="U301" s="34"/>
      <c r="V301" s="34"/>
      <c r="W301" s="34"/>
    </row>
    <row r="302" spans="2:23" x14ac:dyDescent="0.3">
      <c r="B302" s="33"/>
      <c r="C302" s="34"/>
      <c r="D302" s="34"/>
      <c r="E302" s="34"/>
      <c r="F302" s="34"/>
      <c r="G302" s="34"/>
      <c r="H302" s="34"/>
      <c r="I302" s="34"/>
      <c r="J302" s="34"/>
      <c r="K302" s="35"/>
      <c r="L302" s="34"/>
      <c r="M302" s="32"/>
      <c r="N302" s="34"/>
      <c r="O302" s="34"/>
      <c r="P302" s="34"/>
      <c r="Q302" s="34"/>
      <c r="R302" s="34"/>
      <c r="S302" s="34"/>
      <c r="T302" s="34"/>
      <c r="U302" s="34"/>
      <c r="V302" s="34"/>
      <c r="W302" s="34"/>
    </row>
    <row r="303" spans="2:23" x14ac:dyDescent="0.3">
      <c r="B303" s="33"/>
      <c r="C303" s="34"/>
      <c r="D303" s="34"/>
      <c r="E303" s="34"/>
      <c r="F303" s="34"/>
      <c r="G303" s="34"/>
      <c r="H303" s="34"/>
      <c r="I303" s="34"/>
      <c r="J303" s="34"/>
      <c r="K303" s="35"/>
      <c r="L303" s="34"/>
      <c r="M303" s="32"/>
      <c r="N303" s="34"/>
      <c r="O303" s="34"/>
      <c r="P303" s="34"/>
      <c r="Q303" s="34"/>
      <c r="R303" s="34"/>
      <c r="S303" s="34"/>
      <c r="T303" s="34"/>
      <c r="U303" s="34"/>
      <c r="V303" s="34"/>
      <c r="W303" s="34"/>
    </row>
    <row r="304" spans="2:23" x14ac:dyDescent="0.3">
      <c r="B304" s="33"/>
      <c r="C304" s="34"/>
      <c r="D304" s="34"/>
      <c r="E304" s="34"/>
      <c r="F304" s="34"/>
      <c r="G304" s="34"/>
      <c r="H304" s="34"/>
      <c r="I304" s="34"/>
      <c r="J304" s="34"/>
      <c r="K304" s="35"/>
      <c r="L304" s="34"/>
      <c r="M304" s="32"/>
      <c r="N304" s="34"/>
      <c r="O304" s="34"/>
      <c r="P304" s="34"/>
      <c r="Q304" s="34"/>
      <c r="R304" s="34"/>
      <c r="S304" s="34"/>
      <c r="T304" s="34"/>
      <c r="U304" s="34"/>
      <c r="V304" s="34"/>
      <c r="W304" s="34"/>
    </row>
    <row r="305" spans="2:23" x14ac:dyDescent="0.3">
      <c r="B305" s="33"/>
      <c r="C305" s="34"/>
      <c r="D305" s="34"/>
      <c r="E305" s="34"/>
      <c r="F305" s="34"/>
      <c r="G305" s="34"/>
      <c r="H305" s="34"/>
      <c r="I305" s="34"/>
      <c r="J305" s="34"/>
      <c r="K305" s="35"/>
      <c r="L305" s="34"/>
      <c r="M305" s="32"/>
      <c r="N305" s="34"/>
      <c r="O305" s="34"/>
      <c r="P305" s="34"/>
      <c r="Q305" s="34"/>
      <c r="R305" s="34"/>
      <c r="S305" s="34"/>
      <c r="T305" s="34"/>
      <c r="U305" s="34"/>
      <c r="V305" s="34"/>
      <c r="W305" s="34"/>
    </row>
    <row r="306" spans="2:23" x14ac:dyDescent="0.3">
      <c r="B306" s="33"/>
      <c r="C306" s="34"/>
      <c r="D306" s="34"/>
      <c r="E306" s="34"/>
      <c r="F306" s="34"/>
      <c r="G306" s="34"/>
      <c r="H306" s="34"/>
      <c r="I306" s="34"/>
      <c r="J306" s="34"/>
      <c r="K306" s="35"/>
      <c r="L306" s="34"/>
      <c r="M306" s="32"/>
      <c r="N306" s="34"/>
      <c r="O306" s="34"/>
      <c r="P306" s="34"/>
      <c r="Q306" s="34"/>
      <c r="R306" s="34"/>
      <c r="S306" s="34"/>
      <c r="T306" s="34"/>
      <c r="U306" s="34"/>
      <c r="V306" s="34"/>
      <c r="W306" s="34"/>
    </row>
    <row r="307" spans="2:23" x14ac:dyDescent="0.3">
      <c r="B307" s="33"/>
      <c r="C307" s="34"/>
      <c r="D307" s="34"/>
      <c r="E307" s="34"/>
      <c r="F307" s="34"/>
      <c r="G307" s="34"/>
      <c r="H307" s="34"/>
      <c r="I307" s="34"/>
      <c r="J307" s="34"/>
      <c r="K307" s="35"/>
      <c r="L307" s="34"/>
      <c r="M307" s="32"/>
      <c r="N307" s="34"/>
      <c r="O307" s="34"/>
      <c r="P307" s="34"/>
      <c r="Q307" s="34"/>
      <c r="R307" s="34"/>
      <c r="S307" s="34"/>
      <c r="T307" s="34"/>
      <c r="U307" s="34"/>
      <c r="V307" s="34"/>
      <c r="W307" s="34"/>
    </row>
    <row r="308" spans="2:23" x14ac:dyDescent="0.3">
      <c r="B308" s="33"/>
      <c r="C308" s="34"/>
      <c r="D308" s="34"/>
      <c r="E308" s="34"/>
      <c r="F308" s="34"/>
      <c r="G308" s="34"/>
      <c r="H308" s="34"/>
      <c r="I308" s="34"/>
      <c r="J308" s="34"/>
      <c r="K308" s="35"/>
      <c r="L308" s="34"/>
      <c r="M308" s="32"/>
      <c r="N308" s="34"/>
      <c r="O308" s="34"/>
      <c r="P308" s="34"/>
      <c r="Q308" s="34"/>
      <c r="R308" s="34"/>
      <c r="S308" s="34"/>
      <c r="T308" s="34"/>
      <c r="U308" s="34"/>
      <c r="V308" s="34"/>
      <c r="W308" s="34"/>
    </row>
    <row r="309" spans="2:23" x14ac:dyDescent="0.3">
      <c r="B309" s="33"/>
      <c r="C309" s="34"/>
      <c r="D309" s="34"/>
      <c r="E309" s="34"/>
      <c r="F309" s="34"/>
      <c r="G309" s="34"/>
      <c r="H309" s="34"/>
      <c r="I309" s="34"/>
      <c r="J309" s="34"/>
      <c r="K309" s="35"/>
      <c r="L309" s="34"/>
      <c r="M309" s="32"/>
      <c r="N309" s="34"/>
      <c r="O309" s="34"/>
      <c r="P309" s="34"/>
      <c r="Q309" s="34"/>
      <c r="R309" s="34"/>
      <c r="S309" s="34"/>
      <c r="T309" s="34"/>
      <c r="U309" s="34"/>
      <c r="V309" s="34"/>
      <c r="W309" s="34"/>
    </row>
    <row r="310" spans="2:23" x14ac:dyDescent="0.3">
      <c r="B310" s="33"/>
      <c r="C310" s="34"/>
      <c r="D310" s="34"/>
      <c r="E310" s="34"/>
      <c r="F310" s="34"/>
      <c r="G310" s="34"/>
      <c r="H310" s="34"/>
      <c r="I310" s="34"/>
      <c r="J310" s="34"/>
      <c r="K310" s="35"/>
      <c r="L310" s="34"/>
      <c r="M310" s="32"/>
      <c r="N310" s="34"/>
      <c r="O310" s="34"/>
      <c r="P310" s="34"/>
      <c r="Q310" s="34"/>
      <c r="R310" s="34"/>
      <c r="S310" s="34"/>
      <c r="T310" s="34"/>
      <c r="U310" s="34"/>
      <c r="V310" s="34"/>
      <c r="W310" s="34"/>
    </row>
    <row r="311" spans="2:23" x14ac:dyDescent="0.3">
      <c r="B311" s="33"/>
      <c r="C311" s="34"/>
      <c r="D311" s="34"/>
      <c r="E311" s="34"/>
      <c r="F311" s="34"/>
      <c r="G311" s="34"/>
      <c r="H311" s="34"/>
      <c r="I311" s="34"/>
      <c r="J311" s="34"/>
      <c r="K311" s="35"/>
      <c r="L311" s="34"/>
      <c r="M311" s="32"/>
      <c r="N311" s="34"/>
      <c r="O311" s="34"/>
      <c r="P311" s="34"/>
      <c r="Q311" s="34"/>
      <c r="R311" s="34"/>
      <c r="S311" s="34"/>
      <c r="T311" s="34"/>
      <c r="U311" s="34"/>
      <c r="V311" s="34"/>
      <c r="W311" s="34"/>
    </row>
    <row r="312" spans="2:23" x14ac:dyDescent="0.3">
      <c r="B312" s="33"/>
      <c r="C312" s="34"/>
      <c r="D312" s="34"/>
      <c r="E312" s="34"/>
      <c r="F312" s="34"/>
      <c r="G312" s="34"/>
      <c r="H312" s="34"/>
      <c r="I312" s="34"/>
      <c r="J312" s="34"/>
      <c r="K312" s="35"/>
      <c r="L312" s="34"/>
      <c r="M312" s="32"/>
      <c r="N312" s="34"/>
      <c r="O312" s="34"/>
      <c r="P312" s="34"/>
      <c r="Q312" s="34"/>
      <c r="R312" s="34"/>
      <c r="S312" s="34"/>
      <c r="T312" s="34"/>
      <c r="U312" s="34"/>
      <c r="V312" s="34"/>
      <c r="W312" s="34"/>
    </row>
    <row r="313" spans="2:23" x14ac:dyDescent="0.3">
      <c r="B313" s="33"/>
      <c r="C313" s="34"/>
      <c r="D313" s="34"/>
      <c r="E313" s="34"/>
      <c r="F313" s="34"/>
      <c r="G313" s="34"/>
      <c r="H313" s="34"/>
      <c r="I313" s="34"/>
      <c r="J313" s="34"/>
      <c r="K313" s="35"/>
      <c r="L313" s="34"/>
      <c r="M313" s="32"/>
      <c r="N313" s="34"/>
      <c r="O313" s="34"/>
      <c r="P313" s="34"/>
      <c r="Q313" s="34"/>
      <c r="R313" s="34"/>
      <c r="S313" s="34"/>
      <c r="T313" s="34"/>
      <c r="U313" s="34"/>
      <c r="V313" s="34"/>
      <c r="W313" s="34"/>
    </row>
    <row r="314" spans="2:23" x14ac:dyDescent="0.3">
      <c r="B314" s="33"/>
      <c r="C314" s="34"/>
      <c r="D314" s="34"/>
      <c r="E314" s="34"/>
      <c r="F314" s="34"/>
      <c r="G314" s="34"/>
      <c r="H314" s="34"/>
      <c r="I314" s="34"/>
      <c r="J314" s="34"/>
      <c r="K314" s="35"/>
      <c r="L314" s="34"/>
      <c r="M314" s="32"/>
      <c r="N314" s="34"/>
      <c r="O314" s="34"/>
      <c r="P314" s="34"/>
      <c r="Q314" s="34"/>
      <c r="R314" s="34"/>
      <c r="S314" s="34"/>
      <c r="T314" s="34"/>
      <c r="U314" s="34"/>
      <c r="V314" s="34"/>
      <c r="W314" s="34"/>
    </row>
    <row r="315" spans="2:23" x14ac:dyDescent="0.3">
      <c r="B315" s="33"/>
      <c r="C315" s="34"/>
      <c r="D315" s="34"/>
      <c r="E315" s="34"/>
      <c r="F315" s="34"/>
      <c r="G315" s="34"/>
      <c r="H315" s="34"/>
      <c r="I315" s="34"/>
      <c r="J315" s="34"/>
      <c r="K315" s="35"/>
      <c r="L315" s="34"/>
      <c r="M315" s="32"/>
      <c r="N315" s="34"/>
      <c r="O315" s="34"/>
      <c r="P315" s="34"/>
      <c r="Q315" s="34"/>
      <c r="R315" s="34"/>
      <c r="S315" s="34"/>
      <c r="T315" s="34"/>
      <c r="U315" s="34"/>
      <c r="V315" s="34"/>
      <c r="W315" s="34"/>
    </row>
    <row r="316" spans="2:23" x14ac:dyDescent="0.3">
      <c r="B316" s="33"/>
      <c r="C316" s="34"/>
      <c r="D316" s="34"/>
      <c r="E316" s="34"/>
      <c r="F316" s="34"/>
      <c r="G316" s="34"/>
      <c r="H316" s="34"/>
      <c r="I316" s="34"/>
      <c r="J316" s="34"/>
      <c r="K316" s="35"/>
      <c r="L316" s="34"/>
      <c r="M316" s="32"/>
      <c r="N316" s="34"/>
      <c r="O316" s="34"/>
      <c r="P316" s="34"/>
      <c r="Q316" s="34"/>
      <c r="R316" s="34"/>
      <c r="S316" s="34"/>
      <c r="T316" s="34"/>
      <c r="U316" s="34"/>
      <c r="V316" s="34"/>
      <c r="W316" s="34"/>
    </row>
    <row r="317" spans="2:23" x14ac:dyDescent="0.3">
      <c r="B317" s="33"/>
      <c r="C317" s="34"/>
      <c r="D317" s="34"/>
      <c r="E317" s="34"/>
      <c r="F317" s="34"/>
      <c r="G317" s="34"/>
      <c r="H317" s="34"/>
      <c r="I317" s="34"/>
      <c r="J317" s="34"/>
      <c r="K317" s="35"/>
      <c r="L317" s="34"/>
      <c r="M317" s="32"/>
      <c r="N317" s="34"/>
      <c r="O317" s="34"/>
      <c r="P317" s="34"/>
      <c r="Q317" s="34"/>
      <c r="R317" s="34"/>
      <c r="S317" s="34"/>
      <c r="T317" s="34"/>
      <c r="U317" s="34"/>
      <c r="V317" s="34"/>
      <c r="W317" s="34"/>
    </row>
    <row r="318" spans="2:23" x14ac:dyDescent="0.3">
      <c r="B318" s="33"/>
      <c r="C318" s="34"/>
      <c r="D318" s="34"/>
      <c r="E318" s="34"/>
      <c r="F318" s="34"/>
      <c r="G318" s="34"/>
      <c r="H318" s="34"/>
      <c r="I318" s="34"/>
      <c r="J318" s="34"/>
      <c r="K318" s="35"/>
      <c r="L318" s="34"/>
      <c r="M318" s="32"/>
      <c r="N318" s="34"/>
      <c r="O318" s="34"/>
      <c r="P318" s="34"/>
      <c r="Q318" s="34"/>
      <c r="R318" s="34"/>
      <c r="S318" s="34"/>
      <c r="T318" s="34"/>
      <c r="U318" s="34"/>
      <c r="V318" s="34"/>
      <c r="W318" s="34"/>
    </row>
    <row r="319" spans="2:23" x14ac:dyDescent="0.3">
      <c r="B319" s="33"/>
      <c r="C319" s="34"/>
      <c r="D319" s="34"/>
      <c r="E319" s="34"/>
      <c r="F319" s="34"/>
      <c r="G319" s="34"/>
      <c r="H319" s="34"/>
      <c r="I319" s="34"/>
      <c r="J319" s="34"/>
      <c r="K319" s="35"/>
      <c r="L319" s="34"/>
      <c r="M319" s="32"/>
      <c r="N319" s="34"/>
      <c r="O319" s="34"/>
      <c r="P319" s="34"/>
      <c r="Q319" s="34"/>
      <c r="R319" s="34"/>
      <c r="S319" s="34"/>
      <c r="T319" s="34"/>
      <c r="U319" s="34"/>
      <c r="V319" s="34"/>
      <c r="W319" s="34"/>
    </row>
    <row r="320" spans="2:23" x14ac:dyDescent="0.3">
      <c r="B320" s="33"/>
      <c r="C320" s="34"/>
      <c r="D320" s="34"/>
      <c r="E320" s="34"/>
      <c r="F320" s="34"/>
      <c r="G320" s="34"/>
      <c r="H320" s="34"/>
      <c r="I320" s="34"/>
      <c r="J320" s="34"/>
      <c r="K320" s="35"/>
      <c r="L320" s="34"/>
      <c r="M320" s="32"/>
      <c r="N320" s="34"/>
      <c r="O320" s="34"/>
      <c r="P320" s="34"/>
      <c r="Q320" s="34"/>
      <c r="R320" s="34"/>
      <c r="S320" s="34"/>
      <c r="T320" s="34"/>
      <c r="U320" s="34"/>
      <c r="V320" s="34"/>
      <c r="W320" s="34"/>
    </row>
    <row r="321" spans="2:23" x14ac:dyDescent="0.3">
      <c r="B321" s="33"/>
      <c r="C321" s="34"/>
      <c r="D321" s="34"/>
      <c r="E321" s="34"/>
      <c r="F321" s="34"/>
      <c r="G321" s="34"/>
      <c r="H321" s="34"/>
      <c r="I321" s="34"/>
      <c r="J321" s="34"/>
      <c r="K321" s="35"/>
      <c r="L321" s="34"/>
      <c r="M321" s="32"/>
      <c r="N321" s="34"/>
      <c r="O321" s="34"/>
      <c r="P321" s="34"/>
      <c r="Q321" s="34"/>
      <c r="R321" s="34"/>
      <c r="S321" s="34"/>
      <c r="T321" s="34"/>
      <c r="U321" s="34"/>
      <c r="V321" s="34"/>
      <c r="W321" s="34"/>
    </row>
    <row r="322" spans="2:23" x14ac:dyDescent="0.3">
      <c r="B322" s="33"/>
      <c r="C322" s="34"/>
      <c r="D322" s="34"/>
      <c r="E322" s="34"/>
      <c r="F322" s="34"/>
      <c r="G322" s="34"/>
      <c r="H322" s="34"/>
      <c r="I322" s="34"/>
      <c r="J322" s="34"/>
      <c r="K322" s="35"/>
      <c r="L322" s="34"/>
      <c r="M322" s="32"/>
      <c r="N322" s="34"/>
      <c r="O322" s="34"/>
      <c r="P322" s="34"/>
      <c r="Q322" s="34"/>
      <c r="R322" s="34"/>
      <c r="S322" s="34"/>
      <c r="T322" s="34"/>
      <c r="U322" s="34"/>
      <c r="V322" s="34"/>
      <c r="W322" s="34"/>
    </row>
    <row r="323" spans="2:23" x14ac:dyDescent="0.3">
      <c r="B323" s="33"/>
      <c r="C323" s="34"/>
      <c r="D323" s="34"/>
      <c r="E323" s="34"/>
      <c r="F323" s="34"/>
      <c r="G323" s="34"/>
      <c r="H323" s="34"/>
      <c r="I323" s="34"/>
      <c r="J323" s="34"/>
      <c r="K323" s="35"/>
      <c r="L323" s="34"/>
      <c r="M323" s="32"/>
      <c r="N323" s="34"/>
      <c r="O323" s="34"/>
      <c r="P323" s="34"/>
      <c r="Q323" s="34"/>
      <c r="R323" s="34"/>
      <c r="S323" s="34"/>
      <c r="T323" s="34"/>
      <c r="U323" s="34"/>
      <c r="V323" s="34"/>
      <c r="W323" s="34"/>
    </row>
    <row r="324" spans="2:23" x14ac:dyDescent="0.3">
      <c r="B324" s="33"/>
      <c r="C324" s="34"/>
      <c r="D324" s="34"/>
      <c r="E324" s="34"/>
      <c r="F324" s="34"/>
      <c r="G324" s="34"/>
      <c r="H324" s="34"/>
      <c r="I324" s="34"/>
      <c r="J324" s="34"/>
      <c r="K324" s="35"/>
      <c r="L324" s="34"/>
      <c r="M324" s="32"/>
      <c r="N324" s="34"/>
      <c r="O324" s="34"/>
      <c r="P324" s="34"/>
      <c r="Q324" s="34"/>
      <c r="R324" s="34"/>
      <c r="S324" s="34"/>
      <c r="T324" s="34"/>
      <c r="U324" s="34"/>
      <c r="V324" s="34"/>
      <c r="W324" s="34"/>
    </row>
    <row r="325" spans="2:23" x14ac:dyDescent="0.3">
      <c r="B325" s="33"/>
      <c r="C325" s="34"/>
      <c r="D325" s="34"/>
      <c r="E325" s="34"/>
      <c r="F325" s="34"/>
      <c r="G325" s="34"/>
      <c r="H325" s="34"/>
      <c r="I325" s="34"/>
      <c r="J325" s="34"/>
      <c r="K325" s="35"/>
      <c r="L325" s="34"/>
      <c r="M325" s="32"/>
      <c r="N325" s="34"/>
      <c r="O325" s="34"/>
      <c r="P325" s="34"/>
      <c r="Q325" s="34"/>
      <c r="R325" s="34"/>
      <c r="S325" s="34"/>
      <c r="T325" s="34"/>
      <c r="U325" s="34"/>
      <c r="V325" s="34"/>
      <c r="W325" s="34"/>
    </row>
    <row r="326" spans="2:23" x14ac:dyDescent="0.3">
      <c r="B326" s="33"/>
      <c r="C326" s="34"/>
      <c r="D326" s="34"/>
      <c r="E326" s="34"/>
      <c r="F326" s="34"/>
      <c r="G326" s="34"/>
      <c r="H326" s="34"/>
      <c r="I326" s="34"/>
      <c r="J326" s="34"/>
      <c r="K326" s="35"/>
      <c r="L326" s="34"/>
      <c r="M326" s="32"/>
      <c r="N326" s="34"/>
      <c r="O326" s="34"/>
      <c r="P326" s="34"/>
      <c r="Q326" s="34"/>
      <c r="R326" s="34"/>
      <c r="S326" s="34"/>
      <c r="T326" s="34"/>
      <c r="U326" s="34"/>
      <c r="V326" s="34"/>
      <c r="W326" s="34"/>
    </row>
    <row r="327" spans="2:23" x14ac:dyDescent="0.3">
      <c r="B327" s="33"/>
      <c r="C327" s="34"/>
      <c r="D327" s="34"/>
      <c r="E327" s="34"/>
      <c r="F327" s="34"/>
      <c r="G327" s="34"/>
      <c r="H327" s="34"/>
      <c r="I327" s="34"/>
      <c r="J327" s="34"/>
      <c r="K327" s="35"/>
      <c r="L327" s="34"/>
      <c r="M327" s="32"/>
      <c r="N327" s="34"/>
      <c r="O327" s="34"/>
      <c r="P327" s="34"/>
      <c r="Q327" s="34"/>
      <c r="R327" s="34"/>
      <c r="S327" s="34"/>
      <c r="T327" s="34"/>
      <c r="U327" s="34"/>
      <c r="V327" s="34"/>
      <c r="W327" s="34"/>
    </row>
    <row r="328" spans="2:23" x14ac:dyDescent="0.3">
      <c r="B328" s="33"/>
      <c r="C328" s="34"/>
      <c r="D328" s="34"/>
      <c r="E328" s="34"/>
      <c r="F328" s="34"/>
      <c r="G328" s="34"/>
      <c r="H328" s="34"/>
      <c r="I328" s="34"/>
      <c r="J328" s="34"/>
      <c r="K328" s="35"/>
      <c r="L328" s="34"/>
      <c r="M328" s="32"/>
      <c r="N328" s="34"/>
      <c r="O328" s="34"/>
      <c r="P328" s="34"/>
      <c r="Q328" s="34"/>
      <c r="R328" s="34"/>
      <c r="S328" s="34"/>
      <c r="T328" s="34"/>
      <c r="U328" s="34"/>
      <c r="V328" s="34"/>
      <c r="W328" s="34"/>
    </row>
    <row r="329" spans="2:23" x14ac:dyDescent="0.3">
      <c r="B329" s="33"/>
      <c r="C329" s="34"/>
      <c r="D329" s="34"/>
      <c r="E329" s="34"/>
      <c r="F329" s="34"/>
      <c r="G329" s="34"/>
      <c r="H329" s="34"/>
      <c r="I329" s="34"/>
      <c r="J329" s="34"/>
      <c r="K329" s="35"/>
      <c r="L329" s="34"/>
      <c r="M329" s="32"/>
      <c r="N329" s="34"/>
      <c r="O329" s="34"/>
      <c r="P329" s="34"/>
      <c r="Q329" s="34"/>
      <c r="R329" s="34"/>
      <c r="S329" s="34"/>
      <c r="T329" s="34"/>
      <c r="U329" s="34"/>
      <c r="V329" s="34"/>
      <c r="W329" s="34"/>
    </row>
    <row r="330" spans="2:23" x14ac:dyDescent="0.3">
      <c r="B330" s="33"/>
      <c r="C330" s="34"/>
      <c r="D330" s="34"/>
      <c r="E330" s="34"/>
      <c r="F330" s="34"/>
      <c r="G330" s="34"/>
      <c r="H330" s="34"/>
      <c r="I330" s="34"/>
      <c r="J330" s="34"/>
      <c r="K330" s="35"/>
      <c r="L330" s="34"/>
      <c r="M330" s="32"/>
      <c r="N330" s="34"/>
      <c r="O330" s="34"/>
      <c r="P330" s="34"/>
      <c r="Q330" s="34"/>
      <c r="R330" s="34"/>
      <c r="S330" s="34"/>
      <c r="T330" s="34"/>
      <c r="U330" s="34"/>
      <c r="V330" s="34"/>
      <c r="W330" s="34"/>
    </row>
    <row r="331" spans="2:23" x14ac:dyDescent="0.3">
      <c r="B331" s="33"/>
      <c r="C331" s="34"/>
      <c r="D331" s="34"/>
      <c r="E331" s="34"/>
      <c r="F331" s="34"/>
      <c r="G331" s="34"/>
      <c r="H331" s="34"/>
      <c r="I331" s="34"/>
      <c r="J331" s="34"/>
      <c r="K331" s="35"/>
      <c r="L331" s="34"/>
      <c r="M331" s="32"/>
      <c r="N331" s="34"/>
      <c r="O331" s="34"/>
      <c r="P331" s="34"/>
      <c r="Q331" s="34"/>
      <c r="R331" s="34"/>
      <c r="S331" s="34"/>
      <c r="T331" s="34"/>
      <c r="U331" s="34"/>
      <c r="V331" s="34"/>
      <c r="W331" s="34"/>
    </row>
    <row r="332" spans="2:23" x14ac:dyDescent="0.3">
      <c r="B332" s="33"/>
      <c r="C332" s="34"/>
      <c r="D332" s="34"/>
      <c r="E332" s="34"/>
      <c r="F332" s="34"/>
      <c r="G332" s="34"/>
      <c r="H332" s="34"/>
      <c r="I332" s="34"/>
      <c r="J332" s="34"/>
      <c r="K332" s="35"/>
      <c r="L332" s="34"/>
      <c r="M332" s="32"/>
      <c r="N332" s="34"/>
      <c r="O332" s="34"/>
      <c r="P332" s="34"/>
      <c r="Q332" s="34"/>
      <c r="R332" s="34"/>
      <c r="S332" s="34"/>
      <c r="T332" s="34"/>
      <c r="U332" s="34"/>
      <c r="V332" s="34"/>
      <c r="W332" s="34"/>
    </row>
    <row r="333" spans="2:23" x14ac:dyDescent="0.3">
      <c r="B333" s="33"/>
      <c r="C333" s="34"/>
      <c r="D333" s="34"/>
      <c r="E333" s="34"/>
      <c r="F333" s="34"/>
      <c r="G333" s="34"/>
      <c r="H333" s="34"/>
      <c r="I333" s="34"/>
      <c r="J333" s="34"/>
      <c r="K333" s="35"/>
      <c r="L333" s="34"/>
      <c r="M333" s="32"/>
      <c r="N333" s="34"/>
      <c r="O333" s="34"/>
      <c r="P333" s="34"/>
      <c r="Q333" s="34"/>
      <c r="R333" s="34"/>
      <c r="S333" s="34"/>
      <c r="T333" s="34"/>
      <c r="U333" s="34"/>
      <c r="V333" s="34"/>
      <c r="W333" s="34"/>
    </row>
    <row r="334" spans="2:23" x14ac:dyDescent="0.3">
      <c r="B334" s="33"/>
      <c r="C334" s="34"/>
      <c r="D334" s="34"/>
      <c r="E334" s="34"/>
      <c r="F334" s="34"/>
      <c r="G334" s="34"/>
      <c r="H334" s="34"/>
      <c r="I334" s="34"/>
      <c r="J334" s="34"/>
      <c r="K334" s="35"/>
      <c r="L334" s="34"/>
      <c r="M334" s="32"/>
      <c r="N334" s="34"/>
      <c r="O334" s="34"/>
      <c r="P334" s="34"/>
      <c r="Q334" s="34"/>
      <c r="R334" s="34"/>
      <c r="S334" s="34"/>
      <c r="T334" s="34"/>
      <c r="U334" s="34"/>
      <c r="V334" s="34"/>
      <c r="W334" s="34"/>
    </row>
    <row r="335" spans="2:23" x14ac:dyDescent="0.3">
      <c r="B335" s="33"/>
      <c r="C335" s="34"/>
      <c r="D335" s="34"/>
      <c r="E335" s="34"/>
      <c r="F335" s="34"/>
      <c r="G335" s="34"/>
      <c r="H335" s="34"/>
      <c r="I335" s="34"/>
      <c r="J335" s="34"/>
      <c r="K335" s="35"/>
      <c r="L335" s="34"/>
      <c r="M335" s="32"/>
      <c r="N335" s="34"/>
      <c r="O335" s="34"/>
      <c r="P335" s="34"/>
      <c r="Q335" s="34"/>
      <c r="R335" s="34"/>
      <c r="S335" s="34"/>
      <c r="T335" s="34"/>
      <c r="U335" s="34"/>
      <c r="V335" s="34"/>
      <c r="W335" s="34"/>
    </row>
    <row r="336" spans="2:23" x14ac:dyDescent="0.3">
      <c r="B336" s="33"/>
      <c r="C336" s="34"/>
      <c r="D336" s="34"/>
      <c r="E336" s="34"/>
      <c r="F336" s="34"/>
      <c r="G336" s="34"/>
      <c r="H336" s="34"/>
      <c r="I336" s="34"/>
      <c r="J336" s="34"/>
      <c r="K336" s="35"/>
      <c r="L336" s="34"/>
      <c r="M336" s="32"/>
      <c r="N336" s="34"/>
      <c r="O336" s="34"/>
      <c r="P336" s="34"/>
      <c r="Q336" s="34"/>
      <c r="R336" s="34"/>
      <c r="S336" s="34"/>
      <c r="T336" s="34"/>
      <c r="U336" s="34"/>
      <c r="V336" s="34"/>
      <c r="W336" s="34"/>
    </row>
    <row r="337" spans="2:23" x14ac:dyDescent="0.3">
      <c r="B337" s="33"/>
      <c r="C337" s="34"/>
      <c r="D337" s="34"/>
      <c r="E337" s="34"/>
      <c r="F337" s="34"/>
      <c r="G337" s="34"/>
      <c r="H337" s="34"/>
      <c r="I337" s="34"/>
      <c r="J337" s="34"/>
      <c r="K337" s="35"/>
      <c r="L337" s="34"/>
      <c r="M337" s="32"/>
      <c r="N337" s="34"/>
      <c r="O337" s="34"/>
      <c r="P337" s="34"/>
      <c r="Q337" s="34"/>
      <c r="R337" s="34"/>
      <c r="S337" s="34"/>
      <c r="T337" s="34"/>
      <c r="U337" s="34"/>
      <c r="V337" s="34"/>
      <c r="W337" s="34"/>
    </row>
    <row r="338" spans="2:23" x14ac:dyDescent="0.3">
      <c r="B338" s="33"/>
      <c r="C338" s="34"/>
      <c r="D338" s="34"/>
      <c r="E338" s="34"/>
      <c r="F338" s="34"/>
      <c r="G338" s="34"/>
      <c r="H338" s="34"/>
      <c r="I338" s="34"/>
      <c r="J338" s="34"/>
      <c r="K338" s="35"/>
      <c r="L338" s="34"/>
      <c r="M338" s="32"/>
      <c r="N338" s="34"/>
      <c r="O338" s="34"/>
      <c r="P338" s="34"/>
      <c r="Q338" s="34"/>
      <c r="R338" s="34"/>
      <c r="S338" s="34"/>
      <c r="T338" s="34"/>
      <c r="U338" s="34"/>
      <c r="V338" s="34"/>
      <c r="W338" s="34"/>
    </row>
    <row r="339" spans="2:23" x14ac:dyDescent="0.3">
      <c r="B339" s="33"/>
      <c r="C339" s="34"/>
      <c r="D339" s="34"/>
      <c r="E339" s="34"/>
      <c r="F339" s="34"/>
      <c r="G339" s="34"/>
      <c r="H339" s="34"/>
      <c r="I339" s="34"/>
      <c r="J339" s="34"/>
      <c r="K339" s="35"/>
      <c r="L339" s="34"/>
      <c r="M339" s="32"/>
      <c r="N339" s="34"/>
      <c r="O339" s="34"/>
      <c r="P339" s="34"/>
      <c r="Q339" s="34"/>
      <c r="R339" s="34"/>
      <c r="S339" s="34"/>
      <c r="T339" s="34"/>
      <c r="U339" s="34"/>
      <c r="V339" s="34"/>
      <c r="W339" s="34"/>
    </row>
    <row r="340" spans="2:23" x14ac:dyDescent="0.3">
      <c r="B340" s="33"/>
      <c r="C340" s="34"/>
      <c r="D340" s="34"/>
      <c r="E340" s="34"/>
      <c r="F340" s="34"/>
      <c r="G340" s="34"/>
      <c r="H340" s="34"/>
      <c r="I340" s="34"/>
      <c r="J340" s="34"/>
      <c r="K340" s="35"/>
      <c r="L340" s="34"/>
      <c r="M340" s="32"/>
      <c r="N340" s="34"/>
      <c r="O340" s="34"/>
      <c r="P340" s="34"/>
      <c r="Q340" s="34"/>
      <c r="R340" s="34"/>
      <c r="S340" s="34"/>
      <c r="T340" s="34"/>
      <c r="U340" s="34"/>
      <c r="V340" s="34"/>
      <c r="W340" s="34"/>
    </row>
    <row r="341" spans="2:23" x14ac:dyDescent="0.3">
      <c r="B341" s="33"/>
      <c r="C341" s="34"/>
      <c r="D341" s="34"/>
      <c r="E341" s="34"/>
      <c r="F341" s="34"/>
      <c r="G341" s="34"/>
      <c r="H341" s="34"/>
      <c r="I341" s="34"/>
      <c r="J341" s="34"/>
      <c r="K341" s="35"/>
      <c r="L341" s="34"/>
      <c r="M341" s="32"/>
      <c r="N341" s="34"/>
      <c r="O341" s="34"/>
      <c r="P341" s="34"/>
      <c r="Q341" s="34"/>
      <c r="R341" s="34"/>
      <c r="S341" s="34"/>
      <c r="T341" s="34"/>
      <c r="U341" s="34"/>
      <c r="V341" s="34"/>
      <c r="W341" s="34"/>
    </row>
    <row r="342" spans="2:23" x14ac:dyDescent="0.3">
      <c r="B342" s="33"/>
      <c r="C342" s="34"/>
      <c r="D342" s="34"/>
      <c r="E342" s="34"/>
      <c r="F342" s="34"/>
      <c r="G342" s="34"/>
      <c r="H342" s="34"/>
      <c r="I342" s="34"/>
      <c r="J342" s="34"/>
      <c r="K342" s="35"/>
      <c r="L342" s="34"/>
      <c r="M342" s="32"/>
      <c r="N342" s="34"/>
      <c r="O342" s="34"/>
      <c r="P342" s="34"/>
      <c r="Q342" s="34"/>
      <c r="R342" s="34"/>
      <c r="S342" s="34"/>
      <c r="T342" s="34"/>
      <c r="U342" s="34"/>
      <c r="V342" s="34"/>
      <c r="W342" s="34"/>
    </row>
    <row r="343" spans="2:23" x14ac:dyDescent="0.3">
      <c r="B343" s="33"/>
      <c r="C343" s="34"/>
      <c r="D343" s="34"/>
      <c r="E343" s="34"/>
      <c r="F343" s="34"/>
      <c r="G343" s="34"/>
      <c r="H343" s="34"/>
      <c r="I343" s="34"/>
      <c r="J343" s="34"/>
      <c r="K343" s="35"/>
      <c r="L343" s="34"/>
      <c r="M343" s="32"/>
      <c r="N343" s="34"/>
      <c r="O343" s="34"/>
      <c r="P343" s="34"/>
      <c r="Q343" s="34"/>
      <c r="R343" s="34"/>
      <c r="S343" s="34"/>
      <c r="T343" s="34"/>
      <c r="U343" s="34"/>
      <c r="V343" s="34"/>
      <c r="W343" s="34"/>
    </row>
    <row r="344" spans="2:23" x14ac:dyDescent="0.3">
      <c r="B344" s="33"/>
      <c r="C344" s="34"/>
      <c r="D344" s="34"/>
      <c r="E344" s="34"/>
      <c r="F344" s="34"/>
      <c r="G344" s="34"/>
      <c r="H344" s="34"/>
      <c r="I344" s="34"/>
      <c r="J344" s="34"/>
      <c r="K344" s="35"/>
      <c r="L344" s="34"/>
      <c r="M344" s="32"/>
      <c r="N344" s="34"/>
      <c r="O344" s="34"/>
      <c r="P344" s="34"/>
      <c r="Q344" s="34"/>
      <c r="R344" s="34"/>
      <c r="S344" s="34"/>
      <c r="T344" s="34"/>
      <c r="U344" s="34"/>
      <c r="V344" s="34"/>
      <c r="W344" s="34"/>
    </row>
    <row r="345" spans="2:23" x14ac:dyDescent="0.3">
      <c r="B345" s="33"/>
      <c r="C345" s="34"/>
      <c r="D345" s="34"/>
      <c r="E345" s="34"/>
      <c r="F345" s="34"/>
      <c r="G345" s="34"/>
      <c r="H345" s="34"/>
      <c r="I345" s="34"/>
      <c r="J345" s="34"/>
      <c r="K345" s="35"/>
      <c r="L345" s="34"/>
      <c r="M345" s="32"/>
      <c r="N345" s="34"/>
      <c r="O345" s="34"/>
      <c r="P345" s="34"/>
      <c r="Q345" s="34"/>
      <c r="R345" s="34"/>
      <c r="S345" s="34"/>
      <c r="T345" s="34"/>
      <c r="U345" s="34"/>
      <c r="V345" s="34"/>
      <c r="W345" s="34"/>
    </row>
    <row r="346" spans="2:23" x14ac:dyDescent="0.3">
      <c r="B346" s="33"/>
      <c r="C346" s="34"/>
      <c r="D346" s="34"/>
      <c r="E346" s="34"/>
      <c r="F346" s="34"/>
      <c r="G346" s="34"/>
      <c r="H346" s="34"/>
      <c r="I346" s="34"/>
      <c r="J346" s="34"/>
      <c r="K346" s="35"/>
      <c r="L346" s="34"/>
      <c r="M346" s="32"/>
      <c r="N346" s="34"/>
      <c r="O346" s="34"/>
      <c r="P346" s="34"/>
      <c r="Q346" s="34"/>
      <c r="R346" s="34"/>
      <c r="S346" s="34"/>
      <c r="T346" s="34"/>
      <c r="U346" s="34"/>
      <c r="V346" s="34"/>
      <c r="W346" s="34"/>
    </row>
    <row r="347" spans="2:23" x14ac:dyDescent="0.3">
      <c r="B347" s="33"/>
      <c r="C347" s="34"/>
      <c r="D347" s="34"/>
      <c r="E347" s="34"/>
      <c r="F347" s="34"/>
      <c r="G347" s="34"/>
      <c r="H347" s="34"/>
      <c r="I347" s="34"/>
      <c r="J347" s="34"/>
      <c r="K347" s="35"/>
      <c r="L347" s="34"/>
      <c r="M347" s="32"/>
      <c r="N347" s="34"/>
      <c r="O347" s="34"/>
      <c r="P347" s="34"/>
      <c r="Q347" s="34"/>
      <c r="R347" s="34"/>
      <c r="S347" s="34"/>
      <c r="T347" s="34"/>
      <c r="U347" s="34"/>
      <c r="V347" s="34"/>
      <c r="W347" s="34"/>
    </row>
    <row r="348" spans="2:23" x14ac:dyDescent="0.3">
      <c r="B348" s="33"/>
      <c r="C348" s="34"/>
      <c r="D348" s="34"/>
      <c r="E348" s="34"/>
      <c r="F348" s="34"/>
      <c r="G348" s="34"/>
      <c r="H348" s="34"/>
      <c r="I348" s="34"/>
      <c r="J348" s="34"/>
      <c r="K348" s="35"/>
      <c r="L348" s="34"/>
      <c r="M348" s="32"/>
      <c r="N348" s="34"/>
      <c r="O348" s="34"/>
      <c r="P348" s="34"/>
      <c r="Q348" s="34"/>
      <c r="R348" s="34"/>
      <c r="S348" s="34"/>
      <c r="T348" s="34"/>
      <c r="U348" s="34"/>
      <c r="V348" s="34"/>
      <c r="W348" s="34"/>
    </row>
    <row r="349" spans="2:23" x14ac:dyDescent="0.3">
      <c r="B349" s="33"/>
      <c r="C349" s="34"/>
      <c r="D349" s="34"/>
      <c r="E349" s="34"/>
      <c r="F349" s="34"/>
      <c r="G349" s="34"/>
      <c r="H349" s="34"/>
      <c r="I349" s="34"/>
      <c r="J349" s="34"/>
      <c r="K349" s="35"/>
      <c r="L349" s="34"/>
      <c r="M349" s="32"/>
      <c r="N349" s="34"/>
      <c r="O349" s="34"/>
      <c r="P349" s="34"/>
      <c r="Q349" s="34"/>
      <c r="R349" s="34"/>
      <c r="S349" s="34"/>
      <c r="T349" s="34"/>
      <c r="U349" s="34"/>
      <c r="V349" s="34"/>
      <c r="W349" s="34"/>
    </row>
    <row r="350" spans="2:23" x14ac:dyDescent="0.3">
      <c r="B350" s="33"/>
      <c r="C350" s="34"/>
      <c r="D350" s="34"/>
      <c r="E350" s="34"/>
      <c r="F350" s="34"/>
      <c r="G350" s="34"/>
      <c r="H350" s="34"/>
      <c r="I350" s="34"/>
      <c r="J350" s="34"/>
      <c r="K350" s="35"/>
      <c r="L350" s="34"/>
      <c r="M350" s="32"/>
      <c r="N350" s="34"/>
      <c r="O350" s="34"/>
      <c r="P350" s="34"/>
      <c r="Q350" s="34"/>
      <c r="R350" s="34"/>
      <c r="S350" s="34"/>
      <c r="T350" s="34"/>
      <c r="U350" s="34"/>
      <c r="V350" s="34"/>
      <c r="W350" s="34"/>
    </row>
    <row r="351" spans="2:23" x14ac:dyDescent="0.3">
      <c r="B351" s="33"/>
      <c r="C351" s="34"/>
      <c r="D351" s="34"/>
      <c r="E351" s="34"/>
      <c r="F351" s="34"/>
      <c r="G351" s="34"/>
      <c r="H351" s="34"/>
      <c r="I351" s="34"/>
      <c r="J351" s="34"/>
      <c r="K351" s="35"/>
      <c r="L351" s="34"/>
      <c r="M351" s="32"/>
      <c r="N351" s="34"/>
      <c r="O351" s="34"/>
      <c r="P351" s="34"/>
      <c r="Q351" s="34"/>
      <c r="R351" s="34"/>
      <c r="S351" s="34"/>
      <c r="T351" s="34"/>
      <c r="U351" s="34"/>
      <c r="V351" s="34"/>
      <c r="W351" s="34"/>
    </row>
    <row r="352" spans="2:23" x14ac:dyDescent="0.3">
      <c r="B352" s="33"/>
      <c r="C352" s="34"/>
      <c r="D352" s="34"/>
      <c r="E352" s="34"/>
      <c r="F352" s="34"/>
      <c r="G352" s="34"/>
      <c r="H352" s="34"/>
      <c r="I352" s="34"/>
      <c r="J352" s="34"/>
      <c r="K352" s="35"/>
      <c r="L352" s="34"/>
      <c r="M352" s="32"/>
      <c r="N352" s="34"/>
      <c r="O352" s="34"/>
      <c r="P352" s="34"/>
      <c r="Q352" s="34"/>
      <c r="R352" s="34"/>
      <c r="S352" s="34"/>
      <c r="T352" s="34"/>
      <c r="U352" s="34"/>
      <c r="V352" s="34"/>
      <c r="W352" s="34"/>
    </row>
    <row r="353" spans="2:23" x14ac:dyDescent="0.3">
      <c r="B353" s="33"/>
      <c r="C353" s="34"/>
      <c r="D353" s="34"/>
      <c r="E353" s="34"/>
      <c r="F353" s="34"/>
      <c r="G353" s="34"/>
      <c r="H353" s="34"/>
      <c r="I353" s="34"/>
      <c r="J353" s="34"/>
      <c r="K353" s="35"/>
      <c r="L353" s="34"/>
      <c r="M353" s="32"/>
      <c r="N353" s="34"/>
      <c r="O353" s="34"/>
      <c r="P353" s="34"/>
      <c r="Q353" s="34"/>
      <c r="R353" s="34"/>
      <c r="S353" s="34"/>
      <c r="T353" s="34"/>
      <c r="U353" s="34"/>
      <c r="V353" s="34"/>
      <c r="W353" s="34"/>
    </row>
    <row r="354" spans="2:23" x14ac:dyDescent="0.3">
      <c r="B354" s="33"/>
      <c r="C354" s="34"/>
      <c r="D354" s="34"/>
      <c r="E354" s="34"/>
      <c r="F354" s="34"/>
      <c r="G354" s="34"/>
      <c r="H354" s="34"/>
      <c r="I354" s="34"/>
      <c r="J354" s="34"/>
      <c r="K354" s="35"/>
      <c r="L354" s="34"/>
      <c r="M354" s="32"/>
      <c r="N354" s="34"/>
      <c r="O354" s="34"/>
      <c r="P354" s="34"/>
      <c r="Q354" s="34"/>
      <c r="R354" s="34"/>
      <c r="S354" s="34"/>
      <c r="T354" s="34"/>
      <c r="U354" s="34"/>
      <c r="V354" s="34"/>
      <c r="W354" s="34"/>
    </row>
    <row r="355" spans="2:23" x14ac:dyDescent="0.3">
      <c r="B355" s="33"/>
      <c r="C355" s="34"/>
      <c r="D355" s="34"/>
      <c r="E355" s="34"/>
      <c r="F355" s="34"/>
      <c r="G355" s="34"/>
      <c r="H355" s="34"/>
      <c r="I355" s="34"/>
      <c r="J355" s="34"/>
      <c r="K355" s="35"/>
      <c r="L355" s="34"/>
      <c r="M355" s="32"/>
      <c r="N355" s="34"/>
      <c r="O355" s="34"/>
      <c r="P355" s="34"/>
      <c r="Q355" s="34"/>
      <c r="R355" s="34"/>
      <c r="S355" s="34"/>
      <c r="T355" s="34"/>
      <c r="U355" s="34"/>
      <c r="V355" s="34"/>
      <c r="W355" s="34"/>
    </row>
    <row r="356" spans="2:23" x14ac:dyDescent="0.3">
      <c r="B356" s="33"/>
      <c r="C356" s="34"/>
      <c r="D356" s="34"/>
      <c r="E356" s="34"/>
      <c r="F356" s="34"/>
      <c r="G356" s="34"/>
      <c r="H356" s="34"/>
      <c r="I356" s="34"/>
      <c r="J356" s="34"/>
      <c r="K356" s="35"/>
      <c r="L356" s="34"/>
      <c r="M356" s="32"/>
      <c r="N356" s="34"/>
      <c r="O356" s="34"/>
      <c r="P356" s="34"/>
      <c r="Q356" s="34"/>
      <c r="R356" s="34"/>
      <c r="S356" s="34"/>
      <c r="T356" s="34"/>
      <c r="U356" s="34"/>
      <c r="V356" s="34"/>
      <c r="W356" s="34"/>
    </row>
    <row r="357" spans="2:23" x14ac:dyDescent="0.3">
      <c r="B357" s="33"/>
      <c r="C357" s="34"/>
      <c r="D357" s="34"/>
      <c r="E357" s="34"/>
      <c r="F357" s="34"/>
      <c r="G357" s="34"/>
      <c r="H357" s="34"/>
      <c r="I357" s="34"/>
      <c r="J357" s="34"/>
      <c r="K357" s="35"/>
      <c r="L357" s="34"/>
      <c r="M357" s="32"/>
      <c r="N357" s="34"/>
      <c r="O357" s="34"/>
      <c r="P357" s="34"/>
      <c r="Q357" s="34"/>
      <c r="R357" s="34"/>
      <c r="S357" s="34"/>
      <c r="T357" s="34"/>
      <c r="U357" s="34"/>
      <c r="V357" s="34"/>
      <c r="W357" s="34"/>
    </row>
    <row r="358" spans="2:23" x14ac:dyDescent="0.3">
      <c r="B358" s="33"/>
      <c r="C358" s="34"/>
      <c r="D358" s="34"/>
      <c r="E358" s="34"/>
      <c r="F358" s="34"/>
      <c r="G358" s="34"/>
      <c r="H358" s="34"/>
      <c r="I358" s="34"/>
      <c r="J358" s="34"/>
      <c r="K358" s="35"/>
      <c r="L358" s="34"/>
      <c r="M358" s="32"/>
      <c r="N358" s="34"/>
      <c r="O358" s="34"/>
      <c r="P358" s="34"/>
      <c r="Q358" s="34"/>
      <c r="R358" s="34"/>
      <c r="S358" s="34"/>
      <c r="T358" s="34"/>
      <c r="U358" s="34"/>
      <c r="V358" s="34"/>
      <c r="W358" s="34"/>
    </row>
    <row r="359" spans="2:23" x14ac:dyDescent="0.3">
      <c r="B359" s="33"/>
      <c r="C359" s="34"/>
      <c r="D359" s="34"/>
      <c r="E359" s="34"/>
      <c r="F359" s="34"/>
      <c r="G359" s="34"/>
      <c r="H359" s="34"/>
      <c r="I359" s="34"/>
      <c r="J359" s="34"/>
      <c r="K359" s="35"/>
      <c r="L359" s="34"/>
      <c r="M359" s="32"/>
      <c r="N359" s="34"/>
      <c r="O359" s="34"/>
      <c r="P359" s="34"/>
      <c r="Q359" s="34"/>
      <c r="R359" s="34"/>
      <c r="S359" s="34"/>
      <c r="T359" s="34"/>
      <c r="U359" s="34"/>
      <c r="V359" s="34"/>
      <c r="W359" s="34"/>
    </row>
    <row r="360" spans="2:23" x14ac:dyDescent="0.3">
      <c r="B360" s="33"/>
      <c r="C360" s="34"/>
      <c r="D360" s="34"/>
      <c r="E360" s="34"/>
      <c r="F360" s="34"/>
      <c r="G360" s="34"/>
      <c r="H360" s="34"/>
      <c r="I360" s="34"/>
      <c r="J360" s="34"/>
      <c r="K360" s="35"/>
      <c r="L360" s="34"/>
      <c r="M360" s="32"/>
      <c r="N360" s="34"/>
      <c r="O360" s="34"/>
      <c r="P360" s="34"/>
      <c r="Q360" s="34"/>
      <c r="R360" s="34"/>
      <c r="S360" s="34"/>
      <c r="T360" s="34"/>
      <c r="U360" s="34"/>
      <c r="V360" s="34"/>
      <c r="W360" s="34"/>
    </row>
    <row r="361" spans="2:23" x14ac:dyDescent="0.3">
      <c r="B361" s="33"/>
      <c r="C361" s="34"/>
      <c r="D361" s="34"/>
      <c r="E361" s="34"/>
      <c r="F361" s="34"/>
      <c r="G361" s="34"/>
      <c r="H361" s="34"/>
      <c r="I361" s="34"/>
      <c r="J361" s="34"/>
      <c r="K361" s="35"/>
      <c r="L361" s="34"/>
      <c r="M361" s="32"/>
      <c r="N361" s="34"/>
      <c r="O361" s="34"/>
      <c r="P361" s="34"/>
      <c r="Q361" s="34"/>
      <c r="R361" s="34"/>
      <c r="S361" s="34"/>
      <c r="T361" s="34"/>
      <c r="U361" s="34"/>
      <c r="V361" s="34"/>
      <c r="W361" s="34"/>
    </row>
    <row r="362" spans="2:23" x14ac:dyDescent="0.3">
      <c r="B362" s="33"/>
      <c r="C362" s="34"/>
      <c r="D362" s="34"/>
      <c r="E362" s="34"/>
      <c r="F362" s="34"/>
      <c r="G362" s="34"/>
      <c r="H362" s="34"/>
      <c r="I362" s="34"/>
      <c r="J362" s="34"/>
      <c r="K362" s="35"/>
      <c r="L362" s="34"/>
      <c r="M362" s="32"/>
      <c r="N362" s="34"/>
      <c r="O362" s="34"/>
      <c r="P362" s="34"/>
      <c r="Q362" s="34"/>
      <c r="R362" s="34"/>
      <c r="S362" s="34"/>
      <c r="T362" s="34"/>
      <c r="U362" s="34"/>
      <c r="V362" s="34"/>
      <c r="W362" s="34"/>
    </row>
    <row r="363" spans="2:23" x14ac:dyDescent="0.3">
      <c r="B363" s="33"/>
      <c r="C363" s="34"/>
      <c r="D363" s="34"/>
      <c r="E363" s="34"/>
      <c r="F363" s="34"/>
      <c r="G363" s="34"/>
      <c r="H363" s="34"/>
      <c r="I363" s="34"/>
      <c r="J363" s="34"/>
      <c r="K363" s="35"/>
      <c r="L363" s="34"/>
      <c r="M363" s="32"/>
      <c r="N363" s="34"/>
      <c r="O363" s="34"/>
      <c r="P363" s="34"/>
      <c r="Q363" s="34"/>
      <c r="R363" s="34"/>
      <c r="S363" s="34"/>
      <c r="T363" s="34"/>
      <c r="U363" s="34"/>
      <c r="V363" s="34"/>
      <c r="W363" s="34"/>
    </row>
    <row r="364" spans="2:23" x14ac:dyDescent="0.3">
      <c r="B364" s="33"/>
      <c r="C364" s="34"/>
      <c r="D364" s="34"/>
      <c r="E364" s="34"/>
      <c r="F364" s="34"/>
      <c r="G364" s="34"/>
      <c r="H364" s="34"/>
      <c r="I364" s="34"/>
      <c r="J364" s="34"/>
      <c r="K364" s="35"/>
      <c r="L364" s="34"/>
      <c r="M364" s="32"/>
      <c r="N364" s="34"/>
      <c r="O364" s="34"/>
      <c r="P364" s="34"/>
      <c r="Q364" s="34"/>
      <c r="R364" s="34"/>
      <c r="S364" s="34"/>
      <c r="T364" s="34"/>
      <c r="U364" s="34"/>
      <c r="V364" s="34"/>
      <c r="W364" s="34"/>
    </row>
    <row r="365" spans="2:23" x14ac:dyDescent="0.3">
      <c r="B365" s="33"/>
      <c r="C365" s="34"/>
      <c r="D365" s="34"/>
      <c r="E365" s="34"/>
      <c r="F365" s="34"/>
      <c r="G365" s="34"/>
      <c r="H365" s="34"/>
      <c r="I365" s="34"/>
      <c r="J365" s="34"/>
      <c r="K365" s="35"/>
      <c r="L365" s="34"/>
      <c r="M365" s="32"/>
      <c r="N365" s="34"/>
      <c r="O365" s="34"/>
      <c r="P365" s="34"/>
      <c r="Q365" s="34"/>
      <c r="R365" s="34"/>
      <c r="S365" s="34"/>
      <c r="T365" s="34"/>
      <c r="U365" s="34"/>
      <c r="V365" s="34"/>
      <c r="W365" s="34"/>
    </row>
    <row r="366" spans="2:23" x14ac:dyDescent="0.3">
      <c r="B366" s="33"/>
      <c r="C366" s="34"/>
      <c r="D366" s="34"/>
      <c r="E366" s="34"/>
      <c r="F366" s="34"/>
      <c r="G366" s="34"/>
      <c r="H366" s="34"/>
      <c r="I366" s="34"/>
      <c r="J366" s="34"/>
      <c r="K366" s="35"/>
      <c r="L366" s="34"/>
      <c r="M366" s="32"/>
      <c r="N366" s="34"/>
      <c r="O366" s="34"/>
      <c r="P366" s="34"/>
      <c r="Q366" s="34"/>
      <c r="R366" s="34"/>
      <c r="S366" s="34"/>
      <c r="T366" s="34"/>
      <c r="U366" s="34"/>
      <c r="V366" s="34"/>
      <c r="W366" s="34"/>
    </row>
    <row r="367" spans="2:23" x14ac:dyDescent="0.3">
      <c r="B367" s="33"/>
      <c r="C367" s="34"/>
      <c r="D367" s="34"/>
      <c r="E367" s="34"/>
      <c r="F367" s="34"/>
      <c r="G367" s="34"/>
      <c r="H367" s="34"/>
      <c r="I367" s="34"/>
      <c r="J367" s="34"/>
      <c r="K367" s="35"/>
      <c r="L367" s="34"/>
      <c r="M367" s="32"/>
      <c r="N367" s="34"/>
      <c r="O367" s="34"/>
      <c r="P367" s="34"/>
      <c r="Q367" s="34"/>
      <c r="R367" s="34"/>
      <c r="S367" s="34"/>
      <c r="T367" s="34"/>
      <c r="U367" s="34"/>
      <c r="V367" s="34"/>
      <c r="W367" s="34"/>
    </row>
    <row r="368" spans="2:23" x14ac:dyDescent="0.3">
      <c r="B368" s="33"/>
      <c r="C368" s="34"/>
      <c r="D368" s="34"/>
      <c r="E368" s="34"/>
      <c r="F368" s="34"/>
      <c r="G368" s="34"/>
      <c r="H368" s="34"/>
      <c r="I368" s="34"/>
      <c r="J368" s="34"/>
      <c r="K368" s="35"/>
      <c r="L368" s="34"/>
      <c r="M368" s="32"/>
      <c r="N368" s="34"/>
      <c r="O368" s="34"/>
      <c r="P368" s="34"/>
      <c r="Q368" s="34"/>
      <c r="R368" s="34"/>
      <c r="S368" s="34"/>
      <c r="T368" s="34"/>
      <c r="U368" s="34"/>
      <c r="V368" s="34"/>
      <c r="W368" s="34"/>
    </row>
    <row r="369" spans="2:23" x14ac:dyDescent="0.3">
      <c r="B369" s="33"/>
      <c r="C369" s="34"/>
      <c r="D369" s="34"/>
      <c r="E369" s="34"/>
      <c r="F369" s="34"/>
      <c r="G369" s="34"/>
      <c r="H369" s="34"/>
      <c r="I369" s="34"/>
      <c r="J369" s="34"/>
      <c r="K369" s="35"/>
      <c r="L369" s="34"/>
      <c r="M369" s="32"/>
      <c r="N369" s="34"/>
      <c r="O369" s="34"/>
      <c r="P369" s="34"/>
      <c r="Q369" s="34"/>
      <c r="R369" s="34"/>
      <c r="S369" s="34"/>
      <c r="T369" s="34"/>
      <c r="U369" s="34"/>
      <c r="V369" s="34"/>
      <c r="W369" s="34"/>
    </row>
    <row r="370" spans="2:23" x14ac:dyDescent="0.3">
      <c r="B370" s="33"/>
      <c r="C370" s="34"/>
      <c r="D370" s="34"/>
      <c r="E370" s="34"/>
      <c r="F370" s="34"/>
      <c r="G370" s="34"/>
      <c r="H370" s="34"/>
      <c r="I370" s="34"/>
      <c r="J370" s="34"/>
      <c r="K370" s="35"/>
      <c r="L370" s="34"/>
      <c r="M370" s="32"/>
      <c r="N370" s="34"/>
      <c r="O370" s="34"/>
      <c r="P370" s="34"/>
      <c r="Q370" s="34"/>
      <c r="R370" s="34"/>
      <c r="S370" s="34"/>
      <c r="T370" s="34"/>
      <c r="U370" s="34"/>
      <c r="V370" s="34"/>
      <c r="W370" s="34"/>
    </row>
    <row r="371" spans="2:23" x14ac:dyDescent="0.3">
      <c r="B371" s="33"/>
      <c r="C371" s="34"/>
      <c r="D371" s="34"/>
      <c r="E371" s="34"/>
      <c r="F371" s="34"/>
      <c r="G371" s="34"/>
      <c r="H371" s="34"/>
      <c r="I371" s="34"/>
      <c r="J371" s="34"/>
      <c r="K371" s="35"/>
      <c r="L371" s="34"/>
      <c r="M371" s="32"/>
      <c r="N371" s="34"/>
      <c r="O371" s="34"/>
      <c r="P371" s="34"/>
      <c r="Q371" s="34"/>
      <c r="R371" s="34"/>
      <c r="S371" s="34"/>
      <c r="T371" s="34"/>
      <c r="U371" s="34"/>
      <c r="V371" s="34"/>
      <c r="W371" s="34"/>
    </row>
    <row r="372" spans="2:23" x14ac:dyDescent="0.3">
      <c r="B372" s="33"/>
      <c r="C372" s="34"/>
      <c r="D372" s="34"/>
      <c r="E372" s="34"/>
      <c r="F372" s="34"/>
      <c r="G372" s="34"/>
      <c r="H372" s="34"/>
      <c r="I372" s="34"/>
      <c r="J372" s="34"/>
      <c r="K372" s="35"/>
      <c r="L372" s="34"/>
      <c r="M372" s="32"/>
      <c r="N372" s="34"/>
      <c r="O372" s="34"/>
      <c r="P372" s="34"/>
      <c r="Q372" s="34"/>
      <c r="R372" s="34"/>
      <c r="S372" s="34"/>
      <c r="T372" s="34"/>
      <c r="U372" s="34"/>
      <c r="V372" s="34"/>
      <c r="W372" s="34"/>
    </row>
    <row r="373" spans="2:23" x14ac:dyDescent="0.3">
      <c r="B373" s="33"/>
      <c r="C373" s="34"/>
      <c r="D373" s="34"/>
      <c r="E373" s="34"/>
      <c r="F373" s="34"/>
      <c r="G373" s="34"/>
      <c r="H373" s="34"/>
      <c r="I373" s="34"/>
      <c r="J373" s="34"/>
      <c r="K373" s="35"/>
      <c r="L373" s="34"/>
      <c r="M373" s="32"/>
      <c r="N373" s="34"/>
      <c r="O373" s="34"/>
      <c r="P373" s="34"/>
      <c r="Q373" s="34"/>
      <c r="R373" s="34"/>
      <c r="S373" s="34"/>
      <c r="T373" s="34"/>
      <c r="U373" s="34"/>
      <c r="V373" s="34"/>
      <c r="W373" s="34"/>
    </row>
    <row r="374" spans="2:23" x14ac:dyDescent="0.3">
      <c r="B374" s="33"/>
      <c r="C374" s="34"/>
      <c r="D374" s="34"/>
      <c r="E374" s="34"/>
      <c r="F374" s="34"/>
      <c r="G374" s="34"/>
      <c r="H374" s="34"/>
      <c r="I374" s="34"/>
      <c r="J374" s="34"/>
      <c r="K374" s="35"/>
      <c r="L374" s="34"/>
      <c r="M374" s="32"/>
      <c r="N374" s="34"/>
      <c r="O374" s="34"/>
      <c r="P374" s="34"/>
      <c r="Q374" s="34"/>
      <c r="R374" s="34"/>
      <c r="S374" s="34"/>
      <c r="T374" s="34"/>
      <c r="U374" s="34"/>
      <c r="V374" s="34"/>
      <c r="W374" s="34"/>
    </row>
    <row r="375" spans="2:23" x14ac:dyDescent="0.3">
      <c r="B375" s="33"/>
      <c r="C375" s="34"/>
      <c r="D375" s="34"/>
      <c r="E375" s="34"/>
      <c r="F375" s="34"/>
      <c r="G375" s="34"/>
      <c r="H375" s="34"/>
      <c r="I375" s="34"/>
      <c r="J375" s="34"/>
      <c r="K375" s="35"/>
      <c r="L375" s="34"/>
      <c r="M375" s="32"/>
      <c r="N375" s="34"/>
      <c r="O375" s="34"/>
      <c r="P375" s="34"/>
      <c r="Q375" s="34"/>
      <c r="R375" s="34"/>
      <c r="S375" s="34"/>
      <c r="T375" s="34"/>
      <c r="U375" s="34"/>
      <c r="V375" s="34"/>
      <c r="W375" s="34"/>
    </row>
    <row r="376" spans="2:23" x14ac:dyDescent="0.3">
      <c r="B376" s="33"/>
      <c r="C376" s="34"/>
      <c r="D376" s="34"/>
      <c r="E376" s="34"/>
      <c r="F376" s="34"/>
      <c r="G376" s="34"/>
      <c r="H376" s="34"/>
      <c r="I376" s="34"/>
      <c r="J376" s="34"/>
      <c r="K376" s="35"/>
      <c r="L376" s="34"/>
      <c r="M376" s="32"/>
      <c r="N376" s="34"/>
      <c r="O376" s="34"/>
      <c r="P376" s="34"/>
      <c r="Q376" s="34"/>
      <c r="R376" s="34"/>
      <c r="S376" s="34"/>
      <c r="T376" s="34"/>
      <c r="U376" s="34"/>
      <c r="V376" s="34"/>
      <c r="W376" s="34"/>
    </row>
    <row r="377" spans="2:23" x14ac:dyDescent="0.3">
      <c r="B377" s="33"/>
      <c r="C377" s="34"/>
      <c r="D377" s="34"/>
      <c r="E377" s="34"/>
      <c r="F377" s="34"/>
      <c r="G377" s="34"/>
      <c r="H377" s="34"/>
      <c r="I377" s="34"/>
      <c r="J377" s="34"/>
      <c r="K377" s="35"/>
      <c r="L377" s="34"/>
      <c r="M377" s="32"/>
      <c r="N377" s="34"/>
      <c r="O377" s="34"/>
      <c r="P377" s="34"/>
      <c r="Q377" s="34"/>
      <c r="R377" s="34"/>
      <c r="S377" s="34"/>
      <c r="T377" s="34"/>
      <c r="U377" s="34"/>
      <c r="V377" s="34"/>
      <c r="W377" s="34"/>
    </row>
    <row r="378" spans="2:23" x14ac:dyDescent="0.3">
      <c r="B378" s="33"/>
      <c r="C378" s="34"/>
      <c r="D378" s="34"/>
      <c r="E378" s="34"/>
      <c r="F378" s="34"/>
      <c r="G378" s="34"/>
      <c r="H378" s="34"/>
      <c r="I378" s="34"/>
      <c r="J378" s="34"/>
      <c r="K378" s="35"/>
      <c r="L378" s="34"/>
      <c r="M378" s="32"/>
      <c r="N378" s="34"/>
      <c r="O378" s="34"/>
      <c r="P378" s="34"/>
      <c r="Q378" s="34"/>
      <c r="R378" s="34"/>
      <c r="S378" s="34"/>
      <c r="T378" s="34"/>
      <c r="U378" s="34"/>
      <c r="V378" s="34"/>
      <c r="W378" s="34"/>
    </row>
    <row r="379" spans="2:23" x14ac:dyDescent="0.3">
      <c r="B379" s="33"/>
      <c r="C379" s="34"/>
      <c r="D379" s="34"/>
      <c r="E379" s="34"/>
      <c r="F379" s="34"/>
      <c r="G379" s="34"/>
      <c r="H379" s="34"/>
      <c r="I379" s="34"/>
      <c r="J379" s="34"/>
      <c r="K379" s="35"/>
      <c r="L379" s="34"/>
      <c r="M379" s="32"/>
      <c r="N379" s="34"/>
      <c r="O379" s="34"/>
      <c r="P379" s="34"/>
      <c r="Q379" s="34"/>
      <c r="R379" s="34"/>
      <c r="S379" s="34"/>
      <c r="T379" s="34"/>
      <c r="U379" s="34"/>
      <c r="V379" s="34"/>
      <c r="W379" s="34"/>
    </row>
    <row r="380" spans="2:23" x14ac:dyDescent="0.3">
      <c r="B380" s="33"/>
      <c r="C380" s="34"/>
      <c r="D380" s="34"/>
      <c r="E380" s="34"/>
      <c r="F380" s="34"/>
      <c r="G380" s="34"/>
      <c r="H380" s="34"/>
      <c r="I380" s="34"/>
      <c r="J380" s="34"/>
      <c r="K380" s="35"/>
      <c r="L380" s="34"/>
      <c r="M380" s="32"/>
      <c r="N380" s="34"/>
      <c r="O380" s="34"/>
      <c r="P380" s="34"/>
      <c r="Q380" s="34"/>
      <c r="R380" s="34"/>
      <c r="S380" s="34"/>
      <c r="T380" s="34"/>
      <c r="U380" s="34"/>
      <c r="V380" s="34"/>
      <c r="W380" s="34"/>
    </row>
    <row r="381" spans="2:23" x14ac:dyDescent="0.3">
      <c r="B381" s="33"/>
      <c r="C381" s="34"/>
      <c r="D381" s="34"/>
      <c r="E381" s="34"/>
      <c r="F381" s="34"/>
      <c r="G381" s="34"/>
      <c r="H381" s="34"/>
      <c r="I381" s="34"/>
      <c r="J381" s="34"/>
      <c r="K381" s="35"/>
      <c r="L381" s="34"/>
      <c r="M381" s="32"/>
      <c r="N381" s="34"/>
      <c r="O381" s="34"/>
      <c r="P381" s="34"/>
      <c r="Q381" s="34"/>
      <c r="R381" s="34"/>
      <c r="S381" s="34"/>
      <c r="T381" s="34"/>
      <c r="U381" s="34"/>
      <c r="V381" s="34"/>
      <c r="W381" s="34"/>
    </row>
    <row r="382" spans="2:23" x14ac:dyDescent="0.3">
      <c r="B382" s="33"/>
      <c r="C382" s="34"/>
      <c r="D382" s="34"/>
      <c r="E382" s="34"/>
      <c r="F382" s="34"/>
      <c r="G382" s="34"/>
      <c r="H382" s="34"/>
      <c r="I382" s="34"/>
      <c r="J382" s="34"/>
      <c r="K382" s="35"/>
      <c r="L382" s="34"/>
      <c r="M382" s="32"/>
      <c r="N382" s="34"/>
      <c r="O382" s="34"/>
      <c r="P382" s="34"/>
      <c r="Q382" s="34"/>
      <c r="R382" s="34"/>
      <c r="S382" s="34"/>
      <c r="T382" s="34"/>
      <c r="U382" s="34"/>
      <c r="V382" s="34"/>
      <c r="W382" s="34"/>
    </row>
    <row r="383" spans="2:23" x14ac:dyDescent="0.3">
      <c r="B383" s="33"/>
      <c r="C383" s="34"/>
      <c r="D383" s="34"/>
      <c r="E383" s="34"/>
      <c r="F383" s="34"/>
      <c r="G383" s="34"/>
      <c r="H383" s="34"/>
      <c r="I383" s="34"/>
      <c r="J383" s="34"/>
      <c r="K383" s="35"/>
      <c r="L383" s="34"/>
      <c r="M383" s="32"/>
      <c r="N383" s="34"/>
      <c r="O383" s="34"/>
      <c r="P383" s="34"/>
      <c r="Q383" s="34"/>
      <c r="R383" s="34"/>
      <c r="S383" s="34"/>
      <c r="T383" s="34"/>
      <c r="U383" s="34"/>
      <c r="V383" s="34"/>
      <c r="W383" s="34"/>
    </row>
    <row r="384" spans="2:23" x14ac:dyDescent="0.3">
      <c r="B384" s="33"/>
      <c r="C384" s="34"/>
      <c r="D384" s="34"/>
      <c r="E384" s="34"/>
      <c r="F384" s="34"/>
      <c r="G384" s="34"/>
      <c r="H384" s="34"/>
      <c r="I384" s="34"/>
      <c r="J384" s="34"/>
      <c r="K384" s="35"/>
      <c r="L384" s="34"/>
      <c r="M384" s="32"/>
      <c r="N384" s="34"/>
      <c r="O384" s="34"/>
      <c r="P384" s="34"/>
      <c r="Q384" s="34"/>
      <c r="R384" s="34"/>
      <c r="S384" s="34"/>
      <c r="T384" s="34"/>
      <c r="U384" s="34"/>
      <c r="V384" s="34"/>
      <c r="W384" s="34"/>
    </row>
    <row r="385" spans="2:23" x14ac:dyDescent="0.3">
      <c r="B385" s="33"/>
      <c r="C385" s="34"/>
      <c r="D385" s="34"/>
      <c r="E385" s="34"/>
      <c r="F385" s="34"/>
      <c r="G385" s="34"/>
      <c r="H385" s="34"/>
      <c r="I385" s="34"/>
      <c r="J385" s="34"/>
      <c r="K385" s="35"/>
      <c r="L385" s="34"/>
      <c r="M385" s="32"/>
      <c r="N385" s="34"/>
      <c r="O385" s="34"/>
      <c r="P385" s="34"/>
      <c r="Q385" s="34"/>
      <c r="R385" s="34"/>
      <c r="S385" s="34"/>
      <c r="T385" s="34"/>
      <c r="U385" s="34"/>
      <c r="V385" s="34"/>
      <c r="W385" s="34"/>
    </row>
    <row r="386" spans="2:23" x14ac:dyDescent="0.3">
      <c r="B386" s="33"/>
      <c r="C386" s="34"/>
      <c r="D386" s="34"/>
      <c r="E386" s="34"/>
      <c r="F386" s="34"/>
      <c r="G386" s="34"/>
      <c r="H386" s="34"/>
      <c r="I386" s="34"/>
      <c r="J386" s="34"/>
      <c r="K386" s="35"/>
      <c r="L386" s="34"/>
      <c r="M386" s="32"/>
      <c r="N386" s="34"/>
      <c r="O386" s="34"/>
      <c r="P386" s="34"/>
      <c r="Q386" s="34"/>
      <c r="R386" s="34"/>
      <c r="S386" s="34"/>
      <c r="T386" s="34"/>
      <c r="U386" s="34"/>
      <c r="V386" s="34"/>
      <c r="W386" s="34"/>
    </row>
    <row r="387" spans="2:23" x14ac:dyDescent="0.3">
      <c r="B387" s="33"/>
      <c r="C387" s="34"/>
      <c r="D387" s="34"/>
      <c r="E387" s="34"/>
      <c r="F387" s="34"/>
      <c r="G387" s="34"/>
      <c r="H387" s="34"/>
      <c r="I387" s="34"/>
      <c r="J387" s="34"/>
      <c r="K387" s="35"/>
      <c r="L387" s="34"/>
      <c r="M387" s="32"/>
      <c r="N387" s="34"/>
      <c r="O387" s="34"/>
      <c r="P387" s="34"/>
      <c r="Q387" s="34"/>
      <c r="R387" s="34"/>
      <c r="S387" s="34"/>
      <c r="T387" s="34"/>
      <c r="U387" s="34"/>
      <c r="V387" s="34"/>
      <c r="W387" s="34"/>
    </row>
    <row r="388" spans="2:23" x14ac:dyDescent="0.3">
      <c r="B388" s="33"/>
      <c r="C388" s="34"/>
      <c r="D388" s="34"/>
      <c r="E388" s="34"/>
      <c r="F388" s="34"/>
      <c r="G388" s="34"/>
      <c r="H388" s="34"/>
      <c r="I388" s="34"/>
      <c r="J388" s="34"/>
      <c r="K388" s="35"/>
      <c r="L388" s="34"/>
      <c r="M388" s="32"/>
      <c r="N388" s="34"/>
      <c r="O388" s="34"/>
      <c r="P388" s="34"/>
      <c r="Q388" s="34"/>
      <c r="R388" s="34"/>
      <c r="S388" s="34"/>
      <c r="T388" s="34"/>
      <c r="U388" s="34"/>
      <c r="V388" s="34"/>
      <c r="W388" s="34"/>
    </row>
    <row r="389" spans="2:23" x14ac:dyDescent="0.3">
      <c r="B389" s="33"/>
      <c r="C389" s="34"/>
      <c r="D389" s="34"/>
      <c r="E389" s="34"/>
      <c r="F389" s="34"/>
      <c r="G389" s="34"/>
      <c r="H389" s="34"/>
      <c r="I389" s="34"/>
      <c r="J389" s="34"/>
      <c r="K389" s="35"/>
      <c r="L389" s="34"/>
      <c r="M389" s="32"/>
      <c r="N389" s="34"/>
      <c r="O389" s="34"/>
      <c r="P389" s="34"/>
      <c r="Q389" s="34"/>
      <c r="R389" s="34"/>
      <c r="S389" s="34"/>
      <c r="T389" s="34"/>
      <c r="U389" s="34"/>
      <c r="V389" s="34"/>
      <c r="W389" s="34"/>
    </row>
    <row r="390" spans="2:23" x14ac:dyDescent="0.3">
      <c r="B390" s="33"/>
      <c r="C390" s="34"/>
      <c r="D390" s="34"/>
      <c r="E390" s="34"/>
      <c r="F390" s="34"/>
      <c r="G390" s="34"/>
      <c r="H390" s="34"/>
      <c r="I390" s="34"/>
      <c r="J390" s="34"/>
      <c r="K390" s="35"/>
      <c r="L390" s="34"/>
      <c r="M390" s="32"/>
      <c r="N390" s="34"/>
      <c r="O390" s="34"/>
      <c r="P390" s="34"/>
      <c r="Q390" s="34"/>
      <c r="R390" s="34"/>
      <c r="S390" s="34"/>
      <c r="T390" s="34"/>
      <c r="U390" s="34"/>
      <c r="V390" s="34"/>
      <c r="W390" s="34"/>
    </row>
    <row r="391" spans="2:23" x14ac:dyDescent="0.3">
      <c r="B391" s="33"/>
      <c r="C391" s="34"/>
      <c r="D391" s="34"/>
      <c r="E391" s="34"/>
      <c r="F391" s="34"/>
      <c r="G391" s="34"/>
      <c r="H391" s="34"/>
      <c r="I391" s="34"/>
      <c r="J391" s="34"/>
      <c r="K391" s="35"/>
      <c r="L391" s="34"/>
      <c r="M391" s="32"/>
      <c r="N391" s="34"/>
      <c r="O391" s="34"/>
      <c r="P391" s="34"/>
      <c r="Q391" s="34"/>
      <c r="R391" s="34"/>
      <c r="S391" s="34"/>
      <c r="T391" s="34"/>
      <c r="U391" s="34"/>
      <c r="V391" s="34"/>
      <c r="W391" s="34"/>
    </row>
    <row r="392" spans="2:23" x14ac:dyDescent="0.3">
      <c r="B392" s="33"/>
      <c r="C392" s="34"/>
      <c r="D392" s="34"/>
      <c r="E392" s="34"/>
      <c r="F392" s="34"/>
      <c r="G392" s="34"/>
      <c r="H392" s="34"/>
      <c r="I392" s="34"/>
      <c r="J392" s="34"/>
      <c r="K392" s="35"/>
      <c r="L392" s="34"/>
      <c r="M392" s="32"/>
      <c r="N392" s="34"/>
      <c r="O392" s="34"/>
      <c r="P392" s="34"/>
      <c r="Q392" s="34"/>
      <c r="R392" s="34"/>
      <c r="S392" s="34"/>
      <c r="T392" s="34"/>
      <c r="U392" s="34"/>
      <c r="V392" s="34"/>
      <c r="W392" s="34"/>
    </row>
    <row r="393" spans="2:23" x14ac:dyDescent="0.3">
      <c r="B393" s="33"/>
      <c r="C393" s="34"/>
      <c r="D393" s="34"/>
      <c r="E393" s="34"/>
      <c r="F393" s="34"/>
      <c r="G393" s="34"/>
      <c r="H393" s="34"/>
      <c r="I393" s="34"/>
      <c r="J393" s="34"/>
      <c r="K393" s="35"/>
      <c r="L393" s="34"/>
      <c r="M393" s="32"/>
      <c r="N393" s="34"/>
      <c r="O393" s="34"/>
      <c r="P393" s="34"/>
      <c r="Q393" s="34"/>
      <c r="R393" s="34"/>
      <c r="S393" s="34"/>
      <c r="T393" s="34"/>
      <c r="U393" s="34"/>
      <c r="V393" s="34"/>
      <c r="W393" s="34"/>
    </row>
    <row r="394" spans="2:23" x14ac:dyDescent="0.3">
      <c r="B394" s="33"/>
      <c r="C394" s="34"/>
      <c r="D394" s="34"/>
      <c r="E394" s="34"/>
      <c r="F394" s="34"/>
      <c r="G394" s="34"/>
      <c r="H394" s="34"/>
      <c r="I394" s="34"/>
      <c r="J394" s="34"/>
      <c r="K394" s="35"/>
      <c r="L394" s="34"/>
      <c r="M394" s="32"/>
      <c r="N394" s="34"/>
      <c r="O394" s="34"/>
      <c r="P394" s="34"/>
      <c r="Q394" s="34"/>
      <c r="R394" s="34"/>
      <c r="S394" s="34"/>
      <c r="T394" s="34"/>
      <c r="U394" s="34"/>
      <c r="V394" s="34"/>
      <c r="W394" s="34"/>
    </row>
    <row r="395" spans="2:23" x14ac:dyDescent="0.3">
      <c r="B395" s="33"/>
      <c r="C395" s="34"/>
      <c r="D395" s="34"/>
      <c r="E395" s="34"/>
      <c r="F395" s="34"/>
      <c r="G395" s="34"/>
      <c r="H395" s="34"/>
      <c r="I395" s="34"/>
      <c r="J395" s="34"/>
      <c r="K395" s="35"/>
      <c r="L395" s="34"/>
      <c r="M395" s="32"/>
      <c r="N395" s="34"/>
      <c r="O395" s="34"/>
      <c r="P395" s="34"/>
      <c r="Q395" s="34"/>
      <c r="R395" s="34"/>
      <c r="S395" s="34"/>
      <c r="T395" s="34"/>
      <c r="U395" s="34"/>
      <c r="V395" s="34"/>
      <c r="W395" s="34"/>
    </row>
    <row r="396" spans="2:23" x14ac:dyDescent="0.3">
      <c r="B396" s="33"/>
      <c r="C396" s="34"/>
      <c r="D396" s="34"/>
      <c r="E396" s="34"/>
      <c r="F396" s="34"/>
      <c r="G396" s="34"/>
      <c r="H396" s="34"/>
      <c r="I396" s="34"/>
      <c r="J396" s="34"/>
      <c r="K396" s="35"/>
      <c r="L396" s="34"/>
      <c r="M396" s="32"/>
      <c r="N396" s="34"/>
      <c r="O396" s="34"/>
      <c r="P396" s="34"/>
      <c r="Q396" s="34"/>
      <c r="R396" s="34"/>
      <c r="S396" s="34"/>
      <c r="T396" s="34"/>
      <c r="U396" s="34"/>
      <c r="V396" s="34"/>
      <c r="W396" s="34"/>
    </row>
    <row r="397" spans="2:23" x14ac:dyDescent="0.3">
      <c r="B397" s="33"/>
      <c r="C397" s="34"/>
      <c r="D397" s="34"/>
      <c r="E397" s="34"/>
      <c r="F397" s="34"/>
      <c r="G397" s="34"/>
      <c r="H397" s="34"/>
      <c r="I397" s="34"/>
      <c r="J397" s="34"/>
      <c r="K397" s="35"/>
      <c r="L397" s="34"/>
      <c r="M397" s="32"/>
      <c r="N397" s="34"/>
      <c r="O397" s="34"/>
      <c r="P397" s="34"/>
      <c r="Q397" s="34"/>
      <c r="R397" s="34"/>
      <c r="S397" s="34"/>
      <c r="T397" s="34"/>
      <c r="U397" s="34"/>
      <c r="V397" s="34"/>
      <c r="W397" s="34"/>
    </row>
    <row r="398" spans="2:23" x14ac:dyDescent="0.3">
      <c r="B398" s="33"/>
      <c r="C398" s="34"/>
      <c r="D398" s="34"/>
      <c r="E398" s="34"/>
      <c r="F398" s="34"/>
      <c r="G398" s="34"/>
      <c r="H398" s="34"/>
      <c r="I398" s="34"/>
      <c r="J398" s="34"/>
      <c r="K398" s="35"/>
      <c r="L398" s="34"/>
      <c r="M398" s="32"/>
      <c r="N398" s="34"/>
      <c r="O398" s="34"/>
      <c r="P398" s="34"/>
      <c r="Q398" s="34"/>
      <c r="R398" s="34"/>
      <c r="S398" s="34"/>
      <c r="T398" s="34"/>
      <c r="U398" s="34"/>
      <c r="V398" s="34"/>
      <c r="W398" s="34"/>
    </row>
    <row r="399" spans="2:23" x14ac:dyDescent="0.3">
      <c r="B399" s="33"/>
      <c r="C399" s="34"/>
      <c r="D399" s="34"/>
      <c r="E399" s="34"/>
      <c r="F399" s="34"/>
      <c r="G399" s="34"/>
      <c r="H399" s="34"/>
      <c r="I399" s="34"/>
      <c r="J399" s="34"/>
      <c r="K399" s="35"/>
      <c r="L399" s="34"/>
      <c r="M399" s="32"/>
      <c r="N399" s="34"/>
      <c r="O399" s="34"/>
      <c r="P399" s="34"/>
      <c r="Q399" s="34"/>
      <c r="R399" s="34"/>
      <c r="S399" s="34"/>
      <c r="T399" s="34"/>
      <c r="U399" s="34"/>
      <c r="V399" s="34"/>
      <c r="W399" s="34"/>
    </row>
    <row r="400" spans="2:23" x14ac:dyDescent="0.3">
      <c r="B400" s="33"/>
      <c r="C400" s="34"/>
      <c r="D400" s="34"/>
      <c r="E400" s="34"/>
      <c r="F400" s="34"/>
      <c r="G400" s="34"/>
      <c r="H400" s="34"/>
      <c r="I400" s="34"/>
      <c r="J400" s="34"/>
      <c r="K400" s="35"/>
      <c r="L400" s="34"/>
      <c r="M400" s="32"/>
      <c r="N400" s="34"/>
      <c r="O400" s="34"/>
      <c r="P400" s="34"/>
      <c r="Q400" s="34"/>
      <c r="R400" s="34"/>
      <c r="S400" s="34"/>
      <c r="T400" s="34"/>
      <c r="U400" s="34"/>
      <c r="V400" s="34"/>
      <c r="W400" s="34"/>
    </row>
    <row r="401" spans="2:23" x14ac:dyDescent="0.3">
      <c r="B401" s="33"/>
      <c r="C401" s="34"/>
      <c r="D401" s="34"/>
      <c r="E401" s="34"/>
      <c r="F401" s="34"/>
      <c r="G401" s="34"/>
      <c r="H401" s="34"/>
      <c r="I401" s="34"/>
      <c r="J401" s="34"/>
      <c r="K401" s="35"/>
      <c r="L401" s="34"/>
      <c r="M401" s="32"/>
      <c r="N401" s="34"/>
      <c r="O401" s="34"/>
      <c r="P401" s="34"/>
      <c r="Q401" s="34"/>
      <c r="R401" s="34"/>
      <c r="S401" s="34"/>
      <c r="T401" s="34"/>
      <c r="U401" s="34"/>
      <c r="V401" s="34"/>
      <c r="W401" s="34"/>
    </row>
    <row r="402" spans="2:23" x14ac:dyDescent="0.3">
      <c r="B402" s="33"/>
      <c r="C402" s="34"/>
      <c r="D402" s="34"/>
      <c r="E402" s="34"/>
      <c r="F402" s="34"/>
      <c r="G402" s="34"/>
      <c r="H402" s="34"/>
      <c r="I402" s="34"/>
      <c r="J402" s="34"/>
      <c r="K402" s="35"/>
      <c r="L402" s="34"/>
      <c r="M402" s="32"/>
      <c r="N402" s="34"/>
      <c r="O402" s="34"/>
      <c r="P402" s="34"/>
      <c r="Q402" s="34"/>
      <c r="R402" s="34"/>
      <c r="S402" s="34"/>
      <c r="T402" s="34"/>
      <c r="U402" s="34"/>
      <c r="V402" s="34"/>
      <c r="W402" s="34"/>
    </row>
    <row r="403" spans="2:23" x14ac:dyDescent="0.3">
      <c r="B403" s="33"/>
      <c r="C403" s="34"/>
      <c r="D403" s="34"/>
      <c r="E403" s="34"/>
      <c r="F403" s="34"/>
      <c r="G403" s="34"/>
      <c r="H403" s="34"/>
      <c r="I403" s="34"/>
      <c r="J403" s="34"/>
      <c r="K403" s="35"/>
      <c r="L403" s="34"/>
      <c r="M403" s="32"/>
      <c r="N403" s="34"/>
      <c r="O403" s="34"/>
      <c r="P403" s="34"/>
      <c r="Q403" s="34"/>
      <c r="R403" s="34"/>
      <c r="S403" s="34"/>
      <c r="T403" s="34"/>
      <c r="U403" s="34"/>
      <c r="V403" s="34"/>
      <c r="W403" s="34"/>
    </row>
    <row r="404" spans="2:23" x14ac:dyDescent="0.3">
      <c r="B404" s="33"/>
      <c r="C404" s="34"/>
      <c r="D404" s="34"/>
      <c r="E404" s="34"/>
      <c r="F404" s="34"/>
      <c r="G404" s="34"/>
      <c r="H404" s="34"/>
      <c r="I404" s="34"/>
      <c r="J404" s="34"/>
      <c r="K404" s="35"/>
      <c r="L404" s="34"/>
      <c r="M404" s="32"/>
      <c r="N404" s="34"/>
      <c r="O404" s="34"/>
      <c r="P404" s="34"/>
      <c r="Q404" s="34"/>
      <c r="R404" s="34"/>
      <c r="S404" s="34"/>
      <c r="T404" s="34"/>
      <c r="U404" s="34"/>
      <c r="V404" s="34"/>
      <c r="W404" s="34"/>
    </row>
    <row r="405" spans="2:23" x14ac:dyDescent="0.3">
      <c r="B405" s="33"/>
      <c r="C405" s="34"/>
      <c r="D405" s="34"/>
      <c r="E405" s="34"/>
      <c r="F405" s="34"/>
      <c r="G405" s="34"/>
      <c r="H405" s="34"/>
      <c r="I405" s="34"/>
      <c r="J405" s="34"/>
      <c r="K405" s="35"/>
      <c r="L405" s="34"/>
      <c r="M405" s="32"/>
      <c r="N405" s="34"/>
      <c r="O405" s="34"/>
      <c r="P405" s="34"/>
      <c r="Q405" s="34"/>
      <c r="R405" s="34"/>
      <c r="S405" s="34"/>
      <c r="T405" s="34"/>
      <c r="U405" s="34"/>
      <c r="V405" s="34"/>
      <c r="W405" s="34"/>
    </row>
    <row r="406" spans="2:23" x14ac:dyDescent="0.3">
      <c r="B406" s="33"/>
      <c r="C406" s="34"/>
      <c r="D406" s="34"/>
      <c r="E406" s="34"/>
      <c r="F406" s="34"/>
      <c r="G406" s="34"/>
      <c r="H406" s="34"/>
      <c r="I406" s="34"/>
      <c r="J406" s="34"/>
      <c r="K406" s="35"/>
      <c r="L406" s="34"/>
      <c r="M406" s="32"/>
      <c r="N406" s="34"/>
      <c r="O406" s="34"/>
      <c r="P406" s="34"/>
      <c r="Q406" s="34"/>
      <c r="R406" s="34"/>
      <c r="S406" s="34"/>
      <c r="T406" s="34"/>
      <c r="U406" s="34"/>
      <c r="V406" s="34"/>
      <c r="W406" s="34"/>
    </row>
    <row r="407" spans="2:23" x14ac:dyDescent="0.3">
      <c r="B407" s="33"/>
      <c r="C407" s="34"/>
      <c r="D407" s="34"/>
      <c r="E407" s="34"/>
      <c r="F407" s="34"/>
      <c r="G407" s="34"/>
      <c r="H407" s="34"/>
      <c r="I407" s="34"/>
      <c r="J407" s="34"/>
      <c r="K407" s="35"/>
      <c r="L407" s="34"/>
      <c r="M407" s="32"/>
      <c r="N407" s="34"/>
      <c r="O407" s="34"/>
      <c r="P407" s="34"/>
      <c r="Q407" s="34"/>
      <c r="R407" s="34"/>
      <c r="S407" s="34"/>
      <c r="T407" s="34"/>
      <c r="U407" s="34"/>
      <c r="V407" s="34"/>
      <c r="W407" s="34"/>
    </row>
    <row r="408" spans="2:23" x14ac:dyDescent="0.3">
      <c r="B408" s="33"/>
      <c r="C408" s="34"/>
      <c r="D408" s="34"/>
      <c r="E408" s="34"/>
      <c r="F408" s="34"/>
      <c r="G408" s="34"/>
      <c r="H408" s="34"/>
      <c r="I408" s="34"/>
      <c r="J408" s="34"/>
      <c r="K408" s="35"/>
      <c r="L408" s="34"/>
      <c r="M408" s="32"/>
      <c r="N408" s="34"/>
      <c r="O408" s="34"/>
      <c r="P408" s="34"/>
      <c r="Q408" s="34"/>
      <c r="R408" s="34"/>
      <c r="S408" s="34"/>
      <c r="T408" s="34"/>
      <c r="U408" s="34"/>
      <c r="V408" s="34"/>
      <c r="W408" s="34"/>
    </row>
    <row r="409" spans="2:23" x14ac:dyDescent="0.3">
      <c r="B409" s="33"/>
      <c r="C409" s="34"/>
      <c r="D409" s="34"/>
      <c r="E409" s="34"/>
      <c r="F409" s="34"/>
      <c r="G409" s="34"/>
      <c r="H409" s="34"/>
      <c r="I409" s="34"/>
      <c r="J409" s="34"/>
      <c r="K409" s="35"/>
      <c r="L409" s="34"/>
      <c r="M409" s="32"/>
      <c r="N409" s="34"/>
      <c r="O409" s="34"/>
      <c r="P409" s="34"/>
      <c r="Q409" s="34"/>
      <c r="R409" s="34"/>
      <c r="S409" s="34"/>
      <c r="T409" s="34"/>
      <c r="U409" s="34"/>
      <c r="V409" s="34"/>
      <c r="W409" s="34"/>
    </row>
    <row r="410" spans="2:23" x14ac:dyDescent="0.3">
      <c r="B410" s="33"/>
      <c r="C410" s="34"/>
      <c r="D410" s="34"/>
      <c r="E410" s="34"/>
      <c r="F410" s="34"/>
      <c r="G410" s="34"/>
      <c r="H410" s="34"/>
      <c r="I410" s="34"/>
      <c r="J410" s="34"/>
      <c r="K410" s="35"/>
      <c r="L410" s="34"/>
      <c r="M410" s="32"/>
      <c r="N410" s="34"/>
      <c r="O410" s="34"/>
      <c r="P410" s="34"/>
      <c r="Q410" s="34"/>
      <c r="R410" s="34"/>
      <c r="S410" s="34"/>
      <c r="T410" s="34"/>
      <c r="U410" s="34"/>
      <c r="V410" s="34"/>
      <c r="W410" s="34"/>
    </row>
    <row r="411" spans="2:23" x14ac:dyDescent="0.3">
      <c r="B411" s="33"/>
      <c r="C411" s="34"/>
      <c r="D411" s="34"/>
      <c r="E411" s="34"/>
      <c r="F411" s="34"/>
      <c r="G411" s="34"/>
      <c r="H411" s="34"/>
      <c r="I411" s="34"/>
      <c r="J411" s="34"/>
      <c r="K411" s="35"/>
      <c r="L411" s="34"/>
      <c r="M411" s="32"/>
      <c r="N411" s="34"/>
      <c r="O411" s="34"/>
      <c r="P411" s="34"/>
      <c r="Q411" s="34"/>
      <c r="R411" s="34"/>
      <c r="S411" s="34"/>
      <c r="T411" s="34"/>
      <c r="U411" s="34"/>
      <c r="V411" s="34"/>
      <c r="W411" s="34"/>
    </row>
    <row r="412" spans="2:23" x14ac:dyDescent="0.3">
      <c r="B412" s="33"/>
      <c r="C412" s="34"/>
      <c r="D412" s="34"/>
      <c r="E412" s="34"/>
      <c r="F412" s="34"/>
      <c r="G412" s="34"/>
      <c r="H412" s="34"/>
      <c r="I412" s="34"/>
      <c r="J412" s="34"/>
      <c r="K412" s="35"/>
      <c r="L412" s="34"/>
      <c r="M412" s="32"/>
      <c r="N412" s="34"/>
      <c r="O412" s="34"/>
      <c r="P412" s="34"/>
      <c r="Q412" s="34"/>
      <c r="R412" s="34"/>
      <c r="S412" s="34"/>
      <c r="T412" s="34"/>
      <c r="U412" s="34"/>
      <c r="V412" s="34"/>
      <c r="W412" s="34"/>
    </row>
    <row r="413" spans="2:23" x14ac:dyDescent="0.3">
      <c r="B413" s="33"/>
      <c r="C413" s="34"/>
      <c r="D413" s="34"/>
      <c r="E413" s="34"/>
      <c r="F413" s="34"/>
      <c r="G413" s="34"/>
      <c r="H413" s="34"/>
      <c r="I413" s="34"/>
      <c r="J413" s="34"/>
      <c r="K413" s="35"/>
      <c r="L413" s="34"/>
      <c r="M413" s="32"/>
      <c r="N413" s="34"/>
      <c r="O413" s="34"/>
      <c r="P413" s="34"/>
      <c r="Q413" s="34"/>
      <c r="R413" s="34"/>
      <c r="S413" s="34"/>
      <c r="T413" s="34"/>
      <c r="U413" s="34"/>
      <c r="V413" s="34"/>
      <c r="W413" s="34"/>
    </row>
    <row r="414" spans="2:23" x14ac:dyDescent="0.3">
      <c r="B414" s="33"/>
      <c r="C414" s="34"/>
      <c r="D414" s="34"/>
      <c r="E414" s="34"/>
      <c r="F414" s="34"/>
      <c r="G414" s="34"/>
      <c r="H414" s="34"/>
      <c r="I414" s="34"/>
      <c r="J414" s="34"/>
      <c r="K414" s="35"/>
      <c r="L414" s="34"/>
      <c r="M414" s="32"/>
      <c r="N414" s="34"/>
      <c r="O414" s="34"/>
      <c r="P414" s="34"/>
      <c r="Q414" s="34"/>
      <c r="R414" s="34"/>
      <c r="S414" s="34"/>
      <c r="T414" s="34"/>
      <c r="U414" s="34"/>
      <c r="V414" s="34"/>
      <c r="W414" s="34"/>
    </row>
    <row r="415" spans="2:23" x14ac:dyDescent="0.3">
      <c r="B415" s="33"/>
      <c r="C415" s="34"/>
      <c r="D415" s="34"/>
      <c r="E415" s="34"/>
      <c r="F415" s="34"/>
      <c r="G415" s="34"/>
      <c r="H415" s="34"/>
      <c r="I415" s="34"/>
      <c r="J415" s="34"/>
      <c r="K415" s="35"/>
      <c r="L415" s="34"/>
      <c r="M415" s="32"/>
      <c r="N415" s="34"/>
      <c r="O415" s="34"/>
      <c r="P415" s="34"/>
      <c r="Q415" s="34"/>
      <c r="R415" s="34"/>
      <c r="S415" s="34"/>
      <c r="T415" s="34"/>
      <c r="U415" s="34"/>
      <c r="V415" s="34"/>
      <c r="W415" s="34"/>
    </row>
    <row r="416" spans="2:23" x14ac:dyDescent="0.3">
      <c r="B416" s="33"/>
      <c r="C416" s="34"/>
      <c r="D416" s="34"/>
      <c r="E416" s="34"/>
      <c r="F416" s="34"/>
      <c r="G416" s="34"/>
      <c r="H416" s="34"/>
      <c r="I416" s="34"/>
      <c r="J416" s="34"/>
      <c r="K416" s="35"/>
      <c r="L416" s="34"/>
      <c r="M416" s="32"/>
      <c r="N416" s="34"/>
      <c r="O416" s="34"/>
      <c r="P416" s="34"/>
      <c r="Q416" s="34"/>
      <c r="R416" s="34"/>
      <c r="S416" s="34"/>
      <c r="T416" s="34"/>
      <c r="U416" s="34"/>
      <c r="V416" s="34"/>
      <c r="W416" s="34"/>
    </row>
    <row r="417" spans="2:23" x14ac:dyDescent="0.3">
      <c r="B417" s="33"/>
      <c r="C417" s="34"/>
      <c r="D417" s="34"/>
      <c r="E417" s="34"/>
      <c r="F417" s="34"/>
      <c r="G417" s="34"/>
      <c r="H417" s="34"/>
      <c r="I417" s="34"/>
      <c r="J417" s="34"/>
      <c r="K417" s="35"/>
      <c r="L417" s="34"/>
      <c r="M417" s="32"/>
      <c r="N417" s="34"/>
      <c r="O417" s="34"/>
      <c r="P417" s="34"/>
      <c r="Q417" s="34"/>
      <c r="R417" s="34"/>
      <c r="S417" s="34"/>
      <c r="T417" s="34"/>
      <c r="U417" s="34"/>
      <c r="V417" s="34"/>
      <c r="W417" s="34"/>
    </row>
    <row r="418" spans="2:23" x14ac:dyDescent="0.3">
      <c r="B418" s="33"/>
      <c r="C418" s="34"/>
      <c r="D418" s="34"/>
      <c r="E418" s="34"/>
      <c r="F418" s="34"/>
      <c r="G418" s="34"/>
      <c r="H418" s="34"/>
      <c r="I418" s="34"/>
      <c r="J418" s="34"/>
      <c r="K418" s="35"/>
      <c r="L418" s="34"/>
      <c r="M418" s="32"/>
      <c r="N418" s="34"/>
      <c r="O418" s="34"/>
      <c r="P418" s="34"/>
      <c r="Q418" s="34"/>
      <c r="R418" s="34"/>
      <c r="S418" s="34"/>
      <c r="T418" s="34"/>
      <c r="U418" s="34"/>
      <c r="V418" s="34"/>
      <c r="W418" s="34"/>
    </row>
    <row r="419" spans="2:23" x14ac:dyDescent="0.3">
      <c r="B419" s="33"/>
      <c r="C419" s="34"/>
      <c r="D419" s="34"/>
      <c r="E419" s="34"/>
      <c r="F419" s="34"/>
      <c r="G419" s="34"/>
      <c r="H419" s="34"/>
      <c r="I419" s="34"/>
      <c r="J419" s="34"/>
      <c r="K419" s="35"/>
      <c r="L419" s="34"/>
      <c r="M419" s="32"/>
      <c r="N419" s="34"/>
      <c r="O419" s="34"/>
      <c r="P419" s="34"/>
      <c r="Q419" s="34"/>
      <c r="R419" s="34"/>
      <c r="S419" s="34"/>
      <c r="T419" s="34"/>
      <c r="U419" s="34"/>
      <c r="V419" s="34"/>
      <c r="W419" s="34"/>
    </row>
    <row r="420" spans="2:23" x14ac:dyDescent="0.3">
      <c r="B420" s="33"/>
      <c r="C420" s="34"/>
      <c r="D420" s="34"/>
      <c r="E420" s="34"/>
      <c r="F420" s="34"/>
      <c r="G420" s="34"/>
      <c r="H420" s="34"/>
      <c r="I420" s="34"/>
      <c r="J420" s="34"/>
      <c r="K420" s="35"/>
      <c r="L420" s="34"/>
      <c r="M420" s="32"/>
      <c r="N420" s="34"/>
      <c r="O420" s="34"/>
      <c r="P420" s="34"/>
      <c r="Q420" s="34"/>
      <c r="R420" s="34"/>
      <c r="S420" s="34"/>
      <c r="T420" s="34"/>
      <c r="U420" s="34"/>
      <c r="V420" s="34"/>
      <c r="W420" s="34"/>
    </row>
    <row r="421" spans="2:23" x14ac:dyDescent="0.3">
      <c r="B421" s="33"/>
      <c r="C421" s="34"/>
      <c r="D421" s="34"/>
      <c r="E421" s="34"/>
      <c r="F421" s="34"/>
      <c r="G421" s="34"/>
      <c r="H421" s="34"/>
      <c r="I421" s="34"/>
      <c r="J421" s="34"/>
      <c r="K421" s="35"/>
      <c r="L421" s="34"/>
      <c r="M421" s="32"/>
      <c r="N421" s="34"/>
      <c r="O421" s="34"/>
      <c r="P421" s="34"/>
      <c r="Q421" s="34"/>
      <c r="R421" s="34"/>
      <c r="S421" s="34"/>
      <c r="T421" s="34"/>
      <c r="U421" s="34"/>
      <c r="V421" s="34"/>
      <c r="W421" s="34"/>
    </row>
    <row r="422" spans="2:23" x14ac:dyDescent="0.3">
      <c r="B422" s="33"/>
      <c r="C422" s="34"/>
      <c r="D422" s="34"/>
      <c r="E422" s="34"/>
      <c r="F422" s="34"/>
      <c r="G422" s="34"/>
      <c r="H422" s="34"/>
      <c r="I422" s="34"/>
      <c r="J422" s="34"/>
      <c r="K422" s="35"/>
      <c r="L422" s="34"/>
      <c r="M422" s="32"/>
      <c r="N422" s="34"/>
      <c r="O422" s="34"/>
      <c r="P422" s="34"/>
      <c r="Q422" s="34"/>
      <c r="R422" s="34"/>
      <c r="S422" s="34"/>
      <c r="T422" s="34"/>
      <c r="U422" s="34"/>
      <c r="V422" s="34"/>
      <c r="W422" s="34"/>
    </row>
    <row r="423" spans="2:23" x14ac:dyDescent="0.3">
      <c r="B423" s="33"/>
      <c r="C423" s="34"/>
      <c r="D423" s="34"/>
      <c r="E423" s="34"/>
      <c r="F423" s="34"/>
      <c r="G423" s="34"/>
      <c r="H423" s="34"/>
      <c r="I423" s="34"/>
      <c r="J423" s="34"/>
      <c r="K423" s="35"/>
      <c r="L423" s="34"/>
      <c r="M423" s="32"/>
      <c r="N423" s="34"/>
      <c r="O423" s="34"/>
      <c r="P423" s="34"/>
      <c r="Q423" s="34"/>
      <c r="R423" s="34"/>
      <c r="S423" s="34"/>
      <c r="T423" s="34"/>
      <c r="U423" s="34"/>
      <c r="V423" s="34"/>
      <c r="W423" s="34"/>
    </row>
    <row r="424" spans="2:23" x14ac:dyDescent="0.3">
      <c r="B424" s="33"/>
      <c r="C424" s="34"/>
      <c r="D424" s="34"/>
      <c r="E424" s="34"/>
      <c r="F424" s="34"/>
      <c r="G424" s="34"/>
      <c r="H424" s="34"/>
      <c r="I424" s="34"/>
      <c r="J424" s="34"/>
      <c r="K424" s="35"/>
      <c r="L424" s="34"/>
      <c r="M424" s="32"/>
      <c r="N424" s="34"/>
      <c r="O424" s="34"/>
      <c r="P424" s="34"/>
      <c r="Q424" s="34"/>
      <c r="R424" s="34"/>
      <c r="S424" s="34"/>
      <c r="T424" s="34"/>
      <c r="U424" s="34"/>
      <c r="V424" s="34"/>
      <c r="W424" s="34"/>
    </row>
    <row r="425" spans="2:23" x14ac:dyDescent="0.3">
      <c r="B425" s="33"/>
      <c r="C425" s="34"/>
      <c r="D425" s="34"/>
      <c r="E425" s="34"/>
      <c r="F425" s="34"/>
      <c r="G425" s="34"/>
      <c r="H425" s="34"/>
      <c r="I425" s="34"/>
      <c r="J425" s="34"/>
      <c r="K425" s="35"/>
      <c r="L425" s="34"/>
      <c r="M425" s="32"/>
      <c r="N425" s="34"/>
      <c r="O425" s="34"/>
      <c r="P425" s="34"/>
      <c r="Q425" s="34"/>
      <c r="R425" s="34"/>
      <c r="S425" s="34"/>
      <c r="T425" s="34"/>
      <c r="U425" s="34"/>
      <c r="V425" s="34"/>
      <c r="W425" s="34"/>
    </row>
    <row r="426" spans="2:23" x14ac:dyDescent="0.3">
      <c r="B426" s="33"/>
      <c r="C426" s="34"/>
      <c r="D426" s="34"/>
      <c r="E426" s="34"/>
      <c r="F426" s="34"/>
      <c r="G426" s="34"/>
      <c r="H426" s="34"/>
      <c r="I426" s="34"/>
      <c r="J426" s="34"/>
      <c r="K426" s="35"/>
      <c r="L426" s="34"/>
      <c r="M426" s="32"/>
      <c r="N426" s="34"/>
      <c r="O426" s="34"/>
      <c r="P426" s="34"/>
      <c r="Q426" s="34"/>
      <c r="R426" s="34"/>
      <c r="S426" s="34"/>
      <c r="T426" s="34"/>
      <c r="U426" s="34"/>
      <c r="V426" s="34"/>
      <c r="W426" s="34"/>
    </row>
    <row r="427" spans="2:23" x14ac:dyDescent="0.3">
      <c r="B427" s="33"/>
      <c r="C427" s="34"/>
      <c r="D427" s="34"/>
      <c r="E427" s="34"/>
      <c r="F427" s="34"/>
      <c r="G427" s="34"/>
      <c r="H427" s="34"/>
      <c r="I427" s="34"/>
      <c r="J427" s="34"/>
      <c r="K427" s="35"/>
      <c r="L427" s="34"/>
      <c r="M427" s="32"/>
      <c r="N427" s="34"/>
      <c r="O427" s="34"/>
      <c r="P427" s="34"/>
      <c r="Q427" s="34"/>
      <c r="R427" s="34"/>
      <c r="S427" s="34"/>
      <c r="T427" s="34"/>
      <c r="U427" s="34"/>
      <c r="V427" s="34"/>
      <c r="W427" s="34"/>
    </row>
    <row r="428" spans="2:23" x14ac:dyDescent="0.3">
      <c r="B428" s="33"/>
      <c r="C428" s="34"/>
      <c r="D428" s="34"/>
      <c r="E428" s="34"/>
      <c r="F428" s="34"/>
      <c r="G428" s="34"/>
      <c r="H428" s="34"/>
      <c r="I428" s="34"/>
      <c r="J428" s="34"/>
      <c r="K428" s="35"/>
      <c r="L428" s="34"/>
      <c r="M428" s="32"/>
      <c r="N428" s="34"/>
      <c r="O428" s="34"/>
      <c r="P428" s="34"/>
      <c r="Q428" s="34"/>
      <c r="R428" s="34"/>
      <c r="S428" s="34"/>
      <c r="T428" s="34"/>
      <c r="U428" s="34"/>
      <c r="V428" s="34"/>
      <c r="W428" s="34"/>
    </row>
    <row r="429" spans="2:23" x14ac:dyDescent="0.3">
      <c r="B429" s="33"/>
      <c r="C429" s="34"/>
      <c r="D429" s="34"/>
      <c r="E429" s="34"/>
      <c r="F429" s="34"/>
      <c r="G429" s="34"/>
      <c r="H429" s="34"/>
      <c r="I429" s="34"/>
      <c r="J429" s="34"/>
      <c r="K429" s="35"/>
      <c r="L429" s="34"/>
      <c r="M429" s="32"/>
      <c r="N429" s="34"/>
      <c r="O429" s="34"/>
      <c r="P429" s="34"/>
      <c r="Q429" s="34"/>
      <c r="R429" s="34"/>
      <c r="S429" s="34"/>
      <c r="T429" s="34"/>
      <c r="U429" s="34"/>
      <c r="V429" s="34"/>
      <c r="W429" s="34"/>
    </row>
    <row r="430" spans="2:23" x14ac:dyDescent="0.3">
      <c r="B430" s="33"/>
      <c r="C430" s="34"/>
      <c r="D430" s="34"/>
      <c r="E430" s="34"/>
      <c r="F430" s="34"/>
      <c r="G430" s="34"/>
      <c r="H430" s="34"/>
      <c r="I430" s="34"/>
      <c r="J430" s="34"/>
      <c r="K430" s="35"/>
      <c r="L430" s="34"/>
      <c r="M430" s="32"/>
      <c r="N430" s="34"/>
      <c r="O430" s="34"/>
      <c r="P430" s="34"/>
      <c r="Q430" s="34"/>
      <c r="R430" s="34"/>
      <c r="S430" s="34"/>
      <c r="T430" s="34"/>
      <c r="U430" s="34"/>
      <c r="V430" s="34"/>
      <c r="W430" s="34"/>
    </row>
    <row r="431" spans="2:23" x14ac:dyDescent="0.3">
      <c r="B431" s="33"/>
      <c r="C431" s="34"/>
      <c r="D431" s="34"/>
      <c r="E431" s="34"/>
      <c r="F431" s="34"/>
      <c r="G431" s="34"/>
      <c r="H431" s="34"/>
      <c r="I431" s="34"/>
      <c r="J431" s="34"/>
      <c r="K431" s="35"/>
      <c r="L431" s="34"/>
      <c r="M431" s="32"/>
      <c r="N431" s="34"/>
      <c r="O431" s="34"/>
      <c r="P431" s="34"/>
      <c r="Q431" s="34"/>
      <c r="R431" s="34"/>
      <c r="S431" s="34"/>
      <c r="T431" s="34"/>
      <c r="U431" s="34"/>
      <c r="V431" s="34"/>
      <c r="W431" s="34"/>
    </row>
    <row r="432" spans="2:23" x14ac:dyDescent="0.3">
      <c r="B432" s="33"/>
      <c r="C432" s="34"/>
      <c r="D432" s="34"/>
      <c r="E432" s="34"/>
      <c r="F432" s="34"/>
      <c r="G432" s="34"/>
      <c r="H432" s="34"/>
      <c r="I432" s="34"/>
      <c r="J432" s="34"/>
      <c r="K432" s="35"/>
      <c r="L432" s="34"/>
      <c r="M432" s="32"/>
      <c r="N432" s="34"/>
      <c r="O432" s="34"/>
      <c r="P432" s="34"/>
      <c r="Q432" s="34"/>
      <c r="R432" s="34"/>
      <c r="S432" s="34"/>
      <c r="T432" s="34"/>
      <c r="U432" s="34"/>
      <c r="V432" s="34"/>
      <c r="W432" s="34"/>
    </row>
    <row r="433" spans="2:23" x14ac:dyDescent="0.3">
      <c r="B433" s="33"/>
      <c r="C433" s="34"/>
      <c r="D433" s="34"/>
      <c r="E433" s="34"/>
      <c r="F433" s="34"/>
      <c r="G433" s="34"/>
      <c r="H433" s="34"/>
      <c r="I433" s="34"/>
      <c r="J433" s="34"/>
      <c r="K433" s="35"/>
      <c r="L433" s="34"/>
      <c r="M433" s="32"/>
      <c r="N433" s="34"/>
      <c r="O433" s="34"/>
      <c r="P433" s="34"/>
      <c r="Q433" s="34"/>
      <c r="R433" s="34"/>
      <c r="S433" s="34"/>
      <c r="T433" s="34"/>
      <c r="U433" s="34"/>
      <c r="V433" s="34"/>
      <c r="W433" s="34"/>
    </row>
    <row r="434" spans="2:23" x14ac:dyDescent="0.3">
      <c r="B434" s="33"/>
      <c r="C434" s="34"/>
      <c r="D434" s="34"/>
      <c r="E434" s="34"/>
      <c r="F434" s="34"/>
      <c r="G434" s="34"/>
      <c r="H434" s="34"/>
      <c r="I434" s="34"/>
      <c r="J434" s="34"/>
      <c r="K434" s="35"/>
      <c r="L434" s="34"/>
      <c r="M434" s="32"/>
      <c r="N434" s="34"/>
      <c r="O434" s="34"/>
      <c r="P434" s="34"/>
      <c r="Q434" s="34"/>
      <c r="R434" s="34"/>
      <c r="S434" s="34"/>
      <c r="T434" s="34"/>
      <c r="U434" s="34"/>
      <c r="V434" s="34"/>
      <c r="W434" s="34"/>
    </row>
    <row r="435" spans="2:23" x14ac:dyDescent="0.3">
      <c r="B435" s="33"/>
      <c r="C435" s="34"/>
      <c r="D435" s="34"/>
      <c r="E435" s="34"/>
      <c r="F435" s="34"/>
      <c r="G435" s="34"/>
      <c r="H435" s="34"/>
      <c r="I435" s="34"/>
      <c r="J435" s="34"/>
      <c r="K435" s="35"/>
      <c r="L435" s="34"/>
      <c r="M435" s="32"/>
      <c r="N435" s="34"/>
      <c r="O435" s="34"/>
      <c r="P435" s="34"/>
      <c r="Q435" s="34"/>
      <c r="R435" s="34"/>
      <c r="S435" s="34"/>
      <c r="T435" s="34"/>
      <c r="U435" s="34"/>
      <c r="V435" s="34"/>
      <c r="W435" s="34"/>
    </row>
    <row r="436" spans="2:23" x14ac:dyDescent="0.3">
      <c r="B436" s="33"/>
      <c r="C436" s="34"/>
      <c r="D436" s="34"/>
      <c r="E436" s="34"/>
      <c r="F436" s="34"/>
      <c r="G436" s="34"/>
      <c r="H436" s="34"/>
      <c r="I436" s="34"/>
      <c r="J436" s="34"/>
      <c r="K436" s="35"/>
      <c r="L436" s="34"/>
      <c r="M436" s="32"/>
      <c r="N436" s="34"/>
      <c r="O436" s="34"/>
      <c r="P436" s="34"/>
      <c r="Q436" s="34"/>
      <c r="R436" s="34"/>
      <c r="S436" s="34"/>
      <c r="T436" s="34"/>
      <c r="U436" s="34"/>
      <c r="V436" s="34"/>
      <c r="W436" s="34"/>
    </row>
    <row r="437" spans="2:23" x14ac:dyDescent="0.3">
      <c r="B437" s="33"/>
      <c r="C437" s="34"/>
      <c r="D437" s="34"/>
      <c r="E437" s="34"/>
      <c r="F437" s="34"/>
      <c r="G437" s="34"/>
      <c r="H437" s="34"/>
      <c r="I437" s="34"/>
      <c r="J437" s="34"/>
      <c r="K437" s="35"/>
      <c r="L437" s="34"/>
      <c r="M437" s="32"/>
      <c r="N437" s="34"/>
      <c r="O437" s="34"/>
      <c r="P437" s="34"/>
      <c r="Q437" s="34"/>
      <c r="R437" s="34"/>
      <c r="S437" s="34"/>
      <c r="T437" s="34"/>
      <c r="U437" s="34"/>
      <c r="V437" s="34"/>
      <c r="W437" s="34"/>
    </row>
    <row r="438" spans="2:23" x14ac:dyDescent="0.3">
      <c r="B438" s="33"/>
      <c r="C438" s="34"/>
      <c r="D438" s="34"/>
      <c r="E438" s="34"/>
      <c r="F438" s="34"/>
      <c r="G438" s="34"/>
      <c r="H438" s="34"/>
      <c r="I438" s="34"/>
      <c r="J438" s="34"/>
      <c r="K438" s="35"/>
      <c r="L438" s="34"/>
      <c r="M438" s="32"/>
      <c r="N438" s="34"/>
      <c r="O438" s="34"/>
      <c r="P438" s="34"/>
      <c r="Q438" s="34"/>
      <c r="R438" s="34"/>
      <c r="S438" s="34"/>
      <c r="T438" s="34"/>
      <c r="U438" s="34"/>
      <c r="V438" s="34"/>
      <c r="W438" s="34"/>
    </row>
    <row r="439" spans="2:23" x14ac:dyDescent="0.3">
      <c r="B439" s="33"/>
      <c r="C439" s="34"/>
      <c r="D439" s="34"/>
      <c r="E439" s="34"/>
      <c r="F439" s="34"/>
      <c r="G439" s="34"/>
      <c r="H439" s="34"/>
      <c r="I439" s="34"/>
      <c r="J439" s="34"/>
      <c r="K439" s="35"/>
      <c r="L439" s="34"/>
      <c r="M439" s="32"/>
      <c r="N439" s="34"/>
      <c r="O439" s="34"/>
      <c r="P439" s="34"/>
      <c r="Q439" s="34"/>
      <c r="R439" s="34"/>
      <c r="S439" s="34"/>
      <c r="T439" s="34"/>
      <c r="U439" s="34"/>
      <c r="V439" s="34"/>
      <c r="W439" s="34"/>
    </row>
    <row r="440" spans="2:23" x14ac:dyDescent="0.3">
      <c r="B440" s="33"/>
      <c r="C440" s="34"/>
      <c r="D440" s="34"/>
      <c r="E440" s="34"/>
      <c r="F440" s="34"/>
      <c r="G440" s="34"/>
      <c r="H440" s="34"/>
      <c r="I440" s="34"/>
      <c r="J440" s="34"/>
      <c r="K440" s="35"/>
      <c r="L440" s="34"/>
      <c r="M440" s="32"/>
      <c r="N440" s="34"/>
      <c r="O440" s="34"/>
      <c r="P440" s="34"/>
      <c r="Q440" s="34"/>
      <c r="R440" s="34"/>
      <c r="S440" s="34"/>
      <c r="T440" s="34"/>
      <c r="U440" s="34"/>
      <c r="V440" s="34"/>
      <c r="W440" s="34"/>
    </row>
    <row r="441" spans="2:23" x14ac:dyDescent="0.3">
      <c r="B441" s="33"/>
      <c r="C441" s="34"/>
      <c r="D441" s="34"/>
      <c r="E441" s="34"/>
      <c r="F441" s="34"/>
      <c r="G441" s="34"/>
      <c r="H441" s="34"/>
      <c r="I441" s="34"/>
      <c r="J441" s="34"/>
      <c r="K441" s="35"/>
      <c r="L441" s="34"/>
      <c r="M441" s="32"/>
      <c r="N441" s="34"/>
      <c r="O441" s="34"/>
      <c r="P441" s="34"/>
      <c r="Q441" s="34"/>
      <c r="R441" s="34"/>
      <c r="S441" s="34"/>
      <c r="T441" s="34"/>
      <c r="U441" s="34"/>
      <c r="V441" s="34"/>
      <c r="W441" s="34"/>
    </row>
    <row r="442" spans="2:23" x14ac:dyDescent="0.3">
      <c r="B442" s="33"/>
      <c r="C442" s="34"/>
      <c r="D442" s="34"/>
      <c r="E442" s="34"/>
      <c r="F442" s="34"/>
      <c r="G442" s="34"/>
      <c r="H442" s="34"/>
      <c r="I442" s="34"/>
      <c r="J442" s="34"/>
      <c r="K442" s="35"/>
      <c r="L442" s="34"/>
      <c r="M442" s="32"/>
      <c r="N442" s="34"/>
      <c r="O442" s="34"/>
      <c r="P442" s="34"/>
      <c r="Q442" s="34"/>
      <c r="R442" s="34"/>
      <c r="S442" s="34"/>
      <c r="T442" s="34"/>
      <c r="U442" s="34"/>
      <c r="V442" s="34"/>
      <c r="W442" s="34"/>
    </row>
    <row r="443" spans="2:23" x14ac:dyDescent="0.3">
      <c r="B443" s="33"/>
      <c r="C443" s="34"/>
      <c r="D443" s="34"/>
      <c r="E443" s="34"/>
      <c r="F443" s="34"/>
      <c r="G443" s="34"/>
      <c r="H443" s="34"/>
      <c r="I443" s="34"/>
      <c r="J443" s="34"/>
      <c r="K443" s="35"/>
      <c r="L443" s="34"/>
      <c r="M443" s="32"/>
      <c r="N443" s="34"/>
      <c r="O443" s="34"/>
      <c r="P443" s="34"/>
      <c r="Q443" s="34"/>
      <c r="R443" s="34"/>
      <c r="S443" s="34"/>
      <c r="T443" s="34"/>
      <c r="U443" s="34"/>
      <c r="V443" s="34"/>
      <c r="W443" s="34"/>
    </row>
    <row r="444" spans="2:23" x14ac:dyDescent="0.3">
      <c r="B444" s="33"/>
      <c r="C444" s="34"/>
      <c r="D444" s="34"/>
      <c r="E444" s="34"/>
      <c r="F444" s="34"/>
      <c r="G444" s="34"/>
      <c r="H444" s="34"/>
      <c r="I444" s="34"/>
      <c r="J444" s="34"/>
      <c r="K444" s="35"/>
      <c r="L444" s="34"/>
      <c r="M444" s="32"/>
      <c r="N444" s="34"/>
      <c r="O444" s="34"/>
      <c r="P444" s="34"/>
      <c r="Q444" s="34"/>
      <c r="R444" s="34"/>
      <c r="S444" s="34"/>
      <c r="T444" s="34"/>
      <c r="U444" s="34"/>
      <c r="V444" s="34"/>
      <c r="W444" s="34"/>
    </row>
    <row r="445" spans="2:23" x14ac:dyDescent="0.3">
      <c r="B445" s="33"/>
      <c r="C445" s="34"/>
      <c r="D445" s="34"/>
      <c r="E445" s="34"/>
      <c r="F445" s="34"/>
      <c r="G445" s="34"/>
      <c r="H445" s="34"/>
      <c r="I445" s="34"/>
      <c r="J445" s="34"/>
      <c r="K445" s="35"/>
      <c r="L445" s="34"/>
      <c r="M445" s="32"/>
      <c r="N445" s="34"/>
      <c r="O445" s="34"/>
      <c r="P445" s="34"/>
      <c r="Q445" s="34"/>
      <c r="R445" s="34"/>
      <c r="S445" s="34"/>
      <c r="T445" s="34"/>
      <c r="U445" s="34"/>
      <c r="V445" s="34"/>
      <c r="W445" s="34"/>
    </row>
    <row r="446" spans="2:23" x14ac:dyDescent="0.3">
      <c r="B446" s="33"/>
      <c r="C446" s="34"/>
      <c r="D446" s="34"/>
      <c r="E446" s="34"/>
      <c r="F446" s="34"/>
      <c r="G446" s="34"/>
      <c r="H446" s="34"/>
      <c r="I446" s="34"/>
      <c r="J446" s="34"/>
      <c r="K446" s="35"/>
      <c r="L446" s="34"/>
      <c r="M446" s="32"/>
      <c r="N446" s="34"/>
      <c r="O446" s="34"/>
      <c r="P446" s="34"/>
      <c r="Q446" s="34"/>
      <c r="R446" s="34"/>
      <c r="S446" s="34"/>
      <c r="T446" s="34"/>
      <c r="U446" s="34"/>
      <c r="V446" s="34"/>
      <c r="W446" s="34"/>
    </row>
    <row r="447" spans="2:23" x14ac:dyDescent="0.3">
      <c r="B447" s="33"/>
      <c r="C447" s="34"/>
      <c r="D447" s="34"/>
      <c r="E447" s="34"/>
      <c r="F447" s="34"/>
      <c r="G447" s="34"/>
      <c r="H447" s="34"/>
      <c r="I447" s="34"/>
      <c r="J447" s="34"/>
      <c r="K447" s="35"/>
      <c r="L447" s="34"/>
      <c r="M447" s="32"/>
      <c r="N447" s="34"/>
      <c r="O447" s="34"/>
      <c r="P447" s="34"/>
      <c r="Q447" s="34"/>
      <c r="R447" s="34"/>
      <c r="S447" s="34"/>
      <c r="T447" s="34"/>
      <c r="U447" s="34"/>
      <c r="V447" s="34"/>
      <c r="W447" s="34"/>
    </row>
    <row r="448" spans="2:23" x14ac:dyDescent="0.3">
      <c r="B448" s="33"/>
      <c r="C448" s="34"/>
      <c r="D448" s="34"/>
      <c r="E448" s="34"/>
      <c r="F448" s="34"/>
      <c r="G448" s="34"/>
      <c r="H448" s="34"/>
      <c r="I448" s="34"/>
      <c r="J448" s="34"/>
      <c r="K448" s="35"/>
      <c r="L448" s="34"/>
      <c r="M448" s="32"/>
      <c r="N448" s="34"/>
      <c r="O448" s="34"/>
      <c r="P448" s="34"/>
      <c r="Q448" s="34"/>
      <c r="R448" s="34"/>
      <c r="S448" s="34"/>
      <c r="T448" s="34"/>
      <c r="U448" s="34"/>
      <c r="V448" s="34"/>
      <c r="W448" s="34"/>
    </row>
    <row r="449" spans="2:23" x14ac:dyDescent="0.3">
      <c r="B449" s="33"/>
      <c r="C449" s="34"/>
      <c r="D449" s="34"/>
      <c r="E449" s="34"/>
      <c r="F449" s="34"/>
      <c r="G449" s="34"/>
      <c r="H449" s="34"/>
      <c r="I449" s="34"/>
      <c r="J449" s="34"/>
      <c r="K449" s="35"/>
      <c r="L449" s="34"/>
      <c r="M449" s="32"/>
      <c r="N449" s="34"/>
      <c r="O449" s="34"/>
      <c r="P449" s="34"/>
      <c r="Q449" s="34"/>
      <c r="R449" s="34"/>
      <c r="S449" s="34"/>
      <c r="T449" s="34"/>
      <c r="U449" s="34"/>
      <c r="V449" s="34"/>
      <c r="W449" s="34"/>
    </row>
    <row r="450" spans="2:23" x14ac:dyDescent="0.3">
      <c r="B450" s="33"/>
      <c r="C450" s="34"/>
      <c r="D450" s="34"/>
      <c r="E450" s="34"/>
      <c r="F450" s="34"/>
      <c r="G450" s="34"/>
      <c r="H450" s="34"/>
      <c r="I450" s="34"/>
      <c r="J450" s="34"/>
      <c r="K450" s="35"/>
      <c r="L450" s="34"/>
      <c r="M450" s="32"/>
      <c r="N450" s="34"/>
      <c r="O450" s="34"/>
      <c r="P450" s="34"/>
      <c r="Q450" s="34"/>
      <c r="R450" s="34"/>
      <c r="S450" s="34"/>
      <c r="T450" s="34"/>
      <c r="U450" s="34"/>
      <c r="V450" s="34"/>
      <c r="W450" s="34"/>
    </row>
    <row r="451" spans="2:23" x14ac:dyDescent="0.3">
      <c r="B451" s="33"/>
      <c r="C451" s="34"/>
      <c r="D451" s="34"/>
      <c r="E451" s="34"/>
      <c r="F451" s="34"/>
      <c r="G451" s="34"/>
      <c r="H451" s="34"/>
      <c r="I451" s="34"/>
      <c r="J451" s="34"/>
      <c r="K451" s="35"/>
      <c r="L451" s="34"/>
      <c r="M451" s="32"/>
      <c r="N451" s="34"/>
      <c r="O451" s="34"/>
      <c r="P451" s="34"/>
      <c r="Q451" s="34"/>
      <c r="R451" s="34"/>
      <c r="S451" s="34"/>
      <c r="T451" s="34"/>
      <c r="U451" s="34"/>
      <c r="V451" s="34"/>
      <c r="W451" s="34"/>
    </row>
    <row r="452" spans="2:23" x14ac:dyDescent="0.3">
      <c r="B452" s="33"/>
      <c r="C452" s="34"/>
      <c r="D452" s="34"/>
      <c r="E452" s="34"/>
      <c r="F452" s="34"/>
      <c r="G452" s="34"/>
      <c r="H452" s="34"/>
      <c r="I452" s="34"/>
      <c r="J452" s="34"/>
      <c r="K452" s="35"/>
      <c r="L452" s="34"/>
      <c r="M452" s="32"/>
      <c r="N452" s="34"/>
      <c r="O452" s="34"/>
      <c r="P452" s="34"/>
      <c r="Q452" s="34"/>
      <c r="R452" s="34"/>
      <c r="S452" s="34"/>
      <c r="T452" s="34"/>
      <c r="U452" s="34"/>
      <c r="V452" s="34"/>
      <c r="W452" s="34"/>
    </row>
    <row r="453" spans="2:23" x14ac:dyDescent="0.3">
      <c r="B453" s="33"/>
      <c r="C453" s="34"/>
      <c r="D453" s="34"/>
      <c r="E453" s="34"/>
      <c r="F453" s="34"/>
      <c r="G453" s="34"/>
      <c r="H453" s="34"/>
      <c r="I453" s="34"/>
      <c r="J453" s="34"/>
      <c r="K453" s="35"/>
      <c r="L453" s="34"/>
      <c r="M453" s="32"/>
      <c r="N453" s="34"/>
      <c r="O453" s="34"/>
      <c r="P453" s="34"/>
      <c r="Q453" s="34"/>
      <c r="R453" s="34"/>
      <c r="S453" s="34"/>
      <c r="T453" s="34"/>
      <c r="U453" s="34"/>
      <c r="V453" s="34"/>
      <c r="W453" s="34"/>
    </row>
    <row r="454" spans="2:23" x14ac:dyDescent="0.3">
      <c r="B454" s="33"/>
      <c r="C454" s="34"/>
      <c r="D454" s="34"/>
      <c r="E454" s="34"/>
      <c r="F454" s="34"/>
      <c r="G454" s="34"/>
      <c r="H454" s="34"/>
      <c r="I454" s="34"/>
      <c r="J454" s="34"/>
      <c r="K454" s="35"/>
      <c r="L454" s="34"/>
      <c r="M454" s="32"/>
      <c r="N454" s="34"/>
      <c r="O454" s="34"/>
      <c r="P454" s="34"/>
      <c r="Q454" s="34"/>
      <c r="R454" s="34"/>
      <c r="S454" s="34"/>
      <c r="T454" s="34"/>
      <c r="U454" s="34"/>
      <c r="V454" s="34"/>
      <c r="W454" s="34"/>
    </row>
    <row r="455" spans="2:23" x14ac:dyDescent="0.3">
      <c r="B455" s="33"/>
      <c r="C455" s="34"/>
      <c r="D455" s="34"/>
      <c r="E455" s="34"/>
      <c r="F455" s="34"/>
      <c r="G455" s="34"/>
      <c r="H455" s="34"/>
      <c r="I455" s="34"/>
      <c r="J455" s="34"/>
      <c r="K455" s="35"/>
      <c r="L455" s="34"/>
      <c r="M455" s="32"/>
      <c r="N455" s="34"/>
      <c r="O455" s="34"/>
      <c r="P455" s="34"/>
      <c r="Q455" s="34"/>
      <c r="R455" s="34"/>
      <c r="S455" s="34"/>
      <c r="T455" s="34"/>
      <c r="U455" s="34"/>
      <c r="V455" s="34"/>
      <c r="W455" s="34"/>
    </row>
    <row r="456" spans="2:23" x14ac:dyDescent="0.3">
      <c r="B456" s="33"/>
      <c r="C456" s="34"/>
      <c r="D456" s="34"/>
      <c r="E456" s="34"/>
      <c r="F456" s="34"/>
      <c r="G456" s="34"/>
      <c r="H456" s="34"/>
      <c r="I456" s="34"/>
      <c r="J456" s="34"/>
      <c r="K456" s="35"/>
      <c r="L456" s="34"/>
      <c r="M456" s="32"/>
      <c r="N456" s="34"/>
      <c r="O456" s="34"/>
      <c r="P456" s="34"/>
      <c r="Q456" s="34"/>
      <c r="R456" s="34"/>
      <c r="S456" s="34"/>
      <c r="T456" s="34"/>
      <c r="U456" s="34"/>
      <c r="V456" s="34"/>
      <c r="W456" s="34"/>
    </row>
    <row r="457" spans="2:23" x14ac:dyDescent="0.3">
      <c r="B457" s="33"/>
      <c r="C457" s="34"/>
      <c r="D457" s="34"/>
      <c r="E457" s="34"/>
      <c r="F457" s="34"/>
      <c r="G457" s="34"/>
      <c r="H457" s="34"/>
      <c r="I457" s="34"/>
      <c r="J457" s="34"/>
      <c r="K457" s="35"/>
      <c r="L457" s="34"/>
      <c r="M457" s="32"/>
      <c r="N457" s="34"/>
      <c r="O457" s="34"/>
      <c r="P457" s="34"/>
      <c r="Q457" s="34"/>
      <c r="R457" s="34"/>
      <c r="S457" s="34"/>
      <c r="T457" s="34"/>
      <c r="U457" s="34"/>
      <c r="V457" s="34"/>
      <c r="W457" s="34"/>
    </row>
    <row r="458" spans="2:23" x14ac:dyDescent="0.3">
      <c r="B458" s="33"/>
      <c r="C458" s="34"/>
      <c r="D458" s="34"/>
      <c r="E458" s="34"/>
      <c r="F458" s="34"/>
      <c r="G458" s="34"/>
      <c r="H458" s="34"/>
      <c r="I458" s="34"/>
      <c r="J458" s="34"/>
      <c r="K458" s="35"/>
      <c r="L458" s="34"/>
      <c r="M458" s="32"/>
      <c r="N458" s="34"/>
      <c r="O458" s="34"/>
      <c r="P458" s="34"/>
      <c r="Q458" s="34"/>
      <c r="R458" s="34"/>
      <c r="S458" s="34"/>
      <c r="T458" s="34"/>
      <c r="U458" s="34"/>
      <c r="V458" s="34"/>
      <c r="W458" s="34"/>
    </row>
    <row r="459" spans="2:23" x14ac:dyDescent="0.3">
      <c r="B459" s="33"/>
      <c r="C459" s="34"/>
      <c r="D459" s="34"/>
      <c r="E459" s="34"/>
      <c r="F459" s="34"/>
      <c r="G459" s="34"/>
      <c r="H459" s="34"/>
      <c r="I459" s="34"/>
      <c r="J459" s="34"/>
      <c r="K459" s="35"/>
      <c r="L459" s="34"/>
      <c r="M459" s="32"/>
      <c r="N459" s="34"/>
      <c r="O459" s="34"/>
      <c r="P459" s="34"/>
      <c r="Q459" s="34"/>
      <c r="R459" s="34"/>
      <c r="S459" s="34"/>
      <c r="T459" s="34"/>
      <c r="U459" s="34"/>
      <c r="V459" s="34"/>
      <c r="W459" s="34"/>
    </row>
    <row r="460" spans="2:23" x14ac:dyDescent="0.3">
      <c r="B460" s="33"/>
      <c r="C460" s="34"/>
      <c r="D460" s="34"/>
      <c r="E460" s="34"/>
      <c r="F460" s="34"/>
      <c r="G460" s="34"/>
      <c r="H460" s="34"/>
      <c r="I460" s="34"/>
      <c r="J460" s="34"/>
      <c r="K460" s="35"/>
      <c r="L460" s="34"/>
      <c r="M460" s="32"/>
      <c r="N460" s="34"/>
      <c r="O460" s="34"/>
      <c r="P460" s="34"/>
      <c r="Q460" s="34"/>
      <c r="R460" s="34"/>
      <c r="S460" s="34"/>
      <c r="T460" s="34"/>
      <c r="U460" s="34"/>
      <c r="V460" s="34"/>
      <c r="W460" s="34"/>
    </row>
    <row r="461" spans="2:23" x14ac:dyDescent="0.3">
      <c r="B461" s="33"/>
      <c r="C461" s="34"/>
      <c r="D461" s="34"/>
      <c r="E461" s="34"/>
      <c r="F461" s="34"/>
      <c r="G461" s="34"/>
      <c r="H461" s="34"/>
      <c r="I461" s="34"/>
      <c r="J461" s="34"/>
      <c r="K461" s="35"/>
      <c r="L461" s="34"/>
      <c r="M461" s="32"/>
      <c r="N461" s="34"/>
      <c r="O461" s="34"/>
      <c r="P461" s="34"/>
      <c r="Q461" s="34"/>
      <c r="R461" s="34"/>
      <c r="S461" s="34"/>
      <c r="T461" s="34"/>
      <c r="U461" s="34"/>
      <c r="V461" s="34"/>
      <c r="W461" s="34"/>
    </row>
    <row r="462" spans="2:23" x14ac:dyDescent="0.3">
      <c r="B462" s="33"/>
      <c r="C462" s="34"/>
      <c r="D462" s="34"/>
      <c r="E462" s="34"/>
      <c r="F462" s="34"/>
      <c r="G462" s="34"/>
      <c r="H462" s="34"/>
      <c r="I462" s="34"/>
      <c r="J462" s="34"/>
      <c r="K462" s="35"/>
      <c r="L462" s="34"/>
      <c r="M462" s="32"/>
      <c r="N462" s="34"/>
      <c r="O462" s="34"/>
      <c r="P462" s="34"/>
      <c r="Q462" s="34"/>
      <c r="R462" s="34"/>
      <c r="S462" s="34"/>
      <c r="T462" s="34"/>
      <c r="U462" s="34"/>
      <c r="V462" s="34"/>
      <c r="W462" s="34"/>
    </row>
    <row r="463" spans="2:23" x14ac:dyDescent="0.3">
      <c r="B463" s="33"/>
      <c r="C463" s="34"/>
      <c r="D463" s="34"/>
      <c r="E463" s="34"/>
      <c r="F463" s="34"/>
      <c r="G463" s="34"/>
      <c r="H463" s="34"/>
      <c r="I463" s="34"/>
      <c r="J463" s="34"/>
      <c r="K463" s="35"/>
      <c r="L463" s="34"/>
      <c r="M463" s="32"/>
      <c r="N463" s="34"/>
      <c r="O463" s="34"/>
      <c r="P463" s="34"/>
      <c r="Q463" s="34"/>
      <c r="R463" s="34"/>
      <c r="S463" s="34"/>
      <c r="T463" s="34"/>
      <c r="U463" s="34"/>
      <c r="V463" s="34"/>
      <c r="W463" s="34"/>
    </row>
    <row r="464" spans="2:23" x14ac:dyDescent="0.3">
      <c r="B464" s="33"/>
      <c r="C464" s="34"/>
      <c r="D464" s="34"/>
      <c r="E464" s="34"/>
      <c r="F464" s="34"/>
      <c r="G464" s="34"/>
      <c r="H464" s="34"/>
      <c r="I464" s="34"/>
      <c r="J464" s="34"/>
      <c r="K464" s="35"/>
      <c r="L464" s="34"/>
      <c r="M464" s="32"/>
      <c r="N464" s="34"/>
      <c r="O464" s="34"/>
      <c r="P464" s="34"/>
      <c r="Q464" s="34"/>
      <c r="R464" s="34"/>
      <c r="S464" s="34"/>
      <c r="T464" s="34"/>
      <c r="U464" s="34"/>
      <c r="V464" s="34"/>
      <c r="W464" s="34"/>
    </row>
    <row r="465" spans="2:23" x14ac:dyDescent="0.3">
      <c r="B465" s="33"/>
      <c r="C465" s="34"/>
      <c r="D465" s="34"/>
      <c r="E465" s="34"/>
      <c r="F465" s="34"/>
      <c r="G465" s="34"/>
      <c r="H465" s="34"/>
      <c r="I465" s="34"/>
      <c r="J465" s="34"/>
      <c r="K465" s="35"/>
      <c r="L465" s="34"/>
      <c r="M465" s="32"/>
      <c r="N465" s="34"/>
      <c r="O465" s="34"/>
      <c r="P465" s="34"/>
      <c r="Q465" s="34"/>
      <c r="R465" s="34"/>
      <c r="S465" s="34"/>
      <c r="T465" s="34"/>
      <c r="U465" s="34"/>
      <c r="V465" s="34"/>
      <c r="W465" s="34"/>
    </row>
    <row r="466" spans="2:23" x14ac:dyDescent="0.3">
      <c r="B466" s="33"/>
      <c r="C466" s="34"/>
      <c r="D466" s="34"/>
      <c r="E466" s="34"/>
      <c r="F466" s="34"/>
      <c r="G466" s="34"/>
      <c r="H466" s="34"/>
      <c r="I466" s="34"/>
      <c r="J466" s="34"/>
      <c r="K466" s="35"/>
      <c r="L466" s="34"/>
      <c r="M466" s="32"/>
      <c r="N466" s="34"/>
      <c r="O466" s="34"/>
      <c r="P466" s="34"/>
      <c r="Q466" s="34"/>
      <c r="R466" s="34"/>
      <c r="S466" s="34"/>
      <c r="T466" s="34"/>
      <c r="U466" s="34"/>
      <c r="V466" s="34"/>
      <c r="W466" s="34"/>
    </row>
    <row r="467" spans="2:23" x14ac:dyDescent="0.3">
      <c r="B467" s="33"/>
      <c r="C467" s="34"/>
      <c r="D467" s="34"/>
      <c r="E467" s="34"/>
      <c r="F467" s="34"/>
      <c r="G467" s="34"/>
      <c r="H467" s="34"/>
      <c r="I467" s="34"/>
      <c r="J467" s="34"/>
      <c r="K467" s="35"/>
      <c r="L467" s="34"/>
      <c r="M467" s="32"/>
      <c r="N467" s="34"/>
      <c r="O467" s="34"/>
      <c r="P467" s="34"/>
      <c r="Q467" s="34"/>
      <c r="R467" s="34"/>
      <c r="S467" s="34"/>
      <c r="T467" s="34"/>
      <c r="U467" s="34"/>
      <c r="V467" s="34"/>
      <c r="W467" s="34"/>
    </row>
    <row r="468" spans="2:23" x14ac:dyDescent="0.3">
      <c r="B468" s="33"/>
      <c r="C468" s="34"/>
      <c r="D468" s="34"/>
      <c r="E468" s="34"/>
      <c r="F468" s="34"/>
      <c r="G468" s="34"/>
      <c r="H468" s="34"/>
      <c r="I468" s="34"/>
      <c r="J468" s="34"/>
      <c r="K468" s="35"/>
      <c r="L468" s="34"/>
      <c r="M468" s="32"/>
      <c r="N468" s="34"/>
      <c r="O468" s="34"/>
      <c r="P468" s="34"/>
      <c r="Q468" s="34"/>
      <c r="R468" s="34"/>
      <c r="S468" s="34"/>
      <c r="T468" s="34"/>
      <c r="U468" s="34"/>
      <c r="V468" s="34"/>
      <c r="W468" s="34"/>
    </row>
    <row r="469" spans="2:23" x14ac:dyDescent="0.3">
      <c r="B469" s="33"/>
      <c r="C469" s="34"/>
      <c r="D469" s="34"/>
      <c r="E469" s="34"/>
      <c r="F469" s="34"/>
      <c r="G469" s="34"/>
      <c r="H469" s="34"/>
      <c r="I469" s="34"/>
      <c r="J469" s="34"/>
      <c r="K469" s="35"/>
      <c r="L469" s="34"/>
      <c r="M469" s="32"/>
      <c r="N469" s="34"/>
      <c r="O469" s="34"/>
      <c r="P469" s="34"/>
      <c r="Q469" s="34"/>
      <c r="R469" s="34"/>
      <c r="S469" s="34"/>
      <c r="T469" s="34"/>
      <c r="U469" s="34"/>
      <c r="V469" s="34"/>
      <c r="W469" s="34"/>
    </row>
    <row r="470" spans="2:23" x14ac:dyDescent="0.3">
      <c r="B470" s="33"/>
      <c r="C470" s="34"/>
      <c r="D470" s="34"/>
      <c r="E470" s="34"/>
      <c r="F470" s="34"/>
      <c r="G470" s="34"/>
      <c r="H470" s="34"/>
      <c r="I470" s="34"/>
      <c r="J470" s="34"/>
      <c r="K470" s="35"/>
      <c r="L470" s="34"/>
      <c r="M470" s="32"/>
      <c r="N470" s="34"/>
      <c r="O470" s="34"/>
      <c r="P470" s="34"/>
      <c r="Q470" s="34"/>
      <c r="R470" s="34"/>
      <c r="S470" s="34"/>
      <c r="T470" s="34"/>
      <c r="U470" s="34"/>
      <c r="V470" s="34"/>
      <c r="W470" s="34"/>
    </row>
    <row r="471" spans="2:23" x14ac:dyDescent="0.3">
      <c r="B471" s="33"/>
      <c r="C471" s="34"/>
      <c r="D471" s="34"/>
      <c r="E471" s="34"/>
      <c r="F471" s="34"/>
      <c r="G471" s="34"/>
      <c r="H471" s="34"/>
      <c r="I471" s="34"/>
      <c r="J471" s="34"/>
      <c r="K471" s="35"/>
      <c r="L471" s="34"/>
      <c r="M471" s="32"/>
      <c r="N471" s="34"/>
      <c r="O471" s="34"/>
      <c r="P471" s="34"/>
      <c r="Q471" s="34"/>
      <c r="R471" s="34"/>
      <c r="S471" s="34"/>
      <c r="T471" s="34"/>
      <c r="U471" s="34"/>
      <c r="V471" s="34"/>
      <c r="W471" s="34"/>
    </row>
    <row r="472" spans="2:23" x14ac:dyDescent="0.3">
      <c r="B472" s="33"/>
      <c r="C472" s="34"/>
      <c r="D472" s="34"/>
      <c r="E472" s="34"/>
      <c r="F472" s="34"/>
      <c r="G472" s="34"/>
      <c r="H472" s="34"/>
      <c r="I472" s="34"/>
      <c r="J472" s="34"/>
      <c r="K472" s="35"/>
      <c r="L472" s="34"/>
      <c r="M472" s="32"/>
      <c r="N472" s="34"/>
      <c r="O472" s="34"/>
      <c r="P472" s="34"/>
      <c r="Q472" s="34"/>
      <c r="R472" s="34"/>
      <c r="S472" s="34"/>
      <c r="T472" s="34"/>
      <c r="U472" s="34"/>
      <c r="V472" s="34"/>
      <c r="W472" s="34"/>
    </row>
    <row r="473" spans="2:23" x14ac:dyDescent="0.3">
      <c r="B473" s="33"/>
      <c r="C473" s="34"/>
      <c r="D473" s="34"/>
      <c r="E473" s="34"/>
      <c r="F473" s="34"/>
      <c r="G473" s="34"/>
      <c r="H473" s="34"/>
      <c r="I473" s="34"/>
      <c r="J473" s="34"/>
      <c r="K473" s="35"/>
      <c r="L473" s="34"/>
      <c r="M473" s="32"/>
      <c r="N473" s="34"/>
      <c r="O473" s="34"/>
      <c r="P473" s="34"/>
      <c r="Q473" s="34"/>
      <c r="R473" s="34"/>
      <c r="S473" s="34"/>
      <c r="T473" s="34"/>
      <c r="U473" s="34"/>
      <c r="V473" s="34"/>
      <c r="W473" s="34"/>
    </row>
    <row r="474" spans="2:23" x14ac:dyDescent="0.3">
      <c r="B474" s="33"/>
      <c r="C474" s="34"/>
      <c r="D474" s="34"/>
      <c r="E474" s="34"/>
      <c r="F474" s="34"/>
      <c r="G474" s="34"/>
      <c r="H474" s="34"/>
      <c r="I474" s="34"/>
      <c r="J474" s="34"/>
      <c r="K474" s="35"/>
      <c r="L474" s="34"/>
      <c r="M474" s="32"/>
      <c r="N474" s="34"/>
      <c r="O474" s="34"/>
      <c r="P474" s="34"/>
      <c r="Q474" s="34"/>
      <c r="R474" s="34"/>
      <c r="S474" s="34"/>
      <c r="T474" s="34"/>
      <c r="U474" s="34"/>
      <c r="V474" s="34"/>
      <c r="W474" s="34"/>
    </row>
    <row r="475" spans="2:23" x14ac:dyDescent="0.3">
      <c r="B475" s="33"/>
      <c r="C475" s="34"/>
      <c r="D475" s="34"/>
      <c r="E475" s="34"/>
      <c r="F475" s="34"/>
      <c r="G475" s="34"/>
      <c r="H475" s="34"/>
      <c r="I475" s="34"/>
      <c r="J475" s="34"/>
      <c r="K475" s="35"/>
      <c r="L475" s="34"/>
      <c r="M475" s="32"/>
      <c r="N475" s="34"/>
      <c r="O475" s="34"/>
      <c r="P475" s="34"/>
      <c r="Q475" s="34"/>
      <c r="R475" s="34"/>
      <c r="S475" s="34"/>
      <c r="T475" s="34"/>
      <c r="U475" s="34"/>
      <c r="V475" s="34"/>
      <c r="W475" s="34"/>
    </row>
    <row r="476" spans="2:23" x14ac:dyDescent="0.3">
      <c r="B476" s="33"/>
      <c r="C476" s="34"/>
      <c r="D476" s="34"/>
      <c r="E476" s="34"/>
      <c r="F476" s="34"/>
      <c r="G476" s="34"/>
      <c r="H476" s="34"/>
      <c r="I476" s="34"/>
      <c r="J476" s="34"/>
      <c r="K476" s="35"/>
      <c r="L476" s="34"/>
      <c r="M476" s="32"/>
      <c r="N476" s="34"/>
      <c r="O476" s="34"/>
      <c r="P476" s="34"/>
      <c r="Q476" s="34"/>
      <c r="R476" s="34"/>
      <c r="S476" s="34"/>
      <c r="T476" s="34"/>
      <c r="U476" s="34"/>
      <c r="V476" s="34"/>
      <c r="W476" s="34"/>
    </row>
    <row r="477" spans="2:23" x14ac:dyDescent="0.3">
      <c r="B477" s="33"/>
      <c r="C477" s="34"/>
      <c r="D477" s="34"/>
      <c r="E477" s="34"/>
      <c r="F477" s="34"/>
      <c r="G477" s="34"/>
      <c r="H477" s="34"/>
      <c r="I477" s="34"/>
      <c r="J477" s="34"/>
      <c r="K477" s="35"/>
      <c r="L477" s="34"/>
      <c r="M477" s="32"/>
      <c r="N477" s="34"/>
      <c r="O477" s="34"/>
      <c r="P477" s="34"/>
      <c r="Q477" s="34"/>
      <c r="R477" s="34"/>
      <c r="S477" s="34"/>
      <c r="T477" s="34"/>
      <c r="U477" s="34"/>
      <c r="V477" s="34"/>
      <c r="W477" s="34"/>
    </row>
    <row r="478" spans="2:23" x14ac:dyDescent="0.3">
      <c r="B478" s="33"/>
      <c r="C478" s="34"/>
      <c r="D478" s="34"/>
      <c r="E478" s="34"/>
      <c r="F478" s="34"/>
      <c r="G478" s="34"/>
      <c r="H478" s="34"/>
      <c r="I478" s="34"/>
      <c r="J478" s="34"/>
      <c r="K478" s="35"/>
      <c r="L478" s="34"/>
      <c r="M478" s="32"/>
      <c r="N478" s="34"/>
      <c r="O478" s="34"/>
      <c r="P478" s="34"/>
      <c r="Q478" s="34"/>
      <c r="R478" s="34"/>
      <c r="S478" s="34"/>
      <c r="T478" s="34"/>
      <c r="U478" s="34"/>
      <c r="V478" s="34"/>
      <c r="W478" s="34"/>
    </row>
    <row r="479" spans="2:23" x14ac:dyDescent="0.3">
      <c r="B479" s="33"/>
      <c r="C479" s="34"/>
      <c r="D479" s="34"/>
      <c r="E479" s="34"/>
      <c r="F479" s="34"/>
      <c r="G479" s="34"/>
      <c r="H479" s="34"/>
      <c r="I479" s="34"/>
      <c r="J479" s="34"/>
      <c r="K479" s="35"/>
      <c r="L479" s="34"/>
      <c r="M479" s="32"/>
      <c r="N479" s="34"/>
      <c r="O479" s="34"/>
      <c r="P479" s="34"/>
      <c r="Q479" s="34"/>
      <c r="R479" s="34"/>
      <c r="S479" s="34"/>
      <c r="T479" s="34"/>
      <c r="U479" s="34"/>
      <c r="V479" s="34"/>
      <c r="W479" s="34"/>
    </row>
    <row r="480" spans="2:23" x14ac:dyDescent="0.3">
      <c r="B480" s="33"/>
      <c r="C480" s="34"/>
      <c r="D480" s="34"/>
      <c r="E480" s="34"/>
      <c r="F480" s="34"/>
      <c r="G480" s="34"/>
      <c r="H480" s="34"/>
      <c r="I480" s="34"/>
      <c r="J480" s="34"/>
      <c r="K480" s="35"/>
      <c r="L480" s="34"/>
      <c r="M480" s="32"/>
      <c r="N480" s="34"/>
      <c r="O480" s="34"/>
      <c r="P480" s="34"/>
      <c r="Q480" s="34"/>
      <c r="R480" s="34"/>
      <c r="S480" s="34"/>
      <c r="T480" s="34"/>
      <c r="U480" s="34"/>
      <c r="V480" s="34"/>
      <c r="W480" s="34"/>
    </row>
    <row r="481" spans="2:23" x14ac:dyDescent="0.3">
      <c r="B481" s="33"/>
      <c r="C481" s="34"/>
      <c r="D481" s="34"/>
      <c r="E481" s="34"/>
      <c r="F481" s="34"/>
      <c r="G481" s="34"/>
      <c r="H481" s="34"/>
      <c r="I481" s="34"/>
      <c r="J481" s="34"/>
      <c r="K481" s="35"/>
      <c r="L481" s="34"/>
      <c r="M481" s="32"/>
      <c r="N481" s="34"/>
      <c r="O481" s="34"/>
      <c r="P481" s="34"/>
      <c r="Q481" s="34"/>
      <c r="R481" s="34"/>
      <c r="S481" s="34"/>
      <c r="T481" s="34"/>
      <c r="U481" s="34"/>
      <c r="V481" s="34"/>
      <c r="W481" s="34"/>
    </row>
    <row r="482" spans="2:23" x14ac:dyDescent="0.3">
      <c r="B482" s="33"/>
      <c r="C482" s="34"/>
      <c r="D482" s="34"/>
      <c r="E482" s="34"/>
      <c r="F482" s="34"/>
      <c r="G482" s="34"/>
      <c r="H482" s="34"/>
      <c r="I482" s="34"/>
      <c r="J482" s="34"/>
      <c r="K482" s="35"/>
      <c r="L482" s="34"/>
      <c r="M482" s="32"/>
      <c r="N482" s="34"/>
      <c r="O482" s="34"/>
      <c r="P482" s="34"/>
      <c r="Q482" s="34"/>
      <c r="R482" s="34"/>
      <c r="S482" s="34"/>
      <c r="T482" s="34"/>
      <c r="U482" s="34"/>
      <c r="V482" s="34"/>
      <c r="W482" s="34"/>
    </row>
    <row r="483" spans="2:23" x14ac:dyDescent="0.3">
      <c r="B483" s="33"/>
      <c r="C483" s="34"/>
      <c r="D483" s="34"/>
      <c r="E483" s="34"/>
      <c r="F483" s="34"/>
      <c r="G483" s="34"/>
      <c r="H483" s="34"/>
      <c r="I483" s="34"/>
      <c r="J483" s="34"/>
      <c r="K483" s="35"/>
      <c r="L483" s="34"/>
      <c r="M483" s="32"/>
      <c r="N483" s="34"/>
      <c r="O483" s="34"/>
      <c r="P483" s="34"/>
      <c r="Q483" s="34"/>
      <c r="R483" s="34"/>
      <c r="S483" s="34"/>
      <c r="T483" s="34"/>
      <c r="U483" s="34"/>
      <c r="V483" s="34"/>
      <c r="W483" s="34"/>
    </row>
    <row r="484" spans="2:23" x14ac:dyDescent="0.3">
      <c r="B484" s="33"/>
      <c r="C484" s="34"/>
      <c r="D484" s="34"/>
      <c r="E484" s="34"/>
      <c r="F484" s="34"/>
      <c r="G484" s="34"/>
      <c r="H484" s="34"/>
      <c r="I484" s="34"/>
      <c r="J484" s="34"/>
      <c r="K484" s="35"/>
      <c r="L484" s="34"/>
      <c r="M484" s="32"/>
      <c r="N484" s="34"/>
      <c r="O484" s="34"/>
      <c r="P484" s="34"/>
      <c r="Q484" s="34"/>
      <c r="R484" s="34"/>
      <c r="S484" s="34"/>
      <c r="T484" s="34"/>
      <c r="U484" s="34"/>
      <c r="V484" s="34"/>
      <c r="W484" s="34"/>
    </row>
    <row r="485" spans="2:23" x14ac:dyDescent="0.3">
      <c r="B485" s="33"/>
      <c r="C485" s="34"/>
      <c r="D485" s="34"/>
      <c r="E485" s="34"/>
      <c r="F485" s="34"/>
      <c r="G485" s="34"/>
      <c r="H485" s="34"/>
      <c r="I485" s="34"/>
      <c r="J485" s="34"/>
      <c r="K485" s="35"/>
      <c r="L485" s="34"/>
      <c r="M485" s="32"/>
      <c r="N485" s="34"/>
      <c r="O485" s="34"/>
      <c r="P485" s="34"/>
      <c r="Q485" s="34"/>
      <c r="R485" s="34"/>
      <c r="S485" s="34"/>
      <c r="T485" s="34"/>
      <c r="U485" s="34"/>
      <c r="V485" s="34"/>
      <c r="W485" s="34"/>
    </row>
    <row r="486" spans="2:23" x14ac:dyDescent="0.3">
      <c r="B486" s="33"/>
      <c r="C486" s="34"/>
      <c r="D486" s="34"/>
      <c r="E486" s="34"/>
      <c r="F486" s="34"/>
      <c r="G486" s="34"/>
      <c r="H486" s="34"/>
      <c r="I486" s="34"/>
      <c r="J486" s="34"/>
      <c r="K486" s="35"/>
      <c r="L486" s="34"/>
      <c r="M486" s="32"/>
      <c r="N486" s="34"/>
      <c r="O486" s="34"/>
      <c r="P486" s="34"/>
      <c r="Q486" s="34"/>
      <c r="R486" s="34"/>
      <c r="S486" s="34"/>
      <c r="T486" s="34"/>
      <c r="U486" s="34"/>
      <c r="V486" s="34"/>
      <c r="W486" s="34"/>
    </row>
    <row r="487" spans="2:23" x14ac:dyDescent="0.3">
      <c r="B487" s="33"/>
      <c r="C487" s="34"/>
      <c r="D487" s="34"/>
      <c r="E487" s="34"/>
      <c r="F487" s="34"/>
      <c r="G487" s="34"/>
      <c r="H487" s="34"/>
      <c r="I487" s="34"/>
      <c r="J487" s="34"/>
      <c r="K487" s="35"/>
      <c r="L487" s="34"/>
      <c r="M487" s="32"/>
      <c r="N487" s="34"/>
      <c r="O487" s="34"/>
      <c r="P487" s="34"/>
      <c r="Q487" s="34"/>
      <c r="R487" s="34"/>
      <c r="S487" s="34"/>
      <c r="T487" s="34"/>
      <c r="U487" s="34"/>
      <c r="V487" s="34"/>
      <c r="W487" s="34"/>
    </row>
    <row r="488" spans="2:23" x14ac:dyDescent="0.3">
      <c r="B488" s="33"/>
      <c r="C488" s="34"/>
      <c r="D488" s="34"/>
      <c r="E488" s="34"/>
      <c r="F488" s="34"/>
      <c r="G488" s="34"/>
      <c r="H488" s="34"/>
      <c r="I488" s="34"/>
      <c r="J488" s="34"/>
      <c r="K488" s="35"/>
      <c r="L488" s="34"/>
      <c r="M488" s="32"/>
      <c r="N488" s="34"/>
      <c r="O488" s="34"/>
      <c r="P488" s="34"/>
      <c r="Q488" s="34"/>
      <c r="R488" s="34"/>
      <c r="S488" s="34"/>
      <c r="T488" s="34"/>
      <c r="U488" s="34"/>
      <c r="V488" s="34"/>
      <c r="W488" s="34"/>
    </row>
    <row r="489" spans="2:23" x14ac:dyDescent="0.3">
      <c r="B489" s="33"/>
      <c r="C489" s="34"/>
      <c r="D489" s="34"/>
      <c r="E489" s="34"/>
      <c r="F489" s="34"/>
      <c r="G489" s="34"/>
      <c r="H489" s="34"/>
      <c r="I489" s="34"/>
      <c r="J489" s="34"/>
      <c r="K489" s="35"/>
      <c r="L489" s="34"/>
      <c r="M489" s="32"/>
      <c r="N489" s="34"/>
      <c r="O489" s="34"/>
      <c r="P489" s="34"/>
      <c r="Q489" s="34"/>
      <c r="R489" s="34"/>
      <c r="S489" s="34"/>
      <c r="T489" s="34"/>
      <c r="U489" s="34"/>
      <c r="V489" s="34"/>
      <c r="W489" s="34"/>
    </row>
    <row r="490" spans="2:23" x14ac:dyDescent="0.3">
      <c r="B490" s="33"/>
      <c r="C490" s="34"/>
      <c r="D490" s="34"/>
      <c r="E490" s="34"/>
      <c r="F490" s="34"/>
      <c r="G490" s="34"/>
      <c r="H490" s="34"/>
      <c r="I490" s="34"/>
      <c r="J490" s="34"/>
      <c r="K490" s="35"/>
      <c r="L490" s="34"/>
      <c r="M490" s="32"/>
      <c r="N490" s="34"/>
      <c r="O490" s="34"/>
      <c r="P490" s="34"/>
      <c r="Q490" s="34"/>
      <c r="R490" s="34"/>
      <c r="S490" s="34"/>
      <c r="T490" s="34"/>
      <c r="U490" s="34"/>
      <c r="V490" s="34"/>
      <c r="W490" s="34"/>
    </row>
    <row r="491" spans="2:23" x14ac:dyDescent="0.3">
      <c r="B491" s="33"/>
      <c r="C491" s="34"/>
      <c r="D491" s="34"/>
      <c r="E491" s="34"/>
      <c r="F491" s="34"/>
      <c r="G491" s="34"/>
      <c r="H491" s="34"/>
      <c r="I491" s="34"/>
      <c r="J491" s="34"/>
      <c r="K491" s="35"/>
      <c r="L491" s="34"/>
      <c r="M491" s="32"/>
      <c r="N491" s="34"/>
      <c r="O491" s="34"/>
      <c r="P491" s="34"/>
      <c r="Q491" s="34"/>
      <c r="R491" s="34"/>
      <c r="S491" s="34"/>
      <c r="T491" s="34"/>
      <c r="U491" s="34"/>
      <c r="V491" s="34"/>
      <c r="W491" s="34"/>
    </row>
    <row r="492" spans="2:23" x14ac:dyDescent="0.3">
      <c r="B492" s="33"/>
      <c r="C492" s="34"/>
      <c r="D492" s="34"/>
      <c r="E492" s="34"/>
      <c r="F492" s="34"/>
      <c r="G492" s="34"/>
      <c r="H492" s="34"/>
      <c r="I492" s="34"/>
      <c r="J492" s="34"/>
      <c r="K492" s="35"/>
      <c r="L492" s="34"/>
      <c r="M492" s="32"/>
      <c r="N492" s="34"/>
      <c r="O492" s="34"/>
      <c r="P492" s="34"/>
      <c r="Q492" s="34"/>
      <c r="R492" s="34"/>
      <c r="S492" s="34"/>
      <c r="T492" s="34"/>
      <c r="U492" s="34"/>
      <c r="V492" s="34"/>
      <c r="W492" s="34"/>
    </row>
    <row r="493" spans="2:23" x14ac:dyDescent="0.3">
      <c r="B493" s="33"/>
      <c r="C493" s="34"/>
      <c r="D493" s="34"/>
      <c r="E493" s="34"/>
      <c r="F493" s="34"/>
      <c r="G493" s="34"/>
      <c r="H493" s="34"/>
      <c r="I493" s="34"/>
      <c r="J493" s="34"/>
      <c r="K493" s="35"/>
      <c r="L493" s="34"/>
      <c r="M493" s="32"/>
      <c r="N493" s="34"/>
      <c r="O493" s="34"/>
      <c r="P493" s="34"/>
      <c r="Q493" s="34"/>
      <c r="R493" s="34"/>
      <c r="S493" s="34"/>
      <c r="T493" s="34"/>
      <c r="U493" s="34"/>
      <c r="V493" s="34"/>
      <c r="W493" s="34"/>
    </row>
    <row r="494" spans="2:23" x14ac:dyDescent="0.3">
      <c r="B494" s="33"/>
      <c r="C494" s="34"/>
      <c r="D494" s="34"/>
      <c r="E494" s="34"/>
      <c r="F494" s="34"/>
      <c r="G494" s="34"/>
      <c r="H494" s="34"/>
      <c r="I494" s="34"/>
      <c r="J494" s="34"/>
      <c r="K494" s="35"/>
      <c r="L494" s="34"/>
      <c r="M494" s="32"/>
      <c r="N494" s="34"/>
      <c r="O494" s="34"/>
      <c r="P494" s="34"/>
      <c r="Q494" s="34"/>
      <c r="R494" s="34"/>
      <c r="S494" s="34"/>
      <c r="T494" s="34"/>
      <c r="U494" s="34"/>
      <c r="V494" s="34"/>
      <c r="W494" s="34"/>
    </row>
    <row r="495" spans="2:23" x14ac:dyDescent="0.3">
      <c r="B495" s="33"/>
      <c r="C495" s="34"/>
      <c r="D495" s="34"/>
      <c r="E495" s="34"/>
      <c r="F495" s="34"/>
      <c r="G495" s="34"/>
      <c r="H495" s="34"/>
      <c r="I495" s="34"/>
      <c r="J495" s="34"/>
      <c r="K495" s="35"/>
      <c r="L495" s="34"/>
      <c r="M495" s="32"/>
      <c r="N495" s="34"/>
      <c r="O495" s="34"/>
      <c r="P495" s="34"/>
      <c r="Q495" s="34"/>
      <c r="R495" s="34"/>
      <c r="S495" s="34"/>
      <c r="T495" s="34"/>
      <c r="U495" s="34"/>
      <c r="V495" s="34"/>
      <c r="W495" s="34"/>
    </row>
    <row r="496" spans="2:23" x14ac:dyDescent="0.3">
      <c r="B496" s="33"/>
      <c r="C496" s="34"/>
      <c r="D496" s="34"/>
      <c r="E496" s="34"/>
      <c r="F496" s="34"/>
      <c r="G496" s="34"/>
      <c r="H496" s="34"/>
      <c r="I496" s="34"/>
      <c r="J496" s="34"/>
      <c r="K496" s="35"/>
      <c r="L496" s="34"/>
      <c r="M496" s="32"/>
      <c r="N496" s="34"/>
      <c r="O496" s="34"/>
      <c r="P496" s="34"/>
      <c r="Q496" s="34"/>
      <c r="R496" s="34"/>
      <c r="S496" s="34"/>
      <c r="T496" s="34"/>
      <c r="U496" s="34"/>
      <c r="V496" s="34"/>
      <c r="W496" s="34"/>
    </row>
    <row r="497" spans="2:23" x14ac:dyDescent="0.3">
      <c r="B497" s="33"/>
      <c r="C497" s="34"/>
      <c r="D497" s="34"/>
      <c r="E497" s="34"/>
      <c r="F497" s="34"/>
      <c r="G497" s="34"/>
      <c r="H497" s="34"/>
      <c r="I497" s="34"/>
      <c r="J497" s="34"/>
      <c r="K497" s="35"/>
      <c r="L497" s="34"/>
      <c r="M497" s="32"/>
      <c r="N497" s="34"/>
      <c r="O497" s="34"/>
      <c r="P497" s="34"/>
      <c r="Q497" s="34"/>
      <c r="R497" s="34"/>
      <c r="S497" s="34"/>
      <c r="T497" s="34"/>
      <c r="U497" s="34"/>
      <c r="V497" s="34"/>
      <c r="W497" s="34"/>
    </row>
    <row r="498" spans="2:23" x14ac:dyDescent="0.3">
      <c r="B498" s="33"/>
      <c r="C498" s="34"/>
      <c r="D498" s="34"/>
      <c r="E498" s="34"/>
      <c r="F498" s="34"/>
      <c r="G498" s="34"/>
      <c r="H498" s="34"/>
      <c r="I498" s="34"/>
      <c r="J498" s="34"/>
      <c r="K498" s="35"/>
      <c r="L498" s="34"/>
      <c r="M498" s="32"/>
      <c r="N498" s="34"/>
      <c r="O498" s="34"/>
      <c r="P498" s="34"/>
      <c r="Q498" s="34"/>
      <c r="R498" s="34"/>
      <c r="S498" s="34"/>
      <c r="T498" s="34"/>
      <c r="U498" s="34"/>
      <c r="V498" s="34"/>
      <c r="W498" s="34"/>
    </row>
    <row r="499" spans="2:23" x14ac:dyDescent="0.3">
      <c r="B499" s="33"/>
      <c r="C499" s="34"/>
      <c r="D499" s="34"/>
      <c r="E499" s="34"/>
      <c r="F499" s="34"/>
      <c r="G499" s="34"/>
      <c r="H499" s="34"/>
      <c r="I499" s="34"/>
      <c r="J499" s="34"/>
      <c r="K499" s="35"/>
      <c r="L499" s="34"/>
      <c r="M499" s="32"/>
      <c r="N499" s="34"/>
      <c r="O499" s="34"/>
      <c r="P499" s="34"/>
      <c r="Q499" s="34"/>
      <c r="R499" s="34"/>
      <c r="S499" s="34"/>
      <c r="T499" s="34"/>
      <c r="U499" s="34"/>
      <c r="V499" s="34"/>
      <c r="W499" s="34"/>
    </row>
    <row r="500" spans="2:23" x14ac:dyDescent="0.3">
      <c r="B500" s="33"/>
      <c r="C500" s="34"/>
      <c r="D500" s="34"/>
      <c r="E500" s="34"/>
      <c r="F500" s="34"/>
      <c r="G500" s="34"/>
      <c r="H500" s="34"/>
      <c r="I500" s="34"/>
      <c r="J500" s="34"/>
      <c r="K500" s="35"/>
      <c r="L500" s="34"/>
      <c r="M500" s="32"/>
      <c r="N500" s="34"/>
      <c r="O500" s="34"/>
      <c r="P500" s="34"/>
      <c r="Q500" s="34"/>
      <c r="R500" s="34"/>
      <c r="S500" s="34"/>
      <c r="T500" s="34"/>
      <c r="U500" s="34"/>
      <c r="V500" s="34"/>
      <c r="W500" s="34"/>
    </row>
    <row r="501" spans="2:23" x14ac:dyDescent="0.3">
      <c r="B501" s="33"/>
      <c r="C501" s="34"/>
      <c r="D501" s="34"/>
      <c r="E501" s="34"/>
      <c r="F501" s="34"/>
      <c r="G501" s="34"/>
      <c r="H501" s="34"/>
      <c r="I501" s="34"/>
      <c r="J501" s="34"/>
      <c r="K501" s="35"/>
      <c r="L501" s="34"/>
      <c r="M501" s="32"/>
      <c r="N501" s="34"/>
      <c r="O501" s="34"/>
      <c r="P501" s="34"/>
      <c r="Q501" s="34"/>
      <c r="R501" s="34"/>
      <c r="S501" s="34"/>
      <c r="T501" s="34"/>
      <c r="U501" s="34"/>
      <c r="V501" s="34"/>
      <c r="W501" s="34"/>
    </row>
    <row r="502" spans="2:23" x14ac:dyDescent="0.3">
      <c r="B502" s="33"/>
      <c r="C502" s="34"/>
      <c r="D502" s="34"/>
      <c r="E502" s="34"/>
      <c r="F502" s="34"/>
      <c r="G502" s="34"/>
      <c r="H502" s="34"/>
      <c r="I502" s="34"/>
      <c r="J502" s="34"/>
      <c r="K502" s="35"/>
      <c r="L502" s="34"/>
      <c r="M502" s="32"/>
      <c r="N502" s="34"/>
      <c r="O502" s="34"/>
      <c r="P502" s="34"/>
      <c r="Q502" s="34"/>
      <c r="R502" s="34"/>
      <c r="S502" s="34"/>
      <c r="T502" s="34"/>
      <c r="U502" s="34"/>
      <c r="V502" s="34"/>
      <c r="W502" s="34"/>
    </row>
    <row r="503" spans="2:23" x14ac:dyDescent="0.3">
      <c r="B503" s="33"/>
      <c r="C503" s="34"/>
      <c r="D503" s="34"/>
      <c r="E503" s="34"/>
      <c r="F503" s="34"/>
      <c r="G503" s="34"/>
      <c r="H503" s="34"/>
      <c r="I503" s="34"/>
      <c r="J503" s="34"/>
      <c r="K503" s="35"/>
      <c r="L503" s="34"/>
      <c r="M503" s="32"/>
      <c r="N503" s="34"/>
      <c r="O503" s="34"/>
      <c r="P503" s="34"/>
      <c r="Q503" s="34"/>
      <c r="R503" s="34"/>
      <c r="S503" s="34"/>
      <c r="T503" s="34"/>
      <c r="U503" s="34"/>
      <c r="V503" s="34"/>
      <c r="W503" s="34"/>
    </row>
    <row r="504" spans="2:23" x14ac:dyDescent="0.3">
      <c r="B504" s="33"/>
      <c r="C504" s="34"/>
      <c r="D504" s="34"/>
      <c r="E504" s="34"/>
      <c r="F504" s="34"/>
      <c r="G504" s="34"/>
      <c r="H504" s="34"/>
      <c r="I504" s="34"/>
      <c r="J504" s="34"/>
      <c r="K504" s="35"/>
      <c r="L504" s="34"/>
      <c r="M504" s="32"/>
      <c r="N504" s="34"/>
      <c r="O504" s="34"/>
      <c r="P504" s="34"/>
      <c r="Q504" s="34"/>
      <c r="R504" s="34"/>
      <c r="S504" s="34"/>
      <c r="T504" s="34"/>
      <c r="U504" s="34"/>
      <c r="V504" s="34"/>
      <c r="W504" s="34"/>
    </row>
    <row r="505" spans="2:23" x14ac:dyDescent="0.3">
      <c r="B505" s="33"/>
      <c r="C505" s="34"/>
      <c r="D505" s="34"/>
      <c r="E505" s="34"/>
      <c r="F505" s="34"/>
      <c r="G505" s="34"/>
      <c r="H505" s="34"/>
      <c r="I505" s="34"/>
      <c r="J505" s="34"/>
      <c r="K505" s="35"/>
      <c r="L505" s="34"/>
      <c r="M505" s="32"/>
      <c r="N505" s="34"/>
      <c r="O505" s="34"/>
      <c r="P505" s="34"/>
      <c r="Q505" s="34"/>
      <c r="R505" s="34"/>
      <c r="S505" s="34"/>
      <c r="T505" s="34"/>
      <c r="U505" s="34"/>
      <c r="V505" s="34"/>
      <c r="W505" s="34"/>
    </row>
    <row r="506" spans="2:23" x14ac:dyDescent="0.3">
      <c r="B506" s="33"/>
      <c r="C506" s="34"/>
      <c r="D506" s="34"/>
      <c r="E506" s="34"/>
      <c r="F506" s="34"/>
      <c r="G506" s="34"/>
      <c r="H506" s="34"/>
      <c r="I506" s="34"/>
      <c r="J506" s="34"/>
      <c r="K506" s="35"/>
      <c r="L506" s="34"/>
      <c r="M506" s="32"/>
      <c r="N506" s="34"/>
      <c r="O506" s="34"/>
      <c r="P506" s="34"/>
      <c r="Q506" s="34"/>
      <c r="R506" s="34"/>
      <c r="S506" s="34"/>
      <c r="T506" s="34"/>
      <c r="U506" s="34"/>
      <c r="V506" s="34"/>
      <c r="W506" s="34"/>
    </row>
    <row r="507" spans="2:23" x14ac:dyDescent="0.3">
      <c r="B507" s="33"/>
      <c r="C507" s="34"/>
      <c r="D507" s="34"/>
      <c r="E507" s="34"/>
      <c r="F507" s="34"/>
      <c r="G507" s="34"/>
      <c r="H507" s="34"/>
      <c r="I507" s="34"/>
      <c r="J507" s="34"/>
      <c r="K507" s="35"/>
      <c r="L507" s="34"/>
      <c r="M507" s="32"/>
      <c r="N507" s="34"/>
      <c r="O507" s="34"/>
      <c r="P507" s="34"/>
      <c r="Q507" s="34"/>
      <c r="R507" s="34"/>
      <c r="S507" s="34"/>
      <c r="T507" s="34"/>
      <c r="U507" s="34"/>
      <c r="V507" s="34"/>
      <c r="W507" s="34"/>
    </row>
    <row r="508" spans="2:23" x14ac:dyDescent="0.3">
      <c r="B508" s="33"/>
      <c r="C508" s="34"/>
      <c r="D508" s="34"/>
      <c r="E508" s="34"/>
      <c r="F508" s="34"/>
      <c r="G508" s="34"/>
      <c r="H508" s="34"/>
      <c r="I508" s="34"/>
      <c r="J508" s="34"/>
      <c r="K508" s="35"/>
      <c r="L508" s="34"/>
      <c r="M508" s="32"/>
      <c r="N508" s="34"/>
      <c r="O508" s="34"/>
      <c r="P508" s="34"/>
      <c r="Q508" s="34"/>
      <c r="R508" s="34"/>
      <c r="S508" s="34"/>
      <c r="T508" s="34"/>
      <c r="U508" s="34"/>
      <c r="V508" s="34"/>
      <c r="W508" s="34"/>
    </row>
    <row r="509" spans="2:23" x14ac:dyDescent="0.3">
      <c r="B509" s="33"/>
      <c r="C509" s="34"/>
      <c r="D509" s="34"/>
      <c r="E509" s="34"/>
      <c r="F509" s="34"/>
      <c r="G509" s="34"/>
      <c r="H509" s="34"/>
      <c r="I509" s="34"/>
      <c r="J509" s="34"/>
      <c r="K509" s="35"/>
      <c r="L509" s="34"/>
      <c r="M509" s="32"/>
      <c r="N509" s="34"/>
      <c r="O509" s="34"/>
      <c r="P509" s="34"/>
      <c r="Q509" s="34"/>
      <c r="R509" s="34"/>
      <c r="S509" s="34"/>
      <c r="T509" s="34"/>
      <c r="U509" s="34"/>
      <c r="V509" s="34"/>
      <c r="W509" s="34"/>
    </row>
    <row r="510" spans="2:23" x14ac:dyDescent="0.3">
      <c r="B510" s="33"/>
      <c r="C510" s="34"/>
      <c r="D510" s="34"/>
      <c r="E510" s="34"/>
      <c r="F510" s="34"/>
      <c r="G510" s="34"/>
      <c r="H510" s="34"/>
      <c r="I510" s="34"/>
      <c r="J510" s="34"/>
      <c r="K510" s="35"/>
      <c r="L510" s="34"/>
      <c r="M510" s="32"/>
      <c r="N510" s="34"/>
      <c r="O510" s="34"/>
      <c r="P510" s="34"/>
      <c r="Q510" s="34"/>
      <c r="R510" s="34"/>
      <c r="S510" s="34"/>
      <c r="T510" s="34"/>
      <c r="U510" s="34"/>
      <c r="V510" s="34"/>
      <c r="W510" s="34"/>
    </row>
    <row r="511" spans="2:23" x14ac:dyDescent="0.3">
      <c r="B511" s="33"/>
      <c r="C511" s="34"/>
      <c r="D511" s="34"/>
      <c r="E511" s="34"/>
      <c r="F511" s="34"/>
      <c r="G511" s="34"/>
      <c r="H511" s="34"/>
      <c r="I511" s="34"/>
      <c r="J511" s="34"/>
      <c r="K511" s="35"/>
      <c r="L511" s="34"/>
      <c r="M511" s="32"/>
      <c r="N511" s="34"/>
      <c r="O511" s="34"/>
      <c r="P511" s="34"/>
      <c r="Q511" s="34"/>
      <c r="R511" s="34"/>
      <c r="S511" s="34"/>
      <c r="T511" s="34"/>
      <c r="U511" s="34"/>
      <c r="V511" s="34"/>
      <c r="W511" s="34"/>
    </row>
    <row r="512" spans="2:23" x14ac:dyDescent="0.3">
      <c r="B512" s="33"/>
      <c r="C512" s="34"/>
      <c r="D512" s="34"/>
      <c r="E512" s="34"/>
      <c r="F512" s="34"/>
      <c r="G512" s="34"/>
      <c r="H512" s="34"/>
      <c r="I512" s="34"/>
      <c r="J512" s="34"/>
      <c r="K512" s="35"/>
      <c r="L512" s="34"/>
      <c r="M512" s="32"/>
      <c r="N512" s="34"/>
      <c r="O512" s="34"/>
      <c r="P512" s="34"/>
      <c r="Q512" s="34"/>
      <c r="R512" s="34"/>
      <c r="S512" s="34"/>
      <c r="T512" s="34"/>
      <c r="U512" s="34"/>
      <c r="V512" s="34"/>
      <c r="W512" s="34"/>
    </row>
    <row r="513" spans="2:23" x14ac:dyDescent="0.3">
      <c r="B513" s="33"/>
      <c r="C513" s="34"/>
      <c r="D513" s="34"/>
      <c r="E513" s="34"/>
      <c r="F513" s="34"/>
      <c r="G513" s="34"/>
      <c r="H513" s="34"/>
      <c r="I513" s="34"/>
      <c r="J513" s="34"/>
      <c r="K513" s="35"/>
      <c r="L513" s="34"/>
      <c r="M513" s="32"/>
      <c r="N513" s="34"/>
      <c r="O513" s="34"/>
      <c r="P513" s="34"/>
      <c r="Q513" s="34"/>
      <c r="R513" s="34"/>
      <c r="S513" s="34"/>
      <c r="T513" s="34"/>
      <c r="U513" s="34"/>
      <c r="V513" s="34"/>
      <c r="W513" s="34"/>
    </row>
    <row r="514" spans="2:23" x14ac:dyDescent="0.3">
      <c r="B514" s="33"/>
      <c r="C514" s="34"/>
      <c r="D514" s="34"/>
      <c r="E514" s="34"/>
      <c r="F514" s="34"/>
      <c r="G514" s="34"/>
      <c r="H514" s="34"/>
      <c r="I514" s="34"/>
      <c r="J514" s="34"/>
      <c r="K514" s="35"/>
      <c r="L514" s="34"/>
      <c r="M514" s="34"/>
      <c r="N514" s="34"/>
      <c r="O514" s="34"/>
      <c r="P514" s="34"/>
      <c r="Q514" s="34"/>
      <c r="R514" s="34"/>
      <c r="S514" s="34"/>
      <c r="T514" s="34"/>
      <c r="U514" s="34"/>
      <c r="V514" s="34"/>
      <c r="W514" s="34"/>
    </row>
    <row r="515" spans="2:23" x14ac:dyDescent="0.3">
      <c r="B515" s="33"/>
      <c r="C515" s="34"/>
      <c r="D515" s="34"/>
      <c r="E515" s="34"/>
      <c r="F515" s="34"/>
      <c r="G515" s="34"/>
      <c r="H515" s="34"/>
      <c r="I515" s="34"/>
      <c r="J515" s="34"/>
      <c r="K515" s="35"/>
      <c r="L515" s="34"/>
      <c r="M515" s="34"/>
      <c r="N515" s="34"/>
      <c r="O515" s="34"/>
      <c r="P515" s="34"/>
      <c r="Q515" s="34"/>
      <c r="R515" s="34"/>
      <c r="S515" s="34"/>
      <c r="T515" s="34"/>
      <c r="U515" s="34"/>
      <c r="V515" s="34"/>
      <c r="W515" s="34"/>
    </row>
    <row r="516" spans="2:23" x14ac:dyDescent="0.3">
      <c r="B516" s="33"/>
      <c r="C516" s="34"/>
      <c r="D516" s="34"/>
      <c r="E516" s="34"/>
      <c r="F516" s="34"/>
      <c r="G516" s="34"/>
      <c r="H516" s="34"/>
      <c r="I516" s="34"/>
      <c r="J516" s="34"/>
      <c r="K516" s="35"/>
      <c r="L516" s="34"/>
      <c r="M516" s="34"/>
      <c r="N516" s="34"/>
      <c r="O516" s="34"/>
      <c r="P516" s="34"/>
      <c r="Q516" s="34"/>
      <c r="R516" s="34"/>
      <c r="S516" s="34"/>
      <c r="T516" s="34"/>
      <c r="U516" s="34"/>
      <c r="V516" s="34"/>
      <c r="W516" s="34"/>
    </row>
    <row r="517" spans="2:23" x14ac:dyDescent="0.3">
      <c r="B517" s="33"/>
      <c r="C517" s="34"/>
      <c r="D517" s="34"/>
      <c r="E517" s="34"/>
      <c r="F517" s="34"/>
      <c r="G517" s="34"/>
      <c r="H517" s="34"/>
      <c r="I517" s="34"/>
      <c r="J517" s="34"/>
      <c r="K517" s="35"/>
      <c r="L517" s="34"/>
      <c r="M517" s="34"/>
      <c r="N517" s="34"/>
      <c r="O517" s="34"/>
      <c r="P517" s="34"/>
      <c r="Q517" s="34"/>
      <c r="R517" s="34"/>
      <c r="S517" s="34"/>
      <c r="T517" s="34"/>
      <c r="U517" s="34"/>
      <c r="V517" s="34"/>
      <c r="W517" s="34"/>
    </row>
    <row r="518" spans="2:23" x14ac:dyDescent="0.3">
      <c r="B518" s="33"/>
      <c r="C518" s="34"/>
      <c r="D518" s="34"/>
      <c r="E518" s="34"/>
      <c r="F518" s="34"/>
      <c r="G518" s="34"/>
      <c r="H518" s="34"/>
      <c r="I518" s="34"/>
      <c r="J518" s="34"/>
      <c r="K518" s="35"/>
      <c r="L518" s="34"/>
      <c r="M518" s="34"/>
      <c r="N518" s="34"/>
      <c r="O518" s="34"/>
      <c r="P518" s="34"/>
      <c r="Q518" s="34"/>
      <c r="R518" s="34"/>
      <c r="S518" s="34"/>
      <c r="T518" s="34"/>
      <c r="U518" s="34"/>
      <c r="V518" s="34"/>
      <c r="W518" s="34"/>
    </row>
    <row r="519" spans="2:23" x14ac:dyDescent="0.3">
      <c r="B519" s="33"/>
      <c r="C519" s="34"/>
      <c r="D519" s="34"/>
      <c r="E519" s="34"/>
      <c r="F519" s="34"/>
      <c r="G519" s="34"/>
      <c r="H519" s="34"/>
      <c r="I519" s="34"/>
      <c r="J519" s="34"/>
      <c r="K519" s="35"/>
      <c r="L519" s="34"/>
      <c r="M519" s="34"/>
      <c r="N519" s="34"/>
      <c r="O519" s="34"/>
      <c r="P519" s="34"/>
      <c r="Q519" s="34"/>
      <c r="R519" s="34"/>
      <c r="S519" s="34"/>
      <c r="T519" s="34"/>
      <c r="U519" s="34"/>
      <c r="V519" s="34"/>
      <c r="W519" s="34"/>
    </row>
    <row r="520" spans="2:23" x14ac:dyDescent="0.3">
      <c r="B520" s="33"/>
      <c r="C520" s="34"/>
      <c r="D520" s="34"/>
      <c r="E520" s="34"/>
      <c r="F520" s="34"/>
      <c r="G520" s="34"/>
      <c r="H520" s="34"/>
      <c r="I520" s="34"/>
      <c r="J520" s="34"/>
      <c r="K520" s="35"/>
      <c r="L520" s="34"/>
      <c r="M520" s="34"/>
      <c r="N520" s="34"/>
      <c r="O520" s="34"/>
      <c r="P520" s="34"/>
      <c r="Q520" s="34"/>
      <c r="R520" s="34"/>
      <c r="S520" s="34"/>
      <c r="T520" s="34"/>
      <c r="U520" s="34"/>
      <c r="V520" s="34"/>
      <c r="W520" s="34"/>
    </row>
    <row r="521" spans="2:23" x14ac:dyDescent="0.3">
      <c r="B521" s="33"/>
      <c r="C521" s="34"/>
      <c r="D521" s="34"/>
      <c r="E521" s="34"/>
      <c r="F521" s="34"/>
      <c r="G521" s="34"/>
      <c r="H521" s="34"/>
      <c r="I521" s="34"/>
      <c r="J521" s="34"/>
      <c r="K521" s="35"/>
      <c r="L521" s="34"/>
      <c r="M521" s="34"/>
      <c r="N521" s="34"/>
      <c r="O521" s="34"/>
      <c r="P521" s="34"/>
      <c r="Q521" s="34"/>
      <c r="R521" s="34"/>
      <c r="S521" s="34"/>
      <c r="T521" s="34"/>
      <c r="U521" s="34"/>
      <c r="V521" s="34"/>
      <c r="W521" s="34"/>
    </row>
    <row r="522" spans="2:23" x14ac:dyDescent="0.3">
      <c r="B522" s="33"/>
      <c r="C522" s="34"/>
      <c r="D522" s="34"/>
      <c r="E522" s="34"/>
      <c r="F522" s="34"/>
      <c r="G522" s="34"/>
      <c r="H522" s="34"/>
      <c r="I522" s="34"/>
      <c r="J522" s="34"/>
      <c r="K522" s="35"/>
      <c r="L522" s="34"/>
      <c r="M522" s="34"/>
      <c r="N522" s="34"/>
      <c r="O522" s="34"/>
      <c r="P522" s="34"/>
      <c r="Q522" s="34"/>
      <c r="R522" s="34"/>
      <c r="S522" s="34"/>
      <c r="T522" s="34"/>
      <c r="U522" s="34"/>
      <c r="V522" s="34"/>
      <c r="W522" s="34"/>
    </row>
    <row r="523" spans="2:23" x14ac:dyDescent="0.3">
      <c r="B523" s="33"/>
      <c r="C523" s="34"/>
      <c r="D523" s="34"/>
      <c r="E523" s="34"/>
      <c r="F523" s="34"/>
      <c r="G523" s="34"/>
      <c r="H523" s="34"/>
      <c r="I523" s="34"/>
      <c r="J523" s="34"/>
      <c r="K523" s="35"/>
      <c r="L523" s="34"/>
      <c r="M523" s="34"/>
      <c r="N523" s="34"/>
      <c r="O523" s="34"/>
      <c r="P523" s="34"/>
      <c r="Q523" s="34"/>
      <c r="R523" s="34"/>
      <c r="S523" s="34"/>
      <c r="T523" s="34"/>
      <c r="U523" s="34"/>
      <c r="V523" s="34"/>
      <c r="W523" s="34"/>
    </row>
    <row r="524" spans="2:23" x14ac:dyDescent="0.3">
      <c r="B524" s="33"/>
      <c r="C524" s="34"/>
      <c r="D524" s="34"/>
      <c r="E524" s="34"/>
      <c r="F524" s="34"/>
      <c r="G524" s="34"/>
      <c r="H524" s="34"/>
      <c r="I524" s="34"/>
      <c r="J524" s="34"/>
      <c r="K524" s="35"/>
      <c r="L524" s="34"/>
      <c r="M524" s="34"/>
      <c r="N524" s="34"/>
      <c r="O524" s="34"/>
      <c r="P524" s="34"/>
      <c r="Q524" s="34"/>
      <c r="R524" s="34"/>
      <c r="S524" s="34"/>
      <c r="T524" s="34"/>
      <c r="U524" s="34"/>
      <c r="V524" s="34"/>
      <c r="W524" s="34"/>
    </row>
    <row r="525" spans="2:23" x14ac:dyDescent="0.3">
      <c r="B525" s="33"/>
      <c r="C525" s="34"/>
      <c r="D525" s="34"/>
      <c r="E525" s="34"/>
      <c r="F525" s="34"/>
      <c r="G525" s="34"/>
      <c r="H525" s="34"/>
      <c r="I525" s="34"/>
      <c r="J525" s="34"/>
      <c r="K525" s="35"/>
      <c r="L525" s="34"/>
      <c r="M525" s="34"/>
      <c r="N525" s="34"/>
      <c r="O525" s="34"/>
      <c r="P525" s="34"/>
      <c r="Q525" s="34"/>
      <c r="R525" s="34"/>
      <c r="S525" s="34"/>
      <c r="T525" s="34"/>
      <c r="U525" s="34"/>
      <c r="V525" s="34"/>
      <c r="W525" s="34"/>
    </row>
    <row r="526" spans="2:23" x14ac:dyDescent="0.3">
      <c r="B526" s="33"/>
      <c r="C526" s="34"/>
      <c r="D526" s="34"/>
      <c r="E526" s="34"/>
      <c r="F526" s="34"/>
      <c r="G526" s="34"/>
      <c r="H526" s="34"/>
      <c r="I526" s="34"/>
      <c r="J526" s="34"/>
      <c r="K526" s="35"/>
      <c r="L526" s="34"/>
      <c r="M526" s="34"/>
      <c r="N526" s="34"/>
      <c r="O526" s="34"/>
      <c r="P526" s="34"/>
      <c r="Q526" s="34"/>
      <c r="R526" s="34"/>
      <c r="S526" s="34"/>
      <c r="T526" s="34"/>
      <c r="U526" s="34"/>
      <c r="V526" s="34"/>
      <c r="W526" s="34"/>
    </row>
    <row r="527" spans="2:23" x14ac:dyDescent="0.3">
      <c r="B527" s="33"/>
      <c r="C527" s="34"/>
      <c r="D527" s="34"/>
      <c r="E527" s="34"/>
      <c r="F527" s="34"/>
      <c r="G527" s="34"/>
      <c r="H527" s="34"/>
      <c r="I527" s="34"/>
      <c r="J527" s="34"/>
      <c r="K527" s="35"/>
      <c r="L527" s="34"/>
      <c r="M527" s="34"/>
      <c r="N527" s="34"/>
      <c r="O527" s="34"/>
      <c r="P527" s="34"/>
      <c r="Q527" s="34"/>
      <c r="R527" s="34"/>
      <c r="S527" s="34"/>
      <c r="T527" s="34"/>
      <c r="U527" s="34"/>
      <c r="V527" s="34"/>
      <c r="W527" s="34"/>
    </row>
    <row r="528" spans="2:23" x14ac:dyDescent="0.3">
      <c r="B528" s="33"/>
      <c r="C528" s="34"/>
      <c r="D528" s="34"/>
      <c r="E528" s="34"/>
      <c r="F528" s="34"/>
      <c r="G528" s="34"/>
      <c r="H528" s="34"/>
      <c r="I528" s="34"/>
      <c r="J528" s="34"/>
      <c r="K528" s="35"/>
      <c r="L528" s="34"/>
      <c r="M528" s="34"/>
      <c r="N528" s="34"/>
      <c r="O528" s="34"/>
      <c r="P528" s="34"/>
      <c r="Q528" s="34"/>
      <c r="R528" s="34"/>
      <c r="S528" s="34"/>
      <c r="T528" s="34"/>
      <c r="U528" s="34"/>
      <c r="V528" s="34"/>
      <c r="W528" s="34"/>
    </row>
    <row r="529" spans="2:23" x14ac:dyDescent="0.3">
      <c r="B529" s="33"/>
      <c r="C529" s="34"/>
      <c r="D529" s="34"/>
      <c r="E529" s="34"/>
      <c r="F529" s="34"/>
      <c r="G529" s="34"/>
      <c r="H529" s="34"/>
      <c r="I529" s="34"/>
      <c r="J529" s="34"/>
      <c r="K529" s="35"/>
      <c r="L529" s="34"/>
      <c r="M529" s="34"/>
      <c r="N529" s="34"/>
      <c r="O529" s="34"/>
      <c r="P529" s="34"/>
      <c r="Q529" s="34"/>
      <c r="R529" s="34"/>
      <c r="S529" s="34"/>
      <c r="T529" s="34"/>
      <c r="U529" s="34"/>
      <c r="V529" s="34"/>
      <c r="W529" s="34"/>
    </row>
    <row r="530" spans="2:23" x14ac:dyDescent="0.3">
      <c r="B530" s="33"/>
      <c r="C530" s="34"/>
      <c r="D530" s="34"/>
      <c r="E530" s="34"/>
      <c r="F530" s="34"/>
      <c r="G530" s="34"/>
      <c r="H530" s="34"/>
      <c r="I530" s="34"/>
      <c r="J530" s="34"/>
      <c r="K530" s="35"/>
      <c r="L530" s="34"/>
      <c r="M530" s="34"/>
      <c r="N530" s="34"/>
      <c r="O530" s="34"/>
      <c r="P530" s="34"/>
      <c r="Q530" s="34"/>
      <c r="R530" s="34"/>
      <c r="S530" s="34"/>
      <c r="T530" s="34"/>
      <c r="U530" s="34"/>
      <c r="V530" s="34"/>
      <c r="W530" s="34"/>
    </row>
    <row r="531" spans="2:23" x14ac:dyDescent="0.3">
      <c r="B531" s="33"/>
      <c r="C531" s="34"/>
      <c r="D531" s="34"/>
      <c r="E531" s="34"/>
      <c r="F531" s="34"/>
      <c r="G531" s="34"/>
      <c r="H531" s="34"/>
      <c r="I531" s="34"/>
      <c r="J531" s="34"/>
      <c r="K531" s="35"/>
      <c r="L531" s="34"/>
      <c r="M531" s="34"/>
      <c r="N531" s="34"/>
      <c r="O531" s="34"/>
      <c r="P531" s="34"/>
      <c r="Q531" s="34"/>
      <c r="R531" s="34"/>
      <c r="S531" s="34"/>
      <c r="T531" s="34"/>
      <c r="U531" s="34"/>
      <c r="V531" s="34"/>
      <c r="W531" s="34"/>
    </row>
    <row r="532" spans="2:23" x14ac:dyDescent="0.3">
      <c r="B532" s="33"/>
      <c r="C532" s="34"/>
      <c r="D532" s="34"/>
      <c r="E532" s="34"/>
      <c r="F532" s="34"/>
      <c r="G532" s="34"/>
      <c r="H532" s="34"/>
      <c r="I532" s="34"/>
      <c r="J532" s="34"/>
      <c r="K532" s="35"/>
      <c r="L532" s="34"/>
      <c r="M532" s="34"/>
      <c r="N532" s="34"/>
      <c r="O532" s="34"/>
      <c r="P532" s="34"/>
      <c r="Q532" s="34"/>
      <c r="R532" s="34"/>
      <c r="S532" s="34"/>
      <c r="T532" s="34"/>
      <c r="U532" s="34"/>
      <c r="V532" s="34"/>
      <c r="W532" s="34"/>
    </row>
    <row r="533" spans="2:23" x14ac:dyDescent="0.3">
      <c r="B533" s="33"/>
      <c r="C533" s="34"/>
      <c r="D533" s="34"/>
      <c r="E533" s="34"/>
      <c r="F533" s="34"/>
      <c r="G533" s="34"/>
      <c r="H533" s="34"/>
      <c r="I533" s="34"/>
      <c r="J533" s="34"/>
      <c r="K533" s="35"/>
      <c r="L533" s="34"/>
      <c r="M533" s="34"/>
      <c r="N533" s="34"/>
      <c r="O533" s="34"/>
      <c r="P533" s="34"/>
      <c r="Q533" s="34"/>
      <c r="R533" s="34"/>
      <c r="S533" s="34"/>
      <c r="T533" s="34"/>
      <c r="U533" s="34"/>
      <c r="V533" s="34"/>
      <c r="W533" s="34"/>
    </row>
    <row r="534" spans="2:23" x14ac:dyDescent="0.3">
      <c r="B534" s="33"/>
      <c r="C534" s="34"/>
      <c r="D534" s="34"/>
      <c r="E534" s="34"/>
      <c r="F534" s="34"/>
      <c r="G534" s="34"/>
      <c r="H534" s="34"/>
      <c r="I534" s="34"/>
      <c r="J534" s="34"/>
      <c r="K534" s="35"/>
      <c r="L534" s="34"/>
      <c r="M534" s="34"/>
      <c r="N534" s="34"/>
      <c r="O534" s="34"/>
      <c r="P534" s="34"/>
      <c r="Q534" s="34"/>
      <c r="R534" s="34"/>
      <c r="S534" s="34"/>
      <c r="T534" s="34"/>
      <c r="U534" s="34"/>
      <c r="V534" s="34"/>
      <c r="W534" s="34"/>
    </row>
    <row r="535" spans="2:23" x14ac:dyDescent="0.3">
      <c r="B535" s="33"/>
      <c r="C535" s="34"/>
      <c r="D535" s="34"/>
      <c r="E535" s="34"/>
      <c r="F535" s="34"/>
      <c r="G535" s="34"/>
      <c r="H535" s="34"/>
      <c r="I535" s="34"/>
      <c r="J535" s="34"/>
      <c r="K535" s="35"/>
      <c r="L535" s="34"/>
      <c r="M535" s="34"/>
      <c r="N535" s="34"/>
      <c r="O535" s="34"/>
      <c r="P535" s="34"/>
      <c r="Q535" s="34"/>
      <c r="R535" s="34"/>
      <c r="S535" s="34"/>
      <c r="T535" s="34"/>
      <c r="U535" s="34"/>
      <c r="V535" s="34"/>
      <c r="W535" s="34"/>
    </row>
    <row r="536" spans="2:23" x14ac:dyDescent="0.3">
      <c r="B536" s="33"/>
      <c r="C536" s="34"/>
      <c r="D536" s="34"/>
      <c r="E536" s="34"/>
      <c r="F536" s="34"/>
      <c r="G536" s="34"/>
      <c r="H536" s="34"/>
      <c r="I536" s="34"/>
      <c r="J536" s="34"/>
      <c r="K536" s="35"/>
      <c r="L536" s="34"/>
      <c r="M536" s="34"/>
      <c r="N536" s="34"/>
      <c r="O536" s="34"/>
      <c r="P536" s="34"/>
      <c r="Q536" s="34"/>
      <c r="R536" s="34"/>
      <c r="S536" s="34"/>
      <c r="T536" s="34"/>
      <c r="U536" s="34"/>
      <c r="V536" s="34"/>
      <c r="W536" s="34"/>
    </row>
    <row r="537" spans="2:23" x14ac:dyDescent="0.3">
      <c r="B537" s="33"/>
      <c r="C537" s="34"/>
      <c r="D537" s="34"/>
      <c r="E537" s="34"/>
      <c r="F537" s="34"/>
      <c r="G537" s="34"/>
      <c r="H537" s="34"/>
      <c r="I537" s="34"/>
      <c r="J537" s="34"/>
      <c r="K537" s="35"/>
      <c r="L537" s="34"/>
      <c r="M537" s="34"/>
      <c r="N537" s="34"/>
      <c r="O537" s="34"/>
      <c r="P537" s="34"/>
      <c r="Q537" s="34"/>
      <c r="R537" s="34"/>
      <c r="S537" s="34"/>
      <c r="T537" s="34"/>
      <c r="U537" s="34"/>
      <c r="V537" s="34"/>
      <c r="W537" s="34"/>
    </row>
    <row r="538" spans="2:23" x14ac:dyDescent="0.3">
      <c r="B538" s="33"/>
      <c r="C538" s="34"/>
      <c r="D538" s="34"/>
      <c r="E538" s="34"/>
      <c r="F538" s="34"/>
      <c r="G538" s="34"/>
      <c r="H538" s="34"/>
      <c r="I538" s="34"/>
      <c r="J538" s="34"/>
      <c r="K538" s="35"/>
      <c r="L538" s="34"/>
      <c r="M538" s="34"/>
      <c r="N538" s="34"/>
      <c r="O538" s="34"/>
      <c r="P538" s="34"/>
      <c r="Q538" s="34"/>
      <c r="R538" s="34"/>
      <c r="S538" s="34"/>
      <c r="T538" s="34"/>
      <c r="U538" s="34"/>
      <c r="V538" s="34"/>
      <c r="W538" s="34"/>
    </row>
    <row r="539" spans="2:23" x14ac:dyDescent="0.3">
      <c r="B539" s="33"/>
      <c r="C539" s="34"/>
      <c r="D539" s="34"/>
      <c r="E539" s="34"/>
      <c r="F539" s="34"/>
      <c r="G539" s="34"/>
      <c r="H539" s="34"/>
      <c r="I539" s="34"/>
      <c r="J539" s="34"/>
      <c r="K539" s="35"/>
      <c r="L539" s="34"/>
      <c r="M539" s="34"/>
      <c r="N539" s="34"/>
      <c r="O539" s="34"/>
      <c r="P539" s="34"/>
      <c r="Q539" s="34"/>
      <c r="R539" s="34"/>
      <c r="S539" s="34"/>
      <c r="T539" s="34"/>
      <c r="U539" s="34"/>
      <c r="V539" s="34"/>
      <c r="W539" s="34"/>
    </row>
    <row r="540" spans="2:23" x14ac:dyDescent="0.3">
      <c r="B540" s="33"/>
      <c r="C540" s="34"/>
      <c r="D540" s="34"/>
      <c r="E540" s="34"/>
      <c r="F540" s="34"/>
      <c r="G540" s="34"/>
      <c r="H540" s="34"/>
      <c r="I540" s="34"/>
      <c r="J540" s="34"/>
      <c r="K540" s="35"/>
      <c r="L540" s="34"/>
      <c r="M540" s="34"/>
      <c r="N540" s="34"/>
      <c r="O540" s="34"/>
      <c r="P540" s="34"/>
      <c r="Q540" s="34"/>
      <c r="R540" s="34"/>
      <c r="S540" s="34"/>
      <c r="T540" s="34"/>
      <c r="U540" s="34"/>
      <c r="V540" s="34"/>
      <c r="W540" s="34"/>
    </row>
    <row r="541" spans="2:23" x14ac:dyDescent="0.3">
      <c r="B541" s="33"/>
      <c r="C541" s="34"/>
      <c r="D541" s="34"/>
      <c r="E541" s="34"/>
      <c r="F541" s="34"/>
      <c r="G541" s="34"/>
      <c r="H541" s="34"/>
      <c r="I541" s="34"/>
      <c r="J541" s="34"/>
      <c r="K541" s="35"/>
      <c r="L541" s="34"/>
      <c r="M541" s="34"/>
      <c r="N541" s="34"/>
      <c r="O541" s="34"/>
      <c r="P541" s="34"/>
      <c r="Q541" s="34"/>
      <c r="R541" s="34"/>
      <c r="S541" s="34"/>
      <c r="T541" s="34"/>
      <c r="U541" s="34"/>
      <c r="V541" s="34"/>
      <c r="W541" s="34"/>
    </row>
    <row r="542" spans="2:23" x14ac:dyDescent="0.3">
      <c r="B542" s="33"/>
      <c r="C542" s="34"/>
      <c r="D542" s="34"/>
      <c r="E542" s="34"/>
      <c r="F542" s="34"/>
      <c r="G542" s="34"/>
      <c r="H542" s="34"/>
      <c r="I542" s="34"/>
      <c r="J542" s="34"/>
      <c r="K542" s="35"/>
      <c r="L542" s="34"/>
      <c r="M542" s="34"/>
      <c r="N542" s="34"/>
      <c r="O542" s="34"/>
      <c r="P542" s="34"/>
      <c r="Q542" s="34"/>
      <c r="R542" s="34"/>
      <c r="S542" s="34"/>
      <c r="T542" s="34"/>
      <c r="U542" s="34"/>
      <c r="V542" s="34"/>
      <c r="W542" s="34"/>
    </row>
    <row r="543" spans="2:23" x14ac:dyDescent="0.3">
      <c r="B543" s="33"/>
      <c r="C543" s="34"/>
      <c r="D543" s="34"/>
      <c r="E543" s="34"/>
      <c r="F543" s="34"/>
      <c r="G543" s="34"/>
      <c r="H543" s="34"/>
      <c r="I543" s="34"/>
      <c r="J543" s="34"/>
      <c r="K543" s="35"/>
      <c r="L543" s="34"/>
      <c r="M543" s="34"/>
      <c r="N543" s="34"/>
      <c r="O543" s="34"/>
      <c r="P543" s="34"/>
      <c r="Q543" s="34"/>
      <c r="R543" s="34"/>
      <c r="S543" s="34"/>
      <c r="T543" s="34"/>
      <c r="U543" s="34"/>
      <c r="V543" s="34"/>
      <c r="W543" s="34"/>
    </row>
    <row r="544" spans="2:23" x14ac:dyDescent="0.3">
      <c r="B544" s="33"/>
      <c r="C544" s="34"/>
      <c r="D544" s="34"/>
      <c r="E544" s="34"/>
      <c r="F544" s="34"/>
      <c r="G544" s="34"/>
      <c r="H544" s="34"/>
      <c r="I544" s="34"/>
      <c r="J544" s="34"/>
      <c r="K544" s="35"/>
      <c r="L544" s="34"/>
      <c r="M544" s="34"/>
      <c r="N544" s="34"/>
      <c r="O544" s="34"/>
      <c r="P544" s="34"/>
      <c r="Q544" s="34"/>
      <c r="R544" s="34"/>
      <c r="S544" s="34"/>
      <c r="T544" s="34"/>
      <c r="U544" s="34"/>
      <c r="V544" s="34"/>
      <c r="W544" s="34"/>
    </row>
    <row r="545" spans="2:23" x14ac:dyDescent="0.3">
      <c r="B545" s="33"/>
      <c r="C545" s="34"/>
      <c r="D545" s="34"/>
      <c r="E545" s="34"/>
      <c r="F545" s="34"/>
      <c r="G545" s="34"/>
      <c r="H545" s="34"/>
      <c r="I545" s="34"/>
      <c r="J545" s="34"/>
      <c r="K545" s="35"/>
      <c r="L545" s="34"/>
      <c r="M545" s="34"/>
      <c r="N545" s="34"/>
      <c r="O545" s="34"/>
      <c r="P545" s="34"/>
      <c r="Q545" s="34"/>
      <c r="R545" s="34"/>
      <c r="S545" s="34"/>
      <c r="T545" s="34"/>
      <c r="U545" s="34"/>
      <c r="V545" s="34"/>
      <c r="W545" s="34"/>
    </row>
    <row r="546" spans="2:23" x14ac:dyDescent="0.3">
      <c r="B546" s="33"/>
      <c r="C546" s="34"/>
      <c r="D546" s="34"/>
      <c r="E546" s="34"/>
      <c r="F546" s="34"/>
      <c r="G546" s="34"/>
      <c r="H546" s="34"/>
      <c r="I546" s="34"/>
      <c r="J546" s="34"/>
      <c r="K546" s="35"/>
      <c r="L546" s="34"/>
      <c r="M546" s="34"/>
      <c r="N546" s="34"/>
      <c r="O546" s="34"/>
      <c r="P546" s="34"/>
      <c r="Q546" s="34"/>
      <c r="R546" s="34"/>
      <c r="S546" s="34"/>
      <c r="T546" s="34"/>
      <c r="U546" s="34"/>
      <c r="V546" s="34"/>
      <c r="W546" s="34"/>
    </row>
    <row r="547" spans="2:23" x14ac:dyDescent="0.3">
      <c r="B547" s="33"/>
      <c r="C547" s="34"/>
      <c r="D547" s="34"/>
      <c r="E547" s="34"/>
      <c r="F547" s="34"/>
      <c r="G547" s="34"/>
      <c r="H547" s="34"/>
      <c r="I547" s="34"/>
      <c r="J547" s="34"/>
      <c r="K547" s="35"/>
      <c r="L547" s="34"/>
      <c r="M547" s="34"/>
      <c r="N547" s="34"/>
      <c r="O547" s="34"/>
      <c r="P547" s="34"/>
      <c r="Q547" s="34"/>
      <c r="R547" s="34"/>
      <c r="S547" s="34"/>
      <c r="T547" s="34"/>
      <c r="U547" s="34"/>
      <c r="V547" s="34"/>
      <c r="W547" s="34"/>
    </row>
    <row r="548" spans="2:23" x14ac:dyDescent="0.3">
      <c r="B548" s="33"/>
      <c r="C548" s="34"/>
      <c r="D548" s="34"/>
      <c r="E548" s="34"/>
      <c r="F548" s="34"/>
      <c r="G548" s="34"/>
      <c r="H548" s="34"/>
      <c r="I548" s="34"/>
      <c r="J548" s="34"/>
      <c r="K548" s="35"/>
      <c r="L548" s="34"/>
      <c r="M548" s="34"/>
      <c r="N548" s="34"/>
      <c r="O548" s="34"/>
      <c r="P548" s="34"/>
      <c r="Q548" s="34"/>
      <c r="R548" s="34"/>
      <c r="S548" s="34"/>
      <c r="T548" s="34"/>
      <c r="U548" s="34"/>
      <c r="V548" s="34"/>
      <c r="W548" s="34"/>
    </row>
    <row r="549" spans="2:23" x14ac:dyDescent="0.3">
      <c r="B549" s="33"/>
      <c r="C549" s="34"/>
      <c r="D549" s="34"/>
      <c r="E549" s="34"/>
      <c r="F549" s="34"/>
      <c r="G549" s="34"/>
      <c r="H549" s="34"/>
      <c r="I549" s="34"/>
      <c r="J549" s="34"/>
      <c r="K549" s="35"/>
      <c r="L549" s="34"/>
      <c r="M549" s="34"/>
      <c r="N549" s="34"/>
      <c r="O549" s="34"/>
      <c r="P549" s="34"/>
      <c r="Q549" s="34"/>
      <c r="R549" s="34"/>
      <c r="S549" s="34"/>
      <c r="T549" s="34"/>
      <c r="U549" s="34"/>
      <c r="V549" s="34"/>
      <c r="W549" s="34"/>
    </row>
    <row r="550" spans="2:23" x14ac:dyDescent="0.3">
      <c r="B550" s="33"/>
      <c r="C550" s="34"/>
      <c r="D550" s="34"/>
      <c r="E550" s="34"/>
      <c r="F550" s="34"/>
      <c r="G550" s="34"/>
      <c r="H550" s="34"/>
      <c r="I550" s="34"/>
      <c r="J550" s="34"/>
      <c r="K550" s="35"/>
      <c r="L550" s="34"/>
      <c r="M550" s="34"/>
      <c r="N550" s="34"/>
      <c r="O550" s="34"/>
      <c r="P550" s="34"/>
      <c r="Q550" s="34"/>
      <c r="R550" s="34"/>
      <c r="S550" s="34"/>
      <c r="T550" s="34"/>
      <c r="U550" s="34"/>
      <c r="V550" s="34"/>
      <c r="W550" s="34"/>
    </row>
    <row r="551" spans="2:23" x14ac:dyDescent="0.3">
      <c r="B551" s="33"/>
      <c r="C551" s="34"/>
      <c r="D551" s="34"/>
      <c r="E551" s="34"/>
      <c r="F551" s="34"/>
      <c r="G551" s="34"/>
      <c r="H551" s="34"/>
      <c r="I551" s="34"/>
      <c r="J551" s="34"/>
      <c r="K551" s="35"/>
      <c r="L551" s="34"/>
      <c r="M551" s="34"/>
      <c r="N551" s="34"/>
      <c r="O551" s="34"/>
      <c r="P551" s="34"/>
      <c r="Q551" s="34"/>
      <c r="R551" s="34"/>
      <c r="S551" s="34"/>
      <c r="T551" s="34"/>
      <c r="U551" s="34"/>
      <c r="V551" s="34"/>
      <c r="W551" s="34"/>
    </row>
    <row r="552" spans="2:23" x14ac:dyDescent="0.3">
      <c r="B552" s="33"/>
      <c r="C552" s="34"/>
      <c r="D552" s="34"/>
      <c r="E552" s="34"/>
      <c r="F552" s="34"/>
      <c r="G552" s="34"/>
      <c r="H552" s="34"/>
      <c r="I552" s="34"/>
      <c r="J552" s="34"/>
      <c r="K552" s="35"/>
      <c r="L552" s="34"/>
      <c r="M552" s="34"/>
      <c r="N552" s="34"/>
      <c r="O552" s="34"/>
      <c r="P552" s="34"/>
      <c r="Q552" s="34"/>
      <c r="R552" s="34"/>
      <c r="S552" s="34"/>
      <c r="T552" s="34"/>
      <c r="U552" s="34"/>
      <c r="V552" s="34"/>
      <c r="W552" s="34"/>
    </row>
    <row r="553" spans="2:23" x14ac:dyDescent="0.3">
      <c r="B553" s="33"/>
      <c r="C553" s="34"/>
      <c r="D553" s="34"/>
      <c r="E553" s="34"/>
      <c r="F553" s="34"/>
      <c r="G553" s="34"/>
      <c r="H553" s="34"/>
      <c r="I553" s="34"/>
      <c r="J553" s="34"/>
      <c r="K553" s="35"/>
      <c r="L553" s="34"/>
      <c r="M553" s="34"/>
      <c r="N553" s="34"/>
      <c r="O553" s="34"/>
      <c r="P553" s="34"/>
      <c r="Q553" s="34"/>
      <c r="R553" s="34"/>
      <c r="S553" s="34"/>
      <c r="T553" s="34"/>
      <c r="U553" s="34"/>
      <c r="V553" s="34"/>
      <c r="W553" s="34"/>
    </row>
    <row r="554" spans="2:23" x14ac:dyDescent="0.3">
      <c r="B554" s="33"/>
      <c r="C554" s="34"/>
      <c r="D554" s="34"/>
      <c r="E554" s="34"/>
      <c r="F554" s="34"/>
      <c r="G554" s="34"/>
      <c r="H554" s="34"/>
      <c r="I554" s="34"/>
      <c r="J554" s="34"/>
      <c r="K554" s="35"/>
      <c r="L554" s="34"/>
      <c r="M554" s="34"/>
      <c r="N554" s="34"/>
      <c r="O554" s="34"/>
      <c r="P554" s="34"/>
      <c r="Q554" s="34"/>
      <c r="R554" s="34"/>
      <c r="S554" s="34"/>
      <c r="T554" s="34"/>
      <c r="U554" s="34"/>
      <c r="V554" s="34"/>
      <c r="W554" s="34"/>
    </row>
    <row r="555" spans="2:23" x14ac:dyDescent="0.3">
      <c r="B555" s="33"/>
      <c r="C555" s="34"/>
      <c r="D555" s="34"/>
      <c r="E555" s="34"/>
      <c r="F555" s="34"/>
      <c r="G555" s="34"/>
      <c r="H555" s="34"/>
      <c r="I555" s="34"/>
      <c r="J555" s="34"/>
      <c r="K555" s="35"/>
      <c r="L555" s="34"/>
      <c r="M555" s="34"/>
      <c r="N555" s="34"/>
      <c r="O555" s="34"/>
      <c r="P555" s="34"/>
      <c r="Q555" s="34"/>
      <c r="R555" s="34"/>
      <c r="S555" s="34"/>
      <c r="T555" s="34"/>
      <c r="U555" s="34"/>
      <c r="V555" s="34"/>
      <c r="W555" s="34"/>
    </row>
    <row r="556" spans="2:23" x14ac:dyDescent="0.3">
      <c r="B556" s="33"/>
      <c r="C556" s="34"/>
      <c r="D556" s="34"/>
      <c r="E556" s="34"/>
      <c r="F556" s="34"/>
      <c r="G556" s="34"/>
      <c r="H556" s="34"/>
      <c r="I556" s="34"/>
      <c r="J556" s="34"/>
      <c r="K556" s="35"/>
      <c r="L556" s="34"/>
      <c r="M556" s="34"/>
      <c r="N556" s="34"/>
      <c r="O556" s="34"/>
      <c r="P556" s="34"/>
      <c r="Q556" s="34"/>
      <c r="R556" s="34"/>
      <c r="S556" s="34"/>
      <c r="T556" s="34"/>
      <c r="U556" s="34"/>
      <c r="V556" s="34"/>
      <c r="W556" s="34"/>
    </row>
    <row r="557" spans="2:23" x14ac:dyDescent="0.3">
      <c r="B557" s="33"/>
      <c r="C557" s="34"/>
      <c r="D557" s="34"/>
      <c r="E557" s="34"/>
      <c r="F557" s="34"/>
      <c r="G557" s="34"/>
      <c r="H557" s="34"/>
      <c r="I557" s="34"/>
      <c r="J557" s="34"/>
      <c r="K557" s="35"/>
      <c r="L557" s="34"/>
      <c r="M557" s="34"/>
      <c r="N557" s="34"/>
      <c r="O557" s="34"/>
      <c r="P557" s="34"/>
      <c r="Q557" s="34"/>
      <c r="R557" s="34"/>
      <c r="S557" s="34"/>
      <c r="T557" s="34"/>
      <c r="U557" s="34"/>
      <c r="V557" s="34"/>
      <c r="W557" s="34"/>
    </row>
    <row r="558" spans="2:23" x14ac:dyDescent="0.3">
      <c r="B558" s="33"/>
      <c r="C558" s="34"/>
      <c r="D558" s="34"/>
      <c r="E558" s="34"/>
      <c r="F558" s="34"/>
      <c r="G558" s="34"/>
      <c r="H558" s="34"/>
      <c r="I558" s="34"/>
      <c r="J558" s="34"/>
      <c r="K558" s="35"/>
      <c r="L558" s="34"/>
      <c r="M558" s="34"/>
      <c r="N558" s="34"/>
      <c r="O558" s="34"/>
      <c r="P558" s="34"/>
      <c r="Q558" s="34"/>
      <c r="R558" s="34"/>
      <c r="S558" s="34"/>
      <c r="T558" s="34"/>
      <c r="U558" s="34"/>
      <c r="V558" s="34"/>
      <c r="W558" s="34"/>
    </row>
    <row r="559" spans="2:23" x14ac:dyDescent="0.3">
      <c r="B559" s="33"/>
      <c r="C559" s="34"/>
      <c r="D559" s="34"/>
      <c r="E559" s="34"/>
      <c r="F559" s="34"/>
      <c r="G559" s="34"/>
      <c r="H559" s="34"/>
      <c r="I559" s="34"/>
      <c r="J559" s="34"/>
      <c r="K559" s="35"/>
      <c r="L559" s="34"/>
      <c r="M559" s="34"/>
      <c r="N559" s="34"/>
      <c r="O559" s="34"/>
      <c r="P559" s="34"/>
      <c r="Q559" s="34"/>
      <c r="R559" s="34"/>
      <c r="S559" s="34"/>
      <c r="T559" s="34"/>
      <c r="U559" s="34"/>
      <c r="V559" s="34"/>
      <c r="W559" s="34"/>
    </row>
    <row r="560" spans="2:23" x14ac:dyDescent="0.3">
      <c r="B560" s="33"/>
      <c r="C560" s="34"/>
      <c r="D560" s="34"/>
      <c r="E560" s="34"/>
      <c r="F560" s="34"/>
      <c r="G560" s="34"/>
      <c r="H560" s="34"/>
      <c r="I560" s="34"/>
      <c r="J560" s="34"/>
      <c r="K560" s="35"/>
      <c r="L560" s="34"/>
      <c r="M560" s="34"/>
      <c r="N560" s="34"/>
      <c r="O560" s="34"/>
      <c r="P560" s="34"/>
      <c r="Q560" s="34"/>
      <c r="R560" s="34"/>
      <c r="S560" s="34"/>
      <c r="T560" s="34"/>
      <c r="U560" s="34"/>
      <c r="V560" s="34"/>
      <c r="W560" s="34"/>
    </row>
    <row r="561" spans="2:23" x14ac:dyDescent="0.3">
      <c r="B561" s="33"/>
      <c r="C561" s="34"/>
      <c r="D561" s="34"/>
      <c r="E561" s="34"/>
      <c r="F561" s="34"/>
      <c r="G561" s="34"/>
      <c r="H561" s="34"/>
      <c r="I561" s="34"/>
      <c r="J561" s="34"/>
      <c r="K561" s="35"/>
      <c r="L561" s="34"/>
      <c r="M561" s="34"/>
      <c r="N561" s="34"/>
      <c r="O561" s="34"/>
      <c r="P561" s="34"/>
      <c r="Q561" s="34"/>
      <c r="R561" s="34"/>
      <c r="S561" s="34"/>
      <c r="T561" s="34"/>
      <c r="U561" s="34"/>
      <c r="V561" s="34"/>
      <c r="W561" s="34"/>
    </row>
    <row r="562" spans="2:23" x14ac:dyDescent="0.3">
      <c r="B562" s="33"/>
      <c r="C562" s="34"/>
      <c r="D562" s="34"/>
      <c r="E562" s="34"/>
      <c r="F562" s="34"/>
      <c r="G562" s="34"/>
      <c r="H562" s="34"/>
      <c r="I562" s="34"/>
      <c r="J562" s="34"/>
      <c r="K562" s="35"/>
      <c r="L562" s="34"/>
      <c r="M562" s="34"/>
      <c r="N562" s="34"/>
      <c r="O562" s="34"/>
      <c r="P562" s="34"/>
      <c r="Q562" s="34"/>
      <c r="R562" s="34"/>
      <c r="S562" s="34"/>
      <c r="T562" s="34"/>
      <c r="U562" s="34"/>
      <c r="V562" s="34"/>
      <c r="W562" s="34"/>
    </row>
    <row r="563" spans="2:23" x14ac:dyDescent="0.3">
      <c r="B563" s="33"/>
      <c r="C563" s="34"/>
      <c r="D563" s="34"/>
      <c r="E563" s="34"/>
      <c r="F563" s="34"/>
      <c r="G563" s="34"/>
      <c r="H563" s="34"/>
      <c r="I563" s="34"/>
      <c r="J563" s="34"/>
      <c r="K563" s="35"/>
      <c r="L563" s="34"/>
      <c r="M563" s="34"/>
      <c r="N563" s="34"/>
      <c r="O563" s="34"/>
      <c r="P563" s="34"/>
      <c r="Q563" s="34"/>
      <c r="R563" s="34"/>
      <c r="S563" s="34"/>
      <c r="T563" s="34"/>
      <c r="U563" s="34"/>
      <c r="V563" s="34"/>
      <c r="W563" s="34"/>
    </row>
    <row r="564" spans="2:23" x14ac:dyDescent="0.3">
      <c r="B564" s="33"/>
      <c r="C564" s="34"/>
      <c r="D564" s="34"/>
      <c r="E564" s="34"/>
      <c r="F564" s="34"/>
      <c r="G564" s="34"/>
      <c r="H564" s="34"/>
      <c r="I564" s="34"/>
      <c r="J564" s="34"/>
      <c r="K564" s="35"/>
      <c r="L564" s="34"/>
      <c r="M564" s="34"/>
      <c r="N564" s="34"/>
      <c r="O564" s="34"/>
      <c r="P564" s="34"/>
      <c r="Q564" s="34"/>
      <c r="R564" s="34"/>
      <c r="S564" s="34"/>
      <c r="T564" s="34"/>
      <c r="U564" s="34"/>
      <c r="V564" s="34"/>
      <c r="W564" s="34"/>
    </row>
    <row r="565" spans="2:23" x14ac:dyDescent="0.3">
      <c r="B565" s="33"/>
      <c r="C565" s="34"/>
      <c r="D565" s="34"/>
      <c r="E565" s="34"/>
      <c r="F565" s="34"/>
      <c r="G565" s="34"/>
      <c r="H565" s="34"/>
      <c r="I565" s="34"/>
      <c r="J565" s="34"/>
      <c r="K565" s="35"/>
      <c r="L565" s="34"/>
      <c r="M565" s="34"/>
      <c r="N565" s="34"/>
      <c r="O565" s="34"/>
      <c r="P565" s="34"/>
      <c r="Q565" s="34"/>
      <c r="R565" s="34"/>
      <c r="S565" s="34"/>
      <c r="T565" s="34"/>
      <c r="U565" s="34"/>
      <c r="V565" s="34"/>
      <c r="W565" s="34"/>
    </row>
    <row r="566" spans="2:23" x14ac:dyDescent="0.3">
      <c r="B566" s="33"/>
      <c r="C566" s="34"/>
      <c r="D566" s="34"/>
      <c r="E566" s="34"/>
      <c r="F566" s="34"/>
      <c r="G566" s="34"/>
      <c r="H566" s="34"/>
      <c r="I566" s="34"/>
      <c r="J566" s="34"/>
      <c r="K566" s="35"/>
      <c r="L566" s="34"/>
      <c r="M566" s="34"/>
      <c r="N566" s="34"/>
      <c r="O566" s="34"/>
      <c r="P566" s="34"/>
      <c r="Q566" s="34"/>
      <c r="R566" s="34"/>
      <c r="S566" s="34"/>
      <c r="T566" s="34"/>
      <c r="U566" s="34"/>
      <c r="V566" s="34"/>
      <c r="W566" s="34"/>
    </row>
    <row r="567" spans="2:23" x14ac:dyDescent="0.3">
      <c r="B567" s="33"/>
      <c r="C567" s="34"/>
      <c r="D567" s="34"/>
      <c r="E567" s="34"/>
      <c r="F567" s="34"/>
      <c r="G567" s="34"/>
      <c r="H567" s="34"/>
      <c r="I567" s="34"/>
      <c r="J567" s="34"/>
      <c r="K567" s="35"/>
      <c r="L567" s="34"/>
      <c r="M567" s="34"/>
      <c r="N567" s="34"/>
      <c r="O567" s="34"/>
      <c r="P567" s="34"/>
      <c r="Q567" s="34"/>
      <c r="R567" s="34"/>
      <c r="S567" s="34"/>
      <c r="T567" s="34"/>
      <c r="U567" s="34"/>
      <c r="V567" s="34"/>
      <c r="W567" s="34"/>
    </row>
    <row r="568" spans="2:23" x14ac:dyDescent="0.3">
      <c r="B568" s="33"/>
      <c r="C568" s="34"/>
      <c r="D568" s="34"/>
      <c r="E568" s="34"/>
      <c r="F568" s="34"/>
      <c r="G568" s="34"/>
      <c r="H568" s="34"/>
      <c r="I568" s="34"/>
      <c r="J568" s="34"/>
      <c r="K568" s="35"/>
      <c r="L568" s="34"/>
      <c r="M568" s="34"/>
      <c r="N568" s="34"/>
      <c r="O568" s="34"/>
      <c r="P568" s="34"/>
      <c r="Q568" s="34"/>
      <c r="R568" s="34"/>
      <c r="S568" s="34"/>
      <c r="T568" s="34"/>
      <c r="U568" s="34"/>
      <c r="V568" s="34"/>
      <c r="W568" s="34"/>
    </row>
    <row r="569" spans="2:23" x14ac:dyDescent="0.3">
      <c r="B569" s="33"/>
      <c r="C569" s="34"/>
      <c r="D569" s="34"/>
      <c r="E569" s="34"/>
      <c r="F569" s="34"/>
      <c r="G569" s="34"/>
      <c r="H569" s="34"/>
      <c r="I569" s="34"/>
      <c r="J569" s="34"/>
      <c r="K569" s="35"/>
      <c r="L569" s="34"/>
      <c r="M569" s="34"/>
      <c r="N569" s="34"/>
      <c r="O569" s="34"/>
      <c r="P569" s="34"/>
      <c r="Q569" s="34"/>
      <c r="R569" s="34"/>
      <c r="S569" s="34"/>
      <c r="T569" s="34"/>
      <c r="U569" s="34"/>
      <c r="V569" s="34"/>
      <c r="W569" s="34"/>
    </row>
    <row r="570" spans="2:23" x14ac:dyDescent="0.3">
      <c r="B570" s="33"/>
      <c r="C570" s="34"/>
      <c r="D570" s="34"/>
      <c r="E570" s="34"/>
      <c r="F570" s="34"/>
      <c r="G570" s="34"/>
      <c r="H570" s="34"/>
      <c r="I570" s="34"/>
      <c r="J570" s="34"/>
      <c r="K570" s="35"/>
      <c r="L570" s="34"/>
      <c r="M570" s="34"/>
      <c r="N570" s="34"/>
      <c r="O570" s="34"/>
      <c r="P570" s="34"/>
      <c r="Q570" s="34"/>
      <c r="R570" s="34"/>
      <c r="S570" s="34"/>
      <c r="T570" s="34"/>
      <c r="U570" s="34"/>
      <c r="V570" s="34"/>
      <c r="W570" s="34"/>
    </row>
    <row r="571" spans="2:23" x14ac:dyDescent="0.3">
      <c r="B571" s="33"/>
      <c r="C571" s="34"/>
      <c r="D571" s="34"/>
      <c r="E571" s="34"/>
      <c r="F571" s="34"/>
      <c r="G571" s="34"/>
      <c r="H571" s="34"/>
      <c r="I571" s="34"/>
      <c r="J571" s="34"/>
      <c r="K571" s="35"/>
      <c r="L571" s="34"/>
      <c r="M571" s="34"/>
      <c r="N571" s="34"/>
      <c r="O571" s="34"/>
      <c r="P571" s="34"/>
      <c r="Q571" s="34"/>
      <c r="R571" s="34"/>
      <c r="S571" s="34"/>
      <c r="T571" s="34"/>
      <c r="U571" s="34"/>
      <c r="V571" s="34"/>
      <c r="W571" s="34"/>
    </row>
    <row r="572" spans="2:23" x14ac:dyDescent="0.3">
      <c r="B572" s="33"/>
      <c r="C572" s="34"/>
      <c r="D572" s="34"/>
      <c r="E572" s="34"/>
      <c r="F572" s="34"/>
      <c r="G572" s="34"/>
      <c r="H572" s="34"/>
      <c r="I572" s="34"/>
      <c r="J572" s="34"/>
      <c r="K572" s="35"/>
      <c r="L572" s="34"/>
      <c r="M572" s="34"/>
      <c r="N572" s="34"/>
      <c r="O572" s="34"/>
      <c r="P572" s="34"/>
      <c r="Q572" s="34"/>
      <c r="R572" s="34"/>
      <c r="S572" s="34"/>
      <c r="T572" s="34"/>
      <c r="U572" s="34"/>
      <c r="V572" s="34"/>
      <c r="W572" s="34"/>
    </row>
    <row r="573" spans="2:23" x14ac:dyDescent="0.3">
      <c r="B573" s="33"/>
      <c r="C573" s="34"/>
      <c r="D573" s="34"/>
      <c r="E573" s="34"/>
      <c r="F573" s="34"/>
      <c r="G573" s="34"/>
      <c r="H573" s="34"/>
      <c r="I573" s="34"/>
      <c r="J573" s="34"/>
      <c r="K573" s="35"/>
      <c r="L573" s="34"/>
      <c r="M573" s="34"/>
      <c r="N573" s="34"/>
      <c r="O573" s="34"/>
      <c r="P573" s="34"/>
      <c r="Q573" s="34"/>
      <c r="R573" s="34"/>
      <c r="S573" s="34"/>
      <c r="T573" s="34"/>
      <c r="U573" s="34"/>
      <c r="V573" s="34"/>
      <c r="W573" s="34"/>
    </row>
    <row r="574" spans="2:23" x14ac:dyDescent="0.3">
      <c r="B574" s="33"/>
      <c r="C574" s="34"/>
      <c r="D574" s="34"/>
      <c r="E574" s="34"/>
      <c r="F574" s="34"/>
      <c r="G574" s="34"/>
      <c r="H574" s="34"/>
      <c r="I574" s="34"/>
      <c r="J574" s="34"/>
      <c r="K574" s="35"/>
      <c r="L574" s="34"/>
      <c r="M574" s="34"/>
      <c r="N574" s="34"/>
      <c r="O574" s="34"/>
      <c r="P574" s="34"/>
      <c r="Q574" s="34"/>
      <c r="R574" s="34"/>
      <c r="S574" s="34"/>
      <c r="T574" s="34"/>
      <c r="U574" s="34"/>
      <c r="V574" s="34"/>
      <c r="W574" s="34"/>
    </row>
    <row r="575" spans="2:23" x14ac:dyDescent="0.3">
      <c r="B575" s="33"/>
      <c r="C575" s="34"/>
      <c r="D575" s="34"/>
      <c r="E575" s="34"/>
      <c r="F575" s="34"/>
      <c r="G575" s="34"/>
      <c r="H575" s="34"/>
      <c r="I575" s="34"/>
      <c r="J575" s="34"/>
      <c r="K575" s="35"/>
      <c r="L575" s="34"/>
      <c r="M575" s="34"/>
      <c r="N575" s="34"/>
      <c r="O575" s="34"/>
      <c r="P575" s="34"/>
      <c r="Q575" s="34"/>
      <c r="R575" s="34"/>
      <c r="S575" s="34"/>
      <c r="T575" s="34"/>
      <c r="U575" s="34"/>
      <c r="V575" s="34"/>
      <c r="W575" s="34"/>
    </row>
    <row r="576" spans="2:23" x14ac:dyDescent="0.3">
      <c r="B576" s="33"/>
      <c r="C576" s="34"/>
      <c r="D576" s="34"/>
      <c r="E576" s="34"/>
      <c r="F576" s="34"/>
      <c r="G576" s="34"/>
      <c r="H576" s="34"/>
      <c r="I576" s="34"/>
      <c r="J576" s="34"/>
      <c r="K576" s="35"/>
      <c r="L576" s="34"/>
      <c r="M576" s="34"/>
      <c r="N576" s="34"/>
      <c r="O576" s="34"/>
      <c r="P576" s="34"/>
      <c r="Q576" s="34"/>
      <c r="R576" s="34"/>
      <c r="S576" s="34"/>
      <c r="T576" s="34"/>
      <c r="U576" s="34"/>
      <c r="V576" s="34"/>
      <c r="W576" s="34"/>
    </row>
    <row r="577" spans="2:23" x14ac:dyDescent="0.3">
      <c r="B577" s="33"/>
      <c r="C577" s="34"/>
      <c r="D577" s="34"/>
      <c r="E577" s="34"/>
      <c r="F577" s="34"/>
      <c r="G577" s="34"/>
      <c r="H577" s="34"/>
      <c r="I577" s="34"/>
      <c r="J577" s="34"/>
      <c r="K577" s="35"/>
      <c r="L577" s="34"/>
      <c r="M577" s="34"/>
      <c r="N577" s="34"/>
      <c r="O577" s="34"/>
      <c r="P577" s="34"/>
      <c r="Q577" s="34"/>
      <c r="R577" s="34"/>
      <c r="S577" s="34"/>
      <c r="T577" s="34"/>
      <c r="U577" s="34"/>
      <c r="V577" s="34"/>
      <c r="W577" s="34"/>
    </row>
    <row r="578" spans="2:23" x14ac:dyDescent="0.3">
      <c r="B578" s="33"/>
      <c r="C578" s="34"/>
      <c r="D578" s="34"/>
      <c r="E578" s="34"/>
      <c r="F578" s="34"/>
      <c r="G578" s="34"/>
      <c r="H578" s="34"/>
      <c r="I578" s="34"/>
      <c r="J578" s="34"/>
      <c r="K578" s="35"/>
      <c r="L578" s="34"/>
      <c r="M578" s="34"/>
      <c r="N578" s="34"/>
      <c r="O578" s="34"/>
      <c r="P578" s="34"/>
      <c r="Q578" s="34"/>
      <c r="R578" s="34"/>
      <c r="S578" s="34"/>
      <c r="T578" s="34"/>
      <c r="U578" s="34"/>
      <c r="V578" s="34"/>
      <c r="W578" s="34"/>
    </row>
    <row r="579" spans="2:23" x14ac:dyDescent="0.3">
      <c r="B579" s="33"/>
      <c r="C579" s="34"/>
      <c r="D579" s="34"/>
      <c r="E579" s="34"/>
      <c r="F579" s="34"/>
      <c r="G579" s="34"/>
      <c r="H579" s="34"/>
      <c r="I579" s="34"/>
      <c r="J579" s="34"/>
      <c r="K579" s="35"/>
      <c r="L579" s="34"/>
      <c r="M579" s="34"/>
      <c r="N579" s="34"/>
      <c r="O579" s="34"/>
      <c r="P579" s="34"/>
      <c r="Q579" s="34"/>
      <c r="R579" s="34"/>
      <c r="S579" s="34"/>
      <c r="T579" s="34"/>
      <c r="U579" s="34"/>
      <c r="V579" s="34"/>
      <c r="W579" s="34"/>
    </row>
    <row r="580" spans="2:23" x14ac:dyDescent="0.3">
      <c r="B580" s="33"/>
      <c r="C580" s="34"/>
      <c r="D580" s="34"/>
      <c r="E580" s="34"/>
      <c r="F580" s="34"/>
      <c r="G580" s="34"/>
      <c r="H580" s="34"/>
      <c r="I580" s="34"/>
      <c r="J580" s="34"/>
      <c r="K580" s="35"/>
      <c r="L580" s="34"/>
      <c r="M580" s="34"/>
      <c r="N580" s="34"/>
      <c r="O580" s="34"/>
      <c r="P580" s="34"/>
      <c r="Q580" s="34"/>
      <c r="R580" s="34"/>
      <c r="S580" s="34"/>
      <c r="T580" s="34"/>
      <c r="U580" s="34"/>
      <c r="V580" s="34"/>
      <c r="W580" s="34"/>
    </row>
    <row r="581" spans="2:23" x14ac:dyDescent="0.3">
      <c r="B581" s="33"/>
      <c r="C581" s="34"/>
      <c r="D581" s="34"/>
      <c r="E581" s="34"/>
      <c r="F581" s="34"/>
      <c r="G581" s="34"/>
      <c r="H581" s="34"/>
      <c r="I581" s="34"/>
      <c r="J581" s="34"/>
      <c r="K581" s="35"/>
      <c r="L581" s="34"/>
      <c r="M581" s="34"/>
      <c r="N581" s="34"/>
      <c r="O581" s="34"/>
      <c r="P581" s="34"/>
      <c r="Q581" s="34"/>
      <c r="R581" s="34"/>
      <c r="S581" s="34"/>
      <c r="T581" s="34"/>
      <c r="U581" s="34"/>
      <c r="V581" s="34"/>
      <c r="W581" s="34"/>
    </row>
    <row r="582" spans="2:23" x14ac:dyDescent="0.3">
      <c r="B582" s="33"/>
      <c r="C582" s="34"/>
      <c r="D582" s="34"/>
      <c r="E582" s="34"/>
      <c r="F582" s="34"/>
      <c r="G582" s="34"/>
      <c r="H582" s="34"/>
      <c r="I582" s="34"/>
      <c r="J582" s="34"/>
      <c r="K582" s="35"/>
      <c r="L582" s="34"/>
      <c r="M582" s="34"/>
      <c r="N582" s="34"/>
      <c r="O582" s="34"/>
      <c r="P582" s="34"/>
      <c r="Q582" s="34"/>
      <c r="R582" s="34"/>
      <c r="S582" s="34"/>
      <c r="T582" s="34"/>
      <c r="U582" s="34"/>
      <c r="V582" s="34"/>
      <c r="W582" s="34"/>
    </row>
    <row r="583" spans="2:23" x14ac:dyDescent="0.3">
      <c r="B583" s="33"/>
      <c r="C583" s="34"/>
      <c r="D583" s="34"/>
      <c r="E583" s="34"/>
      <c r="F583" s="34"/>
      <c r="G583" s="34"/>
      <c r="H583" s="34"/>
      <c r="I583" s="34"/>
      <c r="J583" s="34"/>
      <c r="K583" s="35"/>
      <c r="L583" s="34"/>
      <c r="M583" s="34"/>
      <c r="N583" s="34"/>
      <c r="O583" s="34"/>
      <c r="P583" s="34"/>
      <c r="Q583" s="34"/>
      <c r="R583" s="34"/>
      <c r="S583" s="34"/>
      <c r="T583" s="34"/>
      <c r="U583" s="34"/>
      <c r="V583" s="34"/>
      <c r="W583" s="34"/>
    </row>
    <row r="584" spans="2:23" x14ac:dyDescent="0.3">
      <c r="B584" s="33"/>
      <c r="C584" s="34"/>
      <c r="D584" s="34"/>
      <c r="E584" s="34"/>
      <c r="F584" s="34"/>
      <c r="G584" s="34"/>
      <c r="H584" s="34"/>
      <c r="I584" s="34"/>
      <c r="J584" s="34"/>
      <c r="K584" s="35"/>
      <c r="L584" s="34"/>
      <c r="M584" s="34"/>
      <c r="N584" s="34"/>
      <c r="O584" s="34"/>
      <c r="P584" s="34"/>
      <c r="Q584" s="34"/>
      <c r="R584" s="34"/>
      <c r="S584" s="34"/>
      <c r="T584" s="34"/>
      <c r="U584" s="34"/>
      <c r="V584" s="34"/>
      <c r="W584" s="34"/>
    </row>
    <row r="585" spans="2:23" x14ac:dyDescent="0.3">
      <c r="B585" s="33"/>
      <c r="C585" s="34"/>
      <c r="D585" s="34"/>
      <c r="E585" s="34"/>
      <c r="F585" s="34"/>
      <c r="G585" s="34"/>
      <c r="H585" s="34"/>
      <c r="I585" s="34"/>
      <c r="J585" s="34"/>
      <c r="K585" s="35"/>
      <c r="L585" s="34"/>
      <c r="M585" s="34"/>
      <c r="N585" s="34"/>
      <c r="O585" s="34"/>
      <c r="P585" s="34"/>
      <c r="Q585" s="34"/>
      <c r="R585" s="34"/>
      <c r="S585" s="34"/>
      <c r="T585" s="34"/>
      <c r="U585" s="34"/>
      <c r="V585" s="34"/>
      <c r="W585" s="34"/>
    </row>
    <row r="586" spans="2:23" x14ac:dyDescent="0.3">
      <c r="B586" s="33"/>
      <c r="C586" s="34"/>
      <c r="D586" s="34"/>
      <c r="E586" s="34"/>
      <c r="F586" s="34"/>
      <c r="G586" s="34"/>
      <c r="H586" s="34"/>
      <c r="I586" s="34"/>
      <c r="J586" s="34"/>
      <c r="K586" s="35"/>
      <c r="L586" s="34"/>
      <c r="M586" s="34"/>
      <c r="N586" s="34"/>
      <c r="O586" s="34"/>
      <c r="P586" s="34"/>
      <c r="Q586" s="34"/>
      <c r="R586" s="34"/>
      <c r="S586" s="34"/>
      <c r="T586" s="34"/>
      <c r="U586" s="34"/>
      <c r="V586" s="34"/>
      <c r="W586" s="34"/>
    </row>
    <row r="587" spans="2:23" x14ac:dyDescent="0.3">
      <c r="B587" s="33"/>
      <c r="C587" s="34"/>
      <c r="D587" s="34"/>
      <c r="E587" s="34"/>
      <c r="F587" s="34"/>
      <c r="G587" s="34"/>
      <c r="H587" s="34"/>
      <c r="I587" s="34"/>
      <c r="J587" s="34"/>
      <c r="K587" s="35"/>
      <c r="L587" s="34"/>
      <c r="M587" s="34"/>
      <c r="N587" s="34"/>
      <c r="O587" s="34"/>
      <c r="P587" s="34"/>
      <c r="Q587" s="34"/>
      <c r="R587" s="34"/>
      <c r="S587" s="34"/>
      <c r="T587" s="34"/>
      <c r="U587" s="34"/>
      <c r="V587" s="34"/>
      <c r="W587" s="34"/>
    </row>
    <row r="588" spans="2:23" x14ac:dyDescent="0.3">
      <c r="B588" s="33"/>
      <c r="C588" s="34"/>
      <c r="D588" s="34"/>
      <c r="E588" s="34"/>
      <c r="F588" s="34"/>
      <c r="G588" s="34"/>
      <c r="H588" s="34"/>
      <c r="I588" s="34"/>
      <c r="J588" s="34"/>
      <c r="K588" s="35"/>
      <c r="L588" s="34"/>
      <c r="M588" s="34"/>
      <c r="N588" s="34"/>
      <c r="O588" s="34"/>
      <c r="P588" s="34"/>
      <c r="Q588" s="34"/>
      <c r="R588" s="34"/>
      <c r="S588" s="34"/>
      <c r="T588" s="34"/>
      <c r="U588" s="34"/>
      <c r="V588" s="34"/>
      <c r="W588" s="34"/>
    </row>
    <row r="589" spans="2:23" x14ac:dyDescent="0.3">
      <c r="B589" s="33"/>
      <c r="C589" s="34"/>
      <c r="D589" s="34"/>
      <c r="E589" s="34"/>
      <c r="F589" s="34"/>
      <c r="G589" s="34"/>
      <c r="H589" s="34"/>
      <c r="I589" s="34"/>
      <c r="J589" s="34"/>
      <c r="K589" s="35"/>
      <c r="L589" s="34"/>
      <c r="M589" s="34"/>
      <c r="N589" s="34"/>
      <c r="O589" s="34"/>
      <c r="P589" s="34"/>
      <c r="Q589" s="34"/>
      <c r="R589" s="34"/>
      <c r="S589" s="34"/>
      <c r="T589" s="34"/>
      <c r="U589" s="34"/>
      <c r="V589" s="34"/>
      <c r="W589" s="34"/>
    </row>
    <row r="590" spans="2:23" x14ac:dyDescent="0.3">
      <c r="B590" s="33"/>
      <c r="C590" s="34"/>
      <c r="D590" s="34"/>
      <c r="E590" s="34"/>
      <c r="F590" s="34"/>
      <c r="G590" s="34"/>
      <c r="H590" s="34"/>
      <c r="I590" s="34"/>
      <c r="J590" s="34"/>
      <c r="K590" s="35"/>
      <c r="L590" s="34"/>
      <c r="M590" s="34"/>
      <c r="N590" s="34"/>
      <c r="O590" s="34"/>
      <c r="P590" s="34"/>
      <c r="Q590" s="34"/>
      <c r="R590" s="34"/>
      <c r="S590" s="34"/>
      <c r="T590" s="34"/>
      <c r="U590" s="34"/>
      <c r="V590" s="34"/>
      <c r="W590" s="34"/>
    </row>
    <row r="591" spans="2:23" x14ac:dyDescent="0.3">
      <c r="B591" s="33"/>
      <c r="C591" s="34"/>
      <c r="D591" s="34"/>
      <c r="E591" s="34"/>
      <c r="F591" s="34"/>
      <c r="G591" s="34"/>
      <c r="H591" s="34"/>
      <c r="I591" s="34"/>
      <c r="J591" s="34"/>
      <c r="K591" s="35"/>
      <c r="L591" s="34"/>
      <c r="M591" s="34"/>
      <c r="N591" s="34"/>
      <c r="O591" s="34"/>
      <c r="P591" s="34"/>
      <c r="Q591" s="34"/>
      <c r="R591" s="34"/>
      <c r="S591" s="34"/>
      <c r="T591" s="34"/>
      <c r="U591" s="34"/>
      <c r="V591" s="34"/>
      <c r="W591" s="34"/>
    </row>
    <row r="592" spans="2:23" x14ac:dyDescent="0.3">
      <c r="B592" s="33"/>
      <c r="C592" s="34"/>
      <c r="D592" s="34"/>
      <c r="E592" s="34"/>
      <c r="F592" s="34"/>
      <c r="G592" s="34"/>
      <c r="H592" s="34"/>
      <c r="I592" s="34"/>
      <c r="J592" s="34"/>
      <c r="K592" s="35"/>
      <c r="L592" s="34"/>
      <c r="M592" s="34"/>
      <c r="N592" s="34"/>
      <c r="O592" s="34"/>
      <c r="P592" s="34"/>
      <c r="Q592" s="34"/>
      <c r="R592" s="34"/>
      <c r="S592" s="34"/>
      <c r="T592" s="34"/>
      <c r="U592" s="34"/>
      <c r="V592" s="34"/>
      <c r="W592" s="34"/>
    </row>
    <row r="593" spans="2:23" x14ac:dyDescent="0.3">
      <c r="B593" s="33"/>
      <c r="C593" s="34"/>
      <c r="D593" s="34"/>
      <c r="E593" s="34"/>
      <c r="F593" s="34"/>
      <c r="G593" s="34"/>
      <c r="H593" s="34"/>
      <c r="I593" s="34"/>
      <c r="J593" s="34"/>
      <c r="K593" s="35"/>
      <c r="L593" s="34"/>
      <c r="M593" s="34"/>
      <c r="N593" s="34"/>
      <c r="O593" s="34"/>
      <c r="P593" s="34"/>
      <c r="Q593" s="34"/>
      <c r="R593" s="34"/>
      <c r="S593" s="34"/>
      <c r="T593" s="34"/>
      <c r="U593" s="34"/>
      <c r="V593" s="34"/>
      <c r="W593" s="34"/>
    </row>
    <row r="594" spans="2:23" x14ac:dyDescent="0.3">
      <c r="B594" s="33"/>
      <c r="C594" s="34"/>
      <c r="D594" s="34"/>
      <c r="E594" s="34"/>
      <c r="F594" s="34"/>
      <c r="G594" s="34"/>
      <c r="H594" s="34"/>
      <c r="I594" s="34"/>
      <c r="J594" s="34"/>
      <c r="K594" s="35"/>
      <c r="L594" s="34"/>
      <c r="M594" s="34"/>
      <c r="N594" s="34"/>
      <c r="O594" s="34"/>
      <c r="P594" s="34"/>
      <c r="Q594" s="34"/>
      <c r="R594" s="34"/>
      <c r="S594" s="34"/>
      <c r="T594" s="34"/>
      <c r="U594" s="34"/>
      <c r="V594" s="34"/>
      <c r="W594" s="34"/>
    </row>
    <row r="595" spans="2:23" x14ac:dyDescent="0.3">
      <c r="B595" s="33"/>
      <c r="C595" s="34"/>
      <c r="D595" s="34"/>
      <c r="E595" s="34"/>
      <c r="F595" s="34"/>
      <c r="G595" s="34"/>
      <c r="H595" s="34"/>
      <c r="I595" s="34"/>
      <c r="J595" s="34"/>
      <c r="K595" s="35"/>
      <c r="L595" s="34"/>
      <c r="M595" s="34"/>
      <c r="N595" s="34"/>
      <c r="O595" s="34"/>
      <c r="P595" s="34"/>
      <c r="Q595" s="34"/>
      <c r="R595" s="34"/>
      <c r="S595" s="34"/>
      <c r="T595" s="34"/>
      <c r="U595" s="34"/>
      <c r="V595" s="34"/>
      <c r="W595" s="34"/>
    </row>
    <row r="596" spans="2:23" x14ac:dyDescent="0.3">
      <c r="B596" s="33"/>
      <c r="C596" s="34"/>
      <c r="D596" s="34"/>
      <c r="E596" s="34"/>
      <c r="F596" s="34"/>
      <c r="G596" s="34"/>
      <c r="H596" s="34"/>
      <c r="I596" s="34"/>
      <c r="J596" s="34"/>
      <c r="K596" s="35"/>
      <c r="L596" s="34"/>
      <c r="M596" s="34"/>
      <c r="N596" s="34"/>
      <c r="O596" s="34"/>
      <c r="P596" s="34"/>
      <c r="Q596" s="34"/>
      <c r="R596" s="34"/>
      <c r="S596" s="34"/>
      <c r="T596" s="34"/>
      <c r="U596" s="34"/>
      <c r="V596" s="34"/>
      <c r="W596" s="34"/>
    </row>
    <row r="597" spans="2:23" x14ac:dyDescent="0.3">
      <c r="B597" s="33"/>
      <c r="C597" s="34"/>
      <c r="D597" s="34"/>
      <c r="E597" s="34"/>
      <c r="F597" s="34"/>
      <c r="G597" s="34"/>
      <c r="H597" s="34"/>
      <c r="I597" s="34"/>
      <c r="J597" s="34"/>
      <c r="K597" s="35"/>
      <c r="L597" s="34"/>
      <c r="M597" s="34"/>
      <c r="N597" s="34"/>
      <c r="O597" s="34"/>
      <c r="P597" s="34"/>
      <c r="Q597" s="34"/>
      <c r="R597" s="34"/>
      <c r="S597" s="34"/>
      <c r="T597" s="34"/>
      <c r="U597" s="34"/>
      <c r="V597" s="34"/>
      <c r="W597" s="34"/>
    </row>
    <row r="598" spans="2:23" x14ac:dyDescent="0.3">
      <c r="B598" s="33"/>
      <c r="C598" s="34"/>
      <c r="D598" s="34"/>
      <c r="E598" s="34"/>
      <c r="F598" s="34"/>
      <c r="G598" s="34"/>
      <c r="H598" s="34"/>
      <c r="I598" s="34"/>
      <c r="J598" s="34"/>
      <c r="K598" s="35"/>
      <c r="L598" s="34"/>
      <c r="M598" s="34"/>
      <c r="N598" s="34"/>
      <c r="O598" s="34"/>
      <c r="P598" s="34"/>
      <c r="Q598" s="34"/>
      <c r="R598" s="34"/>
      <c r="S598" s="34"/>
      <c r="T598" s="34"/>
      <c r="U598" s="34"/>
      <c r="V598" s="34"/>
      <c r="W598" s="34"/>
    </row>
    <row r="599" spans="2:23" x14ac:dyDescent="0.3">
      <c r="B599" s="33"/>
      <c r="C599" s="34"/>
      <c r="D599" s="34"/>
      <c r="E599" s="34"/>
      <c r="F599" s="34"/>
      <c r="G599" s="34"/>
      <c r="H599" s="34"/>
      <c r="I599" s="34"/>
      <c r="J599" s="34"/>
      <c r="K599" s="35"/>
      <c r="L599" s="34"/>
      <c r="M599" s="34"/>
      <c r="N599" s="34"/>
      <c r="O599" s="34"/>
      <c r="P599" s="34"/>
      <c r="Q599" s="34"/>
      <c r="R599" s="34"/>
      <c r="S599" s="34"/>
      <c r="T599" s="34"/>
      <c r="U599" s="34"/>
      <c r="V599" s="34"/>
      <c r="W599" s="34"/>
    </row>
    <row r="600" spans="2:23" x14ac:dyDescent="0.3">
      <c r="B600" s="33"/>
      <c r="C600" s="34"/>
      <c r="D600" s="34"/>
      <c r="E600" s="34"/>
      <c r="F600" s="34"/>
      <c r="G600" s="34"/>
      <c r="H600" s="34"/>
      <c r="I600" s="34"/>
      <c r="J600" s="34"/>
      <c r="K600" s="35"/>
      <c r="L600" s="34"/>
      <c r="M600" s="34"/>
      <c r="N600" s="34"/>
      <c r="O600" s="34"/>
      <c r="P600" s="34"/>
      <c r="Q600" s="34"/>
      <c r="R600" s="34"/>
      <c r="S600" s="34"/>
      <c r="T600" s="34"/>
      <c r="U600" s="34"/>
      <c r="V600" s="34"/>
      <c r="W600" s="34"/>
    </row>
    <row r="601" spans="2:23" x14ac:dyDescent="0.3">
      <c r="B601" s="33"/>
      <c r="C601" s="34"/>
      <c r="D601" s="34"/>
      <c r="E601" s="34"/>
      <c r="F601" s="34"/>
      <c r="G601" s="34"/>
      <c r="H601" s="34"/>
      <c r="I601" s="34"/>
      <c r="J601" s="34"/>
      <c r="K601" s="35"/>
      <c r="L601" s="34"/>
      <c r="M601" s="34"/>
      <c r="N601" s="34"/>
      <c r="O601" s="34"/>
      <c r="P601" s="34"/>
      <c r="Q601" s="34"/>
      <c r="R601" s="34"/>
      <c r="S601" s="34"/>
      <c r="T601" s="34"/>
      <c r="U601" s="34"/>
      <c r="V601" s="34"/>
      <c r="W601" s="34"/>
    </row>
    <row r="602" spans="2:23" x14ac:dyDescent="0.3">
      <c r="B602" s="33"/>
      <c r="C602" s="34"/>
      <c r="D602" s="34"/>
      <c r="E602" s="34"/>
      <c r="F602" s="34"/>
      <c r="G602" s="34"/>
      <c r="H602" s="34"/>
      <c r="I602" s="34"/>
      <c r="J602" s="34"/>
      <c r="K602" s="35"/>
      <c r="L602" s="34"/>
      <c r="M602" s="34"/>
      <c r="N602" s="34"/>
      <c r="O602" s="34"/>
      <c r="P602" s="34"/>
      <c r="Q602" s="34"/>
      <c r="R602" s="34"/>
      <c r="S602" s="34"/>
      <c r="T602" s="34"/>
      <c r="U602" s="34"/>
      <c r="V602" s="34"/>
      <c r="W602" s="34"/>
    </row>
    <row r="603" spans="2:23" x14ac:dyDescent="0.3">
      <c r="B603" s="33"/>
      <c r="C603" s="34"/>
      <c r="D603" s="34"/>
      <c r="E603" s="34"/>
      <c r="F603" s="34"/>
      <c r="G603" s="34"/>
      <c r="H603" s="34"/>
      <c r="I603" s="34"/>
      <c r="J603" s="34"/>
      <c r="K603" s="35"/>
      <c r="L603" s="34"/>
      <c r="M603" s="34"/>
      <c r="N603" s="34"/>
      <c r="O603" s="34"/>
      <c r="P603" s="34"/>
      <c r="Q603" s="34"/>
      <c r="R603" s="34"/>
      <c r="S603" s="34"/>
      <c r="T603" s="34"/>
      <c r="U603" s="34"/>
      <c r="V603" s="34"/>
      <c r="W603" s="34"/>
    </row>
    <row r="604" spans="2:23" x14ac:dyDescent="0.3">
      <c r="B604" s="33"/>
      <c r="C604" s="34"/>
      <c r="D604" s="34"/>
      <c r="E604" s="34"/>
      <c r="F604" s="34"/>
      <c r="G604" s="34"/>
      <c r="H604" s="34"/>
      <c r="I604" s="34"/>
      <c r="J604" s="34"/>
      <c r="K604" s="35"/>
      <c r="L604" s="34"/>
      <c r="M604" s="34"/>
      <c r="N604" s="34"/>
      <c r="O604" s="34"/>
      <c r="P604" s="34"/>
      <c r="Q604" s="34"/>
      <c r="R604" s="34"/>
      <c r="S604" s="34"/>
      <c r="T604" s="34"/>
      <c r="U604" s="34"/>
      <c r="V604" s="34"/>
      <c r="W604" s="34"/>
    </row>
    <row r="605" spans="2:23" x14ac:dyDescent="0.3">
      <c r="B605" s="33"/>
      <c r="C605" s="34"/>
      <c r="D605" s="34"/>
      <c r="E605" s="34"/>
      <c r="F605" s="34"/>
      <c r="G605" s="34"/>
      <c r="H605" s="34"/>
      <c r="I605" s="34"/>
      <c r="J605" s="34"/>
      <c r="K605" s="35"/>
      <c r="L605" s="34"/>
      <c r="M605" s="34"/>
      <c r="N605" s="34"/>
      <c r="O605" s="34"/>
      <c r="P605" s="34"/>
      <c r="Q605" s="34"/>
      <c r="R605" s="34"/>
      <c r="S605" s="34"/>
      <c r="T605" s="34"/>
      <c r="U605" s="34"/>
      <c r="V605" s="34"/>
      <c r="W605" s="34"/>
    </row>
    <row r="606" spans="2:23" x14ac:dyDescent="0.3">
      <c r="B606" s="33"/>
      <c r="C606" s="34"/>
      <c r="D606" s="34"/>
      <c r="E606" s="34"/>
      <c r="F606" s="34"/>
      <c r="G606" s="34"/>
      <c r="H606" s="34"/>
      <c r="I606" s="34"/>
      <c r="J606" s="34"/>
      <c r="K606" s="35"/>
      <c r="L606" s="34"/>
      <c r="M606" s="34"/>
      <c r="N606" s="34"/>
      <c r="O606" s="34"/>
      <c r="P606" s="34"/>
      <c r="Q606" s="34"/>
      <c r="R606" s="34"/>
      <c r="S606" s="34"/>
      <c r="T606" s="34"/>
      <c r="U606" s="34"/>
      <c r="V606" s="34"/>
      <c r="W606" s="34"/>
    </row>
    <row r="607" spans="2:23" x14ac:dyDescent="0.3">
      <c r="B607" s="33"/>
      <c r="C607" s="34"/>
      <c r="D607" s="34"/>
      <c r="E607" s="34"/>
      <c r="F607" s="34"/>
      <c r="G607" s="34"/>
      <c r="H607" s="34"/>
      <c r="I607" s="34"/>
      <c r="J607" s="34"/>
      <c r="K607" s="35"/>
      <c r="L607" s="34"/>
      <c r="M607" s="34"/>
      <c r="N607" s="34"/>
      <c r="O607" s="34"/>
      <c r="P607" s="34"/>
      <c r="Q607" s="34"/>
      <c r="R607" s="34"/>
      <c r="S607" s="34"/>
      <c r="T607" s="34"/>
      <c r="U607" s="34"/>
      <c r="V607" s="34"/>
      <c r="W607" s="34"/>
    </row>
    <row r="608" spans="2:23" x14ac:dyDescent="0.3">
      <c r="B608" s="33"/>
      <c r="C608" s="34"/>
      <c r="D608" s="34"/>
      <c r="E608" s="34"/>
      <c r="F608" s="34"/>
      <c r="G608" s="34"/>
      <c r="H608" s="34"/>
      <c r="I608" s="34"/>
      <c r="J608" s="34"/>
      <c r="K608" s="35"/>
      <c r="L608" s="34"/>
      <c r="M608" s="34"/>
      <c r="N608" s="34"/>
      <c r="O608" s="34"/>
      <c r="P608" s="34"/>
      <c r="Q608" s="34"/>
      <c r="R608" s="34"/>
      <c r="S608" s="34"/>
      <c r="T608" s="34"/>
      <c r="U608" s="34"/>
      <c r="V608" s="34"/>
      <c r="W608" s="34"/>
    </row>
    <row r="609" spans="2:23" x14ac:dyDescent="0.3">
      <c r="B609" s="33"/>
      <c r="C609" s="34"/>
      <c r="D609" s="34"/>
      <c r="E609" s="34"/>
      <c r="F609" s="34"/>
      <c r="G609" s="34"/>
      <c r="H609" s="34"/>
      <c r="I609" s="34"/>
      <c r="J609" s="34"/>
      <c r="K609" s="35"/>
      <c r="L609" s="34"/>
      <c r="M609" s="34"/>
      <c r="N609" s="34"/>
      <c r="O609" s="34"/>
      <c r="P609" s="34"/>
      <c r="Q609" s="34"/>
      <c r="R609" s="34"/>
      <c r="S609" s="34"/>
      <c r="T609" s="34"/>
      <c r="U609" s="34"/>
      <c r="V609" s="34"/>
      <c r="W609" s="34"/>
    </row>
    <row r="610" spans="2:23" x14ac:dyDescent="0.3">
      <c r="B610" s="33"/>
      <c r="C610" s="34"/>
      <c r="D610" s="34"/>
      <c r="E610" s="34"/>
      <c r="F610" s="34"/>
      <c r="G610" s="34"/>
      <c r="H610" s="34"/>
      <c r="I610" s="34"/>
      <c r="J610" s="34"/>
      <c r="K610" s="35"/>
      <c r="L610" s="34"/>
      <c r="M610" s="34"/>
      <c r="N610" s="34"/>
      <c r="O610" s="34"/>
      <c r="P610" s="34"/>
      <c r="Q610" s="34"/>
      <c r="R610" s="34"/>
      <c r="S610" s="34"/>
      <c r="T610" s="34"/>
      <c r="U610" s="34"/>
      <c r="V610" s="34"/>
      <c r="W610" s="34"/>
    </row>
    <row r="611" spans="2:23" x14ac:dyDescent="0.3">
      <c r="B611" s="33"/>
      <c r="C611" s="34"/>
      <c r="D611" s="34"/>
      <c r="E611" s="34"/>
      <c r="F611" s="34"/>
      <c r="G611" s="34"/>
      <c r="H611" s="34"/>
      <c r="I611" s="34"/>
      <c r="J611" s="34"/>
      <c r="K611" s="35"/>
      <c r="L611" s="34"/>
      <c r="M611" s="34"/>
      <c r="N611" s="34"/>
      <c r="O611" s="34"/>
      <c r="P611" s="34"/>
      <c r="Q611" s="34"/>
      <c r="R611" s="34"/>
      <c r="S611" s="34"/>
      <c r="T611" s="34"/>
      <c r="U611" s="34"/>
      <c r="V611" s="34"/>
      <c r="W611" s="34"/>
    </row>
    <row r="612" spans="2:23" x14ac:dyDescent="0.3">
      <c r="B612" s="33"/>
      <c r="C612" s="34"/>
      <c r="D612" s="34"/>
      <c r="E612" s="34"/>
      <c r="F612" s="34"/>
      <c r="G612" s="34"/>
      <c r="H612" s="34"/>
      <c r="I612" s="34"/>
      <c r="J612" s="34"/>
      <c r="K612" s="35"/>
      <c r="L612" s="34"/>
      <c r="M612" s="34"/>
      <c r="N612" s="34"/>
      <c r="O612" s="34"/>
      <c r="P612" s="34"/>
      <c r="Q612" s="34"/>
      <c r="R612" s="34"/>
      <c r="S612" s="34"/>
      <c r="T612" s="34"/>
      <c r="U612" s="34"/>
      <c r="V612" s="34"/>
      <c r="W612" s="34"/>
    </row>
    <row r="613" spans="2:23" x14ac:dyDescent="0.3">
      <c r="B613" s="33"/>
      <c r="C613" s="34"/>
      <c r="D613" s="34"/>
      <c r="E613" s="34"/>
      <c r="F613" s="34"/>
      <c r="G613" s="34"/>
      <c r="H613" s="34"/>
      <c r="I613" s="34"/>
      <c r="J613" s="34"/>
      <c r="K613" s="35"/>
      <c r="L613" s="34"/>
      <c r="M613" s="34"/>
      <c r="N613" s="34"/>
      <c r="O613" s="34"/>
      <c r="P613" s="34"/>
      <c r="Q613" s="34"/>
      <c r="R613" s="34"/>
      <c r="S613" s="34"/>
      <c r="T613" s="34"/>
      <c r="U613" s="34"/>
      <c r="V613" s="34"/>
      <c r="W613" s="34"/>
    </row>
    <row r="614" spans="2:23" x14ac:dyDescent="0.3">
      <c r="B614" s="33"/>
      <c r="C614" s="34"/>
      <c r="D614" s="34"/>
      <c r="E614" s="34"/>
      <c r="F614" s="34"/>
      <c r="G614" s="34"/>
      <c r="H614" s="34"/>
      <c r="I614" s="34"/>
      <c r="J614" s="34"/>
      <c r="K614" s="35"/>
      <c r="L614" s="34"/>
      <c r="M614" s="34"/>
      <c r="N614" s="34"/>
      <c r="O614" s="34"/>
      <c r="P614" s="34"/>
      <c r="Q614" s="34"/>
      <c r="R614" s="34"/>
      <c r="S614" s="34"/>
      <c r="T614" s="34"/>
      <c r="U614" s="34"/>
      <c r="V614" s="34"/>
      <c r="W614" s="34"/>
    </row>
    <row r="615" spans="2:23" x14ac:dyDescent="0.3">
      <c r="B615" s="33"/>
      <c r="C615" s="34"/>
      <c r="D615" s="34"/>
      <c r="E615" s="34"/>
      <c r="F615" s="34"/>
      <c r="G615" s="34"/>
      <c r="H615" s="34"/>
      <c r="I615" s="34"/>
      <c r="J615" s="34"/>
      <c r="K615" s="35"/>
      <c r="L615" s="34"/>
      <c r="M615" s="34"/>
      <c r="N615" s="34"/>
      <c r="O615" s="34"/>
      <c r="P615" s="34"/>
      <c r="Q615" s="34"/>
      <c r="R615" s="34"/>
      <c r="S615" s="34"/>
      <c r="T615" s="34"/>
      <c r="U615" s="34"/>
      <c r="V615" s="34"/>
      <c r="W615" s="34"/>
    </row>
    <row r="616" spans="2:23" x14ac:dyDescent="0.3">
      <c r="B616" s="33"/>
      <c r="C616" s="34"/>
      <c r="D616" s="34"/>
      <c r="E616" s="34"/>
      <c r="F616" s="34"/>
      <c r="G616" s="34"/>
      <c r="H616" s="34"/>
      <c r="I616" s="34"/>
      <c r="J616" s="34"/>
      <c r="K616" s="35"/>
      <c r="L616" s="34"/>
      <c r="M616" s="34"/>
      <c r="N616" s="34"/>
      <c r="O616" s="34"/>
      <c r="P616" s="34"/>
      <c r="Q616" s="34"/>
      <c r="R616" s="34"/>
      <c r="S616" s="34"/>
      <c r="T616" s="34"/>
      <c r="U616" s="34"/>
      <c r="V616" s="34"/>
      <c r="W616" s="34"/>
    </row>
    <row r="617" spans="2:23" x14ac:dyDescent="0.3">
      <c r="B617" s="33"/>
      <c r="C617" s="34"/>
      <c r="D617" s="34"/>
      <c r="E617" s="34"/>
      <c r="F617" s="34"/>
      <c r="G617" s="34"/>
      <c r="H617" s="34"/>
      <c r="I617" s="34"/>
      <c r="J617" s="34"/>
      <c r="K617" s="35"/>
      <c r="L617" s="34"/>
      <c r="M617" s="34"/>
      <c r="N617" s="34"/>
      <c r="O617" s="34"/>
      <c r="P617" s="34"/>
      <c r="Q617" s="34"/>
      <c r="R617" s="34"/>
      <c r="S617" s="34"/>
      <c r="T617" s="34"/>
      <c r="U617" s="34"/>
      <c r="V617" s="34"/>
      <c r="W617" s="34"/>
    </row>
    <row r="618" spans="2:23" x14ac:dyDescent="0.3">
      <c r="B618" s="33"/>
      <c r="C618" s="34"/>
      <c r="D618" s="34"/>
      <c r="E618" s="34"/>
      <c r="F618" s="34"/>
      <c r="G618" s="34"/>
      <c r="H618" s="34"/>
      <c r="I618" s="34"/>
      <c r="J618" s="34"/>
      <c r="K618" s="35"/>
      <c r="L618" s="34"/>
      <c r="M618" s="34"/>
      <c r="N618" s="34"/>
      <c r="O618" s="34"/>
      <c r="P618" s="34"/>
      <c r="Q618" s="34"/>
      <c r="R618" s="34"/>
      <c r="S618" s="34"/>
      <c r="T618" s="34"/>
      <c r="U618" s="34"/>
      <c r="V618" s="34"/>
      <c r="W618" s="34"/>
    </row>
    <row r="619" spans="2:23" x14ac:dyDescent="0.3">
      <c r="B619" s="33"/>
      <c r="C619" s="34"/>
      <c r="D619" s="34"/>
      <c r="E619" s="34"/>
      <c r="F619" s="34"/>
      <c r="G619" s="34"/>
      <c r="H619" s="34"/>
      <c r="I619" s="34"/>
      <c r="J619" s="34"/>
      <c r="K619" s="35"/>
      <c r="L619" s="34"/>
      <c r="M619" s="34"/>
      <c r="N619" s="34"/>
      <c r="O619" s="34"/>
      <c r="P619" s="34"/>
      <c r="Q619" s="34"/>
      <c r="R619" s="34"/>
      <c r="S619" s="34"/>
      <c r="T619" s="34"/>
      <c r="U619" s="34"/>
      <c r="V619" s="34"/>
      <c r="W619" s="34"/>
    </row>
    <row r="620" spans="2:23" x14ac:dyDescent="0.3">
      <c r="B620" s="33"/>
      <c r="C620" s="34"/>
      <c r="D620" s="34"/>
      <c r="E620" s="34"/>
      <c r="F620" s="34"/>
      <c r="G620" s="34"/>
      <c r="H620" s="34"/>
      <c r="I620" s="34"/>
      <c r="J620" s="34"/>
      <c r="K620" s="35"/>
      <c r="L620" s="34"/>
      <c r="M620" s="34"/>
      <c r="N620" s="34"/>
      <c r="O620" s="34"/>
      <c r="P620" s="34"/>
      <c r="Q620" s="34"/>
      <c r="R620" s="34"/>
      <c r="S620" s="34"/>
      <c r="T620" s="34"/>
      <c r="U620" s="34"/>
      <c r="V620" s="34"/>
      <c r="W620" s="34"/>
    </row>
    <row r="621" spans="2:23" x14ac:dyDescent="0.3">
      <c r="B621" s="33"/>
      <c r="C621" s="34"/>
      <c r="D621" s="34"/>
      <c r="E621" s="34"/>
      <c r="F621" s="34"/>
      <c r="G621" s="34"/>
      <c r="H621" s="34"/>
      <c r="I621" s="34"/>
      <c r="J621" s="34"/>
      <c r="K621" s="35"/>
      <c r="L621" s="34"/>
      <c r="M621" s="34"/>
      <c r="N621" s="34"/>
      <c r="O621" s="34"/>
      <c r="P621" s="34"/>
      <c r="Q621" s="34"/>
      <c r="R621" s="34"/>
      <c r="S621" s="34"/>
      <c r="T621" s="34"/>
      <c r="U621" s="34"/>
      <c r="V621" s="34"/>
      <c r="W621" s="34"/>
    </row>
    <row r="622" spans="2:23" x14ac:dyDescent="0.3">
      <c r="B622" s="33"/>
      <c r="C622" s="34"/>
      <c r="D622" s="34"/>
      <c r="E622" s="34"/>
      <c r="F622" s="34"/>
      <c r="G622" s="34"/>
      <c r="H622" s="34"/>
      <c r="I622" s="34"/>
      <c r="J622" s="34"/>
      <c r="K622" s="35"/>
      <c r="L622" s="34"/>
      <c r="M622" s="34"/>
      <c r="N622" s="34"/>
      <c r="O622" s="34"/>
      <c r="P622" s="34"/>
      <c r="Q622" s="34"/>
      <c r="R622" s="34"/>
      <c r="S622" s="34"/>
      <c r="T622" s="34"/>
      <c r="U622" s="34"/>
      <c r="V622" s="34"/>
      <c r="W622" s="34"/>
    </row>
    <row r="623" spans="2:23" x14ac:dyDescent="0.3">
      <c r="B623" s="33"/>
      <c r="C623" s="34"/>
      <c r="D623" s="34"/>
      <c r="E623" s="34"/>
      <c r="F623" s="34"/>
      <c r="G623" s="34"/>
      <c r="H623" s="34"/>
      <c r="I623" s="34"/>
      <c r="J623" s="34"/>
      <c r="K623" s="35"/>
      <c r="L623" s="34"/>
      <c r="M623" s="34"/>
      <c r="N623" s="34"/>
      <c r="O623" s="34"/>
      <c r="P623" s="34"/>
      <c r="Q623" s="34"/>
      <c r="R623" s="34"/>
      <c r="S623" s="34"/>
      <c r="T623" s="34"/>
      <c r="U623" s="34"/>
      <c r="V623" s="34"/>
      <c r="W623" s="34"/>
    </row>
    <row r="624" spans="2:23" x14ac:dyDescent="0.3">
      <c r="B624" s="33"/>
      <c r="C624" s="34"/>
      <c r="D624" s="34"/>
      <c r="E624" s="34"/>
      <c r="F624" s="34"/>
      <c r="G624" s="34"/>
      <c r="H624" s="34"/>
      <c r="I624" s="34"/>
      <c r="J624" s="34"/>
      <c r="K624" s="35"/>
      <c r="L624" s="34"/>
      <c r="M624" s="34"/>
      <c r="N624" s="34"/>
      <c r="O624" s="34"/>
      <c r="P624" s="34"/>
      <c r="Q624" s="34"/>
      <c r="R624" s="34"/>
      <c r="S624" s="34"/>
      <c r="T624" s="34"/>
      <c r="U624" s="34"/>
      <c r="V624" s="34"/>
      <c r="W624" s="34"/>
    </row>
    <row r="625" spans="2:23" x14ac:dyDescent="0.3">
      <c r="B625" s="33"/>
      <c r="C625" s="34"/>
      <c r="D625" s="34"/>
      <c r="E625" s="34"/>
      <c r="F625" s="34"/>
      <c r="G625" s="34"/>
      <c r="H625" s="34"/>
      <c r="I625" s="34"/>
      <c r="J625" s="34"/>
      <c r="K625" s="35"/>
      <c r="L625" s="34"/>
      <c r="M625" s="34"/>
      <c r="N625" s="34"/>
      <c r="O625" s="34"/>
      <c r="P625" s="34"/>
      <c r="Q625" s="34"/>
      <c r="R625" s="34"/>
      <c r="S625" s="34"/>
      <c r="T625" s="34"/>
      <c r="U625" s="34"/>
      <c r="V625" s="34"/>
      <c r="W625" s="34"/>
    </row>
    <row r="626" spans="2:23" x14ac:dyDescent="0.3">
      <c r="B626" s="33"/>
      <c r="C626" s="34"/>
      <c r="D626" s="34"/>
      <c r="E626" s="34"/>
      <c r="F626" s="34"/>
      <c r="G626" s="34"/>
      <c r="H626" s="34"/>
      <c r="I626" s="34"/>
      <c r="J626" s="34"/>
      <c r="K626" s="35"/>
      <c r="L626" s="34"/>
      <c r="M626" s="34"/>
      <c r="N626" s="34"/>
      <c r="O626" s="34"/>
      <c r="P626" s="34"/>
      <c r="Q626" s="34"/>
      <c r="R626" s="34"/>
      <c r="S626" s="34"/>
      <c r="T626" s="34"/>
      <c r="U626" s="34"/>
      <c r="V626" s="34"/>
      <c r="W626" s="34"/>
    </row>
    <row r="627" spans="2:23" x14ac:dyDescent="0.3">
      <c r="B627" s="33"/>
      <c r="C627" s="34"/>
      <c r="D627" s="34"/>
      <c r="E627" s="34"/>
      <c r="F627" s="34"/>
      <c r="G627" s="34"/>
      <c r="H627" s="34"/>
      <c r="I627" s="34"/>
      <c r="J627" s="34"/>
      <c r="K627" s="35"/>
      <c r="L627" s="34"/>
      <c r="M627" s="34"/>
      <c r="N627" s="34"/>
      <c r="O627" s="34"/>
      <c r="P627" s="34"/>
      <c r="Q627" s="34"/>
      <c r="R627" s="34"/>
      <c r="S627" s="34"/>
      <c r="T627" s="34"/>
      <c r="U627" s="34"/>
      <c r="V627" s="34"/>
      <c r="W627" s="34"/>
    </row>
    <row r="628" spans="2:23" x14ac:dyDescent="0.3">
      <c r="B628" s="33"/>
      <c r="C628" s="34"/>
      <c r="D628" s="34"/>
      <c r="E628" s="34"/>
      <c r="F628" s="34"/>
      <c r="G628" s="34"/>
      <c r="H628" s="34"/>
      <c r="I628" s="34"/>
      <c r="J628" s="34"/>
      <c r="K628" s="35"/>
      <c r="L628" s="34"/>
      <c r="M628" s="34"/>
      <c r="N628" s="34"/>
      <c r="O628" s="34"/>
      <c r="P628" s="34"/>
      <c r="Q628" s="34"/>
      <c r="R628" s="34"/>
      <c r="S628" s="34"/>
      <c r="T628" s="34"/>
      <c r="U628" s="34"/>
      <c r="V628" s="34"/>
      <c r="W628" s="34"/>
    </row>
    <row r="629" spans="2:23" x14ac:dyDescent="0.3">
      <c r="B629" s="33"/>
      <c r="C629" s="34"/>
      <c r="D629" s="34"/>
      <c r="E629" s="34"/>
      <c r="F629" s="34"/>
      <c r="G629" s="34"/>
      <c r="H629" s="34"/>
      <c r="I629" s="34"/>
      <c r="J629" s="34"/>
      <c r="K629" s="35"/>
      <c r="L629" s="34"/>
      <c r="M629" s="34"/>
      <c r="N629" s="34"/>
      <c r="O629" s="34"/>
      <c r="P629" s="34"/>
      <c r="Q629" s="34"/>
      <c r="R629" s="34"/>
      <c r="S629" s="34"/>
      <c r="T629" s="34"/>
      <c r="U629" s="34"/>
      <c r="V629" s="34"/>
      <c r="W629" s="34"/>
    </row>
    <row r="630" spans="2:23" x14ac:dyDescent="0.3">
      <c r="B630" s="33"/>
      <c r="C630" s="34"/>
      <c r="D630" s="34"/>
      <c r="E630" s="34"/>
      <c r="F630" s="34"/>
      <c r="G630" s="34"/>
      <c r="H630" s="34"/>
      <c r="I630" s="34"/>
      <c r="J630" s="34"/>
      <c r="K630" s="35"/>
      <c r="L630" s="34"/>
      <c r="M630" s="34"/>
      <c r="N630" s="34"/>
      <c r="O630" s="34"/>
      <c r="P630" s="34"/>
      <c r="Q630" s="34"/>
      <c r="R630" s="34"/>
      <c r="S630" s="34"/>
      <c r="T630" s="34"/>
      <c r="U630" s="34"/>
      <c r="V630" s="34"/>
      <c r="W630" s="34"/>
    </row>
    <row r="631" spans="2:23" x14ac:dyDescent="0.3">
      <c r="B631" s="33"/>
      <c r="C631" s="34"/>
      <c r="D631" s="34"/>
      <c r="E631" s="34"/>
      <c r="F631" s="34"/>
      <c r="G631" s="34"/>
      <c r="H631" s="34"/>
      <c r="I631" s="34"/>
      <c r="J631" s="34"/>
      <c r="K631" s="35"/>
      <c r="L631" s="34"/>
      <c r="M631" s="34"/>
      <c r="N631" s="34"/>
      <c r="O631" s="34"/>
      <c r="P631" s="34"/>
      <c r="Q631" s="34"/>
      <c r="R631" s="34"/>
      <c r="S631" s="34"/>
      <c r="T631" s="34"/>
      <c r="U631" s="34"/>
      <c r="V631" s="34"/>
      <c r="W631" s="34"/>
    </row>
    <row r="632" spans="2:23" x14ac:dyDescent="0.3">
      <c r="B632" s="33"/>
      <c r="C632" s="34"/>
      <c r="D632" s="34"/>
      <c r="E632" s="34"/>
      <c r="F632" s="34"/>
      <c r="G632" s="34"/>
      <c r="H632" s="34"/>
      <c r="I632" s="34"/>
      <c r="J632" s="34"/>
      <c r="K632" s="35"/>
      <c r="L632" s="34"/>
      <c r="M632" s="34"/>
      <c r="N632" s="34"/>
      <c r="O632" s="34"/>
      <c r="P632" s="34"/>
      <c r="Q632" s="34"/>
      <c r="R632" s="34"/>
      <c r="S632" s="34"/>
      <c r="T632" s="34"/>
      <c r="U632" s="34"/>
      <c r="V632" s="34"/>
      <c r="W632" s="34"/>
    </row>
    <row r="633" spans="2:23" x14ac:dyDescent="0.3">
      <c r="B633" s="33"/>
      <c r="C633" s="34"/>
      <c r="D633" s="34"/>
      <c r="E633" s="34"/>
      <c r="F633" s="34"/>
      <c r="G633" s="34"/>
      <c r="H633" s="34"/>
      <c r="I633" s="34"/>
      <c r="J633" s="34"/>
      <c r="K633" s="35"/>
      <c r="L633" s="34"/>
      <c r="M633" s="34"/>
      <c r="N633" s="34"/>
      <c r="O633" s="34"/>
      <c r="P633" s="34"/>
      <c r="Q633" s="34"/>
      <c r="R633" s="34"/>
      <c r="S633" s="34"/>
      <c r="T633" s="34"/>
      <c r="U633" s="34"/>
      <c r="V633" s="34"/>
      <c r="W633" s="34"/>
    </row>
    <row r="634" spans="2:23" x14ac:dyDescent="0.3">
      <c r="B634" s="33"/>
      <c r="C634" s="34"/>
      <c r="D634" s="34"/>
      <c r="E634" s="34"/>
      <c r="F634" s="34"/>
      <c r="G634" s="34"/>
      <c r="H634" s="34"/>
      <c r="I634" s="34"/>
      <c r="J634" s="34"/>
      <c r="K634" s="35"/>
      <c r="L634" s="34"/>
      <c r="M634" s="34"/>
      <c r="N634" s="34"/>
      <c r="O634" s="34"/>
      <c r="P634" s="34"/>
      <c r="Q634" s="34"/>
      <c r="R634" s="34"/>
      <c r="S634" s="34"/>
      <c r="T634" s="34"/>
      <c r="U634" s="34"/>
      <c r="V634" s="34"/>
      <c r="W634" s="34"/>
    </row>
    <row r="635" spans="2:23" x14ac:dyDescent="0.3">
      <c r="B635" s="33"/>
      <c r="C635" s="34"/>
      <c r="D635" s="34"/>
      <c r="E635" s="34"/>
      <c r="F635" s="34"/>
      <c r="G635" s="34"/>
      <c r="H635" s="34"/>
      <c r="I635" s="34"/>
      <c r="J635" s="34"/>
      <c r="K635" s="35"/>
      <c r="L635" s="34"/>
      <c r="M635" s="34"/>
      <c r="N635" s="34"/>
      <c r="O635" s="34"/>
      <c r="P635" s="34"/>
      <c r="Q635" s="34"/>
      <c r="R635" s="34"/>
      <c r="S635" s="34"/>
      <c r="T635" s="34"/>
      <c r="U635" s="34"/>
      <c r="V635" s="34"/>
      <c r="W635" s="34"/>
    </row>
    <row r="636" spans="2:23" x14ac:dyDescent="0.3">
      <c r="B636" s="33"/>
      <c r="C636" s="34"/>
      <c r="D636" s="34"/>
      <c r="E636" s="34"/>
      <c r="F636" s="34"/>
      <c r="G636" s="34"/>
      <c r="H636" s="34"/>
      <c r="I636" s="34"/>
      <c r="J636" s="34"/>
      <c r="K636" s="35"/>
      <c r="L636" s="34"/>
      <c r="M636" s="34"/>
      <c r="N636" s="34"/>
      <c r="O636" s="34"/>
      <c r="P636" s="34"/>
      <c r="Q636" s="34"/>
      <c r="R636" s="34"/>
      <c r="S636" s="34"/>
      <c r="T636" s="34"/>
      <c r="U636" s="34"/>
      <c r="V636" s="34"/>
      <c r="W636" s="34"/>
    </row>
    <row r="637" spans="2:23" x14ac:dyDescent="0.3">
      <c r="B637" s="33"/>
      <c r="C637" s="34"/>
      <c r="D637" s="34"/>
      <c r="E637" s="34"/>
      <c r="F637" s="34"/>
      <c r="G637" s="34"/>
      <c r="H637" s="34"/>
      <c r="I637" s="34"/>
      <c r="J637" s="34"/>
      <c r="K637" s="35"/>
      <c r="L637" s="34"/>
      <c r="M637" s="34"/>
      <c r="N637" s="34"/>
      <c r="O637" s="34"/>
      <c r="P637" s="34"/>
      <c r="Q637" s="34"/>
      <c r="R637" s="34"/>
      <c r="S637" s="34"/>
      <c r="T637" s="34"/>
      <c r="U637" s="34"/>
      <c r="V637" s="34"/>
      <c r="W637" s="34"/>
    </row>
    <row r="638" spans="2:23" x14ac:dyDescent="0.3">
      <c r="B638" s="33"/>
      <c r="C638" s="34"/>
      <c r="D638" s="34"/>
      <c r="E638" s="34"/>
      <c r="F638" s="34"/>
      <c r="G638" s="34"/>
      <c r="H638" s="34"/>
      <c r="I638" s="34"/>
      <c r="J638" s="34"/>
      <c r="K638" s="35"/>
      <c r="L638" s="34"/>
      <c r="M638" s="34"/>
      <c r="N638" s="34"/>
      <c r="O638" s="34"/>
      <c r="P638" s="34"/>
      <c r="Q638" s="34"/>
      <c r="R638" s="34"/>
      <c r="S638" s="34"/>
      <c r="T638" s="34"/>
      <c r="U638" s="34"/>
      <c r="V638" s="34"/>
      <c r="W638" s="34"/>
    </row>
    <row r="639" spans="2:23" x14ac:dyDescent="0.3">
      <c r="B639" s="33"/>
      <c r="C639" s="34"/>
      <c r="D639" s="34"/>
      <c r="E639" s="34"/>
      <c r="F639" s="34"/>
      <c r="G639" s="34"/>
      <c r="H639" s="34"/>
      <c r="I639" s="34"/>
      <c r="J639" s="34"/>
      <c r="K639" s="35"/>
      <c r="L639" s="34"/>
      <c r="M639" s="34"/>
      <c r="N639" s="34"/>
      <c r="O639" s="34"/>
      <c r="P639" s="34"/>
      <c r="Q639" s="34"/>
      <c r="R639" s="34"/>
      <c r="S639" s="34"/>
      <c r="T639" s="34"/>
      <c r="U639" s="34"/>
      <c r="V639" s="34"/>
      <c r="W639" s="34"/>
    </row>
    <row r="640" spans="2:23" x14ac:dyDescent="0.3">
      <c r="B640" s="33"/>
      <c r="C640" s="34"/>
      <c r="D640" s="34"/>
      <c r="E640" s="34"/>
      <c r="F640" s="34"/>
      <c r="G640" s="34"/>
      <c r="H640" s="34"/>
      <c r="I640" s="34"/>
      <c r="J640" s="34"/>
      <c r="K640" s="35"/>
      <c r="L640" s="34"/>
      <c r="M640" s="34"/>
      <c r="N640" s="34"/>
      <c r="O640" s="34"/>
      <c r="P640" s="34"/>
      <c r="Q640" s="34"/>
      <c r="R640" s="34"/>
      <c r="S640" s="34"/>
      <c r="T640" s="34"/>
      <c r="U640" s="34"/>
      <c r="V640" s="34"/>
      <c r="W640" s="34"/>
    </row>
    <row r="641" spans="2:23" x14ac:dyDescent="0.3">
      <c r="B641" s="33"/>
      <c r="C641" s="34"/>
      <c r="D641" s="34"/>
      <c r="E641" s="34"/>
      <c r="F641" s="34"/>
      <c r="G641" s="34"/>
      <c r="H641" s="34"/>
      <c r="I641" s="34"/>
      <c r="J641" s="34"/>
      <c r="K641" s="35"/>
      <c r="L641" s="34"/>
      <c r="M641" s="34"/>
      <c r="N641" s="34"/>
      <c r="O641" s="34"/>
      <c r="P641" s="34"/>
      <c r="Q641" s="34"/>
      <c r="R641" s="34"/>
      <c r="S641" s="34"/>
      <c r="T641" s="34"/>
      <c r="U641" s="34"/>
      <c r="V641" s="34"/>
      <c r="W641" s="34"/>
    </row>
    <row r="642" spans="2:23" x14ac:dyDescent="0.3">
      <c r="B642" s="33"/>
      <c r="C642" s="34"/>
      <c r="D642" s="34"/>
      <c r="E642" s="34"/>
      <c r="F642" s="34"/>
      <c r="G642" s="34"/>
      <c r="H642" s="34"/>
      <c r="I642" s="34"/>
      <c r="J642" s="34"/>
      <c r="K642" s="35"/>
      <c r="L642" s="34"/>
      <c r="M642" s="34"/>
      <c r="N642" s="34"/>
      <c r="O642" s="34"/>
      <c r="P642" s="34"/>
      <c r="Q642" s="34"/>
      <c r="R642" s="34"/>
      <c r="S642" s="34"/>
      <c r="T642" s="34"/>
      <c r="U642" s="34"/>
      <c r="V642" s="34"/>
      <c r="W642" s="34"/>
    </row>
    <row r="643" spans="2:23" x14ac:dyDescent="0.3">
      <c r="B643" s="33"/>
      <c r="C643" s="34"/>
      <c r="D643" s="34"/>
      <c r="E643" s="34"/>
      <c r="F643" s="34"/>
      <c r="G643" s="34"/>
      <c r="H643" s="34"/>
      <c r="I643" s="34"/>
      <c r="J643" s="34"/>
      <c r="K643" s="35"/>
      <c r="L643" s="34"/>
      <c r="M643" s="34"/>
      <c r="N643" s="34"/>
      <c r="O643" s="34"/>
      <c r="P643" s="34"/>
      <c r="Q643" s="34"/>
      <c r="R643" s="34"/>
      <c r="S643" s="34"/>
      <c r="T643" s="34"/>
      <c r="U643" s="34"/>
      <c r="V643" s="34"/>
      <c r="W643" s="34"/>
    </row>
    <row r="644" spans="2:23" x14ac:dyDescent="0.3">
      <c r="B644" s="33"/>
      <c r="C644" s="34"/>
      <c r="D644" s="34"/>
      <c r="E644" s="34"/>
      <c r="F644" s="34"/>
      <c r="G644" s="34"/>
      <c r="H644" s="34"/>
      <c r="I644" s="34"/>
      <c r="J644" s="34"/>
      <c r="K644" s="35"/>
      <c r="L644" s="34"/>
      <c r="M644" s="34"/>
      <c r="N644" s="34"/>
      <c r="O644" s="34"/>
      <c r="P644" s="34"/>
      <c r="Q644" s="34"/>
      <c r="R644" s="34"/>
      <c r="S644" s="34"/>
      <c r="T644" s="34"/>
      <c r="U644" s="34"/>
      <c r="V644" s="34"/>
      <c r="W644" s="34"/>
    </row>
    <row r="645" spans="2:23" x14ac:dyDescent="0.3">
      <c r="B645" s="33"/>
      <c r="C645" s="34"/>
      <c r="D645" s="34"/>
      <c r="E645" s="34"/>
      <c r="F645" s="34"/>
      <c r="G645" s="34"/>
      <c r="H645" s="34"/>
      <c r="I645" s="34"/>
      <c r="J645" s="34"/>
      <c r="K645" s="35"/>
      <c r="L645" s="34"/>
      <c r="M645" s="34"/>
      <c r="N645" s="34"/>
      <c r="O645" s="34"/>
      <c r="P645" s="34"/>
      <c r="Q645" s="34"/>
      <c r="R645" s="34"/>
      <c r="S645" s="34"/>
      <c r="T645" s="34"/>
      <c r="U645" s="34"/>
      <c r="V645" s="34"/>
      <c r="W645" s="34"/>
    </row>
    <row r="646" spans="2:23" x14ac:dyDescent="0.3">
      <c r="B646" s="33"/>
      <c r="C646" s="34"/>
      <c r="D646" s="34"/>
      <c r="E646" s="34"/>
      <c r="F646" s="34"/>
      <c r="G646" s="34"/>
      <c r="H646" s="34"/>
      <c r="I646" s="34"/>
      <c r="J646" s="34"/>
      <c r="K646" s="35"/>
      <c r="L646" s="34"/>
      <c r="M646" s="34"/>
      <c r="N646" s="34"/>
      <c r="O646" s="34"/>
      <c r="P646" s="34"/>
      <c r="Q646" s="34"/>
      <c r="R646" s="34"/>
      <c r="S646" s="34"/>
      <c r="T646" s="34"/>
      <c r="U646" s="34"/>
      <c r="V646" s="34"/>
      <c r="W646" s="34"/>
    </row>
    <row r="647" spans="2:23" x14ac:dyDescent="0.3">
      <c r="B647" s="33"/>
      <c r="C647" s="34"/>
      <c r="D647" s="34"/>
      <c r="E647" s="34"/>
      <c r="F647" s="34"/>
      <c r="G647" s="34"/>
      <c r="H647" s="34"/>
      <c r="I647" s="34"/>
      <c r="J647" s="34"/>
      <c r="K647" s="35"/>
      <c r="L647" s="34"/>
      <c r="M647" s="34"/>
      <c r="N647" s="34"/>
      <c r="O647" s="34"/>
      <c r="P647" s="34"/>
      <c r="Q647" s="34"/>
      <c r="R647" s="34"/>
      <c r="S647" s="34"/>
      <c r="T647" s="34"/>
      <c r="U647" s="34"/>
      <c r="V647" s="34"/>
      <c r="W647" s="34"/>
    </row>
    <row r="648" spans="2:23" x14ac:dyDescent="0.3">
      <c r="B648" s="33"/>
      <c r="C648" s="34"/>
      <c r="D648" s="34"/>
      <c r="E648" s="34"/>
      <c r="F648" s="34"/>
      <c r="G648" s="34"/>
      <c r="H648" s="34"/>
      <c r="I648" s="34"/>
      <c r="J648" s="34"/>
      <c r="K648" s="35"/>
      <c r="L648" s="34"/>
      <c r="M648" s="34"/>
      <c r="N648" s="34"/>
      <c r="O648" s="34"/>
      <c r="P648" s="34"/>
      <c r="Q648" s="34"/>
      <c r="R648" s="34"/>
      <c r="S648" s="34"/>
      <c r="T648" s="34"/>
      <c r="U648" s="34"/>
      <c r="V648" s="34"/>
      <c r="W648" s="34"/>
    </row>
    <row r="649" spans="2:23" x14ac:dyDescent="0.3">
      <c r="B649" s="33"/>
      <c r="C649" s="34"/>
      <c r="D649" s="34"/>
      <c r="E649" s="34"/>
      <c r="F649" s="34"/>
      <c r="G649" s="34"/>
      <c r="H649" s="34"/>
      <c r="I649" s="34"/>
      <c r="J649" s="34"/>
      <c r="K649" s="35"/>
      <c r="L649" s="34"/>
      <c r="M649" s="34"/>
      <c r="N649" s="34"/>
      <c r="O649" s="34"/>
      <c r="P649" s="34"/>
      <c r="Q649" s="34"/>
      <c r="R649" s="34"/>
      <c r="S649" s="34"/>
      <c r="T649" s="34"/>
      <c r="U649" s="34"/>
      <c r="V649" s="34"/>
      <c r="W649" s="34"/>
    </row>
    <row r="650" spans="2:23" x14ac:dyDescent="0.3">
      <c r="B650" s="33"/>
      <c r="C650" s="34"/>
      <c r="D650" s="34"/>
      <c r="E650" s="34"/>
      <c r="F650" s="34"/>
      <c r="G650" s="34"/>
      <c r="H650" s="34"/>
      <c r="I650" s="34"/>
      <c r="J650" s="34"/>
      <c r="K650" s="35"/>
      <c r="L650" s="34"/>
      <c r="M650" s="34"/>
      <c r="N650" s="34"/>
      <c r="O650" s="34"/>
      <c r="P650" s="34"/>
      <c r="Q650" s="34"/>
      <c r="R650" s="34"/>
      <c r="S650" s="34"/>
      <c r="T650" s="34"/>
      <c r="U650" s="34"/>
      <c r="V650" s="34"/>
      <c r="W650" s="34"/>
    </row>
    <row r="651" spans="2:23" x14ac:dyDescent="0.3">
      <c r="B651" s="33"/>
      <c r="C651" s="34"/>
      <c r="D651" s="34"/>
      <c r="E651" s="34"/>
      <c r="F651" s="34"/>
      <c r="G651" s="34"/>
      <c r="H651" s="34"/>
      <c r="I651" s="34"/>
      <c r="J651" s="34"/>
      <c r="K651" s="35"/>
      <c r="L651" s="34"/>
      <c r="M651" s="34"/>
      <c r="N651" s="34"/>
      <c r="O651" s="34"/>
      <c r="P651" s="34"/>
      <c r="Q651" s="34"/>
      <c r="R651" s="34"/>
      <c r="S651" s="34"/>
      <c r="T651" s="34"/>
      <c r="U651" s="34"/>
      <c r="V651" s="34"/>
      <c r="W651" s="34"/>
    </row>
    <row r="652" spans="2:23" x14ac:dyDescent="0.3">
      <c r="B652" s="33"/>
      <c r="C652" s="34"/>
      <c r="D652" s="34"/>
      <c r="E652" s="34"/>
      <c r="F652" s="34"/>
      <c r="G652" s="34"/>
      <c r="H652" s="34"/>
      <c r="I652" s="34"/>
      <c r="J652" s="34"/>
      <c r="K652" s="35"/>
      <c r="L652" s="34"/>
      <c r="M652" s="34"/>
      <c r="N652" s="34"/>
      <c r="O652" s="34"/>
      <c r="P652" s="34"/>
      <c r="Q652" s="34"/>
      <c r="R652" s="34"/>
      <c r="S652" s="34"/>
      <c r="T652" s="34"/>
      <c r="U652" s="34"/>
      <c r="V652" s="34"/>
      <c r="W652" s="34"/>
    </row>
    <row r="653" spans="2:23" x14ac:dyDescent="0.3">
      <c r="B653" s="33"/>
      <c r="C653" s="34"/>
      <c r="D653" s="34"/>
      <c r="E653" s="34"/>
      <c r="F653" s="34"/>
      <c r="G653" s="34"/>
      <c r="H653" s="34"/>
      <c r="I653" s="34"/>
      <c r="J653" s="34"/>
      <c r="K653" s="35"/>
      <c r="L653" s="34"/>
      <c r="M653" s="34"/>
      <c r="N653" s="34"/>
      <c r="O653" s="34"/>
      <c r="P653" s="34"/>
      <c r="Q653" s="34"/>
      <c r="R653" s="34"/>
      <c r="S653" s="34"/>
      <c r="T653" s="34"/>
      <c r="U653" s="34"/>
      <c r="V653" s="34"/>
      <c r="W653" s="34"/>
    </row>
    <row r="654" spans="2:23" x14ac:dyDescent="0.3">
      <c r="B654" s="33"/>
      <c r="C654" s="34"/>
      <c r="D654" s="34"/>
      <c r="E654" s="34"/>
      <c r="F654" s="34"/>
      <c r="G654" s="34"/>
      <c r="H654" s="34"/>
      <c r="I654" s="34"/>
      <c r="J654" s="34"/>
      <c r="K654" s="35"/>
      <c r="L654" s="34"/>
      <c r="M654" s="34"/>
      <c r="N654" s="34"/>
      <c r="O654" s="34"/>
      <c r="P654" s="34"/>
      <c r="Q654" s="34"/>
      <c r="R654" s="34"/>
      <c r="S654" s="34"/>
      <c r="T654" s="34"/>
      <c r="U654" s="34"/>
      <c r="V654" s="34"/>
      <c r="W654" s="34"/>
    </row>
    <row r="655" spans="2:23" x14ac:dyDescent="0.3">
      <c r="B655" s="33"/>
      <c r="C655" s="34"/>
      <c r="D655" s="34"/>
      <c r="E655" s="34"/>
      <c r="F655" s="34"/>
      <c r="G655" s="34"/>
      <c r="H655" s="34"/>
      <c r="I655" s="34"/>
      <c r="J655" s="34"/>
      <c r="K655" s="35"/>
      <c r="L655" s="34"/>
      <c r="M655" s="34"/>
      <c r="N655" s="34"/>
      <c r="O655" s="34"/>
      <c r="P655" s="34"/>
      <c r="Q655" s="34"/>
      <c r="R655" s="34"/>
      <c r="S655" s="34"/>
      <c r="T655" s="34"/>
      <c r="U655" s="34"/>
      <c r="V655" s="34"/>
      <c r="W655" s="34"/>
    </row>
    <row r="656" spans="2:23" x14ac:dyDescent="0.3">
      <c r="B656" s="33"/>
      <c r="C656" s="34"/>
      <c r="D656" s="34"/>
      <c r="E656" s="34"/>
      <c r="F656" s="34"/>
      <c r="G656" s="34"/>
      <c r="H656" s="34"/>
      <c r="I656" s="34"/>
      <c r="J656" s="34"/>
      <c r="K656" s="35"/>
      <c r="L656" s="34"/>
      <c r="M656" s="34"/>
      <c r="N656" s="34"/>
      <c r="O656" s="34"/>
      <c r="P656" s="34"/>
      <c r="Q656" s="34"/>
      <c r="R656" s="34"/>
      <c r="S656" s="34"/>
      <c r="T656" s="34"/>
      <c r="U656" s="34"/>
      <c r="V656" s="34"/>
      <c r="W656" s="34"/>
    </row>
    <row r="657" spans="2:23" x14ac:dyDescent="0.3">
      <c r="B657" s="33"/>
      <c r="C657" s="34"/>
      <c r="D657" s="34"/>
      <c r="E657" s="34"/>
      <c r="F657" s="34"/>
      <c r="G657" s="34"/>
      <c r="H657" s="34"/>
      <c r="I657" s="34"/>
      <c r="J657" s="34"/>
      <c r="K657" s="35"/>
      <c r="L657" s="34"/>
      <c r="M657" s="34"/>
      <c r="N657" s="34"/>
      <c r="O657" s="34"/>
      <c r="P657" s="34"/>
      <c r="Q657" s="34"/>
      <c r="R657" s="34"/>
      <c r="S657" s="34"/>
      <c r="T657" s="34"/>
      <c r="U657" s="34"/>
      <c r="V657" s="34"/>
      <c r="W657" s="34"/>
    </row>
    <row r="658" spans="2:23" x14ac:dyDescent="0.3">
      <c r="B658" s="33"/>
      <c r="C658" s="34"/>
      <c r="D658" s="34"/>
      <c r="E658" s="34"/>
      <c r="F658" s="34"/>
      <c r="G658" s="34"/>
      <c r="H658" s="34"/>
      <c r="I658" s="34"/>
      <c r="J658" s="34"/>
      <c r="K658" s="35"/>
      <c r="L658" s="34"/>
      <c r="M658" s="34"/>
      <c r="N658" s="34"/>
      <c r="O658" s="34"/>
      <c r="P658" s="34"/>
      <c r="Q658" s="34"/>
      <c r="R658" s="34"/>
      <c r="S658" s="34"/>
      <c r="T658" s="34"/>
      <c r="U658" s="34"/>
      <c r="V658" s="34"/>
      <c r="W658" s="34"/>
    </row>
    <row r="659" spans="2:23" x14ac:dyDescent="0.3">
      <c r="B659" s="33"/>
      <c r="C659" s="34"/>
      <c r="D659" s="34"/>
      <c r="E659" s="34"/>
      <c r="F659" s="34"/>
      <c r="G659" s="34"/>
      <c r="H659" s="34"/>
      <c r="I659" s="34"/>
      <c r="J659" s="34"/>
      <c r="K659" s="35"/>
      <c r="L659" s="34"/>
      <c r="M659" s="34"/>
      <c r="N659" s="34"/>
      <c r="O659" s="34"/>
      <c r="P659" s="34"/>
      <c r="Q659" s="34"/>
      <c r="R659" s="34"/>
      <c r="S659" s="34"/>
      <c r="T659" s="34"/>
      <c r="U659" s="34"/>
      <c r="V659" s="34"/>
      <c r="W659" s="34"/>
    </row>
    <row r="660" spans="2:23" x14ac:dyDescent="0.3">
      <c r="B660" s="33"/>
      <c r="C660" s="34"/>
      <c r="D660" s="34"/>
      <c r="E660" s="34"/>
      <c r="F660" s="34"/>
      <c r="G660" s="34"/>
      <c r="H660" s="34"/>
      <c r="I660" s="34"/>
      <c r="J660" s="34"/>
      <c r="K660" s="35"/>
      <c r="L660" s="34"/>
      <c r="M660" s="34"/>
      <c r="N660" s="34"/>
      <c r="O660" s="34"/>
      <c r="P660" s="34"/>
      <c r="Q660" s="34"/>
      <c r="R660" s="34"/>
      <c r="S660" s="34"/>
      <c r="T660" s="34"/>
      <c r="U660" s="34"/>
      <c r="V660" s="34"/>
      <c r="W660" s="34"/>
    </row>
    <row r="661" spans="2:23" x14ac:dyDescent="0.3">
      <c r="B661" s="33"/>
      <c r="C661" s="34"/>
      <c r="D661" s="34"/>
      <c r="E661" s="34"/>
      <c r="F661" s="34"/>
      <c r="G661" s="34"/>
      <c r="H661" s="34"/>
      <c r="I661" s="34"/>
      <c r="J661" s="34"/>
      <c r="K661" s="35"/>
      <c r="L661" s="34"/>
      <c r="M661" s="34"/>
      <c r="N661" s="34"/>
      <c r="O661" s="34"/>
      <c r="P661" s="34"/>
      <c r="Q661" s="34"/>
      <c r="R661" s="34"/>
      <c r="S661" s="34"/>
      <c r="T661" s="34"/>
      <c r="U661" s="34"/>
      <c r="V661" s="34"/>
      <c r="W661" s="34"/>
    </row>
    <row r="662" spans="2:23" x14ac:dyDescent="0.3">
      <c r="B662" s="33"/>
      <c r="C662" s="34"/>
      <c r="D662" s="34"/>
      <c r="E662" s="34"/>
      <c r="F662" s="34"/>
      <c r="G662" s="34"/>
      <c r="H662" s="34"/>
      <c r="I662" s="34"/>
      <c r="J662" s="34"/>
      <c r="K662" s="35"/>
      <c r="L662" s="34"/>
      <c r="M662" s="34"/>
      <c r="N662" s="34"/>
      <c r="O662" s="34"/>
      <c r="P662" s="34"/>
      <c r="Q662" s="34"/>
      <c r="R662" s="34"/>
      <c r="S662" s="34"/>
      <c r="T662" s="34"/>
      <c r="U662" s="34"/>
      <c r="V662" s="34"/>
      <c r="W662" s="34"/>
    </row>
    <row r="663" spans="2:23" x14ac:dyDescent="0.3">
      <c r="B663" s="33"/>
      <c r="C663" s="34"/>
      <c r="D663" s="34"/>
      <c r="E663" s="34"/>
      <c r="F663" s="34"/>
      <c r="G663" s="34"/>
      <c r="H663" s="34"/>
      <c r="I663" s="34"/>
      <c r="J663" s="34"/>
      <c r="K663" s="35"/>
      <c r="L663" s="34"/>
      <c r="M663" s="34"/>
      <c r="N663" s="34"/>
      <c r="O663" s="34"/>
      <c r="P663" s="34"/>
      <c r="Q663" s="34"/>
      <c r="R663" s="34"/>
      <c r="S663" s="34"/>
      <c r="T663" s="34"/>
      <c r="U663" s="34"/>
      <c r="V663" s="34"/>
      <c r="W663" s="34"/>
    </row>
    <row r="664" spans="2:23" x14ac:dyDescent="0.3">
      <c r="B664" s="33"/>
      <c r="C664" s="34"/>
      <c r="D664" s="34"/>
      <c r="E664" s="34"/>
      <c r="F664" s="34"/>
      <c r="G664" s="34"/>
      <c r="H664" s="34"/>
      <c r="I664" s="34"/>
      <c r="J664" s="34"/>
      <c r="K664" s="35"/>
      <c r="L664" s="34"/>
      <c r="M664" s="34"/>
      <c r="N664" s="34"/>
      <c r="O664" s="34"/>
      <c r="P664" s="34"/>
      <c r="Q664" s="34"/>
      <c r="R664" s="34"/>
      <c r="S664" s="34"/>
      <c r="T664" s="34"/>
      <c r="U664" s="34"/>
      <c r="V664" s="34"/>
      <c r="W664" s="34"/>
    </row>
    <row r="665" spans="2:23" x14ac:dyDescent="0.3">
      <c r="B665" s="33"/>
      <c r="C665" s="34"/>
      <c r="D665" s="34"/>
      <c r="E665" s="34"/>
      <c r="F665" s="34"/>
      <c r="G665" s="34"/>
      <c r="H665" s="34"/>
      <c r="I665" s="34"/>
      <c r="J665" s="34"/>
      <c r="K665" s="35"/>
      <c r="L665" s="34"/>
      <c r="M665" s="34"/>
      <c r="N665" s="34"/>
      <c r="O665" s="34"/>
      <c r="P665" s="34"/>
      <c r="Q665" s="34"/>
      <c r="R665" s="34"/>
      <c r="S665" s="34"/>
      <c r="T665" s="34"/>
      <c r="U665" s="34"/>
      <c r="V665" s="34"/>
      <c r="W665" s="34"/>
    </row>
    <row r="666" spans="2:23" x14ac:dyDescent="0.3">
      <c r="B666" s="33"/>
      <c r="C666" s="34"/>
      <c r="D666" s="34"/>
      <c r="E666" s="34"/>
      <c r="F666" s="34"/>
      <c r="G666" s="34"/>
      <c r="H666" s="34"/>
      <c r="I666" s="34"/>
      <c r="J666" s="34"/>
      <c r="K666" s="35"/>
      <c r="L666" s="34"/>
      <c r="M666" s="34"/>
      <c r="N666" s="34"/>
      <c r="O666" s="34"/>
      <c r="P666" s="34"/>
      <c r="Q666" s="34"/>
      <c r="R666" s="34"/>
      <c r="S666" s="34"/>
      <c r="T666" s="34"/>
      <c r="U666" s="34"/>
      <c r="V666" s="34"/>
      <c r="W666" s="34"/>
    </row>
    <row r="667" spans="2:23" x14ac:dyDescent="0.3">
      <c r="B667" s="33"/>
      <c r="C667" s="34"/>
      <c r="D667" s="34"/>
      <c r="E667" s="34"/>
      <c r="F667" s="34"/>
      <c r="G667" s="34"/>
      <c r="H667" s="34"/>
      <c r="I667" s="34"/>
      <c r="J667" s="34"/>
      <c r="K667" s="35"/>
      <c r="L667" s="34"/>
      <c r="M667" s="34"/>
      <c r="N667" s="34"/>
      <c r="O667" s="34"/>
      <c r="P667" s="34"/>
      <c r="Q667" s="34"/>
      <c r="R667" s="34"/>
      <c r="S667" s="34"/>
      <c r="T667" s="34"/>
      <c r="U667" s="34"/>
      <c r="V667" s="34"/>
      <c r="W667" s="34"/>
    </row>
    <row r="668" spans="2:23" x14ac:dyDescent="0.3">
      <c r="B668" s="33"/>
      <c r="C668" s="34"/>
      <c r="D668" s="34"/>
      <c r="E668" s="34"/>
      <c r="F668" s="34"/>
      <c r="G668" s="34"/>
      <c r="H668" s="34"/>
      <c r="I668" s="34"/>
      <c r="J668" s="34"/>
      <c r="K668" s="35"/>
      <c r="L668" s="34"/>
      <c r="M668" s="34"/>
      <c r="N668" s="34"/>
      <c r="O668" s="34"/>
      <c r="P668" s="34"/>
      <c r="Q668" s="34"/>
      <c r="R668" s="34"/>
      <c r="S668" s="34"/>
      <c r="T668" s="34"/>
      <c r="U668" s="34"/>
      <c r="V668" s="34"/>
      <c r="W668" s="34"/>
    </row>
    <row r="669" spans="2:23" x14ac:dyDescent="0.3">
      <c r="B669" s="33"/>
      <c r="C669" s="34"/>
      <c r="D669" s="34"/>
      <c r="E669" s="34"/>
      <c r="F669" s="34"/>
      <c r="G669" s="34"/>
      <c r="H669" s="34"/>
      <c r="I669" s="34"/>
      <c r="J669" s="34"/>
      <c r="K669" s="35"/>
      <c r="L669" s="34"/>
      <c r="M669" s="34"/>
      <c r="N669" s="34"/>
      <c r="O669" s="34"/>
      <c r="P669" s="34"/>
      <c r="Q669" s="34"/>
      <c r="R669" s="34"/>
      <c r="S669" s="34"/>
      <c r="T669" s="34"/>
      <c r="U669" s="34"/>
      <c r="V669" s="34"/>
      <c r="W669" s="34"/>
    </row>
    <row r="670" spans="2:23" x14ac:dyDescent="0.3">
      <c r="B670" s="33"/>
      <c r="C670" s="34"/>
      <c r="D670" s="34"/>
      <c r="E670" s="34"/>
      <c r="F670" s="34"/>
      <c r="G670" s="34"/>
      <c r="H670" s="34"/>
      <c r="I670" s="34"/>
      <c r="J670" s="34"/>
      <c r="K670" s="35"/>
      <c r="L670" s="34"/>
      <c r="M670" s="34"/>
      <c r="N670" s="34"/>
      <c r="O670" s="34"/>
      <c r="P670" s="34"/>
      <c r="Q670" s="34"/>
      <c r="R670" s="34"/>
      <c r="S670" s="34"/>
      <c r="T670" s="34"/>
      <c r="U670" s="34"/>
      <c r="V670" s="34"/>
      <c r="W670" s="34"/>
    </row>
    <row r="671" spans="2:23" x14ac:dyDescent="0.3">
      <c r="B671" s="33"/>
      <c r="C671" s="34"/>
      <c r="D671" s="34"/>
      <c r="E671" s="34"/>
      <c r="F671" s="34"/>
      <c r="G671" s="34"/>
      <c r="H671" s="34"/>
      <c r="I671" s="34"/>
      <c r="J671" s="34"/>
      <c r="K671" s="35"/>
      <c r="L671" s="34"/>
      <c r="M671" s="34"/>
      <c r="N671" s="34"/>
      <c r="O671" s="34"/>
      <c r="P671" s="34"/>
      <c r="Q671" s="34"/>
      <c r="R671" s="34"/>
      <c r="S671" s="34"/>
      <c r="T671" s="34"/>
      <c r="U671" s="34"/>
      <c r="V671" s="34"/>
      <c r="W671" s="34"/>
    </row>
    <row r="672" spans="2:23" x14ac:dyDescent="0.3">
      <c r="B672" s="33"/>
      <c r="C672" s="34"/>
      <c r="D672" s="34"/>
      <c r="E672" s="34"/>
      <c r="F672" s="34"/>
      <c r="G672" s="34"/>
      <c r="H672" s="34"/>
      <c r="I672" s="34"/>
      <c r="J672" s="34"/>
      <c r="K672" s="35"/>
      <c r="L672" s="34"/>
      <c r="M672" s="34"/>
      <c r="N672" s="34"/>
      <c r="O672" s="34"/>
      <c r="P672" s="34"/>
      <c r="Q672" s="34"/>
      <c r="R672" s="34"/>
      <c r="S672" s="34"/>
      <c r="T672" s="34"/>
      <c r="U672" s="34"/>
      <c r="V672" s="34"/>
      <c r="W672" s="34"/>
    </row>
    <row r="673" spans="2:23" x14ac:dyDescent="0.3">
      <c r="B673" s="33"/>
      <c r="C673" s="34"/>
      <c r="D673" s="34"/>
      <c r="E673" s="34"/>
      <c r="F673" s="34"/>
      <c r="G673" s="34"/>
      <c r="H673" s="34"/>
      <c r="I673" s="34"/>
      <c r="J673" s="34"/>
      <c r="K673" s="35"/>
      <c r="L673" s="34"/>
      <c r="M673" s="34"/>
      <c r="N673" s="34"/>
      <c r="O673" s="34"/>
      <c r="P673" s="34"/>
      <c r="Q673" s="34"/>
      <c r="R673" s="34"/>
      <c r="S673" s="34"/>
      <c r="T673" s="34"/>
      <c r="U673" s="34"/>
      <c r="V673" s="34"/>
      <c r="W673" s="34"/>
    </row>
    <row r="674" spans="2:23" x14ac:dyDescent="0.3">
      <c r="B674" s="33"/>
      <c r="C674" s="34"/>
      <c r="D674" s="34"/>
      <c r="E674" s="34"/>
      <c r="F674" s="34"/>
      <c r="G674" s="34"/>
      <c r="H674" s="34"/>
      <c r="I674" s="34"/>
      <c r="J674" s="34"/>
      <c r="K674" s="35"/>
      <c r="L674" s="34"/>
      <c r="M674" s="34"/>
      <c r="N674" s="34"/>
      <c r="O674" s="34"/>
      <c r="P674" s="34"/>
      <c r="Q674" s="34"/>
      <c r="R674" s="34"/>
      <c r="S674" s="34"/>
      <c r="T674" s="34"/>
      <c r="U674" s="34"/>
      <c r="V674" s="34"/>
      <c r="W674" s="34"/>
    </row>
    <row r="675" spans="2:23" x14ac:dyDescent="0.3">
      <c r="B675" s="33"/>
      <c r="C675" s="34"/>
      <c r="D675" s="34"/>
      <c r="E675" s="34"/>
      <c r="F675" s="34"/>
      <c r="G675" s="34"/>
      <c r="H675" s="34"/>
      <c r="I675" s="34"/>
      <c r="J675" s="34"/>
      <c r="K675" s="35"/>
      <c r="L675" s="34"/>
      <c r="M675" s="34"/>
      <c r="N675" s="34"/>
      <c r="O675" s="34"/>
      <c r="P675" s="34"/>
      <c r="Q675" s="34"/>
      <c r="R675" s="34"/>
      <c r="S675" s="34"/>
      <c r="T675" s="34"/>
      <c r="U675" s="34"/>
      <c r="V675" s="34"/>
      <c r="W675" s="34"/>
    </row>
    <row r="676" spans="2:23" x14ac:dyDescent="0.3">
      <c r="B676" s="33"/>
      <c r="C676" s="34"/>
      <c r="D676" s="34"/>
      <c r="E676" s="34"/>
      <c r="F676" s="34"/>
      <c r="G676" s="34"/>
      <c r="H676" s="34"/>
      <c r="I676" s="34"/>
      <c r="J676" s="34"/>
      <c r="K676" s="35"/>
      <c r="L676" s="34"/>
      <c r="M676" s="34"/>
      <c r="N676" s="34"/>
      <c r="O676" s="34"/>
      <c r="P676" s="34"/>
      <c r="Q676" s="34"/>
      <c r="R676" s="34"/>
      <c r="S676" s="34"/>
      <c r="T676" s="34"/>
      <c r="U676" s="34"/>
      <c r="V676" s="34"/>
      <c r="W676" s="34"/>
    </row>
    <row r="677" spans="2:23" x14ac:dyDescent="0.3">
      <c r="B677" s="33"/>
      <c r="C677" s="34"/>
      <c r="D677" s="34"/>
      <c r="E677" s="34"/>
      <c r="F677" s="34"/>
      <c r="G677" s="34"/>
      <c r="H677" s="34"/>
      <c r="I677" s="34"/>
      <c r="J677" s="34"/>
      <c r="K677" s="35"/>
      <c r="L677" s="34"/>
      <c r="M677" s="34"/>
      <c r="N677" s="34"/>
      <c r="O677" s="34"/>
      <c r="P677" s="34"/>
      <c r="Q677" s="34"/>
      <c r="R677" s="34"/>
      <c r="S677" s="34"/>
      <c r="T677" s="34"/>
      <c r="U677" s="34"/>
      <c r="V677" s="34"/>
      <c r="W677" s="34"/>
    </row>
    <row r="678" spans="2:23" x14ac:dyDescent="0.3">
      <c r="B678" s="33"/>
      <c r="C678" s="34"/>
      <c r="D678" s="34"/>
      <c r="E678" s="34"/>
      <c r="F678" s="34"/>
      <c r="G678" s="34"/>
      <c r="H678" s="34"/>
      <c r="I678" s="34"/>
      <c r="J678" s="34"/>
      <c r="K678" s="35"/>
      <c r="L678" s="34"/>
      <c r="M678" s="34"/>
      <c r="N678" s="34"/>
      <c r="O678" s="34"/>
      <c r="P678" s="34"/>
      <c r="Q678" s="34"/>
      <c r="R678" s="34"/>
      <c r="S678" s="34"/>
      <c r="T678" s="34"/>
      <c r="U678" s="34"/>
      <c r="V678" s="34"/>
      <c r="W678" s="34"/>
    </row>
    <row r="679" spans="2:23" x14ac:dyDescent="0.3">
      <c r="B679" s="33"/>
      <c r="C679" s="34"/>
      <c r="D679" s="34"/>
      <c r="E679" s="34"/>
      <c r="F679" s="34"/>
      <c r="G679" s="34"/>
      <c r="H679" s="34"/>
      <c r="I679" s="34"/>
      <c r="J679" s="34"/>
      <c r="K679" s="35"/>
      <c r="L679" s="34"/>
      <c r="M679" s="34"/>
      <c r="N679" s="34"/>
      <c r="O679" s="34"/>
      <c r="P679" s="34"/>
      <c r="Q679" s="34"/>
      <c r="R679" s="34"/>
      <c r="S679" s="34"/>
      <c r="T679" s="34"/>
      <c r="U679" s="34"/>
      <c r="V679" s="34"/>
      <c r="W679" s="34"/>
    </row>
    <row r="680" spans="2:23" x14ac:dyDescent="0.3">
      <c r="B680" s="33"/>
      <c r="C680" s="34"/>
      <c r="D680" s="34"/>
      <c r="E680" s="34"/>
      <c r="F680" s="34"/>
      <c r="G680" s="34"/>
      <c r="H680" s="34"/>
      <c r="I680" s="34"/>
      <c r="J680" s="34"/>
      <c r="K680" s="35"/>
      <c r="L680" s="34"/>
      <c r="M680" s="34"/>
      <c r="N680" s="34"/>
      <c r="O680" s="34"/>
      <c r="P680" s="34"/>
      <c r="Q680" s="34"/>
      <c r="R680" s="34"/>
      <c r="S680" s="34"/>
      <c r="T680" s="34"/>
      <c r="U680" s="34"/>
      <c r="V680" s="34"/>
      <c r="W680" s="34"/>
    </row>
    <row r="681" spans="2:23" x14ac:dyDescent="0.3">
      <c r="B681" s="33"/>
      <c r="C681" s="34"/>
      <c r="D681" s="34"/>
      <c r="E681" s="34"/>
      <c r="F681" s="34"/>
      <c r="G681" s="34"/>
      <c r="H681" s="34"/>
      <c r="I681" s="34"/>
      <c r="J681" s="34"/>
      <c r="K681" s="35"/>
      <c r="L681" s="34"/>
      <c r="M681" s="34"/>
      <c r="N681" s="34"/>
      <c r="O681" s="34"/>
      <c r="P681" s="34"/>
      <c r="Q681" s="34"/>
      <c r="R681" s="34"/>
      <c r="S681" s="34"/>
      <c r="T681" s="34"/>
      <c r="U681" s="34"/>
      <c r="V681" s="34"/>
      <c r="W681" s="34"/>
    </row>
    <row r="682" spans="2:23" x14ac:dyDescent="0.3">
      <c r="B682" s="33"/>
      <c r="C682" s="34"/>
      <c r="D682" s="34"/>
      <c r="E682" s="34"/>
      <c r="F682" s="34"/>
      <c r="G682" s="34"/>
      <c r="H682" s="34"/>
      <c r="I682" s="34"/>
      <c r="J682" s="34"/>
      <c r="K682" s="35"/>
      <c r="L682" s="34"/>
      <c r="M682" s="34"/>
      <c r="N682" s="34"/>
      <c r="O682" s="34"/>
      <c r="P682" s="34"/>
      <c r="Q682" s="34"/>
      <c r="R682" s="34"/>
      <c r="S682" s="34"/>
      <c r="T682" s="34"/>
      <c r="U682" s="34"/>
      <c r="V682" s="34"/>
      <c r="W682" s="34"/>
    </row>
    <row r="683" spans="2:23" x14ac:dyDescent="0.3">
      <c r="B683" s="33"/>
      <c r="C683" s="34"/>
      <c r="D683" s="34"/>
      <c r="E683" s="34"/>
      <c r="F683" s="34"/>
      <c r="G683" s="34"/>
      <c r="H683" s="34"/>
      <c r="I683" s="34"/>
      <c r="J683" s="34"/>
      <c r="K683" s="35"/>
      <c r="L683" s="34"/>
      <c r="M683" s="34"/>
      <c r="N683" s="34"/>
      <c r="O683" s="34"/>
      <c r="P683" s="34"/>
      <c r="Q683" s="34"/>
      <c r="R683" s="34"/>
      <c r="S683" s="34"/>
      <c r="T683" s="34"/>
      <c r="U683" s="34"/>
      <c r="V683" s="34"/>
      <c r="W683" s="34"/>
    </row>
    <row r="684" spans="2:23" x14ac:dyDescent="0.3">
      <c r="B684" s="33"/>
      <c r="C684" s="34"/>
      <c r="D684" s="34"/>
      <c r="E684" s="34"/>
      <c r="F684" s="34"/>
      <c r="G684" s="34"/>
      <c r="H684" s="34"/>
      <c r="I684" s="34"/>
      <c r="J684" s="34"/>
      <c r="K684" s="35"/>
      <c r="L684" s="34"/>
      <c r="M684" s="34"/>
      <c r="N684" s="34"/>
      <c r="O684" s="34"/>
      <c r="P684" s="34"/>
      <c r="Q684" s="34"/>
      <c r="R684" s="34"/>
      <c r="S684" s="34"/>
      <c r="T684" s="34"/>
      <c r="U684" s="34"/>
      <c r="V684" s="34"/>
      <c r="W684" s="34"/>
    </row>
    <row r="685" spans="2:23" x14ac:dyDescent="0.3">
      <c r="B685" s="33"/>
      <c r="C685" s="34"/>
      <c r="D685" s="34"/>
      <c r="E685" s="34"/>
      <c r="F685" s="34"/>
      <c r="G685" s="34"/>
      <c r="H685" s="34"/>
      <c r="I685" s="34"/>
      <c r="J685" s="34"/>
      <c r="K685" s="35"/>
      <c r="L685" s="34"/>
      <c r="M685" s="34"/>
      <c r="N685" s="34"/>
      <c r="O685" s="34"/>
      <c r="P685" s="34"/>
      <c r="Q685" s="34"/>
      <c r="R685" s="34"/>
      <c r="S685" s="34"/>
      <c r="T685" s="34"/>
      <c r="U685" s="34"/>
      <c r="V685" s="34"/>
      <c r="W685" s="34"/>
    </row>
    <row r="686" spans="2:23" x14ac:dyDescent="0.3">
      <c r="B686" s="33"/>
      <c r="C686" s="34"/>
      <c r="D686" s="34"/>
      <c r="E686" s="34"/>
      <c r="F686" s="34"/>
      <c r="G686" s="34"/>
      <c r="H686" s="34"/>
      <c r="I686" s="34"/>
      <c r="J686" s="34"/>
      <c r="K686" s="35"/>
      <c r="L686" s="34"/>
      <c r="M686" s="34"/>
      <c r="N686" s="34"/>
      <c r="O686" s="34"/>
      <c r="P686" s="34"/>
      <c r="Q686" s="34"/>
      <c r="R686" s="34"/>
      <c r="S686" s="34"/>
      <c r="T686" s="34"/>
      <c r="U686" s="34"/>
      <c r="V686" s="34"/>
      <c r="W686" s="34"/>
    </row>
    <row r="687" spans="2:23" x14ac:dyDescent="0.3">
      <c r="B687" s="33"/>
      <c r="C687" s="34"/>
      <c r="D687" s="34"/>
      <c r="E687" s="34"/>
      <c r="F687" s="34"/>
      <c r="G687" s="34"/>
      <c r="H687" s="34"/>
      <c r="I687" s="34"/>
      <c r="J687" s="34"/>
      <c r="K687" s="35"/>
      <c r="L687" s="34"/>
      <c r="M687" s="34"/>
      <c r="N687" s="34"/>
      <c r="O687" s="34"/>
      <c r="P687" s="34"/>
      <c r="Q687" s="34"/>
      <c r="R687" s="34"/>
      <c r="S687" s="34"/>
      <c r="T687" s="34"/>
      <c r="U687" s="34"/>
      <c r="V687" s="34"/>
      <c r="W687" s="34"/>
    </row>
    <row r="688" spans="2:23" x14ac:dyDescent="0.3">
      <c r="B688" s="33"/>
      <c r="C688" s="34"/>
      <c r="D688" s="34"/>
      <c r="E688" s="34"/>
      <c r="F688" s="34"/>
      <c r="G688" s="34"/>
      <c r="H688" s="34"/>
      <c r="I688" s="34"/>
      <c r="J688" s="34"/>
      <c r="K688" s="35"/>
      <c r="L688" s="34"/>
      <c r="M688" s="34"/>
      <c r="N688" s="34"/>
      <c r="O688" s="34"/>
      <c r="P688" s="34"/>
      <c r="Q688" s="34"/>
      <c r="R688" s="34"/>
      <c r="S688" s="34"/>
      <c r="T688" s="34"/>
      <c r="U688" s="34"/>
      <c r="V688" s="34"/>
      <c r="W688" s="34"/>
    </row>
    <row r="689" spans="2:23" x14ac:dyDescent="0.3">
      <c r="B689" s="33"/>
      <c r="C689" s="34"/>
      <c r="D689" s="34"/>
      <c r="E689" s="34"/>
      <c r="F689" s="34"/>
      <c r="G689" s="34"/>
      <c r="H689" s="34"/>
      <c r="I689" s="34"/>
      <c r="J689" s="34"/>
      <c r="K689" s="35"/>
      <c r="L689" s="34"/>
      <c r="M689" s="34"/>
      <c r="N689" s="34"/>
      <c r="O689" s="34"/>
      <c r="P689" s="34"/>
      <c r="Q689" s="34"/>
      <c r="R689" s="34"/>
      <c r="S689" s="34"/>
      <c r="T689" s="34"/>
      <c r="U689" s="34"/>
      <c r="V689" s="34"/>
      <c r="W689" s="34"/>
    </row>
    <row r="690" spans="2:23" x14ac:dyDescent="0.3">
      <c r="B690" s="33"/>
      <c r="C690" s="34"/>
      <c r="D690" s="34"/>
      <c r="E690" s="34"/>
      <c r="F690" s="34"/>
      <c r="G690" s="34"/>
      <c r="H690" s="34"/>
      <c r="I690" s="34"/>
      <c r="J690" s="34"/>
      <c r="K690" s="35"/>
      <c r="L690" s="34"/>
      <c r="M690" s="34"/>
      <c r="N690" s="34"/>
      <c r="O690" s="34"/>
      <c r="P690" s="34"/>
      <c r="Q690" s="34"/>
      <c r="R690" s="34"/>
      <c r="S690" s="34"/>
      <c r="T690" s="34"/>
      <c r="U690" s="34"/>
      <c r="V690" s="34"/>
      <c r="W690" s="34"/>
    </row>
    <row r="691" spans="2:23" x14ac:dyDescent="0.3">
      <c r="B691" s="33"/>
      <c r="C691" s="34"/>
      <c r="D691" s="34"/>
      <c r="E691" s="34"/>
      <c r="F691" s="34"/>
      <c r="G691" s="34"/>
      <c r="H691" s="34"/>
      <c r="I691" s="34"/>
      <c r="J691" s="34"/>
      <c r="K691" s="35"/>
      <c r="L691" s="34"/>
      <c r="M691" s="34"/>
      <c r="N691" s="34"/>
      <c r="O691" s="34"/>
      <c r="P691" s="34"/>
      <c r="Q691" s="34"/>
      <c r="R691" s="34"/>
      <c r="S691" s="34"/>
      <c r="T691" s="34"/>
      <c r="U691" s="34"/>
      <c r="V691" s="34"/>
      <c r="W691" s="34"/>
    </row>
    <row r="692" spans="2:23" x14ac:dyDescent="0.3">
      <c r="B692" s="33"/>
      <c r="C692" s="34"/>
      <c r="D692" s="34"/>
      <c r="E692" s="34"/>
      <c r="F692" s="34"/>
      <c r="G692" s="34"/>
      <c r="H692" s="34"/>
      <c r="I692" s="34"/>
      <c r="J692" s="34"/>
      <c r="K692" s="35"/>
      <c r="L692" s="34"/>
      <c r="M692" s="34"/>
      <c r="N692" s="34"/>
      <c r="O692" s="34"/>
      <c r="P692" s="34"/>
      <c r="Q692" s="34"/>
      <c r="R692" s="34"/>
      <c r="S692" s="34"/>
      <c r="T692" s="34"/>
      <c r="U692" s="34"/>
      <c r="V692" s="34"/>
      <c r="W692" s="34"/>
    </row>
    <row r="693" spans="2:23" x14ac:dyDescent="0.3">
      <c r="B693" s="33"/>
      <c r="C693" s="34"/>
      <c r="D693" s="34"/>
      <c r="E693" s="34"/>
      <c r="F693" s="34"/>
      <c r="G693" s="34"/>
      <c r="H693" s="34"/>
      <c r="I693" s="34"/>
      <c r="J693" s="34"/>
      <c r="K693" s="35"/>
      <c r="L693" s="34"/>
      <c r="M693" s="34"/>
      <c r="N693" s="34"/>
      <c r="O693" s="34"/>
      <c r="P693" s="34"/>
      <c r="Q693" s="34"/>
      <c r="R693" s="34"/>
      <c r="S693" s="34"/>
      <c r="T693" s="34"/>
      <c r="U693" s="34"/>
      <c r="V693" s="34"/>
      <c r="W693" s="34"/>
    </row>
    <row r="694" spans="2:23" x14ac:dyDescent="0.3">
      <c r="B694" s="33"/>
      <c r="C694" s="34"/>
      <c r="D694" s="34"/>
      <c r="E694" s="34"/>
      <c r="F694" s="34"/>
      <c r="G694" s="34"/>
      <c r="H694" s="34"/>
      <c r="I694" s="34"/>
      <c r="J694" s="34"/>
      <c r="K694" s="35"/>
      <c r="L694" s="34"/>
      <c r="M694" s="34"/>
      <c r="N694" s="34"/>
      <c r="O694" s="34"/>
      <c r="P694" s="34"/>
      <c r="Q694" s="34"/>
      <c r="R694" s="34"/>
      <c r="S694" s="34"/>
      <c r="T694" s="34"/>
      <c r="U694" s="34"/>
      <c r="V694" s="34"/>
      <c r="W694" s="34"/>
    </row>
    <row r="695" spans="2:23" x14ac:dyDescent="0.3">
      <c r="B695" s="33"/>
      <c r="C695" s="34"/>
      <c r="D695" s="34"/>
      <c r="E695" s="34"/>
      <c r="F695" s="34"/>
      <c r="G695" s="34"/>
      <c r="H695" s="34"/>
      <c r="I695" s="34"/>
      <c r="J695" s="34"/>
      <c r="K695" s="35"/>
      <c r="L695" s="34"/>
      <c r="M695" s="34"/>
      <c r="N695" s="34"/>
      <c r="O695" s="34"/>
      <c r="P695" s="34"/>
      <c r="Q695" s="34"/>
      <c r="R695" s="34"/>
      <c r="S695" s="34"/>
      <c r="T695" s="34"/>
      <c r="U695" s="34"/>
      <c r="V695" s="34"/>
      <c r="W695" s="34"/>
    </row>
    <row r="696" spans="2:23" x14ac:dyDescent="0.3">
      <c r="B696" s="33"/>
      <c r="C696" s="34"/>
      <c r="D696" s="34"/>
      <c r="E696" s="34"/>
      <c r="F696" s="34"/>
      <c r="G696" s="34"/>
      <c r="H696" s="34"/>
      <c r="I696" s="34"/>
      <c r="J696" s="34"/>
      <c r="K696" s="35"/>
      <c r="L696" s="34"/>
      <c r="M696" s="34"/>
      <c r="N696" s="34"/>
      <c r="O696" s="34"/>
      <c r="P696" s="34"/>
      <c r="Q696" s="34"/>
      <c r="R696" s="34"/>
      <c r="S696" s="34"/>
      <c r="T696" s="34"/>
      <c r="U696" s="34"/>
      <c r="V696" s="34"/>
      <c r="W696" s="34"/>
    </row>
    <row r="697" spans="2:23" x14ac:dyDescent="0.3">
      <c r="B697" s="33"/>
      <c r="C697" s="34"/>
      <c r="D697" s="34"/>
      <c r="E697" s="34"/>
      <c r="F697" s="34"/>
      <c r="G697" s="34"/>
      <c r="H697" s="34"/>
      <c r="I697" s="34"/>
      <c r="J697" s="34"/>
      <c r="K697" s="35"/>
      <c r="L697" s="34"/>
      <c r="M697" s="34"/>
      <c r="N697" s="34"/>
      <c r="O697" s="34"/>
      <c r="P697" s="34"/>
      <c r="Q697" s="34"/>
      <c r="R697" s="34"/>
      <c r="S697" s="34"/>
      <c r="T697" s="34"/>
      <c r="U697" s="34"/>
      <c r="V697" s="34"/>
      <c r="W697" s="34"/>
    </row>
    <row r="698" spans="2:23" x14ac:dyDescent="0.3">
      <c r="B698" s="33"/>
      <c r="C698" s="34"/>
      <c r="D698" s="34"/>
      <c r="E698" s="34"/>
      <c r="F698" s="34"/>
      <c r="G698" s="34"/>
      <c r="H698" s="34"/>
      <c r="I698" s="34"/>
      <c r="J698" s="34"/>
      <c r="K698" s="35"/>
      <c r="L698" s="34"/>
      <c r="M698" s="34"/>
      <c r="N698" s="34"/>
      <c r="O698" s="34"/>
      <c r="P698" s="34"/>
      <c r="Q698" s="34"/>
      <c r="R698" s="34"/>
      <c r="S698" s="34"/>
      <c r="T698" s="34"/>
      <c r="U698" s="34"/>
      <c r="V698" s="34"/>
      <c r="W698" s="34"/>
    </row>
    <row r="699" spans="2:23" x14ac:dyDescent="0.3">
      <c r="B699" s="33"/>
      <c r="C699" s="34"/>
      <c r="D699" s="34"/>
      <c r="E699" s="34"/>
      <c r="F699" s="34"/>
      <c r="G699" s="34"/>
      <c r="H699" s="34"/>
      <c r="I699" s="34"/>
      <c r="J699" s="34"/>
      <c r="K699" s="35"/>
      <c r="L699" s="34"/>
      <c r="M699" s="34"/>
      <c r="N699" s="34"/>
      <c r="O699" s="34"/>
      <c r="P699" s="34"/>
      <c r="Q699" s="34"/>
      <c r="R699" s="34"/>
      <c r="S699" s="34"/>
      <c r="T699" s="34"/>
      <c r="U699" s="34"/>
      <c r="V699" s="34"/>
      <c r="W699" s="34"/>
    </row>
    <row r="700" spans="2:23" x14ac:dyDescent="0.3">
      <c r="B700" s="33"/>
      <c r="C700" s="34"/>
      <c r="D700" s="34"/>
      <c r="E700" s="34"/>
      <c r="F700" s="34"/>
      <c r="G700" s="34"/>
      <c r="H700" s="34"/>
      <c r="I700" s="34"/>
      <c r="J700" s="34"/>
      <c r="K700" s="35"/>
      <c r="L700" s="34"/>
      <c r="M700" s="34"/>
      <c r="N700" s="34"/>
      <c r="O700" s="34"/>
      <c r="P700" s="34"/>
      <c r="Q700" s="34"/>
      <c r="R700" s="34"/>
      <c r="S700" s="34"/>
      <c r="T700" s="34"/>
      <c r="U700" s="34"/>
      <c r="V700" s="34"/>
      <c r="W700" s="34"/>
    </row>
    <row r="701" spans="2:23" x14ac:dyDescent="0.3">
      <c r="B701" s="33"/>
      <c r="C701" s="34"/>
      <c r="D701" s="34"/>
      <c r="E701" s="34"/>
      <c r="F701" s="34"/>
      <c r="G701" s="34"/>
      <c r="H701" s="34"/>
      <c r="I701" s="34"/>
      <c r="J701" s="34"/>
      <c r="K701" s="35"/>
      <c r="L701" s="34"/>
      <c r="M701" s="34"/>
      <c r="N701" s="34"/>
      <c r="O701" s="34"/>
      <c r="P701" s="34"/>
      <c r="Q701" s="34"/>
      <c r="R701" s="34"/>
      <c r="S701" s="34"/>
      <c r="T701" s="34"/>
      <c r="U701" s="34"/>
      <c r="V701" s="34"/>
      <c r="W701" s="34"/>
    </row>
    <row r="702" spans="2:23" x14ac:dyDescent="0.3">
      <c r="B702" s="33"/>
      <c r="C702" s="34"/>
      <c r="D702" s="34"/>
      <c r="E702" s="34"/>
      <c r="F702" s="34"/>
      <c r="G702" s="34"/>
      <c r="H702" s="34"/>
      <c r="I702" s="34"/>
      <c r="J702" s="34"/>
      <c r="K702" s="35"/>
      <c r="L702" s="34"/>
      <c r="M702" s="34"/>
      <c r="N702" s="34"/>
      <c r="O702" s="34"/>
      <c r="P702" s="34"/>
      <c r="Q702" s="34"/>
      <c r="R702" s="34"/>
      <c r="S702" s="34"/>
      <c r="T702" s="34"/>
      <c r="U702" s="34"/>
      <c r="V702" s="34"/>
      <c r="W702" s="34"/>
    </row>
    <row r="703" spans="2:23" x14ac:dyDescent="0.3">
      <c r="B703" s="33"/>
      <c r="C703" s="34"/>
      <c r="D703" s="34"/>
      <c r="E703" s="34"/>
      <c r="F703" s="34"/>
      <c r="G703" s="34"/>
      <c r="H703" s="34"/>
      <c r="I703" s="34"/>
      <c r="J703" s="34"/>
      <c r="K703" s="35"/>
      <c r="L703" s="34"/>
      <c r="M703" s="34"/>
      <c r="N703" s="34"/>
      <c r="O703" s="34"/>
      <c r="P703" s="34"/>
      <c r="Q703" s="34"/>
      <c r="R703" s="34"/>
      <c r="S703" s="34"/>
      <c r="T703" s="34"/>
      <c r="U703" s="34"/>
      <c r="V703" s="34"/>
      <c r="W703" s="34"/>
    </row>
    <row r="704" spans="2:23" x14ac:dyDescent="0.3">
      <c r="B704" s="33"/>
      <c r="C704" s="34"/>
      <c r="D704" s="34"/>
      <c r="E704" s="34"/>
      <c r="F704" s="34"/>
      <c r="G704" s="34"/>
      <c r="H704" s="34"/>
      <c r="I704" s="34"/>
      <c r="J704" s="34"/>
      <c r="K704" s="35"/>
      <c r="L704" s="34"/>
      <c r="M704" s="34"/>
      <c r="N704" s="34"/>
      <c r="O704" s="34"/>
      <c r="P704" s="34"/>
      <c r="Q704" s="34"/>
      <c r="R704" s="34"/>
      <c r="S704" s="34"/>
      <c r="T704" s="34"/>
      <c r="U704" s="34"/>
      <c r="V704" s="34"/>
      <c r="W704" s="34"/>
    </row>
    <row r="705" spans="2:23" x14ac:dyDescent="0.3">
      <c r="B705" s="33"/>
      <c r="C705" s="34"/>
      <c r="D705" s="34"/>
      <c r="E705" s="34"/>
      <c r="F705" s="34"/>
      <c r="G705" s="34"/>
      <c r="H705" s="34"/>
      <c r="I705" s="34"/>
      <c r="J705" s="34"/>
      <c r="K705" s="35"/>
      <c r="L705" s="34"/>
      <c r="M705" s="34"/>
      <c r="N705" s="34"/>
      <c r="O705" s="34"/>
      <c r="P705" s="34"/>
      <c r="Q705" s="34"/>
      <c r="R705" s="34"/>
      <c r="S705" s="34"/>
      <c r="T705" s="34"/>
      <c r="U705" s="34"/>
      <c r="V705" s="34"/>
      <c r="W705" s="34"/>
    </row>
    <row r="706" spans="2:23" x14ac:dyDescent="0.3">
      <c r="B706" s="33"/>
      <c r="C706" s="34"/>
      <c r="D706" s="34"/>
      <c r="E706" s="34"/>
      <c r="F706" s="34"/>
      <c r="G706" s="34"/>
      <c r="H706" s="34"/>
      <c r="I706" s="34"/>
      <c r="J706" s="34"/>
      <c r="K706" s="35"/>
      <c r="L706" s="34"/>
      <c r="M706" s="34"/>
      <c r="N706" s="34"/>
      <c r="O706" s="34"/>
      <c r="P706" s="34"/>
      <c r="Q706" s="34"/>
      <c r="R706" s="34"/>
      <c r="S706" s="34"/>
      <c r="T706" s="34"/>
      <c r="U706" s="34"/>
      <c r="V706" s="34"/>
      <c r="W706" s="34"/>
    </row>
    <row r="707" spans="2:23" x14ac:dyDescent="0.3">
      <c r="B707" s="33"/>
      <c r="C707" s="34"/>
      <c r="D707" s="34"/>
      <c r="E707" s="34"/>
      <c r="F707" s="34"/>
      <c r="G707" s="34"/>
      <c r="H707" s="34"/>
      <c r="I707" s="34"/>
      <c r="J707" s="34"/>
      <c r="K707" s="35"/>
      <c r="L707" s="34"/>
      <c r="M707" s="34"/>
      <c r="N707" s="34"/>
      <c r="O707" s="34"/>
      <c r="P707" s="34"/>
      <c r="Q707" s="34"/>
      <c r="R707" s="34"/>
      <c r="S707" s="34"/>
      <c r="T707" s="34"/>
      <c r="U707" s="34"/>
      <c r="V707" s="34"/>
      <c r="W707" s="34"/>
    </row>
    <row r="708" spans="2:23" x14ac:dyDescent="0.3">
      <c r="B708" s="33"/>
      <c r="C708" s="34"/>
      <c r="D708" s="34"/>
      <c r="E708" s="34"/>
      <c r="F708" s="34"/>
      <c r="G708" s="34"/>
      <c r="H708" s="34"/>
      <c r="I708" s="34"/>
      <c r="J708" s="34"/>
      <c r="K708" s="35"/>
      <c r="L708" s="34"/>
      <c r="M708" s="34"/>
      <c r="N708" s="34"/>
      <c r="O708" s="34"/>
      <c r="P708" s="34"/>
      <c r="Q708" s="34"/>
      <c r="R708" s="34"/>
      <c r="S708" s="34"/>
      <c r="T708" s="34"/>
      <c r="U708" s="34"/>
      <c r="V708" s="34"/>
      <c r="W708" s="34"/>
    </row>
    <row r="709" spans="2:23" x14ac:dyDescent="0.3">
      <c r="B709" s="33"/>
      <c r="C709" s="34"/>
      <c r="D709" s="34"/>
      <c r="E709" s="34"/>
      <c r="F709" s="34"/>
      <c r="G709" s="34"/>
      <c r="H709" s="34"/>
      <c r="I709" s="34"/>
      <c r="J709" s="34"/>
      <c r="K709" s="35"/>
      <c r="L709" s="34"/>
      <c r="M709" s="34"/>
      <c r="N709" s="34"/>
      <c r="O709" s="34"/>
      <c r="P709" s="34"/>
      <c r="Q709" s="34"/>
      <c r="R709" s="34"/>
      <c r="S709" s="34"/>
      <c r="T709" s="34"/>
      <c r="U709" s="34"/>
      <c r="V709" s="34"/>
      <c r="W709" s="34"/>
    </row>
    <row r="710" spans="2:23" x14ac:dyDescent="0.3">
      <c r="B710" s="33"/>
      <c r="C710" s="34"/>
      <c r="D710" s="34"/>
      <c r="E710" s="34"/>
      <c r="F710" s="34"/>
      <c r="G710" s="34"/>
      <c r="H710" s="34"/>
      <c r="I710" s="34"/>
      <c r="J710" s="34"/>
      <c r="K710" s="35"/>
      <c r="L710" s="34"/>
      <c r="M710" s="34"/>
      <c r="N710" s="34"/>
      <c r="O710" s="34"/>
      <c r="P710" s="34"/>
      <c r="Q710" s="34"/>
      <c r="R710" s="34"/>
      <c r="S710" s="34"/>
      <c r="T710" s="34"/>
      <c r="U710" s="34"/>
      <c r="V710" s="34"/>
      <c r="W710" s="34"/>
    </row>
    <row r="711" spans="2:23" x14ac:dyDescent="0.3">
      <c r="B711" s="33"/>
      <c r="C711" s="34"/>
      <c r="D711" s="34"/>
      <c r="E711" s="34"/>
      <c r="F711" s="34"/>
      <c r="G711" s="34"/>
      <c r="H711" s="34"/>
      <c r="I711" s="34"/>
      <c r="J711" s="34"/>
      <c r="K711" s="35"/>
      <c r="L711" s="34"/>
      <c r="M711" s="34"/>
      <c r="N711" s="34"/>
      <c r="O711" s="34"/>
      <c r="P711" s="34"/>
      <c r="Q711" s="34"/>
      <c r="R711" s="34"/>
      <c r="S711" s="34"/>
      <c r="T711" s="34"/>
      <c r="U711" s="34"/>
      <c r="V711" s="34"/>
      <c r="W711" s="34"/>
    </row>
    <row r="712" spans="2:23" x14ac:dyDescent="0.3">
      <c r="B712" s="33"/>
      <c r="C712" s="34"/>
      <c r="D712" s="34"/>
      <c r="E712" s="34"/>
      <c r="F712" s="34"/>
      <c r="G712" s="34"/>
      <c r="H712" s="34"/>
      <c r="I712" s="34"/>
      <c r="J712" s="34"/>
      <c r="K712" s="35"/>
      <c r="L712" s="34"/>
      <c r="M712" s="34"/>
      <c r="N712" s="34"/>
      <c r="O712" s="34"/>
      <c r="P712" s="34"/>
      <c r="Q712" s="34"/>
      <c r="R712" s="34"/>
      <c r="S712" s="34"/>
      <c r="T712" s="34"/>
      <c r="U712" s="34"/>
      <c r="V712" s="34"/>
      <c r="W712" s="34"/>
    </row>
    <row r="713" spans="2:23" x14ac:dyDescent="0.3">
      <c r="B713" s="33"/>
      <c r="C713" s="34"/>
      <c r="D713" s="34"/>
      <c r="E713" s="34"/>
      <c r="F713" s="34"/>
      <c r="G713" s="34"/>
      <c r="H713" s="34"/>
      <c r="I713" s="34"/>
      <c r="J713" s="34"/>
      <c r="K713" s="35"/>
      <c r="L713" s="34"/>
      <c r="M713" s="34"/>
      <c r="N713" s="34"/>
      <c r="O713" s="34"/>
      <c r="P713" s="34"/>
      <c r="Q713" s="34"/>
      <c r="R713" s="34"/>
      <c r="S713" s="34"/>
      <c r="T713" s="34"/>
      <c r="U713" s="34"/>
      <c r="V713" s="34"/>
      <c r="W713" s="34"/>
    </row>
    <row r="714" spans="2:23" x14ac:dyDescent="0.3">
      <c r="B714" s="33"/>
      <c r="C714" s="34"/>
      <c r="D714" s="34"/>
      <c r="E714" s="34"/>
      <c r="F714" s="34"/>
      <c r="G714" s="34"/>
      <c r="H714" s="34"/>
      <c r="I714" s="34"/>
      <c r="J714" s="34"/>
      <c r="K714" s="35"/>
      <c r="L714" s="34"/>
      <c r="M714" s="34"/>
      <c r="N714" s="34"/>
      <c r="O714" s="34"/>
      <c r="P714" s="34"/>
      <c r="Q714" s="34"/>
      <c r="R714" s="34"/>
      <c r="S714" s="34"/>
      <c r="T714" s="34"/>
      <c r="U714" s="34"/>
      <c r="V714" s="34"/>
      <c r="W714" s="34"/>
    </row>
    <row r="715" spans="2:23" x14ac:dyDescent="0.3">
      <c r="B715" s="33"/>
      <c r="C715" s="34"/>
      <c r="D715" s="34"/>
      <c r="E715" s="34"/>
      <c r="F715" s="34"/>
      <c r="G715" s="34"/>
      <c r="H715" s="34"/>
      <c r="I715" s="34"/>
      <c r="J715" s="34"/>
      <c r="K715" s="35"/>
      <c r="L715" s="34"/>
      <c r="M715" s="34"/>
      <c r="N715" s="34"/>
      <c r="O715" s="34"/>
      <c r="P715" s="34"/>
      <c r="Q715" s="34"/>
      <c r="R715" s="34"/>
      <c r="S715" s="34"/>
      <c r="T715" s="34"/>
      <c r="U715" s="34"/>
      <c r="V715" s="34"/>
      <c r="W715" s="34"/>
    </row>
    <row r="716" spans="2:23" x14ac:dyDescent="0.3">
      <c r="B716" s="33"/>
      <c r="C716" s="34"/>
      <c r="D716" s="34"/>
      <c r="E716" s="34"/>
      <c r="F716" s="34"/>
      <c r="G716" s="34"/>
      <c r="H716" s="34"/>
      <c r="I716" s="34"/>
      <c r="J716" s="34"/>
      <c r="K716" s="35"/>
      <c r="L716" s="34"/>
      <c r="M716" s="34"/>
      <c r="N716" s="34"/>
      <c r="O716" s="34"/>
      <c r="P716" s="34"/>
      <c r="Q716" s="34"/>
      <c r="R716" s="34"/>
      <c r="S716" s="34"/>
      <c r="T716" s="34"/>
      <c r="U716" s="34"/>
      <c r="V716" s="34"/>
      <c r="W716" s="34"/>
    </row>
    <row r="717" spans="2:23" x14ac:dyDescent="0.3">
      <c r="B717" s="33"/>
      <c r="C717" s="34"/>
      <c r="D717" s="34"/>
      <c r="E717" s="34"/>
      <c r="F717" s="34"/>
      <c r="G717" s="34"/>
      <c r="H717" s="34"/>
      <c r="I717" s="34"/>
      <c r="J717" s="34"/>
      <c r="K717" s="35"/>
      <c r="L717" s="34"/>
      <c r="M717" s="34"/>
      <c r="N717" s="34"/>
      <c r="O717" s="34"/>
      <c r="P717" s="34"/>
      <c r="Q717" s="34"/>
      <c r="R717" s="34"/>
      <c r="S717" s="34"/>
      <c r="T717" s="34"/>
      <c r="U717" s="34"/>
      <c r="V717" s="34"/>
      <c r="W717" s="34"/>
    </row>
    <row r="718" spans="2:23" x14ac:dyDescent="0.3">
      <c r="B718" s="33"/>
      <c r="C718" s="34"/>
      <c r="D718" s="34"/>
      <c r="E718" s="34"/>
      <c r="F718" s="34"/>
      <c r="G718" s="34"/>
      <c r="H718" s="34"/>
      <c r="I718" s="34"/>
      <c r="J718" s="34"/>
      <c r="K718" s="35"/>
      <c r="L718" s="34"/>
      <c r="M718" s="34"/>
      <c r="N718" s="34"/>
      <c r="O718" s="34"/>
      <c r="P718" s="34"/>
      <c r="Q718" s="34"/>
      <c r="R718" s="34"/>
      <c r="S718" s="34"/>
      <c r="T718" s="34"/>
      <c r="U718" s="34"/>
      <c r="V718" s="34"/>
      <c r="W718" s="34"/>
    </row>
    <row r="719" spans="2:23" x14ac:dyDescent="0.3">
      <c r="B719" s="33"/>
      <c r="C719" s="34"/>
      <c r="D719" s="34"/>
      <c r="E719" s="34"/>
      <c r="F719" s="34"/>
      <c r="G719" s="34"/>
      <c r="H719" s="34"/>
      <c r="I719" s="34"/>
      <c r="J719" s="34"/>
      <c r="K719" s="35"/>
      <c r="L719" s="34"/>
      <c r="M719" s="34"/>
      <c r="N719" s="34"/>
      <c r="O719" s="34"/>
      <c r="P719" s="34"/>
      <c r="Q719" s="34"/>
      <c r="R719" s="34"/>
      <c r="S719" s="34"/>
      <c r="T719" s="34"/>
      <c r="U719" s="34"/>
      <c r="V719" s="34"/>
      <c r="W719" s="34"/>
    </row>
    <row r="720" spans="2:23" x14ac:dyDescent="0.3">
      <c r="B720" s="33"/>
      <c r="C720" s="34"/>
      <c r="D720" s="34"/>
      <c r="E720" s="34"/>
      <c r="F720" s="34"/>
      <c r="G720" s="34"/>
      <c r="H720" s="34"/>
      <c r="I720" s="34"/>
      <c r="J720" s="34"/>
      <c r="K720" s="35"/>
      <c r="L720" s="34"/>
      <c r="M720" s="34"/>
      <c r="N720" s="34"/>
      <c r="O720" s="34"/>
      <c r="P720" s="34"/>
      <c r="Q720" s="34"/>
      <c r="R720" s="34"/>
      <c r="S720" s="34"/>
      <c r="T720" s="34"/>
      <c r="U720" s="34"/>
      <c r="V720" s="34"/>
      <c r="W720" s="34"/>
    </row>
    <row r="721" spans="2:23" x14ac:dyDescent="0.3">
      <c r="B721" s="33"/>
      <c r="C721" s="34"/>
      <c r="D721" s="34"/>
      <c r="E721" s="34"/>
      <c r="F721" s="34"/>
      <c r="G721" s="34"/>
      <c r="H721" s="34"/>
      <c r="I721" s="34"/>
      <c r="J721" s="34"/>
      <c r="K721" s="35"/>
      <c r="L721" s="34"/>
      <c r="M721" s="34"/>
      <c r="N721" s="34"/>
      <c r="O721" s="34"/>
      <c r="P721" s="34"/>
      <c r="Q721" s="34"/>
      <c r="R721" s="34"/>
      <c r="S721" s="34"/>
      <c r="T721" s="34"/>
      <c r="U721" s="34"/>
      <c r="V721" s="34"/>
      <c r="W721" s="34"/>
    </row>
    <row r="722" spans="2:23" x14ac:dyDescent="0.3">
      <c r="B722" s="33"/>
      <c r="C722" s="34"/>
      <c r="D722" s="34"/>
      <c r="E722" s="34"/>
      <c r="F722" s="34"/>
      <c r="G722" s="34"/>
      <c r="H722" s="34"/>
      <c r="I722" s="34"/>
      <c r="J722" s="34"/>
      <c r="K722" s="35"/>
      <c r="L722" s="34"/>
      <c r="M722" s="34"/>
      <c r="N722" s="34"/>
      <c r="O722" s="34"/>
      <c r="P722" s="34"/>
      <c r="Q722" s="34"/>
      <c r="R722" s="34"/>
      <c r="S722" s="34"/>
      <c r="T722" s="34"/>
      <c r="U722" s="34"/>
      <c r="V722" s="34"/>
      <c r="W722" s="34"/>
    </row>
    <row r="723" spans="2:23" x14ac:dyDescent="0.3">
      <c r="B723" s="33"/>
      <c r="C723" s="34"/>
      <c r="D723" s="34"/>
      <c r="E723" s="34"/>
      <c r="F723" s="34"/>
      <c r="G723" s="34"/>
      <c r="H723" s="34"/>
      <c r="I723" s="34"/>
      <c r="J723" s="34"/>
      <c r="K723" s="35"/>
      <c r="L723" s="34"/>
      <c r="M723" s="34"/>
      <c r="N723" s="34"/>
      <c r="O723" s="34"/>
      <c r="P723" s="34"/>
      <c r="Q723" s="34"/>
      <c r="R723" s="34"/>
      <c r="S723" s="34"/>
      <c r="T723" s="34"/>
      <c r="U723" s="34"/>
      <c r="V723" s="34"/>
      <c r="W723" s="34"/>
    </row>
    <row r="724" spans="2:23" x14ac:dyDescent="0.3">
      <c r="B724" s="33"/>
      <c r="C724" s="34"/>
      <c r="D724" s="34"/>
      <c r="E724" s="34"/>
      <c r="F724" s="34"/>
      <c r="G724" s="34"/>
      <c r="H724" s="34"/>
      <c r="I724" s="34"/>
      <c r="J724" s="34"/>
      <c r="K724" s="35"/>
      <c r="L724" s="34"/>
      <c r="M724" s="34"/>
      <c r="N724" s="34"/>
      <c r="O724" s="34"/>
      <c r="P724" s="34"/>
      <c r="Q724" s="34"/>
      <c r="R724" s="34"/>
      <c r="S724" s="34"/>
      <c r="T724" s="34"/>
      <c r="U724" s="34"/>
      <c r="V724" s="34"/>
      <c r="W724" s="34"/>
    </row>
    <row r="725" spans="2:23" x14ac:dyDescent="0.3">
      <c r="B725" s="33"/>
      <c r="C725" s="34"/>
      <c r="D725" s="34"/>
      <c r="E725" s="34"/>
      <c r="F725" s="34"/>
      <c r="G725" s="34"/>
      <c r="H725" s="34"/>
      <c r="I725" s="34"/>
      <c r="J725" s="34"/>
      <c r="K725" s="35"/>
      <c r="L725" s="34"/>
      <c r="M725" s="34"/>
      <c r="N725" s="34"/>
      <c r="O725" s="34"/>
      <c r="P725" s="34"/>
      <c r="Q725" s="34"/>
      <c r="R725" s="34"/>
      <c r="S725" s="34"/>
      <c r="T725" s="34"/>
      <c r="U725" s="34"/>
      <c r="V725" s="34"/>
      <c r="W725" s="34"/>
    </row>
    <row r="726" spans="2:23" x14ac:dyDescent="0.3">
      <c r="B726" s="33"/>
      <c r="C726" s="34"/>
      <c r="D726" s="34"/>
      <c r="E726" s="34"/>
      <c r="F726" s="34"/>
      <c r="G726" s="34"/>
      <c r="H726" s="34"/>
      <c r="I726" s="34"/>
      <c r="J726" s="34"/>
      <c r="K726" s="35"/>
      <c r="L726" s="34"/>
      <c r="M726" s="34"/>
      <c r="N726" s="34"/>
      <c r="O726" s="34"/>
      <c r="P726" s="34"/>
      <c r="Q726" s="34"/>
      <c r="R726" s="34"/>
      <c r="S726" s="34"/>
      <c r="T726" s="34"/>
      <c r="U726" s="34"/>
      <c r="V726" s="34"/>
      <c r="W726" s="34"/>
    </row>
    <row r="727" spans="2:23" x14ac:dyDescent="0.3">
      <c r="B727" s="33"/>
      <c r="C727" s="34"/>
      <c r="D727" s="34"/>
      <c r="E727" s="34"/>
      <c r="F727" s="34"/>
      <c r="G727" s="34"/>
      <c r="H727" s="34"/>
      <c r="I727" s="34"/>
      <c r="J727" s="34"/>
      <c r="K727" s="35"/>
      <c r="L727" s="34"/>
      <c r="M727" s="34"/>
      <c r="N727" s="34"/>
      <c r="O727" s="34"/>
      <c r="P727" s="34"/>
      <c r="Q727" s="34"/>
      <c r="R727" s="34"/>
      <c r="S727" s="34"/>
      <c r="T727" s="34"/>
      <c r="U727" s="34"/>
      <c r="V727" s="34"/>
      <c r="W727" s="34"/>
    </row>
    <row r="728" spans="2:23" x14ac:dyDescent="0.3">
      <c r="B728" s="33"/>
      <c r="C728" s="34"/>
      <c r="D728" s="34"/>
      <c r="E728" s="34"/>
      <c r="F728" s="34"/>
      <c r="G728" s="34"/>
      <c r="H728" s="34"/>
      <c r="I728" s="34"/>
      <c r="J728" s="34"/>
      <c r="K728" s="35"/>
      <c r="L728" s="34"/>
      <c r="M728" s="34"/>
      <c r="N728" s="34"/>
      <c r="O728" s="34"/>
      <c r="P728" s="34"/>
      <c r="Q728" s="34"/>
      <c r="R728" s="34"/>
      <c r="S728" s="34"/>
      <c r="T728" s="34"/>
      <c r="U728" s="34"/>
      <c r="V728" s="34"/>
      <c r="W728" s="34"/>
    </row>
    <row r="729" spans="2:23" x14ac:dyDescent="0.3">
      <c r="B729" s="33"/>
      <c r="C729" s="34"/>
      <c r="D729" s="34"/>
      <c r="E729" s="34"/>
      <c r="F729" s="34"/>
      <c r="G729" s="34"/>
      <c r="H729" s="34"/>
      <c r="I729" s="34"/>
      <c r="J729" s="34"/>
      <c r="K729" s="35"/>
      <c r="L729" s="34"/>
      <c r="M729" s="34"/>
      <c r="N729" s="34"/>
      <c r="O729" s="34"/>
      <c r="P729" s="34"/>
      <c r="Q729" s="34"/>
      <c r="R729" s="34"/>
      <c r="S729" s="34"/>
      <c r="T729" s="34"/>
      <c r="U729" s="34"/>
      <c r="V729" s="34"/>
      <c r="W729" s="34"/>
    </row>
    <row r="730" spans="2:23" x14ac:dyDescent="0.3">
      <c r="B730" s="33"/>
      <c r="C730" s="34"/>
      <c r="D730" s="34"/>
      <c r="E730" s="34"/>
      <c r="F730" s="34"/>
      <c r="G730" s="34"/>
      <c r="H730" s="34"/>
      <c r="I730" s="34"/>
      <c r="J730" s="34"/>
      <c r="K730" s="35"/>
      <c r="L730" s="34"/>
      <c r="M730" s="34"/>
      <c r="N730" s="34"/>
      <c r="O730" s="34"/>
      <c r="P730" s="34"/>
      <c r="Q730" s="34"/>
      <c r="R730" s="34"/>
      <c r="S730" s="34"/>
      <c r="T730" s="34"/>
      <c r="U730" s="34"/>
      <c r="V730" s="34"/>
      <c r="W730" s="34"/>
    </row>
    <row r="731" spans="2:23" x14ac:dyDescent="0.3">
      <c r="B731" s="33"/>
      <c r="C731" s="34"/>
      <c r="D731" s="34"/>
      <c r="E731" s="34"/>
      <c r="F731" s="34"/>
      <c r="G731" s="34"/>
      <c r="H731" s="34"/>
      <c r="I731" s="34"/>
      <c r="J731" s="34"/>
      <c r="K731" s="35"/>
      <c r="L731" s="34"/>
      <c r="M731" s="34"/>
      <c r="N731" s="34"/>
      <c r="O731" s="34"/>
      <c r="P731" s="34"/>
      <c r="Q731" s="34"/>
      <c r="R731" s="34"/>
      <c r="S731" s="34"/>
      <c r="T731" s="34"/>
      <c r="U731" s="34"/>
      <c r="V731" s="34"/>
      <c r="W731" s="34"/>
    </row>
    <row r="732" spans="2:23" x14ac:dyDescent="0.3">
      <c r="B732" s="33"/>
      <c r="C732" s="34"/>
      <c r="D732" s="34"/>
      <c r="E732" s="34"/>
      <c r="F732" s="34"/>
      <c r="G732" s="34"/>
      <c r="H732" s="34"/>
      <c r="I732" s="34"/>
      <c r="J732" s="34"/>
      <c r="K732" s="35"/>
      <c r="L732" s="34"/>
      <c r="M732" s="34"/>
      <c r="N732" s="34"/>
      <c r="O732" s="34"/>
      <c r="P732" s="34"/>
      <c r="Q732" s="34"/>
      <c r="R732" s="34"/>
      <c r="S732" s="34"/>
      <c r="T732" s="34"/>
      <c r="U732" s="34"/>
      <c r="V732" s="34"/>
      <c r="W732" s="34"/>
    </row>
    <row r="733" spans="2:23" x14ac:dyDescent="0.3">
      <c r="B733" s="33"/>
      <c r="C733" s="34"/>
      <c r="D733" s="34"/>
      <c r="E733" s="34"/>
      <c r="F733" s="34"/>
      <c r="G733" s="34"/>
      <c r="H733" s="34"/>
      <c r="I733" s="34"/>
      <c r="J733" s="34"/>
      <c r="K733" s="35"/>
      <c r="L733" s="34"/>
      <c r="M733" s="34"/>
      <c r="N733" s="34"/>
      <c r="O733" s="34"/>
      <c r="P733" s="34"/>
      <c r="Q733" s="34"/>
      <c r="R733" s="34"/>
      <c r="S733" s="34"/>
      <c r="T733" s="34"/>
      <c r="U733" s="34"/>
      <c r="V733" s="34"/>
      <c r="W733" s="34"/>
    </row>
    <row r="734" spans="2:23" x14ac:dyDescent="0.3">
      <c r="B734" s="33"/>
      <c r="C734" s="34"/>
      <c r="D734" s="34"/>
      <c r="E734" s="34"/>
      <c r="F734" s="34"/>
      <c r="G734" s="34"/>
      <c r="H734" s="34"/>
      <c r="I734" s="34"/>
      <c r="J734" s="34"/>
      <c r="K734" s="35"/>
      <c r="L734" s="34"/>
      <c r="M734" s="34"/>
      <c r="N734" s="34"/>
      <c r="O734" s="34"/>
      <c r="P734" s="34"/>
      <c r="Q734" s="34"/>
      <c r="R734" s="34"/>
      <c r="S734" s="34"/>
      <c r="T734" s="34"/>
      <c r="U734" s="34"/>
      <c r="V734" s="34"/>
      <c r="W734" s="34"/>
    </row>
    <row r="735" spans="2:23" x14ac:dyDescent="0.3">
      <c r="B735" s="33"/>
      <c r="C735" s="34"/>
      <c r="D735" s="34"/>
      <c r="E735" s="34"/>
      <c r="F735" s="34"/>
      <c r="G735" s="34"/>
      <c r="H735" s="34"/>
      <c r="I735" s="34"/>
      <c r="J735" s="34"/>
      <c r="K735" s="35"/>
      <c r="L735" s="34"/>
      <c r="M735" s="34"/>
      <c r="N735" s="34"/>
      <c r="O735" s="34"/>
      <c r="P735" s="34"/>
      <c r="Q735" s="34"/>
      <c r="R735" s="34"/>
      <c r="S735" s="34"/>
      <c r="T735" s="34"/>
      <c r="U735" s="34"/>
      <c r="V735" s="34"/>
      <c r="W735" s="34"/>
    </row>
    <row r="736" spans="2:23" x14ac:dyDescent="0.3">
      <c r="B736" s="33"/>
      <c r="C736" s="34"/>
      <c r="D736" s="34"/>
      <c r="E736" s="34"/>
      <c r="F736" s="34"/>
      <c r="G736" s="34"/>
      <c r="H736" s="34"/>
      <c r="I736" s="34"/>
      <c r="J736" s="34"/>
      <c r="K736" s="35"/>
      <c r="L736" s="34"/>
      <c r="M736" s="34"/>
      <c r="N736" s="34"/>
      <c r="O736" s="34"/>
      <c r="P736" s="34"/>
      <c r="Q736" s="34"/>
      <c r="R736" s="34"/>
      <c r="S736" s="34"/>
      <c r="T736" s="34"/>
      <c r="U736" s="34"/>
      <c r="V736" s="34"/>
      <c r="W736" s="34"/>
    </row>
    <row r="737" spans="2:23" x14ac:dyDescent="0.3">
      <c r="B737" s="33"/>
      <c r="C737" s="34"/>
      <c r="D737" s="34"/>
      <c r="E737" s="34"/>
      <c r="F737" s="34"/>
      <c r="G737" s="34"/>
      <c r="H737" s="34"/>
      <c r="I737" s="34"/>
      <c r="J737" s="34"/>
      <c r="K737" s="35"/>
      <c r="L737" s="34"/>
      <c r="M737" s="34"/>
      <c r="N737" s="34"/>
      <c r="O737" s="34"/>
      <c r="P737" s="34"/>
      <c r="Q737" s="34"/>
      <c r="R737" s="34"/>
      <c r="S737" s="34"/>
      <c r="T737" s="34"/>
      <c r="U737" s="34"/>
      <c r="V737" s="34"/>
      <c r="W737" s="34"/>
    </row>
    <row r="738" spans="2:23" x14ac:dyDescent="0.3">
      <c r="B738" s="33"/>
      <c r="C738" s="34"/>
      <c r="D738" s="34"/>
      <c r="E738" s="34"/>
      <c r="F738" s="34"/>
      <c r="G738" s="34"/>
      <c r="H738" s="34"/>
      <c r="I738" s="34"/>
      <c r="J738" s="34"/>
      <c r="K738" s="35"/>
      <c r="L738" s="34"/>
      <c r="M738" s="34"/>
      <c r="N738" s="34"/>
      <c r="O738" s="34"/>
      <c r="P738" s="34"/>
      <c r="Q738" s="34"/>
      <c r="R738" s="34"/>
      <c r="S738" s="34"/>
      <c r="T738" s="34"/>
      <c r="U738" s="34"/>
      <c r="V738" s="34"/>
      <c r="W738" s="34"/>
    </row>
    <row r="739" spans="2:23" x14ac:dyDescent="0.3">
      <c r="B739" s="33"/>
      <c r="C739" s="34"/>
      <c r="D739" s="34"/>
      <c r="E739" s="34"/>
      <c r="F739" s="34"/>
      <c r="G739" s="34"/>
      <c r="H739" s="34"/>
      <c r="I739" s="34"/>
      <c r="J739" s="34"/>
      <c r="K739" s="35"/>
      <c r="L739" s="34"/>
      <c r="M739" s="34"/>
      <c r="N739" s="34"/>
      <c r="O739" s="34"/>
      <c r="P739" s="34"/>
      <c r="Q739" s="34"/>
      <c r="R739" s="34"/>
      <c r="S739" s="34"/>
      <c r="T739" s="34"/>
      <c r="U739" s="34"/>
      <c r="V739" s="34"/>
      <c r="W739" s="34"/>
    </row>
    <row r="740" spans="2:23" x14ac:dyDescent="0.3">
      <c r="B740" s="33"/>
      <c r="C740" s="34"/>
      <c r="D740" s="34"/>
      <c r="E740" s="34"/>
      <c r="F740" s="34"/>
      <c r="G740" s="34"/>
      <c r="H740" s="34"/>
      <c r="I740" s="34"/>
      <c r="J740" s="34"/>
      <c r="K740" s="35"/>
      <c r="L740" s="34"/>
      <c r="M740" s="34"/>
      <c r="N740" s="34"/>
      <c r="O740" s="34"/>
      <c r="P740" s="34"/>
      <c r="Q740" s="34"/>
      <c r="R740" s="34"/>
      <c r="S740" s="34"/>
      <c r="T740" s="34"/>
      <c r="U740" s="34"/>
      <c r="V740" s="34"/>
      <c r="W740" s="34"/>
    </row>
    <row r="741" spans="2:23" x14ac:dyDescent="0.3">
      <c r="B741" s="33"/>
      <c r="C741" s="34"/>
      <c r="D741" s="34"/>
      <c r="E741" s="34"/>
      <c r="F741" s="34"/>
      <c r="G741" s="34"/>
      <c r="H741" s="34"/>
      <c r="I741" s="34"/>
      <c r="J741" s="34"/>
      <c r="K741" s="35"/>
      <c r="L741" s="34"/>
      <c r="M741" s="34"/>
      <c r="N741" s="34"/>
      <c r="O741" s="34"/>
      <c r="P741" s="34"/>
      <c r="Q741" s="34"/>
      <c r="R741" s="34"/>
      <c r="S741" s="34"/>
      <c r="T741" s="34"/>
      <c r="U741" s="34"/>
      <c r="V741" s="34"/>
      <c r="W741" s="34"/>
    </row>
    <row r="742" spans="2:23" x14ac:dyDescent="0.3">
      <c r="B742" s="33"/>
      <c r="C742" s="34"/>
      <c r="D742" s="34"/>
      <c r="E742" s="34"/>
      <c r="F742" s="34"/>
      <c r="G742" s="34"/>
      <c r="H742" s="34"/>
      <c r="I742" s="34"/>
      <c r="J742" s="34"/>
      <c r="K742" s="35"/>
      <c r="L742" s="34"/>
      <c r="M742" s="34"/>
      <c r="N742" s="34"/>
      <c r="O742" s="34"/>
      <c r="P742" s="34"/>
      <c r="Q742" s="34"/>
      <c r="R742" s="34"/>
      <c r="S742" s="34"/>
      <c r="T742" s="34"/>
      <c r="U742" s="34"/>
      <c r="V742" s="34"/>
      <c r="W742" s="34"/>
    </row>
    <row r="743" spans="2:23" x14ac:dyDescent="0.3">
      <c r="B743" s="33"/>
      <c r="C743" s="34"/>
      <c r="D743" s="34"/>
      <c r="E743" s="34"/>
      <c r="F743" s="34"/>
      <c r="G743" s="34"/>
      <c r="H743" s="34"/>
      <c r="I743" s="34"/>
      <c r="J743" s="34"/>
      <c r="K743" s="35"/>
      <c r="L743" s="34"/>
      <c r="M743" s="34"/>
      <c r="N743" s="34"/>
      <c r="O743" s="34"/>
      <c r="P743" s="34"/>
      <c r="Q743" s="34"/>
      <c r="R743" s="34"/>
      <c r="S743" s="34"/>
      <c r="T743" s="34"/>
      <c r="U743" s="34"/>
      <c r="V743" s="34"/>
      <c r="W743" s="34"/>
    </row>
    <row r="744" spans="2:23" x14ac:dyDescent="0.3">
      <c r="B744" s="33"/>
      <c r="C744" s="34"/>
      <c r="D744" s="34"/>
      <c r="E744" s="34"/>
      <c r="F744" s="34"/>
      <c r="G744" s="34"/>
      <c r="H744" s="34"/>
      <c r="I744" s="34"/>
      <c r="J744" s="34"/>
      <c r="K744" s="35"/>
      <c r="L744" s="34"/>
      <c r="M744" s="34"/>
      <c r="N744" s="34"/>
      <c r="O744" s="34"/>
      <c r="P744" s="34"/>
      <c r="Q744" s="34"/>
      <c r="R744" s="34"/>
      <c r="S744" s="34"/>
      <c r="T744" s="34"/>
      <c r="U744" s="34"/>
      <c r="V744" s="34"/>
      <c r="W744" s="34"/>
    </row>
    <row r="745" spans="2:23" x14ac:dyDescent="0.3">
      <c r="B745" s="33"/>
      <c r="C745" s="34"/>
      <c r="D745" s="34"/>
      <c r="E745" s="34"/>
      <c r="F745" s="34"/>
      <c r="G745" s="34"/>
      <c r="H745" s="34"/>
      <c r="I745" s="34"/>
      <c r="J745" s="34"/>
      <c r="K745" s="35"/>
      <c r="L745" s="34"/>
      <c r="M745" s="34"/>
      <c r="N745" s="34"/>
      <c r="O745" s="34"/>
      <c r="P745" s="34"/>
      <c r="Q745" s="34"/>
      <c r="R745" s="34"/>
      <c r="S745" s="34"/>
      <c r="T745" s="34"/>
      <c r="U745" s="34"/>
      <c r="V745" s="34"/>
      <c r="W745" s="34"/>
    </row>
    <row r="746" spans="2:23" x14ac:dyDescent="0.3">
      <c r="B746" s="33"/>
      <c r="C746" s="34"/>
      <c r="D746" s="34"/>
      <c r="E746" s="34"/>
      <c r="F746" s="34"/>
      <c r="G746" s="34"/>
      <c r="H746" s="34"/>
      <c r="I746" s="34"/>
      <c r="J746" s="34"/>
      <c r="K746" s="35"/>
      <c r="L746" s="34"/>
      <c r="M746" s="34"/>
      <c r="N746" s="34"/>
      <c r="O746" s="34"/>
      <c r="P746" s="34"/>
      <c r="Q746" s="34"/>
      <c r="R746" s="34"/>
      <c r="S746" s="34"/>
      <c r="T746" s="34"/>
      <c r="U746" s="34"/>
      <c r="V746" s="34"/>
      <c r="W746" s="34"/>
    </row>
    <row r="747" spans="2:23" x14ac:dyDescent="0.3">
      <c r="B747" s="33"/>
      <c r="C747" s="34"/>
      <c r="D747" s="34"/>
      <c r="E747" s="34"/>
      <c r="F747" s="34"/>
      <c r="G747" s="34"/>
      <c r="H747" s="34"/>
      <c r="I747" s="34"/>
      <c r="J747" s="34"/>
      <c r="K747" s="35"/>
      <c r="L747" s="34"/>
      <c r="M747" s="34"/>
      <c r="N747" s="34"/>
      <c r="O747" s="34"/>
      <c r="P747" s="34"/>
      <c r="Q747" s="34"/>
      <c r="R747" s="34"/>
      <c r="S747" s="34"/>
      <c r="T747" s="34"/>
      <c r="U747" s="34"/>
      <c r="V747" s="34"/>
      <c r="W747" s="34"/>
    </row>
    <row r="748" spans="2:23" x14ac:dyDescent="0.3">
      <c r="B748" s="33"/>
      <c r="C748" s="34"/>
      <c r="D748" s="34"/>
      <c r="E748" s="34"/>
      <c r="F748" s="34"/>
      <c r="G748" s="34"/>
      <c r="H748" s="34"/>
      <c r="I748" s="34"/>
      <c r="J748" s="34"/>
      <c r="K748" s="35"/>
      <c r="L748" s="34"/>
      <c r="M748" s="34"/>
      <c r="N748" s="34"/>
      <c r="O748" s="34"/>
      <c r="P748" s="34"/>
      <c r="Q748" s="34"/>
      <c r="R748" s="34"/>
      <c r="S748" s="34"/>
      <c r="T748" s="34"/>
      <c r="U748" s="34"/>
      <c r="V748" s="34"/>
      <c r="W748" s="34"/>
    </row>
    <row r="749" spans="2:23" x14ac:dyDescent="0.3">
      <c r="B749" s="33"/>
      <c r="C749" s="34"/>
      <c r="D749" s="34"/>
      <c r="E749" s="34"/>
      <c r="F749" s="34"/>
      <c r="G749" s="34"/>
      <c r="H749" s="34"/>
      <c r="I749" s="34"/>
      <c r="J749" s="34"/>
      <c r="K749" s="35"/>
      <c r="L749" s="34"/>
      <c r="M749" s="34"/>
      <c r="N749" s="34"/>
      <c r="O749" s="34"/>
      <c r="P749" s="34"/>
      <c r="Q749" s="34"/>
      <c r="R749" s="34"/>
      <c r="S749" s="34"/>
      <c r="T749" s="34"/>
      <c r="U749" s="34"/>
      <c r="V749" s="34"/>
      <c r="W749" s="34"/>
    </row>
    <row r="750" spans="2:23" x14ac:dyDescent="0.3">
      <c r="B750" s="33"/>
      <c r="C750" s="34"/>
      <c r="D750" s="34"/>
      <c r="E750" s="34"/>
      <c r="F750" s="34"/>
      <c r="G750" s="34"/>
      <c r="H750" s="34"/>
      <c r="I750" s="34"/>
      <c r="J750" s="34"/>
      <c r="K750" s="35"/>
      <c r="L750" s="34"/>
      <c r="M750" s="34"/>
      <c r="N750" s="34"/>
      <c r="O750" s="34"/>
      <c r="P750" s="34"/>
      <c r="Q750" s="34"/>
      <c r="R750" s="34"/>
      <c r="S750" s="34"/>
      <c r="T750" s="34"/>
      <c r="U750" s="34"/>
      <c r="V750" s="34"/>
      <c r="W750" s="34"/>
    </row>
    <row r="751" spans="2:23" x14ac:dyDescent="0.3">
      <c r="B751" s="33"/>
      <c r="C751" s="34"/>
      <c r="D751" s="34"/>
      <c r="E751" s="34"/>
      <c r="F751" s="34"/>
      <c r="G751" s="34"/>
      <c r="H751" s="34"/>
      <c r="I751" s="34"/>
      <c r="J751" s="34"/>
      <c r="K751" s="35"/>
      <c r="L751" s="34"/>
      <c r="M751" s="34"/>
      <c r="N751" s="34"/>
      <c r="O751" s="34"/>
      <c r="P751" s="34"/>
      <c r="Q751" s="34"/>
      <c r="R751" s="34"/>
      <c r="S751" s="34"/>
      <c r="T751" s="34"/>
      <c r="U751" s="34"/>
      <c r="V751" s="34"/>
      <c r="W751" s="34"/>
    </row>
    <row r="752" spans="2:23" x14ac:dyDescent="0.3">
      <c r="B752" s="33"/>
      <c r="C752" s="34"/>
      <c r="D752" s="34"/>
      <c r="E752" s="34"/>
      <c r="F752" s="34"/>
      <c r="G752" s="34"/>
      <c r="H752" s="34"/>
      <c r="I752" s="34"/>
      <c r="J752" s="34"/>
      <c r="K752" s="35"/>
      <c r="L752" s="34"/>
      <c r="M752" s="34"/>
      <c r="N752" s="34"/>
      <c r="O752" s="34"/>
      <c r="P752" s="34"/>
      <c r="Q752" s="34"/>
      <c r="R752" s="34"/>
      <c r="S752" s="34"/>
      <c r="T752" s="34"/>
      <c r="U752" s="34"/>
      <c r="V752" s="34"/>
      <c r="W752" s="34"/>
    </row>
    <row r="753" spans="2:23" x14ac:dyDescent="0.3">
      <c r="B753" s="33"/>
      <c r="C753" s="34"/>
      <c r="D753" s="34"/>
      <c r="E753" s="34"/>
      <c r="F753" s="34"/>
      <c r="G753" s="34"/>
      <c r="H753" s="34"/>
      <c r="I753" s="34"/>
      <c r="J753" s="34"/>
      <c r="K753" s="35"/>
      <c r="L753" s="34"/>
      <c r="M753" s="34"/>
      <c r="N753" s="34"/>
      <c r="O753" s="34"/>
      <c r="P753" s="34"/>
      <c r="Q753" s="34"/>
      <c r="R753" s="34"/>
      <c r="S753" s="34"/>
      <c r="T753" s="34"/>
      <c r="U753" s="34"/>
      <c r="V753" s="34"/>
      <c r="W753" s="34"/>
    </row>
    <row r="754" spans="2:23" x14ac:dyDescent="0.3">
      <c r="B754" s="33"/>
      <c r="C754" s="34"/>
      <c r="D754" s="34"/>
      <c r="E754" s="34"/>
      <c r="F754" s="34"/>
      <c r="G754" s="34"/>
      <c r="H754" s="34"/>
      <c r="I754" s="34"/>
      <c r="J754" s="34"/>
      <c r="K754" s="35"/>
      <c r="L754" s="34"/>
      <c r="M754" s="34"/>
      <c r="N754" s="34"/>
      <c r="O754" s="34"/>
      <c r="P754" s="34"/>
      <c r="Q754" s="34"/>
      <c r="R754" s="34"/>
      <c r="S754" s="34"/>
      <c r="T754" s="34"/>
      <c r="U754" s="34"/>
      <c r="V754" s="34"/>
      <c r="W754" s="34"/>
    </row>
    <row r="755" spans="2:23" x14ac:dyDescent="0.3">
      <c r="B755" s="33"/>
      <c r="C755" s="34"/>
      <c r="D755" s="34"/>
      <c r="E755" s="34"/>
      <c r="F755" s="34"/>
      <c r="G755" s="34"/>
      <c r="H755" s="34"/>
      <c r="I755" s="34"/>
      <c r="J755" s="34"/>
      <c r="K755" s="35"/>
      <c r="L755" s="34"/>
      <c r="M755" s="34"/>
      <c r="N755" s="34"/>
      <c r="O755" s="34"/>
      <c r="P755" s="34"/>
      <c r="Q755" s="34"/>
      <c r="R755" s="34"/>
      <c r="S755" s="34"/>
      <c r="T755" s="34"/>
      <c r="U755" s="34"/>
      <c r="V755" s="34"/>
      <c r="W755" s="34"/>
    </row>
    <row r="756" spans="2:23" x14ac:dyDescent="0.3">
      <c r="B756" s="33"/>
      <c r="C756" s="34"/>
      <c r="D756" s="34"/>
      <c r="E756" s="34"/>
      <c r="F756" s="34"/>
      <c r="G756" s="34"/>
      <c r="H756" s="34"/>
      <c r="I756" s="34"/>
      <c r="J756" s="34"/>
      <c r="K756" s="35"/>
      <c r="L756" s="34"/>
      <c r="M756" s="34"/>
      <c r="N756" s="34"/>
      <c r="O756" s="34"/>
      <c r="P756" s="34"/>
      <c r="Q756" s="34"/>
      <c r="R756" s="34"/>
      <c r="S756" s="34"/>
      <c r="T756" s="34"/>
      <c r="U756" s="34"/>
      <c r="V756" s="34"/>
      <c r="W756" s="34"/>
    </row>
    <row r="757" spans="2:23" x14ac:dyDescent="0.3">
      <c r="B757" s="33"/>
      <c r="C757" s="34"/>
      <c r="D757" s="34"/>
      <c r="E757" s="34"/>
      <c r="F757" s="34"/>
      <c r="G757" s="34"/>
      <c r="H757" s="34"/>
      <c r="I757" s="34"/>
      <c r="J757" s="34"/>
      <c r="K757" s="35"/>
      <c r="L757" s="34"/>
      <c r="M757" s="34"/>
      <c r="N757" s="34"/>
      <c r="O757" s="34"/>
      <c r="P757" s="34"/>
      <c r="Q757" s="34"/>
      <c r="R757" s="34"/>
      <c r="S757" s="34"/>
      <c r="T757" s="34"/>
      <c r="U757" s="34"/>
      <c r="V757" s="34"/>
      <c r="W757" s="34"/>
    </row>
    <row r="758" spans="2:23" x14ac:dyDescent="0.3">
      <c r="B758" s="33"/>
      <c r="C758" s="34"/>
      <c r="D758" s="34"/>
      <c r="E758" s="34"/>
      <c r="F758" s="34"/>
      <c r="G758" s="34"/>
      <c r="H758" s="34"/>
      <c r="I758" s="34"/>
      <c r="J758" s="34"/>
      <c r="K758" s="35"/>
      <c r="L758" s="34"/>
      <c r="M758" s="34"/>
      <c r="N758" s="34"/>
      <c r="O758" s="34"/>
      <c r="P758" s="34"/>
      <c r="Q758" s="34"/>
      <c r="R758" s="34"/>
      <c r="S758" s="34"/>
      <c r="T758" s="34"/>
      <c r="U758" s="34"/>
      <c r="V758" s="34"/>
      <c r="W758" s="34"/>
    </row>
    <row r="759" spans="2:23" x14ac:dyDescent="0.3">
      <c r="B759" s="33"/>
      <c r="C759" s="34"/>
      <c r="D759" s="34"/>
      <c r="E759" s="34"/>
      <c r="F759" s="34"/>
      <c r="G759" s="34"/>
      <c r="H759" s="34"/>
      <c r="I759" s="34"/>
      <c r="J759" s="34"/>
      <c r="K759" s="35"/>
      <c r="L759" s="34"/>
      <c r="M759" s="34"/>
      <c r="N759" s="34"/>
      <c r="O759" s="34"/>
      <c r="P759" s="34"/>
      <c r="Q759" s="34"/>
      <c r="R759" s="34"/>
      <c r="S759" s="34"/>
      <c r="T759" s="34"/>
      <c r="U759" s="34"/>
      <c r="V759" s="34"/>
      <c r="W759" s="34"/>
    </row>
    <row r="760" spans="2:23" x14ac:dyDescent="0.3">
      <c r="B760" s="33"/>
      <c r="C760" s="34"/>
      <c r="D760" s="34"/>
      <c r="E760" s="34"/>
      <c r="F760" s="34"/>
      <c r="G760" s="34"/>
      <c r="H760" s="34"/>
      <c r="I760" s="34"/>
      <c r="J760" s="34"/>
      <c r="K760" s="35"/>
      <c r="L760" s="34"/>
      <c r="M760" s="34"/>
      <c r="N760" s="34"/>
      <c r="O760" s="34"/>
      <c r="P760" s="34"/>
      <c r="Q760" s="34"/>
      <c r="R760" s="34"/>
      <c r="S760" s="34"/>
      <c r="T760" s="34"/>
      <c r="U760" s="34"/>
      <c r="V760" s="34"/>
      <c r="W760" s="34"/>
    </row>
    <row r="761" spans="2:23" x14ac:dyDescent="0.3">
      <c r="B761" s="33"/>
      <c r="C761" s="34"/>
      <c r="D761" s="34"/>
      <c r="E761" s="34"/>
      <c r="F761" s="34"/>
      <c r="G761" s="34"/>
      <c r="H761" s="34"/>
      <c r="I761" s="34"/>
      <c r="J761" s="34"/>
      <c r="K761" s="35"/>
      <c r="L761" s="34"/>
      <c r="M761" s="34"/>
      <c r="N761" s="34"/>
      <c r="O761" s="34"/>
      <c r="P761" s="34"/>
      <c r="Q761" s="34"/>
      <c r="R761" s="34"/>
      <c r="S761" s="34"/>
      <c r="T761" s="34"/>
      <c r="U761" s="34"/>
      <c r="V761" s="34"/>
      <c r="W761" s="34"/>
    </row>
    <row r="762" spans="2:23" x14ac:dyDescent="0.3">
      <c r="B762" s="33"/>
      <c r="C762" s="34"/>
      <c r="D762" s="34"/>
      <c r="E762" s="34"/>
      <c r="F762" s="34"/>
      <c r="G762" s="34"/>
      <c r="H762" s="34"/>
      <c r="I762" s="34"/>
      <c r="J762" s="34"/>
      <c r="K762" s="35"/>
      <c r="L762" s="34"/>
      <c r="M762" s="34"/>
      <c r="N762" s="34"/>
      <c r="O762" s="34"/>
      <c r="P762" s="34"/>
      <c r="Q762" s="34"/>
      <c r="R762" s="34"/>
      <c r="S762" s="34"/>
      <c r="T762" s="34"/>
      <c r="U762" s="34"/>
      <c r="V762" s="34"/>
      <c r="W762" s="34"/>
    </row>
    <row r="763" spans="2:23" x14ac:dyDescent="0.3">
      <c r="B763" s="33"/>
      <c r="C763" s="34"/>
      <c r="D763" s="34"/>
      <c r="E763" s="34"/>
      <c r="F763" s="34"/>
      <c r="G763" s="34"/>
      <c r="H763" s="34"/>
      <c r="I763" s="34"/>
      <c r="J763" s="34"/>
      <c r="K763" s="35"/>
      <c r="L763" s="34"/>
      <c r="M763" s="34"/>
      <c r="N763" s="34"/>
      <c r="O763" s="34"/>
      <c r="P763" s="34"/>
      <c r="Q763" s="34"/>
      <c r="R763" s="34"/>
      <c r="S763" s="34"/>
      <c r="T763" s="34"/>
      <c r="U763" s="34"/>
      <c r="V763" s="34"/>
      <c r="W763" s="34"/>
    </row>
    <row r="764" spans="2:23" x14ac:dyDescent="0.3">
      <c r="B764" s="33"/>
      <c r="C764" s="34"/>
      <c r="D764" s="34"/>
      <c r="E764" s="34"/>
      <c r="F764" s="34"/>
      <c r="G764" s="34"/>
      <c r="H764" s="34"/>
      <c r="I764" s="34"/>
      <c r="J764" s="34"/>
      <c r="K764" s="35"/>
      <c r="L764" s="34"/>
      <c r="M764" s="34"/>
      <c r="N764" s="34"/>
      <c r="O764" s="34"/>
      <c r="P764" s="34"/>
      <c r="Q764" s="34"/>
      <c r="R764" s="34"/>
      <c r="S764" s="34"/>
      <c r="T764" s="34"/>
      <c r="U764" s="34"/>
      <c r="V764" s="34"/>
      <c r="W764" s="34"/>
    </row>
    <row r="765" spans="2:23" x14ac:dyDescent="0.3">
      <c r="B765" s="33"/>
      <c r="C765" s="34"/>
      <c r="D765" s="34"/>
      <c r="E765" s="34"/>
      <c r="F765" s="34"/>
      <c r="G765" s="34"/>
      <c r="H765" s="34"/>
      <c r="I765" s="34"/>
      <c r="J765" s="34"/>
      <c r="K765" s="35"/>
      <c r="L765" s="34"/>
      <c r="M765" s="34"/>
      <c r="N765" s="34"/>
      <c r="O765" s="34"/>
      <c r="P765" s="34"/>
      <c r="Q765" s="34"/>
      <c r="R765" s="34"/>
      <c r="S765" s="34"/>
      <c r="T765" s="34"/>
      <c r="U765" s="34"/>
      <c r="V765" s="34"/>
      <c r="W765" s="34"/>
    </row>
    <row r="766" spans="2:23" x14ac:dyDescent="0.3">
      <c r="B766" s="33"/>
      <c r="C766" s="34"/>
      <c r="D766" s="34"/>
      <c r="E766" s="34"/>
      <c r="F766" s="34"/>
      <c r="G766" s="34"/>
      <c r="H766" s="34"/>
      <c r="I766" s="34"/>
      <c r="J766" s="34"/>
      <c r="K766" s="35"/>
      <c r="L766" s="34"/>
      <c r="M766" s="34"/>
      <c r="N766" s="34"/>
      <c r="O766" s="34"/>
      <c r="P766" s="34"/>
      <c r="Q766" s="34"/>
      <c r="R766" s="34"/>
      <c r="S766" s="34"/>
      <c r="T766" s="34"/>
      <c r="U766" s="34"/>
      <c r="V766" s="34"/>
      <c r="W766" s="34"/>
    </row>
    <row r="767" spans="2:23" x14ac:dyDescent="0.3">
      <c r="B767" s="33"/>
      <c r="C767" s="34"/>
      <c r="D767" s="34"/>
      <c r="E767" s="34"/>
      <c r="F767" s="34"/>
      <c r="G767" s="34"/>
      <c r="H767" s="34"/>
      <c r="I767" s="34"/>
      <c r="J767" s="34"/>
      <c r="K767" s="35"/>
      <c r="L767" s="34"/>
      <c r="M767" s="34"/>
      <c r="N767" s="34"/>
      <c r="O767" s="34"/>
      <c r="P767" s="34"/>
      <c r="Q767" s="34"/>
      <c r="R767" s="34"/>
      <c r="S767" s="34"/>
      <c r="T767" s="34"/>
      <c r="U767" s="34"/>
      <c r="V767" s="34"/>
      <c r="W767" s="34"/>
    </row>
    <row r="768" spans="2:23" x14ac:dyDescent="0.3">
      <c r="B768" s="33"/>
      <c r="C768" s="34"/>
      <c r="D768" s="34"/>
      <c r="E768" s="34"/>
      <c r="F768" s="34"/>
      <c r="G768" s="34"/>
      <c r="H768" s="34"/>
      <c r="I768" s="34"/>
      <c r="J768" s="34"/>
      <c r="K768" s="35"/>
      <c r="L768" s="34"/>
      <c r="M768" s="34"/>
      <c r="N768" s="34"/>
      <c r="O768" s="34"/>
      <c r="P768" s="34"/>
      <c r="Q768" s="34"/>
      <c r="R768" s="34"/>
      <c r="S768" s="34"/>
      <c r="T768" s="34"/>
      <c r="U768" s="34"/>
      <c r="V768" s="34"/>
      <c r="W768" s="34"/>
    </row>
    <row r="769" spans="2:23" x14ac:dyDescent="0.3">
      <c r="B769" s="33"/>
      <c r="C769" s="34"/>
      <c r="D769" s="34"/>
      <c r="E769" s="34"/>
      <c r="F769" s="34"/>
      <c r="G769" s="34"/>
      <c r="H769" s="34"/>
      <c r="I769" s="34"/>
      <c r="J769" s="34"/>
      <c r="K769" s="35"/>
      <c r="L769" s="34"/>
      <c r="M769" s="34"/>
      <c r="N769" s="34"/>
      <c r="O769" s="34"/>
      <c r="P769" s="34"/>
      <c r="Q769" s="34"/>
      <c r="R769" s="34"/>
      <c r="S769" s="34"/>
      <c r="T769" s="34"/>
      <c r="U769" s="34"/>
      <c r="V769" s="34"/>
      <c r="W769" s="34"/>
    </row>
    <row r="770" spans="2:23" x14ac:dyDescent="0.3">
      <c r="B770" s="33"/>
      <c r="C770" s="34"/>
      <c r="D770" s="34"/>
      <c r="E770" s="34"/>
      <c r="F770" s="34"/>
      <c r="G770" s="34"/>
      <c r="H770" s="34"/>
      <c r="I770" s="34"/>
      <c r="J770" s="34"/>
      <c r="K770" s="35"/>
      <c r="L770" s="34"/>
      <c r="M770" s="34"/>
      <c r="N770" s="34"/>
      <c r="O770" s="34"/>
      <c r="P770" s="34"/>
      <c r="Q770" s="34"/>
      <c r="R770" s="34"/>
      <c r="S770" s="34"/>
      <c r="T770" s="34"/>
      <c r="U770" s="34"/>
      <c r="V770" s="34"/>
      <c r="W770" s="34"/>
    </row>
    <row r="771" spans="2:23" x14ac:dyDescent="0.3">
      <c r="B771" s="33"/>
      <c r="C771" s="34"/>
      <c r="D771" s="34"/>
      <c r="E771" s="34"/>
      <c r="F771" s="34"/>
      <c r="G771" s="34"/>
      <c r="H771" s="34"/>
      <c r="I771" s="34"/>
      <c r="J771" s="34"/>
      <c r="K771" s="35"/>
      <c r="L771" s="34"/>
      <c r="M771" s="34"/>
      <c r="N771" s="34"/>
      <c r="O771" s="34"/>
      <c r="P771" s="34"/>
      <c r="Q771" s="34"/>
      <c r="R771" s="34"/>
      <c r="S771" s="34"/>
      <c r="T771" s="34"/>
      <c r="U771" s="34"/>
      <c r="V771" s="34"/>
      <c r="W771" s="34"/>
    </row>
    <row r="772" spans="2:23" x14ac:dyDescent="0.3">
      <c r="B772" s="33"/>
      <c r="C772" s="34"/>
      <c r="D772" s="34"/>
      <c r="E772" s="34"/>
      <c r="F772" s="34"/>
      <c r="G772" s="34"/>
      <c r="H772" s="34"/>
      <c r="I772" s="34"/>
      <c r="J772" s="34"/>
      <c r="K772" s="35"/>
      <c r="L772" s="34"/>
      <c r="M772" s="34"/>
      <c r="N772" s="34"/>
      <c r="O772" s="34"/>
      <c r="P772" s="34"/>
      <c r="Q772" s="34"/>
      <c r="R772" s="34"/>
      <c r="S772" s="34"/>
      <c r="T772" s="34"/>
      <c r="U772" s="34"/>
      <c r="V772" s="34"/>
      <c r="W772" s="34"/>
    </row>
    <row r="773" spans="2:23" x14ac:dyDescent="0.3">
      <c r="B773" s="33"/>
      <c r="C773" s="34"/>
      <c r="D773" s="34"/>
      <c r="E773" s="34"/>
      <c r="F773" s="34"/>
      <c r="G773" s="34"/>
      <c r="H773" s="34"/>
      <c r="I773" s="34"/>
      <c r="J773" s="34"/>
      <c r="K773" s="35"/>
      <c r="L773" s="34"/>
      <c r="M773" s="34"/>
      <c r="N773" s="34"/>
      <c r="O773" s="34"/>
      <c r="P773" s="34"/>
      <c r="Q773" s="34"/>
      <c r="R773" s="34"/>
      <c r="S773" s="34"/>
      <c r="T773" s="34"/>
      <c r="U773" s="34"/>
      <c r="V773" s="34"/>
      <c r="W773" s="34"/>
    </row>
    <row r="774" spans="2:23" x14ac:dyDescent="0.3">
      <c r="B774" s="33"/>
      <c r="C774" s="34"/>
      <c r="D774" s="34"/>
      <c r="E774" s="34"/>
      <c r="F774" s="34"/>
      <c r="G774" s="34"/>
      <c r="H774" s="34"/>
      <c r="I774" s="34"/>
      <c r="J774" s="34"/>
      <c r="K774" s="35"/>
      <c r="L774" s="34"/>
      <c r="M774" s="34"/>
      <c r="N774" s="34"/>
      <c r="O774" s="34"/>
      <c r="P774" s="34"/>
      <c r="Q774" s="34"/>
      <c r="R774" s="34"/>
      <c r="S774" s="34"/>
      <c r="T774" s="34"/>
      <c r="U774" s="34"/>
      <c r="V774" s="34"/>
      <c r="W774" s="34"/>
    </row>
    <row r="775" spans="2:23" x14ac:dyDescent="0.3">
      <c r="B775" s="33"/>
      <c r="C775" s="34"/>
      <c r="D775" s="34"/>
      <c r="E775" s="34"/>
      <c r="F775" s="34"/>
      <c r="G775" s="34"/>
      <c r="H775" s="34"/>
      <c r="I775" s="34"/>
      <c r="J775" s="34"/>
      <c r="K775" s="35"/>
      <c r="L775" s="34"/>
      <c r="M775" s="34"/>
      <c r="N775" s="34"/>
      <c r="O775" s="34"/>
      <c r="P775" s="34"/>
      <c r="Q775" s="34"/>
      <c r="R775" s="34"/>
      <c r="S775" s="34"/>
      <c r="T775" s="34"/>
      <c r="U775" s="34"/>
      <c r="V775" s="34"/>
      <c r="W775" s="34"/>
    </row>
    <row r="776" spans="2:23" x14ac:dyDescent="0.3">
      <c r="B776" s="33"/>
      <c r="C776" s="34"/>
      <c r="D776" s="34"/>
      <c r="E776" s="34"/>
      <c r="F776" s="34"/>
      <c r="G776" s="34"/>
      <c r="H776" s="34"/>
      <c r="I776" s="34"/>
      <c r="J776" s="34"/>
      <c r="K776" s="35"/>
      <c r="L776" s="34"/>
      <c r="M776" s="34"/>
      <c r="N776" s="34"/>
      <c r="O776" s="34"/>
      <c r="P776" s="34"/>
      <c r="Q776" s="34"/>
      <c r="R776" s="34"/>
      <c r="S776" s="34"/>
      <c r="T776" s="34"/>
      <c r="U776" s="34"/>
      <c r="V776" s="34"/>
      <c r="W776" s="34"/>
    </row>
    <row r="777" spans="2:23" x14ac:dyDescent="0.3">
      <c r="B777" s="33"/>
      <c r="C777" s="34"/>
      <c r="D777" s="34"/>
      <c r="E777" s="34"/>
      <c r="F777" s="34"/>
      <c r="G777" s="34"/>
      <c r="H777" s="34"/>
      <c r="I777" s="34"/>
      <c r="J777" s="34"/>
      <c r="K777" s="35"/>
      <c r="L777" s="34"/>
      <c r="M777" s="34"/>
      <c r="N777" s="34"/>
      <c r="O777" s="34"/>
      <c r="P777" s="34"/>
      <c r="Q777" s="34"/>
      <c r="R777" s="34"/>
      <c r="S777" s="34"/>
      <c r="T777" s="34"/>
      <c r="U777" s="34"/>
      <c r="V777" s="34"/>
      <c r="W777" s="34"/>
    </row>
    <row r="778" spans="2:23" x14ac:dyDescent="0.3">
      <c r="B778" s="33"/>
      <c r="C778" s="34"/>
      <c r="D778" s="34"/>
      <c r="E778" s="34"/>
      <c r="F778" s="34"/>
      <c r="G778" s="34"/>
      <c r="H778" s="34"/>
      <c r="I778" s="34"/>
      <c r="J778" s="34"/>
      <c r="K778" s="35"/>
      <c r="L778" s="34"/>
      <c r="M778" s="34"/>
      <c r="N778" s="34"/>
      <c r="O778" s="34"/>
      <c r="P778" s="34"/>
      <c r="Q778" s="34"/>
      <c r="R778" s="34"/>
      <c r="S778" s="34"/>
      <c r="T778" s="34"/>
      <c r="U778" s="34"/>
      <c r="V778" s="34"/>
      <c r="W778" s="34"/>
    </row>
    <row r="779" spans="2:23" x14ac:dyDescent="0.3">
      <c r="K779" s="40"/>
    </row>
    <row r="780" spans="2:23" x14ac:dyDescent="0.3">
      <c r="K780" s="40"/>
    </row>
    <row r="781" spans="2:23" x14ac:dyDescent="0.3">
      <c r="K781" s="40"/>
    </row>
    <row r="782" spans="2:23" x14ac:dyDescent="0.3">
      <c r="K782" s="40"/>
    </row>
    <row r="783" spans="2:23" x14ac:dyDescent="0.3">
      <c r="K783" s="40"/>
    </row>
    <row r="784" spans="2:23" x14ac:dyDescent="0.3">
      <c r="K784" s="40"/>
    </row>
    <row r="785" spans="11:11" x14ac:dyDescent="0.3">
      <c r="K785" s="40"/>
    </row>
    <row r="786" spans="11:11" x14ac:dyDescent="0.3">
      <c r="K786" s="40"/>
    </row>
    <row r="787" spans="11:11" x14ac:dyDescent="0.3">
      <c r="K787" s="40"/>
    </row>
    <row r="788" spans="11:11" x14ac:dyDescent="0.3">
      <c r="K788" s="40"/>
    </row>
    <row r="789" spans="11:11" x14ac:dyDescent="0.3">
      <c r="K789" s="40"/>
    </row>
    <row r="790" spans="11:11" x14ac:dyDescent="0.3">
      <c r="K790" s="40"/>
    </row>
    <row r="791" spans="11:11" x14ac:dyDescent="0.3">
      <c r="K791" s="40"/>
    </row>
    <row r="792" spans="11:11" x14ac:dyDescent="0.3">
      <c r="K792" s="40"/>
    </row>
    <row r="793" spans="11:11" x14ac:dyDescent="0.3">
      <c r="K793" s="40"/>
    </row>
    <row r="794" spans="11:11" x14ac:dyDescent="0.3">
      <c r="K794" s="40"/>
    </row>
    <row r="795" spans="11:11" x14ac:dyDescent="0.3">
      <c r="K795" s="40"/>
    </row>
    <row r="796" spans="11:11" x14ac:dyDescent="0.3">
      <c r="K796" s="40"/>
    </row>
    <row r="797" spans="11:11" x14ac:dyDescent="0.3">
      <c r="K797" s="40"/>
    </row>
    <row r="798" spans="11:11" x14ac:dyDescent="0.3">
      <c r="K798" s="40"/>
    </row>
    <row r="799" spans="11:11" x14ac:dyDescent="0.3">
      <c r="K799" s="40"/>
    </row>
    <row r="800" spans="11:11" x14ac:dyDescent="0.3">
      <c r="K800" s="40"/>
    </row>
    <row r="801" spans="11:11" x14ac:dyDescent="0.3">
      <c r="K801" s="40"/>
    </row>
    <row r="802" spans="11:11" x14ac:dyDescent="0.3">
      <c r="K802" s="40"/>
    </row>
    <row r="803" spans="11:11" x14ac:dyDescent="0.3">
      <c r="K803" s="40"/>
    </row>
    <row r="804" spans="11:11" x14ac:dyDescent="0.3">
      <c r="K804" s="40"/>
    </row>
    <row r="805" spans="11:11" x14ac:dyDescent="0.3">
      <c r="K805" s="40"/>
    </row>
    <row r="806" spans="11:11" x14ac:dyDescent="0.3">
      <c r="K806" s="40"/>
    </row>
    <row r="807" spans="11:11" x14ac:dyDescent="0.3">
      <c r="K807" s="40"/>
    </row>
    <row r="808" spans="11:11" x14ac:dyDescent="0.3">
      <c r="K808" s="40"/>
    </row>
    <row r="809" spans="11:11" x14ac:dyDescent="0.3">
      <c r="K809" s="40"/>
    </row>
    <row r="810" spans="11:11" x14ac:dyDescent="0.3">
      <c r="K810" s="40"/>
    </row>
    <row r="811" spans="11:11" x14ac:dyDescent="0.3">
      <c r="K811" s="40"/>
    </row>
    <row r="812" spans="11:11" x14ac:dyDescent="0.3">
      <c r="K812" s="40"/>
    </row>
    <row r="813" spans="11:11" x14ac:dyDescent="0.3">
      <c r="K813" s="40"/>
    </row>
    <row r="814" spans="11:11" x14ac:dyDescent="0.3">
      <c r="K814" s="40"/>
    </row>
    <row r="815" spans="11:11" x14ac:dyDescent="0.3">
      <c r="K815" s="40"/>
    </row>
    <row r="816" spans="11:11" x14ac:dyDescent="0.3">
      <c r="K816" s="40"/>
    </row>
    <row r="817" spans="11:11" x14ac:dyDescent="0.3">
      <c r="K817" s="40"/>
    </row>
    <row r="818" spans="11:11" x14ac:dyDescent="0.3">
      <c r="K818" s="40"/>
    </row>
    <row r="819" spans="11:11" x14ac:dyDescent="0.3">
      <c r="K819" s="40"/>
    </row>
    <row r="820" spans="11:11" x14ac:dyDescent="0.3">
      <c r="K820" s="40"/>
    </row>
    <row r="821" spans="11:11" x14ac:dyDescent="0.3">
      <c r="K821" s="40"/>
    </row>
    <row r="822" spans="11:11" x14ac:dyDescent="0.3">
      <c r="K822" s="40"/>
    </row>
    <row r="823" spans="11:11" x14ac:dyDescent="0.3">
      <c r="K823" s="40"/>
    </row>
    <row r="824" spans="11:11" x14ac:dyDescent="0.3">
      <c r="K824" s="40"/>
    </row>
    <row r="825" spans="11:11" x14ac:dyDescent="0.3">
      <c r="K825" s="40"/>
    </row>
    <row r="826" spans="11:11" x14ac:dyDescent="0.3">
      <c r="K826" s="40"/>
    </row>
    <row r="827" spans="11:11" x14ac:dyDescent="0.3">
      <c r="K827" s="40"/>
    </row>
    <row r="828" spans="11:11" x14ac:dyDescent="0.3">
      <c r="K828" s="40"/>
    </row>
    <row r="829" spans="11:11" x14ac:dyDescent="0.3">
      <c r="K829" s="40"/>
    </row>
    <row r="830" spans="11:11" x14ac:dyDescent="0.3">
      <c r="K830" s="40"/>
    </row>
    <row r="831" spans="11:11" x14ac:dyDescent="0.3">
      <c r="K831" s="40"/>
    </row>
    <row r="832" spans="11:11" x14ac:dyDescent="0.3">
      <c r="K832" s="40"/>
    </row>
    <row r="833" spans="11:11" x14ac:dyDescent="0.3">
      <c r="K833" s="40"/>
    </row>
    <row r="834" spans="11:11" x14ac:dyDescent="0.3">
      <c r="K834" s="40"/>
    </row>
    <row r="835" spans="11:11" x14ac:dyDescent="0.3">
      <c r="K835" s="40"/>
    </row>
    <row r="836" spans="11:11" x14ac:dyDescent="0.3">
      <c r="K836" s="40"/>
    </row>
    <row r="837" spans="11:11" x14ac:dyDescent="0.3">
      <c r="K837" s="40"/>
    </row>
    <row r="838" spans="11:11" x14ac:dyDescent="0.3">
      <c r="K838" s="40"/>
    </row>
    <row r="839" spans="11:11" x14ac:dyDescent="0.3">
      <c r="K839" s="40"/>
    </row>
    <row r="840" spans="11:11" x14ac:dyDescent="0.3">
      <c r="K840" s="40"/>
    </row>
    <row r="841" spans="11:11" x14ac:dyDescent="0.3">
      <c r="K841" s="40"/>
    </row>
    <row r="842" spans="11:11" x14ac:dyDescent="0.3">
      <c r="K842" s="40"/>
    </row>
    <row r="843" spans="11:11" x14ac:dyDescent="0.3">
      <c r="K843" s="40"/>
    </row>
    <row r="844" spans="11:11" x14ac:dyDescent="0.3">
      <c r="K844" s="40"/>
    </row>
    <row r="845" spans="11:11" x14ac:dyDescent="0.3">
      <c r="K845" s="40"/>
    </row>
    <row r="846" spans="11:11" x14ac:dyDescent="0.3">
      <c r="K846" s="40"/>
    </row>
    <row r="847" spans="11:11" x14ac:dyDescent="0.3">
      <c r="K847" s="40"/>
    </row>
    <row r="848" spans="11:11" x14ac:dyDescent="0.3">
      <c r="K848" s="40"/>
    </row>
    <row r="849" spans="11:11" x14ac:dyDescent="0.3">
      <c r="K849" s="40"/>
    </row>
    <row r="850" spans="11:11" x14ac:dyDescent="0.3">
      <c r="K850" s="40"/>
    </row>
    <row r="851" spans="11:11" x14ac:dyDescent="0.3">
      <c r="K851" s="40"/>
    </row>
    <row r="852" spans="11:11" x14ac:dyDescent="0.3">
      <c r="K852" s="40"/>
    </row>
    <row r="853" spans="11:11" x14ac:dyDescent="0.3">
      <c r="K853" s="40"/>
    </row>
    <row r="854" spans="11:11" x14ac:dyDescent="0.3">
      <c r="K854" s="40"/>
    </row>
    <row r="855" spans="11:11" x14ac:dyDescent="0.3">
      <c r="K855" s="40"/>
    </row>
    <row r="856" spans="11:11" x14ac:dyDescent="0.3">
      <c r="K856" s="40"/>
    </row>
    <row r="857" spans="11:11" x14ac:dyDescent="0.3">
      <c r="K857" s="40"/>
    </row>
    <row r="858" spans="11:11" x14ac:dyDescent="0.3">
      <c r="K858" s="40"/>
    </row>
    <row r="859" spans="11:11" x14ac:dyDescent="0.3">
      <c r="K859" s="40"/>
    </row>
    <row r="860" spans="11:11" x14ac:dyDescent="0.3">
      <c r="K860" s="40"/>
    </row>
    <row r="861" spans="11:11" x14ac:dyDescent="0.3">
      <c r="K861" s="40"/>
    </row>
    <row r="862" spans="11:11" x14ac:dyDescent="0.3">
      <c r="K862" s="40"/>
    </row>
    <row r="863" spans="11:11" x14ac:dyDescent="0.3">
      <c r="K863" s="40"/>
    </row>
    <row r="864" spans="11:11" x14ac:dyDescent="0.3">
      <c r="K864" s="40"/>
    </row>
    <row r="865" spans="11:11" x14ac:dyDescent="0.3">
      <c r="K865" s="40"/>
    </row>
    <row r="866" spans="11:11" x14ac:dyDescent="0.3">
      <c r="K866" s="40"/>
    </row>
    <row r="867" spans="11:11" x14ac:dyDescent="0.3">
      <c r="K867" s="40"/>
    </row>
    <row r="868" spans="11:11" x14ac:dyDescent="0.3">
      <c r="K868" s="40"/>
    </row>
    <row r="869" spans="11:11" x14ac:dyDescent="0.3">
      <c r="K869" s="40"/>
    </row>
    <row r="870" spans="11:11" x14ac:dyDescent="0.3">
      <c r="K870" s="40"/>
    </row>
    <row r="871" spans="11:11" x14ac:dyDescent="0.3">
      <c r="K871" s="40"/>
    </row>
    <row r="872" spans="11:11" x14ac:dyDescent="0.3">
      <c r="K872" s="40"/>
    </row>
    <row r="873" spans="11:11" x14ac:dyDescent="0.3">
      <c r="K873" s="40"/>
    </row>
    <row r="874" spans="11:11" x14ac:dyDescent="0.3">
      <c r="K874" s="40"/>
    </row>
    <row r="875" spans="11:11" x14ac:dyDescent="0.3">
      <c r="K875" s="40"/>
    </row>
    <row r="876" spans="11:11" x14ac:dyDescent="0.3">
      <c r="K876" s="40"/>
    </row>
    <row r="877" spans="11:11" x14ac:dyDescent="0.3">
      <c r="K877" s="40"/>
    </row>
    <row r="878" spans="11:11" x14ac:dyDescent="0.3">
      <c r="K878" s="40"/>
    </row>
    <row r="879" spans="11:11" x14ac:dyDescent="0.3">
      <c r="K879" s="40"/>
    </row>
    <row r="880" spans="11:11" x14ac:dyDescent="0.3">
      <c r="K880" s="40"/>
    </row>
    <row r="881" spans="11:11" x14ac:dyDescent="0.3">
      <c r="K881" s="40"/>
    </row>
    <row r="882" spans="11:11" x14ac:dyDescent="0.3">
      <c r="K882" s="40"/>
    </row>
    <row r="883" spans="11:11" x14ac:dyDescent="0.3">
      <c r="K883" s="40"/>
    </row>
    <row r="884" spans="11:11" x14ac:dyDescent="0.3">
      <c r="K884" s="40"/>
    </row>
    <row r="885" spans="11:11" x14ac:dyDescent="0.3">
      <c r="K885" s="40"/>
    </row>
    <row r="886" spans="11:11" x14ac:dyDescent="0.3">
      <c r="K886" s="40"/>
    </row>
    <row r="887" spans="11:11" x14ac:dyDescent="0.3">
      <c r="K887" s="40"/>
    </row>
    <row r="888" spans="11:11" x14ac:dyDescent="0.3">
      <c r="K888" s="40"/>
    </row>
    <row r="889" spans="11:11" x14ac:dyDescent="0.3">
      <c r="K889" s="40"/>
    </row>
    <row r="890" spans="11:11" x14ac:dyDescent="0.3">
      <c r="K890" s="40"/>
    </row>
    <row r="891" spans="11:11" x14ac:dyDescent="0.3">
      <c r="K891" s="40"/>
    </row>
    <row r="892" spans="11:11" x14ac:dyDescent="0.3">
      <c r="K892" s="40"/>
    </row>
    <row r="893" spans="11:11" x14ac:dyDescent="0.3">
      <c r="K893" s="40"/>
    </row>
    <row r="894" spans="11:11" x14ac:dyDescent="0.3">
      <c r="K894" s="40"/>
    </row>
    <row r="895" spans="11:11" x14ac:dyDescent="0.3">
      <c r="K895" s="40"/>
    </row>
    <row r="896" spans="11:11" x14ac:dyDescent="0.3">
      <c r="K896" s="40"/>
    </row>
    <row r="897" spans="11:11" x14ac:dyDescent="0.3">
      <c r="K897" s="40"/>
    </row>
    <row r="898" spans="11:11" x14ac:dyDescent="0.3">
      <c r="K898" s="40"/>
    </row>
    <row r="899" spans="11:11" x14ac:dyDescent="0.3">
      <c r="K899" s="40"/>
    </row>
    <row r="900" spans="11:11" x14ac:dyDescent="0.3">
      <c r="K900" s="40"/>
    </row>
    <row r="901" spans="11:11" x14ac:dyDescent="0.3">
      <c r="K901" s="40"/>
    </row>
    <row r="902" spans="11:11" x14ac:dyDescent="0.3">
      <c r="K902" s="40"/>
    </row>
    <row r="903" spans="11:11" x14ac:dyDescent="0.3">
      <c r="K903" s="40"/>
    </row>
    <row r="904" spans="11:11" x14ac:dyDescent="0.3">
      <c r="K904" s="40"/>
    </row>
    <row r="905" spans="11:11" x14ac:dyDescent="0.3">
      <c r="K905" s="40"/>
    </row>
    <row r="906" spans="11:11" x14ac:dyDescent="0.3">
      <c r="K906" s="40"/>
    </row>
    <row r="907" spans="11:11" x14ac:dyDescent="0.3">
      <c r="K907" s="40"/>
    </row>
    <row r="908" spans="11:11" x14ac:dyDescent="0.3">
      <c r="K908" s="40"/>
    </row>
    <row r="909" spans="11:11" x14ac:dyDescent="0.3">
      <c r="K909" s="40"/>
    </row>
    <row r="910" spans="11:11" x14ac:dyDescent="0.3">
      <c r="K910" s="40"/>
    </row>
    <row r="911" spans="11:11" x14ac:dyDescent="0.3">
      <c r="K911" s="40"/>
    </row>
    <row r="912" spans="11:11" x14ac:dyDescent="0.3">
      <c r="K912" s="40"/>
    </row>
    <row r="913" spans="11:11" x14ac:dyDescent="0.3">
      <c r="K913" s="40"/>
    </row>
    <row r="914" spans="11:11" x14ac:dyDescent="0.3">
      <c r="K914" s="40"/>
    </row>
    <row r="915" spans="11:11" x14ac:dyDescent="0.3">
      <c r="K915" s="40"/>
    </row>
    <row r="916" spans="11:11" x14ac:dyDescent="0.3">
      <c r="K916" s="40"/>
    </row>
    <row r="917" spans="11:11" x14ac:dyDescent="0.3">
      <c r="K917" s="40"/>
    </row>
    <row r="918" spans="11:11" x14ac:dyDescent="0.3">
      <c r="K918" s="40"/>
    </row>
    <row r="919" spans="11:11" x14ac:dyDescent="0.3">
      <c r="K919" s="40"/>
    </row>
    <row r="920" spans="11:11" x14ac:dyDescent="0.3">
      <c r="K920" s="40"/>
    </row>
    <row r="921" spans="11:11" x14ac:dyDescent="0.3">
      <c r="K921" s="40"/>
    </row>
    <row r="922" spans="11:11" x14ac:dyDescent="0.3">
      <c r="K922" s="40"/>
    </row>
    <row r="923" spans="11:11" x14ac:dyDescent="0.3">
      <c r="K923" s="40"/>
    </row>
    <row r="924" spans="11:11" x14ac:dyDescent="0.3">
      <c r="K924" s="40"/>
    </row>
    <row r="925" spans="11:11" x14ac:dyDescent="0.3">
      <c r="K925" s="40"/>
    </row>
    <row r="926" spans="11:11" x14ac:dyDescent="0.3">
      <c r="K926" s="40"/>
    </row>
    <row r="927" spans="11:11" x14ac:dyDescent="0.3">
      <c r="K927" s="40"/>
    </row>
    <row r="928" spans="11:11" x14ac:dyDescent="0.3">
      <c r="K928" s="40"/>
    </row>
    <row r="929" spans="11:11" x14ac:dyDescent="0.3">
      <c r="K929" s="40"/>
    </row>
    <row r="930" spans="11:11" x14ac:dyDescent="0.3">
      <c r="K930" s="40"/>
    </row>
    <row r="931" spans="11:11" x14ac:dyDescent="0.3">
      <c r="K931" s="40"/>
    </row>
    <row r="932" spans="11:11" x14ac:dyDescent="0.3">
      <c r="K932" s="40"/>
    </row>
    <row r="933" spans="11:11" x14ac:dyDescent="0.3">
      <c r="K933" s="40"/>
    </row>
    <row r="934" spans="11:11" x14ac:dyDescent="0.3">
      <c r="K934" s="40"/>
    </row>
    <row r="935" spans="11:11" x14ac:dyDescent="0.3">
      <c r="K935" s="40"/>
    </row>
    <row r="936" spans="11:11" x14ac:dyDescent="0.3">
      <c r="K936" s="40"/>
    </row>
    <row r="937" spans="11:11" x14ac:dyDescent="0.3">
      <c r="K937" s="40"/>
    </row>
    <row r="938" spans="11:11" x14ac:dyDescent="0.3">
      <c r="K938" s="40"/>
    </row>
    <row r="939" spans="11:11" x14ac:dyDescent="0.3">
      <c r="K939" s="40"/>
    </row>
    <row r="940" spans="11:11" x14ac:dyDescent="0.3">
      <c r="K940" s="40"/>
    </row>
    <row r="941" spans="11:11" x14ac:dyDescent="0.3">
      <c r="K941" s="40"/>
    </row>
    <row r="942" spans="11:11" x14ac:dyDescent="0.3">
      <c r="K942" s="40"/>
    </row>
    <row r="943" spans="11:11" x14ac:dyDescent="0.3">
      <c r="K943" s="40"/>
    </row>
    <row r="944" spans="11:11" x14ac:dyDescent="0.3">
      <c r="K944" s="40"/>
    </row>
    <row r="945" spans="11:11" x14ac:dyDescent="0.3">
      <c r="K945" s="40"/>
    </row>
    <row r="946" spans="11:11" x14ac:dyDescent="0.3">
      <c r="K946" s="40"/>
    </row>
    <row r="947" spans="11:11" x14ac:dyDescent="0.3">
      <c r="K947" s="40"/>
    </row>
    <row r="948" spans="11:11" x14ac:dyDescent="0.3">
      <c r="K948" s="40"/>
    </row>
    <row r="949" spans="11:11" x14ac:dyDescent="0.3">
      <c r="K949" s="40"/>
    </row>
    <row r="950" spans="11:11" x14ac:dyDescent="0.3">
      <c r="K950" s="40"/>
    </row>
    <row r="951" spans="11:11" x14ac:dyDescent="0.3">
      <c r="K951" s="40"/>
    </row>
    <row r="952" spans="11:11" x14ac:dyDescent="0.3">
      <c r="K952" s="40"/>
    </row>
    <row r="953" spans="11:11" x14ac:dyDescent="0.3">
      <c r="K953" s="40"/>
    </row>
    <row r="954" spans="11:11" x14ac:dyDescent="0.3">
      <c r="K954" s="40"/>
    </row>
    <row r="955" spans="11:11" x14ac:dyDescent="0.3">
      <c r="K955" s="40"/>
    </row>
    <row r="956" spans="11:11" x14ac:dyDescent="0.3">
      <c r="K956" s="40"/>
    </row>
    <row r="957" spans="11:11" x14ac:dyDescent="0.3">
      <c r="K957" s="40"/>
    </row>
    <row r="958" spans="11:11" x14ac:dyDescent="0.3">
      <c r="K958" s="40"/>
    </row>
    <row r="959" spans="11:11" x14ac:dyDescent="0.3">
      <c r="K959" s="40"/>
    </row>
    <row r="960" spans="11:11" x14ac:dyDescent="0.3">
      <c r="K960" s="40"/>
    </row>
    <row r="961" spans="11:11" x14ac:dyDescent="0.3">
      <c r="K961" s="40"/>
    </row>
    <row r="962" spans="11:11" x14ac:dyDescent="0.3">
      <c r="K962" s="40"/>
    </row>
    <row r="963" spans="11:11" x14ac:dyDescent="0.3">
      <c r="K963" s="40"/>
    </row>
    <row r="964" spans="11:11" x14ac:dyDescent="0.3">
      <c r="K964" s="40"/>
    </row>
    <row r="965" spans="11:11" x14ac:dyDescent="0.3">
      <c r="K965" s="40"/>
    </row>
    <row r="966" spans="11:11" x14ac:dyDescent="0.3">
      <c r="K966" s="40"/>
    </row>
    <row r="967" spans="11:11" x14ac:dyDescent="0.3">
      <c r="K967" s="40"/>
    </row>
    <row r="968" spans="11:11" x14ac:dyDescent="0.3">
      <c r="K968" s="40"/>
    </row>
    <row r="969" spans="11:11" x14ac:dyDescent="0.3">
      <c r="K969" s="40"/>
    </row>
    <row r="970" spans="11:11" x14ac:dyDescent="0.3">
      <c r="K970" s="40"/>
    </row>
    <row r="971" spans="11:11" x14ac:dyDescent="0.3">
      <c r="K971" s="40"/>
    </row>
    <row r="972" spans="11:11" x14ac:dyDescent="0.3">
      <c r="K972" s="40"/>
    </row>
    <row r="973" spans="11:11" x14ac:dyDescent="0.3">
      <c r="K973" s="40"/>
    </row>
    <row r="974" spans="11:11" x14ac:dyDescent="0.3">
      <c r="K974" s="40"/>
    </row>
    <row r="975" spans="11:11" x14ac:dyDescent="0.3">
      <c r="K975" s="40"/>
    </row>
    <row r="976" spans="11:11" x14ac:dyDescent="0.3">
      <c r="K976" s="40"/>
    </row>
    <row r="977" spans="11:11" x14ac:dyDescent="0.3">
      <c r="K977" s="40"/>
    </row>
    <row r="978" spans="11:11" x14ac:dyDescent="0.3">
      <c r="K978" s="40"/>
    </row>
    <row r="979" spans="11:11" x14ac:dyDescent="0.3">
      <c r="K979" s="40"/>
    </row>
    <row r="980" spans="11:11" x14ac:dyDescent="0.3">
      <c r="K980" s="40"/>
    </row>
    <row r="981" spans="11:11" x14ac:dyDescent="0.3">
      <c r="K981" s="40"/>
    </row>
    <row r="982" spans="11:11" x14ac:dyDescent="0.3">
      <c r="K982" s="40"/>
    </row>
    <row r="983" spans="11:11" x14ac:dyDescent="0.3">
      <c r="K983" s="40"/>
    </row>
    <row r="984" spans="11:11" x14ac:dyDescent="0.3">
      <c r="K984" s="40"/>
    </row>
    <row r="985" spans="11:11" x14ac:dyDescent="0.3">
      <c r="K985" s="40"/>
    </row>
    <row r="986" spans="11:11" x14ac:dyDescent="0.3">
      <c r="K986" s="40"/>
    </row>
    <row r="987" spans="11:11" x14ac:dyDescent="0.3">
      <c r="K987" s="40"/>
    </row>
    <row r="988" spans="11:11" x14ac:dyDescent="0.3">
      <c r="K988" s="40"/>
    </row>
    <row r="989" spans="11:11" x14ac:dyDescent="0.3">
      <c r="K989" s="40"/>
    </row>
    <row r="990" spans="11:11" x14ac:dyDescent="0.3">
      <c r="K990" s="40"/>
    </row>
    <row r="991" spans="11:11" x14ac:dyDescent="0.3">
      <c r="K991" s="40"/>
    </row>
    <row r="992" spans="11:11" x14ac:dyDescent="0.3">
      <c r="K992" s="40"/>
    </row>
    <row r="993" spans="11:11" x14ac:dyDescent="0.3">
      <c r="K993" s="40"/>
    </row>
    <row r="994" spans="11:11" x14ac:dyDescent="0.3">
      <c r="K994" s="40"/>
    </row>
    <row r="995" spans="11:11" x14ac:dyDescent="0.3">
      <c r="K995" s="40"/>
    </row>
    <row r="996" spans="11:11" x14ac:dyDescent="0.3">
      <c r="K996" s="40"/>
    </row>
    <row r="997" spans="11:11" x14ac:dyDescent="0.3">
      <c r="K997" s="40"/>
    </row>
    <row r="998" spans="11:11" x14ac:dyDescent="0.3">
      <c r="K998" s="40"/>
    </row>
    <row r="999" spans="11:11" x14ac:dyDescent="0.3">
      <c r="K999" s="40"/>
    </row>
    <row r="1000" spans="11:11" x14ac:dyDescent="0.3">
      <c r="K1000" s="40"/>
    </row>
    <row r="1001" spans="11:11" x14ac:dyDescent="0.3">
      <c r="K1001" s="40"/>
    </row>
    <row r="1002" spans="11:11" x14ac:dyDescent="0.3">
      <c r="K1002" s="40"/>
    </row>
    <row r="1003" spans="11:11" x14ac:dyDescent="0.3">
      <c r="K1003" s="40"/>
    </row>
    <row r="1004" spans="11:11" x14ac:dyDescent="0.3">
      <c r="K1004" s="40"/>
    </row>
    <row r="1005" spans="11:11" x14ac:dyDescent="0.3">
      <c r="K1005" s="40"/>
    </row>
    <row r="1006" spans="11:11" x14ac:dyDescent="0.3">
      <c r="K1006" s="40"/>
    </row>
    <row r="1007" spans="11:11" x14ac:dyDescent="0.3">
      <c r="K1007" s="40"/>
    </row>
    <row r="1008" spans="11:11" x14ac:dyDescent="0.3">
      <c r="K1008" s="40"/>
    </row>
    <row r="1009" spans="11:11" x14ac:dyDescent="0.3">
      <c r="K1009" s="40"/>
    </row>
    <row r="1010" spans="11:11" x14ac:dyDescent="0.3">
      <c r="K1010" s="40"/>
    </row>
    <row r="1011" spans="11:11" x14ac:dyDescent="0.3">
      <c r="K1011" s="40"/>
    </row>
    <row r="1012" spans="11:11" x14ac:dyDescent="0.3">
      <c r="K1012" s="40"/>
    </row>
    <row r="1013" spans="11:11" x14ac:dyDescent="0.3">
      <c r="K1013" s="40"/>
    </row>
    <row r="1014" spans="11:11" x14ac:dyDescent="0.3">
      <c r="K1014" s="40"/>
    </row>
    <row r="1015" spans="11:11" x14ac:dyDescent="0.3">
      <c r="K1015" s="40"/>
    </row>
    <row r="1016" spans="11:11" x14ac:dyDescent="0.3">
      <c r="K1016" s="40"/>
    </row>
    <row r="1017" spans="11:11" x14ac:dyDescent="0.3">
      <c r="K1017" s="40"/>
    </row>
    <row r="1018" spans="11:11" x14ac:dyDescent="0.3">
      <c r="K1018" s="40"/>
    </row>
    <row r="1019" spans="11:11" x14ac:dyDescent="0.3">
      <c r="K1019" s="40"/>
    </row>
    <row r="1020" spans="11:11" x14ac:dyDescent="0.3">
      <c r="K1020" s="40"/>
    </row>
    <row r="1021" spans="11:11" x14ac:dyDescent="0.3">
      <c r="K1021" s="40"/>
    </row>
    <row r="1022" spans="11:11" x14ac:dyDescent="0.3">
      <c r="K1022" s="40"/>
    </row>
    <row r="1023" spans="11:11" x14ac:dyDescent="0.3">
      <c r="K1023" s="40"/>
    </row>
    <row r="1024" spans="11:11" x14ac:dyDescent="0.3">
      <c r="K1024" s="40"/>
    </row>
    <row r="1025" spans="11:11" x14ac:dyDescent="0.3">
      <c r="K1025" s="40"/>
    </row>
    <row r="1026" spans="11:11" x14ac:dyDescent="0.3">
      <c r="K1026" s="40"/>
    </row>
    <row r="1027" spans="11:11" x14ac:dyDescent="0.3">
      <c r="K1027" s="40"/>
    </row>
    <row r="1028" spans="11:11" x14ac:dyDescent="0.3">
      <c r="K1028" s="40"/>
    </row>
    <row r="1029" spans="11:11" x14ac:dyDescent="0.3">
      <c r="K1029" s="40"/>
    </row>
    <row r="1030" spans="11:11" x14ac:dyDescent="0.3">
      <c r="K1030" s="40"/>
    </row>
    <row r="1031" spans="11:11" x14ac:dyDescent="0.3">
      <c r="K1031" s="40"/>
    </row>
    <row r="1032" spans="11:11" x14ac:dyDescent="0.3">
      <c r="K1032" s="40"/>
    </row>
    <row r="1033" spans="11:11" x14ac:dyDescent="0.3">
      <c r="K1033" s="40"/>
    </row>
    <row r="1034" spans="11:11" x14ac:dyDescent="0.3">
      <c r="K1034" s="40"/>
    </row>
    <row r="1035" spans="11:11" x14ac:dyDescent="0.3">
      <c r="K1035" s="40"/>
    </row>
    <row r="1036" spans="11:11" x14ac:dyDescent="0.3">
      <c r="K1036" s="40"/>
    </row>
    <row r="1037" spans="11:11" x14ac:dyDescent="0.3">
      <c r="K1037" s="40"/>
    </row>
    <row r="1038" spans="11:11" x14ac:dyDescent="0.3">
      <c r="K1038" s="40"/>
    </row>
    <row r="1039" spans="11:11" x14ac:dyDescent="0.3">
      <c r="K1039" s="40"/>
    </row>
    <row r="1040" spans="11:11" x14ac:dyDescent="0.3">
      <c r="K1040" s="40"/>
    </row>
    <row r="1041" spans="11:11" x14ac:dyDescent="0.3">
      <c r="K1041" s="40"/>
    </row>
    <row r="1042" spans="11:11" x14ac:dyDescent="0.3">
      <c r="K1042" s="40"/>
    </row>
    <row r="1043" spans="11:11" x14ac:dyDescent="0.3">
      <c r="K1043" s="40"/>
    </row>
    <row r="1044" spans="11:11" x14ac:dyDescent="0.3">
      <c r="K1044" s="40"/>
    </row>
    <row r="1045" spans="11:11" x14ac:dyDescent="0.3">
      <c r="K1045" s="40"/>
    </row>
    <row r="1046" spans="11:11" x14ac:dyDescent="0.3">
      <c r="K1046" s="40"/>
    </row>
    <row r="1047" spans="11:11" x14ac:dyDescent="0.3">
      <c r="K1047" s="40"/>
    </row>
    <row r="1048" spans="11:11" x14ac:dyDescent="0.3">
      <c r="K1048" s="40"/>
    </row>
    <row r="1049" spans="11:11" x14ac:dyDescent="0.3">
      <c r="K1049" s="40"/>
    </row>
    <row r="1050" spans="11:11" x14ac:dyDescent="0.3">
      <c r="K1050" s="40"/>
    </row>
    <row r="1051" spans="11:11" x14ac:dyDescent="0.3">
      <c r="K1051" s="40"/>
    </row>
    <row r="1052" spans="11:11" x14ac:dyDescent="0.3">
      <c r="K1052" s="40"/>
    </row>
    <row r="1053" spans="11:11" x14ac:dyDescent="0.3">
      <c r="K1053" s="40"/>
    </row>
    <row r="1054" spans="11:11" x14ac:dyDescent="0.3">
      <c r="K1054" s="40"/>
    </row>
    <row r="1055" spans="11:11" x14ac:dyDescent="0.3">
      <c r="K1055" s="40"/>
    </row>
    <row r="1056" spans="11:11" x14ac:dyDescent="0.3">
      <c r="K1056" s="40"/>
    </row>
    <row r="1057" spans="11:11" x14ac:dyDescent="0.3">
      <c r="K1057" s="40"/>
    </row>
    <row r="1058" spans="11:11" x14ac:dyDescent="0.3">
      <c r="K1058" s="40"/>
    </row>
    <row r="1059" spans="11:11" x14ac:dyDescent="0.3">
      <c r="K1059" s="40"/>
    </row>
    <row r="1060" spans="11:11" x14ac:dyDescent="0.3">
      <c r="K1060" s="40"/>
    </row>
    <row r="1061" spans="11:11" x14ac:dyDescent="0.3">
      <c r="K1061" s="40"/>
    </row>
    <row r="1062" spans="11:11" x14ac:dyDescent="0.3">
      <c r="K1062" s="40"/>
    </row>
    <row r="1063" spans="11:11" x14ac:dyDescent="0.3">
      <c r="K1063" s="40"/>
    </row>
    <row r="1064" spans="11:11" x14ac:dyDescent="0.3">
      <c r="K1064" s="40"/>
    </row>
    <row r="1065" spans="11:11" x14ac:dyDescent="0.3">
      <c r="K1065" s="40"/>
    </row>
    <row r="1066" spans="11:11" x14ac:dyDescent="0.3">
      <c r="K1066" s="40"/>
    </row>
    <row r="1067" spans="11:11" x14ac:dyDescent="0.3">
      <c r="K1067" s="40"/>
    </row>
    <row r="1068" spans="11:11" x14ac:dyDescent="0.3">
      <c r="K1068" s="40"/>
    </row>
    <row r="1069" spans="11:11" x14ac:dyDescent="0.3">
      <c r="K1069" s="40"/>
    </row>
    <row r="1070" spans="11:11" x14ac:dyDescent="0.3">
      <c r="K1070" s="40"/>
    </row>
    <row r="1071" spans="11:11" x14ac:dyDescent="0.3">
      <c r="K1071" s="40"/>
    </row>
    <row r="1072" spans="11:11" x14ac:dyDescent="0.3">
      <c r="K1072" s="40"/>
    </row>
    <row r="1073" spans="11:11" x14ac:dyDescent="0.3">
      <c r="K1073" s="40"/>
    </row>
    <row r="1074" spans="11:11" x14ac:dyDescent="0.3">
      <c r="K1074" s="40"/>
    </row>
    <row r="1075" spans="11:11" x14ac:dyDescent="0.3">
      <c r="K1075" s="40"/>
    </row>
    <row r="1076" spans="11:11" x14ac:dyDescent="0.3">
      <c r="K1076" s="40"/>
    </row>
    <row r="1077" spans="11:11" x14ac:dyDescent="0.3">
      <c r="K1077" s="40"/>
    </row>
    <row r="1078" spans="11:11" x14ac:dyDescent="0.3">
      <c r="K1078" s="40"/>
    </row>
    <row r="1079" spans="11:11" x14ac:dyDescent="0.3">
      <c r="K1079" s="40"/>
    </row>
    <row r="1080" spans="11:11" x14ac:dyDescent="0.3">
      <c r="K1080" s="40"/>
    </row>
    <row r="1081" spans="11:11" x14ac:dyDescent="0.3">
      <c r="K1081" s="40"/>
    </row>
    <row r="1082" spans="11:11" x14ac:dyDescent="0.3">
      <c r="K1082" s="40"/>
    </row>
    <row r="1083" spans="11:11" x14ac:dyDescent="0.3">
      <c r="K1083" s="40"/>
    </row>
    <row r="1084" spans="11:11" x14ac:dyDescent="0.3">
      <c r="K1084" s="40"/>
    </row>
    <row r="1085" spans="11:11" x14ac:dyDescent="0.3">
      <c r="K1085" s="40"/>
    </row>
    <row r="1086" spans="11:11" x14ac:dyDescent="0.3">
      <c r="K1086" s="40"/>
    </row>
    <row r="1087" spans="11:11" x14ac:dyDescent="0.3">
      <c r="K1087" s="40"/>
    </row>
    <row r="1088" spans="11:11" x14ac:dyDescent="0.3">
      <c r="K1088" s="40"/>
    </row>
    <row r="1089" spans="11:11" x14ac:dyDescent="0.3">
      <c r="K1089" s="40"/>
    </row>
    <row r="1090" spans="11:11" x14ac:dyDescent="0.3">
      <c r="K1090" s="40"/>
    </row>
    <row r="1091" spans="11:11" x14ac:dyDescent="0.3">
      <c r="K1091" s="40"/>
    </row>
    <row r="1092" spans="11:11" x14ac:dyDescent="0.3">
      <c r="K1092" s="40"/>
    </row>
    <row r="1093" spans="11:11" x14ac:dyDescent="0.3">
      <c r="K1093" s="40"/>
    </row>
    <row r="1094" spans="11:11" x14ac:dyDescent="0.3">
      <c r="K1094" s="40"/>
    </row>
    <row r="1095" spans="11:11" x14ac:dyDescent="0.3">
      <c r="K1095" s="40"/>
    </row>
    <row r="1096" spans="11:11" x14ac:dyDescent="0.3">
      <c r="K1096" s="40"/>
    </row>
    <row r="1097" spans="11:11" x14ac:dyDescent="0.3">
      <c r="K1097" s="40"/>
    </row>
    <row r="1098" spans="11:11" x14ac:dyDescent="0.3">
      <c r="K1098" s="40"/>
    </row>
    <row r="1099" spans="11:11" x14ac:dyDescent="0.3">
      <c r="K1099" s="40"/>
    </row>
    <row r="1100" spans="11:11" x14ac:dyDescent="0.3">
      <c r="K1100" s="40"/>
    </row>
    <row r="1101" spans="11:11" x14ac:dyDescent="0.3">
      <c r="K1101" s="40"/>
    </row>
    <row r="1102" spans="11:11" x14ac:dyDescent="0.3">
      <c r="K1102" s="40"/>
    </row>
    <row r="1103" spans="11:11" x14ac:dyDescent="0.3">
      <c r="K1103" s="40"/>
    </row>
    <row r="1104" spans="11:11" x14ac:dyDescent="0.3">
      <c r="K1104" s="40"/>
    </row>
    <row r="1105" spans="11:11" x14ac:dyDescent="0.3">
      <c r="K1105" s="40"/>
    </row>
    <row r="1106" spans="11:11" x14ac:dyDescent="0.3">
      <c r="K1106" s="40"/>
    </row>
    <row r="1107" spans="11:11" x14ac:dyDescent="0.3">
      <c r="K1107" s="40"/>
    </row>
    <row r="1108" spans="11:11" x14ac:dyDescent="0.3">
      <c r="K1108" s="40"/>
    </row>
    <row r="1109" spans="11:11" x14ac:dyDescent="0.3">
      <c r="K1109" s="40"/>
    </row>
    <row r="1110" spans="11:11" x14ac:dyDescent="0.3">
      <c r="K1110" s="40"/>
    </row>
    <row r="1111" spans="11:11" x14ac:dyDescent="0.3">
      <c r="K1111" s="40"/>
    </row>
    <row r="1112" spans="11:11" x14ac:dyDescent="0.3">
      <c r="K1112" s="40"/>
    </row>
    <row r="1113" spans="11:11" x14ac:dyDescent="0.3">
      <c r="K1113" s="40"/>
    </row>
    <row r="1114" spans="11:11" x14ac:dyDescent="0.3">
      <c r="K1114" s="40"/>
    </row>
    <row r="1115" spans="11:11" x14ac:dyDescent="0.3">
      <c r="K1115" s="40"/>
    </row>
    <row r="1116" spans="11:11" x14ac:dyDescent="0.3">
      <c r="K1116" s="40"/>
    </row>
    <row r="1117" spans="11:11" x14ac:dyDescent="0.3">
      <c r="K1117" s="40"/>
    </row>
    <row r="1118" spans="11:11" x14ac:dyDescent="0.3">
      <c r="K1118" s="40"/>
    </row>
    <row r="1119" spans="11:11" x14ac:dyDescent="0.3">
      <c r="K1119" s="40"/>
    </row>
    <row r="1120" spans="11:11" x14ac:dyDescent="0.3">
      <c r="K1120" s="40"/>
    </row>
    <row r="1121" spans="11:11" x14ac:dyDescent="0.3">
      <c r="K1121" s="40"/>
    </row>
    <row r="1122" spans="11:11" x14ac:dyDescent="0.3">
      <c r="K1122" s="40"/>
    </row>
    <row r="1123" spans="11:11" x14ac:dyDescent="0.3">
      <c r="K1123" s="40"/>
    </row>
    <row r="1124" spans="11:11" x14ac:dyDescent="0.3">
      <c r="K1124" s="40"/>
    </row>
    <row r="1125" spans="11:11" x14ac:dyDescent="0.3">
      <c r="K1125" s="40"/>
    </row>
    <row r="1126" spans="11:11" x14ac:dyDescent="0.3">
      <c r="K1126" s="40"/>
    </row>
    <row r="1127" spans="11:11" x14ac:dyDescent="0.3">
      <c r="K1127" s="40"/>
    </row>
    <row r="1128" spans="11:11" x14ac:dyDescent="0.3">
      <c r="K1128" s="40"/>
    </row>
    <row r="1129" spans="11:11" x14ac:dyDescent="0.3">
      <c r="K1129" s="40"/>
    </row>
    <row r="1130" spans="11:11" x14ac:dyDescent="0.3">
      <c r="K1130" s="40"/>
    </row>
    <row r="1131" spans="11:11" x14ac:dyDescent="0.3">
      <c r="K1131" s="40"/>
    </row>
    <row r="1132" spans="11:11" x14ac:dyDescent="0.3">
      <c r="K1132" s="40"/>
    </row>
    <row r="1133" spans="11:11" x14ac:dyDescent="0.3">
      <c r="K1133" s="40"/>
    </row>
    <row r="1134" spans="11:11" x14ac:dyDescent="0.3">
      <c r="K1134" s="40"/>
    </row>
    <row r="1135" spans="11:11" x14ac:dyDescent="0.3">
      <c r="K1135" s="40"/>
    </row>
    <row r="1136" spans="11:11" x14ac:dyDescent="0.3">
      <c r="K1136" s="40"/>
    </row>
    <row r="1137" spans="11:11" x14ac:dyDescent="0.3">
      <c r="K1137" s="40"/>
    </row>
    <row r="1138" spans="11:11" x14ac:dyDescent="0.3">
      <c r="K1138" s="40"/>
    </row>
    <row r="1139" spans="11:11" x14ac:dyDescent="0.3">
      <c r="K1139" s="40"/>
    </row>
    <row r="1140" spans="11:11" x14ac:dyDescent="0.3">
      <c r="K1140" s="40"/>
    </row>
    <row r="1141" spans="11:11" x14ac:dyDescent="0.3">
      <c r="K1141" s="40"/>
    </row>
    <row r="1142" spans="11:11" x14ac:dyDescent="0.3">
      <c r="K1142" s="40"/>
    </row>
    <row r="1143" spans="11:11" x14ac:dyDescent="0.3">
      <c r="K1143" s="40"/>
    </row>
    <row r="1144" spans="11:11" x14ac:dyDescent="0.3">
      <c r="K1144" s="40"/>
    </row>
    <row r="1145" spans="11:11" x14ac:dyDescent="0.3">
      <c r="K1145" s="40"/>
    </row>
    <row r="1146" spans="11:11" x14ac:dyDescent="0.3">
      <c r="K1146" s="40"/>
    </row>
    <row r="1147" spans="11:11" x14ac:dyDescent="0.3">
      <c r="K1147" s="40"/>
    </row>
    <row r="1148" spans="11:11" x14ac:dyDescent="0.3">
      <c r="K1148" s="40"/>
    </row>
    <row r="1149" spans="11:11" x14ac:dyDescent="0.3">
      <c r="K1149" s="40"/>
    </row>
    <row r="1150" spans="11:11" x14ac:dyDescent="0.3">
      <c r="K1150" s="40"/>
    </row>
    <row r="1151" spans="11:11" x14ac:dyDescent="0.3">
      <c r="K1151" s="40"/>
    </row>
    <row r="1152" spans="11:11" x14ac:dyDescent="0.3">
      <c r="K1152" s="40"/>
    </row>
    <row r="1153" spans="11:11" x14ac:dyDescent="0.3">
      <c r="K1153" s="40"/>
    </row>
    <row r="1154" spans="11:11" x14ac:dyDescent="0.3">
      <c r="K1154" s="40"/>
    </row>
    <row r="1155" spans="11:11" x14ac:dyDescent="0.3">
      <c r="K1155" s="40"/>
    </row>
    <row r="1156" spans="11:11" x14ac:dyDescent="0.3">
      <c r="K1156" s="40"/>
    </row>
    <row r="1157" spans="11:11" x14ac:dyDescent="0.3">
      <c r="K1157" s="40"/>
    </row>
    <row r="1158" spans="11:11" x14ac:dyDescent="0.3">
      <c r="K1158" s="40"/>
    </row>
    <row r="1159" spans="11:11" x14ac:dyDescent="0.3">
      <c r="K1159" s="40"/>
    </row>
    <row r="1160" spans="11:11" x14ac:dyDescent="0.3">
      <c r="K1160" s="40"/>
    </row>
    <row r="1161" spans="11:11" x14ac:dyDescent="0.3">
      <c r="K1161" s="40"/>
    </row>
  </sheetData>
  <phoneticPr fontId="16" type="noConversion"/>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6"/>
  <sheetViews>
    <sheetView workbookViewId="0">
      <selection activeCell="A18" sqref="A18"/>
    </sheetView>
  </sheetViews>
  <sheetFormatPr defaultColWidth="9.08984375" defaultRowHeight="13" x14ac:dyDescent="0.3"/>
  <cols>
    <col min="1" max="1" width="41.81640625" style="17" customWidth="1"/>
    <col min="2" max="2" width="10.6328125" style="50" customWidth="1"/>
    <col min="3" max="3" width="7.81640625" style="50" customWidth="1"/>
    <col min="4" max="4" width="10.6328125" style="50" customWidth="1"/>
    <col min="5" max="5" width="7.81640625" style="17" customWidth="1"/>
    <col min="6" max="6" width="10.6328125" style="17" customWidth="1"/>
    <col min="7" max="7" width="9.08984375" style="17"/>
    <col min="8" max="8" width="10.6328125" style="17" customWidth="1"/>
    <col min="9" max="9" width="7.81640625" style="17" customWidth="1"/>
    <col min="10" max="10" width="10.6328125" style="17" customWidth="1"/>
    <col min="11" max="11" width="7.81640625" style="17" customWidth="1"/>
    <col min="12" max="12" width="10.6328125" style="17" customWidth="1"/>
    <col min="13" max="16384" width="9.08984375" style="17"/>
  </cols>
  <sheetData>
    <row r="1" spans="1:7" x14ac:dyDescent="0.3">
      <c r="A1" s="61" t="s">
        <v>146</v>
      </c>
      <c r="B1" s="50" t="str">
        <f>model</f>
        <v>ME Grain &amp; Pulse</v>
      </c>
    </row>
    <row r="3" spans="1:7" x14ac:dyDescent="0.3">
      <c r="A3" s="7" t="s">
        <v>561</v>
      </c>
      <c r="B3" s="55" t="s">
        <v>92</v>
      </c>
      <c r="C3" s="54">
        <f>broccoli</f>
        <v>0</v>
      </c>
      <c r="D3" s="17" t="s">
        <v>93</v>
      </c>
    </row>
    <row r="4" spans="1:7" x14ac:dyDescent="0.3">
      <c r="A4" s="8"/>
      <c r="B4" s="55" t="s">
        <v>232</v>
      </c>
      <c r="C4" s="54">
        <f>Data!B268</f>
        <v>92.276785714285694</v>
      </c>
      <c r="D4" s="17" t="s">
        <v>233</v>
      </c>
      <c r="E4" s="54">
        <f>C4</f>
        <v>92.276785714285694</v>
      </c>
      <c r="F4" s="17" t="s">
        <v>233</v>
      </c>
    </row>
    <row r="5" spans="1:7" x14ac:dyDescent="0.3">
      <c r="B5" s="55" t="s">
        <v>284</v>
      </c>
      <c r="C5" s="106">
        <f>Data!B265</f>
        <v>30.95</v>
      </c>
      <c r="D5" s="17" t="s">
        <v>285</v>
      </c>
    </row>
    <row r="6" spans="1:7" x14ac:dyDescent="0.3">
      <c r="B6" s="55"/>
      <c r="C6" s="54"/>
      <c r="D6" s="17"/>
    </row>
    <row r="7" spans="1:7" ht="15.5" x14ac:dyDescent="0.35">
      <c r="A7" s="751" t="s">
        <v>561</v>
      </c>
      <c r="B7" s="697" t="s">
        <v>76</v>
      </c>
      <c r="C7" s="697"/>
      <c r="D7" s="697" t="s">
        <v>77</v>
      </c>
      <c r="E7" s="698"/>
      <c r="F7" s="697" t="s">
        <v>231</v>
      </c>
    </row>
    <row r="8" spans="1:7" ht="15.5" x14ac:dyDescent="0.35">
      <c r="A8" s="699" t="s">
        <v>362</v>
      </c>
      <c r="B8" s="759">
        <f>C3</f>
        <v>0</v>
      </c>
      <c r="C8" s="701"/>
      <c r="D8" s="702" t="s">
        <v>363</v>
      </c>
      <c r="E8" s="703"/>
      <c r="F8" s="702" t="s">
        <v>363</v>
      </c>
    </row>
    <row r="9" spans="1:7" ht="15.5" x14ac:dyDescent="0.35">
      <c r="A9" s="699" t="s">
        <v>592</v>
      </c>
      <c r="B9" s="759">
        <f>C3*C4</f>
        <v>0</v>
      </c>
      <c r="C9" s="701"/>
      <c r="D9" s="760">
        <f>C4</f>
        <v>92.276785714285694</v>
      </c>
      <c r="E9" s="703"/>
      <c r="F9" s="702" t="s">
        <v>363</v>
      </c>
    </row>
    <row r="10" spans="1:7" ht="15.65" customHeight="1" x14ac:dyDescent="0.35">
      <c r="A10" s="699" t="s">
        <v>590</v>
      </c>
      <c r="B10" s="702" t="s">
        <v>363</v>
      </c>
      <c r="C10" s="716"/>
      <c r="D10" s="702" t="s">
        <v>363</v>
      </c>
      <c r="E10" s="752"/>
      <c r="F10" s="716">
        <f>C5</f>
        <v>30.95</v>
      </c>
    </row>
    <row r="11" spans="1:7" ht="15.5" x14ac:dyDescent="0.35">
      <c r="A11" s="699"/>
      <c r="B11" s="706"/>
      <c r="C11" s="706"/>
      <c r="D11" s="707"/>
      <c r="E11" s="708"/>
      <c r="F11" s="707"/>
    </row>
    <row r="12" spans="1:7" ht="15" x14ac:dyDescent="0.3">
      <c r="A12" s="709" t="s">
        <v>230</v>
      </c>
      <c r="B12" s="710">
        <f>C4*C5*broccoli</f>
        <v>0</v>
      </c>
      <c r="C12" s="711"/>
      <c r="D12" s="712" t="e">
        <f>B12/broccoli</f>
        <v>#DIV/0!</v>
      </c>
      <c r="E12" s="713"/>
      <c r="F12" s="712" t="e">
        <f>B12/($C$4*broccoli)</f>
        <v>#DIV/0!</v>
      </c>
    </row>
    <row r="13" spans="1:7" ht="15.5" x14ac:dyDescent="0.35">
      <c r="A13" s="699"/>
      <c r="B13" s="721"/>
      <c r="C13" s="722"/>
      <c r="D13" s="717"/>
      <c r="E13" s="718"/>
      <c r="F13" s="717"/>
    </row>
    <row r="14" spans="1:7" ht="15.5" x14ac:dyDescent="0.35">
      <c r="A14" s="709" t="s">
        <v>365</v>
      </c>
      <c r="B14" s="715"/>
      <c r="C14" s="716"/>
      <c r="D14" s="717"/>
      <c r="E14" s="718"/>
      <c r="F14" s="717"/>
      <c r="G14" s="17" t="s">
        <v>292</v>
      </c>
    </row>
    <row r="15" spans="1:7" ht="15.5" x14ac:dyDescent="0.35">
      <c r="A15" s="714" t="s">
        <v>13</v>
      </c>
      <c r="B15" s="715">
        <f>SUM(BrcOprC!H8:H9)</f>
        <v>0</v>
      </c>
      <c r="C15" s="716"/>
      <c r="D15" s="717" t="e">
        <f t="shared" ref="D15:D25" si="0">B15/broccoli</f>
        <v>#DIV/0!</v>
      </c>
      <c r="E15" s="718"/>
      <c r="F15" s="717" t="e">
        <f t="shared" ref="F15:F25" si="1">B15/($C$4*broccoli)</f>
        <v>#DIV/0!</v>
      </c>
    </row>
    <row r="16" spans="1:7" ht="15.5" x14ac:dyDescent="0.35">
      <c r="A16" s="714" t="s">
        <v>1</v>
      </c>
      <c r="B16" s="715">
        <f>SUM(BrcOprC!H11:H11)</f>
        <v>0</v>
      </c>
      <c r="C16" s="716"/>
      <c r="D16" s="717" t="e">
        <f t="shared" si="0"/>
        <v>#DIV/0!</v>
      </c>
      <c r="E16" s="718"/>
      <c r="F16" s="717" t="e">
        <f t="shared" si="1"/>
        <v>#DIV/0!</v>
      </c>
    </row>
    <row r="17" spans="1:6" ht="15.5" x14ac:dyDescent="0.35">
      <c r="A17" s="714" t="s">
        <v>2</v>
      </c>
      <c r="B17" s="715">
        <f>BrcOprC!H13</f>
        <v>0</v>
      </c>
      <c r="C17" s="716"/>
      <c r="D17" s="717" t="e">
        <f t="shared" si="0"/>
        <v>#DIV/0!</v>
      </c>
      <c r="E17" s="718"/>
      <c r="F17" s="717" t="e">
        <f t="shared" si="1"/>
        <v>#DIV/0!</v>
      </c>
    </row>
    <row r="18" spans="1:6" ht="15.5" x14ac:dyDescent="0.35">
      <c r="A18" s="714" t="s">
        <v>1476</v>
      </c>
      <c r="B18" s="699"/>
      <c r="C18" s="699"/>
      <c r="D18" s="699"/>
      <c r="E18" s="699"/>
      <c r="F18" s="699"/>
    </row>
    <row r="19" spans="1:6" ht="15.5" x14ac:dyDescent="0.35">
      <c r="A19" s="714" t="s">
        <v>1119</v>
      </c>
      <c r="B19" s="745">
        <f>SUM(BrcOprC!H14:H15)</f>
        <v>0</v>
      </c>
      <c r="C19" s="746"/>
      <c r="D19" s="754" t="e">
        <f>B19/broccoli</f>
        <v>#DIV/0!</v>
      </c>
      <c r="E19" s="720"/>
      <c r="F19" s="754" t="e">
        <f>B19/($C$4*broccoli)</f>
        <v>#DIV/0!</v>
      </c>
    </row>
    <row r="20" spans="1:6" ht="15.5" x14ac:dyDescent="0.35">
      <c r="A20" s="714" t="s">
        <v>1120</v>
      </c>
      <c r="B20" s="745">
        <f>SUM(BrcOprC!H16:H18)</f>
        <v>0</v>
      </c>
      <c r="C20" s="746"/>
      <c r="D20" s="754" t="e">
        <f>B20/broccoli</f>
        <v>#DIV/0!</v>
      </c>
      <c r="E20" s="720"/>
      <c r="F20" s="754" t="e">
        <f>B20/($C$4*broccoli)</f>
        <v>#DIV/0!</v>
      </c>
    </row>
    <row r="21" spans="1:6" ht="15.5" x14ac:dyDescent="0.35">
      <c r="A21" s="714" t="s">
        <v>14</v>
      </c>
      <c r="B21" s="715">
        <f>SUM(BrcOprC!H20:H40)</f>
        <v>0</v>
      </c>
      <c r="C21" s="716"/>
      <c r="D21" s="717" t="e">
        <f t="shared" si="0"/>
        <v>#DIV/0!</v>
      </c>
      <c r="E21" s="718"/>
      <c r="F21" s="717" t="e">
        <f t="shared" si="1"/>
        <v>#DIV/0!</v>
      </c>
    </row>
    <row r="22" spans="1:6" ht="15.5" x14ac:dyDescent="0.35">
      <c r="A22" s="714" t="s">
        <v>169</v>
      </c>
      <c r="B22" s="715">
        <f>SUM(BrcOprC!H41:H61)</f>
        <v>0</v>
      </c>
      <c r="C22" s="716"/>
      <c r="D22" s="717" t="e">
        <f t="shared" si="0"/>
        <v>#DIV/0!</v>
      </c>
      <c r="E22" s="718"/>
      <c r="F22" s="717" t="e">
        <f t="shared" si="1"/>
        <v>#DIV/0!</v>
      </c>
    </row>
    <row r="23" spans="1:6" ht="15.5" x14ac:dyDescent="0.35">
      <c r="A23" s="714" t="s">
        <v>78</v>
      </c>
      <c r="B23" s="715">
        <f>SUM(BrcOprC!H62:H63)</f>
        <v>0</v>
      </c>
      <c r="C23" s="716"/>
      <c r="D23" s="717" t="e">
        <f t="shared" si="0"/>
        <v>#DIV/0!</v>
      </c>
      <c r="E23" s="718"/>
      <c r="F23" s="717" t="e">
        <f t="shared" si="1"/>
        <v>#DIV/0!</v>
      </c>
    </row>
    <row r="24" spans="1:6" ht="15.5" x14ac:dyDescent="0.35">
      <c r="A24" s="714" t="s">
        <v>170</v>
      </c>
      <c r="B24" s="732">
        <f>SUM(BrcOprC!H64:H66)</f>
        <v>0</v>
      </c>
      <c r="C24" s="733"/>
      <c r="D24" s="717" t="e">
        <f t="shared" si="0"/>
        <v>#DIV/0!</v>
      </c>
      <c r="E24" s="718"/>
      <c r="F24" s="717" t="e">
        <f t="shared" si="1"/>
        <v>#DIV/0!</v>
      </c>
    </row>
    <row r="25" spans="1:6" ht="15.5" x14ac:dyDescent="0.35">
      <c r="A25" s="714" t="s">
        <v>171</v>
      </c>
      <c r="B25" s="732">
        <f>SUM(BrcOprC!H67:H68)</f>
        <v>0</v>
      </c>
      <c r="C25" s="733"/>
      <c r="D25" s="717" t="e">
        <f t="shared" si="0"/>
        <v>#DIV/0!</v>
      </c>
      <c r="E25" s="718"/>
      <c r="F25" s="717" t="e">
        <f t="shared" si="1"/>
        <v>#DIV/0!</v>
      </c>
    </row>
    <row r="26" spans="1:6" ht="15.5" x14ac:dyDescent="0.35">
      <c r="A26" s="714" t="s">
        <v>172</v>
      </c>
      <c r="B26" s="732"/>
      <c r="C26" s="733"/>
      <c r="D26" s="717"/>
      <c r="E26" s="718"/>
      <c r="F26" s="717"/>
    </row>
    <row r="27" spans="1:6" ht="15.5" x14ac:dyDescent="0.35">
      <c r="A27" s="734" t="s">
        <v>439</v>
      </c>
      <c r="B27" s="732">
        <f>BrcOprC!H70</f>
        <v>0</v>
      </c>
      <c r="C27" s="733"/>
      <c r="D27" s="717" t="e">
        <f t="shared" ref="D27:D33" si="2">B27/broccoli</f>
        <v>#DIV/0!</v>
      </c>
      <c r="E27" s="718"/>
      <c r="F27" s="717" t="e">
        <f t="shared" ref="F27:F33" si="3">B27/($C$4*broccoli)</f>
        <v>#DIV/0!</v>
      </c>
    </row>
    <row r="28" spans="1:6" ht="15.5" x14ac:dyDescent="0.35">
      <c r="A28" s="734" t="s">
        <v>440</v>
      </c>
      <c r="B28" s="732">
        <f>BrcOprC!H71</f>
        <v>0</v>
      </c>
      <c r="C28" s="733"/>
      <c r="D28" s="719" t="e">
        <f t="shared" si="2"/>
        <v>#DIV/0!</v>
      </c>
      <c r="E28" s="720"/>
      <c r="F28" s="719" t="e">
        <f t="shared" si="3"/>
        <v>#DIV/0!</v>
      </c>
    </row>
    <row r="29" spans="1:6" ht="15.5" x14ac:dyDescent="0.35">
      <c r="A29" s="734" t="s">
        <v>441</v>
      </c>
      <c r="B29" s="732">
        <f>SUM(BrcOprC!H73:H74)</f>
        <v>0</v>
      </c>
      <c r="C29" s="733"/>
      <c r="D29" s="717" t="e">
        <f t="shared" si="2"/>
        <v>#DIV/0!</v>
      </c>
      <c r="E29" s="720"/>
      <c r="F29" s="717" t="e">
        <f t="shared" si="3"/>
        <v>#DIV/0!</v>
      </c>
    </row>
    <row r="30" spans="1:6" ht="15.5" x14ac:dyDescent="0.35">
      <c r="A30" s="734" t="s">
        <v>442</v>
      </c>
      <c r="B30" s="732">
        <f>SUM(BrcOprC!H77:H81)</f>
        <v>0</v>
      </c>
      <c r="C30" s="733"/>
      <c r="D30" s="717" t="e">
        <f t="shared" si="2"/>
        <v>#DIV/0!</v>
      </c>
      <c r="E30" s="720"/>
      <c r="F30" s="717" t="e">
        <f t="shared" si="3"/>
        <v>#DIV/0!</v>
      </c>
    </row>
    <row r="31" spans="1:6" ht="15.5" x14ac:dyDescent="0.35">
      <c r="A31" s="716" t="s">
        <v>382</v>
      </c>
      <c r="B31" s="732">
        <f>SUM(BrcOprC!H82:H83)</f>
        <v>0</v>
      </c>
      <c r="C31" s="733"/>
      <c r="D31" s="719" t="e">
        <f t="shared" si="2"/>
        <v>#DIV/0!</v>
      </c>
      <c r="E31" s="720"/>
      <c r="F31" s="719" t="e">
        <f t="shared" si="3"/>
        <v>#DIV/0!</v>
      </c>
    </row>
    <row r="32" spans="1:6" ht="15.5" x14ac:dyDescent="0.35">
      <c r="A32" s="734" t="s">
        <v>443</v>
      </c>
      <c r="B32" s="732">
        <f>SUM(BrcOprC!H84:H86)</f>
        <v>0</v>
      </c>
      <c r="C32" s="733"/>
      <c r="D32" s="719" t="e">
        <f t="shared" si="2"/>
        <v>#DIV/0!</v>
      </c>
      <c r="E32" s="720"/>
      <c r="F32" s="719" t="e">
        <f t="shared" si="3"/>
        <v>#DIV/0!</v>
      </c>
    </row>
    <row r="33" spans="1:12" ht="15.5" x14ac:dyDescent="0.35">
      <c r="A33" s="714" t="s">
        <v>69</v>
      </c>
      <c r="B33" s="732">
        <f>BrcOprC!H90</f>
        <v>0</v>
      </c>
      <c r="C33" s="733"/>
      <c r="D33" s="717" t="e">
        <f t="shared" si="2"/>
        <v>#DIV/0!</v>
      </c>
      <c r="E33" s="718"/>
      <c r="F33" s="717" t="e">
        <f t="shared" si="3"/>
        <v>#DIV/0!</v>
      </c>
    </row>
    <row r="34" spans="1:12" ht="15" x14ac:dyDescent="0.3">
      <c r="A34" s="709" t="s">
        <v>366</v>
      </c>
      <c r="B34" s="735">
        <f>SUM(B15:B33)</f>
        <v>0</v>
      </c>
      <c r="C34" s="736"/>
      <c r="D34" s="737" t="e">
        <f>SUM(D15:D33)</f>
        <v>#DIV/0!</v>
      </c>
      <c r="E34" s="737"/>
      <c r="F34" s="737" t="e">
        <f>SUM(F15:F33)</f>
        <v>#DIV/0!</v>
      </c>
    </row>
    <row r="35" spans="1:12" ht="15.5" x14ac:dyDescent="0.35">
      <c r="A35" s="738"/>
      <c r="B35" s="732"/>
      <c r="C35" s="733"/>
      <c r="D35" s="739"/>
      <c r="E35" s="740"/>
      <c r="F35" s="740"/>
    </row>
    <row r="36" spans="1:12" ht="15.5" x14ac:dyDescent="0.35">
      <c r="A36" s="709" t="s">
        <v>367</v>
      </c>
      <c r="B36" s="732"/>
      <c r="C36" s="733"/>
      <c r="D36" s="739"/>
      <c r="E36" s="740"/>
      <c r="F36" s="740"/>
    </row>
    <row r="37" spans="1:12" ht="15.5" x14ac:dyDescent="0.35">
      <c r="A37" s="714" t="s">
        <v>29</v>
      </c>
      <c r="B37" s="732"/>
      <c r="C37" s="733"/>
      <c r="D37" s="717"/>
      <c r="E37" s="740"/>
      <c r="F37" s="717"/>
      <c r="H37" s="764" t="s">
        <v>29</v>
      </c>
    </row>
    <row r="38" spans="1:12" ht="15.5" x14ac:dyDescent="0.35">
      <c r="A38" s="734" t="s">
        <v>1240</v>
      </c>
      <c r="B38" s="732">
        <f>SUM(BrcOwnC!H8:H10)</f>
        <v>0</v>
      </c>
      <c r="C38" s="733"/>
      <c r="D38" s="717" t="e">
        <f t="shared" ref="D38:D50" si="4">B38/broccoli</f>
        <v>#DIV/0!</v>
      </c>
      <c r="E38" s="740"/>
      <c r="F38" s="717" t="e">
        <f t="shared" ref="F38:F50" si="5">B38/($C$4*broccoli)</f>
        <v>#DIV/0!</v>
      </c>
      <c r="H38" s="697" t="s">
        <v>76</v>
      </c>
      <c r="I38" s="697"/>
      <c r="J38" s="697" t="s">
        <v>77</v>
      </c>
      <c r="K38" s="698"/>
      <c r="L38" s="697" t="s">
        <v>231</v>
      </c>
    </row>
    <row r="39" spans="1:12" ht="15.5" x14ac:dyDescent="0.35">
      <c r="A39" s="734" t="s">
        <v>1241</v>
      </c>
      <c r="B39" s="732">
        <f>SUM(BrcOwnC!H11:H13)</f>
        <v>0</v>
      </c>
      <c r="C39" s="733"/>
      <c r="D39" s="717" t="e">
        <f t="shared" si="4"/>
        <v>#DIV/0!</v>
      </c>
      <c r="E39" s="740"/>
      <c r="F39" s="717" t="e">
        <f t="shared" si="5"/>
        <v>#DIV/0!</v>
      </c>
      <c r="H39" s="763">
        <f>SUM(B38:B49)</f>
        <v>0</v>
      </c>
      <c r="J39" s="756" t="e">
        <f>SUM(D38:D49)</f>
        <v>#DIV/0!</v>
      </c>
      <c r="L39" s="756" t="e">
        <f>SUM(F38:F49)</f>
        <v>#DIV/0!</v>
      </c>
    </row>
    <row r="40" spans="1:12" ht="15.5" x14ac:dyDescent="0.35">
      <c r="A40" s="734" t="s">
        <v>1243</v>
      </c>
      <c r="B40" s="732">
        <f>SUM(BrcOwnC!H14:H18)</f>
        <v>0</v>
      </c>
      <c r="C40" s="733"/>
      <c r="D40" s="717" t="e">
        <f t="shared" si="4"/>
        <v>#DIV/0!</v>
      </c>
      <c r="E40" s="740"/>
      <c r="F40" s="717" t="e">
        <f t="shared" si="5"/>
        <v>#DIV/0!</v>
      </c>
    </row>
    <row r="41" spans="1:12" ht="15.5" x14ac:dyDescent="0.35">
      <c r="A41" s="734" t="s">
        <v>1242</v>
      </c>
      <c r="B41" s="732">
        <f>SUM(BrcOwnC!H19:H22)</f>
        <v>0</v>
      </c>
      <c r="C41" s="733"/>
      <c r="D41" s="717" t="e">
        <f t="shared" si="4"/>
        <v>#DIV/0!</v>
      </c>
      <c r="E41" s="740"/>
      <c r="F41" s="717" t="e">
        <f t="shared" si="5"/>
        <v>#DIV/0!</v>
      </c>
    </row>
    <row r="42" spans="1:12" ht="15.5" x14ac:dyDescent="0.35">
      <c r="A42" s="734" t="s">
        <v>1244</v>
      </c>
      <c r="B42" s="732">
        <f>SUM(BrcOwnC!H23:H25)</f>
        <v>0</v>
      </c>
      <c r="C42" s="733"/>
      <c r="D42" s="717" t="e">
        <f t="shared" si="4"/>
        <v>#DIV/0!</v>
      </c>
      <c r="E42" s="740"/>
      <c r="F42" s="717" t="e">
        <f t="shared" si="5"/>
        <v>#DIV/0!</v>
      </c>
    </row>
    <row r="43" spans="1:12" ht="15.5" x14ac:dyDescent="0.35">
      <c r="A43" s="734" t="s">
        <v>1245</v>
      </c>
      <c r="B43" s="732">
        <f>SUM(BrcOwnC!H26:H32)</f>
        <v>0</v>
      </c>
      <c r="C43" s="733"/>
      <c r="D43" s="717" t="e">
        <f t="shared" si="4"/>
        <v>#DIV/0!</v>
      </c>
      <c r="E43" s="740"/>
      <c r="F43" s="717" t="e">
        <f t="shared" si="5"/>
        <v>#DIV/0!</v>
      </c>
    </row>
    <row r="44" spans="1:12" ht="15.5" x14ac:dyDescent="0.35">
      <c r="A44" s="734" t="s">
        <v>1246</v>
      </c>
      <c r="B44" s="732">
        <f>SUM(BrcOwnC!H33:H35)</f>
        <v>0</v>
      </c>
      <c r="C44" s="733"/>
      <c r="D44" s="717" t="e">
        <f t="shared" si="4"/>
        <v>#DIV/0!</v>
      </c>
      <c r="E44" s="740"/>
      <c r="F44" s="717" t="e">
        <f t="shared" si="5"/>
        <v>#DIV/0!</v>
      </c>
    </row>
    <row r="45" spans="1:12" ht="15.5" x14ac:dyDescent="0.35">
      <c r="A45" s="734" t="s">
        <v>1247</v>
      </c>
      <c r="B45" s="732">
        <f>SUM(BrcOwnC!H36:H39)</f>
        <v>0</v>
      </c>
      <c r="C45" s="733"/>
      <c r="D45" s="717" t="e">
        <f t="shared" si="4"/>
        <v>#DIV/0!</v>
      </c>
      <c r="E45" s="740"/>
      <c r="F45" s="785" t="e">
        <f t="shared" si="5"/>
        <v>#DIV/0!</v>
      </c>
    </row>
    <row r="46" spans="1:12" ht="15.5" x14ac:dyDescent="0.35">
      <c r="A46" s="734" t="s">
        <v>1250</v>
      </c>
      <c r="B46" s="732">
        <f>0</f>
        <v>0</v>
      </c>
      <c r="C46" s="733"/>
      <c r="D46" s="719" t="e">
        <f t="shared" si="4"/>
        <v>#DIV/0!</v>
      </c>
      <c r="E46" s="786"/>
      <c r="F46" s="719" t="e">
        <f t="shared" si="5"/>
        <v>#DIV/0!</v>
      </c>
    </row>
    <row r="47" spans="1:12" ht="15.5" x14ac:dyDescent="0.35">
      <c r="A47" s="734" t="s">
        <v>1304</v>
      </c>
      <c r="B47" s="732">
        <f>0</f>
        <v>0</v>
      </c>
      <c r="C47" s="733"/>
      <c r="D47" s="719" t="e">
        <f t="shared" si="4"/>
        <v>#DIV/0!</v>
      </c>
      <c r="E47" s="786"/>
      <c r="F47" s="719" t="e">
        <f t="shared" si="5"/>
        <v>#DIV/0!</v>
      </c>
    </row>
    <row r="48" spans="1:12" ht="15.5" x14ac:dyDescent="0.35">
      <c r="A48" s="734" t="s">
        <v>1248</v>
      </c>
      <c r="B48" s="732">
        <f>SUM(BrcOwnC!H41:H43)</f>
        <v>0</v>
      </c>
      <c r="C48" s="733"/>
      <c r="D48" s="717" t="e">
        <f t="shared" si="4"/>
        <v>#DIV/0!</v>
      </c>
      <c r="E48" s="740"/>
      <c r="F48" s="717" t="e">
        <f t="shared" si="5"/>
        <v>#DIV/0!</v>
      </c>
    </row>
    <row r="49" spans="1:8" ht="15.5" x14ac:dyDescent="0.35">
      <c r="A49" s="734" t="s">
        <v>1249</v>
      </c>
      <c r="B49" s="732">
        <f>SUM(BrcOwnC!H44:H46)</f>
        <v>0</v>
      </c>
      <c r="C49" s="733"/>
      <c r="D49" s="717" t="e">
        <f t="shared" si="4"/>
        <v>#DIV/0!</v>
      </c>
      <c r="E49" s="740"/>
      <c r="F49" s="717" t="e">
        <f t="shared" si="5"/>
        <v>#DIV/0!</v>
      </c>
    </row>
    <row r="50" spans="1:8" ht="15.5" x14ac:dyDescent="0.35">
      <c r="A50" s="714" t="s">
        <v>79</v>
      </c>
      <c r="B50" s="732">
        <f>BrcOwnC!L54</f>
        <v>0</v>
      </c>
      <c r="C50" s="733"/>
      <c r="D50" s="717" t="e">
        <f t="shared" si="4"/>
        <v>#DIV/0!</v>
      </c>
      <c r="E50" s="740"/>
      <c r="F50" s="717" t="e">
        <f t="shared" si="5"/>
        <v>#DIV/0!</v>
      </c>
    </row>
    <row r="51" spans="1:8" ht="15" x14ac:dyDescent="0.3">
      <c r="A51" s="709" t="s">
        <v>368</v>
      </c>
      <c r="B51" s="735">
        <f>SUM(B37:B50)</f>
        <v>0</v>
      </c>
      <c r="C51" s="736"/>
      <c r="D51" s="737" t="e">
        <f>SUM(D37:D50)</f>
        <v>#DIV/0!</v>
      </c>
      <c r="E51" s="737"/>
      <c r="F51" s="737" t="e">
        <f>SUM(F37:F50)</f>
        <v>#DIV/0!</v>
      </c>
    </row>
    <row r="52" spans="1:8" ht="15.5" x14ac:dyDescent="0.35">
      <c r="A52" s="699"/>
      <c r="B52" s="735"/>
      <c r="C52" s="736"/>
      <c r="D52" s="737"/>
      <c r="E52" s="741"/>
      <c r="F52" s="741"/>
    </row>
    <row r="53" spans="1:8" ht="15" x14ac:dyDescent="0.3">
      <c r="A53" s="709" t="s">
        <v>80</v>
      </c>
      <c r="B53" s="735">
        <f>B51+B34</f>
        <v>0</v>
      </c>
      <c r="C53" s="736"/>
      <c r="D53" s="737" t="e">
        <f>D51+D34</f>
        <v>#DIV/0!</v>
      </c>
      <c r="E53" s="737"/>
      <c r="F53" s="737" t="e">
        <f>F51+F34</f>
        <v>#DIV/0!</v>
      </c>
      <c r="H53" s="52"/>
    </row>
    <row r="54" spans="1:8" ht="15.5" x14ac:dyDescent="0.35">
      <c r="A54" s="742"/>
      <c r="B54" s="735"/>
      <c r="C54" s="736"/>
      <c r="D54" s="737"/>
      <c r="E54" s="737"/>
      <c r="F54" s="737"/>
    </row>
    <row r="55" spans="1:8" ht="15" x14ac:dyDescent="0.3">
      <c r="A55" s="709" t="s">
        <v>355</v>
      </c>
      <c r="B55" s="710">
        <f>B12-B53</f>
        <v>0</v>
      </c>
      <c r="C55" s="736"/>
      <c r="D55" s="712" t="e">
        <f>D12-D53</f>
        <v>#DIV/0!</v>
      </c>
      <c r="E55" s="737"/>
      <c r="F55" s="712" t="e">
        <f>F12-F53</f>
        <v>#DIV/0!</v>
      </c>
      <c r="H55" s="98"/>
    </row>
    <row r="56" spans="1:8" ht="15" x14ac:dyDescent="0.3">
      <c r="A56" s="709" t="s">
        <v>356</v>
      </c>
      <c r="B56" s="735">
        <f>B12-B34</f>
        <v>0</v>
      </c>
      <c r="C56" s="736"/>
      <c r="D56" s="737" t="e">
        <f>D12-D34</f>
        <v>#DIV/0!</v>
      </c>
      <c r="E56" s="737"/>
      <c r="F56" s="737" t="e">
        <f>F12-F34</f>
        <v>#DIV/0!</v>
      </c>
    </row>
    <row r="57" spans="1:8" ht="15.5" x14ac:dyDescent="0.35">
      <c r="A57" s="699"/>
      <c r="B57" s="743"/>
      <c r="C57" s="743"/>
      <c r="D57" s="702"/>
      <c r="E57" s="703"/>
      <c r="F57" s="703"/>
    </row>
    <row r="58" spans="1:8" ht="15.5" x14ac:dyDescent="0.35">
      <c r="A58" s="709" t="s">
        <v>234</v>
      </c>
      <c r="B58" s="743"/>
      <c r="C58" s="743"/>
      <c r="D58" s="702"/>
      <c r="E58" s="703"/>
      <c r="F58" s="703"/>
    </row>
    <row r="59" spans="1:8" ht="12.75" customHeight="1" x14ac:dyDescent="0.35">
      <c r="A59" s="744" t="s">
        <v>369</v>
      </c>
      <c r="B59" s="703" t="s">
        <v>76</v>
      </c>
      <c r="C59" s="743"/>
      <c r="D59" s="703" t="s">
        <v>393</v>
      </c>
      <c r="E59" s="703"/>
      <c r="F59" s="703" t="s">
        <v>394</v>
      </c>
    </row>
    <row r="60" spans="1:8" ht="15.5" x14ac:dyDescent="0.35">
      <c r="A60" s="714" t="s">
        <v>370</v>
      </c>
      <c r="B60" s="745">
        <f>B53</f>
        <v>0</v>
      </c>
      <c r="C60" s="743"/>
      <c r="D60" s="717" t="e">
        <f>$B$53/broccoli</f>
        <v>#DIV/0!</v>
      </c>
      <c r="E60" s="718"/>
      <c r="F60" s="717" t="e">
        <f>$B$53/($C$4*broccoli)</f>
        <v>#DIV/0!</v>
      </c>
    </row>
    <row r="61" spans="1:8" ht="15.5" x14ac:dyDescent="0.35">
      <c r="A61" s="714" t="s">
        <v>371</v>
      </c>
      <c r="B61" s="745">
        <f>B34</f>
        <v>0</v>
      </c>
      <c r="C61" s="743"/>
      <c r="D61" s="717" t="e">
        <f>$B$34/broccoli</f>
        <v>#DIV/0!</v>
      </c>
      <c r="E61" s="718"/>
      <c r="F61" s="717" t="e">
        <f>$B$34/($C$4*broccoli)</f>
        <v>#DIV/0!</v>
      </c>
    </row>
    <row r="62" spans="1:8" ht="15.5" x14ac:dyDescent="0.35">
      <c r="A62" s="714"/>
      <c r="B62" s="743"/>
      <c r="C62" s="743"/>
      <c r="D62" s="717"/>
      <c r="E62" s="718"/>
      <c r="F62" s="717"/>
    </row>
    <row r="63" spans="1:8" ht="15.5" x14ac:dyDescent="0.35">
      <c r="A63" s="744" t="s">
        <v>1099</v>
      </c>
      <c r="B63" s="703" t="s">
        <v>1100</v>
      </c>
      <c r="C63" s="743"/>
      <c r="D63" s="717"/>
      <c r="E63" s="718"/>
      <c r="F63" s="717"/>
    </row>
    <row r="64" spans="1:8" ht="15.5" x14ac:dyDescent="0.35">
      <c r="A64" s="714" t="s">
        <v>1101</v>
      </c>
      <c r="B64" s="746" t="e">
        <f>B55/SUM(BrcOprC!E20:E40)</f>
        <v>#DIV/0!</v>
      </c>
      <c r="C64" s="743"/>
      <c r="D64" s="717"/>
      <c r="E64" s="718"/>
      <c r="F64" s="717"/>
    </row>
    <row r="65" spans="1:6" ht="15.5" x14ac:dyDescent="0.35">
      <c r="A65" s="714" t="s">
        <v>1102</v>
      </c>
      <c r="B65" s="746" t="e">
        <f>B56/SUM(BrcOprC!E20:E40)</f>
        <v>#DIV/0!</v>
      </c>
      <c r="C65" s="743"/>
      <c r="D65" s="717"/>
      <c r="E65" s="718"/>
      <c r="F65" s="717"/>
    </row>
    <row r="66" spans="1:6" ht="15.5" x14ac:dyDescent="0.35">
      <c r="A66" s="747"/>
      <c r="B66" s="748"/>
      <c r="C66" s="748"/>
      <c r="D66" s="749"/>
      <c r="E66" s="750"/>
      <c r="F66" s="750"/>
    </row>
  </sheetData>
  <phoneticPr fontId="16" type="noConversion"/>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8"/>
  <sheetViews>
    <sheetView zoomScaleNormal="100" workbookViewId="0">
      <selection activeCell="A8" sqref="A8"/>
    </sheetView>
  </sheetViews>
  <sheetFormatPr defaultColWidth="8.81640625" defaultRowHeight="12.5" x14ac:dyDescent="0.25"/>
  <cols>
    <col min="1" max="1" width="24.81640625" customWidth="1"/>
    <col min="2" max="2" width="12.453125" customWidth="1"/>
    <col min="3" max="4" width="11.81640625" customWidth="1"/>
    <col min="5" max="5" width="12" customWidth="1"/>
    <col min="6" max="6" width="2.81640625" style="1066" customWidth="1"/>
    <col min="7" max="7" width="20.36328125" style="1066" customWidth="1"/>
  </cols>
  <sheetData>
    <row r="1" spans="1:7" s="975" customFormat="1" ht="52" customHeight="1" thickBot="1" x14ac:dyDescent="0.55000000000000004">
      <c r="A1" s="1383" t="s">
        <v>1938</v>
      </c>
      <c r="B1" s="1384"/>
      <c r="C1" s="1384"/>
      <c r="D1" s="1384"/>
      <c r="E1" s="1384"/>
      <c r="F1" s="1384"/>
      <c r="G1" s="1384"/>
    </row>
    <row r="2" spans="1:7" ht="28" customHeight="1" thickTop="1" x14ac:dyDescent="0.35">
      <c r="A2" s="1385" t="s">
        <v>2178</v>
      </c>
      <c r="B2" s="1386"/>
      <c r="C2" s="1386"/>
      <c r="D2" s="1386"/>
      <c r="E2" s="1386"/>
      <c r="F2" s="1386"/>
      <c r="G2" s="1386"/>
    </row>
    <row r="3" spans="1:7" ht="71" customHeight="1" thickBot="1" x14ac:dyDescent="0.3">
      <c r="A3" s="1387" t="s">
        <v>2209</v>
      </c>
      <c r="B3" s="1388"/>
      <c r="C3" s="1388"/>
      <c r="D3" s="1388"/>
      <c r="E3" s="1388"/>
      <c r="F3" s="1388"/>
      <c r="G3" s="1388"/>
    </row>
    <row r="4" spans="1:7" ht="29" customHeight="1" thickBot="1" x14ac:dyDescent="0.35">
      <c r="A4" s="976" t="s">
        <v>230</v>
      </c>
      <c r="B4" s="977" t="s">
        <v>1732</v>
      </c>
      <c r="C4" s="977" t="s">
        <v>1733</v>
      </c>
      <c r="D4" s="977"/>
      <c r="E4" s="977" t="s">
        <v>1734</v>
      </c>
      <c r="F4" s="978"/>
      <c r="G4" s="979" t="s">
        <v>1735</v>
      </c>
    </row>
    <row r="5" spans="1:7" ht="13" customHeight="1" x14ac:dyDescent="0.3">
      <c r="A5" s="980" t="s">
        <v>1943</v>
      </c>
      <c r="B5" s="981">
        <f>FARM!D18</f>
        <v>0</v>
      </c>
      <c r="C5" s="982">
        <f>FARM!F18</f>
        <v>10.32</v>
      </c>
      <c r="D5" s="983" t="s">
        <v>1736</v>
      </c>
      <c r="E5" s="982">
        <f>B5*C5</f>
        <v>0</v>
      </c>
      <c r="F5" s="984"/>
      <c r="G5" s="985"/>
    </row>
    <row r="6" spans="1:7" ht="13" customHeight="1" x14ac:dyDescent="0.3">
      <c r="A6" s="980" t="s">
        <v>2260</v>
      </c>
      <c r="B6" s="1365">
        <f>Straw!O12*SUM(Straw!Q12:R12)</f>
        <v>0</v>
      </c>
      <c r="C6" s="982">
        <f>Straw!D12</f>
        <v>40</v>
      </c>
      <c r="D6" s="983" t="s">
        <v>1736</v>
      </c>
      <c r="E6" s="982">
        <f>IF(Straw!C12="Both round &amp; square",(B6*C6*Straw!I12),(B6*C6))</f>
        <v>0</v>
      </c>
      <c r="F6" s="984"/>
      <c r="G6" s="989"/>
    </row>
    <row r="7" spans="1:7" ht="13" customHeight="1" x14ac:dyDescent="0.3">
      <c r="A7" s="986" t="s">
        <v>1737</v>
      </c>
      <c r="B7" s="1069">
        <f>Straw!P12*SUM(Straw!R12:S12)</f>
        <v>0</v>
      </c>
      <c r="C7" s="1017">
        <f>Straw!F12</f>
        <v>5.0833333333333304</v>
      </c>
      <c r="D7" s="988" t="s">
        <v>1736</v>
      </c>
      <c r="E7" s="1017">
        <f>IF(Straw!C12="Both round &amp; square",(B7*C7*Straw!J12),(B7*C7))</f>
        <v>0</v>
      </c>
      <c r="F7" s="984"/>
      <c r="G7" s="989"/>
    </row>
    <row r="8" spans="1:7" ht="13" customHeight="1" x14ac:dyDescent="0.3">
      <c r="A8" s="990" t="s">
        <v>1738</v>
      </c>
      <c r="B8" s="991"/>
      <c r="C8" s="992"/>
      <c r="D8" s="993"/>
      <c r="E8" s="993">
        <f>SUM(E5:E7)</f>
        <v>0</v>
      </c>
      <c r="F8" s="984"/>
      <c r="G8" s="994"/>
    </row>
    <row r="9" spans="1:7" ht="13" customHeight="1" thickBot="1" x14ac:dyDescent="0.35">
      <c r="A9" s="995"/>
      <c r="B9" s="992"/>
      <c r="C9" s="992"/>
      <c r="D9" s="992"/>
      <c r="E9" s="992"/>
      <c r="F9" s="984"/>
      <c r="G9" s="989"/>
    </row>
    <row r="10" spans="1:7" ht="29" customHeight="1" thickBot="1" x14ac:dyDescent="0.35">
      <c r="A10" s="996" t="s">
        <v>1739</v>
      </c>
      <c r="B10" s="997" t="s">
        <v>1740</v>
      </c>
      <c r="C10" s="997" t="s">
        <v>1636</v>
      </c>
      <c r="D10" s="998"/>
      <c r="E10" s="998" t="s">
        <v>1741</v>
      </c>
      <c r="F10" s="984"/>
      <c r="G10" s="999" t="s">
        <v>1735</v>
      </c>
    </row>
    <row r="11" spans="1:7" ht="15" customHeight="1" x14ac:dyDescent="0.3">
      <c r="A11" s="1000" t="s">
        <v>1742</v>
      </c>
      <c r="B11" s="1001"/>
      <c r="C11" s="1001"/>
      <c r="D11" s="1001"/>
      <c r="E11" s="1001"/>
      <c r="F11" s="984"/>
      <c r="G11" s="989"/>
    </row>
    <row r="12" spans="1:7" ht="13" customHeight="1" x14ac:dyDescent="0.3">
      <c r="A12" s="1002" t="s">
        <v>1743</v>
      </c>
      <c r="B12" s="1070">
        <f>INPUT!$F$17</f>
        <v>140</v>
      </c>
      <c r="C12" s="982">
        <f>INPUT!$F$18</f>
        <v>0.6</v>
      </c>
      <c r="D12" s="983" t="s">
        <v>1736</v>
      </c>
      <c r="E12" s="982">
        <f>B12*C12</f>
        <v>84</v>
      </c>
      <c r="F12" s="984"/>
      <c r="G12" s="985"/>
    </row>
    <row r="13" spans="1:7" ht="13" customHeight="1" x14ac:dyDescent="0.3">
      <c r="A13" s="1002" t="s">
        <v>1744</v>
      </c>
      <c r="B13" s="1004"/>
      <c r="C13" s="992"/>
      <c r="D13" s="983"/>
      <c r="E13" s="982"/>
      <c r="F13" s="984"/>
      <c r="G13" s="989"/>
    </row>
    <row r="14" spans="1:7" ht="13" customHeight="1" x14ac:dyDescent="0.3">
      <c r="A14" s="1005" t="s">
        <v>1745</v>
      </c>
      <c r="B14" s="1070">
        <f>INPUT!$F$32</f>
        <v>3</v>
      </c>
      <c r="C14" s="1004">
        <f>INPUT!$F$33</f>
        <v>35</v>
      </c>
      <c r="D14" s="983" t="s">
        <v>1736</v>
      </c>
      <c r="E14" s="982">
        <f>B14*C14</f>
        <v>105</v>
      </c>
      <c r="F14" s="984"/>
      <c r="G14" s="985"/>
    </row>
    <row r="15" spans="1:7" ht="13" customHeight="1" x14ac:dyDescent="0.3">
      <c r="A15" s="1005" t="s">
        <v>1806</v>
      </c>
      <c r="B15" s="1070">
        <f>INPUT!$F$38</f>
        <v>0</v>
      </c>
      <c r="C15" s="982">
        <f>INPUT!$F$39</f>
        <v>0.6</v>
      </c>
      <c r="D15" s="1372" t="s">
        <v>1736</v>
      </c>
      <c r="E15" s="1373">
        <f>B15*C15</f>
        <v>0</v>
      </c>
      <c r="F15" s="984"/>
      <c r="G15" s="985"/>
    </row>
    <row r="16" spans="1:7" ht="13" customHeight="1" x14ac:dyDescent="0.3">
      <c r="A16" s="1002" t="s">
        <v>1747</v>
      </c>
      <c r="B16" s="1003">
        <f>INPUT!$F$41*(INPUT!$F$43/INPUT!$F$44)</f>
        <v>0</v>
      </c>
      <c r="C16" s="1004">
        <f>OSI!$K$61</f>
        <v>75</v>
      </c>
      <c r="D16" s="1374" t="s">
        <v>1736</v>
      </c>
      <c r="E16" s="1017">
        <f>B16*C16</f>
        <v>0</v>
      </c>
      <c r="F16" s="984"/>
      <c r="G16" s="1007"/>
    </row>
    <row r="17" spans="1:7" ht="13" customHeight="1" x14ac:dyDescent="0.3">
      <c r="A17" s="1008" t="s">
        <v>1748</v>
      </c>
      <c r="B17" s="1381"/>
      <c r="C17" s="1382"/>
      <c r="D17" s="982"/>
      <c r="E17" s="982">
        <f>SUM(E12:E16)</f>
        <v>189</v>
      </c>
      <c r="F17" s="984"/>
      <c r="G17" s="985"/>
    </row>
    <row r="18" spans="1:7" ht="13" customHeight="1" x14ac:dyDescent="0.3">
      <c r="A18" s="1009" t="s">
        <v>1749</v>
      </c>
      <c r="B18" s="1004"/>
      <c r="C18" s="992"/>
      <c r="D18" s="982"/>
      <c r="E18" s="982"/>
      <c r="F18" s="984"/>
      <c r="G18" s="989"/>
    </row>
    <row r="19" spans="1:7" ht="13" customHeight="1" x14ac:dyDescent="0.3">
      <c r="A19" s="1002" t="s">
        <v>1750</v>
      </c>
      <c r="B19" s="1004"/>
      <c r="C19" s="992"/>
      <c r="E19" s="982" t="e">
        <f>Wb!D34</f>
        <v>#DIV/0!</v>
      </c>
      <c r="F19" s="984"/>
      <c r="G19" s="985"/>
    </row>
    <row r="20" spans="1:7" ht="13" customHeight="1" x14ac:dyDescent="0.3">
      <c r="A20" s="1002" t="s">
        <v>1751</v>
      </c>
      <c r="B20" s="1004"/>
      <c r="C20" s="992"/>
      <c r="E20" s="982" t="e">
        <f>Wb!D35</f>
        <v>#DIV/0!</v>
      </c>
      <c r="F20" s="984"/>
      <c r="G20" s="985"/>
    </row>
    <row r="21" spans="1:7" ht="13" customHeight="1" x14ac:dyDescent="0.3">
      <c r="A21" s="1010" t="s">
        <v>1752</v>
      </c>
      <c r="B21" s="1004"/>
      <c r="C21" s="992"/>
      <c r="E21" s="982" t="e">
        <f>Wb!D36</f>
        <v>#DIV/0!</v>
      </c>
      <c r="F21" s="984"/>
      <c r="G21" s="994"/>
    </row>
    <row r="22" spans="1:7" ht="13" customHeight="1" x14ac:dyDescent="0.3">
      <c r="A22" s="1002" t="s">
        <v>170</v>
      </c>
      <c r="B22" s="1004"/>
      <c r="C22" s="992"/>
      <c r="D22" s="982"/>
      <c r="E22" s="982" t="e">
        <f>Wb!D37</f>
        <v>#DIV/0!</v>
      </c>
      <c r="F22" s="984"/>
      <c r="G22" s="1011"/>
    </row>
    <row r="23" spans="1:7" ht="13" customHeight="1" x14ac:dyDescent="0.3">
      <c r="A23" s="1002" t="s">
        <v>1756</v>
      </c>
      <c r="B23" s="1004"/>
      <c r="C23" s="992"/>
      <c r="D23" s="982"/>
      <c r="E23" s="1373" t="e">
        <f>Wb!D38</f>
        <v>#DIV/0!</v>
      </c>
      <c r="F23" s="984"/>
      <c r="G23" s="1011"/>
    </row>
    <row r="24" spans="1:7" ht="13" customHeight="1" x14ac:dyDescent="0.3">
      <c r="A24" s="1002" t="s">
        <v>1753</v>
      </c>
      <c r="B24" s="1004"/>
      <c r="C24" s="992"/>
      <c r="E24" s="1017" t="e">
        <f>Wb!D47</f>
        <v>#DIV/0!</v>
      </c>
      <c r="F24" s="984"/>
      <c r="G24" s="1007"/>
    </row>
    <row r="25" spans="1:7" ht="13" customHeight="1" x14ac:dyDescent="0.3">
      <c r="A25" s="1008" t="s">
        <v>1748</v>
      </c>
      <c r="B25" s="1381"/>
      <c r="C25" s="1382"/>
      <c r="E25" s="982" t="e">
        <f>SUM(E19:E24)</f>
        <v>#DIV/0!</v>
      </c>
      <c r="F25" s="984"/>
      <c r="G25" s="989"/>
    </row>
    <row r="26" spans="1:7" ht="13" customHeight="1" x14ac:dyDescent="0.3">
      <c r="A26" s="1009" t="s">
        <v>1754</v>
      </c>
      <c r="B26" s="1004"/>
      <c r="C26" s="992"/>
      <c r="E26" s="982"/>
      <c r="F26" s="984"/>
      <c r="G26" s="1011"/>
    </row>
    <row r="27" spans="1:7" ht="13" customHeight="1" x14ac:dyDescent="0.3">
      <c r="A27" s="1002" t="s">
        <v>1757</v>
      </c>
      <c r="B27" s="1004"/>
      <c r="C27" s="992"/>
      <c r="E27" s="982" t="e">
        <f>Wb!D40</f>
        <v>#DIV/0!</v>
      </c>
      <c r="F27" s="984"/>
      <c r="G27" s="985"/>
    </row>
    <row r="28" spans="1:7" ht="13" customHeight="1" x14ac:dyDescent="0.3">
      <c r="A28" s="1002" t="s">
        <v>1792</v>
      </c>
      <c r="B28" s="1004"/>
      <c r="C28" s="992"/>
      <c r="D28" s="982"/>
      <c r="E28" s="982" t="e">
        <f>Wb!D41</f>
        <v>#DIV/0!</v>
      </c>
      <c r="F28" s="984"/>
      <c r="G28" s="985"/>
    </row>
    <row r="29" spans="1:7" ht="13" customHeight="1" x14ac:dyDescent="0.3">
      <c r="A29" s="1002" t="s">
        <v>1795</v>
      </c>
      <c r="B29" s="1004"/>
      <c r="C29" s="992"/>
      <c r="D29" s="982"/>
      <c r="E29" s="982" t="e">
        <f>Wb!D42</f>
        <v>#DIV/0!</v>
      </c>
      <c r="F29" s="984"/>
      <c r="G29" s="985"/>
    </row>
    <row r="30" spans="1:7" ht="13" customHeight="1" x14ac:dyDescent="0.3">
      <c r="A30" s="1002" t="s">
        <v>2261</v>
      </c>
      <c r="B30" s="1004"/>
      <c r="C30" s="992"/>
      <c r="D30" s="982"/>
      <c r="E30" s="982" t="e">
        <f>Wb!D43</f>
        <v>#DIV/0!</v>
      </c>
      <c r="F30" s="984"/>
      <c r="G30" s="985"/>
    </row>
    <row r="31" spans="1:7" ht="13" customHeight="1" x14ac:dyDescent="0.3">
      <c r="A31" s="1002" t="s">
        <v>1755</v>
      </c>
      <c r="B31" s="1004"/>
      <c r="C31" s="992"/>
      <c r="E31" s="982" t="e">
        <f>Wb!D44</f>
        <v>#DIV/0!</v>
      </c>
      <c r="F31" s="984"/>
      <c r="G31" s="985"/>
    </row>
    <row r="32" spans="1:7" ht="13" customHeight="1" x14ac:dyDescent="0.3">
      <c r="A32" s="1002" t="s">
        <v>1758</v>
      </c>
      <c r="B32" s="1004"/>
      <c r="C32" s="992"/>
      <c r="E32" s="982" t="e">
        <f>Wb!D45</f>
        <v>#DIV/0!</v>
      </c>
      <c r="F32" s="984"/>
      <c r="G32" s="985"/>
    </row>
    <row r="33" spans="1:7" ht="12.65" customHeight="1" x14ac:dyDescent="0.3">
      <c r="A33" s="1002" t="s">
        <v>2262</v>
      </c>
      <c r="B33" s="1004"/>
      <c r="C33" s="992"/>
      <c r="D33" s="982"/>
      <c r="E33" s="982" t="e">
        <f>Wb!D46</f>
        <v>#DIV/0!</v>
      </c>
      <c r="F33" s="984"/>
      <c r="G33" s="985"/>
    </row>
    <row r="34" spans="1:7" ht="13" customHeight="1" x14ac:dyDescent="0.3">
      <c r="A34" s="1002" t="s">
        <v>2075</v>
      </c>
      <c r="B34" s="1004"/>
      <c r="C34" s="992"/>
      <c r="D34" s="982"/>
      <c r="E34" s="982" t="e">
        <f>Wb!D47</f>
        <v>#DIV/0!</v>
      </c>
      <c r="F34" s="984"/>
      <c r="G34" s="985"/>
    </row>
    <row r="35" spans="1:7" ht="13" customHeight="1" x14ac:dyDescent="0.3">
      <c r="A35" s="1002" t="s">
        <v>1793</v>
      </c>
      <c r="B35" s="1004"/>
      <c r="C35" s="992"/>
      <c r="D35" s="982"/>
      <c r="E35" s="982" t="e">
        <f>Wb!D48</f>
        <v>#DIV/0!</v>
      </c>
      <c r="F35" s="984"/>
      <c r="G35" s="985"/>
    </row>
    <row r="36" spans="1:7" ht="13" customHeight="1" x14ac:dyDescent="0.3">
      <c r="A36" s="1002" t="s">
        <v>2263</v>
      </c>
      <c r="B36" s="1004"/>
      <c r="C36" s="992"/>
      <c r="D36" s="982"/>
      <c r="E36" s="982" t="e">
        <f>Wb!D49</f>
        <v>#DIV/0!</v>
      </c>
      <c r="F36" s="984"/>
      <c r="G36" s="985"/>
    </row>
    <row r="37" spans="1:7" ht="13" customHeight="1" x14ac:dyDescent="0.3">
      <c r="A37" s="1002" t="s">
        <v>1794</v>
      </c>
      <c r="B37" s="1004"/>
      <c r="C37" s="992"/>
      <c r="D37" s="982"/>
      <c r="E37" s="1373" t="e">
        <f>SUM(Wb!D50:D52)</f>
        <v>#DIV/0!</v>
      </c>
      <c r="F37" s="984"/>
      <c r="G37" s="985"/>
    </row>
    <row r="38" spans="1:7" ht="13" customHeight="1" x14ac:dyDescent="0.3">
      <c r="A38" s="1002" t="s">
        <v>1759</v>
      </c>
      <c r="B38" s="1004"/>
      <c r="C38" s="992"/>
      <c r="E38" s="1017" t="e">
        <f>Wb!D54</f>
        <v>#DIV/0!</v>
      </c>
      <c r="F38" s="984"/>
      <c r="G38" s="1007"/>
    </row>
    <row r="39" spans="1:7" ht="13" customHeight="1" x14ac:dyDescent="0.3">
      <c r="A39" s="1008" t="s">
        <v>1748</v>
      </c>
      <c r="B39" s="1381"/>
      <c r="C39" s="1382"/>
      <c r="E39" s="982" t="e">
        <f>SUM(E27:E38)</f>
        <v>#DIV/0!</v>
      </c>
      <c r="F39" s="984"/>
      <c r="G39" s="985"/>
    </row>
    <row r="40" spans="1:7" ht="13" customHeight="1" thickBot="1" x14ac:dyDescent="0.35">
      <c r="A40" s="1012" t="s">
        <v>1760</v>
      </c>
      <c r="B40" s="1013"/>
      <c r="C40" s="1014"/>
      <c r="D40" s="1014"/>
      <c r="E40" s="1015" t="e">
        <f>E17+E25+E39</f>
        <v>#DIV/0!</v>
      </c>
      <c r="F40" s="984"/>
      <c r="G40" s="985"/>
    </row>
    <row r="41" spans="1:7" ht="13" customHeight="1" thickBot="1" x14ac:dyDescent="0.35">
      <c r="A41" s="1016" t="s">
        <v>1761</v>
      </c>
      <c r="B41" s="1014"/>
      <c r="C41" s="1014"/>
      <c r="D41" s="1014"/>
      <c r="E41" s="1014"/>
      <c r="F41" s="984"/>
      <c r="G41" s="1011"/>
    </row>
    <row r="42" spans="1:7" ht="13" customHeight="1" x14ac:dyDescent="0.3">
      <c r="A42" s="1002" t="s">
        <v>29</v>
      </c>
      <c r="B42" s="1004"/>
      <c r="C42" s="992"/>
      <c r="D42" s="992"/>
      <c r="E42" s="982" t="e">
        <f>SUM(Wb!D59:D71)</f>
        <v>#DIV/0!</v>
      </c>
      <c r="F42" s="984"/>
      <c r="G42" s="989"/>
    </row>
    <row r="43" spans="1:7" ht="13" customHeight="1" x14ac:dyDescent="0.3">
      <c r="A43" s="1002" t="s">
        <v>79</v>
      </c>
      <c r="B43" s="1004"/>
      <c r="C43" s="992"/>
      <c r="D43" s="992"/>
      <c r="E43" s="1017" t="e">
        <f>Wb!D72</f>
        <v>#DIV/0!</v>
      </c>
      <c r="F43" s="984"/>
      <c r="G43" s="1007"/>
    </row>
    <row r="44" spans="1:7" ht="13" customHeight="1" x14ac:dyDescent="0.3">
      <c r="A44" s="990" t="s">
        <v>1762</v>
      </c>
      <c r="B44" s="991"/>
      <c r="C44" s="992"/>
      <c r="D44" s="992"/>
      <c r="E44" s="993" t="e">
        <f>SUM(E42:E43)</f>
        <v>#DIV/0!</v>
      </c>
      <c r="F44" s="984"/>
      <c r="G44" s="985"/>
    </row>
    <row r="45" spans="1:7" ht="8" customHeight="1" thickBot="1" x14ac:dyDescent="0.35">
      <c r="A45" s="995"/>
      <c r="B45" s="992"/>
      <c r="C45" s="992"/>
      <c r="D45" s="992"/>
      <c r="E45" s="992"/>
      <c r="F45" s="984"/>
      <c r="G45" s="989"/>
    </row>
    <row r="46" spans="1:7" ht="13" customHeight="1" thickBot="1" x14ac:dyDescent="0.35">
      <c r="A46" s="1018" t="s">
        <v>80</v>
      </c>
      <c r="B46" s="1019"/>
      <c r="C46" s="1020"/>
      <c r="D46" s="1020"/>
      <c r="E46" s="1021" t="e">
        <f>E40+E44</f>
        <v>#DIV/0!</v>
      </c>
      <c r="F46" s="984"/>
      <c r="G46" s="985"/>
    </row>
    <row r="47" spans="1:7" ht="6" customHeight="1" x14ac:dyDescent="0.3">
      <c r="A47" s="1022"/>
      <c r="B47" s="1023"/>
      <c r="C47" s="1024"/>
      <c r="D47" s="1025"/>
      <c r="E47" s="1023"/>
      <c r="F47" s="984"/>
      <c r="G47" s="989"/>
    </row>
    <row r="48" spans="1:7" ht="13" customHeight="1" x14ac:dyDescent="0.35">
      <c r="A48" s="1026"/>
      <c r="B48" s="992"/>
      <c r="C48" s="1027" t="s">
        <v>1734</v>
      </c>
      <c r="D48" s="1027" t="s">
        <v>452</v>
      </c>
      <c r="E48" s="1028" t="s">
        <v>1763</v>
      </c>
      <c r="F48" s="984"/>
      <c r="G48" s="989"/>
    </row>
    <row r="49" spans="1:7" ht="13" customHeight="1" x14ac:dyDescent="0.3">
      <c r="A49" s="990" t="s">
        <v>1764</v>
      </c>
      <c r="B49" s="991"/>
      <c r="C49" s="1318">
        <f>E8</f>
        <v>0</v>
      </c>
      <c r="D49" s="1227" t="e">
        <f>CONCATENATE(" -   $",ROUND(E46,2)," =")</f>
        <v>#DIV/0!</v>
      </c>
      <c r="E49" s="993" t="e">
        <f>E8-E40-E44</f>
        <v>#DIV/0!</v>
      </c>
      <c r="F49" s="984"/>
      <c r="G49" s="985"/>
    </row>
    <row r="50" spans="1:7" ht="13" customHeight="1" thickBot="1" x14ac:dyDescent="0.35">
      <c r="A50" s="1016" t="s">
        <v>1765</v>
      </c>
      <c r="B50" s="1013"/>
      <c r="C50" s="1319">
        <f>E8</f>
        <v>0</v>
      </c>
      <c r="D50" s="1228" t="e">
        <f>CONCATENATE("   -   $",ROUND(E40,2)," =")</f>
        <v>#DIV/0!</v>
      </c>
      <c r="E50" s="1015" t="e">
        <f>E8-E40</f>
        <v>#DIV/0!</v>
      </c>
      <c r="F50" s="978"/>
      <c r="G50" s="1029"/>
    </row>
    <row r="51" spans="1:7" ht="8" customHeight="1" thickBot="1" x14ac:dyDescent="0.35">
      <c r="A51" s="1030"/>
      <c r="B51" s="1031"/>
      <c r="C51" s="1031"/>
      <c r="D51" s="1031"/>
      <c r="E51" s="1031"/>
      <c r="F51" s="1032"/>
      <c r="G51" s="1033"/>
    </row>
    <row r="52" spans="1:7" ht="14" customHeight="1" thickTop="1" x14ac:dyDescent="0.3">
      <c r="A52" s="990" t="s">
        <v>1766</v>
      </c>
      <c r="B52" s="992"/>
      <c r="C52" s="992"/>
      <c r="D52" s="1034" t="s">
        <v>1734</v>
      </c>
      <c r="E52" s="1034" t="s">
        <v>1767</v>
      </c>
      <c r="F52" s="984"/>
      <c r="G52" s="989"/>
    </row>
    <row r="53" spans="1:7" ht="13" customHeight="1" x14ac:dyDescent="0.3">
      <c r="A53" s="1002" t="s">
        <v>370</v>
      </c>
      <c r="B53" s="1027"/>
      <c r="C53" s="992"/>
      <c r="D53" s="982" t="e">
        <f>E46</f>
        <v>#DIV/0!</v>
      </c>
      <c r="E53" s="982" t="e">
        <f>D53/$B$5</f>
        <v>#DIV/0!</v>
      </c>
      <c r="F53" s="984"/>
      <c r="G53" s="985"/>
    </row>
    <row r="54" spans="1:7" ht="13" customHeight="1" x14ac:dyDescent="0.3">
      <c r="A54" s="1002" t="s">
        <v>371</v>
      </c>
      <c r="B54" s="1027"/>
      <c r="C54" s="992"/>
      <c r="D54" s="982" t="e">
        <f>E40</f>
        <v>#DIV/0!</v>
      </c>
      <c r="E54" s="982" t="e">
        <f>D54/$B$5</f>
        <v>#DIV/0!</v>
      </c>
      <c r="F54" s="984"/>
      <c r="G54" s="994"/>
    </row>
    <row r="55" spans="1:7" ht="13" customHeight="1" x14ac:dyDescent="0.3">
      <c r="A55" s="1002"/>
      <c r="C55" s="1035"/>
      <c r="D55" s="1036"/>
      <c r="E55" s="1036"/>
      <c r="F55" s="984"/>
      <c r="G55" s="989"/>
    </row>
    <row r="56" spans="1:7" x14ac:dyDescent="0.25">
      <c r="A56" s="995"/>
      <c r="B56" s="995"/>
      <c r="E56" s="1037" t="s">
        <v>1768</v>
      </c>
      <c r="F56" s="1038"/>
      <c r="G56" s="1038"/>
    </row>
    <row r="57" spans="1:7" ht="7.75" customHeight="1" x14ac:dyDescent="0.25">
      <c r="A57" s="995"/>
      <c r="B57" s="995"/>
      <c r="C57" s="995"/>
      <c r="D57" s="995"/>
      <c r="E57" s="995"/>
      <c r="F57" s="995"/>
      <c r="G57" s="995"/>
    </row>
    <row r="58" spans="1:7" ht="18.5" x14ac:dyDescent="0.45">
      <c r="A58" s="1039" t="s">
        <v>1769</v>
      </c>
      <c r="B58" s="995"/>
      <c r="C58" s="995"/>
      <c r="D58" s="995"/>
      <c r="E58" s="995"/>
      <c r="F58" s="1040"/>
      <c r="G58" s="1040"/>
    </row>
    <row r="59" spans="1:7" ht="9.75" customHeight="1" x14ac:dyDescent="0.45">
      <c r="A59" s="1039"/>
      <c r="B59" s="995"/>
      <c r="C59" s="995"/>
      <c r="D59" s="995"/>
      <c r="E59" s="995"/>
      <c r="F59" s="1040"/>
      <c r="G59" s="1040"/>
    </row>
    <row r="60" spans="1:7" ht="14.5" x14ac:dyDescent="0.35">
      <c r="A60" s="1041" t="s">
        <v>1770</v>
      </c>
      <c r="B60" s="995"/>
      <c r="C60" s="995"/>
      <c r="D60" s="995"/>
      <c r="E60" s="995"/>
      <c r="F60" s="1040"/>
      <c r="G60" s="1040"/>
    </row>
    <row r="61" spans="1:7" ht="47" customHeight="1" x14ac:dyDescent="0.25">
      <c r="A61" s="1394" t="s">
        <v>1771</v>
      </c>
      <c r="B61" s="1395"/>
      <c r="C61" s="1395"/>
      <c r="D61" s="1395"/>
      <c r="E61" s="1395"/>
      <c r="F61" s="1395"/>
      <c r="G61" s="1395"/>
    </row>
    <row r="62" spans="1:7" ht="56" customHeight="1" x14ac:dyDescent="0.35">
      <c r="A62" s="1396" t="s">
        <v>1772</v>
      </c>
      <c r="B62" s="1393"/>
      <c r="C62" s="1393"/>
      <c r="D62" s="1393"/>
      <c r="E62" s="1393"/>
      <c r="F62" s="1393"/>
      <c r="G62" s="1393"/>
    </row>
    <row r="63" spans="1:7" s="1043" customFormat="1" ht="19.75" customHeight="1" x14ac:dyDescent="0.35">
      <c r="A63" s="1042" t="s">
        <v>1808</v>
      </c>
      <c r="B63" s="995"/>
      <c r="C63" s="995"/>
      <c r="D63" s="995"/>
      <c r="E63" s="995"/>
      <c r="F63" s="1040"/>
      <c r="G63" s="1040"/>
    </row>
    <row r="64" spans="1:7" ht="17" customHeight="1" x14ac:dyDescent="0.25">
      <c r="A64" s="1397" t="s">
        <v>1774</v>
      </c>
      <c r="B64" s="1398"/>
      <c r="C64" s="1398"/>
      <c r="D64" s="1398"/>
      <c r="E64" s="1398"/>
      <c r="F64" s="1398"/>
      <c r="G64" s="1398"/>
    </row>
    <row r="65" spans="1:7" ht="16" customHeight="1" x14ac:dyDescent="0.25">
      <c r="A65" s="1397" t="s">
        <v>1775</v>
      </c>
      <c r="B65" s="1398"/>
      <c r="C65" s="1398"/>
      <c r="D65" s="1398"/>
      <c r="E65" s="1398"/>
      <c r="F65" s="1398"/>
      <c r="G65" s="1398"/>
    </row>
    <row r="66" spans="1:7" ht="15" customHeight="1" x14ac:dyDescent="0.25">
      <c r="A66" s="1399" t="s">
        <v>1776</v>
      </c>
      <c r="B66" s="1400"/>
      <c r="C66" s="1400"/>
      <c r="D66" s="1400"/>
      <c r="E66" s="1400"/>
      <c r="F66" s="1400"/>
      <c r="G66" s="1400"/>
    </row>
    <row r="67" spans="1:7" ht="14" customHeight="1" x14ac:dyDescent="0.25">
      <c r="A67" s="1044" t="s">
        <v>1777</v>
      </c>
      <c r="B67" s="995"/>
      <c r="C67" s="995"/>
      <c r="D67" s="995"/>
      <c r="E67" s="995"/>
      <c r="F67" s="1040"/>
      <c r="G67" s="1040"/>
    </row>
    <row r="68" spans="1:7" ht="15" customHeight="1" x14ac:dyDescent="0.25">
      <c r="A68" s="1401" t="s">
        <v>1778</v>
      </c>
      <c r="B68" s="1393"/>
      <c r="C68" s="1393"/>
      <c r="D68" s="1393"/>
      <c r="E68" s="1393"/>
      <c r="F68" s="1393"/>
      <c r="G68" s="1393"/>
    </row>
    <row r="69" spans="1:7" ht="15" customHeight="1" x14ac:dyDescent="0.25">
      <c r="A69" s="1389" t="s">
        <v>1779</v>
      </c>
      <c r="B69" s="1390"/>
      <c r="C69" s="1390"/>
      <c r="D69" s="1390"/>
      <c r="E69" s="1390"/>
      <c r="F69" s="1390"/>
      <c r="G69" s="1390"/>
    </row>
    <row r="70" spans="1:7" ht="6" customHeight="1" x14ac:dyDescent="0.25">
      <c r="A70" s="1045"/>
      <c r="B70" s="1046"/>
      <c r="C70" s="1046"/>
      <c r="D70" s="1046"/>
      <c r="E70" s="1046"/>
      <c r="F70" s="1046"/>
      <c r="G70" s="1046"/>
    </row>
    <row r="71" spans="1:7" ht="15" customHeight="1" x14ac:dyDescent="0.25">
      <c r="A71" s="1391" t="s">
        <v>1780</v>
      </c>
      <c r="B71" s="1392"/>
      <c r="C71" s="1392"/>
      <c r="D71" s="1392"/>
      <c r="E71" s="1392"/>
      <c r="F71" s="1046"/>
      <c r="G71" s="1046"/>
    </row>
    <row r="72" spans="1:7" s="1052" customFormat="1" ht="29" customHeight="1" x14ac:dyDescent="0.3">
      <c r="A72" s="1047" t="s">
        <v>1781</v>
      </c>
      <c r="B72" s="1048" t="s">
        <v>1214</v>
      </c>
      <c r="C72" s="1048" t="s">
        <v>169</v>
      </c>
      <c r="D72" s="1048" t="s">
        <v>1782</v>
      </c>
      <c r="E72" s="1049" t="s">
        <v>1809</v>
      </c>
      <c r="F72" s="1050"/>
      <c r="G72" s="1051" t="s">
        <v>1735</v>
      </c>
    </row>
    <row r="73" spans="1:7" ht="12.75" customHeight="1" x14ac:dyDescent="0.3">
      <c r="A73" s="1053" t="s">
        <v>1784</v>
      </c>
      <c r="B73" s="982" t="e">
        <f>Wb!D129</f>
        <v>#DIV/0!</v>
      </c>
      <c r="C73" s="982" t="e">
        <f>Wb!D144</f>
        <v>#DIV/0!</v>
      </c>
      <c r="D73" s="982">
        <f>SUM(Wf!J56:J58)/200</f>
        <v>0</v>
      </c>
      <c r="E73" s="982" t="e">
        <f t="shared" ref="E73:E81" si="0">SUM(B73:D73)</f>
        <v>#DIV/0!</v>
      </c>
      <c r="F73" s="1054"/>
      <c r="G73" s="985"/>
    </row>
    <row r="74" spans="1:7" ht="12.75" customHeight="1" x14ac:dyDescent="0.3">
      <c r="A74" s="1053" t="s">
        <v>1429</v>
      </c>
      <c r="B74" s="982" t="e">
        <f>Wb!D130</f>
        <v>#DIV/0!</v>
      </c>
      <c r="C74" s="982" t="e">
        <f>Wb!D145</f>
        <v>#DIV/0!</v>
      </c>
      <c r="D74" s="982">
        <f>(SUM(Wf!J38:J40)/300)</f>
        <v>0</v>
      </c>
      <c r="E74" s="982" t="e">
        <f>SUM(B74:D74)</f>
        <v>#DIV/0!</v>
      </c>
      <c r="F74" s="1054"/>
      <c r="G74" s="985"/>
    </row>
    <row r="75" spans="1:7" ht="12.75" customHeight="1" x14ac:dyDescent="0.3">
      <c r="A75" s="1053" t="s">
        <v>1785</v>
      </c>
      <c r="B75" s="982" t="e">
        <f>Wb!D131</f>
        <v>#DIV/0!</v>
      </c>
      <c r="C75" s="982" t="e">
        <f>Wb!D146</f>
        <v>#DIV/0!</v>
      </c>
      <c r="D75" s="982">
        <f>SUM(Wf!J41:J43)/300</f>
        <v>0</v>
      </c>
      <c r="E75" s="982" t="e">
        <f t="shared" si="0"/>
        <v>#DIV/0!</v>
      </c>
      <c r="F75" s="1054"/>
      <c r="G75" s="985"/>
    </row>
    <row r="76" spans="1:7" ht="12.75" customHeight="1" x14ac:dyDescent="0.3">
      <c r="A76" s="1053" t="s">
        <v>1786</v>
      </c>
      <c r="B76" s="982" t="e">
        <f>Wb!D132</f>
        <v>#DIV/0!</v>
      </c>
      <c r="C76" s="982" t="e">
        <f>Wb!D147</f>
        <v>#DIV/0!</v>
      </c>
      <c r="D76" s="982">
        <f>SUM(Wf!J44:J46)/300</f>
        <v>0</v>
      </c>
      <c r="E76" s="982" t="e">
        <f t="shared" si="0"/>
        <v>#DIV/0!</v>
      </c>
      <c r="F76" s="1054"/>
      <c r="G76" s="985"/>
    </row>
    <row r="77" spans="1:7" ht="12.75" customHeight="1" x14ac:dyDescent="0.3">
      <c r="A77" s="1053" t="s">
        <v>1787</v>
      </c>
      <c r="B77" s="982" t="e">
        <f>Wb!D133</f>
        <v>#DIV/0!</v>
      </c>
      <c r="C77" s="982" t="e">
        <f>Wb!D148</f>
        <v>#DIV/0!</v>
      </c>
      <c r="D77" s="982">
        <f>SUM(Wf!J59:J61)/300</f>
        <v>0</v>
      </c>
      <c r="E77" s="982" t="e">
        <f t="shared" si="0"/>
        <v>#DIV/0!</v>
      </c>
      <c r="F77" s="1054"/>
      <c r="G77" s="985"/>
    </row>
    <row r="78" spans="1:7" ht="12.75" customHeight="1" x14ac:dyDescent="0.3">
      <c r="A78" s="1053" t="e">
        <f>IF(FARM!#REF!=1,"Flex Tine Harrow (2x)","Spin Spread Chilean Nitrate")</f>
        <v>#REF!</v>
      </c>
      <c r="B78" s="982" t="e">
        <f>IF(FARM!#REF!=1,Wb!D134,Wb!D135)</f>
        <v>#REF!</v>
      </c>
      <c r="C78" s="982" t="e">
        <f>IF(FARM!#REF!=1,Wb!D149,Wb!D150)</f>
        <v>#REF!</v>
      </c>
      <c r="D78" s="982" t="e">
        <f>IF(FARM!#REF!=1,(SUM(Wf!J47:J49)/200)*2,SUM(Wf!J53:J55)/100)</f>
        <v>#REF!</v>
      </c>
      <c r="E78" s="982" t="e">
        <f t="shared" si="0"/>
        <v>#REF!</v>
      </c>
      <c r="F78" s="1054"/>
      <c r="G78" s="985"/>
    </row>
    <row r="79" spans="1:7" ht="12.75" customHeight="1" x14ac:dyDescent="0.3">
      <c r="A79" s="1053" t="s">
        <v>1810</v>
      </c>
      <c r="B79" s="982" t="e">
        <f>Wb!D136</f>
        <v>#DIV/0!</v>
      </c>
      <c r="C79" s="982" t="e">
        <f>Wb!D151</f>
        <v>#DIV/0!</v>
      </c>
      <c r="D79" s="982">
        <f>(SUM(Wf!J69:J71)+SUM(Wf!J72:J74))/300</f>
        <v>0</v>
      </c>
      <c r="E79" s="982" t="e">
        <f t="shared" si="0"/>
        <v>#DIV/0!</v>
      </c>
      <c r="F79" s="1054"/>
      <c r="G79" s="985"/>
    </row>
    <row r="80" spans="1:7" ht="12.75" customHeight="1" x14ac:dyDescent="0.3">
      <c r="A80" s="1055" t="s">
        <v>1819</v>
      </c>
      <c r="B80" s="1017" t="e">
        <f>Wb!D137</f>
        <v>#DIV/0!</v>
      </c>
      <c r="C80" s="1017" t="e">
        <f>Wb!D152</f>
        <v>#DIV/0!</v>
      </c>
      <c r="D80" s="1017">
        <f>SUM(Wf!J26:J28)/300</f>
        <v>0</v>
      </c>
      <c r="E80" s="1017" t="e">
        <f t="shared" si="0"/>
        <v>#DIV/0!</v>
      </c>
      <c r="F80" s="1054"/>
      <c r="G80" s="1056"/>
    </row>
    <row r="81" spans="1:7" ht="12.75" customHeight="1" x14ac:dyDescent="0.3">
      <c r="A81" s="1057" t="s">
        <v>1811</v>
      </c>
      <c r="B81" s="1017" t="e">
        <f>SUM(B73:B80)</f>
        <v>#DIV/0!</v>
      </c>
      <c r="C81" s="1017" t="e">
        <f>SUM(C73:C80)</f>
        <v>#DIV/0!</v>
      </c>
      <c r="D81" s="1017" t="e">
        <f>SUM(D73:D80)</f>
        <v>#REF!</v>
      </c>
      <c r="E81" s="1058" t="e">
        <f t="shared" si="0"/>
        <v>#DIV/0!</v>
      </c>
      <c r="F81" s="1059"/>
      <c r="G81" s="1060"/>
    </row>
    <row r="82" spans="1:7" ht="18" customHeight="1" x14ac:dyDescent="0.3">
      <c r="A82" s="1061" t="s">
        <v>1790</v>
      </c>
      <c r="B82" s="1062"/>
      <c r="C82" s="1062"/>
      <c r="D82" s="1062"/>
      <c r="E82" s="995"/>
      <c r="F82" s="1040"/>
      <c r="G82" s="1040"/>
    </row>
    <row r="83" spans="1:7" ht="37.75" hidden="1" customHeight="1" x14ac:dyDescent="0.25">
      <c r="A83" s="1393"/>
      <c r="B83" s="1393"/>
      <c r="C83" s="1393"/>
      <c r="D83" s="1393"/>
      <c r="E83" s="1393"/>
      <c r="F83" s="1393"/>
      <c r="G83" s="1393"/>
    </row>
    <row r="84" spans="1:7" ht="13.75" customHeight="1" x14ac:dyDescent="0.25">
      <c r="A84" s="1064" t="s">
        <v>1791</v>
      </c>
      <c r="B84" s="1065"/>
      <c r="C84" s="995"/>
      <c r="D84" s="995"/>
      <c r="E84" s="995"/>
      <c r="F84" s="1040"/>
      <c r="G84" s="1040"/>
    </row>
    <row r="85" spans="1:7" ht="16.75" customHeight="1" x14ac:dyDescent="0.25">
      <c r="A85" s="1071" t="s">
        <v>1796</v>
      </c>
      <c r="B85" s="995"/>
      <c r="C85" s="995"/>
      <c r="D85" s="995"/>
      <c r="E85" s="995"/>
      <c r="F85" s="1040"/>
      <c r="G85" s="1040"/>
    </row>
    <row r="86" spans="1:7" ht="24" customHeight="1" x14ac:dyDescent="0.25"/>
    <row r="87" spans="1:7" ht="16.75" customHeight="1" x14ac:dyDescent="0.25">
      <c r="F87"/>
      <c r="G87"/>
    </row>
    <row r="88" spans="1:7" ht="13.75" customHeight="1" x14ac:dyDescent="0.25">
      <c r="F88"/>
      <c r="G88"/>
    </row>
    <row r="89" spans="1:7" ht="13.75" customHeight="1" x14ac:dyDescent="0.25">
      <c r="F89"/>
      <c r="G89"/>
    </row>
    <row r="90" spans="1:7" ht="13.75" customHeight="1" x14ac:dyDescent="0.25">
      <c r="F90"/>
      <c r="G90"/>
    </row>
    <row r="91" spans="1:7" ht="13.75" customHeight="1" x14ac:dyDescent="0.25">
      <c r="F91"/>
      <c r="G91"/>
    </row>
    <row r="92" spans="1:7" ht="13.75" customHeight="1" x14ac:dyDescent="0.25">
      <c r="F92"/>
      <c r="G92"/>
    </row>
    <row r="93" spans="1:7" ht="13.75" customHeight="1" x14ac:dyDescent="0.25">
      <c r="F93"/>
      <c r="G93"/>
    </row>
    <row r="94" spans="1:7" ht="13.75" customHeight="1" x14ac:dyDescent="0.25">
      <c r="F94"/>
      <c r="G94"/>
    </row>
    <row r="95" spans="1:7" ht="13.75" customHeight="1" x14ac:dyDescent="0.25">
      <c r="F95"/>
      <c r="G95"/>
    </row>
    <row r="96" spans="1:7" ht="13.75" customHeight="1" x14ac:dyDescent="0.25">
      <c r="F96"/>
      <c r="G96"/>
    </row>
    <row r="97" spans="6:7" ht="13.75" customHeight="1" x14ac:dyDescent="0.25">
      <c r="F97"/>
      <c r="G97"/>
    </row>
    <row r="98" spans="6:7" ht="6.75" customHeight="1" x14ac:dyDescent="0.25">
      <c r="F98"/>
      <c r="G98"/>
    </row>
    <row r="99" spans="6:7" ht="13.75" customHeight="1" x14ac:dyDescent="0.25">
      <c r="F99"/>
      <c r="G99"/>
    </row>
    <row r="100" spans="6:7" ht="13.75" customHeight="1" x14ac:dyDescent="0.25">
      <c r="F100"/>
      <c r="G100"/>
    </row>
    <row r="101" spans="6:7" ht="13.75" customHeight="1" x14ac:dyDescent="0.25">
      <c r="F101"/>
      <c r="G101"/>
    </row>
    <row r="102" spans="6:7" ht="13.75" customHeight="1" x14ac:dyDescent="0.25">
      <c r="F102"/>
      <c r="G102"/>
    </row>
    <row r="103" spans="6:7" ht="13.75" customHeight="1" x14ac:dyDescent="0.25">
      <c r="F103"/>
      <c r="G103"/>
    </row>
    <row r="104" spans="6:7" ht="13.75" customHeight="1" x14ac:dyDescent="0.25">
      <c r="F104"/>
      <c r="G104"/>
    </row>
    <row r="105" spans="6:7" ht="13.75" customHeight="1" x14ac:dyDescent="0.25">
      <c r="F105"/>
      <c r="G105"/>
    </row>
    <row r="106" spans="6:7" ht="13.75" customHeight="1" x14ac:dyDescent="0.25">
      <c r="F106"/>
      <c r="G106"/>
    </row>
    <row r="107" spans="6:7" ht="13.75" customHeight="1" x14ac:dyDescent="0.25"/>
    <row r="108" spans="6:7" ht="13.75" customHeight="1" x14ac:dyDescent="0.25"/>
  </sheetData>
  <sheetProtection algorithmName="SHA-512" hashValue="qVxnfGsglxZX9XMwAd4QDWgApeVk1yBbNvmArR3eHNvR8/kF85E+IEyzVZVGaNbW4pr/zPHsSzxulMtatYTeag==" saltValue="oynocCKZ2klMNAZByAA/Rg==" spinCount="100000" sheet="1" objects="1" scenarios="1"/>
  <mergeCells count="15">
    <mergeCell ref="A69:G69"/>
    <mergeCell ref="A71:E71"/>
    <mergeCell ref="A83:G83"/>
    <mergeCell ref="A61:G61"/>
    <mergeCell ref="A62:G62"/>
    <mergeCell ref="A64:G64"/>
    <mergeCell ref="A65:G65"/>
    <mergeCell ref="A66:G66"/>
    <mergeCell ref="A68:G68"/>
    <mergeCell ref="B39:C39"/>
    <mergeCell ref="A1:G1"/>
    <mergeCell ref="A2:G2"/>
    <mergeCell ref="A3:G3"/>
    <mergeCell ref="B17:C17"/>
    <mergeCell ref="B25:C25"/>
  </mergeCells>
  <pageMargins left="0.7" right="0.7" top="0.75" bottom="0.75" header="0.3" footer="0.3"/>
  <pageSetup scale="84" orientation="portrait" r:id="rId1"/>
  <rowBreaks count="1" manualBreakCount="1">
    <brk id="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49</vt:i4>
      </vt:variant>
    </vt:vector>
  </HeadingPairs>
  <TitlesOfParts>
    <vt:vector size="132" baseType="lpstr">
      <vt:lpstr>ReadMe</vt:lpstr>
      <vt:lpstr>FARM</vt:lpstr>
      <vt:lpstr>INPUT</vt:lpstr>
      <vt:lpstr>OS</vt:lpstr>
      <vt:lpstr>Budget Summary</vt:lpstr>
      <vt:lpstr>Bar</vt:lpstr>
      <vt:lpstr>Oat</vt:lpstr>
      <vt:lpstr>Rye</vt:lpstr>
      <vt:lpstr>sWht</vt:lpstr>
      <vt:lpstr>wWht</vt:lpstr>
      <vt:lpstr>Trt</vt:lpstr>
      <vt:lpstr>Spt</vt:lpstr>
      <vt:lpstr>Bwt</vt:lpstr>
      <vt:lpstr>Pea</vt:lpstr>
      <vt:lpstr>Soy</vt:lpstr>
      <vt:lpstr>Straw</vt:lpstr>
      <vt:lpstr>OSI</vt:lpstr>
      <vt:lpstr>CP</vt:lpstr>
      <vt:lpstr>Data</vt:lpstr>
      <vt:lpstr>Syb</vt:lpstr>
      <vt:lpstr>Pb</vt:lpstr>
      <vt:lpstr>BWb</vt:lpstr>
      <vt:lpstr>Sb</vt:lpstr>
      <vt:lpstr>Tb</vt:lpstr>
      <vt:lpstr>wWb</vt:lpstr>
      <vt:lpstr>Wb</vt:lpstr>
      <vt:lpstr>Rb</vt:lpstr>
      <vt:lpstr>Ob</vt:lpstr>
      <vt:lpstr>Bb</vt:lpstr>
      <vt:lpstr>WFB</vt:lpstr>
      <vt:lpstr>Bv</vt:lpstr>
      <vt:lpstr>Bf</vt:lpstr>
      <vt:lpstr>Ov</vt:lpstr>
      <vt:lpstr>Of</vt:lpstr>
      <vt:lpstr>Rv</vt:lpstr>
      <vt:lpstr>Rf</vt:lpstr>
      <vt:lpstr>Wv</vt:lpstr>
      <vt:lpstr>Wf</vt:lpstr>
      <vt:lpstr>wWv</vt:lpstr>
      <vt:lpstr>wWf</vt:lpstr>
      <vt:lpstr>Tv</vt:lpstr>
      <vt:lpstr>Tf</vt:lpstr>
      <vt:lpstr>Sv</vt:lpstr>
      <vt:lpstr>Sf</vt:lpstr>
      <vt:lpstr>BWv</vt:lpstr>
      <vt:lpstr>BWf</vt:lpstr>
      <vt:lpstr>Pv</vt:lpstr>
      <vt:lpstr>Pf</vt:lpstr>
      <vt:lpstr>Syv</vt:lpstr>
      <vt:lpstr>Syf</vt:lpstr>
      <vt:lpstr>PotOprC</vt:lpstr>
      <vt:lpstr>PotOwnC</vt:lpstr>
      <vt:lpstr>PotBud</vt:lpstr>
      <vt:lpstr>AlfOprC</vt:lpstr>
      <vt:lpstr>AlfOwnC</vt:lpstr>
      <vt:lpstr>AlfBud</vt:lpstr>
      <vt:lpstr>CnSOprC</vt:lpstr>
      <vt:lpstr>CnSOwnC</vt:lpstr>
      <vt:lpstr>CnSBud</vt:lpstr>
      <vt:lpstr>HlgOprC</vt:lpstr>
      <vt:lpstr>HlgOwnC</vt:lpstr>
      <vt:lpstr>HlgBud</vt:lpstr>
      <vt:lpstr>HayOprC</vt:lpstr>
      <vt:lpstr>HayOwnC</vt:lpstr>
      <vt:lpstr>HayBud</vt:lpstr>
      <vt:lpstr>CvrOprC</vt:lpstr>
      <vt:lpstr>CvrOwnC</vt:lpstr>
      <vt:lpstr>CvrBud</vt:lpstr>
      <vt:lpstr>GrzOprC</vt:lpstr>
      <vt:lpstr>GrzOwnC</vt:lpstr>
      <vt:lpstr>GrzBud</vt:lpstr>
      <vt:lpstr>CnGOprC</vt:lpstr>
      <vt:lpstr>CnGOwnC</vt:lpstr>
      <vt:lpstr>CnGBud</vt:lpstr>
      <vt:lpstr>SudOprC</vt:lpstr>
      <vt:lpstr>SudOwnC</vt:lpstr>
      <vt:lpstr>SudBud</vt:lpstr>
      <vt:lpstr>CanOprC</vt:lpstr>
      <vt:lpstr>CanOwnC</vt:lpstr>
      <vt:lpstr>CanBud</vt:lpstr>
      <vt:lpstr>BrcOprC</vt:lpstr>
      <vt:lpstr>BrcOwnC</vt:lpstr>
      <vt:lpstr>BrcBud</vt:lpstr>
      <vt:lpstr>_int_inv_</vt:lpstr>
      <vt:lpstr>_int_inv_l</vt:lpstr>
      <vt:lpstr>_int_inv_m</vt:lpstr>
      <vt:lpstr>_int_oper_</vt:lpstr>
      <vt:lpstr>_leased_land_</vt:lpstr>
      <vt:lpstr>_tax_ins_</vt:lpstr>
      <vt:lpstr>_wage_</vt:lpstr>
      <vt:lpstr>alfalfa</vt:lpstr>
      <vt:lpstr>balehay</vt:lpstr>
      <vt:lpstr>barley</vt:lpstr>
      <vt:lpstr>broccoli</vt:lpstr>
      <vt:lpstr>buckwheat</vt:lpstr>
      <vt:lpstr>canola</vt:lpstr>
      <vt:lpstr>clover</vt:lpstr>
      <vt:lpstr>cropins</vt:lpstr>
      <vt:lpstr>crops</vt:lpstr>
      <vt:lpstr>diesel_fuel</vt:lpstr>
      <vt:lpstr>gcorn</vt:lpstr>
      <vt:lpstr>graze</vt:lpstr>
      <vt:lpstr>hay</vt:lpstr>
      <vt:lpstr>haylage</vt:lpstr>
      <vt:lpstr>lime</vt:lpstr>
      <vt:lpstr>limeapp</vt:lpstr>
      <vt:lpstr>lube</vt:lpstr>
      <vt:lpstr>model</vt:lpstr>
      <vt:lpstr>oats</vt:lpstr>
      <vt:lpstr>othexp</vt:lpstr>
      <vt:lpstr>peas</vt:lpstr>
      <vt:lpstr>potato</vt:lpstr>
      <vt:lpstr>'Budget Summary'!Print_Area</vt:lpstr>
      <vt:lpstr>CP!Print_Area</vt:lpstr>
      <vt:lpstr>FARM!Print_Area</vt:lpstr>
      <vt:lpstr>INPUT!Print_Area</vt:lpstr>
      <vt:lpstr>OS!Print_Area</vt:lpstr>
      <vt:lpstr>OSI!Print_Area</vt:lpstr>
      <vt:lpstr>rotation</vt:lpstr>
      <vt:lpstr>rye</vt:lpstr>
      <vt:lpstr>scorn</vt:lpstr>
      <vt:lpstr>senstrachrs</vt:lpstr>
      <vt:lpstr>senstractot</vt:lpstr>
      <vt:lpstr>soy</vt:lpstr>
      <vt:lpstr>spelt</vt:lpstr>
      <vt:lpstr>sudan</vt:lpstr>
      <vt:lpstr>supplies</vt:lpstr>
      <vt:lpstr>tritcale</vt:lpstr>
      <vt:lpstr>triticale</vt:lpstr>
      <vt:lpstr>urea</vt:lpstr>
      <vt:lpstr>wheat</vt:lpstr>
      <vt:lpstr>wwheat</vt:lpstr>
    </vt:vector>
  </TitlesOfParts>
  <Company>The University of Maine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K. Hoshide</dc:creator>
  <cp:lastModifiedBy>Sensei</cp:lastModifiedBy>
  <cp:lastPrinted>2004-07-21T19:03:34Z</cp:lastPrinted>
  <dcterms:created xsi:type="dcterms:W3CDTF">2002-03-05T20:11:09Z</dcterms:created>
  <dcterms:modified xsi:type="dcterms:W3CDTF">2020-05-07T15:19:44Z</dcterms:modified>
</cp:coreProperties>
</file>